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ei-lap-8978/Documents/Ei/Retention 2026/"/>
    </mc:Choice>
  </mc:AlternateContent>
  <xr:revisionPtr revIDLastSave="0" documentId="13_ncr:1_{81779054-1E93-C842-B7D3-6E124162E468}" xr6:coauthVersionLast="47" xr6:coauthVersionMax="47" xr10:uidLastSave="{00000000-0000-0000-0000-000000000000}"/>
  <bookViews>
    <workbookView xWindow="0" yWindow="740" windowWidth="29400" windowHeight="18380" activeTab="10" xr2:uid="{00000000-000D-0000-FFFF-FFFF00000000}"/>
  </bookViews>
  <sheets>
    <sheet name="2024" sheetId="1" r:id="rId1"/>
    <sheet name="2025" sheetId="2" r:id="rId2"/>
    <sheet name="Org" sheetId="15" r:id="rId3"/>
    <sheet name="Sheet1" sheetId="14" r:id="rId4"/>
    <sheet name="Drop &amp; Risk Working" sheetId="13" r:id="rId5"/>
    <sheet name="Working" sheetId="4" r:id="rId6"/>
    <sheet name="RISK" sheetId="16" r:id="rId7"/>
    <sheet name="Drop schools 2026" sheetId="5" r:id="rId8"/>
    <sheet name="aa" sheetId="6" r:id="rId9"/>
    <sheet name="Drop &amp; Risk Analysis" sheetId="19" r:id="rId10"/>
    <sheet name="2027" sheetId="20" r:id="rId11"/>
  </sheets>
  <definedNames>
    <definedName name="_xlnm._FilterDatabase" localSheetId="0" hidden="1">'2024'!$A$1:$CQ$547</definedName>
    <definedName name="_xlnm._FilterDatabase" localSheetId="1" hidden="1">'2025'!$A$1:$CR$646</definedName>
    <definedName name="_xlnm._FilterDatabase" localSheetId="10" hidden="1">'2027'!$A$1:$CR$686</definedName>
    <definedName name="_xlnm._FilterDatabase" localSheetId="8" hidden="1">aa!$A$1:$CO$382</definedName>
    <definedName name="_xlnm._FilterDatabase" localSheetId="9" hidden="1">'Drop &amp; Risk Analysis'!$A$1:$CS$646</definedName>
    <definedName name="_xlnm._FilterDatabase" localSheetId="7" hidden="1">'Drop schools 2026'!$A$2:$L$41</definedName>
    <definedName name="_xlnm._FilterDatabase" localSheetId="6" hidden="1">RISK!$A$1:$K$46</definedName>
    <definedName name="_xlnm._FilterDatabase" localSheetId="5" hidden="1">Working!$X$1:$Y$421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I552" i="20" l="1"/>
  <c r="H552" i="20"/>
  <c r="G552" i="20"/>
  <c r="F552" i="20"/>
  <c r="E552" i="20"/>
  <c r="I551" i="20"/>
  <c r="H551" i="20"/>
  <c r="G551" i="20"/>
  <c r="F551" i="20"/>
  <c r="E551" i="20"/>
  <c r="I550" i="20"/>
  <c r="H550" i="20"/>
  <c r="G550" i="20"/>
  <c r="F550" i="20"/>
  <c r="E550" i="20"/>
  <c r="I549" i="20"/>
  <c r="H549" i="20"/>
  <c r="G549" i="20"/>
  <c r="F549" i="20"/>
  <c r="E549" i="20"/>
  <c r="I548" i="20"/>
  <c r="H548" i="20"/>
  <c r="G548" i="20"/>
  <c r="F548" i="20"/>
  <c r="E548" i="20"/>
  <c r="I547" i="20"/>
  <c r="H547" i="20"/>
  <c r="G547" i="20"/>
  <c r="F547" i="20"/>
  <c r="E547" i="20"/>
  <c r="I546" i="20"/>
  <c r="H546" i="20"/>
  <c r="G546" i="20"/>
  <c r="F546" i="20"/>
  <c r="E546" i="20"/>
  <c r="I545" i="20"/>
  <c r="H545" i="20"/>
  <c r="G545" i="20"/>
  <c r="F545" i="20"/>
  <c r="E545" i="20"/>
  <c r="I544" i="20"/>
  <c r="H544" i="20"/>
  <c r="G544" i="20"/>
  <c r="F544" i="20"/>
  <c r="E544" i="20"/>
  <c r="I543" i="20"/>
  <c r="H543" i="20"/>
  <c r="G543" i="20"/>
  <c r="F543" i="20"/>
  <c r="E543" i="20"/>
  <c r="I542" i="20"/>
  <c r="H542" i="20"/>
  <c r="G542" i="20"/>
  <c r="F542" i="20"/>
  <c r="E542" i="20"/>
  <c r="I541" i="20"/>
  <c r="H541" i="20"/>
  <c r="G541" i="20"/>
  <c r="F541" i="20"/>
  <c r="E541" i="20"/>
  <c r="I540" i="20"/>
  <c r="H540" i="20"/>
  <c r="G540" i="20"/>
  <c r="F540" i="20"/>
  <c r="E540" i="20"/>
  <c r="I539" i="20"/>
  <c r="H539" i="20"/>
  <c r="G539" i="20"/>
  <c r="F539" i="20"/>
  <c r="E539" i="20"/>
  <c r="I538" i="20"/>
  <c r="H538" i="20"/>
  <c r="G538" i="20"/>
  <c r="F538" i="20"/>
  <c r="E538" i="20"/>
  <c r="I537" i="20"/>
  <c r="H537" i="20"/>
  <c r="G537" i="20"/>
  <c r="F537" i="20"/>
  <c r="E537" i="20"/>
  <c r="I536" i="20"/>
  <c r="H536" i="20"/>
  <c r="G536" i="20"/>
  <c r="F536" i="20"/>
  <c r="E536" i="20"/>
  <c r="I535" i="20"/>
  <c r="H535" i="20"/>
  <c r="G535" i="20"/>
  <c r="F535" i="20"/>
  <c r="E535" i="20"/>
  <c r="I534" i="20"/>
  <c r="H534" i="20"/>
  <c r="G534" i="20"/>
  <c r="F534" i="20"/>
  <c r="E534" i="20"/>
  <c r="I533" i="20"/>
  <c r="H533" i="20"/>
  <c r="G533" i="20"/>
  <c r="F533" i="20"/>
  <c r="E533" i="20"/>
  <c r="I532" i="20"/>
  <c r="H532" i="20"/>
  <c r="G532" i="20"/>
  <c r="F532" i="20"/>
  <c r="E532" i="20"/>
  <c r="I531" i="20"/>
  <c r="H531" i="20"/>
  <c r="G531" i="20"/>
  <c r="F531" i="20"/>
  <c r="E531" i="20"/>
  <c r="I530" i="20"/>
  <c r="H530" i="20"/>
  <c r="G530" i="20"/>
  <c r="F530" i="20"/>
  <c r="E530" i="20"/>
  <c r="I529" i="20"/>
  <c r="H529" i="20"/>
  <c r="G529" i="20"/>
  <c r="F529" i="20"/>
  <c r="E529" i="20"/>
  <c r="I528" i="20"/>
  <c r="H528" i="20"/>
  <c r="G528" i="20"/>
  <c r="F528" i="20"/>
  <c r="E528" i="20"/>
  <c r="I527" i="20"/>
  <c r="H527" i="20"/>
  <c r="G527" i="20"/>
  <c r="F527" i="20"/>
  <c r="E527" i="20"/>
  <c r="I526" i="20"/>
  <c r="H526" i="20"/>
  <c r="G526" i="20"/>
  <c r="F526" i="20"/>
  <c r="E526" i="20"/>
  <c r="I525" i="20"/>
  <c r="H525" i="20"/>
  <c r="G525" i="20"/>
  <c r="F525" i="20"/>
  <c r="E525" i="20"/>
  <c r="I524" i="20"/>
  <c r="H524" i="20"/>
  <c r="G524" i="20"/>
  <c r="F524" i="20"/>
  <c r="E524" i="20"/>
  <c r="I523" i="20"/>
  <c r="H523" i="20"/>
  <c r="G523" i="20"/>
  <c r="F523" i="20"/>
  <c r="E523" i="20"/>
  <c r="I522" i="20"/>
  <c r="H522" i="20"/>
  <c r="G522" i="20"/>
  <c r="F522" i="20"/>
  <c r="E522" i="20"/>
  <c r="I521" i="20"/>
  <c r="H521" i="20"/>
  <c r="G521" i="20"/>
  <c r="F521" i="20"/>
  <c r="E521" i="20"/>
  <c r="I520" i="20"/>
  <c r="H520" i="20"/>
  <c r="G520" i="20"/>
  <c r="F520" i="20"/>
  <c r="E520" i="20"/>
  <c r="I519" i="20"/>
  <c r="H519" i="20"/>
  <c r="G519" i="20"/>
  <c r="F519" i="20"/>
  <c r="E519" i="20"/>
  <c r="I518" i="20"/>
  <c r="H518" i="20"/>
  <c r="G518" i="20"/>
  <c r="F518" i="20"/>
  <c r="E518" i="20"/>
  <c r="I517" i="20"/>
  <c r="H517" i="20"/>
  <c r="G517" i="20"/>
  <c r="F517" i="20"/>
  <c r="E517" i="20"/>
  <c r="I516" i="20"/>
  <c r="H516" i="20"/>
  <c r="G516" i="20"/>
  <c r="F516" i="20"/>
  <c r="E516" i="20"/>
  <c r="I515" i="20"/>
  <c r="H515" i="20"/>
  <c r="G515" i="20"/>
  <c r="F515" i="20"/>
  <c r="E515" i="20"/>
  <c r="I514" i="20"/>
  <c r="H514" i="20"/>
  <c r="G514" i="20"/>
  <c r="F514" i="20"/>
  <c r="E514" i="20"/>
  <c r="I513" i="20"/>
  <c r="H513" i="20"/>
  <c r="G513" i="20"/>
  <c r="F513" i="20"/>
  <c r="E513" i="20"/>
  <c r="I512" i="20"/>
  <c r="H512" i="20"/>
  <c r="G512" i="20"/>
  <c r="F512" i="20"/>
  <c r="E512" i="20"/>
  <c r="I511" i="20"/>
  <c r="H511" i="20"/>
  <c r="G511" i="20"/>
  <c r="F511" i="20"/>
  <c r="E511" i="20"/>
  <c r="I510" i="20"/>
  <c r="H510" i="20"/>
  <c r="G510" i="20"/>
  <c r="F510" i="20"/>
  <c r="E510" i="20"/>
  <c r="I509" i="20"/>
  <c r="H509" i="20"/>
  <c r="G509" i="20"/>
  <c r="F509" i="20"/>
  <c r="E509" i="20"/>
  <c r="I508" i="20"/>
  <c r="H508" i="20"/>
  <c r="G508" i="20"/>
  <c r="F508" i="20"/>
  <c r="E508" i="20"/>
  <c r="I507" i="20"/>
  <c r="H507" i="20"/>
  <c r="G507" i="20"/>
  <c r="F507" i="20"/>
  <c r="E507" i="20"/>
  <c r="I506" i="20"/>
  <c r="H506" i="20"/>
  <c r="G506" i="20"/>
  <c r="F506" i="20"/>
  <c r="E506" i="20"/>
  <c r="I505" i="20"/>
  <c r="H505" i="20"/>
  <c r="G505" i="20"/>
  <c r="F505" i="20"/>
  <c r="E505" i="20"/>
  <c r="I504" i="20"/>
  <c r="H504" i="20"/>
  <c r="G504" i="20"/>
  <c r="F504" i="20"/>
  <c r="E504" i="20"/>
  <c r="I503" i="20"/>
  <c r="H503" i="20"/>
  <c r="G503" i="20"/>
  <c r="F503" i="20"/>
  <c r="E503" i="20"/>
  <c r="I502" i="20"/>
  <c r="H502" i="20"/>
  <c r="G502" i="20"/>
  <c r="F502" i="20"/>
  <c r="E502" i="20"/>
  <c r="I501" i="20"/>
  <c r="H501" i="20"/>
  <c r="G501" i="20"/>
  <c r="F501" i="20"/>
  <c r="E501" i="20"/>
  <c r="I500" i="20"/>
  <c r="H500" i="20"/>
  <c r="G500" i="20"/>
  <c r="F500" i="20"/>
  <c r="E500" i="20"/>
  <c r="I499" i="20"/>
  <c r="H499" i="20"/>
  <c r="G499" i="20"/>
  <c r="F499" i="20"/>
  <c r="E499" i="20"/>
  <c r="I498" i="20"/>
  <c r="H498" i="20"/>
  <c r="G498" i="20"/>
  <c r="F498" i="20"/>
  <c r="E498" i="20"/>
  <c r="I497" i="20"/>
  <c r="H497" i="20"/>
  <c r="G497" i="20"/>
  <c r="F497" i="20"/>
  <c r="E497" i="20"/>
  <c r="I496" i="20"/>
  <c r="H496" i="20"/>
  <c r="G496" i="20"/>
  <c r="F496" i="20"/>
  <c r="E496" i="20"/>
  <c r="I495" i="20"/>
  <c r="H495" i="20"/>
  <c r="G495" i="20"/>
  <c r="F495" i="20"/>
  <c r="E495" i="20"/>
  <c r="I494" i="20"/>
  <c r="H494" i="20"/>
  <c r="G494" i="20"/>
  <c r="F494" i="20"/>
  <c r="E494" i="20"/>
  <c r="I493" i="20"/>
  <c r="H493" i="20"/>
  <c r="G493" i="20"/>
  <c r="F493" i="20"/>
  <c r="E493" i="20"/>
  <c r="I492" i="20"/>
  <c r="H492" i="20"/>
  <c r="G492" i="20"/>
  <c r="F492" i="20"/>
  <c r="E492" i="20"/>
  <c r="I491" i="20"/>
  <c r="H491" i="20"/>
  <c r="G491" i="20"/>
  <c r="F491" i="20"/>
  <c r="E491" i="20"/>
  <c r="I490" i="20"/>
  <c r="H490" i="20"/>
  <c r="G490" i="20"/>
  <c r="F490" i="20"/>
  <c r="E490" i="20"/>
  <c r="I489" i="20"/>
  <c r="H489" i="20"/>
  <c r="G489" i="20"/>
  <c r="F489" i="20"/>
  <c r="E489" i="20"/>
  <c r="I488" i="20"/>
  <c r="H488" i="20"/>
  <c r="G488" i="20"/>
  <c r="F488" i="20"/>
  <c r="E488" i="20"/>
  <c r="I487" i="20"/>
  <c r="H487" i="20"/>
  <c r="G487" i="20"/>
  <c r="F487" i="20"/>
  <c r="E487" i="20"/>
  <c r="I486" i="20"/>
  <c r="H486" i="20"/>
  <c r="G486" i="20"/>
  <c r="F486" i="20"/>
  <c r="E486" i="20"/>
  <c r="I485" i="20"/>
  <c r="H485" i="20"/>
  <c r="G485" i="20"/>
  <c r="F485" i="20"/>
  <c r="E485" i="20"/>
  <c r="I484" i="20"/>
  <c r="H484" i="20"/>
  <c r="G484" i="20"/>
  <c r="F484" i="20"/>
  <c r="E484" i="20"/>
  <c r="I483" i="20"/>
  <c r="H483" i="20"/>
  <c r="G483" i="20"/>
  <c r="F483" i="20"/>
  <c r="E483" i="20"/>
  <c r="I482" i="20"/>
  <c r="H482" i="20"/>
  <c r="G482" i="20"/>
  <c r="F482" i="20"/>
  <c r="E482" i="20"/>
  <c r="I481" i="20"/>
  <c r="H481" i="20"/>
  <c r="G481" i="20"/>
  <c r="F481" i="20"/>
  <c r="E481" i="20"/>
  <c r="I480" i="20"/>
  <c r="H480" i="20"/>
  <c r="G480" i="20"/>
  <c r="F480" i="20"/>
  <c r="E480" i="20"/>
  <c r="I479" i="20"/>
  <c r="H479" i="20"/>
  <c r="G479" i="20"/>
  <c r="F479" i="20"/>
  <c r="E479" i="20"/>
  <c r="I478" i="20"/>
  <c r="H478" i="20"/>
  <c r="G478" i="20"/>
  <c r="F478" i="20"/>
  <c r="E478" i="20"/>
  <c r="I477" i="20"/>
  <c r="H477" i="20"/>
  <c r="G477" i="20"/>
  <c r="F477" i="20"/>
  <c r="E477" i="20"/>
  <c r="I476" i="20"/>
  <c r="H476" i="20"/>
  <c r="G476" i="20"/>
  <c r="F476" i="20"/>
  <c r="E476" i="20"/>
  <c r="I475" i="20"/>
  <c r="H475" i="20"/>
  <c r="G475" i="20"/>
  <c r="F475" i="20"/>
  <c r="E475" i="20"/>
  <c r="I474" i="20"/>
  <c r="H474" i="20"/>
  <c r="G474" i="20"/>
  <c r="F474" i="20"/>
  <c r="E474" i="20"/>
  <c r="I473" i="20"/>
  <c r="H473" i="20"/>
  <c r="G473" i="20"/>
  <c r="F473" i="20"/>
  <c r="E473" i="20"/>
  <c r="I472" i="20"/>
  <c r="H472" i="20"/>
  <c r="G472" i="20"/>
  <c r="F472" i="20"/>
  <c r="E472" i="20"/>
  <c r="I471" i="20"/>
  <c r="H471" i="20"/>
  <c r="G471" i="20"/>
  <c r="F471" i="20"/>
  <c r="E471" i="20"/>
  <c r="I470" i="20"/>
  <c r="H470" i="20"/>
  <c r="G470" i="20"/>
  <c r="F470" i="20"/>
  <c r="E470" i="20"/>
  <c r="I469" i="20"/>
  <c r="H469" i="20"/>
  <c r="G469" i="20"/>
  <c r="F469" i="20"/>
  <c r="E469" i="20"/>
  <c r="I468" i="20"/>
  <c r="H468" i="20"/>
  <c r="G468" i="20"/>
  <c r="F468" i="20"/>
  <c r="E468" i="20"/>
  <c r="I467" i="20"/>
  <c r="H467" i="20"/>
  <c r="G467" i="20"/>
  <c r="F467" i="20"/>
  <c r="E467" i="20"/>
  <c r="I466" i="20"/>
  <c r="H466" i="20"/>
  <c r="G466" i="20"/>
  <c r="F466" i="20"/>
  <c r="E466" i="20"/>
  <c r="I465" i="20"/>
  <c r="H465" i="20"/>
  <c r="G465" i="20"/>
  <c r="F465" i="20"/>
  <c r="E465" i="20"/>
  <c r="I464" i="20"/>
  <c r="H464" i="20"/>
  <c r="G464" i="20"/>
  <c r="F464" i="20"/>
  <c r="E464" i="20"/>
  <c r="I463" i="20"/>
  <c r="H463" i="20"/>
  <c r="G463" i="20"/>
  <c r="F463" i="20"/>
  <c r="E463" i="20"/>
  <c r="I462" i="20"/>
  <c r="H462" i="20"/>
  <c r="G462" i="20"/>
  <c r="F462" i="20"/>
  <c r="E462" i="20"/>
  <c r="I461" i="20"/>
  <c r="H461" i="20"/>
  <c r="G461" i="20"/>
  <c r="F461" i="20"/>
  <c r="E461" i="20"/>
  <c r="I460" i="20"/>
  <c r="H460" i="20"/>
  <c r="G460" i="20"/>
  <c r="F460" i="20"/>
  <c r="E460" i="20"/>
  <c r="I459" i="20"/>
  <c r="H459" i="20"/>
  <c r="G459" i="20"/>
  <c r="F459" i="20"/>
  <c r="E459" i="20"/>
  <c r="I458" i="20"/>
  <c r="H458" i="20"/>
  <c r="G458" i="20"/>
  <c r="F458" i="20"/>
  <c r="E458" i="20"/>
  <c r="I457" i="20"/>
  <c r="H457" i="20"/>
  <c r="G457" i="20"/>
  <c r="F457" i="20"/>
  <c r="E457" i="20"/>
  <c r="I456" i="20"/>
  <c r="H456" i="20"/>
  <c r="G456" i="20"/>
  <c r="F456" i="20"/>
  <c r="E456" i="20"/>
  <c r="I455" i="20"/>
  <c r="H455" i="20"/>
  <c r="G455" i="20"/>
  <c r="F455" i="20"/>
  <c r="E455" i="20"/>
  <c r="I454" i="20"/>
  <c r="H454" i="20"/>
  <c r="G454" i="20"/>
  <c r="F454" i="20"/>
  <c r="E454" i="20"/>
  <c r="I453" i="20"/>
  <c r="H453" i="20"/>
  <c r="G453" i="20"/>
  <c r="F453" i="20"/>
  <c r="E453" i="20"/>
  <c r="I452" i="20"/>
  <c r="H452" i="20"/>
  <c r="G452" i="20"/>
  <c r="F452" i="20"/>
  <c r="E452" i="20"/>
  <c r="I451" i="20"/>
  <c r="H451" i="20"/>
  <c r="G451" i="20"/>
  <c r="F451" i="20"/>
  <c r="E451" i="20"/>
  <c r="I450" i="20"/>
  <c r="H450" i="20"/>
  <c r="G450" i="20"/>
  <c r="F450" i="20"/>
  <c r="E450" i="20"/>
  <c r="I449" i="20"/>
  <c r="H449" i="20"/>
  <c r="G449" i="20"/>
  <c r="F449" i="20"/>
  <c r="E449" i="20"/>
  <c r="I448" i="20"/>
  <c r="H448" i="20"/>
  <c r="G448" i="20"/>
  <c r="F448" i="20"/>
  <c r="E448" i="20"/>
  <c r="I447" i="20"/>
  <c r="H447" i="20"/>
  <c r="G447" i="20"/>
  <c r="F447" i="20"/>
  <c r="E447" i="20"/>
  <c r="I446" i="20"/>
  <c r="H446" i="20"/>
  <c r="G446" i="20"/>
  <c r="F446" i="20"/>
  <c r="E446" i="20"/>
  <c r="I445" i="20"/>
  <c r="H445" i="20"/>
  <c r="G445" i="20"/>
  <c r="F445" i="20"/>
  <c r="E445" i="20"/>
  <c r="I444" i="20"/>
  <c r="H444" i="20"/>
  <c r="G444" i="20"/>
  <c r="F444" i="20"/>
  <c r="E444" i="20"/>
  <c r="I443" i="20"/>
  <c r="H443" i="20"/>
  <c r="G443" i="20"/>
  <c r="F443" i="20"/>
  <c r="E443" i="20"/>
  <c r="I442" i="20"/>
  <c r="H442" i="20"/>
  <c r="G442" i="20"/>
  <c r="F442" i="20"/>
  <c r="E442" i="20"/>
  <c r="I441" i="20"/>
  <c r="H441" i="20"/>
  <c r="G441" i="20"/>
  <c r="F441" i="20"/>
  <c r="E441" i="20"/>
  <c r="I440" i="20"/>
  <c r="H440" i="20"/>
  <c r="G440" i="20"/>
  <c r="F440" i="20"/>
  <c r="E440" i="20"/>
  <c r="I439" i="20"/>
  <c r="H439" i="20"/>
  <c r="G439" i="20"/>
  <c r="F439" i="20"/>
  <c r="E439" i="20"/>
  <c r="I438" i="20"/>
  <c r="H438" i="20"/>
  <c r="G438" i="20"/>
  <c r="F438" i="20"/>
  <c r="E438" i="20"/>
  <c r="I437" i="20"/>
  <c r="H437" i="20"/>
  <c r="G437" i="20"/>
  <c r="F437" i="20"/>
  <c r="E437" i="20"/>
  <c r="I436" i="20"/>
  <c r="H436" i="20"/>
  <c r="G436" i="20"/>
  <c r="F436" i="20"/>
  <c r="E436" i="20"/>
  <c r="I435" i="20"/>
  <c r="H435" i="20"/>
  <c r="G435" i="20"/>
  <c r="F435" i="20"/>
  <c r="E435" i="20"/>
  <c r="I434" i="20"/>
  <c r="H434" i="20"/>
  <c r="G434" i="20"/>
  <c r="F434" i="20"/>
  <c r="E434" i="20"/>
  <c r="I433" i="20"/>
  <c r="H433" i="20"/>
  <c r="G433" i="20"/>
  <c r="F433" i="20"/>
  <c r="E433" i="20"/>
  <c r="I432" i="20"/>
  <c r="H432" i="20"/>
  <c r="G432" i="20"/>
  <c r="F432" i="20"/>
  <c r="E432" i="20"/>
  <c r="I431" i="20"/>
  <c r="H431" i="20"/>
  <c r="G431" i="20"/>
  <c r="F431" i="20"/>
  <c r="E431" i="20"/>
  <c r="I430" i="20"/>
  <c r="H430" i="20"/>
  <c r="G430" i="20"/>
  <c r="F430" i="20"/>
  <c r="E430" i="20"/>
  <c r="I429" i="20"/>
  <c r="H429" i="20"/>
  <c r="G429" i="20"/>
  <c r="F429" i="20"/>
  <c r="E429" i="20"/>
  <c r="I428" i="20"/>
  <c r="H428" i="20"/>
  <c r="G428" i="20"/>
  <c r="F428" i="20"/>
  <c r="E428" i="20"/>
  <c r="I427" i="20"/>
  <c r="H427" i="20"/>
  <c r="G427" i="20"/>
  <c r="F427" i="20"/>
  <c r="E427" i="20"/>
  <c r="I426" i="20"/>
  <c r="H426" i="20"/>
  <c r="G426" i="20"/>
  <c r="F426" i="20"/>
  <c r="E426" i="20"/>
  <c r="I425" i="20"/>
  <c r="H425" i="20"/>
  <c r="G425" i="20"/>
  <c r="F425" i="20"/>
  <c r="E425" i="20"/>
  <c r="I424" i="20"/>
  <c r="H424" i="20"/>
  <c r="G424" i="20"/>
  <c r="F424" i="20"/>
  <c r="E424" i="20"/>
  <c r="I423" i="20"/>
  <c r="H423" i="20"/>
  <c r="G423" i="20"/>
  <c r="F423" i="20"/>
  <c r="E423" i="20"/>
  <c r="I422" i="20"/>
  <c r="H422" i="20"/>
  <c r="G422" i="20"/>
  <c r="F422" i="20"/>
  <c r="E422" i="20"/>
  <c r="I421" i="20"/>
  <c r="H421" i="20"/>
  <c r="G421" i="20"/>
  <c r="F421" i="20"/>
  <c r="E421" i="20"/>
  <c r="I420" i="20"/>
  <c r="H420" i="20"/>
  <c r="G420" i="20"/>
  <c r="F420" i="20"/>
  <c r="E420" i="20"/>
  <c r="I419" i="20"/>
  <c r="H419" i="20"/>
  <c r="G419" i="20"/>
  <c r="F419" i="20"/>
  <c r="E419" i="20"/>
  <c r="I418" i="20"/>
  <c r="H418" i="20"/>
  <c r="G418" i="20"/>
  <c r="F418" i="20"/>
  <c r="E418" i="20"/>
  <c r="I417" i="20"/>
  <c r="H417" i="20"/>
  <c r="G417" i="20"/>
  <c r="F417" i="20"/>
  <c r="E417" i="20"/>
  <c r="I416" i="20"/>
  <c r="H416" i="20"/>
  <c r="G416" i="20"/>
  <c r="F416" i="20"/>
  <c r="E416" i="20"/>
  <c r="I415" i="20"/>
  <c r="H415" i="20"/>
  <c r="G415" i="20"/>
  <c r="F415" i="20"/>
  <c r="E415" i="20"/>
  <c r="I414" i="20"/>
  <c r="H414" i="20"/>
  <c r="G414" i="20"/>
  <c r="F414" i="20"/>
  <c r="E414" i="20"/>
  <c r="I413" i="20"/>
  <c r="H413" i="20"/>
  <c r="G413" i="20"/>
  <c r="F413" i="20"/>
  <c r="E413" i="20"/>
  <c r="I412" i="20"/>
  <c r="H412" i="20"/>
  <c r="G412" i="20"/>
  <c r="F412" i="20"/>
  <c r="E412" i="20"/>
  <c r="I411" i="20"/>
  <c r="H411" i="20"/>
  <c r="G411" i="20"/>
  <c r="F411" i="20"/>
  <c r="E411" i="20"/>
  <c r="I410" i="20"/>
  <c r="H410" i="20"/>
  <c r="G410" i="20"/>
  <c r="F410" i="20"/>
  <c r="E410" i="20"/>
  <c r="I409" i="20"/>
  <c r="H409" i="20"/>
  <c r="G409" i="20"/>
  <c r="F409" i="20"/>
  <c r="E409" i="20"/>
  <c r="I408" i="20"/>
  <c r="H408" i="20"/>
  <c r="G408" i="20"/>
  <c r="F408" i="20"/>
  <c r="E408" i="20"/>
  <c r="I407" i="20"/>
  <c r="H407" i="20"/>
  <c r="G407" i="20"/>
  <c r="F407" i="20"/>
  <c r="E407" i="20"/>
  <c r="I406" i="20"/>
  <c r="H406" i="20"/>
  <c r="G406" i="20"/>
  <c r="F406" i="20"/>
  <c r="E406" i="20"/>
  <c r="I405" i="20"/>
  <c r="H405" i="20"/>
  <c r="G405" i="20"/>
  <c r="F405" i="20"/>
  <c r="E405" i="20"/>
  <c r="I404" i="20"/>
  <c r="H404" i="20"/>
  <c r="G404" i="20"/>
  <c r="F404" i="20"/>
  <c r="E404" i="20"/>
  <c r="I403" i="20"/>
  <c r="H403" i="20"/>
  <c r="G403" i="20"/>
  <c r="F403" i="20"/>
  <c r="E403" i="20"/>
  <c r="I402" i="20"/>
  <c r="H402" i="20"/>
  <c r="G402" i="20"/>
  <c r="F402" i="20"/>
  <c r="E402" i="20"/>
  <c r="I401" i="20"/>
  <c r="H401" i="20"/>
  <c r="G401" i="20"/>
  <c r="F401" i="20"/>
  <c r="E401" i="20"/>
  <c r="I400" i="20"/>
  <c r="H400" i="20"/>
  <c r="G400" i="20"/>
  <c r="F400" i="20"/>
  <c r="E400" i="20"/>
  <c r="I399" i="20"/>
  <c r="H399" i="20"/>
  <c r="G399" i="20"/>
  <c r="F399" i="20"/>
  <c r="E399" i="20"/>
  <c r="I398" i="20"/>
  <c r="H398" i="20"/>
  <c r="G398" i="20"/>
  <c r="F398" i="20"/>
  <c r="E398" i="20"/>
  <c r="I397" i="20"/>
  <c r="H397" i="20"/>
  <c r="G397" i="20"/>
  <c r="F397" i="20"/>
  <c r="E397" i="20"/>
  <c r="I396" i="20"/>
  <c r="H396" i="20"/>
  <c r="G396" i="20"/>
  <c r="F396" i="20"/>
  <c r="E396" i="20"/>
  <c r="I395" i="20"/>
  <c r="H395" i="20"/>
  <c r="G395" i="20"/>
  <c r="F395" i="20"/>
  <c r="E395" i="20"/>
  <c r="I394" i="20"/>
  <c r="H394" i="20"/>
  <c r="G394" i="20"/>
  <c r="F394" i="20"/>
  <c r="E394" i="20"/>
  <c r="I393" i="20"/>
  <c r="H393" i="20"/>
  <c r="G393" i="20"/>
  <c r="F393" i="20"/>
  <c r="E393" i="20"/>
  <c r="I392" i="20"/>
  <c r="H392" i="20"/>
  <c r="G392" i="20"/>
  <c r="F392" i="20"/>
  <c r="E392" i="20"/>
  <c r="I391" i="20"/>
  <c r="H391" i="20"/>
  <c r="G391" i="20"/>
  <c r="F391" i="20"/>
  <c r="E391" i="20"/>
  <c r="I390" i="20"/>
  <c r="H390" i="20"/>
  <c r="G390" i="20"/>
  <c r="F390" i="20"/>
  <c r="E390" i="20"/>
  <c r="I389" i="20"/>
  <c r="H389" i="20"/>
  <c r="G389" i="20"/>
  <c r="F389" i="20"/>
  <c r="E389" i="20"/>
  <c r="I388" i="20"/>
  <c r="H388" i="20"/>
  <c r="G388" i="20"/>
  <c r="F388" i="20"/>
  <c r="E388" i="20"/>
  <c r="I387" i="20"/>
  <c r="H387" i="20"/>
  <c r="G387" i="20"/>
  <c r="F387" i="20"/>
  <c r="E387" i="20"/>
  <c r="I386" i="20"/>
  <c r="H386" i="20"/>
  <c r="G386" i="20"/>
  <c r="F386" i="20"/>
  <c r="E386" i="20"/>
  <c r="I385" i="20"/>
  <c r="H385" i="20"/>
  <c r="G385" i="20"/>
  <c r="F385" i="20"/>
  <c r="E385" i="20"/>
  <c r="I384" i="20"/>
  <c r="H384" i="20"/>
  <c r="G384" i="20"/>
  <c r="F384" i="20"/>
  <c r="E384" i="20"/>
  <c r="I383" i="20"/>
  <c r="H383" i="20"/>
  <c r="G383" i="20"/>
  <c r="F383" i="20"/>
  <c r="E383" i="20"/>
  <c r="I382" i="20"/>
  <c r="H382" i="20"/>
  <c r="G382" i="20"/>
  <c r="F382" i="20"/>
  <c r="E382" i="20"/>
  <c r="I381" i="20"/>
  <c r="H381" i="20"/>
  <c r="G381" i="20"/>
  <c r="F381" i="20"/>
  <c r="E381" i="20"/>
  <c r="I380" i="20"/>
  <c r="H380" i="20"/>
  <c r="G380" i="20"/>
  <c r="F380" i="20"/>
  <c r="E380" i="20"/>
  <c r="I379" i="20"/>
  <c r="H379" i="20"/>
  <c r="G379" i="20"/>
  <c r="F379" i="20"/>
  <c r="E379" i="20"/>
  <c r="I378" i="20"/>
  <c r="H378" i="20"/>
  <c r="G378" i="20"/>
  <c r="F378" i="20"/>
  <c r="E378" i="20"/>
  <c r="I377" i="20"/>
  <c r="H377" i="20"/>
  <c r="G377" i="20"/>
  <c r="F377" i="20"/>
  <c r="E377" i="20"/>
  <c r="I376" i="20"/>
  <c r="H376" i="20"/>
  <c r="G376" i="20"/>
  <c r="F376" i="20"/>
  <c r="E376" i="20"/>
  <c r="I375" i="20"/>
  <c r="H375" i="20"/>
  <c r="G375" i="20"/>
  <c r="F375" i="20"/>
  <c r="E375" i="20"/>
  <c r="I374" i="20"/>
  <c r="H374" i="20"/>
  <c r="G374" i="20"/>
  <c r="F374" i="20"/>
  <c r="E374" i="20"/>
  <c r="I373" i="20"/>
  <c r="H373" i="20"/>
  <c r="G373" i="20"/>
  <c r="F373" i="20"/>
  <c r="E373" i="20"/>
  <c r="I372" i="20"/>
  <c r="H372" i="20"/>
  <c r="G372" i="20"/>
  <c r="F372" i="20"/>
  <c r="E372" i="20"/>
  <c r="I371" i="20"/>
  <c r="H371" i="20"/>
  <c r="G371" i="20"/>
  <c r="F371" i="20"/>
  <c r="E371" i="20"/>
  <c r="I370" i="20"/>
  <c r="H370" i="20"/>
  <c r="G370" i="20"/>
  <c r="F370" i="20"/>
  <c r="E370" i="20"/>
  <c r="I369" i="20"/>
  <c r="H369" i="20"/>
  <c r="G369" i="20"/>
  <c r="F369" i="20"/>
  <c r="E369" i="20"/>
  <c r="I368" i="20"/>
  <c r="H368" i="20"/>
  <c r="G368" i="20"/>
  <c r="F368" i="20"/>
  <c r="E368" i="20"/>
  <c r="I367" i="20"/>
  <c r="H367" i="20"/>
  <c r="G367" i="20"/>
  <c r="F367" i="20"/>
  <c r="E367" i="20"/>
  <c r="I366" i="20"/>
  <c r="H366" i="20"/>
  <c r="G366" i="20"/>
  <c r="F366" i="20"/>
  <c r="E366" i="20"/>
  <c r="I365" i="20"/>
  <c r="H365" i="20"/>
  <c r="G365" i="20"/>
  <c r="F365" i="20"/>
  <c r="E365" i="20"/>
  <c r="I364" i="20"/>
  <c r="H364" i="20"/>
  <c r="G364" i="20"/>
  <c r="F364" i="20"/>
  <c r="E364" i="20"/>
  <c r="I363" i="20"/>
  <c r="H363" i="20"/>
  <c r="G363" i="20"/>
  <c r="F363" i="20"/>
  <c r="E363" i="20"/>
  <c r="I362" i="20"/>
  <c r="H362" i="20"/>
  <c r="G362" i="20"/>
  <c r="F362" i="20"/>
  <c r="E362" i="20"/>
  <c r="I361" i="20"/>
  <c r="H361" i="20"/>
  <c r="G361" i="20"/>
  <c r="F361" i="20"/>
  <c r="E361" i="20"/>
  <c r="I360" i="20"/>
  <c r="H360" i="20"/>
  <c r="G360" i="20"/>
  <c r="F360" i="20"/>
  <c r="E360" i="20"/>
  <c r="I359" i="20"/>
  <c r="H359" i="20"/>
  <c r="G359" i="20"/>
  <c r="F359" i="20"/>
  <c r="E359" i="20"/>
  <c r="I358" i="20"/>
  <c r="H358" i="20"/>
  <c r="G358" i="20"/>
  <c r="F358" i="20"/>
  <c r="E358" i="20"/>
  <c r="I357" i="20"/>
  <c r="H357" i="20"/>
  <c r="G357" i="20"/>
  <c r="F357" i="20"/>
  <c r="E357" i="20"/>
  <c r="I356" i="20"/>
  <c r="H356" i="20"/>
  <c r="G356" i="20"/>
  <c r="F356" i="20"/>
  <c r="E356" i="20"/>
  <c r="I355" i="20"/>
  <c r="H355" i="20"/>
  <c r="G355" i="20"/>
  <c r="F355" i="20"/>
  <c r="E355" i="20"/>
  <c r="I354" i="20"/>
  <c r="H354" i="20"/>
  <c r="G354" i="20"/>
  <c r="F354" i="20"/>
  <c r="E354" i="20"/>
  <c r="I353" i="20"/>
  <c r="H353" i="20"/>
  <c r="G353" i="20"/>
  <c r="F353" i="20"/>
  <c r="E353" i="20"/>
  <c r="I352" i="20"/>
  <c r="H352" i="20"/>
  <c r="G352" i="20"/>
  <c r="F352" i="20"/>
  <c r="E352" i="20"/>
  <c r="I351" i="20"/>
  <c r="H351" i="20"/>
  <c r="G351" i="20"/>
  <c r="F351" i="20"/>
  <c r="E351" i="20"/>
  <c r="I350" i="20"/>
  <c r="H350" i="20"/>
  <c r="G350" i="20"/>
  <c r="F350" i="20"/>
  <c r="E350" i="20"/>
  <c r="I349" i="20"/>
  <c r="H349" i="20"/>
  <c r="G349" i="20"/>
  <c r="F349" i="20"/>
  <c r="E349" i="20"/>
  <c r="I348" i="20"/>
  <c r="H348" i="20"/>
  <c r="G348" i="20"/>
  <c r="F348" i="20"/>
  <c r="E348" i="20"/>
  <c r="I347" i="20"/>
  <c r="H347" i="20"/>
  <c r="G347" i="20"/>
  <c r="F347" i="20"/>
  <c r="E347" i="20"/>
  <c r="I346" i="20"/>
  <c r="H346" i="20"/>
  <c r="G346" i="20"/>
  <c r="F346" i="20"/>
  <c r="E346" i="20"/>
  <c r="I345" i="20"/>
  <c r="H345" i="20"/>
  <c r="G345" i="20"/>
  <c r="F345" i="20"/>
  <c r="E345" i="20"/>
  <c r="I344" i="20"/>
  <c r="H344" i="20"/>
  <c r="G344" i="20"/>
  <c r="F344" i="20"/>
  <c r="E344" i="20"/>
  <c r="I343" i="20"/>
  <c r="H343" i="20"/>
  <c r="G343" i="20"/>
  <c r="F343" i="20"/>
  <c r="E343" i="20"/>
  <c r="I342" i="20"/>
  <c r="H342" i="20"/>
  <c r="G342" i="20"/>
  <c r="F342" i="20"/>
  <c r="E342" i="20"/>
  <c r="I341" i="20"/>
  <c r="H341" i="20"/>
  <c r="G341" i="20"/>
  <c r="F341" i="20"/>
  <c r="E341" i="20"/>
  <c r="I340" i="20"/>
  <c r="H340" i="20"/>
  <c r="G340" i="20"/>
  <c r="F340" i="20"/>
  <c r="E340" i="20"/>
  <c r="I339" i="20"/>
  <c r="H339" i="20"/>
  <c r="G339" i="20"/>
  <c r="F339" i="20"/>
  <c r="E339" i="20"/>
  <c r="I338" i="20"/>
  <c r="H338" i="20"/>
  <c r="G338" i="20"/>
  <c r="F338" i="20"/>
  <c r="E338" i="20"/>
  <c r="I337" i="20"/>
  <c r="H337" i="20"/>
  <c r="G337" i="20"/>
  <c r="F337" i="20"/>
  <c r="E337" i="20"/>
  <c r="I336" i="20"/>
  <c r="H336" i="20"/>
  <c r="G336" i="20"/>
  <c r="F336" i="20"/>
  <c r="E336" i="20"/>
  <c r="I335" i="20"/>
  <c r="H335" i="20"/>
  <c r="G335" i="20"/>
  <c r="F335" i="20"/>
  <c r="E335" i="20"/>
  <c r="I334" i="20"/>
  <c r="H334" i="20"/>
  <c r="G334" i="20"/>
  <c r="F334" i="20"/>
  <c r="E334" i="20"/>
  <c r="I333" i="20"/>
  <c r="H333" i="20"/>
  <c r="G333" i="20"/>
  <c r="F333" i="20"/>
  <c r="E333" i="20"/>
  <c r="I332" i="20"/>
  <c r="H332" i="20"/>
  <c r="G332" i="20"/>
  <c r="F332" i="20"/>
  <c r="E332" i="20"/>
  <c r="I331" i="20"/>
  <c r="H331" i="20"/>
  <c r="G331" i="20"/>
  <c r="F331" i="20"/>
  <c r="E331" i="20"/>
  <c r="I330" i="20"/>
  <c r="H330" i="20"/>
  <c r="G330" i="20"/>
  <c r="F330" i="20"/>
  <c r="E330" i="20"/>
  <c r="I329" i="20"/>
  <c r="H329" i="20"/>
  <c r="G329" i="20"/>
  <c r="F329" i="20"/>
  <c r="E329" i="20"/>
  <c r="I328" i="20"/>
  <c r="H328" i="20"/>
  <c r="G328" i="20"/>
  <c r="F328" i="20"/>
  <c r="E328" i="20"/>
  <c r="I327" i="20"/>
  <c r="H327" i="20"/>
  <c r="G327" i="20"/>
  <c r="F327" i="20"/>
  <c r="E327" i="20"/>
  <c r="I326" i="20"/>
  <c r="H326" i="20"/>
  <c r="G326" i="20"/>
  <c r="F326" i="20"/>
  <c r="E326" i="20"/>
  <c r="I325" i="20"/>
  <c r="H325" i="20"/>
  <c r="G325" i="20"/>
  <c r="F325" i="20"/>
  <c r="E325" i="20"/>
  <c r="I324" i="20"/>
  <c r="H324" i="20"/>
  <c r="G324" i="20"/>
  <c r="F324" i="20"/>
  <c r="E324" i="20"/>
  <c r="I323" i="20"/>
  <c r="H323" i="20"/>
  <c r="G323" i="20"/>
  <c r="F323" i="20"/>
  <c r="E323" i="20"/>
  <c r="I322" i="20"/>
  <c r="H322" i="20"/>
  <c r="G322" i="20"/>
  <c r="F322" i="20"/>
  <c r="E322" i="20"/>
  <c r="I321" i="20"/>
  <c r="H321" i="20"/>
  <c r="G321" i="20"/>
  <c r="F321" i="20"/>
  <c r="E321" i="20"/>
  <c r="I320" i="20"/>
  <c r="H320" i="20"/>
  <c r="G320" i="20"/>
  <c r="F320" i="20"/>
  <c r="E320" i="20"/>
  <c r="I319" i="20"/>
  <c r="H319" i="20"/>
  <c r="G319" i="20"/>
  <c r="F319" i="20"/>
  <c r="E319" i="20"/>
  <c r="I318" i="20"/>
  <c r="H318" i="20"/>
  <c r="G318" i="20"/>
  <c r="F318" i="20"/>
  <c r="E318" i="20"/>
  <c r="I317" i="20"/>
  <c r="H317" i="20"/>
  <c r="G317" i="20"/>
  <c r="F317" i="20"/>
  <c r="E317" i="20"/>
  <c r="I316" i="20"/>
  <c r="H316" i="20"/>
  <c r="G316" i="20"/>
  <c r="F316" i="20"/>
  <c r="E316" i="20"/>
  <c r="I315" i="20"/>
  <c r="H315" i="20"/>
  <c r="G315" i="20"/>
  <c r="F315" i="20"/>
  <c r="E315" i="20"/>
  <c r="I314" i="20"/>
  <c r="H314" i="20"/>
  <c r="G314" i="20"/>
  <c r="F314" i="20"/>
  <c r="E314" i="20"/>
  <c r="I313" i="20"/>
  <c r="H313" i="20"/>
  <c r="G313" i="20"/>
  <c r="F313" i="20"/>
  <c r="E313" i="20"/>
  <c r="I312" i="20"/>
  <c r="H312" i="20"/>
  <c r="G312" i="20"/>
  <c r="F312" i="20"/>
  <c r="E312" i="20"/>
  <c r="I311" i="20"/>
  <c r="H311" i="20"/>
  <c r="G311" i="20"/>
  <c r="F311" i="20"/>
  <c r="E311" i="20"/>
  <c r="I310" i="20"/>
  <c r="H310" i="20"/>
  <c r="G310" i="20"/>
  <c r="F310" i="20"/>
  <c r="E310" i="20"/>
  <c r="I309" i="20"/>
  <c r="H309" i="20"/>
  <c r="G309" i="20"/>
  <c r="F309" i="20"/>
  <c r="E309" i="20"/>
  <c r="I308" i="20"/>
  <c r="H308" i="20"/>
  <c r="G308" i="20"/>
  <c r="F308" i="20"/>
  <c r="E308" i="20"/>
  <c r="I307" i="20"/>
  <c r="H307" i="20"/>
  <c r="G307" i="20"/>
  <c r="F307" i="20"/>
  <c r="E307" i="20"/>
  <c r="I306" i="20"/>
  <c r="H306" i="20"/>
  <c r="G306" i="20"/>
  <c r="F306" i="20"/>
  <c r="E306" i="20"/>
  <c r="I305" i="20"/>
  <c r="H305" i="20"/>
  <c r="G305" i="20"/>
  <c r="F305" i="20"/>
  <c r="E305" i="20"/>
  <c r="I304" i="20"/>
  <c r="H304" i="20"/>
  <c r="G304" i="20"/>
  <c r="F304" i="20"/>
  <c r="E304" i="20"/>
  <c r="I303" i="20"/>
  <c r="H303" i="20"/>
  <c r="G303" i="20"/>
  <c r="F303" i="20"/>
  <c r="E303" i="20"/>
  <c r="I302" i="20"/>
  <c r="H302" i="20"/>
  <c r="G302" i="20"/>
  <c r="F302" i="20"/>
  <c r="E302" i="20"/>
  <c r="I301" i="20"/>
  <c r="H301" i="20"/>
  <c r="G301" i="20"/>
  <c r="F301" i="20"/>
  <c r="E301" i="20"/>
  <c r="I300" i="20"/>
  <c r="H300" i="20"/>
  <c r="G300" i="20"/>
  <c r="F300" i="20"/>
  <c r="E300" i="20"/>
  <c r="I299" i="20"/>
  <c r="H299" i="20"/>
  <c r="G299" i="20"/>
  <c r="F299" i="20"/>
  <c r="E299" i="20"/>
  <c r="I298" i="20"/>
  <c r="H298" i="20"/>
  <c r="G298" i="20"/>
  <c r="F298" i="20"/>
  <c r="E298" i="20"/>
  <c r="I297" i="20"/>
  <c r="H297" i="20"/>
  <c r="G297" i="20"/>
  <c r="F297" i="20"/>
  <c r="E297" i="20"/>
  <c r="I296" i="20"/>
  <c r="H296" i="20"/>
  <c r="G296" i="20"/>
  <c r="F296" i="20"/>
  <c r="E296" i="20"/>
  <c r="I295" i="20"/>
  <c r="H295" i="20"/>
  <c r="G295" i="20"/>
  <c r="F295" i="20"/>
  <c r="E295" i="20"/>
  <c r="I294" i="20"/>
  <c r="H294" i="20"/>
  <c r="G294" i="20"/>
  <c r="F294" i="20"/>
  <c r="E294" i="20"/>
  <c r="I293" i="20"/>
  <c r="H293" i="20"/>
  <c r="G293" i="20"/>
  <c r="F293" i="20"/>
  <c r="E293" i="20"/>
  <c r="I292" i="20"/>
  <c r="H292" i="20"/>
  <c r="G292" i="20"/>
  <c r="F292" i="20"/>
  <c r="E292" i="20"/>
  <c r="I291" i="20"/>
  <c r="H291" i="20"/>
  <c r="G291" i="20"/>
  <c r="F291" i="20"/>
  <c r="E291" i="20"/>
  <c r="I290" i="20"/>
  <c r="H290" i="20"/>
  <c r="G290" i="20"/>
  <c r="F290" i="20"/>
  <c r="E290" i="20"/>
  <c r="I289" i="20"/>
  <c r="H289" i="20"/>
  <c r="G289" i="20"/>
  <c r="F289" i="20"/>
  <c r="E289" i="20"/>
  <c r="I288" i="20"/>
  <c r="H288" i="20"/>
  <c r="G288" i="20"/>
  <c r="F288" i="20"/>
  <c r="E288" i="20"/>
  <c r="I287" i="20"/>
  <c r="H287" i="20"/>
  <c r="G287" i="20"/>
  <c r="F287" i="20"/>
  <c r="E287" i="20"/>
  <c r="I286" i="20"/>
  <c r="H286" i="20"/>
  <c r="G286" i="20"/>
  <c r="F286" i="20"/>
  <c r="E286" i="20"/>
  <c r="I285" i="20"/>
  <c r="H285" i="20"/>
  <c r="G285" i="20"/>
  <c r="F285" i="20"/>
  <c r="E285" i="20"/>
  <c r="I284" i="20"/>
  <c r="H284" i="20"/>
  <c r="G284" i="20"/>
  <c r="F284" i="20"/>
  <c r="E284" i="20"/>
  <c r="I283" i="20"/>
  <c r="H283" i="20"/>
  <c r="G283" i="20"/>
  <c r="F283" i="20"/>
  <c r="E283" i="20"/>
  <c r="I282" i="20"/>
  <c r="H282" i="20"/>
  <c r="G282" i="20"/>
  <c r="F282" i="20"/>
  <c r="E282" i="20"/>
  <c r="I281" i="20"/>
  <c r="H281" i="20"/>
  <c r="G281" i="20"/>
  <c r="F281" i="20"/>
  <c r="E281" i="20"/>
  <c r="I280" i="20"/>
  <c r="H280" i="20"/>
  <c r="G280" i="20"/>
  <c r="F280" i="20"/>
  <c r="E280" i="20"/>
  <c r="I279" i="20"/>
  <c r="H279" i="20"/>
  <c r="G279" i="20"/>
  <c r="F279" i="20"/>
  <c r="E279" i="20"/>
  <c r="I278" i="20"/>
  <c r="H278" i="20"/>
  <c r="G278" i="20"/>
  <c r="F278" i="20"/>
  <c r="E278" i="20"/>
  <c r="I277" i="20"/>
  <c r="H277" i="20"/>
  <c r="G277" i="20"/>
  <c r="F277" i="20"/>
  <c r="E277" i="20"/>
  <c r="I276" i="20"/>
  <c r="H276" i="20"/>
  <c r="G276" i="20"/>
  <c r="F276" i="20"/>
  <c r="E276" i="20"/>
  <c r="I275" i="20"/>
  <c r="H275" i="20"/>
  <c r="G275" i="20"/>
  <c r="F275" i="20"/>
  <c r="E275" i="20"/>
  <c r="I274" i="20"/>
  <c r="H274" i="20"/>
  <c r="G274" i="20"/>
  <c r="F274" i="20"/>
  <c r="E274" i="20"/>
  <c r="I273" i="20"/>
  <c r="H273" i="20"/>
  <c r="G273" i="20"/>
  <c r="F273" i="20"/>
  <c r="E273" i="20"/>
  <c r="I272" i="20"/>
  <c r="H272" i="20"/>
  <c r="G272" i="20"/>
  <c r="F272" i="20"/>
  <c r="E272" i="20"/>
  <c r="I271" i="20"/>
  <c r="H271" i="20"/>
  <c r="G271" i="20"/>
  <c r="F271" i="20"/>
  <c r="E271" i="20"/>
  <c r="I270" i="20"/>
  <c r="H270" i="20"/>
  <c r="G270" i="20"/>
  <c r="F270" i="20"/>
  <c r="E270" i="20"/>
  <c r="I269" i="20"/>
  <c r="H269" i="20"/>
  <c r="G269" i="20"/>
  <c r="F269" i="20"/>
  <c r="E269" i="20"/>
  <c r="I268" i="20"/>
  <c r="H268" i="20"/>
  <c r="G268" i="20"/>
  <c r="F268" i="20"/>
  <c r="E268" i="20"/>
  <c r="I267" i="20"/>
  <c r="H267" i="20"/>
  <c r="G267" i="20"/>
  <c r="F267" i="20"/>
  <c r="E267" i="20"/>
  <c r="I266" i="20"/>
  <c r="H266" i="20"/>
  <c r="G266" i="20"/>
  <c r="F266" i="20"/>
  <c r="E266" i="20"/>
  <c r="I265" i="20"/>
  <c r="H265" i="20"/>
  <c r="G265" i="20"/>
  <c r="F265" i="20"/>
  <c r="E265" i="20"/>
  <c r="I264" i="20"/>
  <c r="H264" i="20"/>
  <c r="G264" i="20"/>
  <c r="F264" i="20"/>
  <c r="E264" i="20"/>
  <c r="I263" i="20"/>
  <c r="H263" i="20"/>
  <c r="G263" i="20"/>
  <c r="F263" i="20"/>
  <c r="E263" i="20"/>
  <c r="I262" i="20"/>
  <c r="H262" i="20"/>
  <c r="G262" i="20"/>
  <c r="F262" i="20"/>
  <c r="E262" i="20"/>
  <c r="I261" i="20"/>
  <c r="H261" i="20"/>
  <c r="G261" i="20"/>
  <c r="F261" i="20"/>
  <c r="E261" i="20"/>
  <c r="I260" i="20"/>
  <c r="H260" i="20"/>
  <c r="G260" i="20"/>
  <c r="F260" i="20"/>
  <c r="E260" i="20"/>
  <c r="I259" i="20"/>
  <c r="H259" i="20"/>
  <c r="G259" i="20"/>
  <c r="F259" i="20"/>
  <c r="E259" i="20"/>
  <c r="I258" i="20"/>
  <c r="H258" i="20"/>
  <c r="G258" i="20"/>
  <c r="F258" i="20"/>
  <c r="E258" i="20"/>
  <c r="I257" i="20"/>
  <c r="H257" i="20"/>
  <c r="G257" i="20"/>
  <c r="F257" i="20"/>
  <c r="E257" i="20"/>
  <c r="I256" i="20"/>
  <c r="H256" i="20"/>
  <c r="G256" i="20"/>
  <c r="F256" i="20"/>
  <c r="E256" i="20"/>
  <c r="I255" i="20"/>
  <c r="H255" i="20"/>
  <c r="G255" i="20"/>
  <c r="F255" i="20"/>
  <c r="E255" i="20"/>
  <c r="I254" i="20"/>
  <c r="H254" i="20"/>
  <c r="G254" i="20"/>
  <c r="F254" i="20"/>
  <c r="E254" i="20"/>
  <c r="I253" i="20"/>
  <c r="H253" i="20"/>
  <c r="G253" i="20"/>
  <c r="F253" i="20"/>
  <c r="E253" i="20"/>
  <c r="I252" i="20"/>
  <c r="H252" i="20"/>
  <c r="G252" i="20"/>
  <c r="F252" i="20"/>
  <c r="E252" i="20"/>
  <c r="I251" i="20"/>
  <c r="H251" i="20"/>
  <c r="G251" i="20"/>
  <c r="F251" i="20"/>
  <c r="E251" i="20"/>
  <c r="I250" i="20"/>
  <c r="H250" i="20"/>
  <c r="G250" i="20"/>
  <c r="F250" i="20"/>
  <c r="E250" i="20"/>
  <c r="I249" i="20"/>
  <c r="H249" i="20"/>
  <c r="G249" i="20"/>
  <c r="F249" i="20"/>
  <c r="E249" i="20"/>
  <c r="I248" i="20"/>
  <c r="H248" i="20"/>
  <c r="G248" i="20"/>
  <c r="F248" i="20"/>
  <c r="E248" i="20"/>
  <c r="I247" i="20"/>
  <c r="H247" i="20"/>
  <c r="G247" i="20"/>
  <c r="F247" i="20"/>
  <c r="E247" i="20"/>
  <c r="I246" i="20"/>
  <c r="H246" i="20"/>
  <c r="G246" i="20"/>
  <c r="F246" i="20"/>
  <c r="E246" i="20"/>
  <c r="I245" i="20"/>
  <c r="H245" i="20"/>
  <c r="G245" i="20"/>
  <c r="F245" i="20"/>
  <c r="E245" i="20"/>
  <c r="I244" i="20"/>
  <c r="H244" i="20"/>
  <c r="G244" i="20"/>
  <c r="F244" i="20"/>
  <c r="E244" i="20"/>
  <c r="I243" i="20"/>
  <c r="H243" i="20"/>
  <c r="G243" i="20"/>
  <c r="F243" i="20"/>
  <c r="E243" i="20"/>
  <c r="I242" i="20"/>
  <c r="H242" i="20"/>
  <c r="G242" i="20"/>
  <c r="F242" i="20"/>
  <c r="E242" i="20"/>
  <c r="I241" i="20"/>
  <c r="H241" i="20"/>
  <c r="G241" i="20"/>
  <c r="F241" i="20"/>
  <c r="E241" i="20"/>
  <c r="I240" i="20"/>
  <c r="H240" i="20"/>
  <c r="G240" i="20"/>
  <c r="F240" i="20"/>
  <c r="E240" i="20"/>
  <c r="I239" i="20"/>
  <c r="H239" i="20"/>
  <c r="G239" i="20"/>
  <c r="F239" i="20"/>
  <c r="E239" i="20"/>
  <c r="I238" i="20"/>
  <c r="H238" i="20"/>
  <c r="G238" i="20"/>
  <c r="F238" i="20"/>
  <c r="E238" i="20"/>
  <c r="I237" i="20"/>
  <c r="H237" i="20"/>
  <c r="G237" i="20"/>
  <c r="F237" i="20"/>
  <c r="E237" i="20"/>
  <c r="I236" i="20"/>
  <c r="H236" i="20"/>
  <c r="G236" i="20"/>
  <c r="F236" i="20"/>
  <c r="E236" i="20"/>
  <c r="I235" i="20"/>
  <c r="H235" i="20"/>
  <c r="G235" i="20"/>
  <c r="F235" i="20"/>
  <c r="E235" i="20"/>
  <c r="I234" i="20"/>
  <c r="H234" i="20"/>
  <c r="G234" i="20"/>
  <c r="F234" i="20"/>
  <c r="E234" i="20"/>
  <c r="I233" i="20"/>
  <c r="H233" i="20"/>
  <c r="G233" i="20"/>
  <c r="F233" i="20"/>
  <c r="E233" i="20"/>
  <c r="I232" i="20"/>
  <c r="H232" i="20"/>
  <c r="G232" i="20"/>
  <c r="F232" i="20"/>
  <c r="E232" i="20"/>
  <c r="I231" i="20"/>
  <c r="H231" i="20"/>
  <c r="G231" i="20"/>
  <c r="F231" i="20"/>
  <c r="E231" i="20"/>
  <c r="I230" i="20"/>
  <c r="H230" i="20"/>
  <c r="G230" i="20"/>
  <c r="F230" i="20"/>
  <c r="E230" i="20"/>
  <c r="I229" i="20"/>
  <c r="H229" i="20"/>
  <c r="G229" i="20"/>
  <c r="F229" i="20"/>
  <c r="E229" i="20"/>
  <c r="I228" i="20"/>
  <c r="H228" i="20"/>
  <c r="G228" i="20"/>
  <c r="F228" i="20"/>
  <c r="E228" i="20"/>
  <c r="I227" i="20"/>
  <c r="H227" i="20"/>
  <c r="G227" i="20"/>
  <c r="F227" i="20"/>
  <c r="E227" i="20"/>
  <c r="I226" i="20"/>
  <c r="H226" i="20"/>
  <c r="G226" i="20"/>
  <c r="F226" i="20"/>
  <c r="E226" i="20"/>
  <c r="I225" i="20"/>
  <c r="H225" i="20"/>
  <c r="G225" i="20"/>
  <c r="F225" i="20"/>
  <c r="E225" i="20"/>
  <c r="I224" i="20"/>
  <c r="H224" i="20"/>
  <c r="G224" i="20"/>
  <c r="F224" i="20"/>
  <c r="E224" i="20"/>
  <c r="I223" i="20"/>
  <c r="H223" i="20"/>
  <c r="G223" i="20"/>
  <c r="F223" i="20"/>
  <c r="E223" i="20"/>
  <c r="I222" i="20"/>
  <c r="H222" i="20"/>
  <c r="G222" i="20"/>
  <c r="F222" i="20"/>
  <c r="E222" i="20"/>
  <c r="I221" i="20"/>
  <c r="H221" i="20"/>
  <c r="G221" i="20"/>
  <c r="F221" i="20"/>
  <c r="E221" i="20"/>
  <c r="I220" i="20"/>
  <c r="H220" i="20"/>
  <c r="G220" i="20"/>
  <c r="F220" i="20"/>
  <c r="E220" i="20"/>
  <c r="I219" i="20"/>
  <c r="H219" i="20"/>
  <c r="G219" i="20"/>
  <c r="F219" i="20"/>
  <c r="E219" i="20"/>
  <c r="I218" i="20"/>
  <c r="H218" i="20"/>
  <c r="G218" i="20"/>
  <c r="F218" i="20"/>
  <c r="E218" i="20"/>
  <c r="I217" i="20"/>
  <c r="H217" i="20"/>
  <c r="G217" i="20"/>
  <c r="F217" i="20"/>
  <c r="E217" i="20"/>
  <c r="I216" i="20"/>
  <c r="H216" i="20"/>
  <c r="G216" i="20"/>
  <c r="F216" i="20"/>
  <c r="E216" i="20"/>
  <c r="I215" i="20"/>
  <c r="H215" i="20"/>
  <c r="G215" i="20"/>
  <c r="F215" i="20"/>
  <c r="E215" i="20"/>
  <c r="I214" i="20"/>
  <c r="H214" i="20"/>
  <c r="G214" i="20"/>
  <c r="F214" i="20"/>
  <c r="E214" i="20"/>
  <c r="I213" i="20"/>
  <c r="H213" i="20"/>
  <c r="G213" i="20"/>
  <c r="F213" i="20"/>
  <c r="E213" i="20"/>
  <c r="I212" i="20"/>
  <c r="H212" i="20"/>
  <c r="G212" i="20"/>
  <c r="F212" i="20"/>
  <c r="E212" i="20"/>
  <c r="I211" i="20"/>
  <c r="H211" i="20"/>
  <c r="G211" i="20"/>
  <c r="F211" i="20"/>
  <c r="E211" i="20"/>
  <c r="I210" i="20"/>
  <c r="H210" i="20"/>
  <c r="G210" i="20"/>
  <c r="F210" i="20"/>
  <c r="E210" i="20"/>
  <c r="I209" i="20"/>
  <c r="H209" i="20"/>
  <c r="G209" i="20"/>
  <c r="F209" i="20"/>
  <c r="E209" i="20"/>
  <c r="I208" i="20"/>
  <c r="H208" i="20"/>
  <c r="G208" i="20"/>
  <c r="F208" i="20"/>
  <c r="E208" i="20"/>
  <c r="I207" i="20"/>
  <c r="H207" i="20"/>
  <c r="G207" i="20"/>
  <c r="F207" i="20"/>
  <c r="E207" i="20"/>
  <c r="I206" i="20"/>
  <c r="H206" i="20"/>
  <c r="G206" i="20"/>
  <c r="F206" i="20"/>
  <c r="E206" i="20"/>
  <c r="I205" i="20"/>
  <c r="H205" i="20"/>
  <c r="G205" i="20"/>
  <c r="F205" i="20"/>
  <c r="E205" i="20"/>
  <c r="I204" i="20"/>
  <c r="H204" i="20"/>
  <c r="G204" i="20"/>
  <c r="F204" i="20"/>
  <c r="E204" i="20"/>
  <c r="I203" i="20"/>
  <c r="H203" i="20"/>
  <c r="G203" i="20"/>
  <c r="F203" i="20"/>
  <c r="E203" i="20"/>
  <c r="I202" i="20"/>
  <c r="H202" i="20"/>
  <c r="G202" i="20"/>
  <c r="F202" i="20"/>
  <c r="E202" i="20"/>
  <c r="I201" i="20"/>
  <c r="H201" i="20"/>
  <c r="G201" i="20"/>
  <c r="F201" i="20"/>
  <c r="E201" i="20"/>
  <c r="I200" i="20"/>
  <c r="H200" i="20"/>
  <c r="G200" i="20"/>
  <c r="F200" i="20"/>
  <c r="E200" i="20"/>
  <c r="I199" i="20"/>
  <c r="H199" i="20"/>
  <c r="G199" i="20"/>
  <c r="F199" i="20"/>
  <c r="E199" i="20"/>
  <c r="I198" i="20"/>
  <c r="H198" i="20"/>
  <c r="G198" i="20"/>
  <c r="F198" i="20"/>
  <c r="E198" i="20"/>
  <c r="I197" i="20"/>
  <c r="H197" i="20"/>
  <c r="G197" i="20"/>
  <c r="F197" i="20"/>
  <c r="E197" i="20"/>
  <c r="I196" i="20"/>
  <c r="H196" i="20"/>
  <c r="G196" i="20"/>
  <c r="F196" i="20"/>
  <c r="E196" i="20"/>
  <c r="I195" i="20"/>
  <c r="H195" i="20"/>
  <c r="G195" i="20"/>
  <c r="F195" i="20"/>
  <c r="E195" i="20"/>
  <c r="I194" i="20"/>
  <c r="H194" i="20"/>
  <c r="G194" i="20"/>
  <c r="F194" i="20"/>
  <c r="E194" i="20"/>
  <c r="I193" i="20"/>
  <c r="H193" i="20"/>
  <c r="G193" i="20"/>
  <c r="F193" i="20"/>
  <c r="E193" i="20"/>
  <c r="I192" i="20"/>
  <c r="H192" i="20"/>
  <c r="G192" i="20"/>
  <c r="F192" i="20"/>
  <c r="E192" i="20"/>
  <c r="I191" i="20"/>
  <c r="H191" i="20"/>
  <c r="G191" i="20"/>
  <c r="F191" i="20"/>
  <c r="E191" i="20"/>
  <c r="I190" i="20"/>
  <c r="H190" i="20"/>
  <c r="G190" i="20"/>
  <c r="F190" i="20"/>
  <c r="E190" i="20"/>
  <c r="I189" i="20"/>
  <c r="H189" i="20"/>
  <c r="G189" i="20"/>
  <c r="F189" i="20"/>
  <c r="E189" i="20"/>
  <c r="I188" i="20"/>
  <c r="H188" i="20"/>
  <c r="G188" i="20"/>
  <c r="F188" i="20"/>
  <c r="E188" i="20"/>
  <c r="I187" i="20"/>
  <c r="H187" i="20"/>
  <c r="G187" i="20"/>
  <c r="F187" i="20"/>
  <c r="E187" i="20"/>
  <c r="I186" i="20"/>
  <c r="H186" i="20"/>
  <c r="G186" i="20"/>
  <c r="F186" i="20"/>
  <c r="E186" i="20"/>
  <c r="I185" i="20"/>
  <c r="H185" i="20"/>
  <c r="G185" i="20"/>
  <c r="F185" i="20"/>
  <c r="E185" i="20"/>
  <c r="I184" i="20"/>
  <c r="H184" i="20"/>
  <c r="G184" i="20"/>
  <c r="F184" i="20"/>
  <c r="E184" i="20"/>
  <c r="I183" i="20"/>
  <c r="H183" i="20"/>
  <c r="G183" i="20"/>
  <c r="F183" i="20"/>
  <c r="E183" i="20"/>
  <c r="I182" i="20"/>
  <c r="H182" i="20"/>
  <c r="G182" i="20"/>
  <c r="F182" i="20"/>
  <c r="E182" i="20"/>
  <c r="I181" i="20"/>
  <c r="H181" i="20"/>
  <c r="G181" i="20"/>
  <c r="F181" i="20"/>
  <c r="E181" i="20"/>
  <c r="I180" i="20"/>
  <c r="H180" i="20"/>
  <c r="G180" i="20"/>
  <c r="F180" i="20"/>
  <c r="E180" i="20"/>
  <c r="I179" i="20"/>
  <c r="H179" i="20"/>
  <c r="G179" i="20"/>
  <c r="F179" i="20"/>
  <c r="E179" i="20"/>
  <c r="I178" i="20"/>
  <c r="H178" i="20"/>
  <c r="G178" i="20"/>
  <c r="F178" i="20"/>
  <c r="E178" i="20"/>
  <c r="I177" i="20"/>
  <c r="H177" i="20"/>
  <c r="G177" i="20"/>
  <c r="F177" i="20"/>
  <c r="E177" i="20"/>
  <c r="I176" i="20"/>
  <c r="H176" i="20"/>
  <c r="G176" i="20"/>
  <c r="F176" i="20"/>
  <c r="E176" i="20"/>
  <c r="I175" i="20"/>
  <c r="H175" i="20"/>
  <c r="G175" i="20"/>
  <c r="F175" i="20"/>
  <c r="E175" i="20"/>
  <c r="I174" i="20"/>
  <c r="H174" i="20"/>
  <c r="G174" i="20"/>
  <c r="F174" i="20"/>
  <c r="E174" i="20"/>
  <c r="I173" i="20"/>
  <c r="H173" i="20"/>
  <c r="G173" i="20"/>
  <c r="F173" i="20"/>
  <c r="E173" i="20"/>
  <c r="I172" i="20"/>
  <c r="H172" i="20"/>
  <c r="G172" i="20"/>
  <c r="F172" i="20"/>
  <c r="E172" i="20"/>
  <c r="I171" i="20"/>
  <c r="H171" i="20"/>
  <c r="G171" i="20"/>
  <c r="F171" i="20"/>
  <c r="E171" i="20"/>
  <c r="I170" i="20"/>
  <c r="H170" i="20"/>
  <c r="G170" i="20"/>
  <c r="F170" i="20"/>
  <c r="E170" i="20"/>
  <c r="I169" i="20"/>
  <c r="H169" i="20"/>
  <c r="G169" i="20"/>
  <c r="F169" i="20"/>
  <c r="E169" i="20"/>
  <c r="I168" i="20"/>
  <c r="H168" i="20"/>
  <c r="G168" i="20"/>
  <c r="F168" i="20"/>
  <c r="E168" i="20"/>
  <c r="I167" i="20"/>
  <c r="H167" i="20"/>
  <c r="G167" i="20"/>
  <c r="F167" i="20"/>
  <c r="E167" i="20"/>
  <c r="I166" i="20"/>
  <c r="H166" i="20"/>
  <c r="G166" i="20"/>
  <c r="F166" i="20"/>
  <c r="E166" i="20"/>
  <c r="I165" i="20"/>
  <c r="H165" i="20"/>
  <c r="G165" i="20"/>
  <c r="F165" i="20"/>
  <c r="E165" i="20"/>
  <c r="I164" i="20"/>
  <c r="H164" i="20"/>
  <c r="G164" i="20"/>
  <c r="F164" i="20"/>
  <c r="E164" i="20"/>
  <c r="I163" i="20"/>
  <c r="H163" i="20"/>
  <c r="G163" i="20"/>
  <c r="F163" i="20"/>
  <c r="E163" i="20"/>
  <c r="I162" i="20"/>
  <c r="H162" i="20"/>
  <c r="G162" i="20"/>
  <c r="F162" i="20"/>
  <c r="E162" i="20"/>
  <c r="I161" i="20"/>
  <c r="H161" i="20"/>
  <c r="G161" i="20"/>
  <c r="F161" i="20"/>
  <c r="E161" i="20"/>
  <c r="I160" i="20"/>
  <c r="H160" i="20"/>
  <c r="G160" i="20"/>
  <c r="F160" i="20"/>
  <c r="E160" i="20"/>
  <c r="I159" i="20"/>
  <c r="H159" i="20"/>
  <c r="G159" i="20"/>
  <c r="F159" i="20"/>
  <c r="E159" i="20"/>
  <c r="I158" i="20"/>
  <c r="H158" i="20"/>
  <c r="G158" i="20"/>
  <c r="F158" i="20"/>
  <c r="E158" i="20"/>
  <c r="I157" i="20"/>
  <c r="H157" i="20"/>
  <c r="G157" i="20"/>
  <c r="F157" i="20"/>
  <c r="E157" i="20"/>
  <c r="I156" i="20"/>
  <c r="H156" i="20"/>
  <c r="G156" i="20"/>
  <c r="F156" i="20"/>
  <c r="E156" i="20"/>
  <c r="I155" i="20"/>
  <c r="H155" i="20"/>
  <c r="G155" i="20"/>
  <c r="F155" i="20"/>
  <c r="E155" i="20"/>
  <c r="I154" i="20"/>
  <c r="H154" i="20"/>
  <c r="G154" i="20"/>
  <c r="F154" i="20"/>
  <c r="E154" i="20"/>
  <c r="I153" i="20"/>
  <c r="H153" i="20"/>
  <c r="G153" i="20"/>
  <c r="F153" i="20"/>
  <c r="E153" i="20"/>
  <c r="I152" i="20"/>
  <c r="H152" i="20"/>
  <c r="G152" i="20"/>
  <c r="F152" i="20"/>
  <c r="E152" i="20"/>
  <c r="I151" i="20"/>
  <c r="H151" i="20"/>
  <c r="G151" i="20"/>
  <c r="F151" i="20"/>
  <c r="E151" i="20"/>
  <c r="I150" i="20"/>
  <c r="H150" i="20"/>
  <c r="G150" i="20"/>
  <c r="F150" i="20"/>
  <c r="E150" i="20"/>
  <c r="I149" i="20"/>
  <c r="H149" i="20"/>
  <c r="G149" i="20"/>
  <c r="F149" i="20"/>
  <c r="E149" i="20"/>
  <c r="I148" i="20"/>
  <c r="H148" i="20"/>
  <c r="G148" i="20"/>
  <c r="F148" i="20"/>
  <c r="E148" i="20"/>
  <c r="I147" i="20"/>
  <c r="H147" i="20"/>
  <c r="G147" i="20"/>
  <c r="F147" i="20"/>
  <c r="E147" i="20"/>
  <c r="I146" i="20"/>
  <c r="H146" i="20"/>
  <c r="G146" i="20"/>
  <c r="F146" i="20"/>
  <c r="E146" i="20"/>
  <c r="I145" i="20"/>
  <c r="H145" i="20"/>
  <c r="G145" i="20"/>
  <c r="F145" i="20"/>
  <c r="E145" i="20"/>
  <c r="I144" i="20"/>
  <c r="H144" i="20"/>
  <c r="G144" i="20"/>
  <c r="F144" i="20"/>
  <c r="E144" i="20"/>
  <c r="I143" i="20"/>
  <c r="H143" i="20"/>
  <c r="G143" i="20"/>
  <c r="F143" i="20"/>
  <c r="E143" i="20"/>
  <c r="I142" i="20"/>
  <c r="H142" i="20"/>
  <c r="G142" i="20"/>
  <c r="F142" i="20"/>
  <c r="E142" i="20"/>
  <c r="I141" i="20"/>
  <c r="H141" i="20"/>
  <c r="G141" i="20"/>
  <c r="F141" i="20"/>
  <c r="E141" i="20"/>
  <c r="I140" i="20"/>
  <c r="H140" i="20"/>
  <c r="G140" i="20"/>
  <c r="F140" i="20"/>
  <c r="E140" i="20"/>
  <c r="I139" i="20"/>
  <c r="H139" i="20"/>
  <c r="G139" i="20"/>
  <c r="F139" i="20"/>
  <c r="E139" i="20"/>
  <c r="I138" i="20"/>
  <c r="H138" i="20"/>
  <c r="G138" i="20"/>
  <c r="F138" i="20"/>
  <c r="E138" i="20"/>
  <c r="I137" i="20"/>
  <c r="H137" i="20"/>
  <c r="G137" i="20"/>
  <c r="F137" i="20"/>
  <c r="E137" i="20"/>
  <c r="I136" i="20"/>
  <c r="H136" i="20"/>
  <c r="G136" i="20"/>
  <c r="F136" i="20"/>
  <c r="E136" i="20"/>
  <c r="I135" i="20"/>
  <c r="H135" i="20"/>
  <c r="G135" i="20"/>
  <c r="F135" i="20"/>
  <c r="E135" i="20"/>
  <c r="I134" i="20"/>
  <c r="H134" i="20"/>
  <c r="G134" i="20"/>
  <c r="F134" i="20"/>
  <c r="E134" i="20"/>
  <c r="I133" i="20"/>
  <c r="H133" i="20"/>
  <c r="G133" i="20"/>
  <c r="F133" i="20"/>
  <c r="E133" i="20"/>
  <c r="I132" i="20"/>
  <c r="H132" i="20"/>
  <c r="G132" i="20"/>
  <c r="F132" i="20"/>
  <c r="E132" i="20"/>
  <c r="I131" i="20"/>
  <c r="H131" i="20"/>
  <c r="G131" i="20"/>
  <c r="F131" i="20"/>
  <c r="E131" i="20"/>
  <c r="I130" i="20"/>
  <c r="H130" i="20"/>
  <c r="G130" i="20"/>
  <c r="F130" i="20"/>
  <c r="E130" i="20"/>
  <c r="I129" i="20"/>
  <c r="H129" i="20"/>
  <c r="G129" i="20"/>
  <c r="F129" i="20"/>
  <c r="E129" i="20"/>
  <c r="I128" i="20"/>
  <c r="H128" i="20"/>
  <c r="G128" i="20"/>
  <c r="F128" i="20"/>
  <c r="E128" i="20"/>
  <c r="I127" i="20"/>
  <c r="H127" i="20"/>
  <c r="G127" i="20"/>
  <c r="F127" i="20"/>
  <c r="E127" i="20"/>
  <c r="I126" i="20"/>
  <c r="H126" i="20"/>
  <c r="G126" i="20"/>
  <c r="F126" i="20"/>
  <c r="E126" i="20"/>
  <c r="I125" i="20"/>
  <c r="H125" i="20"/>
  <c r="G125" i="20"/>
  <c r="F125" i="20"/>
  <c r="E125" i="20"/>
  <c r="I124" i="20"/>
  <c r="H124" i="20"/>
  <c r="G124" i="20"/>
  <c r="F124" i="20"/>
  <c r="E124" i="20"/>
  <c r="I123" i="20"/>
  <c r="H123" i="20"/>
  <c r="G123" i="20"/>
  <c r="F123" i="20"/>
  <c r="E123" i="20"/>
  <c r="I122" i="20"/>
  <c r="H122" i="20"/>
  <c r="G122" i="20"/>
  <c r="F122" i="20"/>
  <c r="E122" i="20"/>
  <c r="I121" i="20"/>
  <c r="H121" i="20"/>
  <c r="G121" i="20"/>
  <c r="F121" i="20"/>
  <c r="E121" i="20"/>
  <c r="I120" i="20"/>
  <c r="H120" i="20"/>
  <c r="G120" i="20"/>
  <c r="F120" i="20"/>
  <c r="E120" i="20"/>
  <c r="I119" i="20"/>
  <c r="H119" i="20"/>
  <c r="G119" i="20"/>
  <c r="F119" i="20"/>
  <c r="E119" i="20"/>
  <c r="I118" i="20"/>
  <c r="H118" i="20"/>
  <c r="G118" i="20"/>
  <c r="F118" i="20"/>
  <c r="E118" i="20"/>
  <c r="I117" i="20"/>
  <c r="H117" i="20"/>
  <c r="G117" i="20"/>
  <c r="F117" i="20"/>
  <c r="E117" i="20"/>
  <c r="I116" i="20"/>
  <c r="H116" i="20"/>
  <c r="G116" i="20"/>
  <c r="F116" i="20"/>
  <c r="E116" i="20"/>
  <c r="I115" i="20"/>
  <c r="H115" i="20"/>
  <c r="G115" i="20"/>
  <c r="F115" i="20"/>
  <c r="E115" i="20"/>
  <c r="I114" i="20"/>
  <c r="H114" i="20"/>
  <c r="G114" i="20"/>
  <c r="F114" i="20"/>
  <c r="E114" i="20"/>
  <c r="I113" i="20"/>
  <c r="H113" i="20"/>
  <c r="G113" i="20"/>
  <c r="F113" i="20"/>
  <c r="E113" i="20"/>
  <c r="I112" i="20"/>
  <c r="H112" i="20"/>
  <c r="G112" i="20"/>
  <c r="F112" i="20"/>
  <c r="E112" i="20"/>
  <c r="I111" i="20"/>
  <c r="H111" i="20"/>
  <c r="G111" i="20"/>
  <c r="F111" i="20"/>
  <c r="E111" i="20"/>
  <c r="I110" i="20"/>
  <c r="H110" i="20"/>
  <c r="G110" i="20"/>
  <c r="F110" i="20"/>
  <c r="E110" i="20"/>
  <c r="I109" i="20"/>
  <c r="H109" i="20"/>
  <c r="G109" i="20"/>
  <c r="F109" i="20"/>
  <c r="E109" i="20"/>
  <c r="I108" i="20"/>
  <c r="H108" i="20"/>
  <c r="G108" i="20"/>
  <c r="F108" i="20"/>
  <c r="E108" i="20"/>
  <c r="I107" i="20"/>
  <c r="H107" i="20"/>
  <c r="G107" i="20"/>
  <c r="F107" i="20"/>
  <c r="E107" i="20"/>
  <c r="I106" i="20"/>
  <c r="H106" i="20"/>
  <c r="G106" i="20"/>
  <c r="F106" i="20"/>
  <c r="E106" i="20"/>
  <c r="I105" i="20"/>
  <c r="H105" i="20"/>
  <c r="G105" i="20"/>
  <c r="F105" i="20"/>
  <c r="E105" i="20"/>
  <c r="I104" i="20"/>
  <c r="H104" i="20"/>
  <c r="G104" i="20"/>
  <c r="F104" i="20"/>
  <c r="E104" i="20"/>
  <c r="I103" i="20"/>
  <c r="H103" i="20"/>
  <c r="G103" i="20"/>
  <c r="F103" i="20"/>
  <c r="E103" i="20"/>
  <c r="I102" i="20"/>
  <c r="H102" i="20"/>
  <c r="G102" i="20"/>
  <c r="F102" i="20"/>
  <c r="E102" i="20"/>
  <c r="I101" i="20"/>
  <c r="H101" i="20"/>
  <c r="G101" i="20"/>
  <c r="F101" i="20"/>
  <c r="E101" i="20"/>
  <c r="I100" i="20"/>
  <c r="H100" i="20"/>
  <c r="G100" i="20"/>
  <c r="F100" i="20"/>
  <c r="E100" i="20"/>
  <c r="I99" i="20"/>
  <c r="H99" i="20"/>
  <c r="G99" i="20"/>
  <c r="F99" i="20"/>
  <c r="E99" i="20"/>
  <c r="I98" i="20"/>
  <c r="H98" i="20"/>
  <c r="G98" i="20"/>
  <c r="F98" i="20"/>
  <c r="E98" i="20"/>
  <c r="I97" i="20"/>
  <c r="H97" i="20"/>
  <c r="G97" i="20"/>
  <c r="F97" i="20"/>
  <c r="E97" i="20"/>
  <c r="I96" i="20"/>
  <c r="H96" i="20"/>
  <c r="G96" i="20"/>
  <c r="F96" i="20"/>
  <c r="E96" i="20"/>
  <c r="I95" i="20"/>
  <c r="H95" i="20"/>
  <c r="G95" i="20"/>
  <c r="F95" i="20"/>
  <c r="E95" i="20"/>
  <c r="I94" i="20"/>
  <c r="H94" i="20"/>
  <c r="G94" i="20"/>
  <c r="F94" i="20"/>
  <c r="E94" i="20"/>
  <c r="I93" i="20"/>
  <c r="H93" i="20"/>
  <c r="G93" i="20"/>
  <c r="F93" i="20"/>
  <c r="E93" i="20"/>
  <c r="I92" i="20"/>
  <c r="H92" i="20"/>
  <c r="G92" i="20"/>
  <c r="F92" i="20"/>
  <c r="E92" i="20"/>
  <c r="I91" i="20"/>
  <c r="H91" i="20"/>
  <c r="G91" i="20"/>
  <c r="F91" i="20"/>
  <c r="E91" i="20"/>
  <c r="I90" i="20"/>
  <c r="H90" i="20"/>
  <c r="G90" i="20"/>
  <c r="F90" i="20"/>
  <c r="E90" i="20"/>
  <c r="I89" i="20"/>
  <c r="H89" i="20"/>
  <c r="G89" i="20"/>
  <c r="F89" i="20"/>
  <c r="E89" i="20"/>
  <c r="I88" i="20"/>
  <c r="H88" i="20"/>
  <c r="G88" i="20"/>
  <c r="F88" i="20"/>
  <c r="E88" i="20"/>
  <c r="I87" i="20"/>
  <c r="H87" i="20"/>
  <c r="G87" i="20"/>
  <c r="F87" i="20"/>
  <c r="E87" i="20"/>
  <c r="I86" i="20"/>
  <c r="H86" i="20"/>
  <c r="G86" i="20"/>
  <c r="F86" i="20"/>
  <c r="E86" i="20"/>
  <c r="I85" i="20"/>
  <c r="H85" i="20"/>
  <c r="G85" i="20"/>
  <c r="F85" i="20"/>
  <c r="E85" i="20"/>
  <c r="I84" i="20"/>
  <c r="H84" i="20"/>
  <c r="G84" i="20"/>
  <c r="F84" i="20"/>
  <c r="E84" i="20"/>
  <c r="I83" i="20"/>
  <c r="H83" i="20"/>
  <c r="G83" i="20"/>
  <c r="F83" i="20"/>
  <c r="E83" i="20"/>
  <c r="I82" i="20"/>
  <c r="H82" i="20"/>
  <c r="G82" i="20"/>
  <c r="F82" i="20"/>
  <c r="E82" i="20"/>
  <c r="I81" i="20"/>
  <c r="H81" i="20"/>
  <c r="G81" i="20"/>
  <c r="F81" i="20"/>
  <c r="E81" i="20"/>
  <c r="I80" i="20"/>
  <c r="H80" i="20"/>
  <c r="G80" i="20"/>
  <c r="F80" i="20"/>
  <c r="E80" i="20"/>
  <c r="I79" i="20"/>
  <c r="H79" i="20"/>
  <c r="G79" i="20"/>
  <c r="F79" i="20"/>
  <c r="E79" i="20"/>
  <c r="I78" i="20"/>
  <c r="H78" i="20"/>
  <c r="G78" i="20"/>
  <c r="F78" i="20"/>
  <c r="E78" i="20"/>
  <c r="I77" i="20"/>
  <c r="H77" i="20"/>
  <c r="G77" i="20"/>
  <c r="F77" i="20"/>
  <c r="E77" i="20"/>
  <c r="I76" i="20"/>
  <c r="H76" i="20"/>
  <c r="G76" i="20"/>
  <c r="F76" i="20"/>
  <c r="E76" i="20"/>
  <c r="I75" i="20"/>
  <c r="H75" i="20"/>
  <c r="G75" i="20"/>
  <c r="F75" i="20"/>
  <c r="E75" i="20"/>
  <c r="I74" i="20"/>
  <c r="H74" i="20"/>
  <c r="G74" i="20"/>
  <c r="F74" i="20"/>
  <c r="E74" i="20"/>
  <c r="I73" i="20"/>
  <c r="H73" i="20"/>
  <c r="G73" i="20"/>
  <c r="F73" i="20"/>
  <c r="E73" i="20"/>
  <c r="I72" i="20"/>
  <c r="H72" i="20"/>
  <c r="G72" i="20"/>
  <c r="F72" i="20"/>
  <c r="E72" i="20"/>
  <c r="I71" i="20"/>
  <c r="H71" i="20"/>
  <c r="G71" i="20"/>
  <c r="F71" i="20"/>
  <c r="E71" i="20"/>
  <c r="I70" i="20"/>
  <c r="H70" i="20"/>
  <c r="G70" i="20"/>
  <c r="F70" i="20"/>
  <c r="E70" i="20"/>
  <c r="I69" i="20"/>
  <c r="H69" i="20"/>
  <c r="G69" i="20"/>
  <c r="F69" i="20"/>
  <c r="E69" i="20"/>
  <c r="I68" i="20"/>
  <c r="H68" i="20"/>
  <c r="G68" i="20"/>
  <c r="F68" i="20"/>
  <c r="E68" i="20"/>
  <c r="I67" i="20"/>
  <c r="H67" i="20"/>
  <c r="G67" i="20"/>
  <c r="F67" i="20"/>
  <c r="E67" i="20"/>
  <c r="I66" i="20"/>
  <c r="H66" i="20"/>
  <c r="G66" i="20"/>
  <c r="F66" i="20"/>
  <c r="E66" i="20"/>
  <c r="I65" i="20"/>
  <c r="H65" i="20"/>
  <c r="G65" i="20"/>
  <c r="F65" i="20"/>
  <c r="E65" i="20"/>
  <c r="I64" i="20"/>
  <c r="H64" i="20"/>
  <c r="G64" i="20"/>
  <c r="F64" i="20"/>
  <c r="E64" i="20"/>
  <c r="I63" i="20"/>
  <c r="H63" i="20"/>
  <c r="G63" i="20"/>
  <c r="F63" i="20"/>
  <c r="E63" i="20"/>
  <c r="I62" i="20"/>
  <c r="H62" i="20"/>
  <c r="G62" i="20"/>
  <c r="F62" i="20"/>
  <c r="E62" i="20"/>
  <c r="I61" i="20"/>
  <c r="H61" i="20"/>
  <c r="G61" i="20"/>
  <c r="F61" i="20"/>
  <c r="E61" i="20"/>
  <c r="I60" i="20"/>
  <c r="H60" i="20"/>
  <c r="G60" i="20"/>
  <c r="F60" i="20"/>
  <c r="E60" i="20"/>
  <c r="I59" i="20"/>
  <c r="H59" i="20"/>
  <c r="G59" i="20"/>
  <c r="F59" i="20"/>
  <c r="E59" i="20"/>
  <c r="I58" i="20"/>
  <c r="H58" i="20"/>
  <c r="G58" i="20"/>
  <c r="F58" i="20"/>
  <c r="E58" i="20"/>
  <c r="I57" i="20"/>
  <c r="H57" i="20"/>
  <c r="G57" i="20"/>
  <c r="F57" i="20"/>
  <c r="E57" i="20"/>
  <c r="I56" i="20"/>
  <c r="H56" i="20"/>
  <c r="G56" i="20"/>
  <c r="F56" i="20"/>
  <c r="E56" i="20"/>
  <c r="I55" i="20"/>
  <c r="H55" i="20"/>
  <c r="G55" i="20"/>
  <c r="F55" i="20"/>
  <c r="E55" i="20"/>
  <c r="I54" i="20"/>
  <c r="H54" i="20"/>
  <c r="G54" i="20"/>
  <c r="F54" i="20"/>
  <c r="E54" i="20"/>
  <c r="I53" i="20"/>
  <c r="H53" i="20"/>
  <c r="G53" i="20"/>
  <c r="F53" i="20"/>
  <c r="E53" i="20"/>
  <c r="I52" i="20"/>
  <c r="H52" i="20"/>
  <c r="G52" i="20"/>
  <c r="F52" i="20"/>
  <c r="E52" i="20"/>
  <c r="I51" i="20"/>
  <c r="H51" i="20"/>
  <c r="G51" i="20"/>
  <c r="F51" i="20"/>
  <c r="E51" i="20"/>
  <c r="I50" i="20"/>
  <c r="H50" i="20"/>
  <c r="G50" i="20"/>
  <c r="F50" i="20"/>
  <c r="E50" i="20"/>
  <c r="I49" i="20"/>
  <c r="H49" i="20"/>
  <c r="G49" i="20"/>
  <c r="F49" i="20"/>
  <c r="E49" i="20"/>
  <c r="I48" i="20"/>
  <c r="H48" i="20"/>
  <c r="G48" i="20"/>
  <c r="F48" i="20"/>
  <c r="E48" i="20"/>
  <c r="I47" i="20"/>
  <c r="H47" i="20"/>
  <c r="G47" i="20"/>
  <c r="F47" i="20"/>
  <c r="E47" i="20"/>
  <c r="I46" i="20"/>
  <c r="H46" i="20"/>
  <c r="G46" i="20"/>
  <c r="F46" i="20"/>
  <c r="E46" i="20"/>
  <c r="I45" i="20"/>
  <c r="H45" i="20"/>
  <c r="G45" i="20"/>
  <c r="F45" i="20"/>
  <c r="E45" i="20"/>
  <c r="I44" i="20"/>
  <c r="H44" i="20"/>
  <c r="G44" i="20"/>
  <c r="F44" i="20"/>
  <c r="E44" i="20"/>
  <c r="I43" i="20"/>
  <c r="H43" i="20"/>
  <c r="G43" i="20"/>
  <c r="F43" i="20"/>
  <c r="E43" i="20"/>
  <c r="I42" i="20"/>
  <c r="H42" i="20"/>
  <c r="G42" i="20"/>
  <c r="F42" i="20"/>
  <c r="E42" i="20"/>
  <c r="I41" i="20"/>
  <c r="H41" i="20"/>
  <c r="G41" i="20"/>
  <c r="F41" i="20"/>
  <c r="E41" i="20"/>
  <c r="I40" i="20"/>
  <c r="H40" i="20"/>
  <c r="G40" i="20"/>
  <c r="F40" i="20"/>
  <c r="E40" i="20"/>
  <c r="I39" i="20"/>
  <c r="H39" i="20"/>
  <c r="G39" i="20"/>
  <c r="F39" i="20"/>
  <c r="E39" i="20"/>
  <c r="I38" i="20"/>
  <c r="H38" i="20"/>
  <c r="G38" i="20"/>
  <c r="F38" i="20"/>
  <c r="E38" i="20"/>
  <c r="I37" i="20"/>
  <c r="H37" i="20"/>
  <c r="G37" i="20"/>
  <c r="F37" i="20"/>
  <c r="E37" i="20"/>
  <c r="I36" i="20"/>
  <c r="H36" i="20"/>
  <c r="G36" i="20"/>
  <c r="F36" i="20"/>
  <c r="E36" i="20"/>
  <c r="I35" i="20"/>
  <c r="H35" i="20"/>
  <c r="G35" i="20"/>
  <c r="F35" i="20"/>
  <c r="E35" i="20"/>
  <c r="I34" i="20"/>
  <c r="H34" i="20"/>
  <c r="G34" i="20"/>
  <c r="F34" i="20"/>
  <c r="E34" i="20"/>
  <c r="I33" i="20"/>
  <c r="H33" i="20"/>
  <c r="G33" i="20"/>
  <c r="F33" i="20"/>
  <c r="E33" i="20"/>
  <c r="I32" i="20"/>
  <c r="H32" i="20"/>
  <c r="G32" i="20"/>
  <c r="F32" i="20"/>
  <c r="E32" i="20"/>
  <c r="I31" i="20"/>
  <c r="H31" i="20"/>
  <c r="G31" i="20"/>
  <c r="F31" i="20"/>
  <c r="E31" i="20"/>
  <c r="I30" i="20"/>
  <c r="H30" i="20"/>
  <c r="G30" i="20"/>
  <c r="F30" i="20"/>
  <c r="E30" i="20"/>
  <c r="I29" i="20"/>
  <c r="H29" i="20"/>
  <c r="G29" i="20"/>
  <c r="F29" i="20"/>
  <c r="E29" i="20"/>
  <c r="I28" i="20"/>
  <c r="H28" i="20"/>
  <c r="G28" i="20"/>
  <c r="F28" i="20"/>
  <c r="E28" i="20"/>
  <c r="I27" i="20"/>
  <c r="H27" i="20"/>
  <c r="G27" i="20"/>
  <c r="F27" i="20"/>
  <c r="E27" i="20"/>
  <c r="I26" i="20"/>
  <c r="H26" i="20"/>
  <c r="G26" i="20"/>
  <c r="F26" i="20"/>
  <c r="E26" i="20"/>
  <c r="I25" i="20"/>
  <c r="H25" i="20"/>
  <c r="G25" i="20"/>
  <c r="F25" i="20"/>
  <c r="E25" i="20"/>
  <c r="I24" i="20"/>
  <c r="H24" i="20"/>
  <c r="G24" i="20"/>
  <c r="F24" i="20"/>
  <c r="E24" i="20"/>
  <c r="I23" i="20"/>
  <c r="H23" i="20"/>
  <c r="G23" i="20"/>
  <c r="F23" i="20"/>
  <c r="E23" i="20"/>
  <c r="I22" i="20"/>
  <c r="H22" i="20"/>
  <c r="G22" i="20"/>
  <c r="F22" i="20"/>
  <c r="E22" i="20"/>
  <c r="I21" i="20"/>
  <c r="H21" i="20"/>
  <c r="G21" i="20"/>
  <c r="F21" i="20"/>
  <c r="E21" i="20"/>
  <c r="I20" i="20"/>
  <c r="H20" i="20"/>
  <c r="G20" i="20"/>
  <c r="F20" i="20"/>
  <c r="E20" i="20"/>
  <c r="I19" i="20"/>
  <c r="H19" i="20"/>
  <c r="G19" i="20"/>
  <c r="F19" i="20"/>
  <c r="E19" i="20"/>
  <c r="I18" i="20"/>
  <c r="H18" i="20"/>
  <c r="G18" i="20"/>
  <c r="F18" i="20"/>
  <c r="E18" i="20"/>
  <c r="I17" i="20"/>
  <c r="H17" i="20"/>
  <c r="G17" i="20"/>
  <c r="F17" i="20"/>
  <c r="E17" i="20"/>
  <c r="I16" i="20"/>
  <c r="H16" i="20"/>
  <c r="G16" i="20"/>
  <c r="F16" i="20"/>
  <c r="E16" i="20"/>
  <c r="I15" i="20"/>
  <c r="H15" i="20"/>
  <c r="G15" i="20"/>
  <c r="F15" i="20"/>
  <c r="E15" i="20"/>
  <c r="I14" i="20"/>
  <c r="H14" i="20"/>
  <c r="G14" i="20"/>
  <c r="F14" i="20"/>
  <c r="E14" i="20"/>
  <c r="I13" i="20"/>
  <c r="H13" i="20"/>
  <c r="G13" i="20"/>
  <c r="F13" i="20"/>
  <c r="E13" i="20"/>
  <c r="I12" i="20"/>
  <c r="H12" i="20"/>
  <c r="G12" i="20"/>
  <c r="F12" i="20"/>
  <c r="E12" i="20"/>
  <c r="I11" i="20"/>
  <c r="H11" i="20"/>
  <c r="G11" i="20"/>
  <c r="F11" i="20"/>
  <c r="E11" i="20"/>
  <c r="I10" i="20"/>
  <c r="H10" i="20"/>
  <c r="G10" i="20"/>
  <c r="F10" i="20"/>
  <c r="E10" i="20"/>
  <c r="I9" i="20"/>
  <c r="H9" i="20"/>
  <c r="G9" i="20"/>
  <c r="F9" i="20"/>
  <c r="E9" i="20"/>
  <c r="I8" i="20"/>
  <c r="H8" i="20"/>
  <c r="G8" i="20"/>
  <c r="F8" i="20"/>
  <c r="E8" i="20"/>
  <c r="I7" i="20"/>
  <c r="H7" i="20"/>
  <c r="G7" i="20"/>
  <c r="F7" i="20"/>
  <c r="E7" i="20"/>
  <c r="I6" i="20"/>
  <c r="H6" i="20"/>
  <c r="G6" i="20"/>
  <c r="F6" i="20"/>
  <c r="E6" i="20"/>
  <c r="I5" i="20"/>
  <c r="H5" i="20"/>
  <c r="G5" i="20"/>
  <c r="F5" i="20"/>
  <c r="E5" i="20"/>
  <c r="I4" i="20"/>
  <c r="H4" i="20"/>
  <c r="G4" i="20"/>
  <c r="F4" i="20"/>
  <c r="E4" i="20"/>
  <c r="I3" i="20"/>
  <c r="H3" i="20"/>
  <c r="G3" i="20"/>
  <c r="F3" i="20"/>
  <c r="E3" i="20"/>
  <c r="I2" i="20"/>
  <c r="H2" i="20"/>
  <c r="G2" i="20"/>
  <c r="F2" i="20"/>
  <c r="E2" i="20"/>
  <c r="AA114" i="4"/>
  <c r="X114" i="4"/>
  <c r="AA111" i="4"/>
  <c r="AA110" i="4"/>
  <c r="AA109" i="4"/>
  <c r="AA108" i="4"/>
  <c r="X111" i="4"/>
  <c r="X110" i="4"/>
  <c r="X109" i="4"/>
  <c r="X108" i="4"/>
  <c r="AA104" i="4"/>
  <c r="AA103" i="4"/>
  <c r="AA102" i="4"/>
  <c r="AA101" i="4"/>
  <c r="X104" i="4"/>
  <c r="X103" i="4"/>
  <c r="X102" i="4"/>
  <c r="X101" i="4"/>
  <c r="X97" i="4"/>
  <c r="X96" i="4"/>
  <c r="X95" i="4"/>
  <c r="X94" i="4"/>
  <c r="AA98" i="4"/>
  <c r="AA97" i="4"/>
  <c r="AA96" i="4"/>
  <c r="AA95" i="4"/>
  <c r="AA94" i="4"/>
  <c r="AA90" i="4"/>
  <c r="AA89" i="4"/>
  <c r="AA88" i="4"/>
  <c r="AA87" i="4"/>
  <c r="X90" i="4"/>
  <c r="X89" i="4"/>
  <c r="X88" i="4"/>
  <c r="X87" i="4"/>
  <c r="T73" i="4"/>
  <c r="C646" i="19"/>
  <c r="C645" i="19"/>
  <c r="C644" i="19"/>
  <c r="C643" i="19"/>
  <c r="C642" i="19"/>
  <c r="C641" i="19"/>
  <c r="C640" i="19"/>
  <c r="C639" i="19"/>
  <c r="C638" i="19"/>
  <c r="C637" i="19"/>
  <c r="C636" i="19"/>
  <c r="C635" i="19"/>
  <c r="C634" i="19"/>
  <c r="C633" i="19"/>
  <c r="C632" i="19"/>
  <c r="C631" i="19"/>
  <c r="C630" i="19"/>
  <c r="C629" i="19"/>
  <c r="C628" i="19"/>
  <c r="C627" i="19"/>
  <c r="C626" i="19"/>
  <c r="C624" i="19"/>
  <c r="C623" i="19"/>
  <c r="C622" i="19"/>
  <c r="C621" i="19"/>
  <c r="C620" i="19"/>
  <c r="C619" i="19"/>
  <c r="C618" i="19"/>
  <c r="C617" i="19"/>
  <c r="C616" i="19"/>
  <c r="C615" i="19"/>
  <c r="C614" i="19"/>
  <c r="C613" i="19"/>
  <c r="C612" i="19"/>
  <c r="C611" i="19"/>
  <c r="C610" i="19"/>
  <c r="C609" i="19"/>
  <c r="C608" i="19"/>
  <c r="C607" i="19"/>
  <c r="C606" i="19"/>
  <c r="C602" i="19"/>
  <c r="C601" i="19"/>
  <c r="C600" i="19"/>
  <c r="C599" i="19"/>
  <c r="C598" i="19"/>
  <c r="C597" i="19"/>
  <c r="C596" i="19"/>
  <c r="C595" i="19"/>
  <c r="C594" i="19"/>
  <c r="C593" i="19"/>
  <c r="C592" i="19"/>
  <c r="C591" i="19"/>
  <c r="C590" i="19"/>
  <c r="C589" i="19"/>
  <c r="C588" i="19"/>
  <c r="C587" i="19"/>
  <c r="C586" i="19"/>
  <c r="C585" i="19"/>
  <c r="C584" i="19"/>
  <c r="C583" i="19"/>
  <c r="C582" i="19"/>
  <c r="C581" i="19"/>
  <c r="C580" i="19"/>
  <c r="C579" i="19"/>
  <c r="C578" i="19"/>
  <c r="C577" i="19"/>
  <c r="C576" i="19"/>
  <c r="C575" i="19"/>
  <c r="C574" i="19"/>
  <c r="C573" i="19"/>
  <c r="C572" i="19"/>
  <c r="C571" i="19"/>
  <c r="C570" i="19"/>
  <c r="C569" i="19"/>
  <c r="C568" i="19"/>
  <c r="C567" i="19"/>
  <c r="C566" i="19"/>
  <c r="C565" i="19"/>
  <c r="C564" i="19"/>
  <c r="C563" i="19"/>
  <c r="C562" i="19"/>
  <c r="C561" i="19"/>
  <c r="C560" i="19"/>
  <c r="C556" i="19"/>
  <c r="C555" i="19"/>
  <c r="C554" i="19"/>
  <c r="C553" i="19"/>
  <c r="C552" i="19"/>
  <c r="C551" i="19"/>
  <c r="C549" i="19"/>
  <c r="C548" i="19"/>
  <c r="C547" i="19"/>
  <c r="C546" i="19"/>
  <c r="C545" i="19"/>
  <c r="C544" i="19"/>
  <c r="C543" i="19"/>
  <c r="C542" i="19"/>
  <c r="C541" i="19"/>
  <c r="C540" i="19"/>
  <c r="C539" i="19"/>
  <c r="C538" i="19"/>
  <c r="C537" i="19"/>
  <c r="C536" i="19"/>
  <c r="C535" i="19"/>
  <c r="C532" i="19"/>
  <c r="C531" i="19"/>
  <c r="C530" i="19"/>
  <c r="C529" i="19"/>
  <c r="C528" i="19"/>
  <c r="C527" i="19"/>
  <c r="C525" i="19"/>
  <c r="C524" i="19"/>
  <c r="C523" i="19"/>
  <c r="C522" i="19"/>
  <c r="C520" i="19"/>
  <c r="C519" i="19"/>
  <c r="C518" i="19"/>
  <c r="C517" i="19"/>
  <c r="C516" i="19"/>
  <c r="C515" i="19"/>
  <c r="C513" i="19"/>
  <c r="C511" i="19"/>
  <c r="C510" i="19"/>
  <c r="C509" i="19"/>
  <c r="C506" i="19"/>
  <c r="C505" i="19"/>
  <c r="C504" i="19"/>
  <c r="C503" i="19"/>
  <c r="C502" i="19"/>
  <c r="C501" i="19"/>
  <c r="C500" i="19"/>
  <c r="C499" i="19"/>
  <c r="C497" i="19"/>
  <c r="C496" i="19"/>
  <c r="C495" i="19"/>
  <c r="C494" i="19"/>
  <c r="C493" i="19"/>
  <c r="C492" i="19"/>
  <c r="C491" i="19"/>
  <c r="C490" i="19"/>
  <c r="C489" i="19"/>
  <c r="C488" i="19"/>
  <c r="C487" i="19"/>
  <c r="C486" i="19"/>
  <c r="C485" i="19"/>
  <c r="C484" i="19"/>
  <c r="C483" i="19"/>
  <c r="C482" i="19"/>
  <c r="C481" i="19"/>
  <c r="C480" i="19"/>
  <c r="C479" i="19"/>
  <c r="C478" i="19"/>
  <c r="C477" i="19"/>
  <c r="C476" i="19"/>
  <c r="C475" i="19"/>
  <c r="C474" i="19"/>
  <c r="C472" i="19"/>
  <c r="C471" i="19"/>
  <c r="C470" i="19"/>
  <c r="C469" i="19"/>
  <c r="C468" i="19"/>
  <c r="C467" i="19"/>
  <c r="C466" i="19"/>
  <c r="C465" i="19"/>
  <c r="C464" i="19"/>
  <c r="C463" i="19"/>
  <c r="C461" i="19"/>
  <c r="C460" i="19"/>
  <c r="C459" i="19"/>
  <c r="C458" i="19"/>
  <c r="C457" i="19"/>
  <c r="C456" i="19"/>
  <c r="C455" i="19"/>
  <c r="C454" i="19"/>
  <c r="C453" i="19"/>
  <c r="C452" i="19"/>
  <c r="C451" i="19"/>
  <c r="C450" i="19"/>
  <c r="C449" i="19"/>
  <c r="C448" i="19"/>
  <c r="C447" i="19"/>
  <c r="C446" i="19"/>
  <c r="C445" i="19"/>
  <c r="C444" i="19"/>
  <c r="C443" i="19"/>
  <c r="C442" i="19"/>
  <c r="C441" i="19"/>
  <c r="C440" i="19"/>
  <c r="C439" i="19"/>
  <c r="C436" i="19"/>
  <c r="C435" i="19"/>
  <c r="C434" i="19"/>
  <c r="C433" i="19"/>
  <c r="C432" i="19"/>
  <c r="C431" i="19"/>
  <c r="C430" i="19"/>
  <c r="C429" i="19"/>
  <c r="C428" i="19"/>
  <c r="C427" i="19"/>
  <c r="C426" i="19"/>
  <c r="C425" i="19"/>
  <c r="C424" i="19"/>
  <c r="C423" i="19"/>
  <c r="C422" i="19"/>
  <c r="C421" i="19"/>
  <c r="C420" i="19"/>
  <c r="C419" i="19"/>
  <c r="C418" i="19"/>
  <c r="C417" i="19"/>
  <c r="C416" i="19"/>
  <c r="C415" i="19"/>
  <c r="C414" i="19"/>
  <c r="C413" i="19"/>
  <c r="C412" i="19"/>
  <c r="C410" i="19"/>
  <c r="C409" i="19"/>
  <c r="C408" i="19"/>
  <c r="C407" i="19"/>
  <c r="C406" i="19"/>
  <c r="C405" i="19"/>
  <c r="C404" i="19"/>
  <c r="C403" i="19"/>
  <c r="C402" i="19"/>
  <c r="C401" i="19"/>
  <c r="C400" i="19"/>
  <c r="C399" i="19"/>
  <c r="C397" i="19"/>
  <c r="C396" i="19"/>
  <c r="C395" i="19"/>
  <c r="C394" i="19"/>
  <c r="C393" i="19"/>
  <c r="C392" i="19"/>
  <c r="C391" i="19"/>
  <c r="C390" i="19"/>
  <c r="C389" i="19"/>
  <c r="C388" i="19"/>
  <c r="C387" i="19"/>
  <c r="C386" i="19"/>
  <c r="C385" i="19"/>
  <c r="C384" i="19"/>
  <c r="C383" i="19"/>
  <c r="C382" i="19"/>
  <c r="C381" i="19"/>
  <c r="C379" i="19"/>
  <c r="C378" i="19"/>
  <c r="C377" i="19"/>
  <c r="C376" i="19"/>
  <c r="C375" i="19"/>
  <c r="C374" i="19"/>
  <c r="C373" i="19"/>
  <c r="C372" i="19"/>
  <c r="C371" i="19"/>
  <c r="C370" i="19"/>
  <c r="C369" i="19"/>
  <c r="C368" i="19"/>
  <c r="C367" i="19"/>
  <c r="C366" i="19"/>
  <c r="C365" i="19"/>
  <c r="C364" i="19"/>
  <c r="C363" i="19"/>
  <c r="C362" i="19"/>
  <c r="C361" i="19"/>
  <c r="C360" i="19"/>
  <c r="C359" i="19"/>
  <c r="C358" i="19"/>
  <c r="C357" i="19"/>
  <c r="C356" i="19"/>
  <c r="C355" i="19"/>
  <c r="C354" i="19"/>
  <c r="C353" i="19"/>
  <c r="C352" i="19"/>
  <c r="C351" i="19"/>
  <c r="C350" i="19"/>
  <c r="C349" i="19"/>
  <c r="C348" i="19"/>
  <c r="C347" i="19"/>
  <c r="C346" i="19"/>
  <c r="C345" i="19"/>
  <c r="C344" i="19"/>
  <c r="C343" i="19"/>
  <c r="C342" i="19"/>
  <c r="C341" i="19"/>
  <c r="C339" i="19"/>
  <c r="C338" i="19"/>
  <c r="C337" i="19"/>
  <c r="C336" i="19"/>
  <c r="C335" i="19"/>
  <c r="C334" i="19"/>
  <c r="C333" i="19"/>
  <c r="C332" i="19"/>
  <c r="C331" i="19"/>
  <c r="C330" i="19"/>
  <c r="C329" i="19"/>
  <c r="C328" i="19"/>
  <c r="C327" i="19"/>
  <c r="C326" i="19"/>
  <c r="C325" i="19"/>
  <c r="C324" i="19"/>
  <c r="C323" i="19"/>
  <c r="C322" i="19"/>
  <c r="C321" i="19"/>
  <c r="C320" i="19"/>
  <c r="C318" i="19"/>
  <c r="C317" i="19"/>
  <c r="C315" i="19"/>
  <c r="C314" i="19"/>
  <c r="C313" i="19"/>
  <c r="C312" i="19"/>
  <c r="C311" i="19"/>
  <c r="C310" i="19"/>
  <c r="C309" i="19"/>
  <c r="C308" i="19"/>
  <c r="C307" i="19"/>
  <c r="C306" i="19"/>
  <c r="C305" i="19"/>
  <c r="C304" i="19"/>
  <c r="C303" i="19"/>
  <c r="C302" i="19"/>
  <c r="C301" i="19"/>
  <c r="C300" i="19"/>
  <c r="C299" i="19"/>
  <c r="C298" i="19"/>
  <c r="C297" i="19"/>
  <c r="C296" i="19"/>
  <c r="C295" i="19"/>
  <c r="C294" i="19"/>
  <c r="C293" i="19"/>
  <c r="C292" i="19"/>
  <c r="C291" i="19"/>
  <c r="C290" i="19"/>
  <c r="C289" i="19"/>
  <c r="C288" i="19"/>
  <c r="C287" i="19"/>
  <c r="C286" i="19"/>
  <c r="C285" i="19"/>
  <c r="C284" i="19"/>
  <c r="C283" i="19"/>
  <c r="C282" i="19"/>
  <c r="C281" i="19"/>
  <c r="C280" i="19"/>
  <c r="C279" i="19"/>
  <c r="C278" i="19"/>
  <c r="C277" i="19"/>
  <c r="C276" i="19"/>
  <c r="C275" i="19"/>
  <c r="C274" i="19"/>
  <c r="C273" i="19"/>
  <c r="C272" i="19"/>
  <c r="C271" i="19"/>
  <c r="C270" i="19"/>
  <c r="C269" i="19"/>
  <c r="C268" i="19"/>
  <c r="C267" i="19"/>
  <c r="C266" i="19"/>
  <c r="C265" i="19"/>
  <c r="C264" i="19"/>
  <c r="C263" i="19"/>
  <c r="C262" i="19"/>
  <c r="C261" i="19"/>
  <c r="C259" i="19"/>
  <c r="C258" i="19"/>
  <c r="C257" i="19"/>
  <c r="C256" i="19"/>
  <c r="C255" i="19"/>
  <c r="C254" i="19"/>
  <c r="C253" i="19"/>
  <c r="C252" i="19"/>
  <c r="C251" i="19"/>
  <c r="C250" i="19"/>
  <c r="C249" i="19"/>
  <c r="C248" i="19"/>
  <c r="C247" i="19"/>
  <c r="C246" i="19"/>
  <c r="C245" i="19"/>
  <c r="C244" i="19"/>
  <c r="C243" i="19"/>
  <c r="C242" i="19"/>
  <c r="C241" i="19"/>
  <c r="C239" i="19"/>
  <c r="C238" i="19"/>
  <c r="C237" i="19"/>
  <c r="C236" i="19"/>
  <c r="C235" i="19"/>
  <c r="C234" i="19"/>
  <c r="C233" i="19"/>
  <c r="C232" i="19"/>
  <c r="C231" i="19"/>
  <c r="C230" i="19"/>
  <c r="C229" i="19"/>
  <c r="C228" i="19"/>
  <c r="C227" i="19"/>
  <c r="C226" i="19"/>
  <c r="C224" i="19"/>
  <c r="C222" i="19"/>
  <c r="C221" i="19"/>
  <c r="C220" i="19"/>
  <c r="C218" i="19"/>
  <c r="C217" i="19"/>
  <c r="C216" i="19"/>
  <c r="C215" i="19"/>
  <c r="C214" i="19"/>
  <c r="C213" i="19"/>
  <c r="C212" i="19"/>
  <c r="C211" i="19"/>
  <c r="C210" i="19"/>
  <c r="C209" i="19"/>
  <c r="C208" i="19"/>
  <c r="C207" i="19"/>
  <c r="C205" i="19"/>
  <c r="C204" i="19"/>
  <c r="C203" i="19"/>
  <c r="C202" i="19"/>
  <c r="C201" i="19"/>
  <c r="C200" i="19"/>
  <c r="C199" i="19"/>
  <c r="C198" i="19"/>
  <c r="C197" i="19"/>
  <c r="C196" i="19"/>
  <c r="C195" i="19"/>
  <c r="C193" i="19"/>
  <c r="C192" i="19"/>
  <c r="C191" i="19"/>
  <c r="C190" i="19"/>
  <c r="C189" i="19"/>
  <c r="C188" i="19"/>
  <c r="C187" i="19"/>
  <c r="C186" i="19"/>
  <c r="C185" i="19"/>
  <c r="C184" i="19"/>
  <c r="C183" i="19"/>
  <c r="C181" i="19"/>
  <c r="C180" i="19"/>
  <c r="C179" i="19"/>
  <c r="C178" i="19"/>
  <c r="C177" i="19"/>
  <c r="C176" i="19"/>
  <c r="C175" i="19"/>
  <c r="C173" i="19"/>
  <c r="C172" i="19"/>
  <c r="C171" i="19"/>
  <c r="C170" i="19"/>
  <c r="C168" i="19"/>
  <c r="C167" i="19"/>
  <c r="C166" i="19"/>
  <c r="C165" i="19"/>
  <c r="C164" i="19"/>
  <c r="C163" i="19"/>
  <c r="C162" i="19"/>
  <c r="C161" i="19"/>
  <c r="C160" i="19"/>
  <c r="C159" i="19"/>
  <c r="C158" i="19"/>
  <c r="C157" i="19"/>
  <c r="C156" i="19"/>
  <c r="C155" i="19"/>
  <c r="C154" i="19"/>
  <c r="C153" i="19"/>
  <c r="C152" i="19"/>
  <c r="C151" i="19"/>
  <c r="C150" i="19"/>
  <c r="C149" i="19"/>
  <c r="C148" i="19"/>
  <c r="C147" i="19"/>
  <c r="C146" i="19"/>
  <c r="C145" i="19"/>
  <c r="C144" i="19"/>
  <c r="C143" i="19"/>
  <c r="C142" i="19"/>
  <c r="C141" i="19"/>
  <c r="C140" i="19"/>
  <c r="C139" i="19"/>
  <c r="C138" i="19"/>
  <c r="C137" i="19"/>
  <c r="C136" i="19"/>
  <c r="C135" i="19"/>
  <c r="C134" i="19"/>
  <c r="C133" i="19"/>
  <c r="C132" i="19"/>
  <c r="C131" i="19"/>
  <c r="C130" i="19"/>
  <c r="C129" i="19"/>
  <c r="C128" i="19"/>
  <c r="C127" i="19"/>
  <c r="C126" i="19"/>
  <c r="C125" i="19"/>
  <c r="C123" i="19"/>
  <c r="C122" i="19"/>
  <c r="C121" i="19"/>
  <c r="C120" i="19"/>
  <c r="C118" i="19"/>
  <c r="C117" i="19"/>
  <c r="C116" i="19"/>
  <c r="C115" i="19"/>
  <c r="C114" i="19"/>
  <c r="C113" i="19"/>
  <c r="C112" i="19"/>
  <c r="C111" i="19"/>
  <c r="C110" i="19"/>
  <c r="C109" i="19"/>
  <c r="C108" i="19"/>
  <c r="C107" i="19"/>
  <c r="C106" i="19"/>
  <c r="C105" i="19"/>
  <c r="C104" i="19"/>
  <c r="C103" i="19"/>
  <c r="C102" i="19"/>
  <c r="C101" i="19"/>
  <c r="C99" i="19"/>
  <c r="C98" i="19"/>
  <c r="C97" i="19"/>
  <c r="C95" i="19"/>
  <c r="C94" i="19"/>
  <c r="C93" i="19"/>
  <c r="C92" i="19"/>
  <c r="C91" i="19"/>
  <c r="C90" i="19"/>
  <c r="C89" i="19"/>
  <c r="C88" i="19"/>
  <c r="C87" i="19"/>
  <c r="C86" i="19"/>
  <c r="C85" i="19"/>
  <c r="C84" i="19"/>
  <c r="C83" i="19"/>
  <c r="C82" i="19"/>
  <c r="C81" i="19"/>
  <c r="C80" i="19"/>
  <c r="C79" i="19"/>
  <c r="C78" i="19"/>
  <c r="C77" i="19"/>
  <c r="C75" i="19"/>
  <c r="C74" i="19"/>
  <c r="C73" i="19"/>
  <c r="C72" i="19"/>
  <c r="C71" i="19"/>
  <c r="C70" i="19"/>
  <c r="C69" i="19"/>
  <c r="C68" i="19"/>
  <c r="C67" i="19"/>
  <c r="C66" i="19"/>
  <c r="C65" i="19"/>
  <c r="C64" i="19"/>
  <c r="C63" i="19"/>
  <c r="C62" i="19"/>
  <c r="C61" i="19"/>
  <c r="C60" i="19"/>
  <c r="C59" i="19"/>
  <c r="C58" i="19"/>
  <c r="C57" i="19"/>
  <c r="C56" i="19"/>
  <c r="C55" i="19"/>
  <c r="C54" i="19"/>
  <c r="C53" i="19"/>
  <c r="C52" i="19"/>
  <c r="C51" i="19"/>
  <c r="C50" i="19"/>
  <c r="C49" i="19"/>
  <c r="C47" i="19"/>
  <c r="C46" i="19"/>
  <c r="C45" i="19"/>
  <c r="C44" i="19"/>
  <c r="C43" i="19"/>
  <c r="C42" i="19"/>
  <c r="C41" i="19"/>
  <c r="C40" i="19"/>
  <c r="C39" i="19"/>
  <c r="C38" i="19"/>
  <c r="C37" i="19"/>
  <c r="C36" i="19"/>
  <c r="C35" i="19"/>
  <c r="C34" i="19"/>
  <c r="C33" i="19"/>
  <c r="C32" i="19"/>
  <c r="C31" i="19"/>
  <c r="C30" i="19"/>
  <c r="C29" i="19"/>
  <c r="C28" i="19"/>
  <c r="C27" i="19"/>
  <c r="C26" i="19"/>
  <c r="C25" i="19"/>
  <c r="C24" i="19"/>
  <c r="C23" i="19"/>
  <c r="C22" i="19"/>
  <c r="C21" i="19"/>
  <c r="C20" i="19"/>
  <c r="C19" i="19"/>
  <c r="C18" i="19"/>
  <c r="C17" i="19"/>
  <c r="C15" i="19"/>
  <c r="C14" i="19"/>
  <c r="C13" i="19"/>
  <c r="C12" i="19"/>
  <c r="C9" i="19"/>
  <c r="C8" i="19"/>
  <c r="C7" i="19"/>
  <c r="C6" i="19"/>
  <c r="C5" i="19"/>
  <c r="C3" i="19"/>
  <c r="C2" i="19"/>
  <c r="C4" i="19"/>
  <c r="C10" i="19"/>
  <c r="C11" i="19"/>
  <c r="C16" i="19"/>
  <c r="C48" i="19"/>
  <c r="C76" i="19"/>
  <c r="C96" i="19"/>
  <c r="C100" i="19"/>
  <c r="C119" i="19"/>
  <c r="C124" i="19"/>
  <c r="C169" i="19"/>
  <c r="C174" i="19"/>
  <c r="C182" i="19"/>
  <c r="C194" i="19"/>
  <c r="C206" i="19"/>
  <c r="C219" i="19"/>
  <c r="C223" i="19"/>
  <c r="C225" i="19"/>
  <c r="C240" i="19"/>
  <c r="C260" i="19"/>
  <c r="C316" i="19"/>
  <c r="C319" i="19"/>
  <c r="C340" i="19"/>
  <c r="C380" i="19"/>
  <c r="C398" i="19"/>
  <c r="C411" i="19"/>
  <c r="C437" i="19"/>
  <c r="C438" i="19"/>
  <c r="C462" i="19"/>
  <c r="C473" i="19"/>
  <c r="C498" i="19"/>
  <c r="C507" i="19"/>
  <c r="C508" i="19"/>
  <c r="C512" i="19"/>
  <c r="C514" i="19"/>
  <c r="C521" i="19"/>
  <c r="C526" i="19"/>
  <c r="C533" i="19"/>
  <c r="C534" i="19"/>
  <c r="C550" i="19"/>
  <c r="C557" i="19"/>
  <c r="C558" i="19"/>
  <c r="C559" i="19"/>
  <c r="C603" i="19"/>
  <c r="C604" i="19"/>
  <c r="C605" i="19"/>
  <c r="C625" i="19"/>
  <c r="K45" i="5"/>
  <c r="L45" i="5"/>
  <c r="K46" i="5"/>
  <c r="L46" i="5"/>
  <c r="K47" i="5"/>
  <c r="L47" i="5"/>
  <c r="K48" i="5"/>
  <c r="L48" i="5"/>
  <c r="I24" i="13"/>
  <c r="I22" i="13"/>
  <c r="I23" i="13"/>
  <c r="I16" i="13"/>
  <c r="I15" i="13"/>
  <c r="I14" i="13"/>
  <c r="I13" i="13"/>
  <c r="I8" i="13"/>
  <c r="I7" i="13"/>
  <c r="I6" i="13"/>
  <c r="I5" i="13"/>
  <c r="G24" i="13"/>
  <c r="G23" i="13"/>
  <c r="G22" i="13"/>
  <c r="G16" i="13"/>
  <c r="G15" i="13"/>
  <c r="G14" i="13"/>
  <c r="G13" i="13"/>
  <c r="G8" i="13"/>
  <c r="G7" i="13"/>
  <c r="G6" i="13"/>
  <c r="G5" i="13"/>
  <c r="E65" i="13"/>
  <c r="E64" i="13"/>
  <c r="E63" i="13"/>
  <c r="E59" i="13"/>
  <c r="E58" i="13"/>
  <c r="E57" i="13"/>
  <c r="E54" i="13"/>
  <c r="E53" i="13"/>
  <c r="E52" i="13"/>
  <c r="E49" i="13"/>
  <c r="E48" i="13"/>
  <c r="E47" i="13"/>
  <c r="AE57" i="4"/>
  <c r="AE56" i="4"/>
  <c r="AE55" i="4"/>
  <c r="K124" i="19"/>
  <c r="J124" i="19"/>
  <c r="I124" i="19"/>
  <c r="H124" i="19"/>
  <c r="G124" i="19"/>
  <c r="K10" i="19"/>
  <c r="J10" i="19"/>
  <c r="I10" i="19"/>
  <c r="H10" i="19"/>
  <c r="G10" i="19"/>
  <c r="K646" i="19"/>
  <c r="J646" i="19"/>
  <c r="I646" i="19"/>
  <c r="H646" i="19"/>
  <c r="G646" i="19"/>
  <c r="K645" i="19"/>
  <c r="J645" i="19"/>
  <c r="I645" i="19"/>
  <c r="H645" i="19"/>
  <c r="G645" i="19"/>
  <c r="K644" i="19"/>
  <c r="J644" i="19"/>
  <c r="I644" i="19"/>
  <c r="H644" i="19"/>
  <c r="G644" i="19"/>
  <c r="K643" i="19"/>
  <c r="J643" i="19"/>
  <c r="I643" i="19"/>
  <c r="H643" i="19"/>
  <c r="G643" i="19"/>
  <c r="K642" i="19"/>
  <c r="J642" i="19"/>
  <c r="I642" i="19"/>
  <c r="H642" i="19"/>
  <c r="G642" i="19"/>
  <c r="K641" i="19"/>
  <c r="J641" i="19"/>
  <c r="I641" i="19"/>
  <c r="H641" i="19"/>
  <c r="G641" i="19"/>
  <c r="K640" i="19"/>
  <c r="J640" i="19"/>
  <c r="I640" i="19"/>
  <c r="H640" i="19"/>
  <c r="G640" i="19"/>
  <c r="K639" i="19"/>
  <c r="J639" i="19"/>
  <c r="I639" i="19"/>
  <c r="H639" i="19"/>
  <c r="G639" i="19"/>
  <c r="K638" i="19"/>
  <c r="J638" i="19"/>
  <c r="I638" i="19"/>
  <c r="H638" i="19"/>
  <c r="G638" i="19"/>
  <c r="K637" i="19"/>
  <c r="J637" i="19"/>
  <c r="I637" i="19"/>
  <c r="H637" i="19"/>
  <c r="G637" i="19"/>
  <c r="K636" i="19"/>
  <c r="J636" i="19"/>
  <c r="I636" i="19"/>
  <c r="H636" i="19"/>
  <c r="G636" i="19"/>
  <c r="K635" i="19"/>
  <c r="J635" i="19"/>
  <c r="I635" i="19"/>
  <c r="H635" i="19"/>
  <c r="G635" i="19"/>
  <c r="K634" i="19"/>
  <c r="J634" i="19"/>
  <c r="I634" i="19"/>
  <c r="H634" i="19"/>
  <c r="G634" i="19"/>
  <c r="K633" i="19"/>
  <c r="J633" i="19"/>
  <c r="I633" i="19"/>
  <c r="H633" i="19"/>
  <c r="G633" i="19"/>
  <c r="K632" i="19"/>
  <c r="J632" i="19"/>
  <c r="I632" i="19"/>
  <c r="H632" i="19"/>
  <c r="G632" i="19"/>
  <c r="K631" i="19"/>
  <c r="J631" i="19"/>
  <c r="I631" i="19"/>
  <c r="H631" i="19"/>
  <c r="G631" i="19"/>
  <c r="K630" i="19"/>
  <c r="J630" i="19"/>
  <c r="I630" i="19"/>
  <c r="H630" i="19"/>
  <c r="G630" i="19"/>
  <c r="K629" i="19"/>
  <c r="J629" i="19"/>
  <c r="I629" i="19"/>
  <c r="H629" i="19"/>
  <c r="G629" i="19"/>
  <c r="K628" i="19"/>
  <c r="J628" i="19"/>
  <c r="I628" i="19"/>
  <c r="H628" i="19"/>
  <c r="G628" i="19"/>
  <c r="K627" i="19"/>
  <c r="J627" i="19"/>
  <c r="I627" i="19"/>
  <c r="H627" i="19"/>
  <c r="G627" i="19"/>
  <c r="K484" i="19"/>
  <c r="J484" i="19"/>
  <c r="I484" i="19"/>
  <c r="H484" i="19"/>
  <c r="G484" i="19"/>
  <c r="K170" i="19"/>
  <c r="J170" i="19"/>
  <c r="I170" i="19"/>
  <c r="H170" i="19"/>
  <c r="G170" i="19"/>
  <c r="K591" i="19"/>
  <c r="J591" i="19"/>
  <c r="I591" i="19"/>
  <c r="H591" i="19"/>
  <c r="G591" i="19"/>
  <c r="K587" i="19"/>
  <c r="J587" i="19"/>
  <c r="I587" i="19"/>
  <c r="H587" i="19"/>
  <c r="G587" i="19"/>
  <c r="K589" i="19"/>
  <c r="J589" i="19"/>
  <c r="I589" i="19"/>
  <c r="H589" i="19"/>
  <c r="G589" i="19"/>
  <c r="K569" i="19"/>
  <c r="J569" i="19"/>
  <c r="I569" i="19"/>
  <c r="H569" i="19"/>
  <c r="G569" i="19"/>
  <c r="K456" i="19"/>
  <c r="J456" i="19"/>
  <c r="I456" i="19"/>
  <c r="H456" i="19"/>
  <c r="G456" i="19"/>
  <c r="K308" i="19"/>
  <c r="J308" i="19"/>
  <c r="I308" i="19"/>
  <c r="H308" i="19"/>
  <c r="G308" i="19"/>
  <c r="K551" i="19"/>
  <c r="J551" i="19"/>
  <c r="I551" i="19"/>
  <c r="H551" i="19"/>
  <c r="G551" i="19"/>
  <c r="K626" i="19"/>
  <c r="J626" i="19"/>
  <c r="I626" i="19"/>
  <c r="H626" i="19"/>
  <c r="G626" i="19"/>
  <c r="K428" i="19"/>
  <c r="J428" i="19"/>
  <c r="I428" i="19"/>
  <c r="H428" i="19"/>
  <c r="G428" i="19"/>
  <c r="K590" i="19"/>
  <c r="J590" i="19"/>
  <c r="I590" i="19"/>
  <c r="H590" i="19"/>
  <c r="G590" i="19"/>
  <c r="K271" i="19"/>
  <c r="J271" i="19"/>
  <c r="I271" i="19"/>
  <c r="H271" i="19"/>
  <c r="G271" i="19"/>
  <c r="K537" i="19"/>
  <c r="J537" i="19"/>
  <c r="I537" i="19"/>
  <c r="H537" i="19"/>
  <c r="G537" i="19"/>
  <c r="K207" i="19"/>
  <c r="J207" i="19"/>
  <c r="I207" i="19"/>
  <c r="H207" i="19"/>
  <c r="G207" i="19"/>
  <c r="K449" i="19"/>
  <c r="J449" i="19"/>
  <c r="I449" i="19"/>
  <c r="H449" i="19"/>
  <c r="G449" i="19"/>
  <c r="K255" i="19"/>
  <c r="J255" i="19"/>
  <c r="I255" i="19"/>
  <c r="H255" i="19"/>
  <c r="G255" i="19"/>
  <c r="K387" i="19"/>
  <c r="J387" i="19"/>
  <c r="I387" i="19"/>
  <c r="H387" i="19"/>
  <c r="G387" i="19"/>
  <c r="K584" i="19"/>
  <c r="J584" i="19"/>
  <c r="I584" i="19"/>
  <c r="H584" i="19"/>
  <c r="G584" i="19"/>
  <c r="K503" i="19"/>
  <c r="J503" i="19"/>
  <c r="I503" i="19"/>
  <c r="H503" i="19"/>
  <c r="G503" i="19"/>
  <c r="K101" i="19"/>
  <c r="J101" i="19"/>
  <c r="I101" i="19"/>
  <c r="H101" i="19"/>
  <c r="G101" i="19"/>
  <c r="K625" i="19"/>
  <c r="J625" i="19"/>
  <c r="I625" i="19"/>
  <c r="H625" i="19"/>
  <c r="G625" i="19"/>
  <c r="K596" i="19"/>
  <c r="J596" i="19"/>
  <c r="I596" i="19"/>
  <c r="H596" i="19"/>
  <c r="G596" i="19"/>
  <c r="K452" i="19"/>
  <c r="J452" i="19"/>
  <c r="I452" i="19"/>
  <c r="H452" i="19"/>
  <c r="G452" i="19"/>
  <c r="K300" i="19"/>
  <c r="J300" i="19"/>
  <c r="I300" i="19"/>
  <c r="H300" i="19"/>
  <c r="G300" i="19"/>
  <c r="K210" i="19"/>
  <c r="J210" i="19"/>
  <c r="I210" i="19"/>
  <c r="H210" i="19"/>
  <c r="G210" i="19"/>
  <c r="K624" i="19"/>
  <c r="J624" i="19"/>
  <c r="I624" i="19"/>
  <c r="H624" i="19"/>
  <c r="G624" i="19"/>
  <c r="K623" i="19"/>
  <c r="J623" i="19"/>
  <c r="I623" i="19"/>
  <c r="H623" i="19"/>
  <c r="G623" i="19"/>
  <c r="K95" i="19"/>
  <c r="J95" i="19"/>
  <c r="I95" i="19"/>
  <c r="H95" i="19"/>
  <c r="G95" i="19"/>
  <c r="K522" i="19"/>
  <c r="J522" i="19"/>
  <c r="I522" i="19"/>
  <c r="H522" i="19"/>
  <c r="G522" i="19"/>
  <c r="K87" i="19"/>
  <c r="J87" i="19"/>
  <c r="I87" i="19"/>
  <c r="H87" i="19"/>
  <c r="G87" i="19"/>
  <c r="K192" i="19"/>
  <c r="J192" i="19"/>
  <c r="I192" i="19"/>
  <c r="H192" i="19"/>
  <c r="G192" i="19"/>
  <c r="K141" i="19"/>
  <c r="J141" i="19"/>
  <c r="I141" i="19"/>
  <c r="H141" i="19"/>
  <c r="G141" i="19"/>
  <c r="K477" i="19"/>
  <c r="J477" i="19"/>
  <c r="I477" i="19"/>
  <c r="H477" i="19"/>
  <c r="G477" i="19"/>
  <c r="K575" i="19"/>
  <c r="J575" i="19"/>
  <c r="I575" i="19"/>
  <c r="H575" i="19"/>
  <c r="G575" i="19"/>
  <c r="K230" i="19"/>
  <c r="J230" i="19"/>
  <c r="I230" i="19"/>
  <c r="H230" i="19"/>
  <c r="G230" i="19"/>
  <c r="K566" i="19"/>
  <c r="J566" i="19"/>
  <c r="I566" i="19"/>
  <c r="H566" i="19"/>
  <c r="G566" i="19"/>
  <c r="K143" i="19"/>
  <c r="J143" i="19"/>
  <c r="I143" i="19"/>
  <c r="H143" i="19"/>
  <c r="G143" i="19"/>
  <c r="K417" i="19"/>
  <c r="J417" i="19"/>
  <c r="I417" i="19"/>
  <c r="H417" i="19"/>
  <c r="G417" i="19"/>
  <c r="K573" i="19"/>
  <c r="J573" i="19"/>
  <c r="I573" i="19"/>
  <c r="H573" i="19"/>
  <c r="G573" i="19"/>
  <c r="K572" i="19"/>
  <c r="J572" i="19"/>
  <c r="I572" i="19"/>
  <c r="H572" i="19"/>
  <c r="G572" i="19"/>
  <c r="K535" i="19"/>
  <c r="J535" i="19"/>
  <c r="I535" i="19"/>
  <c r="H535" i="19"/>
  <c r="G535" i="19"/>
  <c r="K563" i="19"/>
  <c r="J563" i="19"/>
  <c r="I563" i="19"/>
  <c r="H563" i="19"/>
  <c r="G563" i="19"/>
  <c r="K548" i="19"/>
  <c r="J548" i="19"/>
  <c r="I548" i="19"/>
  <c r="H548" i="19"/>
  <c r="G548" i="19"/>
  <c r="K547" i="19"/>
  <c r="J547" i="19"/>
  <c r="I547" i="19"/>
  <c r="H547" i="19"/>
  <c r="G547" i="19"/>
  <c r="K457" i="19"/>
  <c r="J457" i="19"/>
  <c r="I457" i="19"/>
  <c r="H457" i="19"/>
  <c r="G457" i="19"/>
  <c r="K588" i="19"/>
  <c r="J588" i="19"/>
  <c r="I588" i="19"/>
  <c r="H588" i="19"/>
  <c r="G588" i="19"/>
  <c r="K496" i="19"/>
  <c r="J496" i="19"/>
  <c r="I496" i="19"/>
  <c r="H496" i="19"/>
  <c r="G496" i="19"/>
  <c r="K555" i="19"/>
  <c r="J555" i="19"/>
  <c r="I555" i="19"/>
  <c r="H555" i="19"/>
  <c r="G555" i="19"/>
  <c r="K282" i="19"/>
  <c r="J282" i="19"/>
  <c r="I282" i="19"/>
  <c r="H282" i="19"/>
  <c r="G282" i="19"/>
  <c r="K317" i="19"/>
  <c r="J317" i="19"/>
  <c r="I317" i="19"/>
  <c r="H317" i="19"/>
  <c r="G317" i="19"/>
  <c r="K622" i="19"/>
  <c r="J622" i="19"/>
  <c r="I622" i="19"/>
  <c r="H622" i="19"/>
  <c r="G622" i="19"/>
  <c r="K546" i="19"/>
  <c r="J546" i="19"/>
  <c r="I546" i="19"/>
  <c r="H546" i="19"/>
  <c r="G546" i="19"/>
  <c r="K472" i="19"/>
  <c r="J472" i="19"/>
  <c r="I472" i="19"/>
  <c r="H472" i="19"/>
  <c r="G472" i="19"/>
  <c r="K383" i="19"/>
  <c r="J383" i="19"/>
  <c r="I383" i="19"/>
  <c r="H383" i="19"/>
  <c r="G383" i="19"/>
  <c r="K465" i="19"/>
  <c r="J465" i="19"/>
  <c r="I465" i="19"/>
  <c r="H465" i="19"/>
  <c r="G465" i="19"/>
  <c r="K149" i="19"/>
  <c r="J149" i="19"/>
  <c r="I149" i="19"/>
  <c r="H149" i="19"/>
  <c r="G149" i="19"/>
  <c r="K621" i="19"/>
  <c r="J621" i="19"/>
  <c r="I621" i="19"/>
  <c r="H621" i="19"/>
  <c r="G621" i="19"/>
  <c r="K583" i="19"/>
  <c r="J583" i="19"/>
  <c r="I583" i="19"/>
  <c r="H583" i="19"/>
  <c r="G583" i="19"/>
  <c r="K519" i="19"/>
  <c r="J519" i="19"/>
  <c r="I519" i="19"/>
  <c r="H519" i="19"/>
  <c r="G519" i="19"/>
  <c r="K402" i="19"/>
  <c r="J402" i="19"/>
  <c r="I402" i="19"/>
  <c r="H402" i="19"/>
  <c r="G402" i="19"/>
  <c r="K251" i="19"/>
  <c r="J251" i="19"/>
  <c r="I251" i="19"/>
  <c r="H251" i="19"/>
  <c r="G251" i="19"/>
  <c r="K322" i="19"/>
  <c r="J322" i="19"/>
  <c r="I322" i="19"/>
  <c r="H322" i="19"/>
  <c r="G322" i="19"/>
  <c r="K284" i="19"/>
  <c r="J284" i="19"/>
  <c r="I284" i="19"/>
  <c r="H284" i="19"/>
  <c r="G284" i="19"/>
  <c r="K538" i="19"/>
  <c r="J538" i="19"/>
  <c r="I538" i="19"/>
  <c r="H538" i="19"/>
  <c r="G538" i="19"/>
  <c r="K435" i="19"/>
  <c r="J435" i="19"/>
  <c r="I435" i="19"/>
  <c r="H435" i="19"/>
  <c r="G435" i="19"/>
  <c r="K532" i="19"/>
  <c r="J532" i="19"/>
  <c r="I532" i="19"/>
  <c r="H532" i="19"/>
  <c r="G532" i="19"/>
  <c r="K620" i="19"/>
  <c r="J620" i="19"/>
  <c r="I620" i="19"/>
  <c r="H620" i="19"/>
  <c r="G620" i="19"/>
  <c r="K582" i="19"/>
  <c r="J582" i="19"/>
  <c r="I582" i="19"/>
  <c r="H582" i="19"/>
  <c r="G582" i="19"/>
  <c r="K99" i="19"/>
  <c r="J99" i="19"/>
  <c r="I99" i="19"/>
  <c r="H99" i="19"/>
  <c r="G99" i="19"/>
  <c r="K168" i="19"/>
  <c r="J168" i="19"/>
  <c r="I168" i="19"/>
  <c r="H168" i="19"/>
  <c r="G168" i="19"/>
  <c r="K421" i="19"/>
  <c r="J421" i="19"/>
  <c r="I421" i="19"/>
  <c r="H421" i="19"/>
  <c r="G421" i="19"/>
  <c r="K585" i="19"/>
  <c r="J585" i="19"/>
  <c r="I585" i="19"/>
  <c r="H585" i="19"/>
  <c r="G585" i="19"/>
  <c r="K619" i="19"/>
  <c r="J619" i="19"/>
  <c r="I619" i="19"/>
  <c r="H619" i="19"/>
  <c r="G619" i="19"/>
  <c r="K420" i="19"/>
  <c r="J420" i="19"/>
  <c r="I420" i="19"/>
  <c r="H420" i="19"/>
  <c r="G420" i="19"/>
  <c r="K543" i="19"/>
  <c r="J543" i="19"/>
  <c r="I543" i="19"/>
  <c r="H543" i="19"/>
  <c r="G543" i="19"/>
  <c r="K525" i="19"/>
  <c r="J525" i="19"/>
  <c r="I525" i="19"/>
  <c r="H525" i="19"/>
  <c r="G525" i="19"/>
  <c r="K353" i="19"/>
  <c r="J353" i="19"/>
  <c r="I353" i="19"/>
  <c r="H353" i="19"/>
  <c r="G353" i="19"/>
  <c r="K281" i="19"/>
  <c r="J281" i="19"/>
  <c r="I281" i="19"/>
  <c r="H281" i="19"/>
  <c r="G281" i="19"/>
  <c r="K245" i="19"/>
  <c r="J245" i="19"/>
  <c r="I245" i="19"/>
  <c r="H245" i="19"/>
  <c r="G245" i="19"/>
  <c r="K197" i="19"/>
  <c r="J197" i="19"/>
  <c r="I197" i="19"/>
  <c r="H197" i="19"/>
  <c r="G197" i="19"/>
  <c r="K515" i="19"/>
  <c r="J515" i="19"/>
  <c r="I515" i="19"/>
  <c r="H515" i="19"/>
  <c r="G515" i="19"/>
  <c r="K550" i="19"/>
  <c r="J550" i="19"/>
  <c r="I550" i="19"/>
  <c r="H550" i="19"/>
  <c r="G550" i="19"/>
  <c r="K254" i="19"/>
  <c r="J254" i="19"/>
  <c r="I254" i="19"/>
  <c r="H254" i="19"/>
  <c r="G254" i="19"/>
  <c r="K491" i="19"/>
  <c r="J491" i="19"/>
  <c r="I491" i="19"/>
  <c r="H491" i="19"/>
  <c r="G491" i="19"/>
  <c r="K565" i="19"/>
  <c r="J565" i="19"/>
  <c r="I565" i="19"/>
  <c r="H565" i="19"/>
  <c r="G565" i="19"/>
  <c r="K594" i="19"/>
  <c r="J594" i="19"/>
  <c r="I594" i="19"/>
  <c r="H594" i="19"/>
  <c r="G594" i="19"/>
  <c r="K475" i="19"/>
  <c r="J475" i="19"/>
  <c r="I475" i="19"/>
  <c r="H475" i="19"/>
  <c r="G475" i="19"/>
  <c r="K227" i="19"/>
  <c r="J227" i="19"/>
  <c r="I227" i="19"/>
  <c r="H227" i="19"/>
  <c r="G227" i="19"/>
  <c r="K561" i="19"/>
  <c r="J561" i="19"/>
  <c r="I561" i="19"/>
  <c r="H561" i="19"/>
  <c r="G561" i="19"/>
  <c r="K3" i="19"/>
  <c r="J3" i="19"/>
  <c r="I3" i="19"/>
  <c r="H3" i="19"/>
  <c r="G3" i="19"/>
  <c r="K280" i="19"/>
  <c r="J280" i="19"/>
  <c r="I280" i="19"/>
  <c r="H280" i="19"/>
  <c r="G280" i="19"/>
  <c r="K262" i="19"/>
  <c r="J262" i="19"/>
  <c r="I262" i="19"/>
  <c r="H262" i="19"/>
  <c r="G262" i="19"/>
  <c r="K334" i="19"/>
  <c r="J334" i="19"/>
  <c r="I334" i="19"/>
  <c r="H334" i="19"/>
  <c r="G334" i="19"/>
  <c r="K411" i="19"/>
  <c r="J411" i="19"/>
  <c r="I411" i="19"/>
  <c r="H411" i="19"/>
  <c r="G411" i="19"/>
  <c r="K527" i="19"/>
  <c r="J527" i="19"/>
  <c r="I527" i="19"/>
  <c r="H527" i="19"/>
  <c r="G527" i="19"/>
  <c r="K321" i="19"/>
  <c r="J321" i="19"/>
  <c r="I321" i="19"/>
  <c r="H321" i="19"/>
  <c r="G321" i="19"/>
  <c r="K593" i="19"/>
  <c r="J593" i="19"/>
  <c r="I593" i="19"/>
  <c r="H593" i="19"/>
  <c r="G593" i="19"/>
  <c r="K414" i="19"/>
  <c r="J414" i="19"/>
  <c r="I414" i="19"/>
  <c r="H414" i="19"/>
  <c r="G414" i="19"/>
  <c r="K54" i="19"/>
  <c r="J54" i="19"/>
  <c r="I54" i="19"/>
  <c r="H54" i="19"/>
  <c r="G54" i="19"/>
  <c r="K2" i="19"/>
  <c r="J2" i="19"/>
  <c r="I2" i="19"/>
  <c r="H2" i="19"/>
  <c r="G2" i="19"/>
  <c r="K132" i="19"/>
  <c r="J132" i="19"/>
  <c r="I132" i="19"/>
  <c r="H132" i="19"/>
  <c r="G132" i="19"/>
  <c r="K595" i="19"/>
  <c r="J595" i="19"/>
  <c r="I595" i="19"/>
  <c r="H595" i="19"/>
  <c r="G595" i="19"/>
  <c r="K256" i="19"/>
  <c r="J256" i="19"/>
  <c r="I256" i="19"/>
  <c r="H256" i="19"/>
  <c r="G256" i="19"/>
  <c r="K577" i="19"/>
  <c r="J577" i="19"/>
  <c r="I577" i="19"/>
  <c r="H577" i="19"/>
  <c r="G577" i="19"/>
  <c r="K279" i="19"/>
  <c r="J279" i="19"/>
  <c r="I279" i="19"/>
  <c r="H279" i="19"/>
  <c r="G279" i="19"/>
  <c r="K505" i="19"/>
  <c r="J505" i="19"/>
  <c r="I505" i="19"/>
  <c r="H505" i="19"/>
  <c r="G505" i="19"/>
  <c r="K526" i="19"/>
  <c r="J526" i="19"/>
  <c r="I526" i="19"/>
  <c r="H526" i="19"/>
  <c r="G526" i="19"/>
  <c r="K336" i="19"/>
  <c r="J336" i="19"/>
  <c r="I336" i="19"/>
  <c r="H336" i="19"/>
  <c r="G336" i="19"/>
  <c r="K332" i="19"/>
  <c r="J332" i="19"/>
  <c r="I332" i="19"/>
  <c r="H332" i="19"/>
  <c r="G332" i="19"/>
  <c r="K524" i="19"/>
  <c r="J524" i="19"/>
  <c r="I524" i="19"/>
  <c r="H524" i="19"/>
  <c r="G524" i="19"/>
  <c r="K500" i="19"/>
  <c r="J500" i="19"/>
  <c r="I500" i="19"/>
  <c r="H500" i="19"/>
  <c r="G500" i="19"/>
  <c r="K229" i="19"/>
  <c r="J229" i="19"/>
  <c r="I229" i="19"/>
  <c r="H229" i="19"/>
  <c r="G229" i="19"/>
  <c r="K346" i="19"/>
  <c r="J346" i="19"/>
  <c r="I346" i="19"/>
  <c r="H346" i="19"/>
  <c r="G346" i="19"/>
  <c r="K111" i="19"/>
  <c r="J111" i="19"/>
  <c r="I111" i="19"/>
  <c r="H111" i="19"/>
  <c r="G111" i="19"/>
  <c r="K410" i="19"/>
  <c r="J410" i="19"/>
  <c r="I410" i="19"/>
  <c r="H410" i="19"/>
  <c r="G410" i="19"/>
  <c r="K501" i="19"/>
  <c r="J501" i="19"/>
  <c r="I501" i="19"/>
  <c r="H501" i="19"/>
  <c r="G501" i="19"/>
  <c r="K540" i="19"/>
  <c r="J540" i="19"/>
  <c r="I540" i="19"/>
  <c r="H540" i="19"/>
  <c r="G540" i="19"/>
  <c r="K384" i="19"/>
  <c r="J384" i="19"/>
  <c r="I384" i="19"/>
  <c r="H384" i="19"/>
  <c r="G384" i="19"/>
  <c r="K618" i="19"/>
  <c r="J618" i="19"/>
  <c r="I618" i="19"/>
  <c r="H618" i="19"/>
  <c r="G618" i="19"/>
  <c r="K506" i="19"/>
  <c r="J506" i="19"/>
  <c r="I506" i="19"/>
  <c r="H506" i="19"/>
  <c r="G506" i="19"/>
  <c r="K495" i="19"/>
  <c r="J495" i="19"/>
  <c r="I495" i="19"/>
  <c r="H495" i="19"/>
  <c r="G495" i="19"/>
  <c r="K295" i="19"/>
  <c r="J295" i="19"/>
  <c r="I295" i="19"/>
  <c r="H295" i="19"/>
  <c r="G295" i="19"/>
  <c r="K617" i="19"/>
  <c r="J617" i="19"/>
  <c r="I617" i="19"/>
  <c r="H617" i="19"/>
  <c r="G617" i="19"/>
  <c r="K241" i="19"/>
  <c r="J241" i="19"/>
  <c r="I241" i="19"/>
  <c r="H241" i="19"/>
  <c r="G241" i="19"/>
  <c r="K492" i="19"/>
  <c r="J492" i="19"/>
  <c r="I492" i="19"/>
  <c r="H492" i="19"/>
  <c r="G492" i="19"/>
  <c r="K315" i="19"/>
  <c r="J315" i="19"/>
  <c r="I315" i="19"/>
  <c r="H315" i="19"/>
  <c r="G315" i="19"/>
  <c r="K508" i="19"/>
  <c r="J508" i="19"/>
  <c r="I508" i="19"/>
  <c r="H508" i="19"/>
  <c r="G508" i="19"/>
  <c r="K248" i="19"/>
  <c r="J248" i="19"/>
  <c r="I248" i="19"/>
  <c r="H248" i="19"/>
  <c r="G248" i="19"/>
  <c r="K592" i="19"/>
  <c r="J592" i="19"/>
  <c r="I592" i="19"/>
  <c r="H592" i="19"/>
  <c r="G592" i="19"/>
  <c r="K530" i="19"/>
  <c r="J530" i="19"/>
  <c r="I530" i="19"/>
  <c r="H530" i="19"/>
  <c r="G530" i="19"/>
  <c r="K560" i="19"/>
  <c r="J560" i="19"/>
  <c r="I560" i="19"/>
  <c r="H560" i="19"/>
  <c r="G560" i="19"/>
  <c r="K576" i="19"/>
  <c r="J576" i="19"/>
  <c r="I576" i="19"/>
  <c r="H576" i="19"/>
  <c r="G576" i="19"/>
  <c r="K553" i="19"/>
  <c r="J553" i="19"/>
  <c r="I553" i="19"/>
  <c r="H553" i="19"/>
  <c r="G553" i="19"/>
  <c r="K37" i="19"/>
  <c r="J37" i="19"/>
  <c r="I37" i="19"/>
  <c r="H37" i="19"/>
  <c r="G37" i="19"/>
  <c r="K444" i="19"/>
  <c r="J444" i="19"/>
  <c r="I444" i="19"/>
  <c r="H444" i="19"/>
  <c r="G444" i="19"/>
  <c r="K586" i="19"/>
  <c r="J586" i="19"/>
  <c r="I586" i="19"/>
  <c r="H586" i="19"/>
  <c r="G586" i="19"/>
  <c r="K581" i="19"/>
  <c r="J581" i="19"/>
  <c r="I581" i="19"/>
  <c r="H581" i="19"/>
  <c r="G581" i="19"/>
  <c r="K498" i="19"/>
  <c r="J498" i="19"/>
  <c r="I498" i="19"/>
  <c r="H498" i="19"/>
  <c r="G498" i="19"/>
  <c r="K316" i="19"/>
  <c r="J316" i="19"/>
  <c r="I316" i="19"/>
  <c r="H316" i="19"/>
  <c r="G316" i="19"/>
  <c r="K348" i="19"/>
  <c r="J348" i="19"/>
  <c r="I348" i="19"/>
  <c r="H348" i="19"/>
  <c r="G348" i="19"/>
  <c r="K109" i="19"/>
  <c r="J109" i="19"/>
  <c r="I109" i="19"/>
  <c r="H109" i="19"/>
  <c r="G109" i="19"/>
  <c r="K35" i="19"/>
  <c r="J35" i="19"/>
  <c r="I35" i="19"/>
  <c r="H35" i="19"/>
  <c r="G35" i="19"/>
  <c r="K534" i="19"/>
  <c r="J534" i="19"/>
  <c r="I534" i="19"/>
  <c r="H534" i="19"/>
  <c r="G534" i="19"/>
  <c r="K215" i="19"/>
  <c r="J215" i="19"/>
  <c r="I215" i="19"/>
  <c r="H215" i="19"/>
  <c r="G215" i="19"/>
  <c r="K499" i="19"/>
  <c r="J499" i="19"/>
  <c r="I499" i="19"/>
  <c r="H499" i="19"/>
  <c r="G499" i="19"/>
  <c r="K182" i="19"/>
  <c r="J182" i="19"/>
  <c r="I182" i="19"/>
  <c r="H182" i="19"/>
  <c r="G182" i="19"/>
  <c r="K407" i="19"/>
  <c r="J407" i="19"/>
  <c r="I407" i="19"/>
  <c r="H407" i="19"/>
  <c r="G407" i="19"/>
  <c r="K76" i="19"/>
  <c r="J76" i="19"/>
  <c r="I76" i="19"/>
  <c r="H76" i="19"/>
  <c r="G76" i="19"/>
  <c r="K531" i="19"/>
  <c r="J531" i="19"/>
  <c r="I531" i="19"/>
  <c r="H531" i="19"/>
  <c r="G531" i="19"/>
  <c r="K260" i="19"/>
  <c r="J260" i="19"/>
  <c r="I260" i="19"/>
  <c r="H260" i="19"/>
  <c r="G260" i="19"/>
  <c r="K290" i="19"/>
  <c r="J290" i="19"/>
  <c r="I290" i="19"/>
  <c r="H290" i="19"/>
  <c r="G290" i="19"/>
  <c r="K60" i="19"/>
  <c r="J60" i="19"/>
  <c r="I60" i="19"/>
  <c r="H60" i="19"/>
  <c r="G60" i="19"/>
  <c r="K461" i="19"/>
  <c r="J461" i="19"/>
  <c r="I461" i="19"/>
  <c r="H461" i="19"/>
  <c r="G461" i="19"/>
  <c r="K288" i="19"/>
  <c r="J288" i="19"/>
  <c r="I288" i="19"/>
  <c r="H288" i="19"/>
  <c r="G288" i="19"/>
  <c r="K419" i="19"/>
  <c r="J419" i="19"/>
  <c r="I419" i="19"/>
  <c r="H419" i="19"/>
  <c r="G419" i="19"/>
  <c r="K497" i="19"/>
  <c r="J497" i="19"/>
  <c r="I497" i="19"/>
  <c r="H497" i="19"/>
  <c r="G497" i="19"/>
  <c r="K200" i="19"/>
  <c r="J200" i="19"/>
  <c r="I200" i="19"/>
  <c r="H200" i="19"/>
  <c r="G200" i="19"/>
  <c r="K616" i="19"/>
  <c r="J616" i="19"/>
  <c r="I616" i="19"/>
  <c r="H616" i="19"/>
  <c r="G616" i="19"/>
  <c r="K615" i="19"/>
  <c r="J615" i="19"/>
  <c r="I615" i="19"/>
  <c r="H615" i="19"/>
  <c r="G615" i="19"/>
  <c r="K564" i="19"/>
  <c r="J564" i="19"/>
  <c r="I564" i="19"/>
  <c r="H564" i="19"/>
  <c r="G564" i="19"/>
  <c r="K79" i="19"/>
  <c r="J79" i="19"/>
  <c r="I79" i="19"/>
  <c r="H79" i="19"/>
  <c r="G79" i="19"/>
  <c r="K614" i="19"/>
  <c r="J614" i="19"/>
  <c r="I614" i="19"/>
  <c r="H614" i="19"/>
  <c r="G614" i="19"/>
  <c r="K613" i="19"/>
  <c r="J613" i="19"/>
  <c r="I613" i="19"/>
  <c r="H613" i="19"/>
  <c r="G613" i="19"/>
  <c r="K612" i="19"/>
  <c r="J612" i="19"/>
  <c r="I612" i="19"/>
  <c r="H612" i="19"/>
  <c r="G612" i="19"/>
  <c r="K611" i="19"/>
  <c r="J611" i="19"/>
  <c r="I611" i="19"/>
  <c r="H611" i="19"/>
  <c r="G611" i="19"/>
  <c r="K610" i="19"/>
  <c r="J610" i="19"/>
  <c r="I610" i="19"/>
  <c r="H610" i="19"/>
  <c r="G610" i="19"/>
  <c r="K305" i="19"/>
  <c r="J305" i="19"/>
  <c r="I305" i="19"/>
  <c r="H305" i="19"/>
  <c r="G305" i="19"/>
  <c r="K609" i="19"/>
  <c r="J609" i="19"/>
  <c r="I609" i="19"/>
  <c r="H609" i="19"/>
  <c r="G609" i="19"/>
  <c r="K258" i="19"/>
  <c r="J258" i="19"/>
  <c r="I258" i="19"/>
  <c r="H258" i="19"/>
  <c r="G258" i="19"/>
  <c r="K74" i="19"/>
  <c r="J74" i="19"/>
  <c r="I74" i="19"/>
  <c r="H74" i="19"/>
  <c r="G74" i="19"/>
  <c r="K523" i="19"/>
  <c r="J523" i="19"/>
  <c r="I523" i="19"/>
  <c r="H523" i="19"/>
  <c r="G523" i="19"/>
  <c r="K94" i="19"/>
  <c r="J94" i="19"/>
  <c r="I94" i="19"/>
  <c r="H94" i="19"/>
  <c r="G94" i="19"/>
  <c r="K580" i="19"/>
  <c r="J580" i="19"/>
  <c r="I580" i="19"/>
  <c r="H580" i="19"/>
  <c r="G580" i="19"/>
  <c r="K381" i="19"/>
  <c r="J381" i="19"/>
  <c r="I381" i="19"/>
  <c r="H381" i="19"/>
  <c r="G381" i="19"/>
  <c r="K41" i="19"/>
  <c r="J41" i="19"/>
  <c r="I41" i="19"/>
  <c r="H41" i="19"/>
  <c r="G41" i="19"/>
  <c r="K556" i="19"/>
  <c r="J556" i="19"/>
  <c r="I556" i="19"/>
  <c r="H556" i="19"/>
  <c r="G556" i="19"/>
  <c r="K608" i="19"/>
  <c r="J608" i="19"/>
  <c r="I608" i="19"/>
  <c r="H608" i="19"/>
  <c r="G608" i="19"/>
  <c r="K146" i="19"/>
  <c r="J146" i="19"/>
  <c r="I146" i="19"/>
  <c r="H146" i="19"/>
  <c r="G146" i="19"/>
  <c r="K104" i="19"/>
  <c r="J104" i="19"/>
  <c r="I104" i="19"/>
  <c r="H104" i="19"/>
  <c r="G104" i="19"/>
  <c r="K238" i="19"/>
  <c r="J238" i="19"/>
  <c r="I238" i="19"/>
  <c r="H238" i="19"/>
  <c r="G238" i="19"/>
  <c r="K571" i="19"/>
  <c r="J571" i="19"/>
  <c r="I571" i="19"/>
  <c r="H571" i="19"/>
  <c r="G571" i="19"/>
  <c r="K23" i="19"/>
  <c r="J23" i="19"/>
  <c r="I23" i="19"/>
  <c r="H23" i="19"/>
  <c r="G23" i="19"/>
  <c r="K158" i="19"/>
  <c r="J158" i="19"/>
  <c r="I158" i="19"/>
  <c r="H158" i="19"/>
  <c r="G158" i="19"/>
  <c r="K257" i="19"/>
  <c r="J257" i="19"/>
  <c r="I257" i="19"/>
  <c r="H257" i="19"/>
  <c r="G257" i="19"/>
  <c r="K204" i="19"/>
  <c r="J204" i="19"/>
  <c r="I204" i="19"/>
  <c r="H204" i="19"/>
  <c r="G204" i="19"/>
  <c r="K45" i="19"/>
  <c r="J45" i="19"/>
  <c r="I45" i="19"/>
  <c r="H45" i="19"/>
  <c r="G45" i="19"/>
  <c r="K130" i="19"/>
  <c r="J130" i="19"/>
  <c r="I130" i="19"/>
  <c r="H130" i="19"/>
  <c r="G130" i="19"/>
  <c r="K502" i="19"/>
  <c r="J502" i="19"/>
  <c r="I502" i="19"/>
  <c r="H502" i="19"/>
  <c r="G502" i="19"/>
  <c r="K233" i="19"/>
  <c r="J233" i="19"/>
  <c r="I233" i="19"/>
  <c r="H233" i="19"/>
  <c r="G233" i="19"/>
  <c r="K469" i="19"/>
  <c r="J469" i="19"/>
  <c r="I469" i="19"/>
  <c r="H469" i="19"/>
  <c r="G469" i="19"/>
  <c r="K318" i="19"/>
  <c r="J318" i="19"/>
  <c r="I318" i="19"/>
  <c r="H318" i="19"/>
  <c r="G318" i="19"/>
  <c r="K63" i="19"/>
  <c r="J63" i="19"/>
  <c r="I63" i="19"/>
  <c r="H63" i="19"/>
  <c r="G63" i="19"/>
  <c r="K220" i="19"/>
  <c r="J220" i="19"/>
  <c r="I220" i="19"/>
  <c r="H220" i="19"/>
  <c r="G220" i="19"/>
  <c r="K278" i="19"/>
  <c r="J278" i="19"/>
  <c r="I278" i="19"/>
  <c r="H278" i="19"/>
  <c r="G278" i="19"/>
  <c r="K212" i="19"/>
  <c r="J212" i="19"/>
  <c r="I212" i="19"/>
  <c r="H212" i="19"/>
  <c r="G212" i="19"/>
  <c r="K226" i="19"/>
  <c r="J226" i="19"/>
  <c r="I226" i="19"/>
  <c r="H226" i="19"/>
  <c r="G226" i="19"/>
  <c r="K306" i="19"/>
  <c r="J306" i="19"/>
  <c r="I306" i="19"/>
  <c r="H306" i="19"/>
  <c r="G306" i="19"/>
  <c r="K49" i="19"/>
  <c r="J49" i="19"/>
  <c r="I49" i="19"/>
  <c r="H49" i="19"/>
  <c r="G49" i="19"/>
  <c r="K274" i="19"/>
  <c r="J274" i="19"/>
  <c r="I274" i="19"/>
  <c r="H274" i="19"/>
  <c r="G274" i="19"/>
  <c r="K165" i="19"/>
  <c r="J165" i="19"/>
  <c r="I165" i="19"/>
  <c r="H165" i="19"/>
  <c r="G165" i="19"/>
  <c r="K440" i="19"/>
  <c r="J440" i="19"/>
  <c r="I440" i="19"/>
  <c r="H440" i="19"/>
  <c r="G440" i="19"/>
  <c r="K161" i="19"/>
  <c r="J161" i="19"/>
  <c r="I161" i="19"/>
  <c r="H161" i="19"/>
  <c r="G161" i="19"/>
  <c r="K178" i="19"/>
  <c r="J178" i="19"/>
  <c r="I178" i="19"/>
  <c r="H178" i="19"/>
  <c r="G178" i="19"/>
  <c r="K175" i="19"/>
  <c r="J175" i="19"/>
  <c r="I175" i="19"/>
  <c r="H175" i="19"/>
  <c r="G175" i="19"/>
  <c r="K213" i="19"/>
  <c r="J213" i="19"/>
  <c r="I213" i="19"/>
  <c r="H213" i="19"/>
  <c r="G213" i="19"/>
  <c r="K208" i="19"/>
  <c r="J208" i="19"/>
  <c r="I208" i="19"/>
  <c r="H208" i="19"/>
  <c r="G208" i="19"/>
  <c r="K539" i="19"/>
  <c r="J539" i="19"/>
  <c r="I539" i="19"/>
  <c r="H539" i="19"/>
  <c r="G539" i="19"/>
  <c r="K250" i="19"/>
  <c r="J250" i="19"/>
  <c r="I250" i="19"/>
  <c r="H250" i="19"/>
  <c r="G250" i="19"/>
  <c r="K391" i="19"/>
  <c r="J391" i="19"/>
  <c r="I391" i="19"/>
  <c r="H391" i="19"/>
  <c r="G391" i="19"/>
  <c r="K272" i="19"/>
  <c r="J272" i="19"/>
  <c r="I272" i="19"/>
  <c r="H272" i="19"/>
  <c r="G272" i="19"/>
  <c r="K349" i="19"/>
  <c r="J349" i="19"/>
  <c r="I349" i="19"/>
  <c r="H349" i="19"/>
  <c r="G349" i="19"/>
  <c r="K184" i="19"/>
  <c r="J184" i="19"/>
  <c r="I184" i="19"/>
  <c r="H184" i="19"/>
  <c r="G184" i="19"/>
  <c r="K389" i="19"/>
  <c r="J389" i="19"/>
  <c r="I389" i="19"/>
  <c r="H389" i="19"/>
  <c r="G389" i="19"/>
  <c r="K6" i="19"/>
  <c r="J6" i="19"/>
  <c r="I6" i="19"/>
  <c r="H6" i="19"/>
  <c r="G6" i="19"/>
  <c r="K424" i="19"/>
  <c r="J424" i="19"/>
  <c r="I424" i="19"/>
  <c r="H424" i="19"/>
  <c r="G424" i="19"/>
  <c r="K406" i="19"/>
  <c r="J406" i="19"/>
  <c r="I406" i="19"/>
  <c r="H406" i="19"/>
  <c r="G406" i="19"/>
  <c r="K396" i="19"/>
  <c r="J396" i="19"/>
  <c r="I396" i="19"/>
  <c r="H396" i="19"/>
  <c r="G396" i="19"/>
  <c r="K352" i="19"/>
  <c r="J352" i="19"/>
  <c r="I352" i="19"/>
  <c r="H352" i="19"/>
  <c r="G352" i="19"/>
  <c r="K386" i="19"/>
  <c r="J386" i="19"/>
  <c r="I386" i="19"/>
  <c r="H386" i="19"/>
  <c r="G386" i="19"/>
  <c r="K114" i="19"/>
  <c r="J114" i="19"/>
  <c r="I114" i="19"/>
  <c r="H114" i="19"/>
  <c r="G114" i="19"/>
  <c r="K328" i="19"/>
  <c r="J328" i="19"/>
  <c r="I328" i="19"/>
  <c r="H328" i="19"/>
  <c r="G328" i="19"/>
  <c r="K187" i="19"/>
  <c r="J187" i="19"/>
  <c r="I187" i="19"/>
  <c r="H187" i="19"/>
  <c r="G187" i="19"/>
  <c r="K341" i="19"/>
  <c r="J341" i="19"/>
  <c r="I341" i="19"/>
  <c r="H341" i="19"/>
  <c r="G341" i="19"/>
  <c r="K58" i="19"/>
  <c r="J58" i="19"/>
  <c r="I58" i="19"/>
  <c r="H58" i="19"/>
  <c r="G58" i="19"/>
  <c r="K482" i="19"/>
  <c r="J482" i="19"/>
  <c r="I482" i="19"/>
  <c r="H482" i="19"/>
  <c r="G482" i="19"/>
  <c r="K343" i="19"/>
  <c r="J343" i="19"/>
  <c r="I343" i="19"/>
  <c r="H343" i="19"/>
  <c r="G343" i="19"/>
  <c r="K232" i="19"/>
  <c r="J232" i="19"/>
  <c r="I232" i="19"/>
  <c r="H232" i="19"/>
  <c r="G232" i="19"/>
  <c r="K247" i="19"/>
  <c r="J247" i="19"/>
  <c r="I247" i="19"/>
  <c r="H247" i="19"/>
  <c r="G247" i="19"/>
  <c r="K607" i="19"/>
  <c r="J607" i="19"/>
  <c r="I607" i="19"/>
  <c r="H607" i="19"/>
  <c r="G607" i="19"/>
  <c r="K273" i="19"/>
  <c r="J273" i="19"/>
  <c r="I273" i="19"/>
  <c r="H273" i="19"/>
  <c r="G273" i="19"/>
  <c r="K277" i="19"/>
  <c r="J277" i="19"/>
  <c r="I277" i="19"/>
  <c r="H277" i="19"/>
  <c r="G277" i="19"/>
  <c r="K574" i="19"/>
  <c r="J574" i="19"/>
  <c r="I574" i="19"/>
  <c r="H574" i="19"/>
  <c r="G574" i="19"/>
  <c r="K68" i="19"/>
  <c r="J68" i="19"/>
  <c r="I68" i="19"/>
  <c r="H68" i="19"/>
  <c r="G68" i="19"/>
  <c r="K606" i="19"/>
  <c r="J606" i="19"/>
  <c r="I606" i="19"/>
  <c r="H606" i="19"/>
  <c r="G606" i="19"/>
  <c r="K372" i="19"/>
  <c r="J372" i="19"/>
  <c r="I372" i="19"/>
  <c r="H372" i="19"/>
  <c r="G372" i="19"/>
  <c r="K400" i="19"/>
  <c r="J400" i="19"/>
  <c r="I400" i="19"/>
  <c r="H400" i="19"/>
  <c r="G400" i="19"/>
  <c r="K398" i="19"/>
  <c r="J398" i="19"/>
  <c r="I398" i="19"/>
  <c r="H398" i="19"/>
  <c r="G398" i="19"/>
  <c r="K136" i="19"/>
  <c r="J136" i="19"/>
  <c r="I136" i="19"/>
  <c r="H136" i="19"/>
  <c r="G136" i="19"/>
  <c r="K28" i="19"/>
  <c r="J28" i="19"/>
  <c r="I28" i="19"/>
  <c r="H28" i="19"/>
  <c r="G28" i="19"/>
  <c r="K552" i="19"/>
  <c r="J552" i="19"/>
  <c r="I552" i="19"/>
  <c r="H552" i="19"/>
  <c r="G552" i="19"/>
  <c r="K395" i="19"/>
  <c r="J395" i="19"/>
  <c r="I395" i="19"/>
  <c r="H395" i="19"/>
  <c r="G395" i="19"/>
  <c r="K173" i="19"/>
  <c r="J173" i="19"/>
  <c r="I173" i="19"/>
  <c r="H173" i="19"/>
  <c r="G173" i="19"/>
  <c r="K337" i="19"/>
  <c r="J337" i="19"/>
  <c r="I337" i="19"/>
  <c r="H337" i="19"/>
  <c r="G337" i="19"/>
  <c r="K478" i="19"/>
  <c r="J478" i="19"/>
  <c r="I478" i="19"/>
  <c r="H478" i="19"/>
  <c r="G478" i="19"/>
  <c r="K388" i="19"/>
  <c r="J388" i="19"/>
  <c r="I388" i="19"/>
  <c r="H388" i="19"/>
  <c r="G388" i="19"/>
  <c r="K393" i="19"/>
  <c r="J393" i="19"/>
  <c r="I393" i="19"/>
  <c r="H393" i="19"/>
  <c r="G393" i="19"/>
  <c r="K329" i="19"/>
  <c r="J329" i="19"/>
  <c r="I329" i="19"/>
  <c r="H329" i="19"/>
  <c r="G329" i="19"/>
  <c r="K579" i="19"/>
  <c r="J579" i="19"/>
  <c r="I579" i="19"/>
  <c r="H579" i="19"/>
  <c r="G579" i="19"/>
  <c r="K203" i="19"/>
  <c r="J203" i="19"/>
  <c r="I203" i="19"/>
  <c r="H203" i="19"/>
  <c r="G203" i="19"/>
  <c r="K127" i="19"/>
  <c r="J127" i="19"/>
  <c r="I127" i="19"/>
  <c r="H127" i="19"/>
  <c r="G127" i="19"/>
  <c r="K239" i="19"/>
  <c r="J239" i="19"/>
  <c r="I239" i="19"/>
  <c r="H239" i="19"/>
  <c r="G239" i="19"/>
  <c r="K399" i="19"/>
  <c r="J399" i="19"/>
  <c r="I399" i="19"/>
  <c r="H399" i="19"/>
  <c r="G399" i="19"/>
  <c r="K264" i="19"/>
  <c r="J264" i="19"/>
  <c r="I264" i="19"/>
  <c r="H264" i="19"/>
  <c r="G264" i="19"/>
  <c r="K135" i="19"/>
  <c r="J135" i="19"/>
  <c r="I135" i="19"/>
  <c r="H135" i="19"/>
  <c r="G135" i="19"/>
  <c r="K269" i="19"/>
  <c r="J269" i="19"/>
  <c r="I269" i="19"/>
  <c r="H269" i="19"/>
  <c r="G269" i="19"/>
  <c r="K81" i="19"/>
  <c r="J81" i="19"/>
  <c r="I81" i="19"/>
  <c r="H81" i="19"/>
  <c r="G81" i="19"/>
  <c r="K34" i="19"/>
  <c r="J34" i="19"/>
  <c r="I34" i="19"/>
  <c r="H34" i="19"/>
  <c r="G34" i="19"/>
  <c r="K485" i="19"/>
  <c r="J485" i="19"/>
  <c r="I485" i="19"/>
  <c r="H485" i="19"/>
  <c r="G485" i="19"/>
  <c r="K113" i="19"/>
  <c r="J113" i="19"/>
  <c r="I113" i="19"/>
  <c r="H113" i="19"/>
  <c r="G113" i="19"/>
  <c r="K297" i="19"/>
  <c r="J297" i="19"/>
  <c r="I297" i="19"/>
  <c r="H297" i="19"/>
  <c r="G297" i="19"/>
  <c r="K98" i="19"/>
  <c r="J98" i="19"/>
  <c r="I98" i="19"/>
  <c r="H98" i="19"/>
  <c r="G98" i="19"/>
  <c r="K605" i="19"/>
  <c r="J605" i="19"/>
  <c r="I605" i="19"/>
  <c r="H605" i="19"/>
  <c r="G605" i="19"/>
  <c r="K479" i="19"/>
  <c r="J479" i="19"/>
  <c r="I479" i="19"/>
  <c r="H479" i="19"/>
  <c r="G479" i="19"/>
  <c r="K92" i="19"/>
  <c r="J92" i="19"/>
  <c r="I92" i="19"/>
  <c r="H92" i="19"/>
  <c r="G92" i="19"/>
  <c r="K91" i="19"/>
  <c r="J91" i="19"/>
  <c r="I91" i="19"/>
  <c r="H91" i="19"/>
  <c r="G91" i="19"/>
  <c r="K507" i="19"/>
  <c r="J507" i="19"/>
  <c r="I507" i="19"/>
  <c r="H507" i="19"/>
  <c r="G507" i="19"/>
  <c r="K454" i="19"/>
  <c r="J454" i="19"/>
  <c r="I454" i="19"/>
  <c r="H454" i="19"/>
  <c r="G454" i="19"/>
  <c r="K302" i="19"/>
  <c r="J302" i="19"/>
  <c r="I302" i="19"/>
  <c r="H302" i="19"/>
  <c r="G302" i="19"/>
  <c r="K217" i="19"/>
  <c r="J217" i="19"/>
  <c r="I217" i="19"/>
  <c r="H217" i="19"/>
  <c r="G217" i="19"/>
  <c r="K416" i="19"/>
  <c r="J416" i="19"/>
  <c r="I416" i="19"/>
  <c r="H416" i="19"/>
  <c r="G416" i="19"/>
  <c r="K228" i="19"/>
  <c r="J228" i="19"/>
  <c r="I228" i="19"/>
  <c r="H228" i="19"/>
  <c r="G228" i="19"/>
  <c r="K476" i="19"/>
  <c r="J476" i="19"/>
  <c r="I476" i="19"/>
  <c r="H476" i="19"/>
  <c r="G476" i="19"/>
  <c r="K283" i="19"/>
  <c r="J283" i="19"/>
  <c r="I283" i="19"/>
  <c r="H283" i="19"/>
  <c r="G283" i="19"/>
  <c r="K418" i="19"/>
  <c r="J418" i="19"/>
  <c r="I418" i="19"/>
  <c r="H418" i="19"/>
  <c r="G418" i="19"/>
  <c r="K110" i="19"/>
  <c r="J110" i="19"/>
  <c r="I110" i="19"/>
  <c r="H110" i="19"/>
  <c r="G110" i="19"/>
  <c r="K59" i="19"/>
  <c r="J59" i="19"/>
  <c r="I59" i="19"/>
  <c r="H59" i="19"/>
  <c r="G59" i="19"/>
  <c r="K294" i="19"/>
  <c r="J294" i="19"/>
  <c r="I294" i="19"/>
  <c r="H294" i="19"/>
  <c r="G294" i="19"/>
  <c r="K96" i="19"/>
  <c r="J96" i="19"/>
  <c r="I96" i="19"/>
  <c r="H96" i="19"/>
  <c r="G96" i="19"/>
  <c r="K415" i="19"/>
  <c r="J415" i="19"/>
  <c r="I415" i="19"/>
  <c r="H415" i="19"/>
  <c r="G415" i="19"/>
  <c r="K44" i="19"/>
  <c r="J44" i="19"/>
  <c r="I44" i="19"/>
  <c r="H44" i="19"/>
  <c r="G44" i="19"/>
  <c r="K155" i="19"/>
  <c r="J155" i="19"/>
  <c r="I155" i="19"/>
  <c r="H155" i="19"/>
  <c r="G155" i="19"/>
  <c r="K303" i="19"/>
  <c r="J303" i="19"/>
  <c r="I303" i="19"/>
  <c r="H303" i="19"/>
  <c r="G303" i="19"/>
  <c r="K483" i="19"/>
  <c r="J483" i="19"/>
  <c r="I483" i="19"/>
  <c r="H483" i="19"/>
  <c r="G483" i="19"/>
  <c r="K432" i="19"/>
  <c r="J432" i="19"/>
  <c r="I432" i="19"/>
  <c r="H432" i="19"/>
  <c r="G432" i="19"/>
  <c r="K139" i="19"/>
  <c r="J139" i="19"/>
  <c r="I139" i="19"/>
  <c r="H139" i="19"/>
  <c r="G139" i="19"/>
  <c r="K13" i="19"/>
  <c r="J13" i="19"/>
  <c r="I13" i="19"/>
  <c r="H13" i="19"/>
  <c r="G13" i="19"/>
  <c r="K20" i="19"/>
  <c r="J20" i="19"/>
  <c r="I20" i="19"/>
  <c r="H20" i="19"/>
  <c r="G20" i="19"/>
  <c r="K354" i="19"/>
  <c r="J354" i="19"/>
  <c r="I354" i="19"/>
  <c r="H354" i="19"/>
  <c r="G354" i="19"/>
  <c r="K357" i="19"/>
  <c r="J357" i="19"/>
  <c r="I357" i="19"/>
  <c r="H357" i="19"/>
  <c r="G357" i="19"/>
  <c r="K536" i="19"/>
  <c r="J536" i="19"/>
  <c r="I536" i="19"/>
  <c r="H536" i="19"/>
  <c r="G536" i="19"/>
  <c r="K325" i="19"/>
  <c r="J325" i="19"/>
  <c r="I325" i="19"/>
  <c r="H325" i="19"/>
  <c r="G325" i="19"/>
  <c r="K268" i="19"/>
  <c r="J268" i="19"/>
  <c r="I268" i="19"/>
  <c r="H268" i="19"/>
  <c r="G268" i="19"/>
  <c r="K460" i="19"/>
  <c r="J460" i="19"/>
  <c r="I460" i="19"/>
  <c r="H460" i="19"/>
  <c r="G460" i="19"/>
  <c r="K458" i="19"/>
  <c r="J458" i="19"/>
  <c r="I458" i="19"/>
  <c r="H458" i="19"/>
  <c r="G458" i="19"/>
  <c r="K301" i="19"/>
  <c r="J301" i="19"/>
  <c r="I301" i="19"/>
  <c r="H301" i="19"/>
  <c r="G301" i="19"/>
  <c r="K490" i="19"/>
  <c r="J490" i="19"/>
  <c r="I490" i="19"/>
  <c r="H490" i="19"/>
  <c r="G490" i="19"/>
  <c r="K545" i="19"/>
  <c r="J545" i="19"/>
  <c r="I545" i="19"/>
  <c r="H545" i="19"/>
  <c r="G545" i="19"/>
  <c r="K267" i="19"/>
  <c r="J267" i="19"/>
  <c r="I267" i="19"/>
  <c r="H267" i="19"/>
  <c r="G267" i="19"/>
  <c r="K50" i="19"/>
  <c r="J50" i="19"/>
  <c r="I50" i="19"/>
  <c r="H50" i="19"/>
  <c r="G50" i="19"/>
  <c r="K276" i="19"/>
  <c r="J276" i="19"/>
  <c r="I276" i="19"/>
  <c r="H276" i="19"/>
  <c r="G276" i="19"/>
  <c r="K193" i="19"/>
  <c r="J193" i="19"/>
  <c r="I193" i="19"/>
  <c r="H193" i="19"/>
  <c r="G193" i="19"/>
  <c r="K516" i="19"/>
  <c r="J516" i="19"/>
  <c r="I516" i="19"/>
  <c r="H516" i="19"/>
  <c r="G516" i="19"/>
  <c r="K404" i="19"/>
  <c r="J404" i="19"/>
  <c r="I404" i="19"/>
  <c r="H404" i="19"/>
  <c r="G404" i="19"/>
  <c r="K186" i="19"/>
  <c r="J186" i="19"/>
  <c r="I186" i="19"/>
  <c r="H186" i="19"/>
  <c r="G186" i="19"/>
  <c r="K544" i="19"/>
  <c r="J544" i="19"/>
  <c r="I544" i="19"/>
  <c r="H544" i="19"/>
  <c r="G544" i="19"/>
  <c r="K261" i="19"/>
  <c r="J261" i="19"/>
  <c r="I261" i="19"/>
  <c r="H261" i="19"/>
  <c r="G261" i="19"/>
  <c r="K604" i="19"/>
  <c r="J604" i="19"/>
  <c r="I604" i="19"/>
  <c r="H604" i="19"/>
  <c r="G604" i="19"/>
  <c r="K533" i="19"/>
  <c r="J533" i="19"/>
  <c r="I533" i="19"/>
  <c r="H533" i="19"/>
  <c r="G533" i="19"/>
  <c r="K174" i="19"/>
  <c r="J174" i="19"/>
  <c r="I174" i="19"/>
  <c r="H174" i="19"/>
  <c r="G174" i="19"/>
  <c r="K172" i="19"/>
  <c r="J172" i="19"/>
  <c r="I172" i="19"/>
  <c r="H172" i="19"/>
  <c r="G172" i="19"/>
  <c r="K148" i="19"/>
  <c r="J148" i="19"/>
  <c r="I148" i="19"/>
  <c r="H148" i="19"/>
  <c r="G148" i="19"/>
  <c r="K112" i="19"/>
  <c r="J112" i="19"/>
  <c r="I112" i="19"/>
  <c r="H112" i="19"/>
  <c r="G112" i="19"/>
  <c r="K190" i="19"/>
  <c r="J190" i="19"/>
  <c r="I190" i="19"/>
  <c r="H190" i="19"/>
  <c r="G190" i="19"/>
  <c r="K467" i="19"/>
  <c r="J467" i="19"/>
  <c r="I467" i="19"/>
  <c r="H467" i="19"/>
  <c r="G467" i="19"/>
  <c r="K481" i="19"/>
  <c r="J481" i="19"/>
  <c r="I481" i="19"/>
  <c r="H481" i="19"/>
  <c r="G481" i="19"/>
  <c r="K26" i="19"/>
  <c r="J26" i="19"/>
  <c r="I26" i="19"/>
  <c r="H26" i="19"/>
  <c r="G26" i="19"/>
  <c r="K120" i="19"/>
  <c r="J120" i="19"/>
  <c r="I120" i="19"/>
  <c r="H120" i="19"/>
  <c r="G120" i="19"/>
  <c r="K46" i="19"/>
  <c r="J46" i="19"/>
  <c r="I46" i="19"/>
  <c r="H46" i="19"/>
  <c r="G46" i="19"/>
  <c r="K333" i="19"/>
  <c r="J333" i="19"/>
  <c r="I333" i="19"/>
  <c r="H333" i="19"/>
  <c r="G333" i="19"/>
  <c r="K437" i="19"/>
  <c r="J437" i="19"/>
  <c r="I437" i="19"/>
  <c r="H437" i="19"/>
  <c r="G437" i="19"/>
  <c r="K468" i="19"/>
  <c r="J468" i="19"/>
  <c r="I468" i="19"/>
  <c r="H468" i="19"/>
  <c r="G468" i="19"/>
  <c r="K514" i="19"/>
  <c r="J514" i="19"/>
  <c r="I514" i="19"/>
  <c r="H514" i="19"/>
  <c r="G514" i="19"/>
  <c r="K195" i="19"/>
  <c r="J195" i="19"/>
  <c r="I195" i="19"/>
  <c r="H195" i="19"/>
  <c r="G195" i="19"/>
  <c r="K202" i="19"/>
  <c r="J202" i="19"/>
  <c r="I202" i="19"/>
  <c r="H202" i="19"/>
  <c r="G202" i="19"/>
  <c r="K5" i="19"/>
  <c r="J5" i="19"/>
  <c r="I5" i="19"/>
  <c r="H5" i="19"/>
  <c r="G5" i="19"/>
  <c r="K19" i="19"/>
  <c r="J19" i="19"/>
  <c r="I19" i="19"/>
  <c r="H19" i="19"/>
  <c r="G19" i="19"/>
  <c r="K429" i="19"/>
  <c r="J429" i="19"/>
  <c r="I429" i="19"/>
  <c r="H429" i="19"/>
  <c r="G429" i="19"/>
  <c r="K314" i="19"/>
  <c r="J314" i="19"/>
  <c r="I314" i="19"/>
  <c r="H314" i="19"/>
  <c r="G314" i="19"/>
  <c r="K603" i="19"/>
  <c r="J603" i="19"/>
  <c r="I603" i="19"/>
  <c r="H603" i="19"/>
  <c r="G603" i="19"/>
  <c r="K56" i="19"/>
  <c r="J56" i="19"/>
  <c r="I56" i="19"/>
  <c r="H56" i="19"/>
  <c r="G56" i="19"/>
  <c r="K438" i="19"/>
  <c r="J438" i="19"/>
  <c r="I438" i="19"/>
  <c r="H438" i="19"/>
  <c r="G438" i="19"/>
  <c r="K77" i="19"/>
  <c r="J77" i="19"/>
  <c r="I77" i="19"/>
  <c r="H77" i="19"/>
  <c r="G77" i="19"/>
  <c r="K25" i="19"/>
  <c r="J25" i="19"/>
  <c r="I25" i="19"/>
  <c r="H25" i="19"/>
  <c r="G25" i="19"/>
  <c r="K291" i="19"/>
  <c r="J291" i="19"/>
  <c r="I291" i="19"/>
  <c r="H291" i="19"/>
  <c r="G291" i="19"/>
  <c r="K106" i="19"/>
  <c r="J106" i="19"/>
  <c r="I106" i="19"/>
  <c r="H106" i="19"/>
  <c r="G106" i="19"/>
  <c r="K167" i="19"/>
  <c r="J167" i="19"/>
  <c r="I167" i="19"/>
  <c r="H167" i="19"/>
  <c r="G167" i="19"/>
  <c r="K374" i="19"/>
  <c r="J374" i="19"/>
  <c r="I374" i="19"/>
  <c r="H374" i="19"/>
  <c r="G374" i="19"/>
  <c r="K199" i="19"/>
  <c r="J199" i="19"/>
  <c r="I199" i="19"/>
  <c r="H199" i="19"/>
  <c r="G199" i="19"/>
  <c r="K570" i="19"/>
  <c r="J570" i="19"/>
  <c r="I570" i="19"/>
  <c r="H570" i="19"/>
  <c r="G570" i="19"/>
  <c r="K129" i="19"/>
  <c r="J129" i="19"/>
  <c r="I129" i="19"/>
  <c r="H129" i="19"/>
  <c r="G129" i="19"/>
  <c r="K327" i="19"/>
  <c r="J327" i="19"/>
  <c r="I327" i="19"/>
  <c r="H327" i="19"/>
  <c r="G327" i="19"/>
  <c r="K377" i="19"/>
  <c r="J377" i="19"/>
  <c r="I377" i="19"/>
  <c r="H377" i="19"/>
  <c r="G377" i="19"/>
  <c r="K64" i="19"/>
  <c r="J64" i="19"/>
  <c r="I64" i="19"/>
  <c r="H64" i="19"/>
  <c r="G64" i="19"/>
  <c r="K242" i="19"/>
  <c r="J242" i="19"/>
  <c r="I242" i="19"/>
  <c r="H242" i="19"/>
  <c r="G242" i="19"/>
  <c r="K480" i="19"/>
  <c r="J480" i="19"/>
  <c r="I480" i="19"/>
  <c r="H480" i="19"/>
  <c r="G480" i="19"/>
  <c r="K38" i="19"/>
  <c r="J38" i="19"/>
  <c r="I38" i="19"/>
  <c r="H38" i="19"/>
  <c r="G38" i="19"/>
  <c r="K557" i="19"/>
  <c r="J557" i="19"/>
  <c r="I557" i="19"/>
  <c r="H557" i="19"/>
  <c r="G557" i="19"/>
  <c r="K412" i="19"/>
  <c r="J412" i="19"/>
  <c r="I412" i="19"/>
  <c r="H412" i="19"/>
  <c r="G412" i="19"/>
  <c r="K194" i="19"/>
  <c r="J194" i="19"/>
  <c r="I194" i="19"/>
  <c r="H194" i="19"/>
  <c r="G194" i="19"/>
  <c r="K528" i="19"/>
  <c r="J528" i="19"/>
  <c r="I528" i="19"/>
  <c r="H528" i="19"/>
  <c r="G528" i="19"/>
  <c r="K126" i="19"/>
  <c r="J126" i="19"/>
  <c r="I126" i="19"/>
  <c r="H126" i="19"/>
  <c r="G126" i="19"/>
  <c r="K31" i="19"/>
  <c r="J31" i="19"/>
  <c r="I31" i="19"/>
  <c r="H31" i="19"/>
  <c r="G31" i="19"/>
  <c r="K259" i="19"/>
  <c r="J259" i="19"/>
  <c r="I259" i="19"/>
  <c r="H259" i="19"/>
  <c r="G259" i="19"/>
  <c r="K403" i="19"/>
  <c r="J403" i="19"/>
  <c r="I403" i="19"/>
  <c r="H403" i="19"/>
  <c r="G403" i="19"/>
  <c r="K144" i="19"/>
  <c r="J144" i="19"/>
  <c r="I144" i="19"/>
  <c r="H144" i="19"/>
  <c r="G144" i="19"/>
  <c r="K159" i="19"/>
  <c r="J159" i="19"/>
  <c r="I159" i="19"/>
  <c r="H159" i="19"/>
  <c r="G159" i="19"/>
  <c r="K378" i="19"/>
  <c r="J378" i="19"/>
  <c r="I378" i="19"/>
  <c r="H378" i="19"/>
  <c r="G378" i="19"/>
  <c r="K246" i="19"/>
  <c r="J246" i="19"/>
  <c r="I246" i="19"/>
  <c r="H246" i="19"/>
  <c r="G246" i="19"/>
  <c r="K578" i="19"/>
  <c r="J578" i="19"/>
  <c r="I578" i="19"/>
  <c r="H578" i="19"/>
  <c r="G578" i="19"/>
  <c r="K140" i="19"/>
  <c r="J140" i="19"/>
  <c r="I140" i="19"/>
  <c r="H140" i="19"/>
  <c r="G140" i="19"/>
  <c r="K345" i="19"/>
  <c r="J345" i="19"/>
  <c r="I345" i="19"/>
  <c r="H345" i="19"/>
  <c r="G345" i="19"/>
  <c r="K145" i="19"/>
  <c r="J145" i="19"/>
  <c r="I145" i="19"/>
  <c r="H145" i="19"/>
  <c r="G145" i="19"/>
  <c r="K72" i="19"/>
  <c r="J72" i="19"/>
  <c r="I72" i="19"/>
  <c r="H72" i="19"/>
  <c r="G72" i="19"/>
  <c r="K176" i="19"/>
  <c r="J176" i="19"/>
  <c r="I176" i="19"/>
  <c r="H176" i="19"/>
  <c r="G176" i="19"/>
  <c r="K464" i="19"/>
  <c r="J464" i="19"/>
  <c r="I464" i="19"/>
  <c r="H464" i="19"/>
  <c r="G464" i="19"/>
  <c r="K275" i="19"/>
  <c r="J275" i="19"/>
  <c r="I275" i="19"/>
  <c r="H275" i="19"/>
  <c r="G275" i="19"/>
  <c r="K90" i="19"/>
  <c r="J90" i="19"/>
  <c r="I90" i="19"/>
  <c r="H90" i="19"/>
  <c r="G90" i="19"/>
  <c r="K52" i="19"/>
  <c r="J52" i="19"/>
  <c r="I52" i="19"/>
  <c r="H52" i="19"/>
  <c r="G52" i="19"/>
  <c r="K371" i="19"/>
  <c r="J371" i="19"/>
  <c r="I371" i="19"/>
  <c r="H371" i="19"/>
  <c r="G371" i="19"/>
  <c r="K240" i="19"/>
  <c r="J240" i="19"/>
  <c r="I240" i="19"/>
  <c r="H240" i="19"/>
  <c r="G240" i="19"/>
  <c r="K61" i="19"/>
  <c r="J61" i="19"/>
  <c r="I61" i="19"/>
  <c r="H61" i="19"/>
  <c r="G61" i="19"/>
  <c r="K117" i="19"/>
  <c r="J117" i="19"/>
  <c r="I117" i="19"/>
  <c r="H117" i="19"/>
  <c r="G117" i="19"/>
  <c r="K489" i="19"/>
  <c r="J489" i="19"/>
  <c r="I489" i="19"/>
  <c r="H489" i="19"/>
  <c r="G489" i="19"/>
  <c r="K221" i="19"/>
  <c r="J221" i="19"/>
  <c r="I221" i="19"/>
  <c r="H221" i="19"/>
  <c r="G221" i="19"/>
  <c r="K487" i="19"/>
  <c r="J487" i="19"/>
  <c r="I487" i="19"/>
  <c r="H487" i="19"/>
  <c r="G487" i="19"/>
  <c r="K320" i="19"/>
  <c r="J320" i="19"/>
  <c r="I320" i="19"/>
  <c r="H320" i="19"/>
  <c r="G320" i="19"/>
  <c r="K234" i="19"/>
  <c r="J234" i="19"/>
  <c r="I234" i="19"/>
  <c r="H234" i="19"/>
  <c r="G234" i="19"/>
  <c r="K177" i="19"/>
  <c r="J177" i="19"/>
  <c r="I177" i="19"/>
  <c r="H177" i="19"/>
  <c r="G177" i="19"/>
  <c r="K602" i="19"/>
  <c r="J602" i="19"/>
  <c r="I602" i="19"/>
  <c r="H602" i="19"/>
  <c r="G602" i="19"/>
  <c r="K441" i="19"/>
  <c r="J441" i="19"/>
  <c r="I441" i="19"/>
  <c r="H441" i="19"/>
  <c r="G441" i="19"/>
  <c r="K601" i="19"/>
  <c r="J601" i="19"/>
  <c r="I601" i="19"/>
  <c r="H601" i="19"/>
  <c r="G601" i="19"/>
  <c r="K529" i="19"/>
  <c r="J529" i="19"/>
  <c r="I529" i="19"/>
  <c r="H529" i="19"/>
  <c r="G529" i="19"/>
  <c r="K380" i="19"/>
  <c r="J380" i="19"/>
  <c r="I380" i="19"/>
  <c r="H380" i="19"/>
  <c r="G380" i="19"/>
  <c r="K14" i="19"/>
  <c r="J14" i="19"/>
  <c r="I14" i="19"/>
  <c r="H14" i="19"/>
  <c r="G14" i="19"/>
  <c r="K355" i="19"/>
  <c r="J355" i="19"/>
  <c r="I355" i="19"/>
  <c r="H355" i="19"/>
  <c r="G355" i="19"/>
  <c r="K473" i="19"/>
  <c r="J473" i="19"/>
  <c r="I473" i="19"/>
  <c r="H473" i="19"/>
  <c r="G473" i="19"/>
  <c r="K511" i="19"/>
  <c r="J511" i="19"/>
  <c r="I511" i="19"/>
  <c r="H511" i="19"/>
  <c r="G511" i="19"/>
  <c r="K370" i="19"/>
  <c r="J370" i="19"/>
  <c r="I370" i="19"/>
  <c r="H370" i="19"/>
  <c r="G370" i="19"/>
  <c r="K369" i="19"/>
  <c r="J369" i="19"/>
  <c r="I369" i="19"/>
  <c r="H369" i="19"/>
  <c r="G369" i="19"/>
  <c r="K368" i="19"/>
  <c r="J368" i="19"/>
  <c r="I368" i="19"/>
  <c r="H368" i="19"/>
  <c r="G368" i="19"/>
  <c r="K367" i="19"/>
  <c r="J367" i="19"/>
  <c r="I367" i="19"/>
  <c r="H367" i="19"/>
  <c r="G367" i="19"/>
  <c r="K366" i="19"/>
  <c r="J366" i="19"/>
  <c r="I366" i="19"/>
  <c r="H366" i="19"/>
  <c r="G366" i="19"/>
  <c r="K365" i="19"/>
  <c r="J365" i="19"/>
  <c r="I365" i="19"/>
  <c r="H365" i="19"/>
  <c r="G365" i="19"/>
  <c r="K364" i="19"/>
  <c r="J364" i="19"/>
  <c r="I364" i="19"/>
  <c r="H364" i="19"/>
  <c r="G364" i="19"/>
  <c r="K363" i="19"/>
  <c r="J363" i="19"/>
  <c r="I363" i="19"/>
  <c r="H363" i="19"/>
  <c r="G363" i="19"/>
  <c r="K362" i="19"/>
  <c r="J362" i="19"/>
  <c r="I362" i="19"/>
  <c r="H362" i="19"/>
  <c r="G362" i="19"/>
  <c r="K361" i="19"/>
  <c r="J361" i="19"/>
  <c r="I361" i="19"/>
  <c r="H361" i="19"/>
  <c r="G361" i="19"/>
  <c r="K360" i="19"/>
  <c r="J360" i="19"/>
  <c r="I360" i="19"/>
  <c r="H360" i="19"/>
  <c r="G360" i="19"/>
  <c r="K359" i="19"/>
  <c r="J359" i="19"/>
  <c r="I359" i="19"/>
  <c r="H359" i="19"/>
  <c r="G359" i="19"/>
  <c r="K189" i="19"/>
  <c r="J189" i="19"/>
  <c r="I189" i="19"/>
  <c r="H189" i="19"/>
  <c r="G189" i="19"/>
  <c r="K18" i="19"/>
  <c r="J18" i="19"/>
  <c r="I18" i="19"/>
  <c r="H18" i="19"/>
  <c r="G18" i="19"/>
  <c r="K423" i="19"/>
  <c r="J423" i="19"/>
  <c r="I423" i="19"/>
  <c r="H423" i="19"/>
  <c r="G423" i="19"/>
  <c r="K510" i="19"/>
  <c r="J510" i="19"/>
  <c r="I510" i="19"/>
  <c r="H510" i="19"/>
  <c r="G510" i="19"/>
  <c r="K509" i="19"/>
  <c r="J509" i="19"/>
  <c r="I509" i="19"/>
  <c r="H509" i="19"/>
  <c r="G509" i="19"/>
  <c r="K164" i="19"/>
  <c r="J164" i="19"/>
  <c r="I164" i="19"/>
  <c r="H164" i="19"/>
  <c r="G164" i="19"/>
  <c r="K157" i="19"/>
  <c r="J157" i="19"/>
  <c r="I157" i="19"/>
  <c r="H157" i="19"/>
  <c r="G157" i="19"/>
  <c r="K65" i="19"/>
  <c r="J65" i="19"/>
  <c r="I65" i="19"/>
  <c r="H65" i="19"/>
  <c r="G65" i="19"/>
  <c r="K40" i="19"/>
  <c r="J40" i="19"/>
  <c r="I40" i="19"/>
  <c r="H40" i="19"/>
  <c r="G40" i="19"/>
  <c r="K542" i="19"/>
  <c r="J542" i="19"/>
  <c r="I542" i="19"/>
  <c r="H542" i="19"/>
  <c r="G542" i="19"/>
  <c r="K138" i="19"/>
  <c r="J138" i="19"/>
  <c r="I138" i="19"/>
  <c r="H138" i="19"/>
  <c r="G138" i="19"/>
  <c r="K520" i="19"/>
  <c r="J520" i="19"/>
  <c r="I520" i="19"/>
  <c r="H520" i="19"/>
  <c r="G520" i="19"/>
  <c r="K42" i="19"/>
  <c r="J42" i="19"/>
  <c r="I42" i="19"/>
  <c r="H42" i="19"/>
  <c r="G42" i="19"/>
  <c r="K185" i="19"/>
  <c r="J185" i="19"/>
  <c r="I185" i="19"/>
  <c r="H185" i="19"/>
  <c r="G185" i="19"/>
  <c r="K488" i="19"/>
  <c r="J488" i="19"/>
  <c r="I488" i="19"/>
  <c r="H488" i="19"/>
  <c r="G488" i="19"/>
  <c r="K462" i="19"/>
  <c r="J462" i="19"/>
  <c r="I462" i="19"/>
  <c r="H462" i="19"/>
  <c r="G462" i="19"/>
  <c r="K554" i="19"/>
  <c r="J554" i="19"/>
  <c r="I554" i="19"/>
  <c r="H554" i="19"/>
  <c r="G554" i="19"/>
  <c r="K439" i="19"/>
  <c r="J439" i="19"/>
  <c r="I439" i="19"/>
  <c r="H439" i="19"/>
  <c r="G439" i="19"/>
  <c r="K69" i="19"/>
  <c r="J69" i="19"/>
  <c r="I69" i="19"/>
  <c r="H69" i="19"/>
  <c r="G69" i="19"/>
  <c r="K340" i="19"/>
  <c r="J340" i="19"/>
  <c r="I340" i="19"/>
  <c r="H340" i="19"/>
  <c r="G340" i="19"/>
  <c r="K218" i="19"/>
  <c r="J218" i="19"/>
  <c r="I218" i="19"/>
  <c r="H218" i="19"/>
  <c r="G218" i="19"/>
  <c r="K201" i="19"/>
  <c r="J201" i="19"/>
  <c r="I201" i="19"/>
  <c r="H201" i="19"/>
  <c r="G201" i="19"/>
  <c r="K55" i="19"/>
  <c r="J55" i="19"/>
  <c r="I55" i="19"/>
  <c r="H55" i="19"/>
  <c r="G55" i="19"/>
  <c r="K287" i="19"/>
  <c r="J287" i="19"/>
  <c r="I287" i="19"/>
  <c r="H287" i="19"/>
  <c r="G287" i="19"/>
  <c r="K57" i="19"/>
  <c r="J57" i="19"/>
  <c r="I57" i="19"/>
  <c r="H57" i="19"/>
  <c r="G57" i="19"/>
  <c r="K82" i="19"/>
  <c r="J82" i="19"/>
  <c r="I82" i="19"/>
  <c r="H82" i="19"/>
  <c r="G82" i="19"/>
  <c r="K75" i="19"/>
  <c r="J75" i="19"/>
  <c r="I75" i="19"/>
  <c r="H75" i="19"/>
  <c r="G75" i="19"/>
  <c r="K309" i="19"/>
  <c r="J309" i="19"/>
  <c r="I309" i="19"/>
  <c r="H309" i="19"/>
  <c r="G309" i="19"/>
  <c r="K32" i="19"/>
  <c r="J32" i="19"/>
  <c r="I32" i="19"/>
  <c r="H32" i="19"/>
  <c r="G32" i="19"/>
  <c r="K600" i="19"/>
  <c r="J600" i="19"/>
  <c r="I600" i="19"/>
  <c r="H600" i="19"/>
  <c r="G600" i="19"/>
  <c r="K9" i="19"/>
  <c r="J9" i="19"/>
  <c r="I9" i="19"/>
  <c r="H9" i="19"/>
  <c r="G9" i="19"/>
  <c r="K356" i="19"/>
  <c r="J356" i="19"/>
  <c r="I356" i="19"/>
  <c r="H356" i="19"/>
  <c r="G356" i="19"/>
  <c r="K169" i="19"/>
  <c r="J169" i="19"/>
  <c r="I169" i="19"/>
  <c r="H169" i="19"/>
  <c r="G169" i="19"/>
  <c r="K116" i="19"/>
  <c r="J116" i="19"/>
  <c r="I116" i="19"/>
  <c r="H116" i="19"/>
  <c r="G116" i="19"/>
  <c r="K474" i="19"/>
  <c r="J474" i="19"/>
  <c r="I474" i="19"/>
  <c r="H474" i="19"/>
  <c r="G474" i="19"/>
  <c r="K430" i="19"/>
  <c r="J430" i="19"/>
  <c r="I430" i="19"/>
  <c r="H430" i="19"/>
  <c r="G430" i="19"/>
  <c r="K397" i="19"/>
  <c r="J397" i="19"/>
  <c r="I397" i="19"/>
  <c r="H397" i="19"/>
  <c r="G397" i="19"/>
  <c r="K223" i="19"/>
  <c r="J223" i="19"/>
  <c r="I223" i="19"/>
  <c r="H223" i="19"/>
  <c r="G223" i="19"/>
  <c r="K89" i="19"/>
  <c r="J89" i="19"/>
  <c r="I89" i="19"/>
  <c r="H89" i="19"/>
  <c r="G89" i="19"/>
  <c r="K71" i="19"/>
  <c r="J71" i="19"/>
  <c r="I71" i="19"/>
  <c r="H71" i="19"/>
  <c r="G71" i="19"/>
  <c r="K108" i="19"/>
  <c r="J108" i="19"/>
  <c r="I108" i="19"/>
  <c r="H108" i="19"/>
  <c r="G108" i="19"/>
  <c r="K181" i="19"/>
  <c r="J181" i="19"/>
  <c r="I181" i="19"/>
  <c r="H181" i="19"/>
  <c r="G181" i="19"/>
  <c r="K326" i="19"/>
  <c r="J326" i="19"/>
  <c r="I326" i="19"/>
  <c r="H326" i="19"/>
  <c r="G326" i="19"/>
  <c r="K188" i="19"/>
  <c r="J188" i="19"/>
  <c r="I188" i="19"/>
  <c r="H188" i="19"/>
  <c r="G188" i="19"/>
  <c r="K513" i="19"/>
  <c r="J513" i="19"/>
  <c r="I513" i="19"/>
  <c r="H513" i="19"/>
  <c r="G513" i="19"/>
  <c r="K22" i="19"/>
  <c r="J22" i="19"/>
  <c r="I22" i="19"/>
  <c r="H22" i="19"/>
  <c r="G22" i="19"/>
  <c r="K567" i="19"/>
  <c r="J567" i="19"/>
  <c r="I567" i="19"/>
  <c r="H567" i="19"/>
  <c r="G567" i="19"/>
  <c r="K312" i="19"/>
  <c r="J312" i="19"/>
  <c r="I312" i="19"/>
  <c r="H312" i="19"/>
  <c r="G312" i="19"/>
  <c r="K434" i="19"/>
  <c r="J434" i="19"/>
  <c r="I434" i="19"/>
  <c r="H434" i="19"/>
  <c r="G434" i="19"/>
  <c r="K455" i="19"/>
  <c r="J455" i="19"/>
  <c r="I455" i="19"/>
  <c r="H455" i="19"/>
  <c r="G455" i="19"/>
  <c r="K235" i="19"/>
  <c r="J235" i="19"/>
  <c r="I235" i="19"/>
  <c r="H235" i="19"/>
  <c r="G235" i="19"/>
  <c r="K150" i="19"/>
  <c r="J150" i="19"/>
  <c r="I150" i="19"/>
  <c r="H150" i="19"/>
  <c r="G150" i="19"/>
  <c r="K222" i="19"/>
  <c r="J222" i="19"/>
  <c r="I222" i="19"/>
  <c r="H222" i="19"/>
  <c r="G222" i="19"/>
  <c r="K344" i="19"/>
  <c r="J344" i="19"/>
  <c r="I344" i="19"/>
  <c r="H344" i="19"/>
  <c r="G344" i="19"/>
  <c r="K347" i="19"/>
  <c r="J347" i="19"/>
  <c r="I347" i="19"/>
  <c r="H347" i="19"/>
  <c r="G347" i="19"/>
  <c r="K100" i="19"/>
  <c r="J100" i="19"/>
  <c r="I100" i="19"/>
  <c r="H100" i="19"/>
  <c r="G100" i="19"/>
  <c r="K401" i="19"/>
  <c r="J401" i="19"/>
  <c r="I401" i="19"/>
  <c r="H401" i="19"/>
  <c r="G401" i="19"/>
  <c r="K323" i="19"/>
  <c r="J323" i="19"/>
  <c r="I323" i="19"/>
  <c r="H323" i="19"/>
  <c r="G323" i="19"/>
  <c r="K166" i="19"/>
  <c r="J166" i="19"/>
  <c r="I166" i="19"/>
  <c r="H166" i="19"/>
  <c r="G166" i="19"/>
  <c r="K86" i="19"/>
  <c r="J86" i="19"/>
  <c r="I86" i="19"/>
  <c r="H86" i="19"/>
  <c r="G86" i="19"/>
  <c r="K451" i="19"/>
  <c r="J451" i="19"/>
  <c r="I451" i="19"/>
  <c r="H451" i="19"/>
  <c r="G451" i="19"/>
  <c r="K413" i="19"/>
  <c r="J413" i="19"/>
  <c r="I413" i="19"/>
  <c r="H413" i="19"/>
  <c r="G413" i="19"/>
  <c r="K103" i="19"/>
  <c r="J103" i="19"/>
  <c r="I103" i="19"/>
  <c r="H103" i="19"/>
  <c r="G103" i="19"/>
  <c r="K24" i="19"/>
  <c r="J24" i="19"/>
  <c r="I24" i="19"/>
  <c r="H24" i="19"/>
  <c r="G24" i="19"/>
  <c r="K88" i="19"/>
  <c r="J88" i="19"/>
  <c r="I88" i="19"/>
  <c r="H88" i="19"/>
  <c r="G88" i="19"/>
  <c r="K293" i="19"/>
  <c r="J293" i="19"/>
  <c r="I293" i="19"/>
  <c r="H293" i="19"/>
  <c r="G293" i="19"/>
  <c r="K7" i="19"/>
  <c r="J7" i="19"/>
  <c r="I7" i="19"/>
  <c r="H7" i="19"/>
  <c r="G7" i="19"/>
  <c r="K433" i="19"/>
  <c r="J433" i="19"/>
  <c r="I433" i="19"/>
  <c r="H433" i="19"/>
  <c r="G433" i="19"/>
  <c r="K219" i="19"/>
  <c r="J219" i="19"/>
  <c r="I219" i="19"/>
  <c r="H219" i="19"/>
  <c r="G219" i="19"/>
  <c r="K152" i="19"/>
  <c r="J152" i="19"/>
  <c r="I152" i="19"/>
  <c r="H152" i="19"/>
  <c r="G152" i="19"/>
  <c r="K243" i="19"/>
  <c r="J243" i="19"/>
  <c r="I243" i="19"/>
  <c r="H243" i="19"/>
  <c r="G243" i="19"/>
  <c r="K426" i="19"/>
  <c r="J426" i="19"/>
  <c r="I426" i="19"/>
  <c r="H426" i="19"/>
  <c r="G426" i="19"/>
  <c r="K313" i="19"/>
  <c r="J313" i="19"/>
  <c r="I313" i="19"/>
  <c r="H313" i="19"/>
  <c r="G313" i="19"/>
  <c r="K151" i="19"/>
  <c r="J151" i="19"/>
  <c r="I151" i="19"/>
  <c r="H151" i="19"/>
  <c r="G151" i="19"/>
  <c r="K339" i="19"/>
  <c r="J339" i="19"/>
  <c r="I339" i="19"/>
  <c r="H339" i="19"/>
  <c r="G339" i="19"/>
  <c r="K119" i="19"/>
  <c r="J119" i="19"/>
  <c r="I119" i="19"/>
  <c r="H119" i="19"/>
  <c r="G119" i="19"/>
  <c r="K518" i="19"/>
  <c r="J518" i="19"/>
  <c r="I518" i="19"/>
  <c r="H518" i="19"/>
  <c r="G518" i="19"/>
  <c r="K70" i="19"/>
  <c r="J70" i="19"/>
  <c r="I70" i="19"/>
  <c r="H70" i="19"/>
  <c r="G70" i="19"/>
  <c r="K47" i="19"/>
  <c r="J47" i="19"/>
  <c r="I47" i="19"/>
  <c r="H47" i="19"/>
  <c r="G47" i="19"/>
  <c r="K330" i="19"/>
  <c r="J330" i="19"/>
  <c r="I330" i="19"/>
  <c r="H330" i="19"/>
  <c r="G330" i="19"/>
  <c r="K33" i="19"/>
  <c r="J33" i="19"/>
  <c r="I33" i="19"/>
  <c r="H33" i="19"/>
  <c r="G33" i="19"/>
  <c r="K12" i="19"/>
  <c r="J12" i="19"/>
  <c r="I12" i="19"/>
  <c r="H12" i="19"/>
  <c r="G12" i="19"/>
  <c r="K62" i="19"/>
  <c r="J62" i="19"/>
  <c r="I62" i="19"/>
  <c r="H62" i="19"/>
  <c r="G62" i="19"/>
  <c r="K447" i="19"/>
  <c r="J447" i="19"/>
  <c r="I447" i="19"/>
  <c r="H447" i="19"/>
  <c r="G447" i="19"/>
  <c r="K115" i="19"/>
  <c r="J115" i="19"/>
  <c r="I115" i="19"/>
  <c r="H115" i="19"/>
  <c r="G115" i="19"/>
  <c r="K493" i="19"/>
  <c r="J493" i="19"/>
  <c r="I493" i="19"/>
  <c r="H493" i="19"/>
  <c r="G493" i="19"/>
  <c r="K342" i="19"/>
  <c r="J342" i="19"/>
  <c r="I342" i="19"/>
  <c r="H342" i="19"/>
  <c r="G342" i="19"/>
  <c r="K436" i="19"/>
  <c r="J436" i="19"/>
  <c r="I436" i="19"/>
  <c r="H436" i="19"/>
  <c r="G436" i="19"/>
  <c r="K405" i="19"/>
  <c r="J405" i="19"/>
  <c r="I405" i="19"/>
  <c r="H405" i="19"/>
  <c r="G405" i="19"/>
  <c r="K541" i="19"/>
  <c r="J541" i="19"/>
  <c r="I541" i="19"/>
  <c r="H541" i="19"/>
  <c r="G541" i="19"/>
  <c r="K270" i="19"/>
  <c r="J270" i="19"/>
  <c r="I270" i="19"/>
  <c r="H270" i="19"/>
  <c r="G270" i="19"/>
  <c r="K311" i="19"/>
  <c r="J311" i="19"/>
  <c r="I311" i="19"/>
  <c r="H311" i="19"/>
  <c r="G311" i="19"/>
  <c r="K443" i="19"/>
  <c r="J443" i="19"/>
  <c r="I443" i="19"/>
  <c r="H443" i="19"/>
  <c r="G443" i="19"/>
  <c r="K517" i="19"/>
  <c r="J517" i="19"/>
  <c r="I517" i="19"/>
  <c r="H517" i="19"/>
  <c r="G517" i="19"/>
  <c r="K102" i="19"/>
  <c r="J102" i="19"/>
  <c r="I102" i="19"/>
  <c r="H102" i="19"/>
  <c r="G102" i="19"/>
  <c r="K84" i="19"/>
  <c r="J84" i="19"/>
  <c r="I84" i="19"/>
  <c r="H84" i="19"/>
  <c r="G84" i="19"/>
  <c r="K206" i="19"/>
  <c r="J206" i="19"/>
  <c r="I206" i="19"/>
  <c r="H206" i="19"/>
  <c r="G206" i="19"/>
  <c r="K78" i="19"/>
  <c r="J78" i="19"/>
  <c r="I78" i="19"/>
  <c r="H78" i="19"/>
  <c r="G78" i="19"/>
  <c r="K431" i="19"/>
  <c r="J431" i="19"/>
  <c r="I431" i="19"/>
  <c r="H431" i="19"/>
  <c r="G431" i="19"/>
  <c r="K568" i="19"/>
  <c r="J568" i="19"/>
  <c r="I568" i="19"/>
  <c r="H568" i="19"/>
  <c r="G568" i="19"/>
  <c r="K205" i="19"/>
  <c r="J205" i="19"/>
  <c r="I205" i="19"/>
  <c r="H205" i="19"/>
  <c r="G205" i="19"/>
  <c r="K231" i="19"/>
  <c r="J231" i="19"/>
  <c r="I231" i="19"/>
  <c r="H231" i="19"/>
  <c r="G231" i="19"/>
  <c r="K128" i="19"/>
  <c r="J128" i="19"/>
  <c r="I128" i="19"/>
  <c r="H128" i="19"/>
  <c r="G128" i="19"/>
  <c r="K249" i="19"/>
  <c r="J249" i="19"/>
  <c r="I249" i="19"/>
  <c r="H249" i="19"/>
  <c r="G249" i="19"/>
  <c r="K448" i="19"/>
  <c r="J448" i="19"/>
  <c r="I448" i="19"/>
  <c r="H448" i="19"/>
  <c r="G448" i="19"/>
  <c r="K512" i="19"/>
  <c r="J512" i="19"/>
  <c r="I512" i="19"/>
  <c r="H512" i="19"/>
  <c r="G512" i="19"/>
  <c r="K450" i="19"/>
  <c r="J450" i="19"/>
  <c r="I450" i="19"/>
  <c r="H450" i="19"/>
  <c r="G450" i="19"/>
  <c r="K196" i="19"/>
  <c r="J196" i="19"/>
  <c r="I196" i="19"/>
  <c r="H196" i="19"/>
  <c r="G196" i="19"/>
  <c r="K17" i="19"/>
  <c r="J17" i="19"/>
  <c r="I17" i="19"/>
  <c r="H17" i="19"/>
  <c r="G17" i="19"/>
  <c r="K285" i="19"/>
  <c r="J285" i="19"/>
  <c r="I285" i="19"/>
  <c r="H285" i="19"/>
  <c r="G285" i="19"/>
  <c r="K107" i="19"/>
  <c r="J107" i="19"/>
  <c r="I107" i="19"/>
  <c r="H107" i="19"/>
  <c r="G107" i="19"/>
  <c r="K105" i="19"/>
  <c r="J105" i="19"/>
  <c r="I105" i="19"/>
  <c r="H105" i="19"/>
  <c r="G105" i="19"/>
  <c r="K39" i="19"/>
  <c r="J39" i="19"/>
  <c r="I39" i="19"/>
  <c r="H39" i="19"/>
  <c r="G39" i="19"/>
  <c r="K236" i="19"/>
  <c r="J236" i="19"/>
  <c r="I236" i="19"/>
  <c r="H236" i="19"/>
  <c r="G236" i="19"/>
  <c r="K30" i="19"/>
  <c r="J30" i="19"/>
  <c r="I30" i="19"/>
  <c r="H30" i="19"/>
  <c r="G30" i="19"/>
  <c r="K559" i="19"/>
  <c r="J559" i="19"/>
  <c r="I559" i="19"/>
  <c r="H559" i="19"/>
  <c r="G559" i="19"/>
  <c r="K133" i="19"/>
  <c r="J133" i="19"/>
  <c r="I133" i="19"/>
  <c r="H133" i="19"/>
  <c r="G133" i="19"/>
  <c r="K292" i="19"/>
  <c r="J292" i="19"/>
  <c r="I292" i="19"/>
  <c r="H292" i="19"/>
  <c r="G292" i="19"/>
  <c r="K252" i="19"/>
  <c r="J252" i="19"/>
  <c r="I252" i="19"/>
  <c r="H252" i="19"/>
  <c r="G252" i="19"/>
  <c r="K310" i="19"/>
  <c r="J310" i="19"/>
  <c r="I310" i="19"/>
  <c r="H310" i="19"/>
  <c r="G310" i="19"/>
  <c r="K466" i="19"/>
  <c r="J466" i="19"/>
  <c r="I466" i="19"/>
  <c r="H466" i="19"/>
  <c r="G466" i="19"/>
  <c r="K265" i="19"/>
  <c r="J265" i="19"/>
  <c r="I265" i="19"/>
  <c r="H265" i="19"/>
  <c r="G265" i="19"/>
  <c r="K408" i="19"/>
  <c r="J408" i="19"/>
  <c r="I408" i="19"/>
  <c r="H408" i="19"/>
  <c r="G408" i="19"/>
  <c r="K453" i="19"/>
  <c r="J453" i="19"/>
  <c r="I453" i="19"/>
  <c r="H453" i="19"/>
  <c r="G453" i="19"/>
  <c r="K549" i="19"/>
  <c r="J549" i="19"/>
  <c r="I549" i="19"/>
  <c r="H549" i="19"/>
  <c r="G549" i="19"/>
  <c r="K409" i="19"/>
  <c r="J409" i="19"/>
  <c r="I409" i="19"/>
  <c r="H409" i="19"/>
  <c r="G409" i="19"/>
  <c r="K147" i="19"/>
  <c r="J147" i="19"/>
  <c r="I147" i="19"/>
  <c r="H147" i="19"/>
  <c r="G147" i="19"/>
  <c r="K93" i="19"/>
  <c r="J93" i="19"/>
  <c r="I93" i="19"/>
  <c r="H93" i="19"/>
  <c r="G93" i="19"/>
  <c r="K286" i="19"/>
  <c r="J286" i="19"/>
  <c r="I286" i="19"/>
  <c r="H286" i="19"/>
  <c r="G286" i="19"/>
  <c r="K183" i="19"/>
  <c r="J183" i="19"/>
  <c r="I183" i="19"/>
  <c r="H183" i="19"/>
  <c r="G183" i="19"/>
  <c r="K338" i="19"/>
  <c r="J338" i="19"/>
  <c r="I338" i="19"/>
  <c r="H338" i="19"/>
  <c r="G338" i="19"/>
  <c r="K494" i="19"/>
  <c r="J494" i="19"/>
  <c r="I494" i="19"/>
  <c r="H494" i="19"/>
  <c r="G494" i="19"/>
  <c r="K48" i="19"/>
  <c r="J48" i="19"/>
  <c r="I48" i="19"/>
  <c r="H48" i="19"/>
  <c r="G48" i="19"/>
  <c r="K16" i="19"/>
  <c r="J16" i="19"/>
  <c r="I16" i="19"/>
  <c r="H16" i="19"/>
  <c r="G16" i="19"/>
  <c r="K11" i="19"/>
  <c r="J11" i="19"/>
  <c r="I11" i="19"/>
  <c r="H11" i="19"/>
  <c r="G11" i="19"/>
  <c r="K351" i="19"/>
  <c r="J351" i="19"/>
  <c r="I351" i="19"/>
  <c r="H351" i="19"/>
  <c r="G351" i="19"/>
  <c r="K392" i="19"/>
  <c r="J392" i="19"/>
  <c r="I392" i="19"/>
  <c r="H392" i="19"/>
  <c r="G392" i="19"/>
  <c r="K156" i="19"/>
  <c r="J156" i="19"/>
  <c r="I156" i="19"/>
  <c r="H156" i="19"/>
  <c r="G156" i="19"/>
  <c r="K390" i="19"/>
  <c r="J390" i="19"/>
  <c r="I390" i="19"/>
  <c r="H390" i="19"/>
  <c r="G390" i="19"/>
  <c r="K180" i="19"/>
  <c r="J180" i="19"/>
  <c r="I180" i="19"/>
  <c r="H180" i="19"/>
  <c r="G180" i="19"/>
  <c r="K562" i="19"/>
  <c r="J562" i="19"/>
  <c r="I562" i="19"/>
  <c r="H562" i="19"/>
  <c r="G562" i="19"/>
  <c r="K85" i="19"/>
  <c r="J85" i="19"/>
  <c r="I85" i="19"/>
  <c r="H85" i="19"/>
  <c r="G85" i="19"/>
  <c r="K296" i="19"/>
  <c r="J296" i="19"/>
  <c r="I296" i="19"/>
  <c r="H296" i="19"/>
  <c r="G296" i="19"/>
  <c r="K118" i="19"/>
  <c r="J118" i="19"/>
  <c r="I118" i="19"/>
  <c r="H118" i="19"/>
  <c r="G118" i="19"/>
  <c r="K442" i="19"/>
  <c r="J442" i="19"/>
  <c r="I442" i="19"/>
  <c r="H442" i="19"/>
  <c r="G442" i="19"/>
  <c r="K131" i="19"/>
  <c r="J131" i="19"/>
  <c r="I131" i="19"/>
  <c r="H131" i="19"/>
  <c r="G131" i="19"/>
  <c r="K331" i="19"/>
  <c r="J331" i="19"/>
  <c r="I331" i="19"/>
  <c r="H331" i="19"/>
  <c r="G331" i="19"/>
  <c r="K486" i="19"/>
  <c r="J486" i="19"/>
  <c r="I486" i="19"/>
  <c r="H486" i="19"/>
  <c r="G486" i="19"/>
  <c r="K191" i="19"/>
  <c r="J191" i="19"/>
  <c r="I191" i="19"/>
  <c r="H191" i="19"/>
  <c r="G191" i="19"/>
  <c r="K137" i="19"/>
  <c r="J137" i="19"/>
  <c r="I137" i="19"/>
  <c r="H137" i="19"/>
  <c r="G137" i="19"/>
  <c r="K521" i="19"/>
  <c r="J521" i="19"/>
  <c r="I521" i="19"/>
  <c r="H521" i="19"/>
  <c r="G521" i="19"/>
  <c r="K237" i="19"/>
  <c r="J237" i="19"/>
  <c r="I237" i="19"/>
  <c r="H237" i="19"/>
  <c r="G237" i="19"/>
  <c r="K8" i="19"/>
  <c r="J8" i="19"/>
  <c r="I8" i="19"/>
  <c r="H8" i="19"/>
  <c r="G8" i="19"/>
  <c r="K379" i="19"/>
  <c r="J379" i="19"/>
  <c r="I379" i="19"/>
  <c r="H379" i="19"/>
  <c r="G379" i="19"/>
  <c r="K125" i="19"/>
  <c r="J125" i="19"/>
  <c r="I125" i="19"/>
  <c r="H125" i="19"/>
  <c r="G125" i="19"/>
  <c r="K225" i="19"/>
  <c r="J225" i="19"/>
  <c r="I225" i="19"/>
  <c r="H225" i="19"/>
  <c r="G225" i="19"/>
  <c r="K21" i="19"/>
  <c r="J21" i="19"/>
  <c r="I21" i="19"/>
  <c r="H21" i="19"/>
  <c r="G21" i="19"/>
  <c r="K67" i="19"/>
  <c r="J67" i="19"/>
  <c r="I67" i="19"/>
  <c r="H67" i="19"/>
  <c r="G67" i="19"/>
  <c r="K504" i="19"/>
  <c r="J504" i="19"/>
  <c r="I504" i="19"/>
  <c r="H504" i="19"/>
  <c r="G504" i="19"/>
  <c r="K304" i="19"/>
  <c r="J304" i="19"/>
  <c r="I304" i="19"/>
  <c r="H304" i="19"/>
  <c r="G304" i="19"/>
  <c r="K53" i="19"/>
  <c r="J53" i="19"/>
  <c r="I53" i="19"/>
  <c r="H53" i="19"/>
  <c r="G53" i="19"/>
  <c r="K83" i="19"/>
  <c r="J83" i="19"/>
  <c r="I83" i="19"/>
  <c r="H83" i="19"/>
  <c r="G83" i="19"/>
  <c r="K216" i="19"/>
  <c r="J216" i="19"/>
  <c r="I216" i="19"/>
  <c r="H216" i="19"/>
  <c r="G216" i="19"/>
  <c r="K163" i="19"/>
  <c r="J163" i="19"/>
  <c r="I163" i="19"/>
  <c r="H163" i="19"/>
  <c r="G163" i="19"/>
  <c r="K425" i="19"/>
  <c r="J425" i="19"/>
  <c r="I425" i="19"/>
  <c r="H425" i="19"/>
  <c r="G425" i="19"/>
  <c r="K15" i="19"/>
  <c r="J15" i="19"/>
  <c r="I15" i="19"/>
  <c r="H15" i="19"/>
  <c r="G15" i="19"/>
  <c r="K80" i="19"/>
  <c r="J80" i="19"/>
  <c r="I80" i="19"/>
  <c r="H80" i="19"/>
  <c r="G80" i="19"/>
  <c r="K198" i="19"/>
  <c r="J198" i="19"/>
  <c r="I198" i="19"/>
  <c r="H198" i="19"/>
  <c r="G198" i="19"/>
  <c r="K66" i="19"/>
  <c r="J66" i="19"/>
  <c r="I66" i="19"/>
  <c r="H66" i="19"/>
  <c r="G66" i="19"/>
  <c r="K43" i="19"/>
  <c r="J43" i="19"/>
  <c r="I43" i="19"/>
  <c r="H43" i="19"/>
  <c r="G43" i="19"/>
  <c r="K263" i="19"/>
  <c r="J263" i="19"/>
  <c r="I263" i="19"/>
  <c r="H263" i="19"/>
  <c r="G263" i="19"/>
  <c r="K427" i="19"/>
  <c r="J427" i="19"/>
  <c r="I427" i="19"/>
  <c r="H427" i="19"/>
  <c r="G427" i="19"/>
  <c r="K122" i="19"/>
  <c r="J122" i="19"/>
  <c r="I122" i="19"/>
  <c r="H122" i="19"/>
  <c r="G122" i="19"/>
  <c r="K73" i="19"/>
  <c r="J73" i="19"/>
  <c r="I73" i="19"/>
  <c r="H73" i="19"/>
  <c r="G73" i="19"/>
  <c r="K253" i="19"/>
  <c r="J253" i="19"/>
  <c r="I253" i="19"/>
  <c r="H253" i="19"/>
  <c r="G253" i="19"/>
  <c r="K27" i="19"/>
  <c r="J27" i="19"/>
  <c r="I27" i="19"/>
  <c r="H27" i="19"/>
  <c r="G27" i="19"/>
  <c r="K142" i="19"/>
  <c r="J142" i="19"/>
  <c r="I142" i="19"/>
  <c r="H142" i="19"/>
  <c r="G142" i="19"/>
  <c r="K162" i="19"/>
  <c r="J162" i="19"/>
  <c r="I162" i="19"/>
  <c r="H162" i="19"/>
  <c r="G162" i="19"/>
  <c r="K358" i="19"/>
  <c r="J358" i="19"/>
  <c r="I358" i="19"/>
  <c r="H358" i="19"/>
  <c r="G358" i="19"/>
  <c r="K153" i="19"/>
  <c r="J153" i="19"/>
  <c r="I153" i="19"/>
  <c r="H153" i="19"/>
  <c r="G153" i="19"/>
  <c r="K459" i="19"/>
  <c r="J459" i="19"/>
  <c r="I459" i="19"/>
  <c r="H459" i="19"/>
  <c r="G459" i="19"/>
  <c r="K289" i="19"/>
  <c r="J289" i="19"/>
  <c r="I289" i="19"/>
  <c r="H289" i="19"/>
  <c r="G289" i="19"/>
  <c r="K97" i="19"/>
  <c r="J97" i="19"/>
  <c r="I97" i="19"/>
  <c r="H97" i="19"/>
  <c r="G97" i="19"/>
  <c r="K375" i="19"/>
  <c r="J375" i="19"/>
  <c r="I375" i="19"/>
  <c r="H375" i="19"/>
  <c r="G375" i="19"/>
  <c r="K171" i="19"/>
  <c r="J171" i="19"/>
  <c r="I171" i="19"/>
  <c r="H171" i="19"/>
  <c r="G171" i="19"/>
  <c r="K121" i="19"/>
  <c r="J121" i="19"/>
  <c r="I121" i="19"/>
  <c r="H121" i="19"/>
  <c r="G121" i="19"/>
  <c r="K154" i="19"/>
  <c r="J154" i="19"/>
  <c r="I154" i="19"/>
  <c r="H154" i="19"/>
  <c r="G154" i="19"/>
  <c r="K394" i="19"/>
  <c r="J394" i="19"/>
  <c r="I394" i="19"/>
  <c r="H394" i="19"/>
  <c r="G394" i="19"/>
  <c r="K324" i="19"/>
  <c r="J324" i="19"/>
  <c r="I324" i="19"/>
  <c r="H324" i="19"/>
  <c r="G324" i="19"/>
  <c r="K179" i="19"/>
  <c r="J179" i="19"/>
  <c r="I179" i="19"/>
  <c r="H179" i="19"/>
  <c r="G179" i="19"/>
  <c r="K376" i="19"/>
  <c r="J376" i="19"/>
  <c r="I376" i="19"/>
  <c r="H376" i="19"/>
  <c r="G376" i="19"/>
  <c r="K385" i="19"/>
  <c r="J385" i="19"/>
  <c r="I385" i="19"/>
  <c r="H385" i="19"/>
  <c r="G385" i="19"/>
  <c r="K463" i="19"/>
  <c r="J463" i="19"/>
  <c r="I463" i="19"/>
  <c r="H463" i="19"/>
  <c r="G463" i="19"/>
  <c r="K471" i="19"/>
  <c r="J471" i="19"/>
  <c r="I471" i="19"/>
  <c r="H471" i="19"/>
  <c r="G471" i="19"/>
  <c r="K422" i="19"/>
  <c r="J422" i="19"/>
  <c r="I422" i="19"/>
  <c r="H422" i="19"/>
  <c r="G422" i="19"/>
  <c r="K134" i="19"/>
  <c r="J134" i="19"/>
  <c r="I134" i="19"/>
  <c r="H134" i="19"/>
  <c r="G134" i="19"/>
  <c r="K307" i="19"/>
  <c r="J307" i="19"/>
  <c r="I307" i="19"/>
  <c r="H307" i="19"/>
  <c r="G307" i="19"/>
  <c r="K558" i="19"/>
  <c r="J558" i="19"/>
  <c r="I558" i="19"/>
  <c r="H558" i="19"/>
  <c r="G558" i="19"/>
  <c r="K209" i="19"/>
  <c r="J209" i="19"/>
  <c r="I209" i="19"/>
  <c r="H209" i="19"/>
  <c r="G209" i="19"/>
  <c r="K446" i="19"/>
  <c r="J446" i="19"/>
  <c r="I446" i="19"/>
  <c r="H446" i="19"/>
  <c r="G446" i="19"/>
  <c r="K445" i="19"/>
  <c r="J445" i="19"/>
  <c r="I445" i="19"/>
  <c r="H445" i="19"/>
  <c r="G445" i="19"/>
  <c r="K224" i="19"/>
  <c r="J224" i="19"/>
  <c r="I224" i="19"/>
  <c r="H224" i="19"/>
  <c r="G224" i="19"/>
  <c r="K244" i="19"/>
  <c r="J244" i="19"/>
  <c r="I244" i="19"/>
  <c r="H244" i="19"/>
  <c r="G244" i="19"/>
  <c r="K29" i="19"/>
  <c r="J29" i="19"/>
  <c r="I29" i="19"/>
  <c r="H29" i="19"/>
  <c r="G29" i="19"/>
  <c r="K470" i="19"/>
  <c r="J470" i="19"/>
  <c r="I470" i="19"/>
  <c r="H470" i="19"/>
  <c r="G470" i="19"/>
  <c r="K4" i="19"/>
  <c r="J4" i="19"/>
  <c r="I4" i="19"/>
  <c r="H4" i="19"/>
  <c r="G4" i="19"/>
  <c r="K335" i="19"/>
  <c r="J335" i="19"/>
  <c r="I335" i="19"/>
  <c r="H335" i="19"/>
  <c r="G335" i="19"/>
  <c r="K36" i="19"/>
  <c r="J36" i="19"/>
  <c r="I36" i="19"/>
  <c r="H36" i="19"/>
  <c r="G36" i="19"/>
  <c r="K599" i="19"/>
  <c r="J599" i="19"/>
  <c r="I599" i="19"/>
  <c r="H599" i="19"/>
  <c r="G599" i="19"/>
  <c r="K299" i="19"/>
  <c r="J299" i="19"/>
  <c r="I299" i="19"/>
  <c r="H299" i="19"/>
  <c r="G299" i="19"/>
  <c r="K598" i="19"/>
  <c r="J598" i="19"/>
  <c r="I598" i="19"/>
  <c r="H598" i="19"/>
  <c r="G598" i="19"/>
  <c r="K597" i="19"/>
  <c r="J597" i="19"/>
  <c r="I597" i="19"/>
  <c r="H597" i="19"/>
  <c r="G597" i="19"/>
  <c r="K382" i="19"/>
  <c r="J382" i="19"/>
  <c r="I382" i="19"/>
  <c r="H382" i="19"/>
  <c r="G382" i="19"/>
  <c r="K319" i="19"/>
  <c r="J319" i="19"/>
  <c r="I319" i="19"/>
  <c r="H319" i="19"/>
  <c r="G319" i="19"/>
  <c r="K350" i="19"/>
  <c r="J350" i="19"/>
  <c r="I350" i="19"/>
  <c r="H350" i="19"/>
  <c r="G350" i="19"/>
  <c r="K211" i="19"/>
  <c r="J211" i="19"/>
  <c r="I211" i="19"/>
  <c r="H211" i="19"/>
  <c r="G211" i="19"/>
  <c r="K123" i="19"/>
  <c r="J123" i="19"/>
  <c r="I123" i="19"/>
  <c r="H123" i="19"/>
  <c r="G123" i="19"/>
  <c r="K214" i="19"/>
  <c r="J214" i="19"/>
  <c r="I214" i="19"/>
  <c r="H214" i="19"/>
  <c r="G214" i="19"/>
  <c r="K298" i="19"/>
  <c r="J298" i="19"/>
  <c r="I298" i="19"/>
  <c r="H298" i="19"/>
  <c r="G298" i="19"/>
  <c r="K160" i="19"/>
  <c r="J160" i="19"/>
  <c r="I160" i="19"/>
  <c r="H160" i="19"/>
  <c r="G160" i="19"/>
  <c r="K51" i="19"/>
  <c r="J51" i="19"/>
  <c r="I51" i="19"/>
  <c r="H51" i="19"/>
  <c r="G51" i="19"/>
  <c r="K373" i="19"/>
  <c r="J373" i="19"/>
  <c r="I373" i="19"/>
  <c r="H373" i="19"/>
  <c r="G373" i="19"/>
  <c r="K266" i="19"/>
  <c r="J266" i="19"/>
  <c r="I266" i="19"/>
  <c r="H266" i="19"/>
  <c r="G266" i="19"/>
  <c r="J42" i="5"/>
  <c r="K42" i="5"/>
  <c r="L42" i="5"/>
  <c r="J43" i="5"/>
  <c r="K43" i="5"/>
  <c r="L43" i="5"/>
  <c r="J44" i="5"/>
  <c r="K44" i="5"/>
  <c r="L44" i="5"/>
  <c r="H21" i="14"/>
  <c r="G22" i="14"/>
  <c r="AD77" i="4"/>
  <c r="AD76" i="4"/>
  <c r="AD75" i="4"/>
  <c r="AD74" i="4"/>
  <c r="AC77" i="4"/>
  <c r="AC76" i="4"/>
  <c r="AC75" i="4"/>
  <c r="AC74" i="4"/>
  <c r="AB77" i="4"/>
  <c r="AB76" i="4"/>
  <c r="AB75" i="4"/>
  <c r="AB74" i="4"/>
  <c r="AD71" i="4"/>
  <c r="AD70" i="4"/>
  <c r="AD69" i="4"/>
  <c r="AD68" i="4"/>
  <c r="AC71" i="4"/>
  <c r="AC70" i="4"/>
  <c r="AC69" i="4"/>
  <c r="AC68" i="4"/>
  <c r="AB71" i="4"/>
  <c r="AB70" i="4"/>
  <c r="AB69" i="4"/>
  <c r="AE69" i="4" s="1"/>
  <c r="AB68" i="4"/>
  <c r="AE64" i="4"/>
  <c r="AE63" i="4"/>
  <c r="AE62" i="4"/>
  <c r="AE61" i="4"/>
  <c r="C23" i="13" l="1"/>
  <c r="U75" i="4"/>
  <c r="Y110" i="4"/>
  <c r="D24" i="13"/>
  <c r="D22" i="13"/>
  <c r="Y90" i="4"/>
  <c r="Y111" i="4"/>
  <c r="C24" i="13"/>
  <c r="C22" i="13"/>
  <c r="T75" i="4"/>
  <c r="V75" i="4" s="1"/>
  <c r="F23" i="13"/>
  <c r="Y94" i="4"/>
  <c r="Y101" i="4"/>
  <c r="E23" i="13"/>
  <c r="Y95" i="4"/>
  <c r="Y102" i="4"/>
  <c r="D23" i="13"/>
  <c r="Y96" i="4"/>
  <c r="Y103" i="4"/>
  <c r="Y87" i="4"/>
  <c r="Y97" i="4"/>
  <c r="Y104" i="4"/>
  <c r="Y108" i="4"/>
  <c r="F24" i="13"/>
  <c r="F22" i="13"/>
  <c r="Y88" i="4"/>
  <c r="Y109" i="4"/>
  <c r="E24" i="13"/>
  <c r="E22" i="13"/>
  <c r="E25" i="13" s="1"/>
  <c r="Y89" i="4"/>
  <c r="AA112" i="4"/>
  <c r="X112" i="4"/>
  <c r="AA105" i="4"/>
  <c r="X105" i="4"/>
  <c r="AA91" i="4"/>
  <c r="X91" i="4"/>
  <c r="X98" i="4"/>
  <c r="D25" i="13"/>
  <c r="C25" i="13"/>
  <c r="U73" i="4"/>
  <c r="S75" i="4"/>
  <c r="F7" i="13"/>
  <c r="F15" i="13"/>
  <c r="M47" i="5"/>
  <c r="M45" i="5"/>
  <c r="M46" i="5"/>
  <c r="M48" i="5"/>
  <c r="AE68" i="4"/>
  <c r="G9" i="13"/>
  <c r="D16" i="13"/>
  <c r="I9" i="13"/>
  <c r="I17" i="13"/>
  <c r="G25" i="13"/>
  <c r="I25" i="13"/>
  <c r="F16" i="13"/>
  <c r="E16" i="13"/>
  <c r="C16" i="13"/>
  <c r="E5" i="13"/>
  <c r="E15" i="13"/>
  <c r="E13" i="13"/>
  <c r="E14" i="13"/>
  <c r="C64" i="13"/>
  <c r="F64" i="13" s="1"/>
  <c r="C49" i="13"/>
  <c r="F49" i="13" s="1"/>
  <c r="C59" i="13"/>
  <c r="F59" i="13" s="1"/>
  <c r="C52" i="13"/>
  <c r="F52" i="13" s="1"/>
  <c r="C58" i="13"/>
  <c r="F58" i="13" s="1"/>
  <c r="C65" i="13"/>
  <c r="F65" i="13" s="1"/>
  <c r="C63" i="13"/>
  <c r="F63" i="13" s="1"/>
  <c r="D14" i="13"/>
  <c r="C48" i="13"/>
  <c r="F48" i="13" s="1"/>
  <c r="C54" i="13"/>
  <c r="F54" i="13" s="1"/>
  <c r="D5" i="13"/>
  <c r="D15" i="13"/>
  <c r="J15" i="13" s="1"/>
  <c r="F5" i="13"/>
  <c r="D49" i="13"/>
  <c r="D57" i="13"/>
  <c r="C14" i="13"/>
  <c r="F13" i="13"/>
  <c r="F6" i="13"/>
  <c r="E6" i="13"/>
  <c r="D58" i="13"/>
  <c r="D63" i="13"/>
  <c r="C15" i="13"/>
  <c r="E33" i="13" s="1"/>
  <c r="F14" i="13"/>
  <c r="E7" i="13"/>
  <c r="D52" i="13"/>
  <c r="D59" i="13"/>
  <c r="D64" i="13"/>
  <c r="D13" i="13"/>
  <c r="F8" i="13"/>
  <c r="E8" i="13"/>
  <c r="D53" i="13"/>
  <c r="D65" i="13"/>
  <c r="D6" i="13"/>
  <c r="C5" i="13"/>
  <c r="C47" i="13"/>
  <c r="F47" i="13" s="1"/>
  <c r="D54" i="13"/>
  <c r="D7" i="13"/>
  <c r="J7" i="13" s="1"/>
  <c r="C6" i="13"/>
  <c r="C53" i="13"/>
  <c r="F53" i="13" s="1"/>
  <c r="C57" i="13"/>
  <c r="F57" i="13" s="1"/>
  <c r="D8" i="13"/>
  <c r="C7" i="13"/>
  <c r="D47" i="13"/>
  <c r="C8" i="13"/>
  <c r="D48" i="13"/>
  <c r="C13" i="13"/>
  <c r="E31" i="13" s="1"/>
  <c r="J22" i="13"/>
  <c r="M44" i="5"/>
  <c r="N44" i="5" s="1"/>
  <c r="AE71" i="4"/>
  <c r="AE70" i="4"/>
  <c r="M43" i="5"/>
  <c r="N43" i="5" s="1"/>
  <c r="M42" i="5"/>
  <c r="N42" i="5" s="1"/>
  <c r="AE75" i="4"/>
  <c r="AE76" i="4"/>
  <c r="AE77" i="4"/>
  <c r="AE74" i="4"/>
  <c r="AE65" i="4"/>
  <c r="AE58" i="4"/>
  <c r="U76" i="4" l="1"/>
  <c r="Y91" i="4"/>
  <c r="E34" i="13"/>
  <c r="Y98" i="4"/>
  <c r="Y105" i="4"/>
  <c r="E35" i="13"/>
  <c r="H5" i="13"/>
  <c r="H14" i="13"/>
  <c r="E32" i="13"/>
  <c r="Y112" i="4"/>
  <c r="F25" i="13"/>
  <c r="T76" i="4"/>
  <c r="H7" i="13"/>
  <c r="J24" i="13"/>
  <c r="H24" i="13"/>
  <c r="J6" i="13"/>
  <c r="E17" i="13"/>
  <c r="H6" i="13"/>
  <c r="J16" i="13"/>
  <c r="F9" i="13"/>
  <c r="H23" i="13"/>
  <c r="J8" i="13"/>
  <c r="H15" i="13"/>
  <c r="H16" i="13"/>
  <c r="H22" i="13"/>
  <c r="H8" i="13"/>
  <c r="J5" i="13"/>
  <c r="J23" i="13"/>
  <c r="J14" i="13"/>
  <c r="C17" i="13"/>
  <c r="H13" i="13"/>
  <c r="D17" i="13"/>
  <c r="J13" i="13"/>
  <c r="E9" i="13"/>
  <c r="F17" i="13"/>
  <c r="D9" i="13"/>
  <c r="T74" i="4" s="1"/>
  <c r="C9" i="13"/>
  <c r="W68" i="4"/>
  <c r="W69" i="4" s="1"/>
  <c r="U68" i="4"/>
  <c r="U64" i="4"/>
  <c r="U65" i="4" s="1"/>
  <c r="W55" i="4"/>
  <c r="W57" i="4" s="1"/>
  <c r="W59" i="4" s="1"/>
  <c r="V69" i="4"/>
  <c r="U69" i="4"/>
  <c r="V66" i="4"/>
  <c r="W66" i="4"/>
  <c r="V65" i="4"/>
  <c r="W65" i="4"/>
  <c r="U59" i="4"/>
  <c r="V59" i="4"/>
  <c r="X59" i="4"/>
  <c r="T59" i="4"/>
  <c r="U57" i="4"/>
  <c r="V57" i="4"/>
  <c r="X57" i="4"/>
  <c r="T57" i="4"/>
  <c r="Y56" i="4"/>
  <c r="Y55" i="4"/>
  <c r="Y57" i="4" s="1"/>
  <c r="X32" i="4"/>
  <c r="X36" i="4" s="1"/>
  <c r="J38" i="5"/>
  <c r="K38" i="5"/>
  <c r="L38" i="5"/>
  <c r="J39" i="5"/>
  <c r="K39" i="5"/>
  <c r="L39" i="5"/>
  <c r="J40" i="5"/>
  <c r="K40" i="5"/>
  <c r="L40" i="5"/>
  <c r="J41" i="5"/>
  <c r="K41" i="5"/>
  <c r="L41" i="5"/>
  <c r="X44" i="4"/>
  <c r="W44" i="4"/>
  <c r="J37" i="5"/>
  <c r="K37" i="5"/>
  <c r="L37" i="5"/>
  <c r="K12" i="5"/>
  <c r="L12" i="5"/>
  <c r="K13" i="5"/>
  <c r="L13" i="5"/>
  <c r="J12" i="5"/>
  <c r="J13" i="5"/>
  <c r="V76" i="4" l="1"/>
  <c r="Y114" i="4"/>
  <c r="H25" i="13"/>
  <c r="U74" i="4"/>
  <c r="S74" i="4"/>
  <c r="S76" i="4" s="1"/>
  <c r="H9" i="13"/>
  <c r="J9" i="13"/>
  <c r="J17" i="13"/>
  <c r="H17" i="13"/>
  <c r="J25" i="13"/>
  <c r="U66" i="4"/>
  <c r="Y33" i="4"/>
  <c r="Y37" i="4" s="1"/>
  <c r="X31" i="4"/>
  <c r="X35" i="4" s="1"/>
  <c r="W32" i="4"/>
  <c r="W36" i="4" s="1"/>
  <c r="W33" i="4"/>
  <c r="W37" i="4" s="1"/>
  <c r="X33" i="4"/>
  <c r="X37" i="4" s="1"/>
  <c r="Y31" i="4"/>
  <c r="Y35" i="4" s="1"/>
  <c r="Y32" i="4"/>
  <c r="Y36" i="4" s="1"/>
  <c r="W31" i="4"/>
  <c r="M39" i="5"/>
  <c r="N39" i="5" s="1"/>
  <c r="M38" i="5"/>
  <c r="N38" i="5" s="1"/>
  <c r="M41" i="5"/>
  <c r="N41" i="5" s="1"/>
  <c r="M40" i="5"/>
  <c r="N40" i="5" s="1"/>
  <c r="M37" i="5"/>
  <c r="N37" i="5" s="1"/>
  <c r="X38" i="4" l="1"/>
  <c r="Y38" i="4"/>
  <c r="W34" i="4"/>
  <c r="Y34" i="4"/>
  <c r="X34" i="4"/>
  <c r="W35" i="4"/>
  <c r="W38" i="4" s="1"/>
  <c r="X23" i="4"/>
  <c r="X22" i="4"/>
  <c r="X21" i="4"/>
  <c r="X20" i="4"/>
  <c r="AC64" i="4"/>
  <c r="AC63" i="4"/>
  <c r="AC62" i="4"/>
  <c r="AC61" i="4"/>
  <c r="AC57" i="4"/>
  <c r="AC56" i="4"/>
  <c r="AC55" i="4"/>
  <c r="AD44" i="4"/>
  <c r="AD43" i="4"/>
  <c r="AC52" i="4"/>
  <c r="L4" i="5"/>
  <c r="L5" i="5"/>
  <c r="L6" i="5"/>
  <c r="L7" i="5"/>
  <c r="L8" i="5"/>
  <c r="L29" i="5"/>
  <c r="L10" i="5"/>
  <c r="L11" i="5"/>
  <c r="L36" i="5"/>
  <c r="L32" i="5"/>
  <c r="L14" i="5"/>
  <c r="L15" i="5"/>
  <c r="L16" i="5"/>
  <c r="L17" i="5"/>
  <c r="L18" i="5"/>
  <c r="L33" i="5"/>
  <c r="L20" i="5"/>
  <c r="L21" i="5"/>
  <c r="L22" i="5"/>
  <c r="L23" i="5"/>
  <c r="L24" i="5"/>
  <c r="L25" i="5"/>
  <c r="L26" i="5"/>
  <c r="L27" i="5"/>
  <c r="L28" i="5"/>
  <c r="L9" i="5"/>
  <c r="L30" i="5"/>
  <c r="L31" i="5"/>
  <c r="L35" i="5"/>
  <c r="L19" i="5"/>
  <c r="L34" i="5"/>
  <c r="L3" i="5"/>
  <c r="K4" i="5"/>
  <c r="K5" i="5"/>
  <c r="K6" i="5"/>
  <c r="K7" i="5"/>
  <c r="K8" i="5"/>
  <c r="K29" i="5"/>
  <c r="K10" i="5"/>
  <c r="K11" i="5"/>
  <c r="K36" i="5"/>
  <c r="K32" i="5"/>
  <c r="K14" i="5"/>
  <c r="K15" i="5"/>
  <c r="K16" i="5"/>
  <c r="K17" i="5"/>
  <c r="K18" i="5"/>
  <c r="K33" i="5"/>
  <c r="K20" i="5"/>
  <c r="K21" i="5"/>
  <c r="K22" i="5"/>
  <c r="K23" i="5"/>
  <c r="K24" i="5"/>
  <c r="K25" i="5"/>
  <c r="K26" i="5"/>
  <c r="K27" i="5"/>
  <c r="K28" i="5"/>
  <c r="K9" i="5"/>
  <c r="K30" i="5"/>
  <c r="K31" i="5"/>
  <c r="K35" i="5"/>
  <c r="K19" i="5"/>
  <c r="K34" i="5"/>
  <c r="K3" i="5"/>
  <c r="J4" i="5"/>
  <c r="J5" i="5"/>
  <c r="J6" i="5"/>
  <c r="J7" i="5"/>
  <c r="J8" i="5"/>
  <c r="J29" i="5"/>
  <c r="J10" i="5"/>
  <c r="J11" i="5"/>
  <c r="J36" i="5"/>
  <c r="J32" i="5"/>
  <c r="M13" i="5" s="1"/>
  <c r="J14" i="5"/>
  <c r="J15" i="5"/>
  <c r="J16" i="5"/>
  <c r="J17" i="5"/>
  <c r="J18" i="5"/>
  <c r="J33" i="5"/>
  <c r="J20" i="5"/>
  <c r="J21" i="5"/>
  <c r="J22" i="5"/>
  <c r="J23" i="5"/>
  <c r="J24" i="5"/>
  <c r="J25" i="5"/>
  <c r="J26" i="5"/>
  <c r="J27" i="5"/>
  <c r="J28" i="5"/>
  <c r="J9" i="5"/>
  <c r="J30" i="5"/>
  <c r="J31" i="5"/>
  <c r="J35" i="5"/>
  <c r="J19" i="5"/>
  <c r="J34" i="5"/>
  <c r="J3" i="5"/>
  <c r="AC44" i="4"/>
  <c r="AC43" i="4"/>
  <c r="AB44" i="4"/>
  <c r="AB43" i="4"/>
  <c r="AB42" i="4"/>
  <c r="D3" i="1"/>
  <c r="D5" i="1"/>
  <c r="D7" i="1"/>
  <c r="D8" i="1"/>
  <c r="D9" i="1"/>
  <c r="D15" i="1"/>
  <c r="D16" i="1"/>
  <c r="D17" i="1"/>
  <c r="D18" i="1"/>
  <c r="D19" i="1"/>
  <c r="D23" i="1"/>
  <c r="D30" i="1"/>
  <c r="D31" i="1"/>
  <c r="D33" i="1"/>
  <c r="D34" i="1"/>
  <c r="D35" i="1"/>
  <c r="D37" i="1"/>
  <c r="D38" i="1"/>
  <c r="D39" i="1"/>
  <c r="D40" i="1"/>
  <c r="D42" i="1"/>
  <c r="D43" i="1"/>
  <c r="D44" i="1"/>
  <c r="D45" i="1"/>
  <c r="D46" i="1"/>
  <c r="D47" i="1"/>
  <c r="D48" i="1"/>
  <c r="D49" i="1"/>
  <c r="D52" i="1"/>
  <c r="D54" i="1"/>
  <c r="D55" i="1"/>
  <c r="D56" i="1"/>
  <c r="D59" i="1"/>
  <c r="D65" i="1"/>
  <c r="D66" i="1"/>
  <c r="D67" i="1"/>
  <c r="D68" i="1"/>
  <c r="D69" i="1"/>
  <c r="D70" i="1"/>
  <c r="D71" i="1"/>
  <c r="D73" i="1"/>
  <c r="D74" i="1"/>
  <c r="D75" i="1"/>
  <c r="D76" i="1"/>
  <c r="D78" i="1"/>
  <c r="D80" i="1"/>
  <c r="D81" i="1"/>
  <c r="D82" i="1"/>
  <c r="D83" i="1"/>
  <c r="D84" i="1"/>
  <c r="D86" i="1"/>
  <c r="D87" i="1"/>
  <c r="D88" i="1"/>
  <c r="D89" i="1"/>
  <c r="D92" i="1"/>
  <c r="D94" i="1"/>
  <c r="D95" i="1"/>
  <c r="D97" i="1"/>
  <c r="D99" i="1"/>
  <c r="D101" i="1"/>
  <c r="D104" i="1"/>
  <c r="D105" i="1"/>
  <c r="D106" i="1"/>
  <c r="D107" i="1"/>
  <c r="D108" i="1"/>
  <c r="D109" i="1"/>
  <c r="D110" i="1"/>
  <c r="D111" i="1"/>
  <c r="D113" i="1"/>
  <c r="D114" i="1"/>
  <c r="D115" i="1"/>
  <c r="D116" i="1"/>
  <c r="D118" i="1"/>
  <c r="D119" i="1"/>
  <c r="D120" i="1"/>
  <c r="D125" i="1"/>
  <c r="D126" i="1"/>
  <c r="D129" i="1"/>
  <c r="D130" i="1"/>
  <c r="D133" i="1"/>
  <c r="D134" i="1"/>
  <c r="D135" i="1"/>
  <c r="D136" i="1"/>
  <c r="D139" i="1"/>
  <c r="D140" i="1"/>
  <c r="D141" i="1"/>
  <c r="D143" i="1"/>
  <c r="D144" i="1"/>
  <c r="D146" i="1"/>
  <c r="D148" i="1"/>
  <c r="D152" i="1"/>
  <c r="D153" i="1"/>
  <c r="D155" i="1"/>
  <c r="D158" i="1"/>
  <c r="D159" i="1"/>
  <c r="D160" i="1"/>
  <c r="D161" i="1"/>
  <c r="D162" i="1"/>
  <c r="D164" i="1"/>
  <c r="D165" i="1"/>
  <c r="D167" i="1"/>
  <c r="D168" i="1"/>
  <c r="D170" i="1"/>
  <c r="D172" i="1"/>
  <c r="D175" i="1"/>
  <c r="D176" i="1"/>
  <c r="D177" i="1"/>
  <c r="D178" i="1"/>
  <c r="D180" i="1"/>
  <c r="D182" i="1"/>
  <c r="D183" i="1"/>
  <c r="D184" i="1"/>
  <c r="D186" i="1"/>
  <c r="D187" i="1"/>
  <c r="D188" i="1"/>
  <c r="D189" i="1"/>
  <c r="D190" i="1"/>
  <c r="D191" i="1"/>
  <c r="D192" i="1"/>
  <c r="D194" i="1"/>
  <c r="D196" i="1"/>
  <c r="D197" i="1"/>
  <c r="D198" i="1"/>
  <c r="D200" i="1"/>
  <c r="D201" i="1"/>
  <c r="D202" i="1"/>
  <c r="D203" i="1"/>
  <c r="D206" i="1"/>
  <c r="D207" i="1"/>
  <c r="D208" i="1"/>
  <c r="D209" i="1"/>
  <c r="D210" i="1"/>
  <c r="D211" i="1"/>
  <c r="D212" i="1"/>
  <c r="D213" i="1"/>
  <c r="D214" i="1"/>
  <c r="D215" i="1"/>
  <c r="D216" i="1"/>
  <c r="D217" i="1"/>
  <c r="D219" i="1"/>
  <c r="D220" i="1"/>
  <c r="D223" i="1"/>
  <c r="D230" i="1"/>
  <c r="D236" i="1"/>
  <c r="D237" i="1"/>
  <c r="D240" i="1"/>
  <c r="D241" i="1"/>
  <c r="D242" i="1"/>
  <c r="D244" i="1"/>
  <c r="D248" i="1"/>
  <c r="D249" i="1"/>
  <c r="D250" i="1"/>
  <c r="D251" i="1"/>
  <c r="D253" i="1"/>
  <c r="D255" i="1"/>
  <c r="D256" i="1"/>
  <c r="D257" i="1"/>
  <c r="D258" i="1"/>
  <c r="D259" i="1"/>
  <c r="D262" i="1"/>
  <c r="D263" i="1"/>
  <c r="D264" i="1"/>
  <c r="D265" i="1"/>
  <c r="D266" i="1"/>
  <c r="D268" i="1"/>
  <c r="D269" i="1"/>
  <c r="D270" i="1"/>
  <c r="D274" i="1"/>
  <c r="D275" i="1"/>
  <c r="D276" i="1"/>
  <c r="D277" i="1"/>
  <c r="D280" i="1"/>
  <c r="D281" i="1"/>
  <c r="D284" i="1"/>
  <c r="D286" i="1"/>
  <c r="D287" i="1"/>
  <c r="D290" i="1"/>
  <c r="D292" i="1"/>
  <c r="D293" i="1"/>
  <c r="D294" i="1"/>
  <c r="D295" i="1"/>
  <c r="D296" i="1"/>
  <c r="D299" i="1"/>
  <c r="D300" i="1"/>
  <c r="D303" i="1"/>
  <c r="D304" i="1"/>
  <c r="D306" i="1"/>
  <c r="D309" i="1"/>
  <c r="D310" i="1"/>
  <c r="D311" i="1"/>
  <c r="D312" i="1"/>
  <c r="D313" i="1"/>
  <c r="D315" i="1"/>
  <c r="D316" i="1"/>
  <c r="D317" i="1"/>
  <c r="D318" i="1"/>
  <c r="D321" i="1"/>
  <c r="D322" i="1"/>
  <c r="D324" i="1"/>
  <c r="D327" i="1"/>
  <c r="D332" i="1"/>
  <c r="D333" i="1"/>
  <c r="D334" i="1"/>
  <c r="D336" i="1"/>
  <c r="D337" i="1"/>
  <c r="D338" i="1"/>
  <c r="D339" i="1"/>
  <c r="D340" i="1"/>
  <c r="D342" i="1"/>
  <c r="D344" i="1"/>
  <c r="D345" i="1"/>
  <c r="D347" i="1"/>
  <c r="D350" i="1"/>
  <c r="D353" i="1"/>
  <c r="D356" i="1"/>
  <c r="D357" i="1"/>
  <c r="D358" i="1"/>
  <c r="D363" i="1"/>
  <c r="D365" i="1"/>
  <c r="D366" i="1"/>
  <c r="D368" i="1"/>
  <c r="D369" i="1"/>
  <c r="D370" i="1"/>
  <c r="D371" i="1"/>
  <c r="D372" i="1"/>
  <c r="D374" i="1"/>
  <c r="D375" i="1"/>
  <c r="D376" i="1"/>
  <c r="D377" i="1"/>
  <c r="D378" i="1"/>
  <c r="D380" i="1"/>
  <c r="D381" i="1"/>
  <c r="D383" i="1"/>
  <c r="D385" i="1"/>
  <c r="D386" i="1"/>
  <c r="D387" i="1"/>
  <c r="D388" i="1"/>
  <c r="D389" i="1"/>
  <c r="D390" i="1"/>
  <c r="D391" i="1"/>
  <c r="D392" i="1"/>
  <c r="D394" i="1"/>
  <c r="D396" i="1"/>
  <c r="D397" i="1"/>
  <c r="D398" i="1"/>
  <c r="D399" i="1"/>
  <c r="D400" i="1"/>
  <c r="D402" i="1"/>
  <c r="D404" i="1"/>
  <c r="D406" i="1"/>
  <c r="D407" i="1"/>
  <c r="D408" i="1"/>
  <c r="D409" i="1"/>
  <c r="D410" i="1"/>
  <c r="D411" i="1"/>
  <c r="D412" i="1"/>
  <c r="D413" i="1"/>
  <c r="D416" i="1"/>
  <c r="D418" i="1"/>
  <c r="D419" i="1"/>
  <c r="D421" i="1"/>
  <c r="D422" i="1"/>
  <c r="D423" i="1"/>
  <c r="D424" i="1"/>
  <c r="D429" i="1"/>
  <c r="D433" i="1"/>
  <c r="D435" i="1"/>
  <c r="D436" i="1"/>
  <c r="D438" i="1"/>
  <c r="D439" i="1"/>
  <c r="D441" i="1"/>
  <c r="D442" i="1"/>
  <c r="D444" i="1"/>
  <c r="D445" i="1"/>
  <c r="D446" i="1"/>
  <c r="D448" i="1"/>
  <c r="D453" i="1"/>
  <c r="D456" i="1"/>
  <c r="D457" i="1"/>
  <c r="D461" i="1"/>
  <c r="D462" i="1"/>
  <c r="D465" i="1"/>
  <c r="D466" i="1"/>
  <c r="D467" i="1"/>
  <c r="D468" i="1"/>
  <c r="D469" i="1"/>
  <c r="D473" i="1"/>
  <c r="D474" i="1"/>
  <c r="D475" i="1"/>
  <c r="D476" i="1"/>
  <c r="D477" i="1"/>
  <c r="D478" i="1"/>
  <c r="D482" i="1"/>
  <c r="D485" i="1"/>
  <c r="D486" i="1"/>
  <c r="D488" i="1"/>
  <c r="D489" i="1"/>
  <c r="D491" i="1"/>
  <c r="D493" i="1"/>
  <c r="D494" i="1"/>
  <c r="D495" i="1"/>
  <c r="D497" i="1"/>
  <c r="D498" i="1"/>
  <c r="D499" i="1"/>
  <c r="D501" i="1"/>
  <c r="D502" i="1"/>
  <c r="D503" i="1"/>
  <c r="D504" i="1"/>
  <c r="D506" i="1"/>
  <c r="D507" i="1"/>
  <c r="D508" i="1"/>
  <c r="D510" i="1"/>
  <c r="D511" i="1"/>
  <c r="D512" i="1"/>
  <c r="D514" i="1"/>
  <c r="D515" i="1"/>
  <c r="D516" i="1"/>
  <c r="D517" i="1"/>
  <c r="D519" i="1"/>
  <c r="D520" i="1"/>
  <c r="D521" i="1"/>
  <c r="D522" i="1"/>
  <c r="D523" i="1"/>
  <c r="D525" i="1"/>
  <c r="D526" i="1"/>
  <c r="D528" i="1"/>
  <c r="D529" i="1"/>
  <c r="D532" i="1"/>
  <c r="D533" i="1"/>
  <c r="D537" i="1"/>
  <c r="D538" i="1"/>
  <c r="D539" i="1"/>
  <c r="D540" i="1"/>
  <c r="D541" i="1"/>
  <c r="D543" i="1"/>
  <c r="D544" i="1"/>
  <c r="D546" i="1"/>
  <c r="D2" i="1"/>
  <c r="H35" i="15"/>
  <c r="W39" i="4" l="1"/>
  <c r="W40" i="4" s="1"/>
  <c r="Z34" i="4"/>
  <c r="W43" i="4" s="1"/>
  <c r="M24" i="5"/>
  <c r="N24" i="5" s="1"/>
  <c r="M15" i="5"/>
  <c r="N15" i="5" s="1"/>
  <c r="M34" i="5"/>
  <c r="N34" i="5" s="1"/>
  <c r="M16" i="5"/>
  <c r="N16" i="5" s="1"/>
  <c r="M23" i="5"/>
  <c r="N23" i="5" s="1"/>
  <c r="M28" i="5"/>
  <c r="N28" i="5" s="1"/>
  <c r="M7" i="5"/>
  <c r="N7" i="5" s="1"/>
  <c r="M31" i="5"/>
  <c r="N31" i="5" s="1"/>
  <c r="M20" i="5"/>
  <c r="N20" i="5" s="1"/>
  <c r="M5" i="5"/>
  <c r="N5" i="5" s="1"/>
  <c r="M32" i="5"/>
  <c r="N32" i="5" s="1"/>
  <c r="M35" i="5"/>
  <c r="N35" i="5" s="1"/>
  <c r="M12" i="5"/>
  <c r="N12" i="5" s="1"/>
  <c r="M36" i="5"/>
  <c r="N36" i="5" s="1"/>
  <c r="M30" i="5"/>
  <c r="N30" i="5" s="1"/>
  <c r="M14" i="5"/>
  <c r="N14" i="5" s="1"/>
  <c r="M22" i="5"/>
  <c r="N22" i="5" s="1"/>
  <c r="M6" i="5"/>
  <c r="N6" i="5" s="1"/>
  <c r="M29" i="5"/>
  <c r="N29" i="5" s="1"/>
  <c r="M4" i="5"/>
  <c r="N4" i="5" s="1"/>
  <c r="M3" i="5"/>
  <c r="N3" i="5" s="1"/>
  <c r="M21" i="5"/>
  <c r="N21" i="5" s="1"/>
  <c r="M11" i="5"/>
  <c r="N11" i="5" s="1"/>
  <c r="M10" i="5"/>
  <c r="N10" i="5" s="1"/>
  <c r="M19" i="5"/>
  <c r="N19" i="5" s="1"/>
  <c r="M18" i="5"/>
  <c r="N18" i="5" s="1"/>
  <c r="M8" i="5"/>
  <c r="N8" i="5" s="1"/>
  <c r="M17" i="5"/>
  <c r="N17" i="5" s="1"/>
  <c r="M27" i="5"/>
  <c r="N27" i="5" s="1"/>
  <c r="M33" i="5"/>
  <c r="N33" i="5" s="1"/>
  <c r="M9" i="5"/>
  <c r="N9" i="5" s="1"/>
  <c r="M26" i="5"/>
  <c r="N26" i="5" s="1"/>
  <c r="M25" i="5"/>
  <c r="N25" i="5" s="1"/>
  <c r="AB55" i="4"/>
  <c r="AB63" i="4"/>
  <c r="AB56" i="4"/>
  <c r="AB61" i="4"/>
  <c r="N13" i="5"/>
  <c r="AB62" i="4"/>
  <c r="AB57" i="4"/>
  <c r="AB64" i="4"/>
  <c r="AC58" i="4"/>
  <c r="AC65" i="4"/>
  <c r="K1" i="5"/>
  <c r="AC50" i="4" s="1"/>
  <c r="L1" i="5"/>
  <c r="AC51" i="4" s="1"/>
  <c r="J1" i="5"/>
  <c r="AC49" i="4" s="1"/>
  <c r="AB45" i="4"/>
  <c r="AB39" i="4"/>
  <c r="AB38" i="4"/>
  <c r="AB37" i="4"/>
  <c r="AB36" i="4"/>
  <c r="AC32" i="4"/>
  <c r="AC31" i="4"/>
  <c r="AC30" i="4"/>
  <c r="AB32" i="4"/>
  <c r="AB31" i="4"/>
  <c r="AB30" i="4"/>
  <c r="AE25" i="4"/>
  <c r="AE24" i="4"/>
  <c r="AE23" i="4"/>
  <c r="AE22" i="4"/>
  <c r="AC21" i="4"/>
  <c r="AD25" i="4"/>
  <c r="AD24" i="4"/>
  <c r="AD23" i="4"/>
  <c r="AD22" i="4"/>
  <c r="AE21" i="4"/>
  <c r="AD21" i="4"/>
  <c r="AC25" i="4"/>
  <c r="AC24" i="4"/>
  <c r="AC23" i="4"/>
  <c r="AC22" i="4"/>
  <c r="AB25" i="4"/>
  <c r="AB24" i="4"/>
  <c r="AB23" i="4"/>
  <c r="AB22" i="4"/>
  <c r="AB21" i="4"/>
  <c r="AF21" i="4" s="1"/>
  <c r="AC42" i="4" s="1"/>
  <c r="AC45" i="4" s="1"/>
  <c r="AC18" i="4"/>
  <c r="AC17" i="4"/>
  <c r="AC16" i="4"/>
  <c r="AC15" i="4"/>
  <c r="AB18" i="4"/>
  <c r="AB17" i="4"/>
  <c r="AB16" i="4"/>
  <c r="AB15" i="4"/>
  <c r="AC12" i="4"/>
  <c r="AC11" i="4"/>
  <c r="AC10" i="4"/>
  <c r="AC9" i="4"/>
  <c r="AB12" i="4"/>
  <c r="AB11" i="4"/>
  <c r="AB10" i="4"/>
  <c r="AB9" i="4"/>
  <c r="Y43" i="4" l="1"/>
  <c r="X43" i="4"/>
  <c r="AB58" i="4"/>
  <c r="AB65" i="4"/>
  <c r="AB51" i="4"/>
  <c r="Y51" i="4" s="1"/>
  <c r="X51" i="4" s="1"/>
  <c r="AB50" i="4"/>
  <c r="Y50" i="4" s="1"/>
  <c r="X50" i="4" s="1"/>
  <c r="AB49" i="4"/>
  <c r="Y49" i="4" s="1"/>
  <c r="X49" i="4" s="1"/>
  <c r="AF25" i="4"/>
  <c r="AC14" i="4"/>
  <c r="AF14" i="4" s="1"/>
  <c r="AF24" i="4"/>
  <c r="AG22" i="4"/>
  <c r="AC29" i="4"/>
  <c r="AD32" i="4" s="1"/>
  <c r="AB14" i="4"/>
  <c r="AF22" i="4"/>
  <c r="AG21" i="4"/>
  <c r="AD42" i="4" s="1"/>
  <c r="AD45" i="4" s="1"/>
  <c r="AF23" i="4"/>
  <c r="AG23" i="4"/>
  <c r="AG24" i="4"/>
  <c r="AG25" i="4"/>
  <c r="AD31"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2" i="2"/>
  <c r="U94" i="4" l="1"/>
  <c r="U80" i="4"/>
  <c r="T108" i="4"/>
  <c r="T94" i="4"/>
  <c r="V108" i="4"/>
  <c r="V101" i="4"/>
  <c r="V87" i="4"/>
  <c r="AB87" i="4" s="1"/>
  <c r="V94" i="4"/>
  <c r="U87" i="4"/>
  <c r="T101" i="4"/>
  <c r="T87" i="4"/>
  <c r="U108" i="4"/>
  <c r="U101" i="4"/>
  <c r="V96" i="4"/>
  <c r="U110" i="4"/>
  <c r="U89" i="4"/>
  <c r="T103" i="4"/>
  <c r="Z103" i="4" s="1"/>
  <c r="T89" i="4"/>
  <c r="Z89" i="4" s="1"/>
  <c r="U103" i="4"/>
  <c r="T110" i="4"/>
  <c r="Z110" i="4" s="1"/>
  <c r="V110" i="4"/>
  <c r="V89" i="4"/>
  <c r="AB89" i="4" s="1"/>
  <c r="AC89" i="4" s="1"/>
  <c r="U96" i="4"/>
  <c r="T96" i="4"/>
  <c r="Z96" i="4" s="1"/>
  <c r="V103" i="4"/>
  <c r="T109" i="4"/>
  <c r="Z109" i="4" s="1"/>
  <c r="T95" i="4"/>
  <c r="Z95" i="4" s="1"/>
  <c r="V109" i="4"/>
  <c r="V102" i="4"/>
  <c r="V88" i="4"/>
  <c r="AB88" i="4" s="1"/>
  <c r="AC88" i="4" s="1"/>
  <c r="V95" i="4"/>
  <c r="U88" i="4"/>
  <c r="T102" i="4"/>
  <c r="Z102" i="4" s="1"/>
  <c r="T88" i="4"/>
  <c r="Z88" i="4" s="1"/>
  <c r="U109" i="4"/>
  <c r="U102" i="4"/>
  <c r="U95" i="4"/>
  <c r="V97" i="4"/>
  <c r="V90" i="4"/>
  <c r="AB90" i="4" s="1"/>
  <c r="AC90" i="4" s="1"/>
  <c r="U90" i="4"/>
  <c r="W90" i="4" s="1"/>
  <c r="T104" i="4"/>
  <c r="Z104" i="4" s="1"/>
  <c r="T90" i="4"/>
  <c r="Z90" i="4" s="1"/>
  <c r="U111" i="4"/>
  <c r="U104" i="4"/>
  <c r="U97" i="4"/>
  <c r="T111" i="4"/>
  <c r="Z111" i="4" s="1"/>
  <c r="V111" i="4"/>
  <c r="T97" i="4"/>
  <c r="Z97" i="4" s="1"/>
  <c r="V104" i="4"/>
  <c r="U91" i="4"/>
  <c r="W89" i="4"/>
  <c r="V82" i="4"/>
  <c r="V80" i="4"/>
  <c r="Z4" i="4"/>
  <c r="W20" i="4"/>
  <c r="Y20" i="4" s="1"/>
  <c r="U82" i="4"/>
  <c r="Z6" i="4"/>
  <c r="U81" i="4"/>
  <c r="Z5" i="4"/>
  <c r="V81" i="4"/>
  <c r="U83" i="4"/>
  <c r="Z7" i="4"/>
  <c r="V83" i="4"/>
  <c r="AB52" i="4"/>
  <c r="AD51" i="4" s="1"/>
  <c r="W21" i="4"/>
  <c r="Y21" i="4" s="1"/>
  <c r="W23" i="4"/>
  <c r="Y23" i="4" s="1"/>
  <c r="W22" i="4"/>
  <c r="Y22" i="4" s="1"/>
  <c r="AD30" i="4"/>
  <c r="AD4" i="4"/>
  <c r="AD3" i="4"/>
  <c r="AF11" i="4" s="1"/>
  <c r="AD5" i="4"/>
  <c r="AC6" i="4"/>
  <c r="AD6" i="4"/>
  <c r="AC3" i="4"/>
  <c r="AC4" i="4"/>
  <c r="AC5" i="4"/>
  <c r="AB104" i="4" l="1"/>
  <c r="AC104" i="4" s="1"/>
  <c r="W104" i="4"/>
  <c r="AB94" i="4"/>
  <c r="W94" i="4"/>
  <c r="V98" i="4"/>
  <c r="AB111" i="4"/>
  <c r="AC111" i="4" s="1"/>
  <c r="W111" i="4"/>
  <c r="AB95" i="4"/>
  <c r="AC95" i="4" s="1"/>
  <c r="W95" i="4"/>
  <c r="AC87" i="4"/>
  <c r="AC91" i="4" s="1"/>
  <c r="AB91" i="4"/>
  <c r="W97" i="4"/>
  <c r="AB97" i="4"/>
  <c r="AC97" i="4" s="1"/>
  <c r="AB96" i="4"/>
  <c r="AC96" i="4" s="1"/>
  <c r="W96" i="4"/>
  <c r="AB101" i="4"/>
  <c r="W101" i="4"/>
  <c r="V105" i="4"/>
  <c r="W102" i="4"/>
  <c r="AB102" i="4"/>
  <c r="AC102" i="4" s="1"/>
  <c r="W110" i="4"/>
  <c r="AB110" i="4"/>
  <c r="AC110" i="4" s="1"/>
  <c r="U105" i="4"/>
  <c r="AB108" i="4"/>
  <c r="AC108" i="4" s="1"/>
  <c r="AC112" i="4" s="1"/>
  <c r="V112" i="4"/>
  <c r="W108" i="4"/>
  <c r="W109" i="4"/>
  <c r="AB109" i="4"/>
  <c r="AC109" i="4" s="1"/>
  <c r="U112" i="4"/>
  <c r="T98" i="4"/>
  <c r="Z98" i="4" s="1"/>
  <c r="Z94" i="4"/>
  <c r="T91" i="4"/>
  <c r="Z91" i="4" s="1"/>
  <c r="Z87" i="4"/>
  <c r="T112" i="4"/>
  <c r="Z108" i="4"/>
  <c r="Z112" i="4" s="1"/>
  <c r="T105" i="4"/>
  <c r="Z101" i="4"/>
  <c r="Z105" i="4" s="1"/>
  <c r="AB103" i="4"/>
  <c r="AC103" i="4" s="1"/>
  <c r="W103" i="4"/>
  <c r="U98" i="4"/>
  <c r="W87" i="4"/>
  <c r="V91" i="4"/>
  <c r="W91" i="4" s="1"/>
  <c r="W88" i="4"/>
  <c r="W82" i="4"/>
  <c r="W83" i="4"/>
  <c r="V84" i="4"/>
  <c r="T82" i="4"/>
  <c r="D33" i="13"/>
  <c r="T80" i="4"/>
  <c r="D31" i="13"/>
  <c r="T83" i="4"/>
  <c r="D34" i="13"/>
  <c r="W81" i="4"/>
  <c r="U84" i="4"/>
  <c r="T81" i="4"/>
  <c r="D32" i="13"/>
  <c r="W80" i="4"/>
  <c r="AD49" i="4"/>
  <c r="AD50" i="4"/>
  <c r="P21" i="4"/>
  <c r="P22" i="4"/>
  <c r="P20" i="4"/>
  <c r="Q30" i="4"/>
  <c r="X15" i="4"/>
  <c r="X14" i="4"/>
  <c r="X13" i="4"/>
  <c r="X7" i="4"/>
  <c r="Y7" i="4" s="1"/>
  <c r="X6" i="4"/>
  <c r="Y6" i="4" s="1"/>
  <c r="X5" i="4"/>
  <c r="Y5" i="4" s="1"/>
  <c r="X4" i="4"/>
  <c r="Y4" i="4" s="1"/>
  <c r="W7" i="4"/>
  <c r="C34" i="13" s="1"/>
  <c r="F34" i="13" s="1"/>
  <c r="W6" i="4"/>
  <c r="W5" i="4"/>
  <c r="W4" i="4"/>
  <c r="O23" i="4"/>
  <c r="P14" i="4"/>
  <c r="P15" i="4"/>
  <c r="P13" i="4"/>
  <c r="Q8" i="4"/>
  <c r="R8" i="4" s="1"/>
  <c r="Q7" i="4"/>
  <c r="R7" i="4" s="1"/>
  <c r="Q6" i="4"/>
  <c r="R6" i="4" s="1"/>
  <c r="Q5" i="4"/>
  <c r="R5" i="4" s="1"/>
  <c r="O8" i="4"/>
  <c r="O7" i="4"/>
  <c r="O6" i="4"/>
  <c r="O5" i="4"/>
  <c r="AB98" i="4" l="1"/>
  <c r="AC94" i="4"/>
  <c r="AC98" i="4" s="1"/>
  <c r="T114" i="4"/>
  <c r="W105" i="4"/>
  <c r="AB105" i="4"/>
  <c r="AB114" i="4" s="1"/>
  <c r="AC101" i="4"/>
  <c r="AC105" i="4" s="1"/>
  <c r="AC114" i="4" s="1"/>
  <c r="W98" i="4"/>
  <c r="Z114" i="4"/>
  <c r="W112" i="4"/>
  <c r="W84" i="4"/>
  <c r="D35" i="13"/>
  <c r="AA4" i="4"/>
  <c r="C31" i="13"/>
  <c r="C32" i="13"/>
  <c r="F32" i="13" s="1"/>
  <c r="AA5" i="4"/>
  <c r="T84" i="4"/>
  <c r="C33" i="13"/>
  <c r="F33" i="13" s="1"/>
  <c r="AA6" i="4"/>
  <c r="W8" i="4"/>
  <c r="X8" i="4"/>
  <c r="O9" i="4"/>
  <c r="Q9" i="4"/>
  <c r="R9" i="4" s="1"/>
  <c r="F31" i="13" l="1"/>
  <c r="F35" i="13" s="1"/>
  <c r="C35" i="13"/>
  <c r="Y8" i="4"/>
  <c r="Y10" i="4" s="1"/>
  <c r="X10" i="4"/>
  <c r="O27" i="4"/>
  <c r="P27" i="4" s="1"/>
  <c r="O28" i="4"/>
  <c r="P28" i="4" s="1"/>
  <c r="O26" i="4"/>
  <c r="P26" i="4" s="1"/>
  <c r="O29" i="4"/>
  <c r="P29" i="4" s="1"/>
  <c r="P6" i="4"/>
  <c r="P7" i="4"/>
  <c r="P5" i="4"/>
  <c r="P8" i="4"/>
  <c r="O30" i="4" l="1"/>
  <c r="P9" i="4"/>
</calcChain>
</file>

<file path=xl/sharedStrings.xml><?xml version="1.0" encoding="utf-8"?>
<sst xmlns="http://schemas.openxmlformats.org/spreadsheetml/2006/main" count="203122" uniqueCount="26647">
  <si>
    <t>School Type</t>
  </si>
  <si>
    <t>School No</t>
  </si>
  <si>
    <t>School Name</t>
  </si>
  <si>
    <t>Academic Year</t>
  </si>
  <si>
    <t>SSF Date</t>
  </si>
  <si>
    <t>Offering</t>
  </si>
  <si>
    <t>School Revenue Type</t>
  </si>
  <si>
    <t>SSF Number</t>
  </si>
  <si>
    <t>Status</t>
  </si>
  <si>
    <t>Total Order Value (Exclusive GST)</t>
  </si>
  <si>
    <t>Total Order Value (Inclusive GST)</t>
  </si>
  <si>
    <t>ASSET Revenue</t>
  </si>
  <si>
    <t>ASSETStudents</t>
  </si>
  <si>
    <t>ASSET rate</t>
  </si>
  <si>
    <t>CARES Revenue</t>
  </si>
  <si>
    <t>CARESStudents</t>
  </si>
  <si>
    <t>CARES rate</t>
  </si>
  <si>
    <t>Mindspark Revenue</t>
  </si>
  <si>
    <t>MindsparkStudents</t>
  </si>
  <si>
    <t>Mindspark rate</t>
  </si>
  <si>
    <t>Teacher Training Revenue</t>
  </si>
  <si>
    <t>Payment Mode</t>
  </si>
  <si>
    <t>No Of Installments</t>
  </si>
  <si>
    <t>Full Payment Date</t>
  </si>
  <si>
    <t>First Installment Date</t>
  </si>
  <si>
    <t>First Installment Amount</t>
  </si>
  <si>
    <t>Second Installment Date</t>
  </si>
  <si>
    <t>Second Installment Amount</t>
  </si>
  <si>
    <t>Third Installment Date</t>
  </si>
  <si>
    <t>Third Installment Amount</t>
  </si>
  <si>
    <t>Fourth Installment Date</t>
  </si>
  <si>
    <t>Fourth Installment Amount</t>
  </si>
  <si>
    <t>TDS Amount</t>
  </si>
  <si>
    <t>First payment Date</t>
  </si>
  <si>
    <t>Latest payment Date</t>
  </si>
  <si>
    <t>To be invoiced till date</t>
  </si>
  <si>
    <t>Amount Received</t>
  </si>
  <si>
    <t>Due till date as per payment schedule</t>
  </si>
  <si>
    <t>Total Discount %</t>
  </si>
  <si>
    <t>Standard Discount %</t>
  </si>
  <si>
    <t>Pre Payment Discount %</t>
  </si>
  <si>
    <t>Volume Discount %</t>
  </si>
  <si>
    <t>Bundle Discount %</t>
  </si>
  <si>
    <t>Loyalty Discount %</t>
  </si>
  <si>
    <t>ASSETRound</t>
  </si>
  <si>
    <t>Ei ASSET Mode</t>
  </si>
  <si>
    <t>CAREStestpack</t>
  </si>
  <si>
    <t>Ei CARES Version</t>
  </si>
  <si>
    <t>Ei CARES Mode Of Printing</t>
  </si>
  <si>
    <t>Ei CARES Mode</t>
  </si>
  <si>
    <t>Ei Mindspark Mode</t>
  </si>
  <si>
    <t>Board</t>
  </si>
  <si>
    <t>City</t>
  </si>
  <si>
    <t>State</t>
  </si>
  <si>
    <t>Division</t>
  </si>
  <si>
    <t>Zone</t>
  </si>
  <si>
    <t>Vertical</t>
  </si>
  <si>
    <t>Program Start Date</t>
  </si>
  <si>
    <t>Program End Date</t>
  </si>
  <si>
    <t>Order Type</t>
  </si>
  <si>
    <t>ID</t>
  </si>
  <si>
    <t>Zoho CRM Account ID</t>
  </si>
  <si>
    <t>Deal ID</t>
  </si>
  <si>
    <t>Created Date</t>
  </si>
  <si>
    <t>Added User</t>
  </si>
  <si>
    <t>Modified User</t>
  </si>
  <si>
    <t>SSF Creator Email</t>
  </si>
  <si>
    <t>SSF Creator</t>
  </si>
  <si>
    <t>CRM Account Owner</t>
  </si>
  <si>
    <t>CRM Acad Consultant</t>
  </si>
  <si>
    <t>Logistic Approved Date</t>
  </si>
  <si>
    <t>SSF Signing Perosn Name</t>
  </si>
  <si>
    <t>SSF Signing Perosn Designation</t>
  </si>
  <si>
    <t>SSF Signing Perosn Mail ID</t>
  </si>
  <si>
    <t>SSF Signing Perosn Phone No</t>
  </si>
  <si>
    <t>School CRM Email</t>
  </si>
  <si>
    <t>Principal Name</t>
  </si>
  <si>
    <t>Principal Email</t>
  </si>
  <si>
    <t>Principal Phone No</t>
  </si>
  <si>
    <t>Coordinator Name</t>
  </si>
  <si>
    <t>Coordinator Email</t>
  </si>
  <si>
    <t>Coordinator Phone No</t>
  </si>
  <si>
    <t>School Fees</t>
  </si>
  <si>
    <t>Billing Address Line 1</t>
  </si>
  <si>
    <t>Billing Address Line 2</t>
  </si>
  <si>
    <t>Billing Postal Code</t>
  </si>
  <si>
    <t>Shipping Address Line 1</t>
  </si>
  <si>
    <t>Shipping City</t>
  </si>
  <si>
    <t>Shipping State</t>
  </si>
  <si>
    <t>Shipping Postal Code</t>
  </si>
  <si>
    <t>TAN NO</t>
  </si>
  <si>
    <t>CRM Billing Street</t>
  </si>
  <si>
    <t>CRM Shipping Street</t>
  </si>
  <si>
    <t>1-year School</t>
  </si>
  <si>
    <t>Cambridge School, New Friends Colony</t>
  </si>
  <si>
    <t>2024</t>
  </si>
  <si>
    <t>2024-04-30 00:00:00</t>
  </si>
  <si>
    <t>Ei ASSET</t>
  </si>
  <si>
    <t>Regular</t>
  </si>
  <si>
    <t>IN-2022001979</t>
  </si>
  <si>
    <t>Approved By Logistic Team</t>
  </si>
  <si>
    <t>750</t>
  </si>
  <si>
    <t>0</t>
  </si>
  <si>
    <t>Installments</t>
  </si>
  <si>
    <t>2</t>
  </si>
  <si>
    <t>2024-05-07 00:00:00</t>
  </si>
  <si>
    <t>80100</t>
  </si>
  <si>
    <t>2024-11-07 00:00:00</t>
  </si>
  <si>
    <t>186900</t>
  </si>
  <si>
    <t>2000-01-01 00:00:00</t>
  </si>
  <si>
    <t>5340</t>
  </si>
  <si>
    <t>2024-06-28 00:00:00</t>
  </si>
  <si>
    <t>2025-01-21 00:00:00</t>
  </si>
  <si>
    <t>267000</t>
  </si>
  <si>
    <t>261659</t>
  </si>
  <si>
    <t>1</t>
  </si>
  <si>
    <t>0.5</t>
  </si>
  <si>
    <t>Winter Round</t>
  </si>
  <si>
    <t>OMR</t>
  </si>
  <si>
    <t>MCQ</t>
  </si>
  <si>
    <t>CBSE</t>
  </si>
  <si>
    <t>Delhi</t>
  </si>
  <si>
    <t>North</t>
  </si>
  <si>
    <t>Delhi/Haryana</t>
  </si>
  <si>
    <t>National Sales</t>
  </si>
  <si>
    <t>2024-05-01 00:00:00</t>
  </si>
  <si>
    <t>2025-03-31 00:00:00</t>
  </si>
  <si>
    <t>Regular School: Active school with student count and rate per student defined</t>
  </si>
  <si>
    <t>22028000022319092</t>
  </si>
  <si>
    <t>51788000002746818</t>
  </si>
  <si>
    <t>zcrm_51788000269056279</t>
  </si>
  <si>
    <t>puneet.khurana_ei</t>
  </si>
  <si>
    <t>hakim.kanchwala_eiindia1</t>
  </si>
  <si>
    <t>puneet.khurana@ei.study</t>
  </si>
  <si>
    <t>Puneet khurana</t>
  </si>
  <si>
    <t>Vaishali Yadav</t>
  </si>
  <si>
    <t>2024-05-13 09:06:54</t>
  </si>
  <si>
    <t>Mrs. Sunandita Ganguly</t>
  </si>
  <si>
    <t>Principal</t>
  </si>
  <si>
    <t>sunandita.nfc@cambridgeschool.edu.in</t>
  </si>
  <si>
    <t>+919711953984</t>
  </si>
  <si>
    <t>mailus.nfc@cambridgeschool.edu.in</t>
  </si>
  <si>
    <t>Ms Latika Mehra</t>
  </si>
  <si>
    <t>latikam.nfc@cambridgeschool.edu.in</t>
  </si>
  <si>
    <t>+919810606517</t>
  </si>
  <si>
    <t>88500</t>
  </si>
  <si>
    <t>A - Block, A 96 New Friends Colony, ,Delhi,Delhi - 110065</t>
  </si>
  <si>
    <t>110065</t>
  </si>
  <si>
    <t>PNEK06448B</t>
  </si>
  <si>
    <t>Retention School</t>
  </si>
  <si>
    <t>St. Paul'S School</t>
  </si>
  <si>
    <t>2024-06-25 00:00:00</t>
  </si>
  <si>
    <t>Ei CARES</t>
  </si>
  <si>
    <t>IN-2022002275</t>
  </si>
  <si>
    <t>870</t>
  </si>
  <si>
    <t>4</t>
  </si>
  <si>
    <t>2024-06-29 00:00:00</t>
  </si>
  <si>
    <t>253640</t>
  </si>
  <si>
    <t>2024-08-31 00:00:00</t>
  </si>
  <si>
    <t>2024-10-31 00:00:00</t>
  </si>
  <si>
    <t>2024-12-31 00:00:00</t>
  </si>
  <si>
    <t>101631</t>
  </si>
  <si>
    <t>2024-07-22 00:00:00</t>
  </si>
  <si>
    <t>2025-01-20 00:00:00</t>
  </si>
  <si>
    <t>1014560</t>
  </si>
  <si>
    <t>914669</t>
  </si>
  <si>
    <t>-1740</t>
  </si>
  <si>
    <t>0.5166</t>
  </si>
  <si>
    <t>0.46659999999999996</t>
  </si>
  <si>
    <t>0.05</t>
  </si>
  <si>
    <t>Printing By EI</t>
  </si>
  <si>
    <t>CISCE</t>
  </si>
  <si>
    <t>Rourkela</t>
  </si>
  <si>
    <t>Odisha</t>
  </si>
  <si>
    <t>East</t>
  </si>
  <si>
    <t>2024-06-24 00:00:00</t>
  </si>
  <si>
    <t>22028000023176128</t>
  </si>
  <si>
    <t>51788000002747044</t>
  </si>
  <si>
    <t>zcrm_51788000270481001</t>
  </si>
  <si>
    <t>lopamudra.das_eiindia1</t>
  </si>
  <si>
    <t>mitul.patel_ei1</t>
  </si>
  <si>
    <t>lopamudra.das@ei.study</t>
  </si>
  <si>
    <t>Lopamudra das</t>
  </si>
  <si>
    <t>Lopamudra Das</t>
  </si>
  <si>
    <t>2024-07-01 10:19:15</t>
  </si>
  <si>
    <t>Fr. Joseph Sarpira Sadam</t>
  </si>
  <si>
    <t>stpaulrkl@gmail.com</t>
  </si>
  <si>
    <t>+919437290604</t>
  </si>
  <si>
    <t>Hamirpur, Rourkela - 769003, Odisha, INDIA.</t>
  </si>
  <si>
    <t>769003</t>
  </si>
  <si>
    <t>BBNT00367D</t>
  </si>
  <si>
    <t>KLE KG &amp; English Medium State School, Nipani</t>
  </si>
  <si>
    <t>2024-06-16 00:00:00</t>
  </si>
  <si>
    <t>Ei ASSET, Ei Mindspark</t>
  </si>
  <si>
    <t>IN-2022002210, IN-2022002237</t>
  </si>
  <si>
    <t>311</t>
  </si>
  <si>
    <t>509</t>
  </si>
  <si>
    <t>2024-07-15 00:00:00</t>
  </si>
  <si>
    <t>126712, 248462</t>
  </si>
  <si>
    <t>2024-11-15 00:00:00, 2024-12-15 00:00:00</t>
  </si>
  <si>
    <t>25408.7, 41542</t>
  </si>
  <si>
    <t>2024-09-05 00:00:00, 2024-09-18 00:00:00</t>
  </si>
  <si>
    <t>2025-01-17 00:00:00</t>
  </si>
  <si>
    <t>253424, 496924</t>
  </si>
  <si>
    <t>228678.3, 448658</t>
  </si>
  <si>
    <t>-663, 6724</t>
  </si>
  <si>
    <t>0.7927, 0.8332999999999999</t>
  </si>
  <si>
    <t>0, Winter Round</t>
  </si>
  <si>
    <t>Offline</t>
  </si>
  <si>
    <t>State Board</t>
  </si>
  <si>
    <t>Nipani</t>
  </si>
  <si>
    <t>Karnataka</t>
  </si>
  <si>
    <t>South</t>
  </si>
  <si>
    <t>Karnataka/Kerala</t>
  </si>
  <si>
    <t>2024-06-01 00:00:00</t>
  </si>
  <si>
    <t>2025-04-30 00:00:00, 2025-05-31 00:00:00</t>
  </si>
  <si>
    <t>22028000023002408, 22028000023033488</t>
  </si>
  <si>
    <t>51788000002747167</t>
  </si>
  <si>
    <t>zcrm_51788000270604012, zcrm_51788000270690656</t>
  </si>
  <si>
    <t>vineet.upadhye_ei</t>
  </si>
  <si>
    <t>vineet.upadhye@ei.study</t>
  </si>
  <si>
    <t>Vineet upadhye</t>
  </si>
  <si>
    <t>Nisha Murali</t>
  </si>
  <si>
    <t>2024-06-18 10:41:02, 2024-06-18 10:43:54</t>
  </si>
  <si>
    <t>Maruf Shaikh</t>
  </si>
  <si>
    <t>maruf.shaikh@ei.study</t>
  </si>
  <si>
    <t>+919016039311</t>
  </si>
  <si>
    <t>kleems@rediffmail.com</t>
  </si>
  <si>
    <t>Old P.B road Nipani</t>
  </si>
  <si>
    <t>591237</t>
  </si>
  <si>
    <t>BLRK04875D</t>
  </si>
  <si>
    <t>The Doon Girls^ School</t>
  </si>
  <si>
    <t>2024-04-01 00:00:00</t>
  </si>
  <si>
    <t>Ei ASSET,Ei CARES, Ei Mindspark</t>
  </si>
  <si>
    <t>IN-2022001799, IN-2022001800</t>
  </si>
  <si>
    <t>594</t>
  </si>
  <si>
    <t>1906</t>
  </si>
  <si>
    <t>1865</t>
  </si>
  <si>
    <t>2024-04-15 00:00:00</t>
  </si>
  <si>
    <t>43459, 49361</t>
  </si>
  <si>
    <t>2024-10-15 00:00:00</t>
  </si>
  <si>
    <t>2024-09-13 00:00:00</t>
  </si>
  <si>
    <t>2024-09-13 00:00:00, 2024-12-26 00:00:00</t>
  </si>
  <si>
    <t>173836, 197444</t>
  </si>
  <si>
    <t>236917, 87395</t>
  </si>
  <si>
    <t>-63081, 110049</t>
  </si>
  <si>
    <t>0.6944, 0.7618</t>
  </si>
  <si>
    <t>0, Summer Round</t>
  </si>
  <si>
    <t>0, 8</t>
  </si>
  <si>
    <t>MCQ, MCQ + Subjective</t>
  </si>
  <si>
    <t>Online</t>
  </si>
  <si>
    <t>Dehradun</t>
  </si>
  <si>
    <t>Uttarakhand</t>
  </si>
  <si>
    <t>UP/Uttarakhand</t>
  </si>
  <si>
    <t>22028000021869840, 22028000021869888</t>
  </si>
  <si>
    <t>51788000002747187</t>
  </si>
  <si>
    <t>zcrm_51788000267771001, zcrm_51788000267801001</t>
  </si>
  <si>
    <t>anshul.nagpal_ei</t>
  </si>
  <si>
    <t>sourabh.mehta_eiindia</t>
  </si>
  <si>
    <t>anshul.nagpal@ei.study</t>
  </si>
  <si>
    <t>Anshul nagpal</t>
  </si>
  <si>
    <t>Tanya Marina Brooks</t>
  </si>
  <si>
    <t>2024-04-04 17:12:47, 2024-04-04 17:12:52</t>
  </si>
  <si>
    <t>Ms. Monisha Dutta</t>
  </si>
  <si>
    <t>doongirlsschool@gmail.com</t>
  </si>
  <si>
    <t>+919927683344</t>
  </si>
  <si>
    <t>Mr. Rohit Raj Singh</t>
  </si>
  <si>
    <t>rrs@thedoongirlsschool.com</t>
  </si>
  <si>
    <t>+919634483993</t>
  </si>
  <si>
    <t>4, Circular Road, Dalanwala,</t>
  </si>
  <si>
    <t>248001</t>
  </si>
  <si>
    <t>Sri Aurobindo International School</t>
  </si>
  <si>
    <t>2024-04-04 00:00:00, 2024-08-09 00:00:00</t>
  </si>
  <si>
    <t>IN-2022001852, IN-2022001853, IN-2022002413</t>
  </si>
  <si>
    <t>0, 1202, 2090</t>
  </si>
  <si>
    <t>Full Payment</t>
  </si>
  <si>
    <t>2024-03-31 00:00:00, 2024-04-30 00:00:00</t>
  </si>
  <si>
    <t>0, 4206, 84866</t>
  </si>
  <si>
    <t>0, 43264, 861205</t>
  </si>
  <si>
    <t>0, 37856, 763797</t>
  </si>
  <si>
    <t>0, 1202, 12542</t>
  </si>
  <si>
    <t>0.5229, 0.5916, 1</t>
  </si>
  <si>
    <t>0.4729, 0.5416, 1</t>
  </si>
  <si>
    <t>2, 6, 8</t>
  </si>
  <si>
    <t>Hyderabad</t>
  </si>
  <si>
    <t>Telangana</t>
  </si>
  <si>
    <t>AP/Telangana</t>
  </si>
  <si>
    <t>22028000021919812, 22028000021919844, 22028000024041572</t>
  </si>
  <si>
    <t>51788000002728476</t>
  </si>
  <si>
    <t>zcrm_51788000267805111, zcrm_51788000267805248, zcrm_51788000272301001</t>
  </si>
  <si>
    <t>chaitanya.kolluri_ei</t>
  </si>
  <si>
    <t>chaitanya.kolluri@ei.study</t>
  </si>
  <si>
    <t>Chaitanya kolluri</t>
  </si>
  <si>
    <t>Jasper Jessie</t>
  </si>
  <si>
    <t>2024-04-22 14:51:39, 2024-04-22 14:51:44, 2024-08-10 12:50:42</t>
  </si>
  <si>
    <t>Mr. Praveen, Mr. Praveen SAIS</t>
  </si>
  <si>
    <t>Accounts</t>
  </si>
  <si>
    <t>saishyd@gmail.com</t>
  </si>
  <si>
    <t>+919849659075</t>
  </si>
  <si>
    <t>Ms. Vinjamur Jayashree</t>
  </si>
  <si>
    <t>vinjamurjayashree@gmail.com</t>
  </si>
  <si>
    <t>Ms. Meena Murthy</t>
  </si>
  <si>
    <t>gmlochani@gmail.com</t>
  </si>
  <si>
    <t>+919866561332</t>
  </si>
  <si>
    <t>2-2-4/1 O U Road, Sri Aurobindo Marg,Vidyanagar,</t>
  </si>
  <si>
    <t>500044</t>
  </si>
  <si>
    <t>HYDI01894E</t>
  </si>
  <si>
    <t>Vidyanagar,</t>
  </si>
  <si>
    <t>Mind Tree School, Ambala City</t>
  </si>
  <si>
    <t>IN-2022002289</t>
  </si>
  <si>
    <t>600</t>
  </si>
  <si>
    <t>2024-08-05 00:00:00</t>
  </si>
  <si>
    <t>5880</t>
  </si>
  <si>
    <t>2024-08-27 00:00:00</t>
  </si>
  <si>
    <t>96600</t>
  </si>
  <si>
    <t>52920</t>
  </si>
  <si>
    <t>37800</t>
  </si>
  <si>
    <t>0.6</t>
  </si>
  <si>
    <t>Summer Round</t>
  </si>
  <si>
    <t>Ambala</t>
  </si>
  <si>
    <t>Haryana</t>
  </si>
  <si>
    <t>2024-05-13 00:00:00</t>
  </si>
  <si>
    <t>22028000023208508</t>
  </si>
  <si>
    <t>51788000002747228</t>
  </si>
  <si>
    <t>zcrm_51788000255130095</t>
  </si>
  <si>
    <t>gaurav.mehta_eiindia</t>
  </si>
  <si>
    <t>gaurav.mehta@ei.study</t>
  </si>
  <si>
    <t>Gaurav mehta</t>
  </si>
  <si>
    <t>Bhavishya Bansal</t>
  </si>
  <si>
    <t>2024-07-01 13:00:38</t>
  </si>
  <si>
    <t>Ms. Neelam Ohri</t>
  </si>
  <si>
    <t>mindtree.ambala@gmail.com</t>
  </si>
  <si>
    <t>+918685000121</t>
  </si>
  <si>
    <t>mindtreeschool@gmail.com</t>
  </si>
  <si>
    <t>48000</t>
  </si>
  <si>
    <t>Mind Tree School, Sector 1</t>
  </si>
  <si>
    <t>134011</t>
  </si>
  <si>
    <t>New School</t>
  </si>
  <si>
    <t>Doon Valley Public School</t>
  </si>
  <si>
    <t>2024-08-30 00:00:00</t>
  </si>
  <si>
    <t>675</t>
  </si>
  <si>
    <t>2024-03-31 00:00:00</t>
  </si>
  <si>
    <t>2024-09-21 00:00:00</t>
  </si>
  <si>
    <t>0.1</t>
  </si>
  <si>
    <t>Nalagarh</t>
  </si>
  <si>
    <t>Himachal Pradesh</t>
  </si>
  <si>
    <t>Punjab/Chandigarh</t>
  </si>
  <si>
    <t>2024-09-02 00:00:00</t>
  </si>
  <si>
    <t>51788000002747410</t>
  </si>
  <si>
    <t>sajan.thareja</t>
  </si>
  <si>
    <t>fagun.saraiya_eiindia1</t>
  </si>
  <si>
    <t>sajan.thareja@ei.study</t>
  </si>
  <si>
    <t>Sajan thareja</t>
  </si>
  <si>
    <t>Mr. Rajeev Sharma</t>
  </si>
  <si>
    <t>School Owner</t>
  </si>
  <si>
    <t>rajeevdvps@yahoo.co.in</t>
  </si>
  <si>
    <t>+919805316667</t>
  </si>
  <si>
    <t>rajeevdvps@gmail.com</t>
  </si>
  <si>
    <t>36000</t>
  </si>
  <si>
    <t>Pinjore - Swarghat Rd, Nalagarh, Himachal Pradesh 174101</t>
  </si>
  <si>
    <t>174101</t>
  </si>
  <si>
    <t>Shri Shikshayatan School</t>
  </si>
  <si>
    <t>2024-03-08 00:00:00</t>
  </si>
  <si>
    <t>IN-2022001599</t>
  </si>
  <si>
    <t>500</t>
  </si>
  <si>
    <t>2024-04-22 00:00:00</t>
  </si>
  <si>
    <t>194864</t>
  </si>
  <si>
    <t>2024-07-04 00:00:00</t>
  </si>
  <si>
    <t>454682</t>
  </si>
  <si>
    <t>9486</t>
  </si>
  <si>
    <t>2025-02-13 00:00:00</t>
  </si>
  <si>
    <t>649546</t>
  </si>
  <si>
    <t>620955</t>
  </si>
  <si>
    <t>19105</t>
  </si>
  <si>
    <t>0.6668999999999999</t>
  </si>
  <si>
    <t>Kolkata</t>
  </si>
  <si>
    <t>West Bengal</t>
  </si>
  <si>
    <t>2024-04-08 00:00:00</t>
  </si>
  <si>
    <t>22028000021440040</t>
  </si>
  <si>
    <t>51788000002728478</t>
  </si>
  <si>
    <t>zcrm_51788000266368106</t>
  </si>
  <si>
    <t>ratnabali.mukherjee_eiindia</t>
  </si>
  <si>
    <t>ratnabali.mukherjee@ei.study</t>
  </si>
  <si>
    <t>Ratnabali mukherjee</t>
  </si>
  <si>
    <t>Gargi Ghosh</t>
  </si>
  <si>
    <t>2024-04-24 14:37:25</t>
  </si>
  <si>
    <t>Mrs. Sangeeta Tandon</t>
  </si>
  <si>
    <t>principal@shrishikshayatanschool.com</t>
  </si>
  <si>
    <t>+919831872819</t>
  </si>
  <si>
    <t>Rupali</t>
  </si>
  <si>
    <t>+918100376881</t>
  </si>
  <si>
    <t>11, Lord Sinha Road, Elgin,</t>
  </si>
  <si>
    <t>700071</t>
  </si>
  <si>
    <t>CALS05598F</t>
  </si>
  <si>
    <t>P.S. Senior Secondary School</t>
  </si>
  <si>
    <t>2024-01-24 00:00:00</t>
  </si>
  <si>
    <t>IN-2022001422</t>
  </si>
  <si>
    <t>1350</t>
  </si>
  <si>
    <t>3</t>
  </si>
  <si>
    <t>482732</t>
  </si>
  <si>
    <t>2024-08-01 00:00:00</t>
  </si>
  <si>
    <t>563187</t>
  </si>
  <si>
    <t>2024-12-01 00:00:00</t>
  </si>
  <si>
    <t>157940</t>
  </si>
  <si>
    <t>2024-12-17 00:00:00</t>
  </si>
  <si>
    <t>1609106</t>
  </si>
  <si>
    <t>1421466</t>
  </si>
  <si>
    <t>29700</t>
  </si>
  <si>
    <t>0.4808</t>
  </si>
  <si>
    <t>Chennai</t>
  </si>
  <si>
    <t>Tamil Nadu</t>
  </si>
  <si>
    <t>2025-04-30 00:00:00</t>
  </si>
  <si>
    <t>22028000020766924</t>
  </si>
  <si>
    <t>51788000002731864</t>
  </si>
  <si>
    <t>zcrm_51788000263929001</t>
  </si>
  <si>
    <t>nisha.murali_eiindia</t>
  </si>
  <si>
    <t>nisha.murali@ei.study</t>
  </si>
  <si>
    <t>Nisha murali</t>
  </si>
  <si>
    <t>Vineeth T V</t>
  </si>
  <si>
    <t>2024-02-01 14:54:01</t>
  </si>
  <si>
    <t>Mrs.Revathy Parameswaran</t>
  </si>
  <si>
    <t>Pssrsec@gmail.com</t>
  </si>
  <si>
    <t>+919444907456</t>
  </si>
  <si>
    <t>pssrsec@gmail.com</t>
  </si>
  <si>
    <t>Shivakumar</t>
  </si>
  <si>
    <t>prsivaku042@gmail.com</t>
  </si>
  <si>
    <t>+919677100124</t>
  </si>
  <si>
    <t>33 Alarmelmangapuram, Mylapore, Chennai Â 600 004</t>
  </si>
  <si>
    <t>600004</t>
  </si>
  <si>
    <t>CHEP02342E</t>
  </si>
  <si>
    <t>Ingraham Institute English School</t>
  </si>
  <si>
    <t>2024-05-14 00:00:00</t>
  </si>
  <si>
    <t>IN-2022002053</t>
  </si>
  <si>
    <t>1050</t>
  </si>
  <si>
    <t>2024-05-18 00:00:00</t>
  </si>
  <si>
    <t>58383</t>
  </si>
  <si>
    <t>233533</t>
  </si>
  <si>
    <t>2024-10-01 00:00:00</t>
  </si>
  <si>
    <t>145958</t>
  </si>
  <si>
    <t>2024-12-02 00:00:00</t>
  </si>
  <si>
    <t>61348</t>
  </si>
  <si>
    <t>2024-06-21 00:00:00</t>
  </si>
  <si>
    <t>2025-03-12 00:00:00</t>
  </si>
  <si>
    <t>583832</t>
  </si>
  <si>
    <t>552148</t>
  </si>
  <si>
    <t>-29664</t>
  </si>
  <si>
    <t>0.5227</t>
  </si>
  <si>
    <t>MCQ + Subjective</t>
  </si>
  <si>
    <t>Ghaziabad</t>
  </si>
  <si>
    <t>Uttar Pradesh</t>
  </si>
  <si>
    <t>NCR</t>
  </si>
  <si>
    <t>2024-05-20 00:00:00</t>
  </si>
  <si>
    <t>22028000022495488</t>
  </si>
  <si>
    <t>51788000002747830</t>
  </si>
  <si>
    <t>zcrm_51788000261218012</t>
  </si>
  <si>
    <t>Puneet Khurana</t>
  </si>
  <si>
    <t>2024-05-16 14:47:22</t>
  </si>
  <si>
    <t>Mrs. Arpana Ruth</t>
  </si>
  <si>
    <t>arpana2@yahoo.com</t>
  </si>
  <si>
    <t>+919971995516</t>
  </si>
  <si>
    <t>ingrinst@gmail.com</t>
  </si>
  <si>
    <t>Hapur Road</t>
  </si>
  <si>
    <t>201001</t>
  </si>
  <si>
    <t>Manasarowar Pushkarini Vidyashrama</t>
  </si>
  <si>
    <t>2024-03-27 00:00:00</t>
  </si>
  <si>
    <t>IN-2022001755</t>
  </si>
  <si>
    <t>1100</t>
  </si>
  <si>
    <t>2024-06-14 00:00:00</t>
  </si>
  <si>
    <t>641359</t>
  </si>
  <si>
    <t>2024-08-14 00:00:00</t>
  </si>
  <si>
    <t>68037</t>
  </si>
  <si>
    <t>2024-12-23 00:00:00</t>
  </si>
  <si>
    <t>1282718</t>
  </si>
  <si>
    <t>1196976</t>
  </si>
  <si>
    <t>17705</t>
  </si>
  <si>
    <t>0.2666</t>
  </si>
  <si>
    <t>Mysore</t>
  </si>
  <si>
    <t>22028000021773164</t>
  </si>
  <si>
    <t>51788000002731894</t>
  </si>
  <si>
    <t>zcrm_51788000266114662</t>
  </si>
  <si>
    <t>aji.thomas_eiindia</t>
  </si>
  <si>
    <t>aji.thomas@ei.study</t>
  </si>
  <si>
    <t>Aji thomas</t>
  </si>
  <si>
    <t>Mohammadi Zohra</t>
  </si>
  <si>
    <t>2024-05-09 11:10:39</t>
  </si>
  <si>
    <t>Mrs. HARSHIDA HARIKUMAR</t>
  </si>
  <si>
    <t>harshida@pushkarinimys.com</t>
  </si>
  <si>
    <t>+918971180000</t>
  </si>
  <si>
    <t>mpvmysore@yahoo.com</t>
  </si>
  <si>
    <t>Hemalatha</t>
  </si>
  <si>
    <t>latha7179@yahoo.in</t>
  </si>
  <si>
    <t>+919886079179</t>
  </si>
  <si>
    <t>4000</t>
  </si>
  <si>
    <t>Vijayanagar 2Nd Stage Mysore Karnataka</t>
  </si>
  <si>
    <t>570017</t>
  </si>
  <si>
    <t>Key Account</t>
  </si>
  <si>
    <t>Platinum Jubilee High School</t>
  </si>
  <si>
    <t>2024-10-22 00:00:00</t>
  </si>
  <si>
    <t>IN-2022002536</t>
  </si>
  <si>
    <t>2024-10-23 00:00:00</t>
  </si>
  <si>
    <t>Warangal</t>
  </si>
  <si>
    <t>2024-09-01 00:00:00</t>
  </si>
  <si>
    <t>22028000025644064</t>
  </si>
  <si>
    <t>51788000002732015</t>
  </si>
  <si>
    <t>zcrm_51788000274553290</t>
  </si>
  <si>
    <t>maruf.shaikh1</t>
  </si>
  <si>
    <t>Maruf shaikh</t>
  </si>
  <si>
    <t>Manjeetsingh Ladhad</t>
  </si>
  <si>
    <t>2024-10-22 12:55:58</t>
  </si>
  <si>
    <t>Jagdish Peche</t>
  </si>
  <si>
    <t>jagdish.peche@akesi.org</t>
  </si>
  <si>
    <t>+919652313666</t>
  </si>
  <si>
    <t>Prasanna</t>
  </si>
  <si>
    <t>+916303627829</t>
  </si>
  <si>
    <t>16-8-19/1, Fort Road Abbani Kunta Warangal Telangana INDIA</t>
  </si>
  <si>
    <t>506002</t>
  </si>
  <si>
    <t>The Global Edge School</t>
  </si>
  <si>
    <t>2024-04-05 00:00:00</t>
  </si>
  <si>
    <t>IN-2022001858</t>
  </si>
  <si>
    <t>570</t>
  </si>
  <si>
    <t>2024-07-31 00:00:00</t>
  </si>
  <si>
    <t>38019</t>
  </si>
  <si>
    <t>2024-09-23 00:00:00</t>
  </si>
  <si>
    <t>380190</t>
  </si>
  <si>
    <t>342171</t>
  </si>
  <si>
    <t>0.62</t>
  </si>
  <si>
    <t>22028000021930452</t>
  </si>
  <si>
    <t>51788000002749196</t>
  </si>
  <si>
    <t>zcrm_51788000266680049</t>
  </si>
  <si>
    <t>2024-04-24 10:20:43</t>
  </si>
  <si>
    <t>Ms, Swathi Reddy</t>
  </si>
  <si>
    <t>accountsincharge@globaledgeschool.com</t>
  </si>
  <si>
    <t>+919640551155</t>
  </si>
  <si>
    <t>Ms. Anju Madan</t>
  </si>
  <si>
    <t>principal@globaledgeschool.com</t>
  </si>
  <si>
    <t>Ms.Anitha Jha</t>
  </si>
  <si>
    <t>anithajha@globaledgeschool.com</t>
  </si>
  <si>
    <t>+919052424441</t>
  </si>
  <si>
    <t>Plot no. 8/A,Part of Survey no.s 74 and 75,Jai Hind Enclave,100 feet road,Madhapur</t>
  </si>
  <si>
    <t>500081</t>
  </si>
  <si>
    <t>HYDM04246E</t>
  </si>
  <si>
    <t>St. Mary Champion H.Sec. School</t>
  </si>
  <si>
    <t>2024-02-20 00:00:00</t>
  </si>
  <si>
    <t>IN-2022001530</t>
  </si>
  <si>
    <t>1560</t>
  </si>
  <si>
    <t>2024-03-15 00:00:00</t>
  </si>
  <si>
    <t>140400</t>
  </si>
  <si>
    <t>163800</t>
  </si>
  <si>
    <t>45436</t>
  </si>
  <si>
    <t>2024-03-04 00:00:00</t>
  </si>
  <si>
    <t>2025-01-10 00:00:00</t>
  </si>
  <si>
    <t>468000</t>
  </si>
  <si>
    <t>408915</t>
  </si>
  <si>
    <t>13649</t>
  </si>
  <si>
    <t>0.4</t>
  </si>
  <si>
    <t>Indore</t>
  </si>
  <si>
    <t>Madhya Pradesh</t>
  </si>
  <si>
    <t>MP/Chattisgarh</t>
  </si>
  <si>
    <t>2024-04-02 00:00:00</t>
  </si>
  <si>
    <t>2025-03-29 00:00:00</t>
  </si>
  <si>
    <t>22028000021136288</t>
  </si>
  <si>
    <t>51788000002749223</t>
  </si>
  <si>
    <t>zcrm_51788000254781412</t>
  </si>
  <si>
    <t>Laxminarayan Dogayan</t>
  </si>
  <si>
    <t>laxminarayan.dogayan@ei.study</t>
  </si>
  <si>
    <t>Laxminarayan dogayan</t>
  </si>
  <si>
    <t>Shruti Chauhan</t>
  </si>
  <si>
    <t>2024-02-23 10:37:00</t>
  </si>
  <si>
    <t>Mr. Victor Swamy</t>
  </si>
  <si>
    <t>Admin</t>
  </si>
  <si>
    <t>victor.swamy@gmail.con</t>
  </si>
  <si>
    <t>+917389623616</t>
  </si>
  <si>
    <t>principal_smchss@yahoo.com</t>
  </si>
  <si>
    <t>50000</t>
  </si>
  <si>
    <t>Suryadev Nagar, Gopur Square</t>
  </si>
  <si>
    <t>452009</t>
  </si>
  <si>
    <t>BPLS14197B</t>
  </si>
  <si>
    <t>Vidya Devi Jindal School</t>
  </si>
  <si>
    <t>2024-04-04 00:00:00</t>
  </si>
  <si>
    <t>IN-2022001842, IN-2022001843, IN-2022001844</t>
  </si>
  <si>
    <t>1376</t>
  </si>
  <si>
    <t>2331</t>
  </si>
  <si>
    <t>2024-04-06 00:00:00</t>
  </si>
  <si>
    <t>2024-05-03 00:00:00</t>
  </si>
  <si>
    <t>577612, 587526</t>
  </si>
  <si>
    <t>0, 490970, 885728</t>
  </si>
  <si>
    <t>-298202, 587526, 86642</t>
  </si>
  <si>
    <t>0.4462, 0.618</t>
  </si>
  <si>
    <t>0, Summer Round, Winter Round</t>
  </si>
  <si>
    <t>Hisar</t>
  </si>
  <si>
    <t>22028000021909640, 22028000021909708, 22028000021909804</t>
  </si>
  <si>
    <t>51788000002749807</t>
  </si>
  <si>
    <t>zcrm_51788000267810265, zcrm_51788000267810442, zcrm_51788000267810619</t>
  </si>
  <si>
    <t>virender.verma_ei</t>
  </si>
  <si>
    <t>virender.verma@ei.study</t>
  </si>
  <si>
    <t>Virender verma</t>
  </si>
  <si>
    <t>2024-04-05 15:50:53, 2024-04-05 15:51:33, 2024-04-05 15:52:04</t>
  </si>
  <si>
    <t>Ms. Kamalica Bhowmick</t>
  </si>
  <si>
    <t>Other</t>
  </si>
  <si>
    <t>doac@vdjs.edu.in</t>
  </si>
  <si>
    <t>+919831461183</t>
  </si>
  <si>
    <t>info@vdjs.edu.in</t>
  </si>
  <si>
    <t>Hisar-Delhi Bypass Rd, Hisar Cantt, Hisar, Haryana 125044</t>
  </si>
  <si>
    <t>125044</t>
  </si>
  <si>
    <t>RTKV01058B</t>
  </si>
  <si>
    <t>B.K Birla Public School, Kalyan</t>
  </si>
  <si>
    <t>2024-06-08 00:00:00, 2024-07-04 00:00:00</t>
  </si>
  <si>
    <t>IN-2022002186, IN-2022002308</t>
  </si>
  <si>
    <t>2203</t>
  </si>
  <si>
    <t>2024-06-10 00:00:00, 2024-07-04 00:00:00</t>
  </si>
  <si>
    <t>256755, 333000</t>
  </si>
  <si>
    <t>2024-07-31 00:00:00, 2024-10-31 00:00:00</t>
  </si>
  <si>
    <t>770265, 999000</t>
  </si>
  <si>
    <t>133200, 78716</t>
  </si>
  <si>
    <t>2024-06-14 00:00:00, 2024-08-16 00:00:00</t>
  </si>
  <si>
    <t>2024-11-07 00:00:00, 2025-02-21 00:00:00</t>
  </si>
  <si>
    <t>1027020, 1332000</t>
  </si>
  <si>
    <t>1198800, 754879</t>
  </si>
  <si>
    <t>0, 193425</t>
  </si>
  <si>
    <t>0.2778, 0.6</t>
  </si>
  <si>
    <t>Kalyan</t>
  </si>
  <si>
    <t>Maharashtra</t>
  </si>
  <si>
    <t>West</t>
  </si>
  <si>
    <t>Mumbai</t>
  </si>
  <si>
    <t>2024-06-01 00:00:00, 2024-06-08 00:00:00</t>
  </si>
  <si>
    <t>2025-05-31 00:00:00</t>
  </si>
  <si>
    <t>22028000022859928, 22028000023342260</t>
  </si>
  <si>
    <t>51788000002750595</t>
  </si>
  <si>
    <t>zcrm_51788000270447061, zcrm_51788000271386001</t>
  </si>
  <si>
    <t>hetal.parmar_ei</t>
  </si>
  <si>
    <t>hetal.parmar@ei.study</t>
  </si>
  <si>
    <t>Hetal parmar</t>
  </si>
  <si>
    <t>Saloni Shah</t>
  </si>
  <si>
    <t>2024-06-08 17:38:19, 2024-07-13 18:19:51</t>
  </si>
  <si>
    <t>Ms. Ruchita .</t>
  </si>
  <si>
    <t>viceprincipal@birlaschoolkalyan.com</t>
  </si>
  <si>
    <t>+919820776655</t>
  </si>
  <si>
    <t>contact@birlaschoolkalyan.com</t>
  </si>
  <si>
    <t>Ms.Ruchita</t>
  </si>
  <si>
    <t>B K Birla College Road, Near Rto, Kalyan West,</t>
  </si>
  <si>
    <t>421304</t>
  </si>
  <si>
    <t>Mahadevi Birla World Academy (Junior Wing)</t>
  </si>
  <si>
    <t>2024-02-21 00:00:00</t>
  </si>
  <si>
    <t>Ei CARES, Ei Mindspark</t>
  </si>
  <si>
    <t>IN-2022001540, IN-2022001541</t>
  </si>
  <si>
    <t>2237</t>
  </si>
  <si>
    <t>2024-03-30 00:00:00</t>
  </si>
  <si>
    <t>1366244, 425234</t>
  </si>
  <si>
    <t>2024-09-30 00:00:00</t>
  </si>
  <si>
    <t>24654, 40518</t>
  </si>
  <si>
    <t>2024-04-02 00:00:00, 2024-10-23 00:00:00</t>
  </si>
  <si>
    <t>2732488, 850468</t>
  </si>
  <si>
    <t>1429960.21, 2193743.31</t>
  </si>
  <si>
    <t>-1383793, 1277874</t>
  </si>
  <si>
    <t>0.5926, 0.6143</t>
  </si>
  <si>
    <t>0, 4</t>
  </si>
  <si>
    <t>2024-04-02 00:00:00, 2024-04-15 00:00:00</t>
  </si>
  <si>
    <t>2025-03-27 00:00:00, 2025-03-31 00:00:00</t>
  </si>
  <si>
    <t>22028000021161100, 22028000021161152</t>
  </si>
  <si>
    <t>51788000002728599</t>
  </si>
  <si>
    <t>zcrm_51788000265501025, zcrm_51788000265501166</t>
  </si>
  <si>
    <t>2024-03-19 10:01:07, 2024-03-19 15:05:15</t>
  </si>
  <si>
    <t>Mr. Vikram Ruia</t>
  </si>
  <si>
    <t>administrator@mbwa.org.in</t>
  </si>
  <si>
    <t>+919830295876</t>
  </si>
  <si>
    <t>principal@mbwa.org.in</t>
  </si>
  <si>
    <t>Ms Anjana Saha</t>
  </si>
  <si>
    <t>Basundhara Bhattacharya (CARES)</t>
  </si>
  <si>
    <t>coordinator.mid@mbwa.org.in</t>
  </si>
  <si>
    <t>+919903595193</t>
  </si>
  <si>
    <t>17 A, Darga Road, Park Circus</t>
  </si>
  <si>
    <t>700017</t>
  </si>
  <si>
    <t>CALM01347D</t>
  </si>
  <si>
    <t>Rishikul Vidyapeeth, Rishikul Vidyapeeth School</t>
  </si>
  <si>
    <t>2024-02-25 00:00:00, 2025-05-06 00:00:00</t>
  </si>
  <si>
    <t>Ei ASSET, Ei CARES</t>
  </si>
  <si>
    <t>Group School - Centralize Invoicing</t>
  </si>
  <si>
    <t>IN-2022001549, IN-2022003466</t>
  </si>
  <si>
    <t>1600</t>
  </si>
  <si>
    <t>Full Payment, Installments</t>
  </si>
  <si>
    <t>2024-12-30 00:00:00</t>
  </si>
  <si>
    <t>2000-01-01 00:00:00, 2024-04-15 00:00:00</t>
  </si>
  <si>
    <t>0, 824103</t>
  </si>
  <si>
    <t>2000-01-01 00:00:00, 2024-08-16 00:00:00</t>
  </si>
  <si>
    <t>2024-02-23 00:00:00</t>
  </si>
  <si>
    <t>2024-11-20 00:00:00</t>
  </si>
  <si>
    <t>0, 1648206</t>
  </si>
  <si>
    <t>0, 720090</t>
  </si>
  <si>
    <t>0, 928116</t>
  </si>
  <si>
    <t>0.5428000000000001, 1</t>
  </si>
  <si>
    <t>0.4928, 1</t>
  </si>
  <si>
    <t>Sonepat</t>
  </si>
  <si>
    <t>22028000021209392, 22028000029865060</t>
  </si>
  <si>
    <t>51788000002751831</t>
  </si>
  <si>
    <t>zcrm_51788000255131686, zcrm_51788000288555651</t>
  </si>
  <si>
    <t>vikas.shukla_ei</t>
  </si>
  <si>
    <t>fagun.saraiya_eiindia1, maruf.shaikh1</t>
  </si>
  <si>
    <t>vikas.shukla@ei.study</t>
  </si>
  <si>
    <t>Vikas shukla</t>
  </si>
  <si>
    <t>Sudhi Malhotra</t>
  </si>
  <si>
    <t>2024-03-02 10:52:25, 2025-05-06 10:30:49</t>
  </si>
  <si>
    <t>Dheeraj Sharma</t>
  </si>
  <si>
    <t>Dheeraj.sharma@rishikulvidyapeeth.edu.in, dheeraj.sharma@rishikulvidyapeeth.edu.in</t>
  </si>
  <si>
    <t>+919991114140</t>
  </si>
  <si>
    <t>dheeraj.sharma@rishikulvidyapeeth.edu.in</t>
  </si>
  <si>
    <t>dheeraj.sharma@rishikulvidyapeeth.edu.in, dheerajsharma@rishikulvidyapeeth.edu.in</t>
  </si>
  <si>
    <t>Dheeraj Sharma, Nisha</t>
  </si>
  <si>
    <t>dheerajsharma@rishikulvidyapeeth.edu.in, nisha@rishikulvidyapeeth.edu.in</t>
  </si>
  <si>
    <t>+919416524444, +919991114140</t>
  </si>
  <si>
    <t>44000</t>
  </si>
  <si>
    <t>Devru Road, Devru Road, Jeeva vihar</t>
  </si>
  <si>
    <t>131001</t>
  </si>
  <si>
    <t>Devru Road, Jeeva vihar, Devru Road, Jeevan Vihar</t>
  </si>
  <si>
    <t>Devru Road, Jeeva vihar</t>
  </si>
  <si>
    <t>Devru Road, Jeevan Vihar</t>
  </si>
  <si>
    <t>Navrachana School, Sama</t>
  </si>
  <si>
    <t>2024-04-16 00:00:00</t>
  </si>
  <si>
    <t>IN-2022001918</t>
  </si>
  <si>
    <t>934</t>
  </si>
  <si>
    <t>2024-04-20 00:00:00</t>
  </si>
  <si>
    <t>898782</t>
  </si>
  <si>
    <t>2024-11-01 00:00:00</t>
  </si>
  <si>
    <t>35868</t>
  </si>
  <si>
    <t>2024-11-26 00:00:00</t>
  </si>
  <si>
    <t>1797564</t>
  </si>
  <si>
    <t>1757508</t>
  </si>
  <si>
    <t>4188</t>
  </si>
  <si>
    <t>0.7137</t>
  </si>
  <si>
    <t>0.6137</t>
  </si>
  <si>
    <t>Vadodara</t>
  </si>
  <si>
    <t>Gujarat</t>
  </si>
  <si>
    <t>22028000022100080</t>
  </si>
  <si>
    <t>51788000002732079</t>
  </si>
  <si>
    <t>zcrm_51788000267509650</t>
  </si>
  <si>
    <t>heena.kumar_ei</t>
  </si>
  <si>
    <t>heena.kumar@ei.study</t>
  </si>
  <si>
    <t>Heena kumar</t>
  </si>
  <si>
    <t>Heena Kumar</t>
  </si>
  <si>
    <t>2024-05-03 10:58:47</t>
  </si>
  <si>
    <t>Ms. Suprabha Menon</t>
  </si>
  <si>
    <t>suprabham@navrachana.edu.in</t>
  </si>
  <si>
    <t>+919925260895</t>
  </si>
  <si>
    <t>navrachanasama@navrachana.edu.in</t>
  </si>
  <si>
    <t>Ms. Gayatri Devliyal</t>
  </si>
  <si>
    <t>gayatrid@navrachana.edu.in</t>
  </si>
  <si>
    <t>+917016014240</t>
  </si>
  <si>
    <t>100300</t>
  </si>
  <si>
    <t>Sama Road</t>
  </si>
  <si>
    <t>390024</t>
  </si>
  <si>
    <t>Sama Road, Near GIPCL Circle</t>
  </si>
  <si>
    <t>BRDN01995A</t>
  </si>
  <si>
    <t>KLE M. R. Sakhare State School, Hubballi</t>
  </si>
  <si>
    <t>IN-2022002212, IN-2022002236</t>
  </si>
  <si>
    <t>162041, 83024</t>
  </si>
  <si>
    <t>16794, 27458</t>
  </si>
  <si>
    <t>166048, 324082</t>
  </si>
  <si>
    <t>151146, 296544</t>
  </si>
  <si>
    <t>-1892, 80</t>
  </si>
  <si>
    <t>Hubli</t>
  </si>
  <si>
    <t>22028000023002488, 22028000023033448</t>
  </si>
  <si>
    <t>51788000002752617</t>
  </si>
  <si>
    <t>zcrm_51788000270598683, zcrm_51788000270690525</t>
  </si>
  <si>
    <t>2024-06-18 10:43:12, 2024-06-18 10:43:30</t>
  </si>
  <si>
    <t>klemrsakharestate@gmail.com</t>
  </si>
  <si>
    <t>Vidyanagar, Hubballi, Unkal Cross</t>
  </si>
  <si>
    <t>580031</t>
  </si>
  <si>
    <t>KLE School, Manjunath Nagar, Hubballi</t>
  </si>
  <si>
    <t>IN-2022002214, IN-2022002235</t>
  </si>
  <si>
    <t>115985, 223256</t>
  </si>
  <si>
    <t>23325, 38136</t>
  </si>
  <si>
    <t>231970, 446512</t>
  </si>
  <si>
    <t>209925, 411864</t>
  </si>
  <si>
    <t>-1280, -3488</t>
  </si>
  <si>
    <t>22028000023002568, 22028000023033408</t>
  </si>
  <si>
    <t>51788000002752639</t>
  </si>
  <si>
    <t>zcrm_51788000270598543, zcrm_51788000270633910</t>
  </si>
  <si>
    <t>2024-06-18 10:42:47, 2024-06-18 10:44:49</t>
  </si>
  <si>
    <t>kleschool_man@yahoo.com</t>
  </si>
  <si>
    <t>Gokul Road, Manjunath Nagar,</t>
  </si>
  <si>
    <t>580030</t>
  </si>
  <si>
    <t>Gokul Road, Manjunath Nagar, HUBBALLI</t>
  </si>
  <si>
    <t>KLE School, Gadag</t>
  </si>
  <si>
    <t>IN-2022002216, IN-2022002232</t>
  </si>
  <si>
    <t>130444, 249663</t>
  </si>
  <si>
    <t>26061.8, 42610</t>
  </si>
  <si>
    <t>260888, 499326</t>
  </si>
  <si>
    <t>234556.2, 460190</t>
  </si>
  <si>
    <t>-3474, 270</t>
  </si>
  <si>
    <t>Gadag</t>
  </si>
  <si>
    <t>22028000023002648, 22028000023033288</t>
  </si>
  <si>
    <t>51788000002752651</t>
  </si>
  <si>
    <t>zcrm_51788000270598125, zcrm_51788000270633787</t>
  </si>
  <si>
    <t>2024-06-18 10:40:44, 2024-06-18 10:48:43</t>
  </si>
  <si>
    <t>klesgdg@gmail.com</t>
  </si>
  <si>
    <t>J T College Campus, Hatalgeri Naka Gadag</t>
  </si>
  <si>
    <t>582101</t>
  </si>
  <si>
    <t>The Century School</t>
  </si>
  <si>
    <t>2024-06-07 00:00:00, 2024-11-20 00:00:00</t>
  </si>
  <si>
    <t>IN-2022002178, IN-2022002609</t>
  </si>
  <si>
    <t>700</t>
  </si>
  <si>
    <t>1864</t>
  </si>
  <si>
    <t>2, 4</t>
  </si>
  <si>
    <t>2024-06-15 00:00:00, 2024-11-30 00:00:00</t>
  </si>
  <si>
    <t>175013, 275009</t>
  </si>
  <si>
    <t>2024-08-31 00:00:00, 2024-12-10 00:00:00</t>
  </si>
  <si>
    <t>2000-01-01 00:00:00, 2024-10-31 00:00:00</t>
  </si>
  <si>
    <t>0, 275009</t>
  </si>
  <si>
    <t>2000-01-01 00:00:00, 2024-12-31 00:00:00</t>
  </si>
  <si>
    <t>2024-07-19 00:00:00, 2024-11-30 00:00:00</t>
  </si>
  <si>
    <t>2024-12-31 00:00:00, 2025-05-13 00:00:00</t>
  </si>
  <si>
    <t>1100036, 350026</t>
  </si>
  <si>
    <t>200000, 958832</t>
  </si>
  <si>
    <t>141204, 150026</t>
  </si>
  <si>
    <t>0.3889, 0.5333</t>
  </si>
  <si>
    <t>Karnal</t>
  </si>
  <si>
    <t>2024-03-01 00:00:00, 2024-06-24 00:00:00</t>
  </si>
  <si>
    <t>22028000022873236, 22028000026329168</t>
  </si>
  <si>
    <t>51788000002752831</t>
  </si>
  <si>
    <t>zcrm_51788000270363462, zcrm_51788000277767578</t>
  </si>
  <si>
    <t>Vikas Shukla</t>
  </si>
  <si>
    <t>2024-06-12 11:51:42, 2024-12-02 10:19:54</t>
  </si>
  <si>
    <t>Mr. Ankur Jindal</t>
  </si>
  <si>
    <t>director@thecenturyschool.com</t>
  </si>
  <si>
    <t>+919416032976</t>
  </si>
  <si>
    <t>thecenturyschool@rediffmail.com</t>
  </si>
  <si>
    <t>Dr. Karuna Arora</t>
  </si>
  <si>
    <t>drkarunaarora@gmail.com</t>
  </si>
  <si>
    <t>+919416266294</t>
  </si>
  <si>
    <t>8000</t>
  </si>
  <si>
    <t>G T Road Karnal Side Gharaunda Distt Karnal Haryana</t>
  </si>
  <si>
    <t>132114</t>
  </si>
  <si>
    <t>KLE Mahadevappanna Munavalli School, Gokak</t>
  </si>
  <si>
    <t>IN-2022002215, IN-2022002233</t>
  </si>
  <si>
    <t>137440, 282671</t>
  </si>
  <si>
    <t>27803.4, 45458</t>
  </si>
  <si>
    <t>274880, 565342</t>
  </si>
  <si>
    <t>250230.6, 490942</t>
  </si>
  <si>
    <t>-3154, 28942</t>
  </si>
  <si>
    <t>Gokak</t>
  </si>
  <si>
    <t>22028000023002608, 22028000023033328</t>
  </si>
  <si>
    <t>51788000002752887</t>
  </si>
  <si>
    <t>zcrm_51788000270598265, zcrm_51788000270690263</t>
  </si>
  <si>
    <t>2024-06-18 10:41:32, 2024-06-18 10:52:16</t>
  </si>
  <si>
    <t>klesgokak@gmail.com</t>
  </si>
  <si>
    <t>Opp. Umrani^S Hospital, K.L.E. Campus Main Road, Dist. Gokak</t>
  </si>
  <si>
    <t>591307</t>
  </si>
  <si>
    <t>The Sivakasi Lions Matriculation Higher Secondary School</t>
  </si>
  <si>
    <t>2024-06-03 00:00:00</t>
  </si>
  <si>
    <t>Ei Mindspark</t>
  </si>
  <si>
    <t>IN-2022002148</t>
  </si>
  <si>
    <t>1271</t>
  </si>
  <si>
    <t>2024-06-05 00:00:00</t>
  </si>
  <si>
    <t>141735</t>
  </si>
  <si>
    <t>2024-09-10 00:00:00</t>
  </si>
  <si>
    <t>2024-12-10 00:00:00</t>
  </si>
  <si>
    <t>5306</t>
  </si>
  <si>
    <t>2024-06-13 00:00:00</t>
  </si>
  <si>
    <t>2025-03-21 00:00:00</t>
  </si>
  <si>
    <t>566940</t>
  </si>
  <si>
    <t>570409</t>
  </si>
  <si>
    <t>-8775</t>
  </si>
  <si>
    <t>0.5834</t>
  </si>
  <si>
    <t>Sivakasi</t>
  </si>
  <si>
    <t>22028000022758828</t>
  </si>
  <si>
    <t>51788000002753055</t>
  </si>
  <si>
    <t>zcrm_51788000270232074</t>
  </si>
  <si>
    <t>vineeth.v_ei</t>
  </si>
  <si>
    <t>vineeth.v@ei.study</t>
  </si>
  <si>
    <t>Vineeth v</t>
  </si>
  <si>
    <t>2024-06-12 14:40:43</t>
  </si>
  <si>
    <t>Mr. Lion Ramesh Kumar J</t>
  </si>
  <si>
    <t>correspondent@thesivakasilionsschool.in</t>
  </si>
  <si>
    <t>+919486027172</t>
  </si>
  <si>
    <t>principal@thesivakasilionsschool.in</t>
  </si>
  <si>
    <t>2/754-A Virudhunagar Road, Anaikuttam Post, Sivakasi</t>
  </si>
  <si>
    <t>626189</t>
  </si>
  <si>
    <t>MRIT01544E</t>
  </si>
  <si>
    <t>St. Hilda'S School</t>
  </si>
  <si>
    <t>2023-11-23 00:00:00</t>
  </si>
  <si>
    <t>IN-2022001289</t>
  </si>
  <si>
    <t>1200</t>
  </si>
  <si>
    <t>2023-11-30 00:00:00</t>
  </si>
  <si>
    <t>81840</t>
  </si>
  <si>
    <t>2024-06-15 00:00:00</t>
  </si>
  <si>
    <t>327360</t>
  </si>
  <si>
    <t>2023-12-05 00:00:00</t>
  </si>
  <si>
    <t>2024-07-19 00:00:00</t>
  </si>
  <si>
    <t>409200</t>
  </si>
  <si>
    <t>404400</t>
  </si>
  <si>
    <t>4800</t>
  </si>
  <si>
    <t>0.2</t>
  </si>
  <si>
    <t>Ooty</t>
  </si>
  <si>
    <t>2024-07-01 00:00:00</t>
  </si>
  <si>
    <t>22028000020060192</t>
  </si>
  <si>
    <t>51788000002728613</t>
  </si>
  <si>
    <t>zcrm_51788000260939144</t>
  </si>
  <si>
    <t>praveenkumar.rajamanickam_ei</t>
  </si>
  <si>
    <t>praveenkumar.rajamanickam@ei.study</t>
  </si>
  <si>
    <t>Praveenkumar rajamanickam</t>
  </si>
  <si>
    <t>Praveenkumar Rajamanickam</t>
  </si>
  <si>
    <t>Dipti Jain</t>
  </si>
  <si>
    <t>2023-11-28 11:14:19</t>
  </si>
  <si>
    <t>Ms PAMELA RODRICKS .</t>
  </si>
  <si>
    <t>sthildasprincipal@gmail.com</t>
  </si>
  <si>
    <t>+919943241432</t>
  </si>
  <si>
    <t>hildas_school@hotmail.com</t>
  </si>
  <si>
    <t>Mr Ajay</t>
  </si>
  <si>
    <t>100000</t>
  </si>
  <si>
    <t>Sheddon Rd, Pudumund, Ooty, Tamil Nadu 643001</t>
  </si>
  <si>
    <t>643001</t>
  </si>
  <si>
    <t>JSS Public School, HSR Layout</t>
  </si>
  <si>
    <t>2024-07-11 00:00:00</t>
  </si>
  <si>
    <t>IN-2022002337</t>
  </si>
  <si>
    <t>821</t>
  </si>
  <si>
    <t>273384</t>
  </si>
  <si>
    <t>2024-11-30 00:00:00</t>
  </si>
  <si>
    <t>637897</t>
  </si>
  <si>
    <t>911281</t>
  </si>
  <si>
    <t>911280</t>
  </si>
  <si>
    <t>0.5423</t>
  </si>
  <si>
    <t>Bengaluru</t>
  </si>
  <si>
    <t>22028000023476100</t>
  </si>
  <si>
    <t>51788000002754706</t>
  </si>
  <si>
    <t>zcrm_51788000271722001</t>
  </si>
  <si>
    <t>dipti.jain_ei</t>
  </si>
  <si>
    <t>dipti.jain@ei.study</t>
  </si>
  <si>
    <t>Dipti jain</t>
  </si>
  <si>
    <t>2024-08-23 15:06:10</t>
  </si>
  <si>
    <t>Mrs. Lily Sahay</t>
  </si>
  <si>
    <t>jss_hsrps@yahoo.com</t>
  </si>
  <si>
    <t>+919731777112</t>
  </si>
  <si>
    <t>#4/A, 14Th Main, 6Th Sector, H.S.R. Layout, Adjacent To Bda Complex,</t>
  </si>
  <si>
    <t>560102</t>
  </si>
  <si>
    <t>Subbiah Central School</t>
  </si>
  <si>
    <t>2024-06-17 00:00:00, 2024-06-24 00:00:00</t>
  </si>
  <si>
    <t>IN-2022002242, IN-2022002268, IN-2022002271</t>
  </si>
  <si>
    <t>950</t>
  </si>
  <si>
    <t>1300, 2600</t>
  </si>
  <si>
    <t>3, 4</t>
  </si>
  <si>
    <t>2024-06-01 00:00:00, 2024-06-19 00:00:00</t>
  </si>
  <si>
    <t>149500, 37700, 91732</t>
  </si>
  <si>
    <t>2024-09-01 00:00:00, 2024-09-19 00:00:00</t>
  </si>
  <si>
    <t>149500, 37700, 89034</t>
  </si>
  <si>
    <t>2024-11-01 00:00:00, 2024-12-01 00:00:00</t>
  </si>
  <si>
    <t>0, 149500, 37700</t>
  </si>
  <si>
    <t>2025-03-05 00:00:00</t>
  </si>
  <si>
    <t>2025-10-13 00:00:00</t>
  </si>
  <si>
    <t>150800, 269800, 598000</t>
  </si>
  <si>
    <t>0, 1033875</t>
  </si>
  <si>
    <t>-764075, 150800, 598000</t>
  </si>
  <si>
    <t>0, 0.5</t>
  </si>
  <si>
    <t>0, 2, 4</t>
  </si>
  <si>
    <t>Tirupur</t>
  </si>
  <si>
    <t>22028000023033760, 22028000023124952, 22028000023126540</t>
  </si>
  <si>
    <t>51788000002754853</t>
  </si>
  <si>
    <t>zcrm_51788000270417181, zcrm_51788000271066068, zcrm_51788000271132113</t>
  </si>
  <si>
    <t>jasper.jessie_ei</t>
  </si>
  <si>
    <t>hakim.kanchwala_eiindia1, sourabh.mehta_eiindia</t>
  </si>
  <si>
    <t>jasper.jessie@ei.study</t>
  </si>
  <si>
    <t>Jasper jessie</t>
  </si>
  <si>
    <t>2024-07-05 11:51:55, 2024-07-05 11:54:13, 2024-07-05 11:55:14</t>
  </si>
  <si>
    <t>Jerald Arockia</t>
  </si>
  <si>
    <t>principalscs@subbiahschools.org</t>
  </si>
  <si>
    <t>+914212245252</t>
  </si>
  <si>
    <t>info@subbiahschools.org</t>
  </si>
  <si>
    <t>No-1, College Road,</t>
  </si>
  <si>
    <t>641602</t>
  </si>
  <si>
    <t>Nath Valley School</t>
  </si>
  <si>
    <t>2024-07-02 00:00:00</t>
  </si>
  <si>
    <t>IN-2022002303</t>
  </si>
  <si>
    <t>89556</t>
  </si>
  <si>
    <t>86922</t>
  </si>
  <si>
    <t>2024-08-29 00:00:00</t>
  </si>
  <si>
    <t>2025-01-14 00:00:00</t>
  </si>
  <si>
    <t>263400</t>
  </si>
  <si>
    <t>Aurangabad</t>
  </si>
  <si>
    <t>Rest of Maharashtra and Goa</t>
  </si>
  <si>
    <t>2024-07-10 00:00:00</t>
  </si>
  <si>
    <t>22028000023275356</t>
  </si>
  <si>
    <t>51788000002728395</t>
  </si>
  <si>
    <t>zcrm_51788000271349468</t>
  </si>
  <si>
    <t>aarti.iyer_ei</t>
  </si>
  <si>
    <t>aarti.iyer@ei.study</t>
  </si>
  <si>
    <t>Aarti iyer</t>
  </si>
  <si>
    <t>Nainesh Bhise</t>
  </si>
  <si>
    <t>Aarti Iyer</t>
  </si>
  <si>
    <t>2024-07-05 12:07:22</t>
  </si>
  <si>
    <t>Dr. Sharda Gupta</t>
  </si>
  <si>
    <t>contact@nathvalleyschool.com</t>
  </si>
  <si>
    <t>+919673304848</t>
  </si>
  <si>
    <t>P O Box 567, Cantonment Post Office, Satara Village, Paithan Road</t>
  </si>
  <si>
    <t>431002</t>
  </si>
  <si>
    <t>Pathania Public School</t>
  </si>
  <si>
    <t>2024-04-09 00:00:00</t>
  </si>
  <si>
    <t>IN-2022001887</t>
  </si>
  <si>
    <t>720</t>
  </si>
  <si>
    <t>2024-03-29 00:00:00</t>
  </si>
  <si>
    <t>10800</t>
  </si>
  <si>
    <t>540004</t>
  </si>
  <si>
    <t>529200</t>
  </si>
  <si>
    <t>0.467</t>
  </si>
  <si>
    <t>0.41700000000000004</t>
  </si>
  <si>
    <t>Rohtak</t>
  </si>
  <si>
    <t>22028000022000032</t>
  </si>
  <si>
    <t>51788000002755871</t>
  </si>
  <si>
    <t>zcrm_51788000266942147</t>
  </si>
  <si>
    <t>Anushka Gupta</t>
  </si>
  <si>
    <t>2024-04-10 10:14:10</t>
  </si>
  <si>
    <t>Mr. Anshul Pathania</t>
  </si>
  <si>
    <t>patanshul@gmail.com</t>
  </si>
  <si>
    <t>+919991599935</t>
  </si>
  <si>
    <t>ppsrohtak@gmail.com</t>
  </si>
  <si>
    <t>Tanvi Pathania</t>
  </si>
  <si>
    <t>Rajni Gulati</t>
  </si>
  <si>
    <t>rajnigulati16091985@gmail.com</t>
  </si>
  <si>
    <t>+919416518727</t>
  </si>
  <si>
    <t>54000</t>
  </si>
  <si>
    <t>8th K.M. STONE, GOHANA ROAD , ROHTAK</t>
  </si>
  <si>
    <t>124001</t>
  </si>
  <si>
    <t>RTKP03269A</t>
  </si>
  <si>
    <t>Sector 34, Suncity Township-I, Rohtak, Haryana 124001</t>
  </si>
  <si>
    <t>SAI International School</t>
  </si>
  <si>
    <t>2024-05-09 00:00:00, 2024-06-05 00:00:00</t>
  </si>
  <si>
    <t>IN-2022002034, IN-2022002171</t>
  </si>
  <si>
    <t>969</t>
  </si>
  <si>
    <t>2000-01-01 00:00:00, 2024-05-11 00:00:00</t>
  </si>
  <si>
    <t>0, 171567</t>
  </si>
  <si>
    <t>2000-01-01 00:00:00, 2024-07-05 00:00:00</t>
  </si>
  <si>
    <t>2000-01-01 00:00:00, 2024-10-05 00:00:00</t>
  </si>
  <si>
    <t>0, 33938</t>
  </si>
  <si>
    <t>2024-10-18 00:00:00, 2024-10-19 00:00:00</t>
  </si>
  <si>
    <t>2024-10-19 00:00:00, 2025-01-30 00:00:00</t>
  </si>
  <si>
    <t>686268, 997400</t>
  </si>
  <si>
    <t>600520, 991757</t>
  </si>
  <si>
    <t>51810, 5643</t>
  </si>
  <si>
    <t>0.6667000000000001, 0.6823</t>
  </si>
  <si>
    <t>Bhubaneswar</t>
  </si>
  <si>
    <t>2024-05-10 00:00:00, 2024-06-05 00:00:00</t>
  </si>
  <si>
    <t>2025-03-31 00:00:00, 2025-04-30 00:00:00</t>
  </si>
  <si>
    <t>22028000022429064, 22028000022845064</t>
  </si>
  <si>
    <t>51788000002756667</t>
  </si>
  <si>
    <t>zcrm_51788000269102204, zcrm_51788000270347275</t>
  </si>
  <si>
    <t>2024-05-09 12:17:02, 2024-06-08 10:02:33</t>
  </si>
  <si>
    <t>Mr. Dipak Somani</t>
  </si>
  <si>
    <t>dipak@sai.edu.in</t>
  </si>
  <si>
    <t>+918598097405</t>
  </si>
  <si>
    <t>info@saiinternationalschool.com</t>
  </si>
  <si>
    <t>Neelkantha Panigrahi</t>
  </si>
  <si>
    <t>srprincipal@saiinternational.edu.in</t>
  </si>
  <si>
    <t>+918598097404</t>
  </si>
  <si>
    <t>Prakash Sahoo</t>
  </si>
  <si>
    <t>principalsecondary@saiinternational.edu.in</t>
  </si>
  <si>
    <t>+919910573303</t>
  </si>
  <si>
    <t>Plot No 5A, Chandaka Industrial Estate, 1-B Infocity Road,, Bhubaneswar, Odisha</t>
  </si>
  <si>
    <t>751024</t>
  </si>
  <si>
    <t>BBNS09089D</t>
  </si>
  <si>
    <t>SECUREWAYS LOGISTICS PRIVATE LIMITED (STUDENT GALLERY) Plot No : N / 33 &amp; 34, Chandka Industrial Estate, Near OTV office, Bhubaneswar - 751024, Odisha</t>
  </si>
  <si>
    <t>SAI INTERNATIONAL SCHOOL,PLOT NO-5A, Chandaka I.E, INFOCITY ROAD, PATIA, BHUBANESWAR, Odisha, 751024</t>
  </si>
  <si>
    <t>Scindia Kanya Vidyalaya</t>
  </si>
  <si>
    <t>2024-03-23 00:00:00</t>
  </si>
  <si>
    <t>IN-2022001726</t>
  </si>
  <si>
    <t>2150</t>
  </si>
  <si>
    <t>50311</t>
  </si>
  <si>
    <t>509562</t>
  </si>
  <si>
    <t>452801</t>
  </si>
  <si>
    <t>6450</t>
  </si>
  <si>
    <t>0.3857</t>
  </si>
  <si>
    <t>Gwalior</t>
  </si>
  <si>
    <t>22028000021703208</t>
  </si>
  <si>
    <t>51788000002732260</t>
  </si>
  <si>
    <t>zcrm_51788000255563643</t>
  </si>
  <si>
    <t>sanjay.rai_eiindia1</t>
  </si>
  <si>
    <t>sanjay.rai@ei.study</t>
  </si>
  <si>
    <t>Sanjay rai</t>
  </si>
  <si>
    <t>Sanjay Rai</t>
  </si>
  <si>
    <t>Rohit Kumar</t>
  </si>
  <si>
    <t>2024-04-01 15:25:14</t>
  </si>
  <si>
    <t>Mrs. Garima Sandhu</t>
  </si>
  <si>
    <t>viceprincipal@skvgwalior.org</t>
  </si>
  <si>
    <t>+917512322137</t>
  </si>
  <si>
    <t>skvgwl@gmail.com</t>
  </si>
  <si>
    <t>400000</t>
  </si>
  <si>
    <t>Moti Mahal Road,</t>
  </si>
  <si>
    <t>474007</t>
  </si>
  <si>
    <t>Seth M. R. Jaipuria School</t>
  </si>
  <si>
    <t>2024-04-05 00:00:00, 2024-04-11 00:00:00</t>
  </si>
  <si>
    <t>Ei ASSET,Ei CARES,Ei Mindspark, Ei Mindspark</t>
  </si>
  <si>
    <t>IN-2022001866, IN-2022001896</t>
  </si>
  <si>
    <t>329</t>
  </si>
  <si>
    <t>439</t>
  </si>
  <si>
    <t>0, 1340</t>
  </si>
  <si>
    <t>2000-01-01 00:00:00, 2024-04-01 00:00:00</t>
  </si>
  <si>
    <t>0, 1140827</t>
  </si>
  <si>
    <t>2000-01-01 00:00:00, 2024-07-01 00:00:00</t>
  </si>
  <si>
    <t>2000-01-01 00:00:00, 2024-10-01 00:00:00</t>
  </si>
  <si>
    <t>2000-01-01 00:00:00, 2024-12-01 00:00:00</t>
  </si>
  <si>
    <t>0, 312494</t>
  </si>
  <si>
    <t>2025-04-16 00:00:00</t>
  </si>
  <si>
    <t>0, 4563308</t>
  </si>
  <si>
    <t>0, 4432732</t>
  </si>
  <si>
    <t>-181918, 0</t>
  </si>
  <si>
    <t>0.7804000000000001, 1</t>
  </si>
  <si>
    <t>0.6304, 1</t>
  </si>
  <si>
    <t>0, 2</t>
  </si>
  <si>
    <t>Lucknow</t>
  </si>
  <si>
    <t>22028000021940452, 22028000022033436</t>
  </si>
  <si>
    <t>51788000002732261</t>
  </si>
  <si>
    <t>zcrm_51788000268018132, zcrm_51788000268224033</t>
  </si>
  <si>
    <t>pooja.kapoor_eiindia1</t>
  </si>
  <si>
    <t>pooja.kapoor@ei.study</t>
  </si>
  <si>
    <t>Pooja kapoor</t>
  </si>
  <si>
    <t>Pooja Kapoor</t>
  </si>
  <si>
    <t>2024-04-06 14:01:39, 2024-04-12 17:35:48</t>
  </si>
  <si>
    <t>Mrs. Promini Chopra</t>
  </si>
  <si>
    <t>principal@jaipuria.com</t>
  </si>
  <si>
    <t>+919838503807</t>
  </si>
  <si>
    <t>Vineet Khand-1, Gomti Nagar,</t>
  </si>
  <si>
    <t>226010</t>
  </si>
  <si>
    <t>AAAT11375E</t>
  </si>
  <si>
    <t>The Shishukunj International School</t>
  </si>
  <si>
    <t>2024-05-27 00:00:00, 2024-05-29 00:00:00</t>
  </si>
  <si>
    <t>IN-2022002096, IN-2022002123</t>
  </si>
  <si>
    <t>650</t>
  </si>
  <si>
    <t>1850</t>
  </si>
  <si>
    <t>2024-05-01 00:00:00, 2024-06-01 00:00:00</t>
  </si>
  <si>
    <t>810763, 916754</t>
  </si>
  <si>
    <t>2024-07-01 00:00:00, 2024-12-01 00:00:00</t>
  </si>
  <si>
    <t>392895, 810763</t>
  </si>
  <si>
    <t>2000-01-01 00:00:00, 2024-09-01 00:00:00</t>
  </si>
  <si>
    <t>0, 810763</t>
  </si>
  <si>
    <t>2000-01-01 00:00:00, 2024-11-01 00:00:00</t>
  </si>
  <si>
    <t>32644, 58811</t>
  </si>
  <si>
    <t>2024-08-22 00:00:00</t>
  </si>
  <si>
    <t>2024-12-30 00:00:00, 2025-02-20 00:00:00</t>
  </si>
  <si>
    <t>1309649, 3243052</t>
  </si>
  <si>
    <t>1290202, 3191030</t>
  </si>
  <si>
    <t>-39364, 19378</t>
  </si>
  <si>
    <t>0.5667, 0.63</t>
  </si>
  <si>
    <t>Printing By School</t>
  </si>
  <si>
    <t>22028000022674172, 22028000022708128</t>
  </si>
  <si>
    <t>51788000002757138</t>
  </si>
  <si>
    <t>zcrm_51788000270055325, zcrm_51788000270055857</t>
  </si>
  <si>
    <t>shruti.chauhan_ei</t>
  </si>
  <si>
    <t>shruti.chauhan@ei.study</t>
  </si>
  <si>
    <t>Shruti chauhan</t>
  </si>
  <si>
    <t>2024-06-03 14:01:12, 2024-06-11 12:43:39</t>
  </si>
  <si>
    <t>Dr.(Mrs) Lalita Singh</t>
  </si>
  <si>
    <t>lalita.singh@shishukunj.in</t>
  </si>
  <si>
    <t>+918966001814</t>
  </si>
  <si>
    <t>info@shishukunjindore.in</t>
  </si>
  <si>
    <t>Sandhya Bhargava</t>
  </si>
  <si>
    <t>sandhya.bhargava@shishukunj.in</t>
  </si>
  <si>
    <t>+919713009585</t>
  </si>
  <si>
    <t>Jhalaria,Bypass Road</t>
  </si>
  <si>
    <t>452016</t>
  </si>
  <si>
    <t>BPLS23960G</t>
  </si>
  <si>
    <t>ODM Sapphire Global School</t>
  </si>
  <si>
    <t>IN-2022001725</t>
  </si>
  <si>
    <t>1873</t>
  </si>
  <si>
    <t>2024-05-06 00:00:00</t>
  </si>
  <si>
    <t>148892</t>
  </si>
  <si>
    <t>2024-08-12 00:00:00</t>
  </si>
  <si>
    <t>2024-11-12 00:00:00</t>
  </si>
  <si>
    <t>2229</t>
  </si>
  <si>
    <t>2024-07-06 00:00:00</t>
  </si>
  <si>
    <t>2025-07-04 00:00:00</t>
  </si>
  <si>
    <t>595568</t>
  </si>
  <si>
    <t>569296</t>
  </si>
  <si>
    <t>24043</t>
  </si>
  <si>
    <t>0.46490000000000004</t>
  </si>
  <si>
    <t>Ranchi</t>
  </si>
  <si>
    <t>Jharkhand</t>
  </si>
  <si>
    <t>Bihar/Jharkhand</t>
  </si>
  <si>
    <t>22028000021707120</t>
  </si>
  <si>
    <t>51788000002757153</t>
  </si>
  <si>
    <t>zcrm_51788000267470001</t>
  </si>
  <si>
    <t>Srikanta Kumar Rout</t>
  </si>
  <si>
    <t>2024-05-09 10:51:32</t>
  </si>
  <si>
    <t>Mr. Sourav Dutta</t>
  </si>
  <si>
    <t>sourav.dutta@odmegroup.org</t>
  </si>
  <si>
    <t>+919861177444</t>
  </si>
  <si>
    <t>principal@sisranchi.com</t>
  </si>
  <si>
    <t>Amt Singh</t>
  </si>
  <si>
    <t>principal.osgs@odmegroup.org</t>
  </si>
  <si>
    <t>+918406000223</t>
  </si>
  <si>
    <t>Kundan Singh</t>
  </si>
  <si>
    <t>academic-admin-coordinator.osgs@odmegroup.org</t>
  </si>
  <si>
    <t>+919504120032</t>
  </si>
  <si>
    <t>346000</t>
  </si>
  <si>
    <t>12Th Milestone Ranchi-Khunti Road, Hardag, Ranchi, Jharkhand</t>
  </si>
  <si>
    <t>835221</t>
  </si>
  <si>
    <t>BBNE01451C</t>
  </si>
  <si>
    <t>Hardag, Ranchi, Jharkhand</t>
  </si>
  <si>
    <t>12th Milestone Ranchi-Khunti Road, Hardag, Ranchi, Jharkhand</t>
  </si>
  <si>
    <t>Emmanuel Mission High School</t>
  </si>
  <si>
    <t>2024-05-19 00:00:00</t>
  </si>
  <si>
    <t>IN-2022002060</t>
  </si>
  <si>
    <t>1261</t>
  </si>
  <si>
    <t>156679</t>
  </si>
  <si>
    <t>2024-07-20 00:00:00</t>
  </si>
  <si>
    <t>2024-09-20 00:00:00</t>
  </si>
  <si>
    <t>2024-12-20 00:00:00</t>
  </si>
  <si>
    <t>2025-03-25 00:00:00</t>
  </si>
  <si>
    <t>626716</t>
  </si>
  <si>
    <t>626717</t>
  </si>
  <si>
    <t>-1</t>
  </si>
  <si>
    <t>0.515</t>
  </si>
  <si>
    <t>Siwan</t>
  </si>
  <si>
    <t>Bihar</t>
  </si>
  <si>
    <t>22028000022569756</t>
  </si>
  <si>
    <t>51788000002757304</t>
  </si>
  <si>
    <t>zcrm_51788000269808509</t>
  </si>
  <si>
    <t>satvinder.singh_ei</t>
  </si>
  <si>
    <t>satvinder.singh@ei.study</t>
  </si>
  <si>
    <t>Satvinder singh</t>
  </si>
  <si>
    <t>Satvinder Singh</t>
  </si>
  <si>
    <t>2024-05-28 10:21:58</t>
  </si>
  <si>
    <t>Prince Sam Abraham</t>
  </si>
  <si>
    <t>prince@emmanuel.co.in</t>
  </si>
  <si>
    <t>+919900385257</t>
  </si>
  <si>
    <t>info@emmanuel.co.in</t>
  </si>
  <si>
    <t>5000</t>
  </si>
  <si>
    <t>Emmanuel nagar, Hardia more, Chapra Siwan road</t>
  </si>
  <si>
    <t>841226</t>
  </si>
  <si>
    <t>Emmanuel Office, 1st Floor , M.M. Clinic, Ali Nagar Gate No 2, Near Alinagar Masjid, Anishabad</t>
  </si>
  <si>
    <t>Emmanuel Office, 1st Floor , M.M. Clinic, Ali Nagar Gate No 2, Near Alinagar Masjid, Anishabad,</t>
  </si>
  <si>
    <t>Alma Mater School</t>
  </si>
  <si>
    <t>2024-05-25 00:00:00, 2024-05-28 00:00:00</t>
  </si>
  <si>
    <t>IN-2022002094, IN-2022002095, IN-2022002118, IN-2022002119</t>
  </si>
  <si>
    <t>0, 1233</t>
  </si>
  <si>
    <t>0, 2720</t>
  </si>
  <si>
    <t>2000-01-01 00:00:00, 2024-06-10 00:00:00</t>
  </si>
  <si>
    <t>0, 147656, 44389</t>
  </si>
  <si>
    <t>2000-01-01 00:00:00, 2024-08-20 00:00:00, 2024-08-21 00:00:00</t>
  </si>
  <si>
    <t>2000-01-01 00:00:00, 2024-10-21 00:00:00</t>
  </si>
  <si>
    <t>0, 12513, 3997</t>
  </si>
  <si>
    <t>2024-08-20 00:00:00</t>
  </si>
  <si>
    <t>2025-05-15 00:00:00, 2025-07-16 00:00:00</t>
  </si>
  <si>
    <t>0, 177556, 590624</t>
  </si>
  <si>
    <t>0, 235970.53, 527568.88</t>
  </si>
  <si>
    <t>-62412, 0, 50542</t>
  </si>
  <si>
    <t>0.499, 0.5542, 1</t>
  </si>
  <si>
    <t>IGCSE</t>
  </si>
  <si>
    <t>Jodhpur</t>
  </si>
  <si>
    <t>Rajasthan</t>
  </si>
  <si>
    <t>2025-03-31 00:00:00, 2025-05-31 00:00:00</t>
  </si>
  <si>
    <t>22028000022642908, 22028000022642956, 22028000022680344, 22028000022680376</t>
  </si>
  <si>
    <t>51788000002757307</t>
  </si>
  <si>
    <t>zcrm_51788000270037029, zcrm_51788000270037166, zcrm_51788000270037303, zcrm_51788000270037437</t>
  </si>
  <si>
    <t>2024-05-27 10:47:51, 2024-05-28 11:02:42, 2024-05-28 16:13:08, 2024-06-03 10:55:05</t>
  </si>
  <si>
    <t>Mr. Vaibhav Doshi</t>
  </si>
  <si>
    <t>vaibhav@almamater.education</t>
  </si>
  <si>
    <t>+919983321066</t>
  </si>
  <si>
    <t>connect@almamater.education</t>
  </si>
  <si>
    <t>Ms. Arpita Mehta</t>
  </si>
  <si>
    <t>arpita@almamater.education</t>
  </si>
  <si>
    <t>+919784294701</t>
  </si>
  <si>
    <t>New Power House Rd, Section 7 Extension</t>
  </si>
  <si>
    <t>342003</t>
  </si>
  <si>
    <t>JDHD05695E</t>
  </si>
  <si>
    <t>Fazlani L'Academie Globale</t>
  </si>
  <si>
    <t>2024-05-31 00:00:00, 2024-09-26 00:00:00</t>
  </si>
  <si>
    <t>IN-2022002133, IN-2022002494</t>
  </si>
  <si>
    <t>2882</t>
  </si>
  <si>
    <t>2000-01-01 00:00:00, 2024-06-30 00:00:00</t>
  </si>
  <si>
    <t>0, 185320</t>
  </si>
  <si>
    <t>2000-01-01 00:00:00, 2024-09-30 00:00:00</t>
  </si>
  <si>
    <t>0, 555961</t>
  </si>
  <si>
    <t>63108, 6935</t>
  </si>
  <si>
    <t>2024-07-17 00:00:00, 2024-10-09 00:00:00</t>
  </si>
  <si>
    <t>2024-10-09 00:00:00, 2024-10-10 00:00:00</t>
  </si>
  <si>
    <t>69349, 741281</t>
  </si>
  <si>
    <t>62415, 681572</t>
  </si>
  <si>
    <t>-1, -3399</t>
  </si>
  <si>
    <t>0.43329999999999996, 0.5329999999999999</t>
  </si>
  <si>
    <t>2024-06-01 00:00:00, 2024-07-01 00:00:00</t>
  </si>
  <si>
    <t>22028000022750088, 22028000025100376</t>
  </si>
  <si>
    <t>51788000002757733</t>
  </si>
  <si>
    <t>zcrm_51788000270126065, zcrm_51788000274789001</t>
  </si>
  <si>
    <t>Hetal Parmar</t>
  </si>
  <si>
    <t>2024-06-17 12:51:55, 2024-10-03 16:15:43</t>
  </si>
  <si>
    <t>Mr. Maruf Shaikh, Ms. Mahera Goel</t>
  </si>
  <si>
    <t>Other, Principal</t>
  </si>
  <si>
    <t>maruf.shaikh@ei.study, principales@flag.org.in</t>
  </si>
  <si>
    <t>+912223732730, +918160731829</t>
  </si>
  <si>
    <t>principales@flag.org.in</t>
  </si>
  <si>
    <t>Ms. Mahera Goel</t>
  </si>
  <si>
    <t>+919930884618</t>
  </si>
  <si>
    <t>Ms.Fatima</t>
  </si>
  <si>
    <t>fatima.shaikh@flag.org.in</t>
  </si>
  <si>
    <t>+919987337110</t>
  </si>
  <si>
    <t>Opp. Wallace Fortuna Off Hancock Bridge, S.C. Marg, Mazagaon</t>
  </si>
  <si>
    <t>400009</t>
  </si>
  <si>
    <t>MUMS57362E</t>
  </si>
  <si>
    <t>St Joseph'S Boys High School</t>
  </si>
  <si>
    <t>2024-06-26 00:00:00</t>
  </si>
  <si>
    <t>IN-2022002277</t>
  </si>
  <si>
    <t>800</t>
  </si>
  <si>
    <t>106794</t>
  </si>
  <si>
    <t>2024-07-18 00:00:00</t>
  </si>
  <si>
    <t>2025-02-11 00:00:00</t>
  </si>
  <si>
    <t>213588</t>
  </si>
  <si>
    <t>211450</t>
  </si>
  <si>
    <t>2138</t>
  </si>
  <si>
    <t>0.4667</t>
  </si>
  <si>
    <t>2025-04-10 00:00:00</t>
  </si>
  <si>
    <t>22028000023171340</t>
  </si>
  <si>
    <t>51788000002732290</t>
  </si>
  <si>
    <t>zcrm_51788000261777932</t>
  </si>
  <si>
    <t>garima.jain_ei</t>
  </si>
  <si>
    <t>garima.jain@ei.study</t>
  </si>
  <si>
    <t>Garima jain</t>
  </si>
  <si>
    <t>Garima Jain</t>
  </si>
  <si>
    <t>2024-06-27 10:15:02</t>
  </si>
  <si>
    <t>Fr. Sunil Fernandes</t>
  </si>
  <si>
    <t>principal@sjbhs.edu.in</t>
  </si>
  <si>
    <t>+919740078338</t>
  </si>
  <si>
    <t>73000</t>
  </si>
  <si>
    <t>Museum Road,</t>
  </si>
  <si>
    <t>560025</t>
  </si>
  <si>
    <t>No</t>
  </si>
  <si>
    <t>St. Mary^s School (ICSE), Mazagaon</t>
  </si>
  <si>
    <t>IN-2022001880, IN-2022001881</t>
  </si>
  <si>
    <t>2450</t>
  </si>
  <si>
    <t>2458</t>
  </si>
  <si>
    <t>215930, 479808</t>
  </si>
  <si>
    <t>2024-09-24 00:00:00</t>
  </si>
  <si>
    <t>209579, 465696</t>
  </si>
  <si>
    <t>2024-12-24 00:00:00</t>
  </si>
  <si>
    <t>142773, 60370</t>
  </si>
  <si>
    <t>2024-07-25 00:00:00</t>
  </si>
  <si>
    <t>2025-02-15 00:00:00</t>
  </si>
  <si>
    <t>1411200, 635088</t>
  </si>
  <si>
    <t>1284963, 613140.9</t>
  </si>
  <si>
    <t>-16536, -38423</t>
  </si>
  <si>
    <t>0.1945, 0.51</t>
  </si>
  <si>
    <t>22028000021981044, 22028000021981088</t>
  </si>
  <si>
    <t>51788000002732295</t>
  </si>
  <si>
    <t>zcrm_51788000268158001, zcrm_51788000268158132</t>
  </si>
  <si>
    <t>saloni.shah_ei</t>
  </si>
  <si>
    <t>saloni.shah@ei.study</t>
  </si>
  <si>
    <t>Saloni shah</t>
  </si>
  <si>
    <t>Shahista Shaikh</t>
  </si>
  <si>
    <t>2024-04-26 16:07:00, 2024-04-26 16:07:08</t>
  </si>
  <si>
    <t>Father Dr. Francis Swamy S.J.</t>
  </si>
  <si>
    <t>principal@campionmumbai.org</t>
  </si>
  <si>
    <t>+919920353009</t>
  </si>
  <si>
    <t>contact@stmarysicse.com</t>
  </si>
  <si>
    <t>Mr.Elais</t>
  </si>
  <si>
    <t>elias@stmarysicse.com</t>
  </si>
  <si>
    <t>Sardar Balwant Singh Dhody Marg, Mazagaon,</t>
  </si>
  <si>
    <t>400010</t>
  </si>
  <si>
    <t>MUMS38726C</t>
  </si>
  <si>
    <t>Sri Shenbaga Vinayagar Matriculation Higher Secondary School</t>
  </si>
  <si>
    <t>2024-06-04 00:00:00</t>
  </si>
  <si>
    <t>IN-2022002158</t>
  </si>
  <si>
    <t>148484</t>
  </si>
  <si>
    <t>239708</t>
  </si>
  <si>
    <t>2024-09-26 00:00:00</t>
  </si>
  <si>
    <t>2025-01-02 00:00:00</t>
  </si>
  <si>
    <t>593936</t>
  </si>
  <si>
    <t>364271</t>
  </si>
  <si>
    <t>-10043</t>
  </si>
  <si>
    <t>22028000022797152</t>
  </si>
  <si>
    <t>51788000002758076</t>
  </si>
  <si>
    <t>zcrm_51788000270277373</t>
  </si>
  <si>
    <t>2024-06-05 12:22:40</t>
  </si>
  <si>
    <t>Mrs. Mrs. Surya Kumari M</t>
  </si>
  <si>
    <t>ssvmschool@gmail.com</t>
  </si>
  <si>
    <t>+919843564095</t>
  </si>
  <si>
    <t>Vembakkottai Road, Teppam,</t>
  </si>
  <si>
    <t>626123</t>
  </si>
  <si>
    <t>MRIS08081D</t>
  </si>
  <si>
    <t>Vedavalli Vidyalaya Senior Secondary School</t>
  </si>
  <si>
    <t>2024-06-20 00:00:00</t>
  </si>
  <si>
    <t>IN-2022002255</t>
  </si>
  <si>
    <t>1750</t>
  </si>
  <si>
    <t>189412</t>
  </si>
  <si>
    <t>18941</t>
  </si>
  <si>
    <t>2025-03-11 00:00:00</t>
  </si>
  <si>
    <t>757648</t>
  </si>
  <si>
    <t>686426</t>
  </si>
  <si>
    <t>52281</t>
  </si>
  <si>
    <t>0.7265999999999999</t>
  </si>
  <si>
    <t>8</t>
  </si>
  <si>
    <t>Walajapet</t>
  </si>
  <si>
    <t>22028000023070400</t>
  </si>
  <si>
    <t>51788000002758365</t>
  </si>
  <si>
    <t>zcrm_51788000270797001</t>
  </si>
  <si>
    <t>2024-06-25 13:27:37</t>
  </si>
  <si>
    <t>Mr. Anantha Raman M K</t>
  </si>
  <si>
    <t>anantharaman@vedavallividyalaya.org</t>
  </si>
  <si>
    <t>+914172246013</t>
  </si>
  <si>
    <t>Chennai Mumbai Trunk Road, Bagaveli, Chennasamudram, T K Thangal Post, Walajapet</t>
  </si>
  <si>
    <t>632513</t>
  </si>
  <si>
    <t>CHET03629D</t>
  </si>
  <si>
    <t>ASPAM Scottish School</t>
  </si>
  <si>
    <t>2024-04-12 00:00:00</t>
  </si>
  <si>
    <t>IN-2022001904</t>
  </si>
  <si>
    <t>2034</t>
  </si>
  <si>
    <t>103205</t>
  </si>
  <si>
    <t>3508</t>
  </si>
  <si>
    <t>2024-07-23 00:00:00</t>
  </si>
  <si>
    <t>2025-04-17 00:00:00</t>
  </si>
  <si>
    <t>412820</t>
  </si>
  <si>
    <t>411722</t>
  </si>
  <si>
    <t>-2410</t>
  </si>
  <si>
    <t>Noida</t>
  </si>
  <si>
    <t>2025-06-30 00:00:00</t>
  </si>
  <si>
    <t>22028000022065116</t>
  </si>
  <si>
    <t>51788000002758926</t>
  </si>
  <si>
    <t>zcrm_51788000268383052</t>
  </si>
  <si>
    <t>2024-05-22 14:12:15</t>
  </si>
  <si>
    <t>Mrs. Meenakshi Zarabi</t>
  </si>
  <si>
    <t>principal@aspamscottish.com</t>
  </si>
  <si>
    <t>+919654676964</t>
  </si>
  <si>
    <t>info@aspamscottish.com</t>
  </si>
  <si>
    <t>99000</t>
  </si>
  <si>
    <t>A – 43 Near SBI Bank, Sector 62,</t>
  </si>
  <si>
    <t>201301</t>
  </si>
  <si>
    <t>DELM12222A</t>
  </si>
  <si>
    <t>Shri Kanwartara Senior Secondary School</t>
  </si>
  <si>
    <t>2024-02-22 00:00:00</t>
  </si>
  <si>
    <t>IN-2022001544</t>
  </si>
  <si>
    <t>1250</t>
  </si>
  <si>
    <t>179091</t>
  </si>
  <si>
    <t>17500</t>
  </si>
  <si>
    <t>2025-10-31 00:00:00</t>
  </si>
  <si>
    <t>716364</t>
  </si>
  <si>
    <t>759273</t>
  </si>
  <si>
    <t>-60409</t>
  </si>
  <si>
    <t>0.6428</t>
  </si>
  <si>
    <t>0.5928</t>
  </si>
  <si>
    <t>Mandleshwar</t>
  </si>
  <si>
    <t>22028000021180084</t>
  </si>
  <si>
    <t>51788000002758976</t>
  </si>
  <si>
    <t>zcrm_51788000265621367</t>
  </si>
  <si>
    <t>2024-02-22 18:08:57</t>
  </si>
  <si>
    <t>Mr. Yogesh Joshi</t>
  </si>
  <si>
    <t>j.v.yogesh@gmail.com</t>
  </si>
  <si>
    <t>+919669696243</t>
  </si>
  <si>
    <t>shrikanwartaraschool@yahoo.com</t>
  </si>
  <si>
    <t>Mahaveer</t>
  </si>
  <si>
    <t>+919981532964</t>
  </si>
  <si>
    <t>Shrinagar Colony, Mandleshwar, Dist. Khargone</t>
  </si>
  <si>
    <t>451221</t>
  </si>
  <si>
    <t>The Scindia School, Fort</t>
  </si>
  <si>
    <t>2024-07-29 00:00:00</t>
  </si>
  <si>
    <t>IN-2022002389</t>
  </si>
  <si>
    <t>2874</t>
  </si>
  <si>
    <t>53457</t>
  </si>
  <si>
    <t>2024-09-27 00:00:00</t>
  </si>
  <si>
    <t>644360</t>
  </si>
  <si>
    <t>577337</t>
  </si>
  <si>
    <t>13566</t>
  </si>
  <si>
    <t>0.057999999999999996</t>
  </si>
  <si>
    <t>22028000023795676</t>
  </si>
  <si>
    <t>51788000002732431</t>
  </si>
  <si>
    <t>zcrm_51788000272308003</t>
  </si>
  <si>
    <t>2024-08-13 17:46:23</t>
  </si>
  <si>
    <t>Dhirendra Srivastava</t>
  </si>
  <si>
    <t>SaraswatiHigerSecondarySchool-1120898@gmail.com</t>
  </si>
  <si>
    <t>+919407566952</t>
  </si>
  <si>
    <t>office@scindia.edu</t>
  </si>
  <si>
    <t>Fort, Vinay Nagar,</t>
  </si>
  <si>
    <t>474008</t>
  </si>
  <si>
    <t>Paramount Academy, Kasrawad</t>
  </si>
  <si>
    <t>2024-02-19 00:00:00</t>
  </si>
  <si>
    <t>IN-2022001519</t>
  </si>
  <si>
    <t>1700</t>
  </si>
  <si>
    <t>2024-03-20 00:00:00</t>
  </si>
  <si>
    <t>61636</t>
  </si>
  <si>
    <t>2024-09-15 00:00:00</t>
  </si>
  <si>
    <t>2024-12-15 00:00:00</t>
  </si>
  <si>
    <t>2025-01-11 00:00:00</t>
  </si>
  <si>
    <t>246544</t>
  </si>
  <si>
    <t>210367</t>
  </si>
  <si>
    <t>36177</t>
  </si>
  <si>
    <t>0.5142</t>
  </si>
  <si>
    <t>0.4642</t>
  </si>
  <si>
    <t>Khargaon</t>
  </si>
  <si>
    <t>22028000021131380</t>
  </si>
  <si>
    <t>51788000002759089</t>
  </si>
  <si>
    <t>zcrm_51788000265336687</t>
  </si>
  <si>
    <t>2024-02-21 10:47:55</t>
  </si>
  <si>
    <t>Akhilesh Patidar</t>
  </si>
  <si>
    <t>akhilesh.patidar13134@gmail.com</t>
  </si>
  <si>
    <t>+919926013134</t>
  </si>
  <si>
    <t>paramountkasrawad@gmail.com</t>
  </si>
  <si>
    <t>Khargaon Road Kasrawad</t>
  </si>
  <si>
    <t>451228</t>
  </si>
  <si>
    <t>BPLS11215B</t>
  </si>
  <si>
    <t>Vivekananda Mission School</t>
  </si>
  <si>
    <t>2024-06-10 00:00:00</t>
  </si>
  <si>
    <t>IN-2022002188, IN-2022002189</t>
  </si>
  <si>
    <t>1140</t>
  </si>
  <si>
    <t>2000-01-01 00:00:00, 2024-06-28 00:00:00</t>
  </si>
  <si>
    <t>0, 559431</t>
  </si>
  <si>
    <t>2000-01-01 00:00:00, 2024-11-30 00:00:00</t>
  </si>
  <si>
    <t>3684, 44755</t>
  </si>
  <si>
    <t>2024-08-06 00:00:00</t>
  </si>
  <si>
    <t>2024-08-06 00:00:00, 2025-03-28 00:00:00</t>
  </si>
  <si>
    <t>184200, 2237724</t>
  </si>
  <si>
    <t>180516, 2192965.9699999997</t>
  </si>
  <si>
    <t>0, 3</t>
  </si>
  <si>
    <t>0.6, 0.6743000000000001</t>
  </si>
  <si>
    <t>22028000022883348, 22028000022883408</t>
  </si>
  <si>
    <t>51788000002732448</t>
  </si>
  <si>
    <t>zcrm_51788000270481155, zcrm_51788000270481292</t>
  </si>
  <si>
    <t>2024-06-10 14:53:57, 2024-06-10 15:00:44</t>
  </si>
  <si>
    <t>Arnab Chandra</t>
  </si>
  <si>
    <t>arnab.chandra@vms.edu.in</t>
  </si>
  <si>
    <t>+919903263000</t>
  </si>
  <si>
    <t>principal@vms.edu.in</t>
  </si>
  <si>
    <t>Vivek Ville</t>
  </si>
  <si>
    <t>700104</t>
  </si>
  <si>
    <t>CALV02119F</t>
  </si>
  <si>
    <t>Young Horizons School</t>
  </si>
  <si>
    <t>2024-05-24 00:00:00</t>
  </si>
  <si>
    <t>IN-2022002084, IN-2022002085</t>
  </si>
  <si>
    <t>1351, 1648</t>
  </si>
  <si>
    <t>2024-05-27 00:00:00</t>
  </si>
  <si>
    <t>104268, 70252</t>
  </si>
  <si>
    <t>2024-10-28 00:00:00</t>
  </si>
  <si>
    <t>1405, 2085</t>
  </si>
  <si>
    <t>2024-04-29 00:00:00, 2024-06-28 00:00:00</t>
  </si>
  <si>
    <t>281008, 417072</t>
  </si>
  <si>
    <t>279732, 493911</t>
  </si>
  <si>
    <t>-129, -78924</t>
  </si>
  <si>
    <t>0.529, 0.614</t>
  </si>
  <si>
    <t>22028000022641080, 22028000022641144</t>
  </si>
  <si>
    <t>51788000002732451</t>
  </si>
  <si>
    <t>zcrm_51788000269950001, zcrm_51788000269950138</t>
  </si>
  <si>
    <t>maruf.shaikh1, megha.m_ei</t>
  </si>
  <si>
    <t>2024-05-30 10:07:21, 2024-05-30 10:08:05</t>
  </si>
  <si>
    <t>Ms. Sarmistha Sen</t>
  </si>
  <si>
    <t>official@younghorizonsschool.com</t>
  </si>
  <si>
    <t>+919830494565</t>
  </si>
  <si>
    <t>30000</t>
  </si>
  <si>
    <t>220, Barakhola, Kalikapur, E.M. Bypass</t>
  </si>
  <si>
    <t>700099</t>
  </si>
  <si>
    <t>EDUADVAITA (C/O KAMALANIKETAN MONTESSORI SCHOOL)</t>
  </si>
  <si>
    <t>2024-08-07 00:00:00</t>
  </si>
  <si>
    <t>IN-2022002408</t>
  </si>
  <si>
    <t>1517</t>
  </si>
  <si>
    <t>1337137</t>
  </si>
  <si>
    <t>53141</t>
  </si>
  <si>
    <t>2025-06-20 00:00:00</t>
  </si>
  <si>
    <t>2674274</t>
  </si>
  <si>
    <t>3058214</t>
  </si>
  <si>
    <t>-437081</t>
  </si>
  <si>
    <t>0.7514</t>
  </si>
  <si>
    <t>Trichy</t>
  </si>
  <si>
    <t>22028000023970692</t>
  </si>
  <si>
    <t>51788000002728636</t>
  </si>
  <si>
    <t>zcrm_51788000272583027</t>
  </si>
  <si>
    <t>2024-09-23 10:22:42</t>
  </si>
  <si>
    <t>Mr. Sathiamoorthy Sir</t>
  </si>
  <si>
    <t>sathia_55@yahoo.com</t>
  </si>
  <si>
    <t>+917373791041</t>
  </si>
  <si>
    <t>office@kamalaniketan.com</t>
  </si>
  <si>
    <t>Bhuwaneswari G</t>
  </si>
  <si>
    <t>bhuvaneswari.g@kamalaniketan.com</t>
  </si>
  <si>
    <t>+917373791037</t>
  </si>
  <si>
    <t>maris avenue, collector office road</t>
  </si>
  <si>
    <t>620001</t>
  </si>
  <si>
    <t>CHEE07743B</t>
  </si>
  <si>
    <t>S H N V Matriculation School</t>
  </si>
  <si>
    <t>IN-2022001814</t>
  </si>
  <si>
    <t>1104</t>
  </si>
  <si>
    <t>245991</t>
  </si>
  <si>
    <t>2024-11-25 00:00:00</t>
  </si>
  <si>
    <t>2024-12-25 00:00:00</t>
  </si>
  <si>
    <t>20847</t>
  </si>
  <si>
    <t>2024-06-19 00:00:00</t>
  </si>
  <si>
    <t>983964</t>
  </si>
  <si>
    <t>923540</t>
  </si>
  <si>
    <t>39577</t>
  </si>
  <si>
    <t>0.638</t>
  </si>
  <si>
    <t>22028000021885272</t>
  </si>
  <si>
    <t>51788000002760362</t>
  </si>
  <si>
    <t>zcrm_51788000267834796</t>
  </si>
  <si>
    <t>clement.navamani_ei</t>
  </si>
  <si>
    <t>clement.navamani@ei.study</t>
  </si>
  <si>
    <t>Clement navamani</t>
  </si>
  <si>
    <t>Clement John Navamani V Navamani</t>
  </si>
  <si>
    <t>2024-04-03 23:40:12</t>
  </si>
  <si>
    <t>Mr Mathavan</t>
  </si>
  <si>
    <t>shnvmathss@gmail.com</t>
  </si>
  <si>
    <t>+919442324292</t>
  </si>
  <si>
    <t>SHNVMatriculationHigherSecondarySchool_1720050@gmail.com</t>
  </si>
  <si>
    <t>Manjula</t>
  </si>
  <si>
    <t>shnvmthss@gmail.com</t>
  </si>
  <si>
    <t>+919385820241</t>
  </si>
  <si>
    <t>40000</t>
  </si>
  <si>
    <t>No. 10 A, Chairman Shanmugam Salai,</t>
  </si>
  <si>
    <t>MRIT00822D</t>
  </si>
  <si>
    <t>Harvest Public School</t>
  </si>
  <si>
    <t>IN-2022001952</t>
  </si>
  <si>
    <t>1433</t>
  </si>
  <si>
    <t>2024-05-15 00:00:00</t>
  </si>
  <si>
    <t>214955</t>
  </si>
  <si>
    <t>2024-08-15 00:00:00</t>
  </si>
  <si>
    <t>2024-09-04 00:00:00</t>
  </si>
  <si>
    <t>2025-04-23 00:00:00</t>
  </si>
  <si>
    <t>859820</t>
  </si>
  <si>
    <t>888468</t>
  </si>
  <si>
    <t>-28648</t>
  </si>
  <si>
    <t>0.5779</t>
  </si>
  <si>
    <t>Khammam</t>
  </si>
  <si>
    <t>22028000022189576</t>
  </si>
  <si>
    <t>51788000002760389</t>
  </si>
  <si>
    <t>zcrm_51788000268704370</t>
  </si>
  <si>
    <t>2024-04-26 13:17:57</t>
  </si>
  <si>
    <t>R Parvathi Reddy</t>
  </si>
  <si>
    <t>nagarajuharvest@gmail.com</t>
  </si>
  <si>
    <t>+917981396926</t>
  </si>
  <si>
    <t>harvestkhammam@gmail.com</t>
  </si>
  <si>
    <t>ramasahayamparvathi@gmail.com</t>
  </si>
  <si>
    <t>+919848503589</t>
  </si>
  <si>
    <t>Mr. K Nagaraju</t>
  </si>
  <si>
    <t>5-7-200/11, Near Mamata General Hospital, Pakabanda Bazar,</t>
  </si>
  <si>
    <t>507002</t>
  </si>
  <si>
    <t>Modern High School For Girls</t>
  </si>
  <si>
    <t>IN-2022002026</t>
  </si>
  <si>
    <t>2407</t>
  </si>
  <si>
    <t>2024-05-09 00:00:00</t>
  </si>
  <si>
    <t>575774</t>
  </si>
  <si>
    <t>2024-09-25 00:00:00</t>
  </si>
  <si>
    <t>178913</t>
  </si>
  <si>
    <t>2024-05-22 00:00:00</t>
  </si>
  <si>
    <t>2025-02-06 00:00:00</t>
  </si>
  <si>
    <t>2303096</t>
  </si>
  <si>
    <t>1932261</t>
  </si>
  <si>
    <t>191922</t>
  </si>
  <si>
    <t>0.2112</t>
  </si>
  <si>
    <t>22028000022385968</t>
  </si>
  <si>
    <t>51788000002732487</t>
  </si>
  <si>
    <t>zcrm_51788000269357003</t>
  </si>
  <si>
    <t>2024-05-09 15:46:56</t>
  </si>
  <si>
    <t>Mrs. Damayanti Mukherjee</t>
  </si>
  <si>
    <t>principal@mhsforgirls.edu.in</t>
  </si>
  <si>
    <t>+913322875326</t>
  </si>
  <si>
    <t>78, Syed Amir Ali Ave, Beck Bagan, Ballygunge</t>
  </si>
  <si>
    <t>700019</t>
  </si>
  <si>
    <t>CALM04380F</t>
  </si>
  <si>
    <t>Beck Bagan, Ballygunge</t>
  </si>
  <si>
    <t>174661</t>
  </si>
  <si>
    <t>The Bombay International School</t>
  </si>
  <si>
    <t>2024-01-06 00:00:00, 2024-02-01 00:00:00</t>
  </si>
  <si>
    <t>IN-2022001384, IN-2022001457</t>
  </si>
  <si>
    <t>1080</t>
  </si>
  <si>
    <t>3051</t>
  </si>
  <si>
    <t>2024-01-10 00:00:00</t>
  </si>
  <si>
    <t>2000-01-01 00:00:00, 2024-02-08 00:00:00</t>
  </si>
  <si>
    <t>0, 41038</t>
  </si>
  <si>
    <t>0, 95755</t>
  </si>
  <si>
    <t>12203, 4104</t>
  </si>
  <si>
    <t>2024-01-20 00:00:00, 2024-04-15 00:00:00</t>
  </si>
  <si>
    <t>2024-01-20 00:00:00, 2024-10-11 00:00:00</t>
  </si>
  <si>
    <t>136793, 46440</t>
  </si>
  <si>
    <t>131790, 36936</t>
  </si>
  <si>
    <t>-7200, 5400</t>
  </si>
  <si>
    <t>0.0001, 0.1</t>
  </si>
  <si>
    <t>IGSCE</t>
  </si>
  <si>
    <t>2024-01-01 00:00:00, 2024-07-01 00:00:00</t>
  </si>
  <si>
    <t>2024-08-29 00:00:00, 2025-06-30 00:00:00</t>
  </si>
  <si>
    <t>22028000020542216, 22028000020886208</t>
  </si>
  <si>
    <t>51788000002732495</t>
  </si>
  <si>
    <t>zcrm_51788000263014086, zcrm_51788000264456151</t>
  </si>
  <si>
    <t>manjeetsingh.ladhad</t>
  </si>
  <si>
    <t>manjeetsingh.ladhad@ei.study</t>
  </si>
  <si>
    <t>Manjeetsingh ladhad</t>
  </si>
  <si>
    <t>2024-01-10 17:38:31, 2024-02-16 11:24:19</t>
  </si>
  <si>
    <t>Cyrus Vakil, Mr. Cyrus Vakil</t>
  </si>
  <si>
    <t>cyrus.vakil@bis.edu.in</t>
  </si>
  <si>
    <t>+912223648206, +919820009512</t>
  </si>
  <si>
    <t>Cyrus Vakil</t>
  </si>
  <si>
    <t>+912236482206</t>
  </si>
  <si>
    <t>Rupal Thaker</t>
  </si>
  <si>
    <t>rupal.thaker@bis.edu.in</t>
  </si>
  <si>
    <t>+919930933228</t>
  </si>
  <si>
    <t>Babulnath 2nd Cross Road,, Gilbert Building, Babulnath 2nd Cross Road,</t>
  </si>
  <si>
    <t>400007</t>
  </si>
  <si>
    <t>Gilbert Building, Babulnath 2nd Cross Road,</t>
  </si>
  <si>
    <t>Babulnath 2nd Cross Road,</t>
  </si>
  <si>
    <t>Vidya Mandir Senior Secondary School</t>
  </si>
  <si>
    <t>2024-02-14 00:00:00</t>
  </si>
  <si>
    <t>IN-2022001493</t>
  </si>
  <si>
    <t>1095</t>
  </si>
  <si>
    <t>416100</t>
  </si>
  <si>
    <t>83220</t>
  </si>
  <si>
    <t>2024-06-27 00:00:00</t>
  </si>
  <si>
    <t>832200</t>
  </si>
  <si>
    <t>748980</t>
  </si>
  <si>
    <t>0.27</t>
  </si>
  <si>
    <t>22028000021062284</t>
  </si>
  <si>
    <t>51788000002732497</t>
  </si>
  <si>
    <t>zcrm_51788000257680504</t>
  </si>
  <si>
    <t>sriram.subramaniam_ei</t>
  </si>
  <si>
    <t>sriram.subramaniam@ei.study</t>
  </si>
  <si>
    <t>Sriram subramaniam</t>
  </si>
  <si>
    <t>Makara Jyothi</t>
  </si>
  <si>
    <t>2024-02-24 13:16:37</t>
  </si>
  <si>
    <t>Ms. Mala Kanchana</t>
  </si>
  <si>
    <t>vidyamandirchennai@gmail.com</t>
  </si>
  <si>
    <t>+919884083448</t>
  </si>
  <si>
    <t>Kanchana (VP)</t>
  </si>
  <si>
    <t>Kanchana Mala</t>
  </si>
  <si>
    <t>85000</t>
  </si>
  <si>
    <t>124, Royapettah High Rd, Vinayagar Kovil, Mylapore, Chennai, Tamil Nadu 600004</t>
  </si>
  <si>
    <t>TAMIL NADU</t>
  </si>
  <si>
    <t>CHEV00406A</t>
  </si>
  <si>
    <t>S N Kansagra School</t>
  </si>
  <si>
    <t>2024-06-29 00:00:00, 2024-07-01 00:00:00, 2024-07-22 00:00:00</t>
  </si>
  <si>
    <t>Ei ASSET, Ei ASSET,Ei Mindspark, Ei Mindspark</t>
  </si>
  <si>
    <t>IN-2022002290, IN-2022002299, IN-2022002368</t>
  </si>
  <si>
    <t>678, 710</t>
  </si>
  <si>
    <t>1379, 1441</t>
  </si>
  <si>
    <t>2024-12-16 00:00:00</t>
  </si>
  <si>
    <t>0, 90000</t>
  </si>
  <si>
    <t>2024-11-27 00:00:00</t>
  </si>
  <si>
    <t>2025-02-12 00:00:00</t>
  </si>
  <si>
    <t>3733211, 46106, 762704</t>
  </si>
  <si>
    <t>0, 3472136</t>
  </si>
  <si>
    <t>171075, 46106, 762704</t>
  </si>
  <si>
    <t>0.5278, 0.5479999999999999, 0.5867</t>
  </si>
  <si>
    <t>0.4278, 0.4868, 0.498</t>
  </si>
  <si>
    <t>0.0499, 0.05</t>
  </si>
  <si>
    <t>Rajkot</t>
  </si>
  <si>
    <t>22028000023209880, 22028000023251120, 22028000023684228</t>
  </si>
  <si>
    <t>51788000002728408</t>
  </si>
  <si>
    <t>zcrm_51788000271061001, zcrm_51788000271352001</t>
  </si>
  <si>
    <t>pooja.joshi_eiindia1</t>
  </si>
  <si>
    <t>pooja.joshi@ei.study</t>
  </si>
  <si>
    <t>Pooja joshi</t>
  </si>
  <si>
    <t>2024-07-01 11:08:41, 2024-07-01 14:53:11, 2024-07-23 09:52:21</t>
  </si>
  <si>
    <t>Mr. Gokul Paravoor, Pooja Joshi</t>
  </si>
  <si>
    <t>gokul.paravoor@tges.org, pooja.joshi@ei.study</t>
  </si>
  <si>
    <t>+919737756790, +919909998141</t>
  </si>
  <si>
    <t>info@tges.org</t>
  </si>
  <si>
    <t>61200</t>
  </si>
  <si>
    <t>Aakashwani Chowk, University Road, Near HP Fuel Station</t>
  </si>
  <si>
    <t>360005</t>
  </si>
  <si>
    <t>The TVS School</t>
  </si>
  <si>
    <t>2024-03-01 00:00:00</t>
  </si>
  <si>
    <t>Ei ASSET,Ei CARES,Ei Mindspark</t>
  </si>
  <si>
    <t>IN-2022001580</t>
  </si>
  <si>
    <t>338</t>
  </si>
  <si>
    <t>1150</t>
  </si>
  <si>
    <t>688</t>
  </si>
  <si>
    <t>1329346</t>
  </si>
  <si>
    <t>507904</t>
  </si>
  <si>
    <t>2025-01-28 00:00:00</t>
  </si>
  <si>
    <t>5317384</t>
  </si>
  <si>
    <t>4785241</t>
  </si>
  <si>
    <t>24239</t>
  </si>
  <si>
    <t>0.7745000000000001</t>
  </si>
  <si>
    <t>6</t>
  </si>
  <si>
    <t>Madurai</t>
  </si>
  <si>
    <t>2024-05-23 00:00:00</t>
  </si>
  <si>
    <t>2025-06-04 00:00:00</t>
  </si>
  <si>
    <t>22028000021314460</t>
  </si>
  <si>
    <t>51788000002732500</t>
  </si>
  <si>
    <t>zcrm_51788000266144001</t>
  </si>
  <si>
    <t>2024-04-06 07:38:49</t>
  </si>
  <si>
    <t>Mrs. Aruna Kumari</t>
  </si>
  <si>
    <t>arunakumari@tvslvs.com</t>
  </si>
  <si>
    <t>+919585544050</t>
  </si>
  <si>
    <t>thetvsschool@tvslvs.com</t>
  </si>
  <si>
    <t>Jeyasree V</t>
  </si>
  <si>
    <t>jeyasree.thetvs.as@gmail.com</t>
  </si>
  <si>
    <t>+919894970145</t>
  </si>
  <si>
    <t>TVS School</t>
  </si>
  <si>
    <t>625003</t>
  </si>
  <si>
    <t>MRIL00055G</t>
  </si>
  <si>
    <t>The Ashok Leyland School</t>
  </si>
  <si>
    <t>IN-2022001837</t>
  </si>
  <si>
    <t>2024-03-25 00:00:00</t>
  </si>
  <si>
    <t>221654</t>
  </si>
  <si>
    <t>11151</t>
  </si>
  <si>
    <t>2024-12-11 00:00:00</t>
  </si>
  <si>
    <t>886616</t>
  </si>
  <si>
    <t>857582</t>
  </si>
  <si>
    <t>17883</t>
  </si>
  <si>
    <t>0.5832999999999999</t>
  </si>
  <si>
    <t>Hosur</t>
  </si>
  <si>
    <t>22028000021910820</t>
  </si>
  <si>
    <t>51788000002761102</t>
  </si>
  <si>
    <t>zcrm_51788000266958231</t>
  </si>
  <si>
    <t>2024-04-04 12:15:30</t>
  </si>
  <si>
    <t>Mrs. Poorna Durachi</t>
  </si>
  <si>
    <t>poorna@thealschool.org</t>
  </si>
  <si>
    <t>alshosur@gmail.com</t>
  </si>
  <si>
    <t>E - 1, SIPCOT Industrial Complex,Phase II</t>
  </si>
  <si>
    <t>635130</t>
  </si>
  <si>
    <t>Lokhandwala Foundation School</t>
  </si>
  <si>
    <t>IN-2022002207</t>
  </si>
  <si>
    <t>910</t>
  </si>
  <si>
    <t>2024-07-16 00:00:00</t>
  </si>
  <si>
    <t>65526</t>
  </si>
  <si>
    <t>0.2416</t>
  </si>
  <si>
    <t>22028000023005292</t>
  </si>
  <si>
    <t>51788000002732504</t>
  </si>
  <si>
    <t>zcrm_51788000270687025</t>
  </si>
  <si>
    <t>2024-06-22 13:18:16</t>
  </si>
  <si>
    <t>Ms. Arti Desai</t>
  </si>
  <si>
    <t>info@lokhandwalaschool.org</t>
  </si>
  <si>
    <t>+919821795516</t>
  </si>
  <si>
    <t>Info@lokhandwalaschool.org</t>
  </si>
  <si>
    <t>Plot Bearing CTS No. 171/1A/28, Lokhandwala Township, Akurli Road, Kandivali (East)</t>
  </si>
  <si>
    <t>400101</t>
  </si>
  <si>
    <t>Plot Bearing CTS No. 171/1A/28, Lokhandwala Township, Akurli Road, Kandivali (East),</t>
  </si>
  <si>
    <t>St. James^ School</t>
  </si>
  <si>
    <t>2024-02-18 00:00:00</t>
  </si>
  <si>
    <t>IN-2022001514</t>
  </si>
  <si>
    <t>2024-02-27 00:00:00</t>
  </si>
  <si>
    <t>264375</t>
  </si>
  <si>
    <t>2024-06-07 00:00:00</t>
  </si>
  <si>
    <t>2024-08-02 00:00:00</t>
  </si>
  <si>
    <t>528750</t>
  </si>
  <si>
    <t>102476</t>
  </si>
  <si>
    <t>2024-03-05 00:00:00</t>
  </si>
  <si>
    <t>1057500</t>
  </si>
  <si>
    <t>922274</t>
  </si>
  <si>
    <t>32750</t>
  </si>
  <si>
    <t>0.45</t>
  </si>
  <si>
    <t>2025-01-31 00:00:00</t>
  </si>
  <si>
    <t>22028000021093788</t>
  </si>
  <si>
    <t>51788000002732621</t>
  </si>
  <si>
    <t>zcrm_51788000263911161</t>
  </si>
  <si>
    <t>mayukh.chowdhury_ei1</t>
  </si>
  <si>
    <t>mayukh.chowdhury@ei.study</t>
  </si>
  <si>
    <t>Mayukh chowdhury</t>
  </si>
  <si>
    <t>Nishu Rani</t>
  </si>
  <si>
    <t>2024-02-19 14:18:40</t>
  </si>
  <si>
    <t>T.H Ireland</t>
  </si>
  <si>
    <t>sjkolkata1864@gmail.com</t>
  </si>
  <si>
    <t>+913322841546</t>
  </si>
  <si>
    <t>sjskolkata1864@gmail.com</t>
  </si>
  <si>
    <t>Dhruba Dhar</t>
  </si>
  <si>
    <t>165, Acharya Jagadish Chandra Bose Rd, Entally,</t>
  </si>
  <si>
    <t>700014</t>
  </si>
  <si>
    <t>CALS00749A</t>
  </si>
  <si>
    <t>Dolna Day School</t>
  </si>
  <si>
    <t>2024-04-24 00:00:00</t>
  </si>
  <si>
    <t>IN-2022001961</t>
  </si>
  <si>
    <t>1730</t>
  </si>
  <si>
    <t>2024-04-29 00:00:00</t>
  </si>
  <si>
    <t>113722</t>
  </si>
  <si>
    <t>2025-02-03 00:00:00</t>
  </si>
  <si>
    <t>454888</t>
  </si>
  <si>
    <t>454889.05000000005</t>
  </si>
  <si>
    <t>0.6676000000000001</t>
  </si>
  <si>
    <t>2024-04-27 00:00:00</t>
  </si>
  <si>
    <t>22028000022249112</t>
  </si>
  <si>
    <t>51788000002732636</t>
  </si>
  <si>
    <t>zcrm_51788000268843021</t>
  </si>
  <si>
    <t>Soumodeep Ghosh</t>
  </si>
  <si>
    <t>2024-04-27 14:40:37</t>
  </si>
  <si>
    <t>Mrs Madhura Bhattacharya</t>
  </si>
  <si>
    <t>dolnaday@gmail.com</t>
  </si>
  <si>
    <t>+913324424102</t>
  </si>
  <si>
    <t>Mr. Balaji</t>
  </si>
  <si>
    <t>+919831059786</t>
  </si>
  <si>
    <t>P-V. Cit Scheme Kasba III</t>
  </si>
  <si>
    <t>700042</t>
  </si>
  <si>
    <t>P-V. Cit Scheme 47,Kasba III</t>
  </si>
  <si>
    <t>Virudhunagar T S M Manickamnadar Janakiamamal Higher Secondary School</t>
  </si>
  <si>
    <t>2024-03-21 00:00:00, 2024-03-24 00:00:00</t>
  </si>
  <si>
    <t>Ei CARES,Ei Mindspark, Ei Mindspark</t>
  </si>
  <si>
    <t>IN-2022001713, IN-2022001732</t>
  </si>
  <si>
    <t>840</t>
  </si>
  <si>
    <t>1068, 1271</t>
  </si>
  <si>
    <t>270057, 378194</t>
  </si>
  <si>
    <t>0.7868, 0.8656999999999999</t>
  </si>
  <si>
    <t>0.7368000000000001, 0.8157</t>
  </si>
  <si>
    <t>22028000021670072, 22028000021704872</t>
  </si>
  <si>
    <t>51788000002761919</t>
  </si>
  <si>
    <t>zcrm_51788000267394001, zcrm_51788000267395283</t>
  </si>
  <si>
    <t>zohra.khan_ei</t>
  </si>
  <si>
    <t>hakim.kanchwala_eiindia1, megha.m_ei</t>
  </si>
  <si>
    <t>zohra.khan@ei.study</t>
  </si>
  <si>
    <t>Zohra khan</t>
  </si>
  <si>
    <t>2024-05-10 16:12:54, 2024-05-10 16:12:57</t>
  </si>
  <si>
    <t>Mr. D Dhivyan Dayallan</t>
  </si>
  <si>
    <t>vmjschool@gmail.com</t>
  </si>
  <si>
    <t>+919894104343</t>
  </si>
  <si>
    <t>Door No. 100, New Ramanad Road,</t>
  </si>
  <si>
    <t>625009</t>
  </si>
  <si>
    <t>KLE English Medium School, Solapur</t>
  </si>
  <si>
    <t>IN-2022002208, IN-2022002240</t>
  </si>
  <si>
    <t>155786, 299775</t>
  </si>
  <si>
    <t>31068.9, 50796</t>
  </si>
  <si>
    <t>311572, 599550</t>
  </si>
  <si>
    <t>279620.1, 548602</t>
  </si>
  <si>
    <t>152, 883</t>
  </si>
  <si>
    <t>Solapur</t>
  </si>
  <si>
    <t>22028000023002328, 22028000023033608</t>
  </si>
  <si>
    <t>51788000002761991</t>
  </si>
  <si>
    <t>zcrm_51788000270604456, zcrm_51788000270692303</t>
  </si>
  <si>
    <t>2024-06-18 10:39:18, 2024-06-18 10:45:52</t>
  </si>
  <si>
    <t>Narsimha Nagar, near D-mart, Jule, Solapur</t>
  </si>
  <si>
    <t>413003</t>
  </si>
  <si>
    <t>Birla Divya Jyoti</t>
  </si>
  <si>
    <t>2024-03-06 00:00:00</t>
  </si>
  <si>
    <t>IN-2022001591</t>
  </si>
  <si>
    <t>1526</t>
  </si>
  <si>
    <t>430222</t>
  </si>
  <si>
    <t>74940</t>
  </si>
  <si>
    <t>860444</t>
  </si>
  <si>
    <t>809352.53</t>
  </si>
  <si>
    <t>-23849</t>
  </si>
  <si>
    <t>Siliguri</t>
  </si>
  <si>
    <t>22028000021382188</t>
  </si>
  <si>
    <t>51788000002762139</t>
  </si>
  <si>
    <t>zcrm_51788000266077001</t>
  </si>
  <si>
    <t>gargi.ghosh_ei</t>
  </si>
  <si>
    <t>gargi.ghosh@ei.study</t>
  </si>
  <si>
    <t>Gargi ghosh</t>
  </si>
  <si>
    <t>2024-03-07 14:38:20</t>
  </si>
  <si>
    <t>Shweta Tewari</t>
  </si>
  <si>
    <t>shwetiv06@gmail.com</t>
  </si>
  <si>
    <t>+917001450195</t>
  </si>
  <si>
    <t>info@birladivyajyoti.com</t>
  </si>
  <si>
    <t>shwetiv06@yahoo.com</t>
  </si>
  <si>
    <t>Saojini Gurung</t>
  </si>
  <si>
    <t>sarojinigurung123@gmail.com</t>
  </si>
  <si>
    <t>+917478422423</t>
  </si>
  <si>
    <t>Uttarayan Township, Zone-F, National Highway - 31, P.O. Matigara, ,Siliguri,West Bengal - 734010</t>
  </si>
  <si>
    <t>734010</t>
  </si>
  <si>
    <t>CALB14092B</t>
  </si>
  <si>
    <t>Mlrt Gala Pioneer English School</t>
  </si>
  <si>
    <t>IN-2022002280</t>
  </si>
  <si>
    <t>34121</t>
  </si>
  <si>
    <t>79616</t>
  </si>
  <si>
    <t>2380</t>
  </si>
  <si>
    <t>113737</t>
  </si>
  <si>
    <t>116607</t>
  </si>
  <si>
    <t>-5250</t>
  </si>
  <si>
    <t>0.327</t>
  </si>
  <si>
    <t>2025-04-15 00:00:00</t>
  </si>
  <si>
    <t>22028000023177392</t>
  </si>
  <si>
    <t>51788000002762150</t>
  </si>
  <si>
    <t>zcrm_51788000270628430</t>
  </si>
  <si>
    <t>2024-07-01 18:00:19</t>
  </si>
  <si>
    <t>Prakash Nalawade</t>
  </si>
  <si>
    <t>pioneerseducationtrust@yahoo.in</t>
  </si>
  <si>
    <t>+919892666333</t>
  </si>
  <si>
    <t>principalmlrt@gmail.com</t>
  </si>
  <si>
    <t>3200</t>
  </si>
  <si>
    <t>Kandivali (East), Akoli Road,</t>
  </si>
  <si>
    <t>St. Paul's Academy</t>
  </si>
  <si>
    <t>IN-2022001703</t>
  </si>
  <si>
    <t>715</t>
  </si>
  <si>
    <t>2024-03-19 00:00:00</t>
  </si>
  <si>
    <t>437943</t>
  </si>
  <si>
    <t>2024-10-16 00:00:00</t>
  </si>
  <si>
    <t>43785</t>
  </si>
  <si>
    <t>875886</t>
  </si>
  <si>
    <t>788212</t>
  </si>
  <si>
    <t>43889</t>
  </si>
  <si>
    <t>0.5884</t>
  </si>
  <si>
    <t>0.5384</t>
  </si>
  <si>
    <t>ICSE</t>
  </si>
  <si>
    <t>22028000021642436</t>
  </si>
  <si>
    <t>51788000002732651</t>
  </si>
  <si>
    <t>zcrm_51788000266374140</t>
  </si>
  <si>
    <t>2024-03-22 12:04:31</t>
  </si>
  <si>
    <t>Mr. Fr. Byju Peruvan</t>
  </si>
  <si>
    <t>stpacademy@rediffmail.com</t>
  </si>
  <si>
    <t>+919759967579</t>
  </si>
  <si>
    <t>stpsacademy@gmail.com</t>
  </si>
  <si>
    <t>Ms Anshu</t>
  </si>
  <si>
    <t>anshugulati21@gmail.com</t>
  </si>
  <si>
    <t>+919810085551</t>
  </si>
  <si>
    <t>Sector 9, Raj Nagar,</t>
  </si>
  <si>
    <t>201002</t>
  </si>
  <si>
    <t>Sec - 9, Raj Nagar,</t>
  </si>
  <si>
    <t>MRTS02491G</t>
  </si>
  <si>
    <t>Kasiga School</t>
  </si>
  <si>
    <t>2024-05-29 00:00:00</t>
  </si>
  <si>
    <t>IN-2022002122</t>
  </si>
  <si>
    <t>1134</t>
  </si>
  <si>
    <t>23134</t>
  </si>
  <si>
    <t>231336</t>
  </si>
  <si>
    <t>208202</t>
  </si>
  <si>
    <t>0.26</t>
  </si>
  <si>
    <t>0.16</t>
  </si>
  <si>
    <t>22028000022690112</t>
  </si>
  <si>
    <t>51788000002762359</t>
  </si>
  <si>
    <t>zcrm_51788000270048584</t>
  </si>
  <si>
    <t>girish.arya_ei</t>
  </si>
  <si>
    <t>girish.arya@ei.study</t>
  </si>
  <si>
    <t>Girish arya</t>
  </si>
  <si>
    <t>Prabhjit Singh</t>
  </si>
  <si>
    <t>2024-06-28 10:31:50</t>
  </si>
  <si>
    <t>maruf.shaikh@ei-india.com</t>
  </si>
  <si>
    <t>secyprincipal@kasigaschool.com</t>
  </si>
  <si>
    <t>1004000</t>
  </si>
  <si>
    <t>Village Purkul Off Dehradun-Mussoorie Highway,</t>
  </si>
  <si>
    <t>248009</t>
  </si>
  <si>
    <t>Village Purkul Off Dehradun â Mussoorie Highway Dehradun â 248 009</t>
  </si>
  <si>
    <t>na</t>
  </si>
  <si>
    <t>Roopnagar Public School</t>
  </si>
  <si>
    <t>2024-02-07 00:00:00, 2024-12-16 00:00:00</t>
  </si>
  <si>
    <t>IN-2022001476, IN-2022002699</t>
  </si>
  <si>
    <t>1695</t>
  </si>
  <si>
    <t>2024-12-18 00:00:00</t>
  </si>
  <si>
    <t>2000-01-01 00:00:00, 2024-04-30 00:00:00</t>
  </si>
  <si>
    <t>0, 218568</t>
  </si>
  <si>
    <t>2000-01-01 00:00:00, 2024-07-30 00:00:00</t>
  </si>
  <si>
    <t>2000-01-01 00:00:00, 2024-10-30 00:00:00</t>
  </si>
  <si>
    <t>2000-01-01 00:00:00, 2024-12-30 00:00:00</t>
  </si>
  <si>
    <t>0, 3408</t>
  </si>
  <si>
    <t>2024-09-14 00:00:00, 2024-12-18 00:00:00</t>
  </si>
  <si>
    <t>2024-12-18 00:00:00, 2025-04-14 00:00:00</t>
  </si>
  <si>
    <t>46575, 874272</t>
  </si>
  <si>
    <t>45643, 811648</t>
  </si>
  <si>
    <t>59216, 932</t>
  </si>
  <si>
    <t>0.4443, 0.55</t>
  </si>
  <si>
    <t>0.3943, 0.5</t>
  </si>
  <si>
    <t>Jhalawar</t>
  </si>
  <si>
    <t>2024-04-01 00:00:00, 2024-12-02 00:00:00</t>
  </si>
  <si>
    <t>22028000020956256, 22028000026876700</t>
  </si>
  <si>
    <t>51788000002762372</t>
  </si>
  <si>
    <t>zcrm_51788000264396029, zcrm_51788000279272516</t>
  </si>
  <si>
    <t>pooja.kapoor_eiindia1, rohit.kumar_ei</t>
  </si>
  <si>
    <t>pooja.kapoor@ei.study, rohit.kumar@ei.study</t>
  </si>
  <si>
    <t>Pooja kapoor, Rohit kumar</t>
  </si>
  <si>
    <t>2024-02-09 14:47:32, 2024-12-18 14:31:32</t>
  </si>
  <si>
    <t>Mr. Benudhar Rout, Rahul Sharma</t>
  </si>
  <si>
    <t>Accounts, Admin</t>
  </si>
  <si>
    <t>accountsdesk@rpsjhalawar.com</t>
  </si>
  <si>
    <t>+918107310228, +918949247356</t>
  </si>
  <si>
    <t>rpsjhalawar@yahoo.in</t>
  </si>
  <si>
    <t>Mr. Sharma</t>
  </si>
  <si>
    <t>principal@rpsjhalawar.com</t>
  </si>
  <si>
    <t>+918107310228</t>
  </si>
  <si>
    <t>NH 52, Kota Road, Jhalawar, Roopnagar Colony</t>
  </si>
  <si>
    <t>326001</t>
  </si>
  <si>
    <t>JDHR05782A</t>
  </si>
  <si>
    <t>Shri Rama Bharati School - Sainik Nagar</t>
  </si>
  <si>
    <t>2023-12-28 00:00:00</t>
  </si>
  <si>
    <t>Ei ASSET,Ei CARES</t>
  </si>
  <si>
    <t>IN-2022001373</t>
  </si>
  <si>
    <t>546</t>
  </si>
  <si>
    <t>1274</t>
  </si>
  <si>
    <t>2024-01-15 00:00:00</t>
  </si>
  <si>
    <t>225200</t>
  </si>
  <si>
    <t>2025-09-24 00:00:00</t>
  </si>
  <si>
    <t>2216214</t>
  </si>
  <si>
    <t>2094230</t>
  </si>
  <si>
    <t>-103216</t>
  </si>
  <si>
    <t>0.636</t>
  </si>
  <si>
    <t>0.536</t>
  </si>
  <si>
    <t>Bahadurgarh</t>
  </si>
  <si>
    <t>22028000020435312</t>
  </si>
  <si>
    <t>51788000002762606</t>
  </si>
  <si>
    <t>zcrm_51788000262254472</t>
  </si>
  <si>
    <t>2024-01-17 17:37:40</t>
  </si>
  <si>
    <t>Deepak Gupta</t>
  </si>
  <si>
    <t>info@srbps.com</t>
  </si>
  <si>
    <t>+919891069693</t>
  </si>
  <si>
    <t>Priya Sangwan</t>
  </si>
  <si>
    <t>info.sn@srbps.com</t>
  </si>
  <si>
    <t>+917027100388</t>
  </si>
  <si>
    <t>Deeksha Kaushik</t>
  </si>
  <si>
    <t>+919992555109</t>
  </si>
  <si>
    <t>4400</t>
  </si>
  <si>
    <t>Sainik Nagar, Near Sector-06,Bahadurgarh,Haryana - 124507</t>
  </si>
  <si>
    <t>124507</t>
  </si>
  <si>
    <t>RTKS09920B</t>
  </si>
  <si>
    <t>Abhinav Bharati High School</t>
  </si>
  <si>
    <t>2024-02-08 00:00:00</t>
  </si>
  <si>
    <t>IN-2022001480</t>
  </si>
  <si>
    <t>1686</t>
  </si>
  <si>
    <t>2024-04-03 00:00:00</t>
  </si>
  <si>
    <t>181571</t>
  </si>
  <si>
    <t>2024-07-03 00:00:00</t>
  </si>
  <si>
    <t>2024-10-03 00:00:00</t>
  </si>
  <si>
    <t>10893</t>
  </si>
  <si>
    <t>2024-04-17 00:00:00</t>
  </si>
  <si>
    <t>2025-01-09 00:00:00</t>
  </si>
  <si>
    <t>726284</t>
  </si>
  <si>
    <t>711760</t>
  </si>
  <si>
    <t>3631</t>
  </si>
  <si>
    <t>0.4473</t>
  </si>
  <si>
    <t>22028000020984048</t>
  </si>
  <si>
    <t>51788000002728649</t>
  </si>
  <si>
    <t>zcrm_51788000264801045</t>
  </si>
  <si>
    <t>2024-03-18 17:05:18</t>
  </si>
  <si>
    <t>Mrs. Moumita Rakshit</t>
  </si>
  <si>
    <t>abhsprimary@gmail.com</t>
  </si>
  <si>
    <t>+917980545291</t>
  </si>
  <si>
    <t>abhsprimary@gmai.com</t>
  </si>
  <si>
    <t>Rosy</t>
  </si>
  <si>
    <t>+919836151146</t>
  </si>
  <si>
    <t>Sreya Paul</t>
  </si>
  <si>
    <t>sreyap012@gmail.com</t>
  </si>
  <si>
    <t>+917980776282</t>
  </si>
  <si>
    <t>11, Pretoria St, Elgin</t>
  </si>
  <si>
    <t>CALA04545C</t>
  </si>
  <si>
    <t>J S S Public School</t>
  </si>
  <si>
    <t>IN-2022001915</t>
  </si>
  <si>
    <t>850</t>
  </si>
  <si>
    <t>297465</t>
  </si>
  <si>
    <t>2024-08-03 00:00:00</t>
  </si>
  <si>
    <t>594930</t>
  </si>
  <si>
    <t>594150</t>
  </si>
  <si>
    <t>780</t>
  </si>
  <si>
    <t>0.4334</t>
  </si>
  <si>
    <t>22028000022062736</t>
  </si>
  <si>
    <t>51788000002732683</t>
  </si>
  <si>
    <t>zcrm_51788000268551381</t>
  </si>
  <si>
    <t>2024-04-16 16:58:28</t>
  </si>
  <si>
    <t>Mrs. Gowri .</t>
  </si>
  <si>
    <t>jsspsbsk@gmail.com</t>
  </si>
  <si>
    <t>+919686677270</t>
  </si>
  <si>
    <t>78200</t>
  </si>
  <si>
    <t>31, 15th Main, 22nd Cross,Siddanna Layout,Banashankari 2nd Stage</t>
  </si>
  <si>
    <t>560070</t>
  </si>
  <si>
    <t>G G International School</t>
  </si>
  <si>
    <t>IN-2022002269</t>
  </si>
  <si>
    <t>563545</t>
  </si>
  <si>
    <t>0.7295999999999999</t>
  </si>
  <si>
    <t>0.6296</t>
  </si>
  <si>
    <t>Pune</t>
  </si>
  <si>
    <t>22028000023147024</t>
  </si>
  <si>
    <t>51788000002763360</t>
  </si>
  <si>
    <t>zcrm_51788000271133157</t>
  </si>
  <si>
    <t>2024-07-01 11:00:06</t>
  </si>
  <si>
    <t>Ms. Bharti Bhagwani</t>
  </si>
  <si>
    <t>principal@myggis.org</t>
  </si>
  <si>
    <t>+919822380391</t>
  </si>
  <si>
    <t>admin@myggis.org</t>
  </si>
  <si>
    <t>174 - 177, Swarganga</t>
  </si>
  <si>
    <t>411018</t>
  </si>
  <si>
    <t>Christel House India</t>
  </si>
  <si>
    <t>2024-01-26 00:00:00</t>
  </si>
  <si>
    <t>IN-2022001430</t>
  </si>
  <si>
    <t>805</t>
  </si>
  <si>
    <t>2024-01-31 00:00:00</t>
  </si>
  <si>
    <t>39461</t>
  </si>
  <si>
    <t>376920</t>
  </si>
  <si>
    <t>355144</t>
  </si>
  <si>
    <t>-17685</t>
  </si>
  <si>
    <t>0.55</t>
  </si>
  <si>
    <t>22028000020798228</t>
  </si>
  <si>
    <t>51788000002763420</t>
  </si>
  <si>
    <t>zcrm_51788000264240049</t>
  </si>
  <si>
    <t>Aruna</t>
  </si>
  <si>
    <t>2024-01-29 10:13:36</t>
  </si>
  <si>
    <t>Maya Abhimanyu</t>
  </si>
  <si>
    <t>mabhimanyu@christelhouseindia.org</t>
  </si>
  <si>
    <t>+919448516209</t>
  </si>
  <si>
    <t>christelhouse@vsnl.com</t>
  </si>
  <si>
    <t>Mr Amit Sams</t>
  </si>
  <si>
    <t>eaedu@christelhouseindia.org</t>
  </si>
  <si>
    <t>Bellahalli Road, Off Hennur Road, Kannur Post - Via Bagalur,</t>
  </si>
  <si>
    <t>562149</t>
  </si>
  <si>
    <t>BLRC01661C</t>
  </si>
  <si>
    <t>Sri Kumaran Children's Home - CBSE</t>
  </si>
  <si>
    <t>Ei ASSET, Ei CARES, Ei Mindspark</t>
  </si>
  <si>
    <t>IN-2022002113, IN-2022002114, IN-2022002115</t>
  </si>
  <si>
    <t>672</t>
  </si>
  <si>
    <t>2119</t>
  </si>
  <si>
    <t>2000-01-01 00:00:00, 2024-06-15 00:00:00</t>
  </si>
  <si>
    <t>0, 157284, 294371</t>
  </si>
  <si>
    <t>2000-01-01 00:00:00, 2024-08-15 00:00:00</t>
  </si>
  <si>
    <t>2000-01-01 00:00:00, 2024-10-15 00:00:00</t>
  </si>
  <si>
    <t>2000-01-01 00:00:00, 2024-12-15 00:00:00</t>
  </si>
  <si>
    <t>110128, 113983, 62522</t>
  </si>
  <si>
    <t>2024-06-11 00:00:00</t>
  </si>
  <si>
    <t>2024-06-11 00:00:00, 2024-12-20 00:00:00, 2025-01-23 00:00:00</t>
  </si>
  <si>
    <t>1103293, 1177484, 629136</t>
  </si>
  <si>
    <t>1077763, 562697, 991148</t>
  </si>
  <si>
    <t>-14262, 2017, 3917</t>
  </si>
  <si>
    <t>0.3056, 0.5392, 0.5781000000000001</t>
  </si>
  <si>
    <t>0.3056, 0.4892, 0.5781000000000001</t>
  </si>
  <si>
    <t>22028000022677684, 22028000022677728, 22028000022677776</t>
  </si>
  <si>
    <t>51788000002728654</t>
  </si>
  <si>
    <t>zcrm_51788000269883682, zcrm_51788000269883813, zcrm_51788000269883941</t>
  </si>
  <si>
    <t>2024-06-06 17:06:43, 2024-06-07 13:57:53, 2024-06-07 14:36:21</t>
  </si>
  <si>
    <t>Mrs. Pushkala Parasuraman</t>
  </si>
  <si>
    <t>pushkala.parasuraman@kumarans.org</t>
  </si>
  <si>
    <t>+919880285585</t>
  </si>
  <si>
    <t>cbse@kumarans.org</t>
  </si>
  <si>
    <t>Survey no.44-50, Malla Sandra Village, Uttarahalli, Hobli, Kanakapura Main Road</t>
  </si>
  <si>
    <t>560109</t>
  </si>
  <si>
    <t>BLRS02358G</t>
  </si>
  <si>
    <t>Delhi Public School, R.K. Puram</t>
  </si>
  <si>
    <t>2024-04-04 00:00:00, 2024-08-21 00:00:00, 2024-10-12 00:00:00</t>
  </si>
  <si>
    <t>Ei ASSET, Ei Teacher Training</t>
  </si>
  <si>
    <t>190282024.00, IN-2022002449, IN-2022002518</t>
  </si>
  <si>
    <t>0, 400000</t>
  </si>
  <si>
    <t>1, 3</t>
  </si>
  <si>
    <t>2024-04-04 00:00:00, 2024-10-12 00:00:00</t>
  </si>
  <si>
    <t>2000-01-01 00:00:00, 2024-04-04 00:00:00, 2024-08-21 00:00:00</t>
  </si>
  <si>
    <t>2000-01-01 00:00:00, 2024-04-04 00:00:00, 2024-11-15 00:00:00</t>
  </si>
  <si>
    <t>2000-01-01 00:00:00, 2024-04-04 00:00:00, 2024-12-23 00:00:00</t>
  </si>
  <si>
    <t>2000-01-01 00:00:00, 2024-04-04 00:00:00</t>
  </si>
  <si>
    <t>0, 1</t>
  </si>
  <si>
    <t>OMR, Online</t>
  </si>
  <si>
    <t>New Delhi</t>
  </si>
  <si>
    <t>2024-04-01 00:00:00, 2024-04-04 00:00:00, 2024-10-01 00:00:00</t>
  </si>
  <si>
    <t>2024-04-04 00:00:00, 2025-03-31 00:00:00</t>
  </si>
  <si>
    <t>Regular School: Active school with student count and rate per student defined, Regular School: Active school with teacher count and rate per teacher defined</t>
  </si>
  <si>
    <t>190282024, 22028000024247204, 22028000025435300</t>
  </si>
  <si>
    <t>51788000002728655</t>
  </si>
  <si>
    <t>zcrm_51788000272998201</t>
  </si>
  <si>
    <t>maruf.shaikh1, maruf.shaikh@ei.study, vibhor.tyagi_ei</t>
  </si>
  <si>
    <t>maruf.shaikh1, maruf.shaikh@ei.study, sourabh.mehta_eiindia</t>
  </si>
  <si>
    <t>maruf.shaikh@ei.study, vibhor.tyagi@ei.study</t>
  </si>
  <si>
    <t>Maruf shaikh, Vibhor tyagi</t>
  </si>
  <si>
    <t>Vibhor Tyagi</t>
  </si>
  <si>
    <t>Chaitanya Kolluri, Vibhor Tyagi</t>
  </si>
  <si>
    <t>2024-04-04 00:00:00, 2024-08-21 16:03:32, 2024-10-12 11:36:50</t>
  </si>
  <si>
    <t>Mr. Mukesh Kumar, Padma Srinvisan</t>
  </si>
  <si>
    <t>+919016039311, +919811685099</t>
  </si>
  <si>
    <t>principal@dpsrkp.net</t>
  </si>
  <si>
    <t>Mr. Mukesh Kumar</t>
  </si>
  <si>
    <t>+919811685099</t>
  </si>
  <si>
    <t>0, 107000</t>
  </si>
  <si>
    <t>Sector-XII, R.K. Puram, ,New Delhi,Delhi - 110022</t>
  </si>
  <si>
    <t>110022</t>
  </si>
  <si>
    <t>DELHI</t>
  </si>
  <si>
    <t>Sri Kumaran Children^s Home</t>
  </si>
  <si>
    <t>2024-05-27 00:00:00, 2024-08-06 00:00:00</t>
  </si>
  <si>
    <t>IN-2022002103, IN-2022002403</t>
  </si>
  <si>
    <t>0, 86874</t>
  </si>
  <si>
    <t>0, 45893</t>
  </si>
  <si>
    <t>2024-08-20 00:00:00, 2024-12-20 00:00:00</t>
  </si>
  <si>
    <t>249199, 347496</t>
  </si>
  <si>
    <t>547082, 78187</t>
  </si>
  <si>
    <t>-245479, 171012</t>
  </si>
  <si>
    <t>0.3056, 0.583</t>
  </si>
  <si>
    <t>22028000022677168, 22028000023978072</t>
  </si>
  <si>
    <t>51788000002728657</t>
  </si>
  <si>
    <t>zcrm_51788000270080153, zcrm_51788000272593001</t>
  </si>
  <si>
    <t>aruna_ei, vineet.upadhye_ei</t>
  </si>
  <si>
    <t>aruna@ei.study, vineet.upadhye@ei.study</t>
  </si>
  <si>
    <t>Aruna, Vineet upadhye</t>
  </si>
  <si>
    <t>2024-06-06 17:20:39, 2024-08-13 10:28:39</t>
  </si>
  <si>
    <t>Mrs. Nandashree Natarajan</t>
  </si>
  <si>
    <t>Nandashree.Natarajan@kumarans.org</t>
  </si>
  <si>
    <t>+919980922071</t>
  </si>
  <si>
    <t>6Th Main Tata Silk Farm,Basavangudi, Bengaluru, Karnataka</t>
  </si>
  <si>
    <t>560004</t>
  </si>
  <si>
    <t>Anand Niketan, Shilaj</t>
  </si>
  <si>
    <t>IN-2022001958</t>
  </si>
  <si>
    <t>869622</t>
  </si>
  <si>
    <t>2024-09-14 00:00:00</t>
  </si>
  <si>
    <t>261226</t>
  </si>
  <si>
    <t>1739244</t>
  </si>
  <si>
    <t>1568380</t>
  </si>
  <si>
    <t>-90362</t>
  </si>
  <si>
    <t>0.3461</t>
  </si>
  <si>
    <t>AHMEDABAD</t>
  </si>
  <si>
    <t>22028000022235360</t>
  </si>
  <si>
    <t>51788000002728410</t>
  </si>
  <si>
    <t>zcrm_51788000267879228</t>
  </si>
  <si>
    <t>nakul.swamy_ei</t>
  </si>
  <si>
    <t>nakul.swamy@ei.study</t>
  </si>
  <si>
    <t>Nakul swamy</t>
  </si>
  <si>
    <t>2024-04-25 12:48:15</t>
  </si>
  <si>
    <t>Mrs. Lamiya Shums</t>
  </si>
  <si>
    <t>lamiya.shums@anandniketan.edu.in</t>
  </si>
  <si>
    <t>+919737047625</t>
  </si>
  <si>
    <t>anshilaj@anandniketan.edu.in</t>
  </si>
  <si>
    <t>70000</t>
  </si>
  <si>
    <t>Plot no. 495, Thaltej-Shilaj Road, Near Ambli Road Railway Crossing, Shilaj,</t>
  </si>
  <si>
    <t>380054</t>
  </si>
  <si>
    <t>GUJARAT</t>
  </si>
  <si>
    <t>AHMU00056A</t>
  </si>
  <si>
    <t>Poorna Prajna High School</t>
  </si>
  <si>
    <t>2024-11-19 00:00:00</t>
  </si>
  <si>
    <t>IN-2022002595</t>
  </si>
  <si>
    <t>224028</t>
  </si>
  <si>
    <t>219520</t>
  </si>
  <si>
    <t>4508</t>
  </si>
  <si>
    <t>22028000026291472</t>
  </si>
  <si>
    <t>51788000002732868</t>
  </si>
  <si>
    <t>zcrm_51788000270632183</t>
  </si>
  <si>
    <t>shahista.shaikh_ei</t>
  </si>
  <si>
    <t>shahista.shaikh@ei.study</t>
  </si>
  <si>
    <t>Shahista shaikh</t>
  </si>
  <si>
    <t>2024-11-23 23:09:09</t>
  </si>
  <si>
    <t>Sarvjana Udapa</t>
  </si>
  <si>
    <t>pphsdahisar68@ppec.edu.in</t>
  </si>
  <si>
    <t>+919769998810</t>
  </si>
  <si>
    <t>poornaprajnaec@gmail.com</t>
  </si>
  <si>
    <t>sarvajna.udupa@poornaprajna.org</t>
  </si>
  <si>
    <t>Vandana Gada</t>
  </si>
  <si>
    <t>+918879958868</t>
  </si>
  <si>
    <t>Bharucha Road, Dahisar East</t>
  </si>
  <si>
    <t>400068</t>
  </si>
  <si>
    <t>Padma Seshadri Bala Bhavan Senior Secondary School, K.K.Nagar</t>
  </si>
  <si>
    <t>2024-05-31 00:00:00</t>
  </si>
  <si>
    <t>IN-2022002131</t>
  </si>
  <si>
    <t>318268</t>
  </si>
  <si>
    <t>742626</t>
  </si>
  <si>
    <t>106089</t>
  </si>
  <si>
    <t>2024-07-09 00:00:00</t>
  </si>
  <si>
    <t>2024-10-25 00:00:00</t>
  </si>
  <si>
    <t>1060894</t>
  </si>
  <si>
    <t>954799</t>
  </si>
  <si>
    <t>0.6667000000000001</t>
  </si>
  <si>
    <t>22028000022755124</t>
  </si>
  <si>
    <t>51788000002728663</t>
  </si>
  <si>
    <t>zcrm_51788000270168129</t>
  </si>
  <si>
    <t>2024-06-07 18:20:01</t>
  </si>
  <si>
    <t>Mr. Mani Narayanan</t>
  </si>
  <si>
    <t>sragmhradmn@psbbschools.ac.in</t>
  </si>
  <si>
    <t>+919840411695</t>
  </si>
  <si>
    <t>psbbkkn@psbbschools.ac.in</t>
  </si>
  <si>
    <t>principalkkn@psbbschools.ac.in</t>
  </si>
  <si>
    <t>No.29, Alagiri Sami Salai, K.K.Nagar,</t>
  </si>
  <si>
    <t>600078</t>
  </si>
  <si>
    <t>CHEP07125G</t>
  </si>
  <si>
    <t>Shiv Ashish School</t>
  </si>
  <si>
    <t>IN-2022002546</t>
  </si>
  <si>
    <t>540</t>
  </si>
  <si>
    <t>2024-11-11 00:00:00</t>
  </si>
  <si>
    <t>2024-11-29 00:00:00</t>
  </si>
  <si>
    <t>79380</t>
  </si>
  <si>
    <t>0.64</t>
  </si>
  <si>
    <t>Ahmedabad</t>
  </si>
  <si>
    <t>22028000025686032</t>
  </si>
  <si>
    <t>51788000002732901</t>
  </si>
  <si>
    <t>zcrm_51788000275435737</t>
  </si>
  <si>
    <t>Atufa Nagori</t>
  </si>
  <si>
    <t>Pooja Joshi</t>
  </si>
  <si>
    <t>2024-11-11 17:41:49</t>
  </si>
  <si>
    <t>Ms. Ashmita Pandya</t>
  </si>
  <si>
    <t>ashmitap@shivashish.com</t>
  </si>
  <si>
    <t>+919898159928</t>
  </si>
  <si>
    <t>Ms. Namrata Sheth</t>
  </si>
  <si>
    <t>namratas@shivashish.com</t>
  </si>
  <si>
    <t>+919824180783</t>
  </si>
  <si>
    <t>+919265056802</t>
  </si>
  <si>
    <t>Inside Sterling City, Bopal,</t>
  </si>
  <si>
    <t>380058</t>
  </si>
  <si>
    <t>AHMS17482D</t>
  </si>
  <si>
    <t>Padma Seshadri Bala Bhavan Senior Secondary School</t>
  </si>
  <si>
    <t>IN-2022002130</t>
  </si>
  <si>
    <t>17704</t>
  </si>
  <si>
    <t>41308</t>
  </si>
  <si>
    <t>1756</t>
  </si>
  <si>
    <t>2024-07-30 00:00:00</t>
  </si>
  <si>
    <t>59012</t>
  </si>
  <si>
    <t>15798</t>
  </si>
  <si>
    <t>41458</t>
  </si>
  <si>
    <t>0.6666</t>
  </si>
  <si>
    <t>22028000022755084</t>
  </si>
  <si>
    <t>51788000002728664</t>
  </si>
  <si>
    <t>zcrm_51788000270168257</t>
  </si>
  <si>
    <t>2024-06-07 18:27:27</t>
  </si>
  <si>
    <t>psbbmain@yahoo.com</t>
  </si>
  <si>
    <t>No.15, Lake 1St Main Road,Nungambakkam, Chennai, Tamil Nadu</t>
  </si>
  <si>
    <t>600034</t>
  </si>
  <si>
    <t>Happy Days School</t>
  </si>
  <si>
    <t>IN-2022002364</t>
  </si>
  <si>
    <t>651</t>
  </si>
  <si>
    <t>2024-07-24 00:00:00</t>
  </si>
  <si>
    <t>57964</t>
  </si>
  <si>
    <t>56259</t>
  </si>
  <si>
    <t>5626</t>
  </si>
  <si>
    <t>170482</t>
  </si>
  <si>
    <t>153434</t>
  </si>
  <si>
    <t>11422</t>
  </si>
  <si>
    <t>0.6385000000000001</t>
  </si>
  <si>
    <t>0.5885</t>
  </si>
  <si>
    <t>Shivpuri</t>
  </si>
  <si>
    <t>22028000023674080</t>
  </si>
  <si>
    <t>51788000002766018</t>
  </si>
  <si>
    <t>zcrm_51788000272113181</t>
  </si>
  <si>
    <t>2024-07-30 10:29:06</t>
  </si>
  <si>
    <t>Vatsa Ma'am</t>
  </si>
  <si>
    <t>infohappydaysschool@gmail.com</t>
  </si>
  <si>
    <t>+919407230330</t>
  </si>
  <si>
    <t>infohappydays@gmail.com</t>
  </si>
  <si>
    <t>Katha Mill, A B Road Shivpuri Madhya Pradesh</t>
  </si>
  <si>
    <t>473638</t>
  </si>
  <si>
    <t>Sishya School</t>
  </si>
  <si>
    <t>IN-2022001970</t>
  </si>
  <si>
    <t>1093</t>
  </si>
  <si>
    <t>2224</t>
  </si>
  <si>
    <t>2024-05-10 00:00:00</t>
  </si>
  <si>
    <t>1435258</t>
  </si>
  <si>
    <t>1674468</t>
  </si>
  <si>
    <t>10701</t>
  </si>
  <si>
    <t>2025-03-24 00:00:00</t>
  </si>
  <si>
    <t>4784194</t>
  </si>
  <si>
    <t>4724853</t>
  </si>
  <si>
    <t>48640</t>
  </si>
  <si>
    <t>0.271</t>
  </si>
  <si>
    <t>0.121</t>
  </si>
  <si>
    <t>22028000022258928</t>
  </si>
  <si>
    <t>51788000002728666</t>
  </si>
  <si>
    <t>zcrm_51788000268543049</t>
  </si>
  <si>
    <t>2024-04-30 17:30:34</t>
  </si>
  <si>
    <t>Dr. Vasanthi Thiagarajan</t>
  </si>
  <si>
    <t>vasanthi_thiag@yahoo.com</t>
  </si>
  <si>
    <t>+919443285098</t>
  </si>
  <si>
    <t>104000</t>
  </si>
  <si>
    <t>Thally Road, Near Railway Gate,</t>
  </si>
  <si>
    <t>635109</t>
  </si>
  <si>
    <t>CHES17432C</t>
  </si>
  <si>
    <t>Vivekananda Educational Centre</t>
  </si>
  <si>
    <t>IN-2022001532</t>
  </si>
  <si>
    <t>100800</t>
  </si>
  <si>
    <t>2024-12-07 00:00:00</t>
  </si>
  <si>
    <t>201600</t>
  </si>
  <si>
    <t>213600</t>
  </si>
  <si>
    <t>-12000</t>
  </si>
  <si>
    <t>22028000021135664</t>
  </si>
  <si>
    <t>51788000002733023</t>
  </si>
  <si>
    <t>zcrm_51788000264841071</t>
  </si>
  <si>
    <t>2024-03-22 10:24:09</t>
  </si>
  <si>
    <t>Mr. Ravi Shankar</t>
  </si>
  <si>
    <t>principalvecjnr@edu.in</t>
  </si>
  <si>
    <t>+919620193734</t>
  </si>
  <si>
    <t>vec.jnr@gmail.com</t>
  </si>
  <si>
    <t>64000</t>
  </si>
  <si>
    <t>4Th Block East Jayanagar BENGALURU-560 011</t>
  </si>
  <si>
    <t>560011</t>
  </si>
  <si>
    <t>The Daly College</t>
  </si>
  <si>
    <t>IN-2022002025</t>
  </si>
  <si>
    <t>2010</t>
  </si>
  <si>
    <t>38157</t>
  </si>
  <si>
    <t>2253551</t>
  </si>
  <si>
    <t>2213049</t>
  </si>
  <si>
    <t>2345</t>
  </si>
  <si>
    <t>0.3411</t>
  </si>
  <si>
    <t>22028000022382800</t>
  </si>
  <si>
    <t>51788000002728667</t>
  </si>
  <si>
    <t>zcrm_51788000269123172</t>
  </si>
  <si>
    <t>2024-05-08 07:23:43</t>
  </si>
  <si>
    <t>Gurmeet Bindra</t>
  </si>
  <si>
    <t>fagun.saraiya@ei.study</t>
  </si>
  <si>
    <t>+917312719001</t>
  </si>
  <si>
    <t>principal@dalycollege.org</t>
  </si>
  <si>
    <t>Naresh Verma</t>
  </si>
  <si>
    <t>naresh.verma@dalycollege.org</t>
  </si>
  <si>
    <t>+919926993699</t>
  </si>
  <si>
    <t>Residency Area, Indore, Madhya Pradesh</t>
  </si>
  <si>
    <t>452001</t>
  </si>
  <si>
    <t>BPLT00735A</t>
  </si>
  <si>
    <t>Amara Jyothi Public School</t>
  </si>
  <si>
    <t>IN-2022001704</t>
  </si>
  <si>
    <t>900</t>
  </si>
  <si>
    <t>2024-03-21 00:00:00</t>
  </si>
  <si>
    <t>121980</t>
  </si>
  <si>
    <t>14458</t>
  </si>
  <si>
    <t>2024-03-28 00:00:00</t>
  </si>
  <si>
    <t>2025-01-24 00:00:00</t>
  </si>
  <si>
    <t>243960</t>
  </si>
  <si>
    <t>229501</t>
  </si>
  <si>
    <t>0.5262</t>
  </si>
  <si>
    <t>22028000021650052</t>
  </si>
  <si>
    <t>51788000002733026</t>
  </si>
  <si>
    <t>zcrm_51788000262825426</t>
  </si>
  <si>
    <t>Nebu Abraham</t>
  </si>
  <si>
    <t>2024-03-28 12:48:50</t>
  </si>
  <si>
    <t>Mrs. Geetha Somanathan</t>
  </si>
  <si>
    <t>principal@amarajyothipublicschool.edu.in</t>
  </si>
  <si>
    <t>+919448074384</t>
  </si>
  <si>
    <t>Ms. Anjana Pal</t>
  </si>
  <si>
    <t>secondarycoordinator@amarajyothipublicschool.edu.in</t>
  </si>
  <si>
    <t>+919986365095</t>
  </si>
  <si>
    <t>93000</t>
  </si>
  <si>
    <t>Basavanapura Main Road, Devasandra,Near Silicon City College, Krishnarajapura, Bengaluru, Karnataka</t>
  </si>
  <si>
    <t>560036</t>
  </si>
  <si>
    <t>KARNATAKA</t>
  </si>
  <si>
    <t>BLRA11481B</t>
  </si>
  <si>
    <t>Queens College</t>
  </si>
  <si>
    <t>IN-2022002023</t>
  </si>
  <si>
    <t>1830</t>
  </si>
  <si>
    <t>2024-05-08 00:00:00</t>
  </si>
  <si>
    <t>440518</t>
  </si>
  <si>
    <t>427561</t>
  </si>
  <si>
    <t>85648</t>
  </si>
  <si>
    <t>2025-06-19 00:00:00</t>
  </si>
  <si>
    <t>1295640</t>
  </si>
  <si>
    <t>1159487</t>
  </si>
  <si>
    <t>50505</t>
  </si>
  <si>
    <t>0.634</t>
  </si>
  <si>
    <t>22028000022382712</t>
  </si>
  <si>
    <t>51788000002728669</t>
  </si>
  <si>
    <t>zcrm_51788000269123411</t>
  </si>
  <si>
    <t>2024-05-08 09:10:08</t>
  </si>
  <si>
    <t>Geetha Somasekharan</t>
  </si>
  <si>
    <t>queenscollegeindore@gmail.com</t>
  </si>
  <si>
    <t>+917902381681</t>
  </si>
  <si>
    <t>queenscollegeindore@rediffmail.com</t>
  </si>
  <si>
    <t>Sumit Sahu</t>
  </si>
  <si>
    <t>sumeet.sahu@queenscollegeindore.org</t>
  </si>
  <si>
    <t>+918103405051</t>
  </si>
  <si>
    <t>Khandwa Road, Post Kasturba Gram,</t>
  </si>
  <si>
    <t>452017</t>
  </si>
  <si>
    <t>BPLD00937G</t>
  </si>
  <si>
    <t>The Riverside School</t>
  </si>
  <si>
    <t>2024-02-21 00:00:00, 2024-03-11 00:00:00</t>
  </si>
  <si>
    <t>IN-2022001534, IN-2022001602</t>
  </si>
  <si>
    <t>1213</t>
  </si>
  <si>
    <t>2136</t>
  </si>
  <si>
    <t>2024-03-11 00:00:00, 2024-03-20 00:00:00</t>
  </si>
  <si>
    <t>75604, 87313</t>
  </si>
  <si>
    <t>2024-06-30 00:00:00, 2024-10-31 00:00:00</t>
  </si>
  <si>
    <t>203729, 75604</t>
  </si>
  <si>
    <t>2000-01-01 00:00:00, 2024-09-09 00:00:00</t>
  </si>
  <si>
    <t>0, 75604</t>
  </si>
  <si>
    <t>2000-01-01 00:00:00, 2024-11-20 00:00:00</t>
  </si>
  <si>
    <t>3843, 6036</t>
  </si>
  <si>
    <t>2024-03-29 00:00:00, 2024-04-10 00:00:00</t>
  </si>
  <si>
    <t>2024-11-21 00:00:00, 2025-09-12 00:00:00</t>
  </si>
  <si>
    <t>291042, 302416</t>
  </si>
  <si>
    <t>295755, 296749</t>
  </si>
  <si>
    <t>-10749, 1824</t>
  </si>
  <si>
    <t>0.126, 0.3</t>
  </si>
  <si>
    <t>0.076, 0.25</t>
  </si>
  <si>
    <t>22028000021151528, 22028000021468424</t>
  </si>
  <si>
    <t>51788000002733052</t>
  </si>
  <si>
    <t>zcrm_51788000265590001, zcrm_51788000266645003</t>
  </si>
  <si>
    <t>Ishita Jethwa</t>
  </si>
  <si>
    <t>2024-02-28 17:58:05, 2024-04-01 17:29:23</t>
  </si>
  <si>
    <t>Ritu Agrawal</t>
  </si>
  <si>
    <t>ritu@schoolriverside.com</t>
  </si>
  <si>
    <t>+919824804026, +919879475569</t>
  </si>
  <si>
    <t>inquiry@schoolriverside.com</t>
  </si>
  <si>
    <t>307, Behind C.S.D Depot, Off Airport Road, Cantonment</t>
  </si>
  <si>
    <t>380004</t>
  </si>
  <si>
    <t>AHMR02519G</t>
  </si>
  <si>
    <t>N. H. Goel World School</t>
  </si>
  <si>
    <t>IN-2022001917</t>
  </si>
  <si>
    <t>466455</t>
  </si>
  <si>
    <t>19463</t>
  </si>
  <si>
    <t>932910</t>
  </si>
  <si>
    <t>953704</t>
  </si>
  <si>
    <t>-40257</t>
  </si>
  <si>
    <t>0.239</t>
  </si>
  <si>
    <t>Raipur</t>
  </si>
  <si>
    <t>Chhattisgarh</t>
  </si>
  <si>
    <t>22028000022101848</t>
  </si>
  <si>
    <t>51788000002767001</t>
  </si>
  <si>
    <t>zcrm_51788000268529381</t>
  </si>
  <si>
    <t>sandeep.jain_eiindia1</t>
  </si>
  <si>
    <t>sandeep.jain@ei.study</t>
  </si>
  <si>
    <t>Sandeep jain</t>
  </si>
  <si>
    <t>2024-04-19 12:42:26</t>
  </si>
  <si>
    <t>Mr. Vinod Sir</t>
  </si>
  <si>
    <t>nhps@gmail.com</t>
  </si>
  <si>
    <t>+919754944903</t>
  </si>
  <si>
    <t>principal@nhgoel.com</t>
  </si>
  <si>
    <t>18000</t>
  </si>
  <si>
    <t>Post Nardaha, Near Pura Project, Vidhan Sabha Road,</t>
  </si>
  <si>
    <t>493111</t>
  </si>
  <si>
    <t>JBPJ01094C</t>
  </si>
  <si>
    <t>Ahmedabad International School</t>
  </si>
  <si>
    <t>2024-01-07 00:00:00</t>
  </si>
  <si>
    <t>IN-2022001387</t>
  </si>
  <si>
    <t>1249262</t>
  </si>
  <si>
    <t>1235654</t>
  </si>
  <si>
    <t>13608</t>
  </si>
  <si>
    <t>Cambridge</t>
  </si>
  <si>
    <t>22028000020549828</t>
  </si>
  <si>
    <t>51788000002728670</t>
  </si>
  <si>
    <t>zcrm_51788000262266171</t>
  </si>
  <si>
    <t>Nakul Swamy</t>
  </si>
  <si>
    <t>2024-01-08 10:53:49</t>
  </si>
  <si>
    <t>Mr. Deepanshu Arora</t>
  </si>
  <si>
    <t>deepanshu@aischool.net</t>
  </si>
  <si>
    <t>+919999158550</t>
  </si>
  <si>
    <t>pradnya.mehta@aisschool.net</t>
  </si>
  <si>
    <t>449000</t>
  </si>
  <si>
    <t>Opposite Rajpath Row House, Behind Kiran Motors, Judges Bunglow Road, Bodakdev,</t>
  </si>
  <si>
    <t>AHMJ00139G</t>
  </si>
  <si>
    <t>Delhi Public School, Bangalore - North</t>
  </si>
  <si>
    <t>2024-03-13 00:00:00</t>
  </si>
  <si>
    <t>IN-2022001642</t>
  </si>
  <si>
    <t>276272</t>
  </si>
  <si>
    <t>2024-11-15 00:00:00</t>
  </si>
  <si>
    <t>644636</t>
  </si>
  <si>
    <t>5819</t>
  </si>
  <si>
    <t>2024-08-23 00:00:00</t>
  </si>
  <si>
    <t>2025-02-24 00:00:00</t>
  </si>
  <si>
    <t>920908</t>
  </si>
  <si>
    <t>902497</t>
  </si>
  <si>
    <t>12592</t>
  </si>
  <si>
    <t>22028000021544208</t>
  </si>
  <si>
    <t>51788000002733060</t>
  </si>
  <si>
    <t>zcrm_51788000266748714</t>
  </si>
  <si>
    <t>Aji Thomas</t>
  </si>
  <si>
    <t>2024-03-16 10:09:21</t>
  </si>
  <si>
    <t>Ms. Manju Balasubramanyam</t>
  </si>
  <si>
    <t>principal@north.dpsbangalore.edu.in</t>
  </si>
  <si>
    <t>+919880340433</t>
  </si>
  <si>
    <t>manjuarif@gmail.com</t>
  </si>
  <si>
    <t>Survey No. 35/1, ^A^, Sathanur Village, Post Off Bellary Road, Bagalur, Jala Hobli, Bangalore North,</t>
  </si>
  <si>
    <t>BLRK01734F</t>
  </si>
  <si>
    <t>Sanghamitra High School</t>
  </si>
  <si>
    <t>2024-03-22 00:00:00</t>
  </si>
  <si>
    <t>IN-2022001718</t>
  </si>
  <si>
    <t>1301</t>
  </si>
  <si>
    <t>2024-06-30 00:00:00</t>
  </si>
  <si>
    <t>261517</t>
  </si>
  <si>
    <t>1046068</t>
  </si>
  <si>
    <t>1108193</t>
  </si>
  <si>
    <t>-62125</t>
  </si>
  <si>
    <t>0.7043</t>
  </si>
  <si>
    <t>Zaheerabad</t>
  </si>
  <si>
    <t>22028000021670488</t>
  </si>
  <si>
    <t>51788000002767190</t>
  </si>
  <si>
    <t>zcrm_51788000267248421</t>
  </si>
  <si>
    <t>pavan.kumar_ei</t>
  </si>
  <si>
    <t>pavan.kumar@ei.study</t>
  </si>
  <si>
    <t>Pavan kumar</t>
  </si>
  <si>
    <t>2024-04-24 11:16:20</t>
  </si>
  <si>
    <t>Mr. Sandeep Reddy</t>
  </si>
  <si>
    <t>vanterusabitha@gmail.com</t>
  </si>
  <si>
    <t>+919849046131</t>
  </si>
  <si>
    <t>info@sanghamitraschool.in</t>
  </si>
  <si>
    <t>47600</t>
  </si>
  <si>
    <t>1-6-108</t>
  </si>
  <si>
    <t>502220</t>
  </si>
  <si>
    <t>Advanced Academy</t>
  </si>
  <si>
    <t>IN-2022001516</t>
  </si>
  <si>
    <t>2265</t>
  </si>
  <si>
    <t>223649</t>
  </si>
  <si>
    <t>2024-10-02 00:00:00</t>
  </si>
  <si>
    <t>57143</t>
  </si>
  <si>
    <t>894596</t>
  </si>
  <si>
    <t>688440</t>
  </si>
  <si>
    <t>149013</t>
  </si>
  <si>
    <t>0.40399999999999997</t>
  </si>
  <si>
    <t>22028000021126168</t>
  </si>
  <si>
    <t>51788000002733064</t>
  </si>
  <si>
    <t>zcrm_51788000254430449</t>
  </si>
  <si>
    <t>2024-02-22 11:40:31</t>
  </si>
  <si>
    <t>Usha Tomar</t>
  </si>
  <si>
    <t>advancedindore@gmail.com</t>
  </si>
  <si>
    <t>+917415666686</t>
  </si>
  <si>
    <t>Mrs. Swati Gupta</t>
  </si>
  <si>
    <t>+916264289406</t>
  </si>
  <si>
    <t>71203</t>
  </si>
  <si>
    <t>Isckon Vihar Colony, Nipania Road</t>
  </si>
  <si>
    <t>BPLL02824D</t>
  </si>
  <si>
    <t>Asian Christian High School</t>
  </si>
  <si>
    <t>IN-2022001955</t>
  </si>
  <si>
    <t>350</t>
  </si>
  <si>
    <t>10715</t>
  </si>
  <si>
    <t>540323</t>
  </si>
  <si>
    <t>525058</t>
  </si>
  <si>
    <t>4550</t>
  </si>
  <si>
    <t>0.7667</t>
  </si>
  <si>
    <t>22028000022195988</t>
  </si>
  <si>
    <t>51788000002733070</t>
  </si>
  <si>
    <t>zcrm_51788000268697133</t>
  </si>
  <si>
    <t>2024-04-23 10:56:08</t>
  </si>
  <si>
    <t>Mr. Levi Paulos</t>
  </si>
  <si>
    <t>levi.paulos@acaindia.org</t>
  </si>
  <si>
    <t>+919999021486</t>
  </si>
  <si>
    <t>achs@acaindia.org</t>
  </si>
  <si>
    <t>Sijumon George</t>
  </si>
  <si>
    <t>+918144244218</t>
  </si>
  <si>
    <t>Kavita Palanivel</t>
  </si>
  <si>
    <t>kavitha.p@acaindia.org</t>
  </si>
  <si>
    <t>+919715567465</t>
  </si>
  <si>
    <t>Jeemangalam Village, Bagalur P.O., Krishnagiri District</t>
  </si>
  <si>
    <t>635103</t>
  </si>
  <si>
    <t>Nalanda International School</t>
  </si>
  <si>
    <t>2024-04-30 00:00:00, 2024-07-29 00:00:00</t>
  </si>
  <si>
    <t>Ei ASSET, Ei ASSET,Ei CARES</t>
  </si>
  <si>
    <t>IN-2022001973, IN-2022002390</t>
  </si>
  <si>
    <t>0, 813</t>
  </si>
  <si>
    <t>2854</t>
  </si>
  <si>
    <t>2024-06-15 00:00:00, 2024-08-15 00:00:00</t>
  </si>
  <si>
    <t>0, 1446860</t>
  </si>
  <si>
    <t>0, 1393200</t>
  </si>
  <si>
    <t>0, 53660</t>
  </si>
  <si>
    <t>0.4578, 1</t>
  </si>
  <si>
    <t>0.4078, 1</t>
  </si>
  <si>
    <t>2024-04-01 00:00:00, 2024-05-01 00:00:00</t>
  </si>
  <si>
    <t>22028000022312264, 22028000023812048</t>
  </si>
  <si>
    <t>51788000002733091</t>
  </si>
  <si>
    <t>zcrm_51788000269048359, zcrm_51788000272109673</t>
  </si>
  <si>
    <t>2024-05-02 14:38:50, 2024-07-31 10:26:28</t>
  </si>
  <si>
    <t>Ms. Shoba Menon</t>
  </si>
  <si>
    <t>shoba.menon@nalandaschool.org</t>
  </si>
  <si>
    <t>+919974021668</t>
  </si>
  <si>
    <t>Info@nalandaschool.org</t>
  </si>
  <si>
    <t>Ms. Divya Prashant</t>
  </si>
  <si>
    <t>divya.prashant50@gmail.com</t>
  </si>
  <si>
    <t>+918867042390</t>
  </si>
  <si>
    <t>Sevasi-Mahapura Road, Sevasi</t>
  </si>
  <si>
    <t>391101</t>
  </si>
  <si>
    <t>Vedavalli Vidyalaya</t>
  </si>
  <si>
    <t>IN-2022002254</t>
  </si>
  <si>
    <t>113297</t>
  </si>
  <si>
    <t>22419</t>
  </si>
  <si>
    <t>453188</t>
  </si>
  <si>
    <t>404120</t>
  </si>
  <si>
    <t>26649</t>
  </si>
  <si>
    <t>Ranipet</t>
  </si>
  <si>
    <t>22028000023070336</t>
  </si>
  <si>
    <t>51788000002767979</t>
  </si>
  <si>
    <t>zcrm_51788000270794001</t>
  </si>
  <si>
    <t>2024-06-25 13:27:07</t>
  </si>
  <si>
    <t>Thirumalai Nagar, Vanapadi Road, Vellore District, ,Ranipet</t>
  </si>
  <si>
    <t>632404</t>
  </si>
  <si>
    <t>Lakshmi School</t>
  </si>
  <si>
    <t>2024-03-07 00:00:00</t>
  </si>
  <si>
    <t>Ei ASSET, Ei ASSET,Ei Mindspark</t>
  </si>
  <si>
    <t>IN-2022001595, IN-2022001596</t>
  </si>
  <si>
    <t>500, 588</t>
  </si>
  <si>
    <t>1197</t>
  </si>
  <si>
    <t>2024-05-27 00:00:00, 2024-07-01 00:00:00</t>
  </si>
  <si>
    <t>146279, 89631</t>
  </si>
  <si>
    <t>2024-09-01 00:00:00, 2024-10-01 00:00:00</t>
  </si>
  <si>
    <t>341318, 89631</t>
  </si>
  <si>
    <t>0, 89631</t>
  </si>
  <si>
    <t>14096, 14718</t>
  </si>
  <si>
    <t>2024-06-18 00:00:00, 2024-07-25 00:00:00</t>
  </si>
  <si>
    <t>2024-07-25 00:00:00, 2025-01-27 00:00:00</t>
  </si>
  <si>
    <t>358524, 487597</t>
  </si>
  <si>
    <t>132461, 625245</t>
  </si>
  <si>
    <t>-280817, 340418</t>
  </si>
  <si>
    <t>0.6078, 0.6666</t>
  </si>
  <si>
    <t>22028000021397280, 22028000021397344</t>
  </si>
  <si>
    <t>51788000002733098</t>
  </si>
  <si>
    <t>zcrm_51788000266318001, zcrm_51788000266324204</t>
  </si>
  <si>
    <t>2024-04-06 07:35:13, 2024-04-06 07:35:17</t>
  </si>
  <si>
    <t>Ms. Subhashini P</t>
  </si>
  <si>
    <t>lakshmischool@tvslvs.com</t>
  </si>
  <si>
    <t>+919787315159</t>
  </si>
  <si>
    <t>Rajalakshmi Krishnamani</t>
  </si>
  <si>
    <t>rajalakshmi@tvslvs.com</t>
  </si>
  <si>
    <t>+919994905311</t>
  </si>
  <si>
    <t>Veerapanchan, Karuppayurani</t>
  </si>
  <si>
    <t>625020</t>
  </si>
  <si>
    <t>Delhi Public School, Delhi Public School Society, Delhi Public School, Dwarka</t>
  </si>
  <si>
    <t>2024-04-06 00:00:00, 2024-08-21 00:00:00</t>
  </si>
  <si>
    <t>2124322024.00, IN-2022002453, IN-2022002461</t>
  </si>
  <si>
    <t>0, 522</t>
  </si>
  <si>
    <t>2024-04-06 00:00:00, 2024-08-21 00:00:00, 2024-08-22 00:00:00</t>
  </si>
  <si>
    <t>0, 1883955</t>
  </si>
  <si>
    <t>2024-04-06 00:00:00, 2024-10-01 00:00:00, 2024-10-15 00:00:00</t>
  </si>
  <si>
    <t>0, 3391119</t>
  </si>
  <si>
    <t>2024-04-06 00:00:00, 2024-12-16 00:00:00, 2024-12-23 00:00:00</t>
  </si>
  <si>
    <t>0, 2260746</t>
  </si>
  <si>
    <t>2000-01-01 00:00:00, 2024-04-06 00:00:00</t>
  </si>
  <si>
    <t>0, 1233660</t>
  </si>
  <si>
    <t>2024-04-06 00:00:00, 2024-08-22 00:00:00</t>
  </si>
  <si>
    <t>2024-04-06 00:00:00, 2025-03-28 00:00:00</t>
  </si>
  <si>
    <t>0, 400000, 7535820</t>
  </si>
  <si>
    <t>0, 11966940</t>
  </si>
  <si>
    <t>-5664780, 0, 400000</t>
  </si>
  <si>
    <t>0, 0.6517000000000001, 1</t>
  </si>
  <si>
    <t>0, 0.6017, 1</t>
  </si>
  <si>
    <t>0, 0.05</t>
  </si>
  <si>
    <t>2024-04-01 00:00:00, 2024-04-06 00:00:00</t>
  </si>
  <si>
    <t>2024-04-06 00:00:00, 2025-03-31 00:00:00</t>
  </si>
  <si>
    <t>2124322024, 22028000024247380, 22028000024266300</t>
  </si>
  <si>
    <t>51788000002733112</t>
  </si>
  <si>
    <t>zcrm_51788000273015159, zcrm_51788000273186167</t>
  </si>
  <si>
    <t>maruf.shaikh@ei.study, vibhor.tyagi_ei</t>
  </si>
  <si>
    <t>fagun.saraiya_eiindia1, maruf.shaikh@ei.study</t>
  </si>
  <si>
    <t>2024-04-06 00:00:00, 2024-08-21 16:00:49, 2024-08-21 17:14:57</t>
  </si>
  <si>
    <t>Ms. Sunita Tanwar, Priya Narayanan</t>
  </si>
  <si>
    <t>maruf.shaikh@ei.sstudy, maruf.shaikh@ei.study</t>
  </si>
  <si>
    <t>+919016039311, +919818643444</t>
  </si>
  <si>
    <t>mail@dpsdwarka.com</t>
  </si>
  <si>
    <t>0, 95000</t>
  </si>
  <si>
    <t>Phase I, Dwarka Sector-3, Dwarka, New Delhi, Delhi 110078</t>
  </si>
  <si>
    <t>110078</t>
  </si>
  <si>
    <t>DELT05304F</t>
  </si>
  <si>
    <t>Little Star High School</t>
  </si>
  <si>
    <t>IN-2022002537</t>
  </si>
  <si>
    <t>Adilabad</t>
  </si>
  <si>
    <t>22028000025644100</t>
  </si>
  <si>
    <t>51788000002768775</t>
  </si>
  <si>
    <t>zcrm_51788000274553426</t>
  </si>
  <si>
    <t>2024-10-22 12:55:47</t>
  </si>
  <si>
    <t>Y. Kamalakarreddy</t>
  </si>
  <si>
    <t>kamalakar.reddy@akesi.org</t>
  </si>
  <si>
    <t>+919490024940</t>
  </si>
  <si>
    <t>Ramesh</t>
  </si>
  <si>
    <t>+918555028565</t>
  </si>
  <si>
    <t>1-2-98, Shanti Nagar, Adilabad, Telangana 504001</t>
  </si>
  <si>
    <t>504001</t>
  </si>
  <si>
    <t>Learning Paths School</t>
  </si>
  <si>
    <t>2024-04-13 00:00:00</t>
  </si>
  <si>
    <t>IN-2022001905, IN-2022001906</t>
  </si>
  <si>
    <t>1440, 1920</t>
  </si>
  <si>
    <t>1105978, 622140</t>
  </si>
  <si>
    <t>503933, 895842</t>
  </si>
  <si>
    <t>118207, 210136</t>
  </si>
  <si>
    <t>0.4461, 0.4514</t>
  </si>
  <si>
    <t>Mohali</t>
  </si>
  <si>
    <t>Punjab</t>
  </si>
  <si>
    <t>22028000022060448, 22028000022060488</t>
  </si>
  <si>
    <t>51788000002769241</t>
  </si>
  <si>
    <t>zcrm_51788000268398181, zcrm_51788000268398361</t>
  </si>
  <si>
    <t>2024-04-15 14:16:07, 2024-04-15 14:16:12</t>
  </si>
  <si>
    <t>Robin Aggarwal</t>
  </si>
  <si>
    <t>raggarwal@gmail.com</t>
  </si>
  <si>
    <t>+919216798899</t>
  </si>
  <si>
    <t>principal@learningpaths.in</t>
  </si>
  <si>
    <t>Plot No. 3, Sector 67, Behind Niper Institute,</t>
  </si>
  <si>
    <t>160055</t>
  </si>
  <si>
    <t>Indus Valley World School</t>
  </si>
  <si>
    <t>IN-2022002251</t>
  </si>
  <si>
    <t>48750</t>
  </si>
  <si>
    <t>146250</t>
  </si>
  <si>
    <t>2024-06-22 00:00:00</t>
  </si>
  <si>
    <t>2024-11-08 00:00:00</t>
  </si>
  <si>
    <t>195000</t>
  </si>
  <si>
    <t>191100</t>
  </si>
  <si>
    <t>3900</t>
  </si>
  <si>
    <t>kolkata</t>
  </si>
  <si>
    <t>22028000023069264</t>
  </si>
  <si>
    <t>51788000002769463</t>
  </si>
  <si>
    <t>zcrm_51788000270863071</t>
  </si>
  <si>
    <t>2024-06-20 14:02:23</t>
  </si>
  <si>
    <t>Ms. Amita Prasad</t>
  </si>
  <si>
    <t>admin@ivws.org</t>
  </si>
  <si>
    <t>+919073657861</t>
  </si>
  <si>
    <t>principal@ivws.org</t>
  </si>
  <si>
    <t>488, Ajoy Nagar, Eastern Metropolitan Bypass, near Peerless Hospital,</t>
  </si>
  <si>
    <t>700094</t>
  </si>
  <si>
    <t>Delhi Public School</t>
  </si>
  <si>
    <t>2024-02-16 00:00:00</t>
  </si>
  <si>
    <t>IN-2022001506</t>
  </si>
  <si>
    <t>485</t>
  </si>
  <si>
    <t>4481</t>
  </si>
  <si>
    <t>471371</t>
  </si>
  <si>
    <t>426992</t>
  </si>
  <si>
    <t>39898</t>
  </si>
  <si>
    <t>0.6767</t>
  </si>
  <si>
    <t>Varanasi</t>
  </si>
  <si>
    <t>22028000021098036</t>
  </si>
  <si>
    <t>51788000002733271</t>
  </si>
  <si>
    <t>zcrm_51788000256207016</t>
  </si>
  <si>
    <t>pallavi.singh_ei1</t>
  </si>
  <si>
    <t>pallavi.singh@ei.study</t>
  </si>
  <si>
    <t>Pallavi singh</t>
  </si>
  <si>
    <t>Shrikant Gehlot</t>
  </si>
  <si>
    <t>2024-04-03 12:52:11</t>
  </si>
  <si>
    <t>Mr. Mukesh Shlehat</t>
  </si>
  <si>
    <t>principal@dpsvaranasi.com</t>
  </si>
  <si>
    <t>+919335016823</t>
  </si>
  <si>
    <t>info@dpsvaranasi.com</t>
  </si>
  <si>
    <t>62300</t>
  </si>
  <si>
    <t>Village Vishokhar Near Amra Chauraha Mohansarai Bypass Road</t>
  </si>
  <si>
    <t>221011</t>
  </si>
  <si>
    <t>Village Vishokhar Near Amra Chauraha Mohansarai Bypass Road, NH-2, Varanasi, Uttar Pradesh</t>
  </si>
  <si>
    <t>ALDH01056G</t>
  </si>
  <si>
    <t>Opp. Collector Office</t>
  </si>
  <si>
    <t>Chinmaya Vidyalaya P.A.C.R. Mat. H.S. School</t>
  </si>
  <si>
    <t>IN-2022002387</t>
  </si>
  <si>
    <t>524</t>
  </si>
  <si>
    <t>1324</t>
  </si>
  <si>
    <t>1684</t>
  </si>
  <si>
    <t>228031</t>
  </si>
  <si>
    <t>912125</t>
  </si>
  <si>
    <t>18244</t>
  </si>
  <si>
    <t>2024-10-07 00:00:00</t>
  </si>
  <si>
    <t>1140156</t>
  </si>
  <si>
    <t>1117455</t>
  </si>
  <si>
    <t>4457</t>
  </si>
  <si>
    <t>0.7241</t>
  </si>
  <si>
    <t>Rajapalayam</t>
  </si>
  <si>
    <t>22028000023806892</t>
  </si>
  <si>
    <t>51788000002728686</t>
  </si>
  <si>
    <t>zcrm_51788000272302132</t>
  </si>
  <si>
    <t>2024-07-31 12:17:10</t>
  </si>
  <si>
    <t>Mrs. Usha T</t>
  </si>
  <si>
    <t>cvpacrhsrjpm@gmail.com</t>
  </si>
  <si>
    <t>+914563233500</t>
  </si>
  <si>
    <t>Box No 70, Tenkasi Road, Illanthoppu</t>
  </si>
  <si>
    <t>626117</t>
  </si>
  <si>
    <t>Chinmaya Vidyalaya Srimathi Lingammal Ramaraju Mat. Higher Secondary School</t>
  </si>
  <si>
    <t>2024-07-29 00:00:00, 2024-08-12 00:00:00</t>
  </si>
  <si>
    <t>Ei ASSET,Ei CARES,Ei Mindspark, Ei CARES</t>
  </si>
  <si>
    <t>IN-2022002388, IN-2022002415</t>
  </si>
  <si>
    <t>477</t>
  </si>
  <si>
    <t>0, 1191</t>
  </si>
  <si>
    <t>1636</t>
  </si>
  <si>
    <t>2000-01-01 00:00:00, 2024-08-02 00:00:00</t>
  </si>
  <si>
    <t>0, 325312</t>
  </si>
  <si>
    <t>2000-01-01 00:00:00, 2024-08-31 00:00:00</t>
  </si>
  <si>
    <t>0, 1301246</t>
  </si>
  <si>
    <t>0, 26033</t>
  </si>
  <si>
    <t>0, 1626558</t>
  </si>
  <si>
    <t>0, 1594480</t>
  </si>
  <si>
    <t>0, 6045</t>
  </si>
  <si>
    <t>0.7341, 1</t>
  </si>
  <si>
    <t>22028000023807028, 22028000024042900</t>
  </si>
  <si>
    <t>51788000002728687</t>
  </si>
  <si>
    <t>zcrm_51788000272302263, zcrm_51788000272878001</t>
  </si>
  <si>
    <t>hakim.kanchwala_eiindia1, mitul.patel_ei1</t>
  </si>
  <si>
    <t>2024-08-03 11:44:02, 2024-08-12 18:51:58</t>
  </si>
  <si>
    <t>Mr. Sivarajkumar T</t>
  </si>
  <si>
    <t>cvslrhs@gmail.com</t>
  </si>
  <si>
    <t>1076F, Rotary Nagar</t>
  </si>
  <si>
    <t>The Shri Ram School, Vasant Vihar</t>
  </si>
  <si>
    <t>2024-04-03 00:00:00, 2024-11-28 00:00:00</t>
  </si>
  <si>
    <t>IN-2022001824, IN-2022002632</t>
  </si>
  <si>
    <t>1727</t>
  </si>
  <si>
    <t>2542</t>
  </si>
  <si>
    <t>2024-12-12 00:00:00</t>
  </si>
  <si>
    <t>2000-01-01 00:00:00, 2024-04-05 00:00:00</t>
  </si>
  <si>
    <t>0, 157502</t>
  </si>
  <si>
    <t>2000-01-01 00:00:00, 2024-07-15 00:00:00</t>
  </si>
  <si>
    <t>2670, 7184</t>
  </si>
  <si>
    <t>2024-05-14 00:00:00, 2025-01-07 00:00:00</t>
  </si>
  <si>
    <t>2024-08-24 00:00:00, 2025-01-07 00:00:00</t>
  </si>
  <si>
    <t>315004, 359200</t>
  </si>
  <si>
    <t>309664, 352016</t>
  </si>
  <si>
    <t>0, 2670</t>
  </si>
  <si>
    <t>0, 0.16670000000000001</t>
  </si>
  <si>
    <t>0.16670000000000001</t>
  </si>
  <si>
    <t>2025-03-31 00:00:00, 2025-04-12 00:00:00</t>
  </si>
  <si>
    <t>22028000021905260, 22028000026470396</t>
  </si>
  <si>
    <t>51788000002733439</t>
  </si>
  <si>
    <t>zcrm_51788000267829579, zcrm_51788000278308550</t>
  </si>
  <si>
    <t>anshul.nagpal_ei, ravinder.kaur_ei</t>
  </si>
  <si>
    <t>fagun.saraiya_eiindia1, sourabh.mehta_eiindia</t>
  </si>
  <si>
    <t>anshul.nagpal@ei.study, ravinder.kaur@ei.study</t>
  </si>
  <si>
    <t>Anshul nagpal, Ravinder kaur</t>
  </si>
  <si>
    <t>2024-04-04 10:56:27, 2024-11-28 17:15:49</t>
  </si>
  <si>
    <t>Mr. Anupam Jain</t>
  </si>
  <si>
    <t>anupam.jain@tsrs.org</t>
  </si>
  <si>
    <t>+919891369408</t>
  </si>
  <si>
    <t>junior.school@tsrs.org</t>
  </si>
  <si>
    <t>Mr. Anupam Jain, Ms Pooja Thakur</t>
  </si>
  <si>
    <t>Pooja.thakur@tsrs.org, anupam.jain@tsrs.org</t>
  </si>
  <si>
    <t>Mr. Anupam Jain, Ms. Lakshita Kapur</t>
  </si>
  <si>
    <t>anupam.jain@tsrs.org, lakshita.kapur@tsrs.org</t>
  </si>
  <si>
    <t>+919654075737, +919891369408</t>
  </si>
  <si>
    <t>D-3 Street, Vasant Vihar, ,New Delhi,Delhi - 110057</t>
  </si>
  <si>
    <t>110057</t>
  </si>
  <si>
    <t>Guru Kripa Divine Grace Public School</t>
  </si>
  <si>
    <t>IN-2022001451</t>
  </si>
  <si>
    <t>1198</t>
  </si>
  <si>
    <t>2207</t>
  </si>
  <si>
    <t>2024-04-10 00:00:00</t>
  </si>
  <si>
    <t>417423</t>
  </si>
  <si>
    <t>109007</t>
  </si>
  <si>
    <t>2025-03-27 00:00:00</t>
  </si>
  <si>
    <t>1669692</t>
  </si>
  <si>
    <t>1239088</t>
  </si>
  <si>
    <t>321597</t>
  </si>
  <si>
    <t>0.36950000000000005</t>
  </si>
  <si>
    <t>Bahraich</t>
  </si>
  <si>
    <t>22028000020875100</t>
  </si>
  <si>
    <t>51788000002771463</t>
  </si>
  <si>
    <t>zcrm_51788000263994001</t>
  </si>
  <si>
    <t>2024-02-03 15:18:49</t>
  </si>
  <si>
    <t>Mr. Joy Raitani</t>
  </si>
  <si>
    <t>gkdgps@gmail.com</t>
  </si>
  <si>
    <t>+918795516165</t>
  </si>
  <si>
    <t>Ranjitpur, Hazoorpur Road,</t>
  </si>
  <si>
    <t>271801</t>
  </si>
  <si>
    <t>LKNG06247D</t>
  </si>
  <si>
    <t>Anand Niketan International</t>
  </si>
  <si>
    <t>IN-2022002331</t>
  </si>
  <si>
    <t>16620</t>
  </si>
  <si>
    <t>169200</t>
  </si>
  <si>
    <t>149580</t>
  </si>
  <si>
    <t>3000</t>
  </si>
  <si>
    <t>22028000023461552</t>
  </si>
  <si>
    <t>51788000002771488</t>
  </si>
  <si>
    <t>zcrm_51788000271640085</t>
  </si>
  <si>
    <t>2024-07-26 09:15:07</t>
  </si>
  <si>
    <t>Ms. Reshmi Ghosh</t>
  </si>
  <si>
    <t>Reshmi.ghosh@anandniketan.org</t>
  </si>
  <si>
    <t>+917874898081</t>
  </si>
  <si>
    <t>ansarkhej@anandniketansatellite.edu.in</t>
  </si>
  <si>
    <t>150000</t>
  </si>
  <si>
    <t>Near Novotel Hotel Nr. Asavari Tower, Off S G Highway, Satellite</t>
  </si>
  <si>
    <t>380015</t>
  </si>
  <si>
    <t>AHMU00781E</t>
  </si>
  <si>
    <t>Link in road, Sarkhej,</t>
  </si>
  <si>
    <t>Asia English School, Secondary - Higher Secondary Section</t>
  </si>
  <si>
    <t>IN-2022002291</t>
  </si>
  <si>
    <t>2100</t>
  </si>
  <si>
    <t>67005</t>
  </si>
  <si>
    <t>2024-08-26 00:00:00</t>
  </si>
  <si>
    <t>670054</t>
  </si>
  <si>
    <t>603049</t>
  </si>
  <si>
    <t>0.7968999999999999</t>
  </si>
  <si>
    <t>0.6969</t>
  </si>
  <si>
    <t>22028000023209948</t>
  </si>
  <si>
    <t>51788000002771656</t>
  </si>
  <si>
    <t>zcrm_51788000271190001</t>
  </si>
  <si>
    <t>2024-07-06 20:01:57</t>
  </si>
  <si>
    <t>Vivek Nair</t>
  </si>
  <si>
    <t>asiaenglishschool@yahoo.co.in</t>
  </si>
  <si>
    <t>+919662189555</t>
  </si>
  <si>
    <t>Asia Campus, Opp Drive-In Cinema, Thaltej,</t>
  </si>
  <si>
    <t>New Era Senior Secondary School</t>
  </si>
  <si>
    <t>2024-02-07 00:00:00</t>
  </si>
  <si>
    <t>IN-2022001471</t>
  </si>
  <si>
    <t>1800</t>
  </si>
  <si>
    <t>2024-02-05 00:00:00</t>
  </si>
  <si>
    <t>116132</t>
  </si>
  <si>
    <t>11613</t>
  </si>
  <si>
    <t>232264</t>
  </si>
  <si>
    <t>207013</t>
  </si>
  <si>
    <t>13638</t>
  </si>
  <si>
    <t>0.3075</t>
  </si>
  <si>
    <t>22028000020933408</t>
  </si>
  <si>
    <t>51788000002728693</t>
  </si>
  <si>
    <t>zcrm_51788000264656115</t>
  </si>
  <si>
    <t>2024-03-05 09:58:57</t>
  </si>
  <si>
    <t>Ms. Leena Nair</t>
  </si>
  <si>
    <t>leenanair_70@yahoo.com</t>
  </si>
  <si>
    <t>+919099018928</t>
  </si>
  <si>
    <t>newerabaroda@gmail.com</t>
  </si>
  <si>
    <t>82500</t>
  </si>
  <si>
    <t>Near Arpan Complex, LG Nagar, Pensionpura, Nizampura</t>
  </si>
  <si>
    <t>300002</t>
  </si>
  <si>
    <t>390002</t>
  </si>
  <si>
    <t>BRDT00638B</t>
  </si>
  <si>
    <t>Carmel High School, Basaveshwarnagar</t>
  </si>
  <si>
    <t>2024-04-05 00:00:00, 2024-04-08 00:00:00</t>
  </si>
  <si>
    <t>IN-2022001859, IN-2022001878</t>
  </si>
  <si>
    <t>2051</t>
  </si>
  <si>
    <t>129019, 178841</t>
  </si>
  <si>
    <t>580587, 804785</t>
  </si>
  <si>
    <t>2024-05-18 00:00:00, 2024-05-29 00:00:00</t>
  </si>
  <si>
    <t>2024-12-06 00:00:00</t>
  </si>
  <si>
    <t>1290193, 1788411</t>
  </si>
  <si>
    <t>1269651, 1771496</t>
  </si>
  <si>
    <t>16915, 20542</t>
  </si>
  <si>
    <t>0.4211, 0.6639</t>
  </si>
  <si>
    <t>22028000021939516, 22028000021942484</t>
  </si>
  <si>
    <t>51788000002728696</t>
  </si>
  <si>
    <t>zcrm_51788000267959040, zcrm_51788000267959314</t>
  </si>
  <si>
    <t>2024-04-13 09:05:27, 2024-04-13 09:13:08</t>
  </si>
  <si>
    <t>Mr. Roshan Menezes</t>
  </si>
  <si>
    <t>administrator@carmelhighschool.org</t>
  </si>
  <si>
    <t>+919844010597</t>
  </si>
  <si>
    <t>carmelit1968@gmail.com</t>
  </si>
  <si>
    <t>Teacher</t>
  </si>
  <si>
    <t>prathimap@carmelhighschool.org</t>
  </si>
  <si>
    <t>+919341154319</t>
  </si>
  <si>
    <t>II Block, III Stage, Judges Colony, West Of Chord Road, Judges colony, Basaveshwarnagar,</t>
  </si>
  <si>
    <t>560079</t>
  </si>
  <si>
    <t>BLRC01492B</t>
  </si>
  <si>
    <t>Delhi Public School, Delhi Public School, Faridabad</t>
  </si>
  <si>
    <t>2024-04-08 00:00:00, 2024-08-21 00:00:00</t>
  </si>
  <si>
    <t>2347752024.00, IN-2022002457</t>
  </si>
  <si>
    <t>2024-04-08 00:00:00, 2024-10-01 00:00:00</t>
  </si>
  <si>
    <t>2024-04-08 00:00:00, 2024-12-23 00:00:00</t>
  </si>
  <si>
    <t>2000-01-01 00:00:00, 2024-04-08 00:00:00</t>
  </si>
  <si>
    <t>Faridabad</t>
  </si>
  <si>
    <t>2024-04-01 00:00:00, 2024-04-08 00:00:00</t>
  </si>
  <si>
    <t>2024-04-08 00:00:00, 2025-03-31 00:00:00</t>
  </si>
  <si>
    <t>22028000024247556, 2347752024</t>
  </si>
  <si>
    <t>51788000002733510</t>
  </si>
  <si>
    <t>zcrm_51788000273004134</t>
  </si>
  <si>
    <t>maruf.shaikh1, maruf.shaikh@ei.study</t>
  </si>
  <si>
    <t>2024-04-08 00:00:00, 2024-08-21 15:59:01</t>
  </si>
  <si>
    <t>Anil Kumar</t>
  </si>
  <si>
    <t>info@dpsfsis.com</t>
  </si>
  <si>
    <t>0, 125000</t>
  </si>
  <si>
    <t>Sector 19, Mathura Road,</t>
  </si>
  <si>
    <t>121002</t>
  </si>
  <si>
    <t>Mayo College</t>
  </si>
  <si>
    <t>IN-2022002475</t>
  </si>
  <si>
    <t>649</t>
  </si>
  <si>
    <t>2024-10-17 00:00:00</t>
  </si>
  <si>
    <t>296035</t>
  </si>
  <si>
    <t>266431.2</t>
  </si>
  <si>
    <t>29604</t>
  </si>
  <si>
    <t>0.45899999999999996</t>
  </si>
  <si>
    <t>Ajmer</t>
  </si>
  <si>
    <t>22028000024439136</t>
  </si>
  <si>
    <t>51788000002733523</t>
  </si>
  <si>
    <t>zcrm_51788000273537025</t>
  </si>
  <si>
    <t>ravinder.kaur_ei</t>
  </si>
  <si>
    <t>ravinder.kaur@ei.study</t>
  </si>
  <si>
    <t>Ravinder kaur</t>
  </si>
  <si>
    <t>2024-09-17 12:53:18</t>
  </si>
  <si>
    <t>Arvind Kumar Nahar</t>
  </si>
  <si>
    <t>aknahar00@gmail.com</t>
  </si>
  <si>
    <t>+919352795719</t>
  </si>
  <si>
    <t>principal@mayocollege.com</t>
  </si>
  <si>
    <t>Srinagar Road, Mayo Link Road</t>
  </si>
  <si>
    <t>305007</t>
  </si>
  <si>
    <t>KLE School, Nagarbhavi, Bengaluru</t>
  </si>
  <si>
    <t>IN-2022002220, IN-2022002229</t>
  </si>
  <si>
    <t>150034, 290773</t>
  </si>
  <si>
    <t>29949.3, 48966</t>
  </si>
  <si>
    <t>300068, 581546</t>
  </si>
  <si>
    <t>269544.4, 528832</t>
  </si>
  <si>
    <t>3748, 574</t>
  </si>
  <si>
    <t>22028000023002808, 22028000023033168</t>
  </si>
  <si>
    <t>51788000002773431</t>
  </si>
  <si>
    <t>zcrm_51788000270593707, zcrm_51788000270633533</t>
  </si>
  <si>
    <t>2024-06-18 10:38:27, 2024-06-18 10:56:36</t>
  </si>
  <si>
    <t>klessnagarbhavi@gmail.com</t>
  </si>
  <si>
    <t>Opposite BDA Complex, III Block, II Stage, Nagarbhavi</t>
  </si>
  <si>
    <t>560072</t>
  </si>
  <si>
    <t>Sri Venkateshwar International School</t>
  </si>
  <si>
    <t>2024-02-28 00:00:00</t>
  </si>
  <si>
    <t>IN-2022001570, IN-2022001571</t>
  </si>
  <si>
    <t>300, 500</t>
  </si>
  <si>
    <t>0, 9200</t>
  </si>
  <si>
    <t>400032, 59976</t>
  </si>
  <si>
    <t>390831, 59976</t>
  </si>
  <si>
    <t>0.267, 0.7295999999999999</t>
  </si>
  <si>
    <t>0.11699999999999999, 0.5796</t>
  </si>
  <si>
    <t>22028000021293032, 22028000021293064</t>
  </si>
  <si>
    <t>51788000002773461</t>
  </si>
  <si>
    <t>zcrm_51788000265792029, zcrm_51788000265811005</t>
  </si>
  <si>
    <t>2024-03-11 14:52:29, 2024-03-11 14:52:35</t>
  </si>
  <si>
    <t>Ms. Nita Arora</t>
  </si>
  <si>
    <t>Principal, School Owner</t>
  </si>
  <si>
    <t>director@svis.org.in</t>
  </si>
  <si>
    <t>+919999907173</t>
  </si>
  <si>
    <t>principal@svis.org.in</t>
  </si>
  <si>
    <t>Vineet Tomer</t>
  </si>
  <si>
    <t>info@svis.org.in</t>
  </si>
  <si>
    <t>+919711601282</t>
  </si>
  <si>
    <t>Sector -18, Dwarka, ,New Delhi,Delhi - 110078</t>
  </si>
  <si>
    <t>DELD08667B</t>
  </si>
  <si>
    <t>Dwarka, ,New Delhi,Delhi - 110078</t>
  </si>
  <si>
    <t>South City International School</t>
  </si>
  <si>
    <t>IN-2022001539</t>
  </si>
  <si>
    <t>348654</t>
  </si>
  <si>
    <t>2024-07-08 00:00:00</t>
  </si>
  <si>
    <t>116090</t>
  </si>
  <si>
    <t>1394616</t>
  </si>
  <si>
    <t>1253775</t>
  </si>
  <si>
    <t>24751</t>
  </si>
  <si>
    <t>0.389</t>
  </si>
  <si>
    <t>0.33899999999999997</t>
  </si>
  <si>
    <t>22028000021158560</t>
  </si>
  <si>
    <t>51788000002773490</t>
  </si>
  <si>
    <t>zcrm_51788000265621230</t>
  </si>
  <si>
    <t>2024-03-06 14:27:28</t>
  </si>
  <si>
    <t>Satabdi Bhattacharjee</t>
  </si>
  <si>
    <t>principal@scis.co.in</t>
  </si>
  <si>
    <t>+919831439772</t>
  </si>
  <si>
    <t>Sumita Sinha</t>
  </si>
  <si>
    <t>sumitas@scis.co.in</t>
  </si>
  <si>
    <t>+919958009612</t>
  </si>
  <si>
    <t>375, Prince Anwar Shah Rd, Jadavpur</t>
  </si>
  <si>
    <t>700068</t>
  </si>
  <si>
    <t>CALB11050E</t>
  </si>
  <si>
    <t>The Cathedral &amp; John Connon School - Junior Section</t>
  </si>
  <si>
    <t>2024-02-29 00:00:00</t>
  </si>
  <si>
    <t>IN-2022001573, IN-2022001574</t>
  </si>
  <si>
    <t>3432</t>
  </si>
  <si>
    <t>729037, 78012</t>
  </si>
  <si>
    <t>2024-12-05 00:00:00</t>
  </si>
  <si>
    <t>124252, 15667</t>
  </si>
  <si>
    <t>2024-05-02 00:00:00</t>
  </si>
  <si>
    <t>2024-12-20 00:00:00, 2025-03-25 00:00:00</t>
  </si>
  <si>
    <t>1458074, 156024</t>
  </si>
  <si>
    <t>1341921, 141007</t>
  </si>
  <si>
    <t>-650, -8099</t>
  </si>
  <si>
    <t>0.325, 0.5666</t>
  </si>
  <si>
    <t>2025-02-28 00:00:00, 2025-03-31 00:00:00</t>
  </si>
  <si>
    <t>22028000021287428, 22028000021287468</t>
  </si>
  <si>
    <t>51788000002773629</t>
  </si>
  <si>
    <t>zcrm_51788000266070362, zcrm_51788000266070490</t>
  </si>
  <si>
    <t>2024-03-05 14:06:55, 2024-03-05 14:07:49</t>
  </si>
  <si>
    <t>Mrs. S Ganguly</t>
  </si>
  <si>
    <t>jsoffice@cathedral-school.com</t>
  </si>
  <si>
    <t>+919821360078</t>
  </si>
  <si>
    <t>hmjs@cathedral-school.com</t>
  </si>
  <si>
    <t>19, Mahatma Gandhi Road,</t>
  </si>
  <si>
    <t>400001</t>
  </si>
  <si>
    <t>DELS22354D</t>
  </si>
  <si>
    <t>Vidya Mandir Estancia</t>
  </si>
  <si>
    <t>2024-02-01 00:00:00</t>
  </si>
  <si>
    <t>IN-2022001454</t>
  </si>
  <si>
    <t>938</t>
  </si>
  <si>
    <t>432729</t>
  </si>
  <si>
    <t>8655</t>
  </si>
  <si>
    <t>2024-10-29 00:00:00</t>
  </si>
  <si>
    <t>865458</t>
  </si>
  <si>
    <t>848148</t>
  </si>
  <si>
    <t>0.4764</t>
  </si>
  <si>
    <t>22028000020874600</t>
  </si>
  <si>
    <t>51788000002773635</t>
  </si>
  <si>
    <t>zcrm_51788000264399013</t>
  </si>
  <si>
    <t>2024-02-09 14:08:47</t>
  </si>
  <si>
    <t>Mrs. Sankari Ravi</t>
  </si>
  <si>
    <t>sankarivme@gmail.com</t>
  </si>
  <si>
    <t>+919445656112</t>
  </si>
  <si>
    <t>vidyamandir.estancia@gmail.com</t>
  </si>
  <si>
    <t>Mrs.Subhalakshmi</t>
  </si>
  <si>
    <t>vpp@vidyamandirestancia.com</t>
  </si>
  <si>
    <t>+919940375015</t>
  </si>
  <si>
    <t>Estancia Integrated Township, G S T Road, N.H. 45, Vallanchery, Guduvanchery, Kanchipuram</t>
  </si>
  <si>
    <t>603202</t>
  </si>
  <si>
    <t>CHEV16106G</t>
  </si>
  <si>
    <t>Thamarai International School, Thanjavur</t>
  </si>
  <si>
    <t>IN-2022002273</t>
  </si>
  <si>
    <t>300</t>
  </si>
  <si>
    <t>12930</t>
  </si>
  <si>
    <t>2024-12-09 00:00:00</t>
  </si>
  <si>
    <t>51720</t>
  </si>
  <si>
    <t>64650</t>
  </si>
  <si>
    <t>2586</t>
  </si>
  <si>
    <t>129300</t>
  </si>
  <si>
    <t>126714</t>
  </si>
  <si>
    <t>0.8</t>
  </si>
  <si>
    <t>Thanjavur</t>
  </si>
  <si>
    <t>2025-01-15 00:00:00</t>
  </si>
  <si>
    <t>22028000023154600</t>
  </si>
  <si>
    <t>51788000002773643</t>
  </si>
  <si>
    <t>zcrm_51788000271075172</t>
  </si>
  <si>
    <t>2024-07-01 14:27:57</t>
  </si>
  <si>
    <t>Mrs Jayashree Badrinath .</t>
  </si>
  <si>
    <t>info@thamaraischools.org</t>
  </si>
  <si>
    <t>+919047022152</t>
  </si>
  <si>
    <t>81000</t>
  </si>
  <si>
    <t>No 84/2, Karunthattankudi Post, Thamarai Nagar, Thanjavur- Kumbakonam Bypass Road,</t>
  </si>
  <si>
    <t>613002</t>
  </si>
  <si>
    <t>Dayawati Modi Academy , Pallavpuram Meerut</t>
  </si>
  <si>
    <t>2024-05-28 00:00:00</t>
  </si>
  <si>
    <t>IN-2022002121</t>
  </si>
  <si>
    <t>689</t>
  </si>
  <si>
    <t>139378</t>
  </si>
  <si>
    <t>2024-08-10 00:00:00</t>
  </si>
  <si>
    <t>2024-11-04 00:00:00</t>
  </si>
  <si>
    <t>143601</t>
  </si>
  <si>
    <t>2024-06-06 00:00:00</t>
  </si>
  <si>
    <t>422357</t>
  </si>
  <si>
    <t>347765</t>
  </si>
  <si>
    <t>74592</t>
  </si>
  <si>
    <t>0.47</t>
  </si>
  <si>
    <t>Meerut</t>
  </si>
  <si>
    <t>22028000022694360</t>
  </si>
  <si>
    <t>51788000002773848</t>
  </si>
  <si>
    <t>zcrm_51788000270042635</t>
  </si>
  <si>
    <t>rajat.saxena_ei</t>
  </si>
  <si>
    <t>rajat.saxena@ei.study</t>
  </si>
  <si>
    <t>Rajat saxena</t>
  </si>
  <si>
    <t>Rajat Saxena</t>
  </si>
  <si>
    <t>2024-05-31 12:48:55</t>
  </si>
  <si>
    <t>Dr. Ritu Dewan</t>
  </si>
  <si>
    <t>principal@dma1.in</t>
  </si>
  <si>
    <t>+919897022453</t>
  </si>
  <si>
    <t>101000</t>
  </si>
  <si>
    <t>Modipuram Meerut Distt Uttar Pradesh</t>
  </si>
  <si>
    <t>250110</t>
  </si>
  <si>
    <t>Bal Bharti School, Bahadurgarh</t>
  </si>
  <si>
    <t>2024-10-08 00:00:00</t>
  </si>
  <si>
    <t>IN-2022002513</t>
  </si>
  <si>
    <t>560</t>
  </si>
  <si>
    <t>2025-03-26 00:00:00</t>
  </si>
  <si>
    <t>651222</t>
  </si>
  <si>
    <t>586101</t>
  </si>
  <si>
    <t>65121</t>
  </si>
  <si>
    <t>0.6267</t>
  </si>
  <si>
    <t>Jhajjar</t>
  </si>
  <si>
    <t>22028000025302256</t>
  </si>
  <si>
    <t>51788000002774029</t>
  </si>
  <si>
    <t>zcrm_51788000274896025</t>
  </si>
  <si>
    <t>vaishali.yadav_ei</t>
  </si>
  <si>
    <t>vaishali.yadav@ei.study</t>
  </si>
  <si>
    <t>Vaishali yadav</t>
  </si>
  <si>
    <t>2024-12-18 10:54:26</t>
  </si>
  <si>
    <t>Mrs. Sushila Kaliraman</t>
  </si>
  <si>
    <t>skaliraman@balbharti.net</t>
  </si>
  <si>
    <t>+917027080771</t>
  </si>
  <si>
    <t>mail@bgh.balbharti.net</t>
  </si>
  <si>
    <t>Delhi Rohtak Road, Bahadurgarh</t>
  </si>
  <si>
    <t>RTKB01731C</t>
  </si>
  <si>
    <t>Vidyagyan School, Sikandrabad</t>
  </si>
  <si>
    <t>IN-2022001481</t>
  </si>
  <si>
    <t>21276</t>
  </si>
  <si>
    <t>2024-09-28 00:00:00</t>
  </si>
  <si>
    <t>288900</t>
  </si>
  <si>
    <t>191484</t>
  </si>
  <si>
    <t>76140</t>
  </si>
  <si>
    <t>Sikandrabad</t>
  </si>
  <si>
    <t>22028000020985128</t>
  </si>
  <si>
    <t>51788000002774034</t>
  </si>
  <si>
    <t>zcrm_51788000264953027</t>
  </si>
  <si>
    <t>2024-02-10 11:29:31</t>
  </si>
  <si>
    <t>Shwetha Singh</t>
  </si>
  <si>
    <t>shwetha.singh@vidyagyan.in</t>
  </si>
  <si>
    <t>+918879127140</t>
  </si>
  <si>
    <t>Amy@Shivnadarfoundation.Org</t>
  </si>
  <si>
    <t>Mrs. Shashi Banerjee</t>
  </si>
  <si>
    <t>shashi.banerjee@vidyagyan.in</t>
  </si>
  <si>
    <t>Mrs. Shwetha Singh</t>
  </si>
  <si>
    <t>Shwetha.Singh@vidyagyan.in</t>
  </si>
  <si>
    <t>Village - Dulhera, Post - Wair, Tehsil - Sikandrabad, Dist. - Bulandshahr</t>
  </si>
  <si>
    <t>203202</t>
  </si>
  <si>
    <t>DELS36532G</t>
  </si>
  <si>
    <t>The East - West School</t>
  </si>
  <si>
    <t>IN-2022002166</t>
  </si>
  <si>
    <t>71405</t>
  </si>
  <si>
    <t>72805</t>
  </si>
  <si>
    <t>-1400</t>
  </si>
  <si>
    <t>0.5333</t>
  </si>
  <si>
    <t>0.4833</t>
  </si>
  <si>
    <t>22028000022827032</t>
  </si>
  <si>
    <t>51788000002728807</t>
  </si>
  <si>
    <t>zcrm_51788000270256001</t>
  </si>
  <si>
    <t>2024-06-06 17:11:37</t>
  </si>
  <si>
    <t>Ms.Gayathry B H</t>
  </si>
  <si>
    <t>principal@theeastwestschool.org</t>
  </si>
  <si>
    <t>+919449858098</t>
  </si>
  <si>
    <t>secretary@theeastwestschool.org</t>
  </si>
  <si>
    <t>No. 1, Arumugam Circle, Basavanagudi</t>
  </si>
  <si>
    <t>Dehradun Boys School</t>
  </si>
  <si>
    <t>IN-2022001801, IN-2022001802</t>
  </si>
  <si>
    <t>567</t>
  </si>
  <si>
    <t>1934</t>
  </si>
  <si>
    <t>14853, 16877</t>
  </si>
  <si>
    <t>59412, 67508</t>
  </si>
  <si>
    <t>0.6944, 0.7583</t>
  </si>
  <si>
    <t>22028000021869936, 22028000021875064</t>
  </si>
  <si>
    <t>51788000002774479</t>
  </si>
  <si>
    <t>zcrm_51788000267801239, zcrm_51788000267801419</t>
  </si>
  <si>
    <t>2024-04-04 17:03:16, 2024-04-04 17:03:21</t>
  </si>
  <si>
    <t>Ms. Monisha Datta</t>
  </si>
  <si>
    <t>info@thedoongirlsschool.com</t>
  </si>
  <si>
    <t>4, Circular Road, Dalanwala, Dehradun - 248 001, INDIA.</t>
  </si>
  <si>
    <t>Jeevana school</t>
  </si>
  <si>
    <t>IN-2022002137, IN-2022002138</t>
  </si>
  <si>
    <t>1118, 2237</t>
  </si>
  <si>
    <t>306860, 423665</t>
  </si>
  <si>
    <t>63221, 84859</t>
  </si>
  <si>
    <t>2024-08-07 00:00:00, 2024-08-31 00:00:00</t>
  </si>
  <si>
    <t>613720, 847330</t>
  </si>
  <si>
    <t>568998, 763729</t>
  </si>
  <si>
    <t>-1258, -18499</t>
  </si>
  <si>
    <t>0.2668, 0.6334000000000001</t>
  </si>
  <si>
    <t>madurai</t>
  </si>
  <si>
    <t>22028000022750296, 22028000022750336</t>
  </si>
  <si>
    <t>51788000002728808</t>
  </si>
  <si>
    <t>zcrm_51788000270156287, zcrm_51788000270156418</t>
  </si>
  <si>
    <t>2024-06-07 18:05:47, 2024-06-07 18:05:57</t>
  </si>
  <si>
    <t>Mrs. Padmavathi V</t>
  </si>
  <si>
    <t>principal1@jeevanaschool.in</t>
  </si>
  <si>
    <t>+914522381058</t>
  </si>
  <si>
    <t>jeevana_sch@yahoo.co.in</t>
  </si>
  <si>
    <t>ponmeni, byepass road</t>
  </si>
  <si>
    <t>625016</t>
  </si>
  <si>
    <t>MSB Educational Institute</t>
  </si>
  <si>
    <t>IN-2022001590</t>
  </si>
  <si>
    <t>57330</t>
  </si>
  <si>
    <t>133770</t>
  </si>
  <si>
    <t>194219</t>
  </si>
  <si>
    <t>-3119</t>
  </si>
  <si>
    <t>0.48</t>
  </si>
  <si>
    <t>Secunderabad</t>
  </si>
  <si>
    <t>22028000021379512</t>
  </si>
  <si>
    <t>51788000002774508</t>
  </si>
  <si>
    <t>zcrm_51788000266266001</t>
  </si>
  <si>
    <t>Neela  Om Prakash</t>
  </si>
  <si>
    <t>2024-03-09 13:31:40</t>
  </si>
  <si>
    <t>Radhika Anumolu</t>
  </si>
  <si>
    <t>radhikaanumolu@yahoo.co.in</t>
  </si>
  <si>
    <t>+919848334455</t>
  </si>
  <si>
    <t>secunderabadmasool@msbinstitute.com</t>
  </si>
  <si>
    <t>Ms.Radhika Anumolu</t>
  </si>
  <si>
    <t>3-18-73/A, Lalamiya Basti, Near leela Garden, RTC Colony,Tirmulgherry</t>
  </si>
  <si>
    <t>500009</t>
  </si>
  <si>
    <t>Lalamiya Basti, Near leela Garden, RTC Colony,Tirmulgherry</t>
  </si>
  <si>
    <t>Sandipani Academy, Mandleshwar</t>
  </si>
  <si>
    <t>2024-06-21 00:00:00, 2024-08-13 00:00:00</t>
  </si>
  <si>
    <t>IN-2022002259, IN-2022002417</t>
  </si>
  <si>
    <t>0, 1399</t>
  </si>
  <si>
    <t>2024-06-21 00:00:00, 2024-08-01 00:00:00</t>
  </si>
  <si>
    <t>0, 118548</t>
  </si>
  <si>
    <t>2024-08-01 00:00:00, 2024-09-01 00:00:00</t>
  </si>
  <si>
    <t>0, 5293</t>
  </si>
  <si>
    <t>0, 474192</t>
  </si>
  <si>
    <t>0, 346475</t>
  </si>
  <si>
    <t>0, 122424</t>
  </si>
  <si>
    <t>0.462, 1</t>
  </si>
  <si>
    <t>Printing By EI, Printing By School</t>
  </si>
  <si>
    <t>22028000023103488, 22028000024104296</t>
  </si>
  <si>
    <t>51788000002774698</t>
  </si>
  <si>
    <t>zcrm_51788000270961833, zcrm_51788000272717001</t>
  </si>
  <si>
    <t>2024-07-02 10:58:21, 2024-08-14 18:22:17</t>
  </si>
  <si>
    <t>Gopal Patidar, Mr. Gopal Patidar</t>
  </si>
  <si>
    <t>kamlesh2214@gmail.com, sandiacad@yahoo.co.in</t>
  </si>
  <si>
    <t>+919926403345</t>
  </si>
  <si>
    <t>sandiacad@yahoo.co.in</t>
  </si>
  <si>
    <t>Maheshwar Road, Mandleshwar, Khargaon,</t>
  </si>
  <si>
    <t>BPLJ03112E</t>
  </si>
  <si>
    <t>Delhi Public School, Mathura Road</t>
  </si>
  <si>
    <t>2024-04-05 00:00:00, 2024-08-21 00:00:00</t>
  </si>
  <si>
    <t>24492024.00, IN-2022002448</t>
  </si>
  <si>
    <t>2024-04-05 00:00:00, 2024-11-15 00:00:00</t>
  </si>
  <si>
    <t>2024-04-05 00:00:00, 2024-12-23 00:00:00</t>
  </si>
  <si>
    <t>2024-04-01 00:00:00, 2024-04-05 00:00:00</t>
  </si>
  <si>
    <t>2024-04-05 00:00:00, 2025-03-31 00:00:00</t>
  </si>
  <si>
    <t>22028000024247088, 24492024</t>
  </si>
  <si>
    <t>51788000002728415</t>
  </si>
  <si>
    <t>zcrm_51788000272967829</t>
  </si>
  <si>
    <t>Prakhar Ghildyal, Vibhor Tyagi</t>
  </si>
  <si>
    <t>2024-04-05 00:00:00, 2024-08-21 16:03:48</t>
  </si>
  <si>
    <t>Dr. Ram Singh</t>
  </si>
  <si>
    <t>mainoffice@dpsmathuraroad.org</t>
  </si>
  <si>
    <t>0, 105000</t>
  </si>
  <si>
    <t>Mathura Road, Sunder Nagar, ,New Delhi,Delhi - 110003</t>
  </si>
  <si>
    <t>110003</t>
  </si>
  <si>
    <t>Lakshmi Matriculation Higher Secondary School</t>
  </si>
  <si>
    <t>IN-2022001700</t>
  </si>
  <si>
    <t>32857</t>
  </si>
  <si>
    <t>76665</t>
  </si>
  <si>
    <t>7877</t>
  </si>
  <si>
    <t>109522</t>
  </si>
  <si>
    <t>70888</t>
  </si>
  <si>
    <t>30757</t>
  </si>
  <si>
    <t>22028000021647396</t>
  </si>
  <si>
    <t>51788000002774726</t>
  </si>
  <si>
    <t>zcrm_51788000267052410</t>
  </si>
  <si>
    <t>2024-04-02 08:01:51</t>
  </si>
  <si>
    <t>Mrs. Jayalakshmi J</t>
  </si>
  <si>
    <t>jayalakshmi@tvslvs.com</t>
  </si>
  <si>
    <t>+919843466624</t>
  </si>
  <si>
    <t>lakshmimatricschool@tvslvs.com</t>
  </si>
  <si>
    <t>Veerapanchan Post, karupaiurani</t>
  </si>
  <si>
    <t>N.E.T. Public School - ICSE</t>
  </si>
  <si>
    <t>IN-2022002193, IN-2022002194</t>
  </si>
  <si>
    <t>550</t>
  </si>
  <si>
    <t>144113, 70407</t>
  </si>
  <si>
    <t>704, 8060.6</t>
  </si>
  <si>
    <t>2024-12-05 00:00:00, 2025-03-27 00:00:00</t>
  </si>
  <si>
    <t>140814, 288226</t>
  </si>
  <si>
    <t>103345, 316574</t>
  </si>
  <si>
    <t>-36409, 36765</t>
  </si>
  <si>
    <t>0.6333</t>
  </si>
  <si>
    <t>Summer Round, Winter Round</t>
  </si>
  <si>
    <t>22028000022900224, 22028000022900264</t>
  </si>
  <si>
    <t>51788000002774877</t>
  </si>
  <si>
    <t>zcrm_51788000267384292, zcrm_51788000270218402</t>
  </si>
  <si>
    <t>jaisson.simon_ei</t>
  </si>
  <si>
    <t>jaisson.simon@ei.study</t>
  </si>
  <si>
    <t>Jaisson simon</t>
  </si>
  <si>
    <t>2024-06-11 14:44:42, 2024-06-11 14:48:12</t>
  </si>
  <si>
    <t>Ms. Shylaja B M</t>
  </si>
  <si>
    <t>netps.office@gmail.com</t>
  </si>
  <si>
    <t>+918026611419</t>
  </si>
  <si>
    <t>netpublicschool@gmail.com</t>
  </si>
  <si>
    <t>Anjali</t>
  </si>
  <si>
    <t>#17, 2Nd Main Road, Sri Nijagunara Road, Gavipuram Extnxtension</t>
  </si>
  <si>
    <t>560019</t>
  </si>
  <si>
    <t>#17, 2Nd Main Road, Sri Nijagunara Road, Gavipuram Extn Extension</t>
  </si>
  <si>
    <t>BLRS23091F</t>
  </si>
  <si>
    <t>Prudence International School</t>
  </si>
  <si>
    <t>2024-04-25 00:00:00</t>
  </si>
  <si>
    <t>IN-2022001964, IN-2022001965</t>
  </si>
  <si>
    <t>108944, 341683</t>
  </si>
  <si>
    <t>2024-12-10 00:00:00, 2025-06-23 00:00:00</t>
  </si>
  <si>
    <t>1366732, 435776</t>
  </si>
  <si>
    <t>1226273, 556630</t>
  </si>
  <si>
    <t>-120854, 140459</t>
  </si>
  <si>
    <t>0.46659999999999996, 0.5637</t>
  </si>
  <si>
    <t>Tumkur</t>
  </si>
  <si>
    <t>22028000022257096, 22028000022257152</t>
  </si>
  <si>
    <t>51788000002774890</t>
  </si>
  <si>
    <t>zcrm_51788000268937157, zcrm_51788000268937292</t>
  </si>
  <si>
    <t>2024-04-27 19:13:46, 2024-05-03 14:00:36</t>
  </si>
  <si>
    <t>Mr. Vijay Kumar Kulkarni</t>
  </si>
  <si>
    <t>prudenceschooltmk@gmail.com</t>
  </si>
  <si>
    <t>+918747800056</t>
  </si>
  <si>
    <t>prudenceschool.tmk@gmail.com</t>
  </si>
  <si>
    <t>55000</t>
  </si>
  <si>
    <t>Kodigenhalli Road, Pemmanahalli, Hirehalli, Tumkur</t>
  </si>
  <si>
    <t>572168</t>
  </si>
  <si>
    <t>BLRS40993B</t>
  </si>
  <si>
    <t>Cambridge International School, Kullu</t>
  </si>
  <si>
    <t>2023-10-07 00:00:00</t>
  </si>
  <si>
    <t>IN-2022001187</t>
  </si>
  <si>
    <t>2050</t>
  </si>
  <si>
    <t>205553</t>
  </si>
  <si>
    <t>2024-10-10 00:00:00</t>
  </si>
  <si>
    <t>2023-10-31 00:00:00</t>
  </si>
  <si>
    <t>2025-03-28 00:00:00</t>
  </si>
  <si>
    <t>822212</t>
  </si>
  <si>
    <t>668674.12</t>
  </si>
  <si>
    <t>153538</t>
  </si>
  <si>
    <t>0.534</t>
  </si>
  <si>
    <t>Kullu</t>
  </si>
  <si>
    <t>22028000019526136</t>
  </si>
  <si>
    <t>51788000002774900</t>
  </si>
  <si>
    <t>zcrm_51788000257434150</t>
  </si>
  <si>
    <t>2023-10-21 16:40:18</t>
  </si>
  <si>
    <t>Shantnu Sharma</t>
  </si>
  <si>
    <t>sharma.shantnu55@gmail.com</t>
  </si>
  <si>
    <t>+919459700055</t>
  </si>
  <si>
    <t>kullu.cambridge@gmail.com</t>
  </si>
  <si>
    <t>2500</t>
  </si>
  <si>
    <t>Bhuntar - Ramshila Rd, Kullu, Himachal Pradesh 175126</t>
  </si>
  <si>
    <t>175126</t>
  </si>
  <si>
    <t>PTLK11781A</t>
  </si>
  <si>
    <t>ABS Vidhya Mandhir</t>
  </si>
  <si>
    <t>IN-2022002382</t>
  </si>
  <si>
    <t>1014</t>
  </si>
  <si>
    <t>69966</t>
  </si>
  <si>
    <t>279864</t>
  </si>
  <si>
    <t>37000</t>
  </si>
  <si>
    <t>242864</t>
  </si>
  <si>
    <t>0.61</t>
  </si>
  <si>
    <t>Thiruvallur</t>
  </si>
  <si>
    <t>22028000023796752</t>
  </si>
  <si>
    <t>51788000002774926</t>
  </si>
  <si>
    <t>zcrm_51788000272188115</t>
  </si>
  <si>
    <t>2024-09-13 11:37:40</t>
  </si>
  <si>
    <t>Ms. R Gayathri</t>
  </si>
  <si>
    <t>absgsstrlvp@gmail.com</t>
  </si>
  <si>
    <t>+916379516979</t>
  </si>
  <si>
    <t>absvm.school@gmail.com</t>
  </si>
  <si>
    <t>Thalakancherry Road, Iveli Agaram, Thiruvallur</t>
  </si>
  <si>
    <t>602001</t>
  </si>
  <si>
    <t>R J Mantra English School</t>
  </si>
  <si>
    <t>IN-2022002135, IN-2022002136</t>
  </si>
  <si>
    <t>293</t>
  </si>
  <si>
    <t>996</t>
  </si>
  <si>
    <t>1266, 1269</t>
  </si>
  <si>
    <t>2024-06-01 00:00:00, 2024-06-07 00:00:00</t>
  </si>
  <si>
    <t>536880, 96600</t>
  </si>
  <si>
    <t>1124, 1637</t>
  </si>
  <si>
    <t>2024-06-22 00:00:00, 2024-10-11 00:00:00</t>
  </si>
  <si>
    <t>2025-01-23 00:00:00, 2025-03-14 00:00:00</t>
  </si>
  <si>
    <t>1073760, 193200</t>
  </si>
  <si>
    <t>1093973.6400000001, 195630.2</t>
  </si>
  <si>
    <t>-21338, -4067</t>
  </si>
  <si>
    <t>0.584, 0.7926000000000001</t>
  </si>
  <si>
    <t>0, 6</t>
  </si>
  <si>
    <t>Virudhunagar</t>
  </si>
  <si>
    <t>22028000022753088, 22028000022753192</t>
  </si>
  <si>
    <t>51788000002775119</t>
  </si>
  <si>
    <t>zcrm_51788000270156001, zcrm_51788000270156132</t>
  </si>
  <si>
    <t>2024-06-05 15:52:38, 2024-06-05 15:53:40</t>
  </si>
  <si>
    <t>Rajni RJ Mantra</t>
  </si>
  <si>
    <t>rjmantraschool@gmail.com</t>
  </si>
  <si>
    <t>+918903647789</t>
  </si>
  <si>
    <t>admin@rjmantra.com</t>
  </si>
  <si>
    <t>Post Box No.89, Villipathiri, Chinnavallikulam Road,</t>
  </si>
  <si>
    <t>626002</t>
  </si>
  <si>
    <t>Zydus School for Excellence - Godhavi</t>
  </si>
  <si>
    <t>Ei ASSET,Ei Mindspark</t>
  </si>
  <si>
    <t>IN-2022002163</t>
  </si>
  <si>
    <t>837</t>
  </si>
  <si>
    <t>1504</t>
  </si>
  <si>
    <t>136566</t>
  </si>
  <si>
    <t>1523779</t>
  </si>
  <si>
    <t>1387213</t>
  </si>
  <si>
    <t>0.5522</t>
  </si>
  <si>
    <t>0.35229999999999995</t>
  </si>
  <si>
    <t>0.0499</t>
  </si>
  <si>
    <t>22028000022799576</t>
  </si>
  <si>
    <t>51788000002775123</t>
  </si>
  <si>
    <t>zcrm_51788000270341001</t>
  </si>
  <si>
    <t>Unnati Sharma</t>
  </si>
  <si>
    <t>2024-06-18 15:27:07</t>
  </si>
  <si>
    <t>Jayashree Balasaria</t>
  </si>
  <si>
    <t>principal.zse2@gmail.com</t>
  </si>
  <si>
    <t>+918875015988</t>
  </si>
  <si>
    <t>schoolro.zseg@gmail.com</t>
  </si>
  <si>
    <t>Survey No. 766 &amp; 767 , Near Village: Godhavi. Bopal-Sanand Road</t>
  </si>
  <si>
    <t>382115</t>
  </si>
  <si>
    <t>BVM Global @ Sholinganallur</t>
  </si>
  <si>
    <t>IN-2022002310</t>
  </si>
  <si>
    <t>703</t>
  </si>
  <si>
    <t>236106</t>
  </si>
  <si>
    <t>550914</t>
  </si>
  <si>
    <t>78703</t>
  </si>
  <si>
    <t>2024-08-28 00:00:00</t>
  </si>
  <si>
    <t>787020</t>
  </si>
  <si>
    <t>708320</t>
  </si>
  <si>
    <t>-3</t>
  </si>
  <si>
    <t>0.6058</t>
  </si>
  <si>
    <t>22028000023336276</t>
  </si>
  <si>
    <t>51788000002775133</t>
  </si>
  <si>
    <t>zcrm_51788000271455181</t>
  </si>
  <si>
    <t>2024-07-05 08:44:34</t>
  </si>
  <si>
    <t>Mr. Maruf Shaikh</t>
  </si>
  <si>
    <t>office_bollinenihillside@bvmglobal.org</t>
  </si>
  <si>
    <t>Bollineni Hillside Nookampalayam Perumbakkam Road Sithalapakkam Post,Chennai,Tamil Nadu - 600131</t>
  </si>
  <si>
    <t>600131</t>
  </si>
  <si>
    <t>CHEB07494E</t>
  </si>
  <si>
    <t>Apple Global School</t>
  </si>
  <si>
    <t>IN-2022002336</t>
  </si>
  <si>
    <t>298</t>
  </si>
  <si>
    <t>373</t>
  </si>
  <si>
    <t>1211</t>
  </si>
  <si>
    <t>252050</t>
  </si>
  <si>
    <t>244637</t>
  </si>
  <si>
    <t>55415</t>
  </si>
  <si>
    <t>741324</t>
  </si>
  <si>
    <t>676361</t>
  </si>
  <si>
    <t>9548</t>
  </si>
  <si>
    <t>0.8015000000000001</t>
  </si>
  <si>
    <t>0.7015</t>
  </si>
  <si>
    <t>22028000023460636</t>
  </si>
  <si>
    <t>51788000002775136</t>
  </si>
  <si>
    <t>zcrm_51788000269779001</t>
  </si>
  <si>
    <t>ishita.jethwa_ei</t>
  </si>
  <si>
    <t>ishita.jethwa@ei.study</t>
  </si>
  <si>
    <t>Ishita jethwa</t>
  </si>
  <si>
    <t>2024-07-11 14:31:48</t>
  </si>
  <si>
    <t>Ms. Nivedita Ma'am</t>
  </si>
  <si>
    <t>nivedita@appleglobal.in</t>
  </si>
  <si>
    <t>+919725490554</t>
  </si>
  <si>
    <t>info@appleglobal.in</t>
  </si>
  <si>
    <t>Near Sarvotam Hotel, 2.5Kms From Shantipura Circle, Sanand - Sarkhej Road</t>
  </si>
  <si>
    <t>382210</t>
  </si>
  <si>
    <t>AHMM14782F</t>
  </si>
  <si>
    <t>Sunbeam Suncity (School &amp; Hostel)</t>
  </si>
  <si>
    <t>IN-2022001848</t>
  </si>
  <si>
    <t>238522</t>
  </si>
  <si>
    <t>48484</t>
  </si>
  <si>
    <t>2025-01-13 00:00:00</t>
  </si>
  <si>
    <t>954088</t>
  </si>
  <si>
    <t>912257</t>
  </si>
  <si>
    <t>-6653</t>
  </si>
  <si>
    <t>0.2779</t>
  </si>
  <si>
    <t>0.2279</t>
  </si>
  <si>
    <t>22028000021913608</t>
  </si>
  <si>
    <t>51788000002775243</t>
  </si>
  <si>
    <t>zcrm_51788000268018001</t>
  </si>
  <si>
    <t>2024-04-08 09:57:50</t>
  </si>
  <si>
    <t>Mr. Mukesh L</t>
  </si>
  <si>
    <t>mukeshlht01@gmail.com</t>
  </si>
  <si>
    <t>+919721452310</t>
  </si>
  <si>
    <t>sct@sunbeamschools.com</t>
  </si>
  <si>
    <t>principal.suncity@sunbeamschools.com</t>
  </si>
  <si>
    <t>821 Ga, Bachhaon road, Karsana</t>
  </si>
  <si>
    <t>ALDS01451C</t>
  </si>
  <si>
    <t>Bachhaon road, Karsana</t>
  </si>
  <si>
    <t>Mahatma Montessori School CBSE</t>
  </si>
  <si>
    <t>2023-11-01 00:00:00</t>
  </si>
  <si>
    <t>IN-2022001232</t>
  </si>
  <si>
    <t>955940</t>
  </si>
  <si>
    <t>959140</t>
  </si>
  <si>
    <t>-3200</t>
  </si>
  <si>
    <t>0.4167</t>
  </si>
  <si>
    <t>22028000019791668</t>
  </si>
  <si>
    <t>51788000002775247</t>
  </si>
  <si>
    <t>zcrm_51788000259805789</t>
  </si>
  <si>
    <t>2024-03-14 16:07:17</t>
  </si>
  <si>
    <t>Anita</t>
  </si>
  <si>
    <t>mahatmaab@mahatmaschools.com</t>
  </si>
  <si>
    <t>+918903227288</t>
  </si>
  <si>
    <t>Parent Teacher Road, Gopala Krishnan Nagar</t>
  </si>
  <si>
    <t>625007</t>
  </si>
  <si>
    <t>Cygnus World School</t>
  </si>
  <si>
    <t>2024-07-13 00:00:00</t>
  </si>
  <si>
    <t>IN-2022002346</t>
  </si>
  <si>
    <t>72000</t>
  </si>
  <si>
    <t>14400</t>
  </si>
  <si>
    <t>144000</t>
  </si>
  <si>
    <t>129600</t>
  </si>
  <si>
    <t>22028000023543200</t>
  </si>
  <si>
    <t>51788000002775249</t>
  </si>
  <si>
    <t>zcrm_51788000261626336</t>
  </si>
  <si>
    <t>2024-07-22 14:22:32</t>
  </si>
  <si>
    <t>Ms. Kanchan Joshi</t>
  </si>
  <si>
    <t>principal@cygnusworldschool.com</t>
  </si>
  <si>
    <t>+918980804127</t>
  </si>
  <si>
    <t>Reachus@cygnusworldschool.com</t>
  </si>
  <si>
    <t>MotnathMahadev Road, Harni</t>
  </si>
  <si>
    <t>390022</t>
  </si>
  <si>
    <t>Candor International School</t>
  </si>
  <si>
    <t>IN-2022002286</t>
  </si>
  <si>
    <t>10415</t>
  </si>
  <si>
    <t>614461</t>
  </si>
  <si>
    <t>604046</t>
  </si>
  <si>
    <t>0.3333</t>
  </si>
  <si>
    <t>IB</t>
  </si>
  <si>
    <t>2025-07-31 00:00:00</t>
  </si>
  <si>
    <t>22028000023208392</t>
  </si>
  <si>
    <t>51788000002775270</t>
  </si>
  <si>
    <t>zcrm_51788000271235068</t>
  </si>
  <si>
    <t>2024-06-29 15:53:49</t>
  </si>
  <si>
    <t>Dr. Aninda Chatterjee</t>
  </si>
  <si>
    <t>principal@candorschool.com</t>
  </si>
  <si>
    <t>+919743223392</t>
  </si>
  <si>
    <t>enquire@candorschool.com</t>
  </si>
  <si>
    <t>503000</t>
  </si>
  <si>
    <t>Begur Koppa Road, Hullahalli</t>
  </si>
  <si>
    <t>560105</t>
  </si>
  <si>
    <t>BVM Global @ Perungudi</t>
  </si>
  <si>
    <t>IN-2022002312</t>
  </si>
  <si>
    <t>709</t>
  </si>
  <si>
    <t>97265</t>
  </si>
  <si>
    <t>226953</t>
  </si>
  <si>
    <t>22840</t>
  </si>
  <si>
    <t>324218</t>
  </si>
  <si>
    <t>205571</t>
  </si>
  <si>
    <t>95807</t>
  </si>
  <si>
    <t>0.6169</t>
  </si>
  <si>
    <t>22028000023336328</t>
  </si>
  <si>
    <t>51788000002775282</t>
  </si>
  <si>
    <t>zcrm_51788000271455309</t>
  </si>
  <si>
    <t>2024-07-05 08:44:05</t>
  </si>
  <si>
    <t>office_perungudi@bvmglobal.org</t>
  </si>
  <si>
    <t>No.144, Corporation Road, Seevaram, Perungudi,Chennai,Tamil Nadu - 600096</t>
  </si>
  <si>
    <t>600096</t>
  </si>
  <si>
    <t>Kokilaben Dhirubhai Ambani Reliance Foundation School</t>
  </si>
  <si>
    <t>IN-2022002363</t>
  </si>
  <si>
    <t>2714</t>
  </si>
  <si>
    <t>2024-09-16 00:00:00</t>
  </si>
  <si>
    <t>135675</t>
  </si>
  <si>
    <t>132961</t>
  </si>
  <si>
    <t>Jamnagar</t>
  </si>
  <si>
    <t>22028000023631992</t>
  </si>
  <si>
    <t>51788000002733835</t>
  </si>
  <si>
    <t>zcrm_51788000272112001</t>
  </si>
  <si>
    <t>2024-08-10 13:03:13</t>
  </si>
  <si>
    <t>Navin Agrawal</t>
  </si>
  <si>
    <t>Navin.Agrawal@rfs.edu.in</t>
  </si>
  <si>
    <t>+918690222041</t>
  </si>
  <si>
    <t>kdavprincipal.jamnagar@ril.com</t>
  </si>
  <si>
    <t>Sector-11, Reliance Greens, Motikhavdi,</t>
  </si>
  <si>
    <t>361142</t>
  </si>
  <si>
    <t>BVM Global @ Coimbatore</t>
  </si>
  <si>
    <t>IN-2022002313</t>
  </si>
  <si>
    <t>701</t>
  </si>
  <si>
    <t>95469</t>
  </si>
  <si>
    <t>222760</t>
  </si>
  <si>
    <t>9547</t>
  </si>
  <si>
    <t>2024-08-19 00:00:00</t>
  </si>
  <si>
    <t>318229</t>
  </si>
  <si>
    <t>85922</t>
  </si>
  <si>
    <t>0.6103000000000001</t>
  </si>
  <si>
    <t>Coimbatore</t>
  </si>
  <si>
    <t>22028000023342480</t>
  </si>
  <si>
    <t>51788000002775676</t>
  </si>
  <si>
    <t>zcrm_51788000271457129</t>
  </si>
  <si>
    <t>2024-07-05 08:43:43</t>
  </si>
  <si>
    <t>principal_coimbatore1@bvmglobal.org</t>
  </si>
  <si>
    <t>635, 680/6, 681/1, Kathiravan Gardens, Behind Central studio, Singanallur(off Trichy Road)</t>
  </si>
  <si>
    <t>641005</t>
  </si>
  <si>
    <t>Rabindra Vidya Niketan</t>
  </si>
  <si>
    <t>IN-2022002000</t>
  </si>
  <si>
    <t>323</t>
  </si>
  <si>
    <t>946</t>
  </si>
  <si>
    <t>1313</t>
  </si>
  <si>
    <t>2024-05-04 00:00:00</t>
  </si>
  <si>
    <t>211866</t>
  </si>
  <si>
    <t>2307179</t>
  </si>
  <si>
    <t>2089183</t>
  </si>
  <si>
    <t>6130</t>
  </si>
  <si>
    <t>0.7848999999999999</t>
  </si>
  <si>
    <t>Keonjhar</t>
  </si>
  <si>
    <t>22028000022353352</t>
  </si>
  <si>
    <t>51788000002775683</t>
  </si>
  <si>
    <t>zcrm_51788000268922001</t>
  </si>
  <si>
    <t>2024-05-04 09:45:06</t>
  </si>
  <si>
    <t>Suparna Ma'am</t>
  </si>
  <si>
    <t>suparna1720@gmail.com</t>
  </si>
  <si>
    <t>+917085679845</t>
  </si>
  <si>
    <t>rvniketan@gmail.com</t>
  </si>
  <si>
    <t>Suparna Roychoudhury</t>
  </si>
  <si>
    <t>Saswati Praharaj</t>
  </si>
  <si>
    <t>saswatipraharajgeol.kjr@gmail.com</t>
  </si>
  <si>
    <t>+917008331417</t>
  </si>
  <si>
    <t>N.H.-6, Badhal, Po - Ghutur, Via - Keonjhar Bazar, Keonjhar, Odisha 758002</t>
  </si>
  <si>
    <t>758002</t>
  </si>
  <si>
    <t>BBNR01164C</t>
  </si>
  <si>
    <t>N.H.-6, Badhal, Po - Ghutur, Via - Keonjhar Bazar, Keonjhar, Odisha, 758002</t>
  </si>
  <si>
    <t>Step By Step School</t>
  </si>
  <si>
    <t>IN-2022002465</t>
  </si>
  <si>
    <t>585</t>
  </si>
  <si>
    <t>2025-01-16 00:00:00</t>
  </si>
  <si>
    <t>441675</t>
  </si>
  <si>
    <t>398560</t>
  </si>
  <si>
    <t>43115</t>
  </si>
  <si>
    <t>22028000024301300</t>
  </si>
  <si>
    <t>51788000002775720</t>
  </si>
  <si>
    <t>zcrm_51788000273246105</t>
  </si>
  <si>
    <t>2024-10-26 16:35:52</t>
  </si>
  <si>
    <t>Ms. Karuna Ahluwalia</t>
  </si>
  <si>
    <t>karuna.ahluwalia@sbs-school.org</t>
  </si>
  <si>
    <t>+919810294907</t>
  </si>
  <si>
    <t>Plot No. A-10, Sector 132 Taj Expressway,</t>
  </si>
  <si>
    <t>201303</t>
  </si>
  <si>
    <t>Taj Expressway,</t>
  </si>
  <si>
    <t>Vidya Vanam Sr Sec School</t>
  </si>
  <si>
    <t>2024-03-12 00:00:00</t>
  </si>
  <si>
    <t>IN-2022001607</t>
  </si>
  <si>
    <t>1525</t>
  </si>
  <si>
    <t>55353</t>
  </si>
  <si>
    <t>17284</t>
  </si>
  <si>
    <t>221412</t>
  </si>
  <si>
    <t>224159</t>
  </si>
  <si>
    <t>-20031</t>
  </si>
  <si>
    <t>22028000021485864</t>
  </si>
  <si>
    <t>51788000002775738</t>
  </si>
  <si>
    <t>zcrm_51788000266594184</t>
  </si>
  <si>
    <t>2024-03-18 16:11:51</t>
  </si>
  <si>
    <t>Srikanth TM .</t>
  </si>
  <si>
    <t>vvsschooloffice@gmail.com</t>
  </si>
  <si>
    <t>+919047222474</t>
  </si>
  <si>
    <t>vvschooloffice@gmail.com</t>
  </si>
  <si>
    <t>63000</t>
  </si>
  <si>
    <t>Thoovaipatay Road Anaikatti</t>
  </si>
  <si>
    <t>641108</t>
  </si>
  <si>
    <t>CHEB06554C</t>
  </si>
  <si>
    <t>Parle Tilak Vidyalaya (Primary) ICSE</t>
  </si>
  <si>
    <t>IN-2022002261</t>
  </si>
  <si>
    <t>825</t>
  </si>
  <si>
    <t>112200</t>
  </si>
  <si>
    <t>22028000023098384</t>
  </si>
  <si>
    <t>51788000002775846</t>
  </si>
  <si>
    <t>zcrm_51788000270953001</t>
  </si>
  <si>
    <t>2024-06-25 13:34:56</t>
  </si>
  <si>
    <t>Mrs. Arnavaz Bhagat</t>
  </si>
  <si>
    <t>ptvicse@gmail.com</t>
  </si>
  <si>
    <t>+919833206217</t>
  </si>
  <si>
    <t>Thanawala Lane, Off Mahatma Gandhi Road, Vile Parle (East),</t>
  </si>
  <si>
    <t>400057</t>
  </si>
  <si>
    <t>C.A.R.E. International School</t>
  </si>
  <si>
    <t>IN-2022001805</t>
  </si>
  <si>
    <t>484224</t>
  </si>
  <si>
    <t>20368</t>
  </si>
  <si>
    <t>2024-04-23 00:00:00</t>
  </si>
  <si>
    <t>968448</t>
  </si>
  <si>
    <t>998036</t>
  </si>
  <si>
    <t>-49956</t>
  </si>
  <si>
    <t>Tiruchirappalli</t>
  </si>
  <si>
    <t>22028000021864908</t>
  </si>
  <si>
    <t>51788000002775847</t>
  </si>
  <si>
    <t>zcrm_51788000267853180</t>
  </si>
  <si>
    <t>2024-04-03 23:36:06</t>
  </si>
  <si>
    <t>Mrs GITA PATTANAYAK .</t>
  </si>
  <si>
    <t>cis@care.ac.in</t>
  </si>
  <si>
    <t>+919444611917</t>
  </si>
  <si>
    <t>care.dischule@gmail.com</t>
  </si>
  <si>
    <t>Mrs Prema</t>
  </si>
  <si>
    <t>+919686778914</t>
  </si>
  <si>
    <t>80000</t>
  </si>
  <si>
    <t>No 27, Thaayanoor village, N.Kutapattu, Tiruchirapalli,</t>
  </si>
  <si>
    <t>620009</t>
  </si>
  <si>
    <t>CHEG09326C</t>
  </si>
  <si>
    <t>Kaushalya World School</t>
  </si>
  <si>
    <t>IN-2022001712</t>
  </si>
  <si>
    <t>134482</t>
  </si>
  <si>
    <t>13448</t>
  </si>
  <si>
    <t>2025-12-12 00:00:00</t>
  </si>
  <si>
    <t>537928</t>
  </si>
  <si>
    <t>217935</t>
  </si>
  <si>
    <t>306545</t>
  </si>
  <si>
    <t>0.5769</t>
  </si>
  <si>
    <t>Greater Noida</t>
  </si>
  <si>
    <t>22028000021663052</t>
  </si>
  <si>
    <t>51788000002775901</t>
  </si>
  <si>
    <t>zcrm_51788000267302025</t>
  </si>
  <si>
    <t>2024-07-01 12:05:30</t>
  </si>
  <si>
    <t>Ms. Anjali Mittal</t>
  </si>
  <si>
    <t>principal@kaushalyaworldschool.com</t>
  </si>
  <si>
    <t>+919958144100</t>
  </si>
  <si>
    <t>info@kwsmail.com</t>
  </si>
  <si>
    <t>Pi-Ii, Greater Noida.</t>
  </si>
  <si>
    <t>-</t>
  </si>
  <si>
    <t>DELO03172B</t>
  </si>
  <si>
    <t>KLE English Medium CBSE School, Nipani</t>
  </si>
  <si>
    <t>IN-2022002209, IN-2022002238</t>
  </si>
  <si>
    <t>188447, 94218</t>
  </si>
  <si>
    <t>18722.2, 30610</t>
  </si>
  <si>
    <t>188436, 376894</t>
  </si>
  <si>
    <t>168499.8, 330590</t>
  </si>
  <si>
    <t>1214, 15694</t>
  </si>
  <si>
    <t>22028000023002368, 22028000023033528</t>
  </si>
  <si>
    <t>51788000002775903</t>
  </si>
  <si>
    <t>zcrm_51788000270604152, zcrm_51788000270692172</t>
  </si>
  <si>
    <t>2024-06-18 10:40:29, 2024-06-18 10:44:30</t>
  </si>
  <si>
    <t>klecbsenpn@rediffmail.com</t>
  </si>
  <si>
    <t>Budalmukh road, Nipani Dist Belagavi</t>
  </si>
  <si>
    <t>Global Indian International School</t>
  </si>
  <si>
    <t>2025-02-05 00:00:00</t>
  </si>
  <si>
    <t>Karnataka - Central</t>
  </si>
  <si>
    <t>Regular School: Active school with only revenue defined</t>
  </si>
  <si>
    <t>Global Edge School</t>
  </si>
  <si>
    <t>IN-2022001855</t>
  </si>
  <si>
    <t>44403</t>
  </si>
  <si>
    <t>444030</t>
  </si>
  <si>
    <t>399627</t>
  </si>
  <si>
    <t>22028000021930356</t>
  </si>
  <si>
    <t>51788000002776071</t>
  </si>
  <si>
    <t>zcrm_51788000266680445</t>
  </si>
  <si>
    <t>2024-04-24 10:52:45</t>
  </si>
  <si>
    <t>Ms. Swathi Reddy</t>
  </si>
  <si>
    <t>Ms. Sreevalli KP</t>
  </si>
  <si>
    <t>Sreevalli.kp@globaledgeschool.com</t>
  </si>
  <si>
    <t>Ms. Jyothi Anne</t>
  </si>
  <si>
    <t>jyothianne@globaledgeschool.com</t>
  </si>
  <si>
    <t>+919912745767</t>
  </si>
  <si>
    <t>Plot no.303 to 306,Sy no.1052,Road No:4, KPHB Phase 1 &amp; 2,Kukatpally</t>
  </si>
  <si>
    <t>500085</t>
  </si>
  <si>
    <t>Sri Sri Academy</t>
  </si>
  <si>
    <t>2024-03-26 00:00:00</t>
  </si>
  <si>
    <t>IN-2022001753</t>
  </si>
  <si>
    <t>477064</t>
  </si>
  <si>
    <t>458701</t>
  </si>
  <si>
    <t>18363</t>
  </si>
  <si>
    <t>0.30760000000000004</t>
  </si>
  <si>
    <t>22028000021749052</t>
  </si>
  <si>
    <t>51788000002776080</t>
  </si>
  <si>
    <t>zcrm_51788000262008012</t>
  </si>
  <si>
    <t>gaurav.muliya_ei</t>
  </si>
  <si>
    <t>gaurav.muliya@ei.study</t>
  </si>
  <si>
    <t>Gaurav muliya</t>
  </si>
  <si>
    <t>2024-03-27 09:25:35</t>
  </si>
  <si>
    <t>Mr. Vipul Ghanva</t>
  </si>
  <si>
    <t>principal@srisriacademy.org</t>
  </si>
  <si>
    <t>+919638289048</t>
  </si>
  <si>
    <t>info@srisriacademy.org</t>
  </si>
  <si>
    <t>32000</t>
  </si>
  <si>
    <t>Opp. Vinayak Farm House, Nr St. paul's English Medium School, Christ College Road</t>
  </si>
  <si>
    <t>Cambridge School, K R Puram</t>
  </si>
  <si>
    <t>2024-05-22 00:00:00, 2024-06-08 00:00:00</t>
  </si>
  <si>
    <t>IN-2022002070, IN-2022002074, IN-2022002182, IN-2022002183, IN-2022002184</t>
  </si>
  <si>
    <t>300, 750, 800</t>
  </si>
  <si>
    <t>1017</t>
  </si>
  <si>
    <t>28714, 38396, 398500, 49960, 95312</t>
  </si>
  <si>
    <t>2024-09-05 00:00:00</t>
  </si>
  <si>
    <t>127083, 38285, 51195, 531333, 66613</t>
  </si>
  <si>
    <t>1333, 17047, 1781, 2310, 4501</t>
  </si>
  <si>
    <t>2024-09-12 00:00:00</t>
  </si>
  <si>
    <t>2025-02-18 00:00:00, 2025-08-19 00:00:00</t>
  </si>
  <si>
    <t>127987, 1328333, 166533, 317707, 95713</t>
  </si>
  <si>
    <t>113211, 1519237, 220554, 65349, 87250</t>
  </si>
  <si>
    <t>-207951, 29031, 38956, 51012, 92652</t>
  </si>
  <si>
    <t>0.6667000000000001, 0.7692, 0.8181999999999999, 0.8332999999999999, 0.8987</t>
  </si>
  <si>
    <t>0.5667, 0.7192000000000001, 0.7681999999999999, 0.7833, 0.8487</t>
  </si>
  <si>
    <t>2024-05-21 00:00:00, 2024-06-01 00:00:00</t>
  </si>
  <si>
    <t>2025-04-30 00:00:00, 2025-07-31 00:00:00</t>
  </si>
  <si>
    <t>22028000022593584, 22028000022593912, 22028000022876080, 22028000022876148, 22028000022876228</t>
  </si>
  <si>
    <t>51788000002733860</t>
  </si>
  <si>
    <t>zcrm_51788000269883001, zcrm_51788000269883525, zcrm_51788000270491001, zcrm_51788000270491132, zcrm_51788000270491263</t>
  </si>
  <si>
    <t>maruf.shaikh1, sourabh.mehta_eiindia</t>
  </si>
  <si>
    <t>2024-06-08 12:48:13, 2024-06-08 13:58:57, 2024-06-08 14:04:15, 2024-06-08 14:16:07, 2024-06-08 14:31:04</t>
  </si>
  <si>
    <t>Dr. Prashant Fernandes</t>
  </si>
  <si>
    <t>principal@cambridge-school.edu.in</t>
  </si>
  <si>
    <t>+917411692114</t>
  </si>
  <si>
    <t>info@cambridge-school.edu.in</t>
  </si>
  <si>
    <t>Basavanapura Main Road, Devasandra, K R Puram,</t>
  </si>
  <si>
    <t>St Kabir Indian International School</t>
  </si>
  <si>
    <t>IN-2022001627</t>
  </si>
  <si>
    <t>536</t>
  </si>
  <si>
    <t>972</t>
  </si>
  <si>
    <t>1348</t>
  </si>
  <si>
    <t>1974407</t>
  </si>
  <si>
    <t>85246</t>
  </si>
  <si>
    <t>3948814</t>
  </si>
  <si>
    <t>3490115.75</t>
  </si>
  <si>
    <t>373452</t>
  </si>
  <si>
    <t>0.7791</t>
  </si>
  <si>
    <t>0.6291</t>
  </si>
  <si>
    <t>22028000021524156</t>
  </si>
  <si>
    <t>51788000002776290</t>
  </si>
  <si>
    <t>zcrm_51788000266302158</t>
  </si>
  <si>
    <t>2024-03-27 16:54:36</t>
  </si>
  <si>
    <t>Mr. Arjun Tandon</t>
  </si>
  <si>
    <t>arjun@stkabirschool.com</t>
  </si>
  <si>
    <t>+919825566011</t>
  </si>
  <si>
    <t>Info@stkabirschool.com</t>
  </si>
  <si>
    <t>60000</t>
  </si>
  <si>
    <t>Block No:80 Survey No. 94, Charotar - Zaveripura Pasta Road Chapad</t>
  </si>
  <si>
    <t>391410</t>
  </si>
  <si>
    <t>BRDM00569C</t>
  </si>
  <si>
    <t>Green Valley English School</t>
  </si>
  <si>
    <t>2024-12-28 00:00:00</t>
  </si>
  <si>
    <t>2024-12-13 00:00:00</t>
  </si>
  <si>
    <t>51788000002776305</t>
  </si>
  <si>
    <t>zcrm_51788000279391373</t>
  </si>
  <si>
    <t>Mr. Sandesh</t>
  </si>
  <si>
    <t>sandeshcl091@gmail.com</t>
  </si>
  <si>
    <t>+919900362255</t>
  </si>
  <si>
    <t>admin@greenvalleyenglishschool.com</t>
  </si>
  <si>
    <t>Chunchaghatta Main Road, Konanakunte</t>
  </si>
  <si>
    <t>560062</t>
  </si>
  <si>
    <t>BLRS27522F</t>
  </si>
  <si>
    <t>Pearson School Kompally</t>
  </si>
  <si>
    <t>IN-2022002365</t>
  </si>
  <si>
    <t>189135</t>
  </si>
  <si>
    <t>37814</t>
  </si>
  <si>
    <t>2025-02-21 00:00:00</t>
  </si>
  <si>
    <t>378270</t>
  </si>
  <si>
    <t>340322</t>
  </si>
  <si>
    <t>134</t>
  </si>
  <si>
    <t>0.5329999999999999</t>
  </si>
  <si>
    <t>2025-03-18 00:00:00</t>
  </si>
  <si>
    <t>22028000023676072</t>
  </si>
  <si>
    <t>51788000002776673</t>
  </si>
  <si>
    <t>zcrm_51788000272061146</t>
  </si>
  <si>
    <t>neela.omprakash_ei</t>
  </si>
  <si>
    <t>neela.omprakash@ei.study</t>
  </si>
  <si>
    <t>Neela omprakash</t>
  </si>
  <si>
    <t>2024-08-07 17:30:04</t>
  </si>
  <si>
    <t>Mr. Asma Shaheda</t>
  </si>
  <si>
    <t>principal@pearsonschoolkompally.edu.in</t>
  </si>
  <si>
    <t>+918909648888</t>
  </si>
  <si>
    <t>No.149-150, Kompally Village</t>
  </si>
  <si>
    <t>500014</t>
  </si>
  <si>
    <t>HYDP08564D</t>
  </si>
  <si>
    <t>Padma Seshadri Bala Bhavan Senior Secondary School, Siruseri</t>
  </si>
  <si>
    <t>IN-2022002129</t>
  </si>
  <si>
    <t>116388</t>
  </si>
  <si>
    <t>271573</t>
  </si>
  <si>
    <t>13604</t>
  </si>
  <si>
    <t>387961</t>
  </si>
  <si>
    <t>384858</t>
  </si>
  <si>
    <t>-10501</t>
  </si>
  <si>
    <t>22028000022755044</t>
  </si>
  <si>
    <t>51788000002776685</t>
  </si>
  <si>
    <t>zcrm_51788000270168385</t>
  </si>
  <si>
    <t>2024-06-07 18:26:55</t>
  </si>
  <si>
    <t>manager@psbbsiruseri.com</t>
  </si>
  <si>
    <t>principalsrs@psbbschools.ac.in</t>
  </si>
  <si>
    <t>L&amp;T Eden Park Township, M. R. Radha Main Road, Siruseri -Pudupakkam Village, Chengalpet Dist</t>
  </si>
  <si>
    <t>603103</t>
  </si>
  <si>
    <t>Sage School</t>
  </si>
  <si>
    <t>IN-2022002263</t>
  </si>
  <si>
    <t>990</t>
  </si>
  <si>
    <t>7861</t>
  </si>
  <si>
    <t>393062</t>
  </si>
  <si>
    <t>385201</t>
  </si>
  <si>
    <t>0.6192</t>
  </si>
  <si>
    <t>22028000023101292</t>
  </si>
  <si>
    <t>51788000002776720</t>
  </si>
  <si>
    <t>zcrm_51788000270731228</t>
  </si>
  <si>
    <t>2024-07-08 17:56:17</t>
  </si>
  <si>
    <t>Mrs. Chaitra Reddy</t>
  </si>
  <si>
    <t>sageschoolhyd@gmail.com</t>
  </si>
  <si>
    <t>+919701228429</t>
  </si>
  <si>
    <t>info@sageschool.edu.in</t>
  </si>
  <si>
    <t>Opposite, Cpri, Medipally, Warangal Highway,</t>
  </si>
  <si>
    <t>500039</t>
  </si>
  <si>
    <t>Ramco Vidya Mandir School</t>
  </si>
  <si>
    <t>IN-2022002031</t>
  </si>
  <si>
    <t>1780</t>
  </si>
  <si>
    <t>95549</t>
  </si>
  <si>
    <t>24293</t>
  </si>
  <si>
    <t>2025-04-05 00:00:00</t>
  </si>
  <si>
    <t>382196</t>
  </si>
  <si>
    <t>262355</t>
  </si>
  <si>
    <t>95548</t>
  </si>
  <si>
    <t>Ariyalur</t>
  </si>
  <si>
    <t>22028000022410048</t>
  </si>
  <si>
    <t>51788000002776899</t>
  </si>
  <si>
    <t>zcrm_51788000267382023</t>
  </si>
  <si>
    <t>banupriya.g_ei</t>
  </si>
  <si>
    <t>banupriya.g@ei.study</t>
  </si>
  <si>
    <t>Banupriya g</t>
  </si>
  <si>
    <t>BANUPRIYA G</t>
  </si>
  <si>
    <t>2024-05-10 16:05:32</t>
  </si>
  <si>
    <t>Sharmila Vetrivel</t>
  </si>
  <si>
    <t>alaracovidyalaya@gmail.com</t>
  </si>
  <si>
    <t>+919942986122</t>
  </si>
  <si>
    <t>vidyamandirary@gmail.com</t>
  </si>
  <si>
    <t>6000</t>
  </si>
  <si>
    <t>Govindapuraam</t>
  </si>
  <si>
    <t>621705</t>
  </si>
  <si>
    <t>Govindapuram</t>
  </si>
  <si>
    <t>CHEM12805C</t>
  </si>
  <si>
    <t>Shiv Nadar School, Noida (CBSE)</t>
  </si>
  <si>
    <t>IN-2022002431</t>
  </si>
  <si>
    <t>22028000024126160</t>
  </si>
  <si>
    <t>51788000002776909</t>
  </si>
  <si>
    <t>zcrm_51788000272128634</t>
  </si>
  <si>
    <t>2024-08-16 15:51:32</t>
  </si>
  <si>
    <t>Mr. Piyush Guglani</t>
  </si>
  <si>
    <t>piyush.guglani@sns.edu.in</t>
  </si>
  <si>
    <t>+917838813311</t>
  </si>
  <si>
    <t>principal.noida@sns.edu.in</t>
  </si>
  <si>
    <t>Plot SS1,Expressway, Sector 168</t>
  </si>
  <si>
    <t>201305</t>
  </si>
  <si>
    <t>PVPST Gujarati Medium School</t>
  </si>
  <si>
    <t>2024-07-01 00:00:00, 2024-10-21 00:00:00</t>
  </si>
  <si>
    <t>IN-2022002298, IN-2022002533</t>
  </si>
  <si>
    <t>1441</t>
  </si>
  <si>
    <t>2024-03-31 00:00:00, 2024-12-16 00:00:00</t>
  </si>
  <si>
    <t>2025-02-10 00:00:00</t>
  </si>
  <si>
    <t>1700, 68000</t>
  </si>
  <si>
    <t>0, 82193</t>
  </si>
  <si>
    <t>-14193, 1700</t>
  </si>
  <si>
    <t>0.5278, 0.5753</t>
  </si>
  <si>
    <t>0.4253, 0.4778</t>
  </si>
  <si>
    <t>22028000023251064, 22028000025606296</t>
  </si>
  <si>
    <t>51788000002776916</t>
  </si>
  <si>
    <t>zcrm_51788000271061568, zcrm_51788000275493035</t>
  </si>
  <si>
    <t>ishita.jethwa_ei, pooja.joshi_eiindia1</t>
  </si>
  <si>
    <t>ishita.jethwa@ei.study, pooja.joshi@ei.study</t>
  </si>
  <si>
    <t>Ishita jethwa, Pooja joshi</t>
  </si>
  <si>
    <t>2024-07-01 11:02:28, 2024-10-21 12:47:55</t>
  </si>
  <si>
    <t>Gokul Paravoor, Mr. Gokul Paravoor</t>
  </si>
  <si>
    <t>gokul.paravoor@tges.org</t>
  </si>
  <si>
    <t>+919909998141</t>
  </si>
  <si>
    <t>+916364247878</t>
  </si>
  <si>
    <t>52400</t>
  </si>
  <si>
    <t>Kalavad Rd, Kotecha Chowk</t>
  </si>
  <si>
    <t>360001</t>
  </si>
  <si>
    <t>RKTJ02877A</t>
  </si>
  <si>
    <t>Gopal^s Garden High School</t>
  </si>
  <si>
    <t>IN-2022001612, IN-2022001613</t>
  </si>
  <si>
    <t>525</t>
  </si>
  <si>
    <t>389228, 57803</t>
  </si>
  <si>
    <t>134873, 908198</t>
  </si>
  <si>
    <t>13461, 44783</t>
  </si>
  <si>
    <t>1297426, 192676</t>
  </si>
  <si>
    <t>1198776, 173880</t>
  </si>
  <si>
    <t>5335, 53867</t>
  </si>
  <si>
    <t>0.2778, 0.65</t>
  </si>
  <si>
    <t>22028000021501088, 22028000021501128</t>
  </si>
  <si>
    <t>51788000002776921</t>
  </si>
  <si>
    <t>zcrm_51788000266537257, zcrm_51788000266537385</t>
  </si>
  <si>
    <t>2024-03-21 11:17:56, 2024-03-21 11:18:03</t>
  </si>
  <si>
    <t>Rajas Sardesai Bhosale</t>
  </si>
  <si>
    <t>principalgopalsgarden@gmail.com</t>
  </si>
  <si>
    <t>+919869444371</t>
  </si>
  <si>
    <t>shilpa@gopalsgarden.com</t>
  </si>
  <si>
    <t>Shashank</t>
  </si>
  <si>
    <t>shashabk.gghs@gmail.com</t>
  </si>
  <si>
    <t>Plot No. 1, Near National Park, Kulupwadi, Borivali(East),</t>
  </si>
  <si>
    <t>400066</t>
  </si>
  <si>
    <t>MUMS43249D</t>
  </si>
  <si>
    <t>Vidyagyan School</t>
  </si>
  <si>
    <t>IN-2022001543</t>
  </si>
  <si>
    <t>631</t>
  </si>
  <si>
    <t>23676</t>
  </si>
  <si>
    <t>236763</t>
  </si>
  <si>
    <t>213086</t>
  </si>
  <si>
    <t>0.5992000000000001</t>
  </si>
  <si>
    <t>0.49920000000000003</t>
  </si>
  <si>
    <t>Sitapur</t>
  </si>
  <si>
    <t>22028000021174192</t>
  </si>
  <si>
    <t>51788000002776922</t>
  </si>
  <si>
    <t>zcrm_51788000265334152</t>
  </si>
  <si>
    <t>2024-02-23 14:37:13</t>
  </si>
  <si>
    <t>Mr. Ankit Agarwal</t>
  </si>
  <si>
    <t>ankit.agrawal@vidyagyan.in</t>
  </si>
  <si>
    <t>+919897835857</t>
  </si>
  <si>
    <t>SR275@shivnadarfoundation.microsoft.com</t>
  </si>
  <si>
    <t>Mrs. Swati S. Shaligram</t>
  </si>
  <si>
    <t>SS640@VIDYAGYAN.IN</t>
  </si>
  <si>
    <t>Ankit.Agrawal@vidyagyan.in</t>
  </si>
  <si>
    <t>+919557773802</t>
  </si>
  <si>
    <t>Village Suraincha, Tehsil - Sidhauli, Dist-Sitapur</t>
  </si>
  <si>
    <t>261302</t>
  </si>
  <si>
    <t>Shiv Nadar School, Gurugram (CBSE)</t>
  </si>
  <si>
    <t>IN-2022002429</t>
  </si>
  <si>
    <t>Gurugram</t>
  </si>
  <si>
    <t>22028000024126064</t>
  </si>
  <si>
    <t>51788000002776951</t>
  </si>
  <si>
    <t>zcrm_51788000272870976</t>
  </si>
  <si>
    <t>2024-08-16 15:51:46</t>
  </si>
  <si>
    <t>principal.ggn@sns.edu.in</t>
  </si>
  <si>
    <t>DLF City, Phase -1 Block -E, Pahari Road</t>
  </si>
  <si>
    <t>122011</t>
  </si>
  <si>
    <t>Suchitra Academy</t>
  </si>
  <si>
    <t>2024-05-11 00:00:00</t>
  </si>
  <si>
    <t>IN-2022002038</t>
  </si>
  <si>
    <t>88632</t>
  </si>
  <si>
    <t>945360</t>
  </si>
  <si>
    <t>797688</t>
  </si>
  <si>
    <t>59040</t>
  </si>
  <si>
    <t>0.52</t>
  </si>
  <si>
    <t>22028000022463136</t>
  </si>
  <si>
    <t>51788000002777058</t>
  </si>
  <si>
    <t>zcrm_51788000269447364</t>
  </si>
  <si>
    <t>2024-05-20 10:55:33</t>
  </si>
  <si>
    <t>Ms. Deepa Kapoor</t>
  </si>
  <si>
    <t>principal@suchitra.in</t>
  </si>
  <si>
    <t>+918143040503</t>
  </si>
  <si>
    <t>info@suchitra.in</t>
  </si>
  <si>
    <t>+918143041345</t>
  </si>
  <si>
    <t>Ms. Priyanka B</t>
  </si>
  <si>
    <t>priyanka.b@suchitra.in</t>
  </si>
  <si>
    <t>+919963451605</t>
  </si>
  <si>
    <t>4-102, Suchitra Junction</t>
  </si>
  <si>
    <t>500067</t>
  </si>
  <si>
    <t>Sri Sankara Senior Secondary School</t>
  </si>
  <si>
    <t>IN-2022001727</t>
  </si>
  <si>
    <t>772</t>
  </si>
  <si>
    <t>448</t>
  </si>
  <si>
    <t>305805</t>
  </si>
  <si>
    <t>2024-10-20 00:00:00</t>
  </si>
  <si>
    <t>713545</t>
  </si>
  <si>
    <t>101979</t>
  </si>
  <si>
    <t>1019350</t>
  </si>
  <si>
    <t>917818</t>
  </si>
  <si>
    <t>-447</t>
  </si>
  <si>
    <t>0.5021</t>
  </si>
  <si>
    <t>22028000021711068</t>
  </si>
  <si>
    <t>51788000002733910</t>
  </si>
  <si>
    <t>zcrm_51788000267409025</t>
  </si>
  <si>
    <t>2024-04-02 22:36:54</t>
  </si>
  <si>
    <t>Mrs. Vidyalakshmi S</t>
  </si>
  <si>
    <t>principal@sssa.in</t>
  </si>
  <si>
    <t>+919840372736</t>
  </si>
  <si>
    <t>school@sssa.in</t>
  </si>
  <si>
    <t>9/21, Vasantha Press Road, Opposite Malar Hospital, Adjacent to Theosophical Society, Adyar</t>
  </si>
  <si>
    <t>600020</t>
  </si>
  <si>
    <t>CHEI00663F</t>
  </si>
  <si>
    <t>The Ivy Global School</t>
  </si>
  <si>
    <t>IN-2022001884</t>
  </si>
  <si>
    <t>1208</t>
  </si>
  <si>
    <t>45289</t>
  </si>
  <si>
    <t>18772</t>
  </si>
  <si>
    <t>2024-08-21 00:00:00</t>
  </si>
  <si>
    <t>181156</t>
  </si>
  <si>
    <t>168947</t>
  </si>
  <si>
    <t>-6563</t>
  </si>
  <si>
    <t>0.5355</t>
  </si>
  <si>
    <t>Bhopal</t>
  </si>
  <si>
    <t>22028000021979448</t>
  </si>
  <si>
    <t>51788000002777879</t>
  </si>
  <si>
    <t>zcrm_51788000268214195</t>
  </si>
  <si>
    <t>2024-04-13 12:13:02</t>
  </si>
  <si>
    <t>Deepti Asnani</t>
  </si>
  <si>
    <t>deepti@theivyglobalschool.org</t>
  </si>
  <si>
    <t>+919522566331</t>
  </si>
  <si>
    <t>info@asnanischool.edu.in</t>
  </si>
  <si>
    <t>Moonika Ratanparj</t>
  </si>
  <si>
    <t>principal@theivyglobalschool.org</t>
  </si>
  <si>
    <t>Smeetha Sreekumar</t>
  </si>
  <si>
    <t>+919575253722</t>
  </si>
  <si>
    <t>Pebble Bay, Hoshangabad Road, Katara</t>
  </si>
  <si>
    <t>462043</t>
  </si>
  <si>
    <t>BPLV02241B</t>
  </si>
  <si>
    <t>BVM Global @ Trichy</t>
  </si>
  <si>
    <t>IN-2022002311</t>
  </si>
  <si>
    <t>702</t>
  </si>
  <si>
    <t>52409</t>
  </si>
  <si>
    <t>122287</t>
  </si>
  <si>
    <t>17470</t>
  </si>
  <si>
    <t>174696</t>
  </si>
  <si>
    <t>157225</t>
  </si>
  <si>
    <t>0.6061</t>
  </si>
  <si>
    <t>22028000023342428</t>
  </si>
  <si>
    <t>51788000002777910</t>
  </si>
  <si>
    <t>zcrm_51788000271457001</t>
  </si>
  <si>
    <t>2024-07-05 08:44:20</t>
  </si>
  <si>
    <t>info.trichy@bvmglobal.org</t>
  </si>
  <si>
    <t>3rd North Main Road, Morais City, Gundur, Near Airport,</t>
  </si>
  <si>
    <t>620007</t>
  </si>
  <si>
    <t>Delhi Public School, Delhi Public School, Greater Noida</t>
  </si>
  <si>
    <t>2024-04-12 00:00:00, 2024-08-21 00:00:00, 2024-10-07 00:00:00</t>
  </si>
  <si>
    <t>2651622024.00, IN-2022002456, IN-2022002505</t>
  </si>
  <si>
    <t>2024-04-12 00:00:00, 2024-10-07 00:00:00</t>
  </si>
  <si>
    <t>2000-01-01 00:00:00, 2024-04-12 00:00:00, 2024-08-21 00:00:00</t>
  </si>
  <si>
    <t>2000-01-01 00:00:00, 2024-04-12 00:00:00, 2024-10-01 00:00:00</t>
  </si>
  <si>
    <t>2000-01-01 00:00:00, 2024-04-12 00:00:00, 2024-12-23 00:00:00</t>
  </si>
  <si>
    <t>2000-01-01 00:00:00, 2024-04-12 00:00:00</t>
  </si>
  <si>
    <t>Delhi/Haryana, NCR</t>
  </si>
  <si>
    <t>2024-04-01 00:00:00, 2024-04-12 00:00:00, 2024-10-01 00:00:00</t>
  </si>
  <si>
    <t>2024-04-12 00:00:00, 2025-03-31 00:00:00</t>
  </si>
  <si>
    <t>22028000024247512, 22028000025251400, 2651622024</t>
  </si>
  <si>
    <t>51788000002734075</t>
  </si>
  <si>
    <t>zcrm_51788000272965960</t>
  </si>
  <si>
    <t>2024-04-12 00:00:00, 2024-08-21 15:59:23, 2024-10-07 10:43:09</t>
  </si>
  <si>
    <t>Mrs. Renu Chaturvedi, Sandhya Awasthi</t>
  </si>
  <si>
    <t>maruf.shaikh@ei.study, maruf.shaikh@ei.stuy</t>
  </si>
  <si>
    <t>dpsnadmin@dpsgrnoida.com</t>
  </si>
  <si>
    <t>Sandhya Awasthi</t>
  </si>
  <si>
    <t>+919899997525</t>
  </si>
  <si>
    <t>Ms. Tanusri Sen</t>
  </si>
  <si>
    <t>0, 115000</t>
  </si>
  <si>
    <t>Sector Gamma-II, Dist. Gautam Budh Nagar.</t>
  </si>
  <si>
    <t>201308</t>
  </si>
  <si>
    <t>IN-2022002369</t>
  </si>
  <si>
    <t>660</t>
  </si>
  <si>
    <t>84480</t>
  </si>
  <si>
    <t>0.56</t>
  </si>
  <si>
    <t>22028000023686100</t>
  </si>
  <si>
    <t>51788000002728417</t>
  </si>
  <si>
    <t>zcrm_51788000272120026</t>
  </si>
  <si>
    <t>2024-08-07 17:30:52</t>
  </si>
  <si>
    <t>Mr. Sachin Kumar</t>
  </si>
  <si>
    <t>sachin@dpsjodhpur.in</t>
  </si>
  <si>
    <t>+919414701993</t>
  </si>
  <si>
    <t>info@dpsjodhpur.in</t>
  </si>
  <si>
    <t>Bypass Road Pal, Pal Gaon</t>
  </si>
  <si>
    <t>342014</t>
  </si>
  <si>
    <t>JDHD01773C</t>
  </si>
  <si>
    <t>SDPS International School</t>
  </si>
  <si>
    <t>IN-2022002176</t>
  </si>
  <si>
    <t>1400</t>
  </si>
  <si>
    <t>488887</t>
  </si>
  <si>
    <t>474508</t>
  </si>
  <si>
    <t>157921</t>
  </si>
  <si>
    <t>2024-06-08 00:00:00</t>
  </si>
  <si>
    <t>2025-07-22 00:00:00</t>
  </si>
  <si>
    <t>1437903</t>
  </si>
  <si>
    <t>1421279</t>
  </si>
  <si>
    <t>-141297</t>
  </si>
  <si>
    <t>0.46149999999999997</t>
  </si>
  <si>
    <t>22028000022864436</t>
  </si>
  <si>
    <t>51788000002779302</t>
  </si>
  <si>
    <t>zcrm_51788000269526078</t>
  </si>
  <si>
    <t>2024-06-08 11:34:16</t>
  </si>
  <si>
    <t>Sneha Vatsa</t>
  </si>
  <si>
    <t>sneha.vatsa@sdps.edu.in</t>
  </si>
  <si>
    <t>+919827054446</t>
  </si>
  <si>
    <t>enquiries@sdps.edu.in</t>
  </si>
  <si>
    <t>Khandwa Road, Opp. Bilawali Tank</t>
  </si>
  <si>
    <t>Jasudben School</t>
  </si>
  <si>
    <t>2024-02-24 00:00:00, 2024-05-08 00:00:00</t>
  </si>
  <si>
    <t>IN-2022001547, IN-2022002030</t>
  </si>
  <si>
    <t>2763</t>
  </si>
  <si>
    <t>2024-02-26 00:00:00</t>
  </si>
  <si>
    <t>165780, 217114</t>
  </si>
  <si>
    <t>386820, 506598</t>
  </si>
  <si>
    <t>45259, 63124</t>
  </si>
  <si>
    <t>2024-08-22 00:00:00, 2025-01-31 00:00:00</t>
  </si>
  <si>
    <t>552600, 723712</t>
  </si>
  <si>
    <t>497337.6, 642659</t>
  </si>
  <si>
    <t>10003, 17929</t>
  </si>
  <si>
    <t>0.09449999999999999, 0.4</t>
  </si>
  <si>
    <t>2024-03-11 00:00:00, 2024-04-01 00:00:00</t>
  </si>
  <si>
    <t>2025-03-12 00:00:00, 2025-04-30 00:00:00</t>
  </si>
  <si>
    <t>22028000021208064, 22028000022406076</t>
  </si>
  <si>
    <t>51788000002728837</t>
  </si>
  <si>
    <t>zcrm_51788000265737005, zcrm_51788000269447027</t>
  </si>
  <si>
    <t>manjeetsingh.ladhad, saloni.shah_ei</t>
  </si>
  <si>
    <t>manjeetsingh.ladhad@ei.study, saloni.shah@ei.study</t>
  </si>
  <si>
    <t>Manjeetsingh ladhad, Saloni shah</t>
  </si>
  <si>
    <t>2024-02-29 10:09:37, 2024-05-08 12:32:38</t>
  </si>
  <si>
    <t>Mr. Maruf Shaikh, Mrs. Damayanti Bhattacharya</t>
  </si>
  <si>
    <t>maruf.shaikh@ei.study, principal@jmlschool.org</t>
  </si>
  <si>
    <t>+918160731829, +919867739491</t>
  </si>
  <si>
    <t>info@jmlschool.org</t>
  </si>
  <si>
    <t>Mrs. Damayanti Bhattacharya</t>
  </si>
  <si>
    <t>principal@jmlschool.org</t>
  </si>
  <si>
    <t>+919867739491</t>
  </si>
  <si>
    <t>Coordinator</t>
  </si>
  <si>
    <t>shachii.manik@jmlschool.org</t>
  </si>
  <si>
    <t>+919323456788</t>
  </si>
  <si>
    <t>7300</t>
  </si>
  <si>
    <t>Dr Madhuri Shah Campus, Ramakrishna Mission Marg 16th &amp; 17th Road, Khar West,, Ramakrishna Mission Marg 16th &amp; 17th Road, Khar West,</t>
  </si>
  <si>
    <t>400052</t>
  </si>
  <si>
    <t>Dr Madhuri Shah Campus, Ramakrishna Mission Marg 16th &amp; 17th Road, Khar West,</t>
  </si>
  <si>
    <t>MUMG02815B</t>
  </si>
  <si>
    <t>Ramakrishna Mission Marg 16th &amp; 17th Road, Khar West,</t>
  </si>
  <si>
    <t>Chinmaya Vidyalaya Srimathi P.A.C.R. Sethuramammal Nursery &amp; Primary School</t>
  </si>
  <si>
    <t>2024-07-29 00:00:00, 2024-08-07 00:00:00</t>
  </si>
  <si>
    <t>IN-2022002386, IN-2022002410</t>
  </si>
  <si>
    <t>572</t>
  </si>
  <si>
    <t>0, 1400</t>
  </si>
  <si>
    <t>1353</t>
  </si>
  <si>
    <t>0, 166792</t>
  </si>
  <si>
    <t>0, 667170</t>
  </si>
  <si>
    <t>0, 13313</t>
  </si>
  <si>
    <t>0, 833962</t>
  </si>
  <si>
    <t>0, 817320</t>
  </si>
  <si>
    <t>0, 3329</t>
  </si>
  <si>
    <t>0.6498999999999999, 1</t>
  </si>
  <si>
    <t>22028000023806796, 22028000023965912</t>
  </si>
  <si>
    <t>51788000002779908</t>
  </si>
  <si>
    <t>zcrm_51788000272302001, zcrm_51788000272689001</t>
  </si>
  <si>
    <t>2024-07-31 19:20:03, 2024-08-08 13:08:49</t>
  </si>
  <si>
    <t>Mrs. Sakimala R</t>
  </si>
  <si>
    <t>headmistress.cvjsrjpm@gmail.com</t>
  </si>
  <si>
    <t>+914563235255</t>
  </si>
  <si>
    <t>cvjsrjpm@gmail.com</t>
  </si>
  <si>
    <t>109, pSK Nagar</t>
  </si>
  <si>
    <t>626108</t>
  </si>
  <si>
    <t>Pratibha International School</t>
  </si>
  <si>
    <t>2024-06-18 00:00:00</t>
  </si>
  <si>
    <t>IN-2022002246</t>
  </si>
  <si>
    <t>2400</t>
  </si>
  <si>
    <t>494441</t>
  </si>
  <si>
    <t>2025-01-27 00:00:00</t>
  </si>
  <si>
    <t>1977764</t>
  </si>
  <si>
    <t>1999966</t>
  </si>
  <si>
    <t>-22202</t>
  </si>
  <si>
    <t>0.4545</t>
  </si>
  <si>
    <t>22028000023036412</t>
  </si>
  <si>
    <t>51788000002780171</t>
  </si>
  <si>
    <t>zcrm_51788000269826327</t>
  </si>
  <si>
    <t>vijay.tejpal_eiindia</t>
  </si>
  <si>
    <t>vijay.tejpal@ei.study</t>
  </si>
  <si>
    <t>Vijay tejpal</t>
  </si>
  <si>
    <t>2024-06-18 12:21:02</t>
  </si>
  <si>
    <t>Ms. Savita Travis</t>
  </si>
  <si>
    <t>Principal@pratibhaintschool.org</t>
  </si>
  <si>
    <t>+919552532380</t>
  </si>
  <si>
    <t>principal@pratibhaintschool.org</t>
  </si>
  <si>
    <t>78000</t>
  </si>
  <si>
    <t>Chinchwad Station, Mumbai Road</t>
  </si>
  <si>
    <t>411019</t>
  </si>
  <si>
    <t>Modern High school</t>
  </si>
  <si>
    <t>2024-01-20 00:00:00, 2024-02-02 00:00:00</t>
  </si>
  <si>
    <t>IN-2022001413, IN-2022001463</t>
  </si>
  <si>
    <t>1794</t>
  </si>
  <si>
    <t>219611, 222456</t>
  </si>
  <si>
    <t>2024-12-27 00:00:00, 2024-12-28 00:00:00</t>
  </si>
  <si>
    <t>878444, 889824</t>
  </si>
  <si>
    <t>679239, 680341</t>
  </si>
  <si>
    <t>199205, 209483</t>
  </si>
  <si>
    <t>0.31, 0.5</t>
  </si>
  <si>
    <t>Guwahati</t>
  </si>
  <si>
    <t>Assam</t>
  </si>
  <si>
    <t>North East</t>
  </si>
  <si>
    <t>2024-04-01 00:00:00, 2024-04-19 00:00:00</t>
  </si>
  <si>
    <t>22028000020721344, 22028000020893376</t>
  </si>
  <si>
    <t>51788000002734285</t>
  </si>
  <si>
    <t>zcrm_51788000235800038, zcrm_51788000264590288</t>
  </si>
  <si>
    <t>vidyalall.thandassery_ei</t>
  </si>
  <si>
    <t>vidyalall.thandassery@ei.study</t>
  </si>
  <si>
    <t>Vidyalall thandassery</t>
  </si>
  <si>
    <t>Sunny Brahma</t>
  </si>
  <si>
    <t>2024-01-25 12:53:05, 2024-02-02 15:01:36</t>
  </si>
  <si>
    <t>Mrs. Karishma Sarkar, Mrs.Sarkar</t>
  </si>
  <si>
    <t>Admin, Principal</t>
  </si>
  <si>
    <t>maruf.shaikh@ei.study, modernschool85@gmail.com</t>
  </si>
  <si>
    <t>+919016039311, +919864035961</t>
  </si>
  <si>
    <t>modernhighschool85@gmail.com</t>
  </si>
  <si>
    <t>Mrs.Sarkar</t>
  </si>
  <si>
    <t>modernschool85@gmail.com</t>
  </si>
  <si>
    <t>+919864035961</t>
  </si>
  <si>
    <t>Ginsy</t>
  </si>
  <si>
    <t>+919678993455</t>
  </si>
  <si>
    <t>22000</t>
  </si>
  <si>
    <t>Geetanagar, Mother Teresa Road</t>
  </si>
  <si>
    <t>781024</t>
  </si>
  <si>
    <t>Pub Gitanagar,Mother Teresa Road</t>
  </si>
  <si>
    <t>Ramco Vidyalaya</t>
  </si>
  <si>
    <t>IN-2022002318</t>
  </si>
  <si>
    <t>55443</t>
  </si>
  <si>
    <t>554428</t>
  </si>
  <si>
    <t>498985</t>
  </si>
  <si>
    <t>22028000023338816</t>
  </si>
  <si>
    <t>51788000002781164</t>
  </si>
  <si>
    <t>zcrm_51788000271483025</t>
  </si>
  <si>
    <t>2024-07-10 10:05:48</t>
  </si>
  <si>
    <t>J Manikandan</t>
  </si>
  <si>
    <t>ramcovidyalaya.rnagar@gmail.com</t>
  </si>
  <si>
    <t>+914562256299</t>
  </si>
  <si>
    <t>ramcovidyalaya.rrnagar@gmail.com</t>
  </si>
  <si>
    <t>R R Nagar Virudhunagar District</t>
  </si>
  <si>
    <t>626204</t>
  </si>
  <si>
    <t>Genius English Medium School</t>
  </si>
  <si>
    <t>2024-05-25 00:00:00</t>
  </si>
  <si>
    <t>IN-2022002093</t>
  </si>
  <si>
    <t>4576</t>
  </si>
  <si>
    <t>269970</t>
  </si>
  <si>
    <t>265394</t>
  </si>
  <si>
    <t>0.1668</t>
  </si>
  <si>
    <t>22028000022642688</t>
  </si>
  <si>
    <t>51788000002734441</t>
  </si>
  <si>
    <t>zcrm_51788000257054071</t>
  </si>
  <si>
    <t>2024-05-27 10:30:15</t>
  </si>
  <si>
    <t>D V Mehta</t>
  </si>
  <si>
    <t>dvmehta1@gmail.com</t>
  </si>
  <si>
    <t>+919898026664</t>
  </si>
  <si>
    <t>jay.geniusschool@gmail.com</t>
  </si>
  <si>
    <t>Opposite Cosmoplex Cinema, Mota Mauva, Kalawad Road,</t>
  </si>
  <si>
    <t>The Doon School</t>
  </si>
  <si>
    <t>2024-08-08 00:00:00</t>
  </si>
  <si>
    <t>IN-2022002411</t>
  </si>
  <si>
    <t>3510</t>
  </si>
  <si>
    <t>175500</t>
  </si>
  <si>
    <t>171990</t>
  </si>
  <si>
    <t>22028000024016132</t>
  </si>
  <si>
    <t>51788000002728847</t>
  </si>
  <si>
    <t>zcrm_51788000272697025</t>
  </si>
  <si>
    <t>2024-08-26 11:55:35</t>
  </si>
  <si>
    <t>Mr. Arvind Tethe</t>
  </si>
  <si>
    <t>ard@doonschool.com</t>
  </si>
  <si>
    <t>+918979615898</t>
  </si>
  <si>
    <t>info@doonschool.com</t>
  </si>
  <si>
    <t>Mall Road, Dehradun, India, Pin-248001</t>
  </si>
  <si>
    <t>BVM Global @ Bengaluru</t>
  </si>
  <si>
    <t>IN-2022002309</t>
  </si>
  <si>
    <t>707</t>
  </si>
  <si>
    <t>113430</t>
  </si>
  <si>
    <t>264670</t>
  </si>
  <si>
    <t>11343</t>
  </si>
  <si>
    <t>378100</t>
  </si>
  <si>
    <t>340288</t>
  </si>
  <si>
    <t>26469</t>
  </si>
  <si>
    <t>0.6052000000000001</t>
  </si>
  <si>
    <t>22028000023340224</t>
  </si>
  <si>
    <t>51788000002781600</t>
  </si>
  <si>
    <t>zcrm_51788000271450067</t>
  </si>
  <si>
    <t>2024-07-05 08:44:49</t>
  </si>
  <si>
    <t>enquiry_bengaluru@bvmglobal.org</t>
  </si>
  <si>
    <t>Hullahalli Village, Near Mylsandra gate Next to Preethi Dham school 40/2 &amp; 41/2 Electronic City Campus, Begur - Koppa Road,</t>
  </si>
  <si>
    <t>560018</t>
  </si>
  <si>
    <t>Uttam School For Girls</t>
  </si>
  <si>
    <t>2024-06-04 00:00:00, 2024-06-05 00:00:00</t>
  </si>
  <si>
    <t>IN-2022002161, IN-2022002162, IN-2022002168</t>
  </si>
  <si>
    <t>1200, 1600, 1800</t>
  </si>
  <si>
    <t>33896, 35100, 49600</t>
  </si>
  <si>
    <t>2024-10-21 00:00:00</t>
  </si>
  <si>
    <t>2024-10-25 00:00:00, 2024-11-14 00:00:00, 2025-09-15 00:00:00</t>
  </si>
  <si>
    <t>135584, 140400, 198400</t>
  </si>
  <si>
    <t>31769, 61267, 96035</t>
  </si>
  <si>
    <t>102365, 103815, 79133</t>
  </si>
  <si>
    <t>0.25, 0.6, 0.6095</t>
  </si>
  <si>
    <t>22028000022798616, 22028000022798696, 22028000022825120</t>
  </si>
  <si>
    <t>51788000002728854</t>
  </si>
  <si>
    <t>zcrm_51788000270251001, zcrm_51788000270251138, zcrm_51788000270251310</t>
  </si>
  <si>
    <t>2024-07-05 13:27:47, 2024-07-05 13:28:18, 2024-07-05 13:28:39</t>
  </si>
  <si>
    <t>Sharmila Raheja</t>
  </si>
  <si>
    <t>principaluttamschool@gmail.com</t>
  </si>
  <si>
    <t>+919582206373</t>
  </si>
  <si>
    <t>uttamschool@gmail.com</t>
  </si>
  <si>
    <t>B Block Shastri Nagar,</t>
  </si>
  <si>
    <t>201015</t>
  </si>
  <si>
    <t>MRTU00133A</t>
  </si>
  <si>
    <t>Kikani Vidhya Mandir</t>
  </si>
  <si>
    <t>IN-2022002147</t>
  </si>
  <si>
    <t>333</t>
  </si>
  <si>
    <t>1067</t>
  </si>
  <si>
    <t>1356</t>
  </si>
  <si>
    <t>390721</t>
  </si>
  <si>
    <t>2025-05-17 00:00:00</t>
  </si>
  <si>
    <t>1562884</t>
  </si>
  <si>
    <t>1542835</t>
  </si>
  <si>
    <t>20049</t>
  </si>
  <si>
    <t>0.7778</t>
  </si>
  <si>
    <t>22028000022789200</t>
  </si>
  <si>
    <t>51788000002728858</t>
  </si>
  <si>
    <t>zcrm_51788000270245025</t>
  </si>
  <si>
    <t>2024-06-10 12:14:18</t>
  </si>
  <si>
    <t>Geetha Raj</t>
  </si>
  <si>
    <t>sbkcbse@gmail.com</t>
  </si>
  <si>
    <t>+919500998443</t>
  </si>
  <si>
    <t>641002</t>
  </si>
  <si>
    <t>Jamnabai Narsee International School</t>
  </si>
  <si>
    <t>IN-2022002003</t>
  </si>
  <si>
    <t>24521</t>
  </si>
  <si>
    <t>2024-12-19 00:00:00</t>
  </si>
  <si>
    <t>246640</t>
  </si>
  <si>
    <t>220689</t>
  </si>
  <si>
    <t>1430</t>
  </si>
  <si>
    <t>0.5234000000000001</t>
  </si>
  <si>
    <t>22028000022347488</t>
  </si>
  <si>
    <t>51788000002783791</t>
  </si>
  <si>
    <t>zcrm_51788000269046426</t>
  </si>
  <si>
    <t>2024-05-10 16:07:13</t>
  </si>
  <si>
    <t>Jasmine Madhani</t>
  </si>
  <si>
    <t>headofschool@jnis.ac.in</t>
  </si>
  <si>
    <t>+919820088146</t>
  </si>
  <si>
    <t>contactus@jns.ac.in</t>
  </si>
  <si>
    <t>Narsee Monjee Bhavan 7, N S Rd Number 7, JVPD Scheme, Vile Parle West</t>
  </si>
  <si>
    <t>400049</t>
  </si>
  <si>
    <t>MUMN10723G</t>
  </si>
  <si>
    <t>Delhi Public School Makronia</t>
  </si>
  <si>
    <t>IN-2022002257</t>
  </si>
  <si>
    <t>1548</t>
  </si>
  <si>
    <t>120350</t>
  </si>
  <si>
    <t>2024-10-14 00:00:00</t>
  </si>
  <si>
    <t>33675</t>
  </si>
  <si>
    <t>481400</t>
  </si>
  <si>
    <t>303075</t>
  </si>
  <si>
    <t>144650</t>
  </si>
  <si>
    <t>0.6236999999999999</t>
  </si>
  <si>
    <t>Sagar</t>
  </si>
  <si>
    <t>2025-06-23 00:00:00</t>
  </si>
  <si>
    <t>22028000023102200</t>
  </si>
  <si>
    <t>51788000002784136</t>
  </si>
  <si>
    <t>zcrm_51788000265173032</t>
  </si>
  <si>
    <t>2024-06-24 09:50:40</t>
  </si>
  <si>
    <t>Ritul Saraf</t>
  </si>
  <si>
    <t>dpsmakronia01@gmail.com</t>
  </si>
  <si>
    <t>+919425171258</t>
  </si>
  <si>
    <t>dpsmprincipal@gmail.com</t>
  </si>
  <si>
    <t>32300</t>
  </si>
  <si>
    <t>Near Gyan Sagar, College Of Engg, N.H. 26, Sironja, Sagar,</t>
  </si>
  <si>
    <t>470228</t>
  </si>
  <si>
    <t>Anand Niketan School Bhadaj Campus</t>
  </si>
  <si>
    <t>2024-04-02 00:00:00, 2024-07-10 00:00:00</t>
  </si>
  <si>
    <t>IN-2022001810, IN-2022001811, IN-2022002328</t>
  </si>
  <si>
    <t>1000, 1700, 700</t>
  </si>
  <si>
    <t>0, 343429, 41004</t>
  </si>
  <si>
    <t>0, 4100</t>
  </si>
  <si>
    <t>2024-04-30 00:00:00, 2024-11-14 00:00:00</t>
  </si>
  <si>
    <t>2024-11-14 00:00:00, 2025-01-24 00:00:00</t>
  </si>
  <si>
    <t>57404, 686858, 82008</t>
  </si>
  <si>
    <t>0, 35989, 729011</t>
  </si>
  <si>
    <t>-42153, 41919, 57404</t>
  </si>
  <si>
    <t>0.23070000000000002, 0.3461, 0.46149999999999997</t>
  </si>
  <si>
    <t>22028000021880984, 22028000021885024, 22028000023461144</t>
  </si>
  <si>
    <t>51788000002784411</t>
  </si>
  <si>
    <t>zcrm_51788000266603170, zcrm_51788000267536571</t>
  </si>
  <si>
    <t>2024-04-08 15:17:42, 2024-04-08 15:17:48, 2024-09-02 11:02:25</t>
  </si>
  <si>
    <t>Shiv Chowdhary</t>
  </si>
  <si>
    <t>shiv.chowdhary@gmail.com</t>
  </si>
  <si>
    <t>+919327037601, +919624000857</t>
  </si>
  <si>
    <t>anbhadaj@anandniketan.org</t>
  </si>
  <si>
    <t>Vinita Kumar</t>
  </si>
  <si>
    <t>vinita.kumar@anandniketan.edu.in</t>
  </si>
  <si>
    <t>+917622017783</t>
  </si>
  <si>
    <t>Tresilda Almeida</t>
  </si>
  <si>
    <t>tresilda.bhadaj@anandniketan.edu.in</t>
  </si>
  <si>
    <t>+919737047611</t>
  </si>
  <si>
    <t>Opp. Ahmedabad Dental College, Near Hare Krishna Temple, Ranchodpura Road, Near Science City, off S. P. Ring Road</t>
  </si>
  <si>
    <t>380060</t>
  </si>
  <si>
    <t>AHMM00664G</t>
  </si>
  <si>
    <t>Off Ahmedabad Dental College, Near Hare Krishna Temple, Ranchodpura Road, Near Science City Road</t>
  </si>
  <si>
    <t>Birla Vidya Niketan</t>
  </si>
  <si>
    <t>2024-03-11 00:00:00</t>
  </si>
  <si>
    <t>IN-2022001604, IN-2022001605</t>
  </si>
  <si>
    <t>425</t>
  </si>
  <si>
    <t>923</t>
  </si>
  <si>
    <t>2024-03-29 00:00:00, 2024-04-30 00:00:00</t>
  </si>
  <si>
    <t>348034, 444062</t>
  </si>
  <si>
    <t>2024-07-01 00:00:00, 2024-08-31 00:00:00</t>
  </si>
  <si>
    <t>0, 444062</t>
  </si>
  <si>
    <t>44406, 69607</t>
  </si>
  <si>
    <t>2024-12-13 00:00:00, 2025-02-11 00:00:00</t>
  </si>
  <si>
    <t>1776248, 696068</t>
  </si>
  <si>
    <t>1598624, 626456</t>
  </si>
  <si>
    <t>133218, 5</t>
  </si>
  <si>
    <t>0.6975, 0.7167</t>
  </si>
  <si>
    <t>0.5975, 0.6167</t>
  </si>
  <si>
    <t>22028000021463312, 22028000021463360</t>
  </si>
  <si>
    <t>51788000002786216</t>
  </si>
  <si>
    <t>zcrm_51788000266346411, zcrm_51788000266346544</t>
  </si>
  <si>
    <t>2024-03-12 18:36:33, 2024-03-12 18:36:39</t>
  </si>
  <si>
    <t>Mrs. Meenakshi Kushwaha</t>
  </si>
  <si>
    <t>s.info@birla.ac.in</t>
  </si>
  <si>
    <t>+919560721363</t>
  </si>
  <si>
    <t>principal@birla.ac.in</t>
  </si>
  <si>
    <t>Deepa Sharma</t>
  </si>
  <si>
    <t>deepa09bvn@gmail.com</t>
  </si>
  <si>
    <t>+919899397421</t>
  </si>
  <si>
    <t>Lal Bahadur Shastri Marg, Government Quaters, Sector 4, Pushp Vihar, New Delhi, Delhi 110017</t>
  </si>
  <si>
    <t>110017</t>
  </si>
  <si>
    <t>DELB00295B</t>
  </si>
  <si>
    <t>Doon Public School</t>
  </si>
  <si>
    <t>2024-06-12 00:00:00</t>
  </si>
  <si>
    <t>IN-2022002202</t>
  </si>
  <si>
    <t>495077</t>
  </si>
  <si>
    <t>439031</t>
  </si>
  <si>
    <t>934108</t>
  </si>
  <si>
    <t>847175</t>
  </si>
  <si>
    <t>36933</t>
  </si>
  <si>
    <t>0.5429999999999999</t>
  </si>
  <si>
    <t>Panchkula</t>
  </si>
  <si>
    <t>22028000022959888</t>
  </si>
  <si>
    <t>51788000002734665</t>
  </si>
  <si>
    <t>zcrm_51788000270574390</t>
  </si>
  <si>
    <t>2024-06-14 16:28:36</t>
  </si>
  <si>
    <t>Mrs. Vandana Kumari</t>
  </si>
  <si>
    <t>doon_pkl@yahoo.co.in</t>
  </si>
  <si>
    <t>+919988803615</t>
  </si>
  <si>
    <t>doon@doonpublicschoolpkl.com</t>
  </si>
  <si>
    <t>75300</t>
  </si>
  <si>
    <t>DOON PUBLIC SCHOOL SEC-21, PKL</t>
  </si>
  <si>
    <t>134112</t>
  </si>
  <si>
    <t>Villa Theresa High School</t>
  </si>
  <si>
    <t>IN-2022001586</t>
  </si>
  <si>
    <t>214830</t>
  </si>
  <si>
    <t>501270</t>
  </si>
  <si>
    <t>2025-01-29 00:00:00</t>
  </si>
  <si>
    <t>716100</t>
  </si>
  <si>
    <t>726569</t>
  </si>
  <si>
    <t>-10469</t>
  </si>
  <si>
    <t>0.3</t>
  </si>
  <si>
    <t>2025-03-20 00:00:00</t>
  </si>
  <si>
    <t>22028000021341264</t>
  </si>
  <si>
    <t>51788000002728875</t>
  </si>
  <si>
    <t>zcrm_51788000266185414</t>
  </si>
  <si>
    <t>2024-03-28 07:54:19</t>
  </si>
  <si>
    <t>Sr. Babitha Abraham</t>
  </si>
  <si>
    <t>principal@vtsmumbai.org</t>
  </si>
  <si>
    <t>+917674865102</t>
  </si>
  <si>
    <t>info@vtsmumbai.org</t>
  </si>
  <si>
    <t>Co-ordinator</t>
  </si>
  <si>
    <t>angelinadecosta71@gmail.com</t>
  </si>
  <si>
    <t>+918104284744</t>
  </si>
  <si>
    <t>84400</t>
  </si>
  <si>
    <t>66, Dr G Deshmukh Marg,</t>
  </si>
  <si>
    <t>400026</t>
  </si>
  <si>
    <t>MUMV03861E</t>
  </si>
  <si>
    <t>Gems Genesis International School</t>
  </si>
  <si>
    <t>2024-03-01 00:00:00, 2024-03-03 00:00:00</t>
  </si>
  <si>
    <t>IN-2022001582, IN-2022001585</t>
  </si>
  <si>
    <t>683</t>
  </si>
  <si>
    <t>2000-01-01 00:00:00, 2024-03-01 00:00:00</t>
  </si>
  <si>
    <t>0, 362254</t>
  </si>
  <si>
    <t>2000-01-01 00:00:00, 2024-06-01 00:00:00</t>
  </si>
  <si>
    <t>0, 92178</t>
  </si>
  <si>
    <t>2024-04-19 00:00:00, 2024-06-14 00:00:00</t>
  </si>
  <si>
    <t>2024-06-14 00:00:00, 2025-01-06 00:00:00</t>
  </si>
  <si>
    <t>1449016, 309369</t>
  </si>
  <si>
    <t>1324158, 289479</t>
  </si>
  <si>
    <t>19890, 32680</t>
  </si>
  <si>
    <t>0.16670000000000001, 0.6846</t>
  </si>
  <si>
    <t>0.11689999999999999, 0.5346</t>
  </si>
  <si>
    <t>0.049800000000000004, 0.05</t>
  </si>
  <si>
    <t>22028000021314628, 22028000021335512</t>
  </si>
  <si>
    <t>51788000002786962</t>
  </si>
  <si>
    <t>zcrm_51788000266220001, zcrm_51788000266222001</t>
  </si>
  <si>
    <t>2024-03-05 17:39:48, 2024-03-05 17:39:53</t>
  </si>
  <si>
    <t>Pooja Tekchandani</t>
  </si>
  <si>
    <t>pt@theggis.com</t>
  </si>
  <si>
    <t>+917802953589</t>
  </si>
  <si>
    <t>accounts@theggis.com</t>
  </si>
  <si>
    <t>Shivani Raval</t>
  </si>
  <si>
    <t>shivani.raval@theggis.com</t>
  </si>
  <si>
    <t>+919925999010</t>
  </si>
  <si>
    <t>Vaishali Ma'am</t>
  </si>
  <si>
    <t>academic.assistant@theggis.com</t>
  </si>
  <si>
    <t>+919427089607</t>
  </si>
  <si>
    <t>Near Vaishnodevi Circle, SP Ring Road</t>
  </si>
  <si>
    <t>382421</t>
  </si>
  <si>
    <t>AHMS19414D</t>
  </si>
  <si>
    <t>Vasant Valley School</t>
  </si>
  <si>
    <t>2024-04-06 00:00:00, 2024-04-08 00:00:00</t>
  </si>
  <si>
    <t>IN-2022001873, IN-2022001879</t>
  </si>
  <si>
    <t>39188, 396563</t>
  </si>
  <si>
    <t>100855, 15675</t>
  </si>
  <si>
    <t>2025-01-18 00:00:00, 2025-05-08 00:00:00</t>
  </si>
  <si>
    <t>156752, 1586252</t>
  </si>
  <si>
    <t>141075, 1452823</t>
  </si>
  <si>
    <t>2, 32574</t>
  </si>
  <si>
    <t>0.3889, 0.5</t>
  </si>
  <si>
    <t>22028000021925860, 22028000021966020</t>
  </si>
  <si>
    <t>51788000002728422</t>
  </si>
  <si>
    <t>zcrm_51788000268018315, zcrm_51788000268018616</t>
  </si>
  <si>
    <t>2024-04-15 14:30:57, 2024-04-15 14:31:02</t>
  </si>
  <si>
    <t>Mr. Sanjay Bisht</t>
  </si>
  <si>
    <t>sbisht@vasantvalley.edu.in</t>
  </si>
  <si>
    <t>+919810729846</t>
  </si>
  <si>
    <t>info@vasantvalley.edu.in</t>
  </si>
  <si>
    <t>Ms. Rekha Krishnan</t>
  </si>
  <si>
    <t>rkrishnan@vasantvalley.edu.in</t>
  </si>
  <si>
    <t>Sector - C, Vasant Kunj, Mahipalpur, ,New Delhi,Delhi - 110070</t>
  </si>
  <si>
    <t>110070</t>
  </si>
  <si>
    <t>DELE02795C</t>
  </si>
  <si>
    <t>Sri Kumaran Children's Academy</t>
  </si>
  <si>
    <t>IN-2022002109, IN-2022002110, IN-2022002111</t>
  </si>
  <si>
    <t>0, 147498, 76617</t>
  </si>
  <si>
    <t>15019, 37169, 54260</t>
  </si>
  <si>
    <t>2024-11-14 00:00:00</t>
  </si>
  <si>
    <t>2024-11-14 00:00:00, 2025-01-22 00:00:00, 2025-01-23 00:00:00</t>
  </si>
  <si>
    <t>306468, 549366, 589992</t>
  </si>
  <si>
    <t>287398, 488334, 534060</t>
  </si>
  <si>
    <t>18763, 4051, 6772</t>
  </si>
  <si>
    <t>22028000022677472, 22028000022677520, 22028000022677564</t>
  </si>
  <si>
    <t>51788000002787779</t>
  </si>
  <si>
    <t>zcrm_51788000269952074, zcrm_51788000269952202, zcrm_51788000269952333</t>
  </si>
  <si>
    <t>2024-05-30 11:26:40, 2024-05-30 11:27:20, 2024-05-30 11:27:47</t>
  </si>
  <si>
    <t>Mrs. Chandrakala K</t>
  </si>
  <si>
    <t>chandrakala.k@kumarans.org</t>
  </si>
  <si>
    <t>+918951894024</t>
  </si>
  <si>
    <t>#28/4 House List, #140, Off Kanakapura Road, Doddkallasandra Post,</t>
  </si>
  <si>
    <t>Army Public School</t>
  </si>
  <si>
    <t>IN-2022001919</t>
  </si>
  <si>
    <t>138375</t>
  </si>
  <si>
    <t>2025-01-01 00:00:00</t>
  </si>
  <si>
    <t>553500</t>
  </si>
  <si>
    <t>572140</t>
  </si>
  <si>
    <t>-18640</t>
  </si>
  <si>
    <t>0.7613</t>
  </si>
  <si>
    <t>22028000022105616</t>
  </si>
  <si>
    <t>51788000002787806</t>
  </si>
  <si>
    <t>zcrm_51788000268410025</t>
  </si>
  <si>
    <t>Chaitanya Kolluri</t>
  </si>
  <si>
    <t>2024-05-09 14:50:45</t>
  </si>
  <si>
    <t>Mrs. Anitha Karunakaran</t>
  </si>
  <si>
    <t>principal@apsgolconda.edu.in</t>
  </si>
  <si>
    <t>+918142352104</t>
  </si>
  <si>
    <t>Ms. Jyoti Lakshmi</t>
  </si>
  <si>
    <t>jyotilakshmi@apsgolconda.edu.in</t>
  </si>
  <si>
    <t>+919290042123</t>
  </si>
  <si>
    <t>Hydershakote</t>
  </si>
  <si>
    <t>500031</t>
  </si>
  <si>
    <t>Aster Public School</t>
  </si>
  <si>
    <t>2023-12-15 00:00:00</t>
  </si>
  <si>
    <t>IN-2022001351</t>
  </si>
  <si>
    <t>2023-12-11 00:00:00</t>
  </si>
  <si>
    <t>593688</t>
  </si>
  <si>
    <t>141367</t>
  </si>
  <si>
    <t>2023-12-12 00:00:00</t>
  </si>
  <si>
    <t>2025-02-04 00:00:00</t>
  </si>
  <si>
    <t>2374752</t>
  </si>
  <si>
    <t>2038767</t>
  </si>
  <si>
    <t>194618</t>
  </si>
  <si>
    <t>0.6459999999999999</t>
  </si>
  <si>
    <t>0.596</t>
  </si>
  <si>
    <t>22028000020288744</t>
  </si>
  <si>
    <t>51788000002787833</t>
  </si>
  <si>
    <t>zcrm_51788000257024956</t>
  </si>
  <si>
    <t>2023-12-26 17:13:59</t>
  </si>
  <si>
    <t>Mr. Siddharth Sharma</t>
  </si>
  <si>
    <t>siddharth.sharma@wlis.org</t>
  </si>
  <si>
    <t>+919582899999</t>
  </si>
  <si>
    <t>info@asterpublicschool.com</t>
  </si>
  <si>
    <t>Mrs Preeti Sharma</t>
  </si>
  <si>
    <t>preeti.sharma@asterinstitutions.com</t>
  </si>
  <si>
    <t>+919582801536</t>
  </si>
  <si>
    <t>Ms Pragya Singh</t>
  </si>
  <si>
    <t>pragyasingh.apsgn@asterinstitutions.com</t>
  </si>
  <si>
    <t>+919810540560</t>
  </si>
  <si>
    <t>74500</t>
  </si>
  <si>
    <t>J-1, Delta II, Greater Noida, G.B. Nagar,</t>
  </si>
  <si>
    <t>DELA08978E</t>
  </si>
  <si>
    <t>Iira International School</t>
  </si>
  <si>
    <t>2024-04-18 00:00:00</t>
  </si>
  <si>
    <t>IN-2022001936</t>
  </si>
  <si>
    <t>584</t>
  </si>
  <si>
    <t>1013</t>
  </si>
  <si>
    <t>1189</t>
  </si>
  <si>
    <t>465709</t>
  </si>
  <si>
    <t>191699</t>
  </si>
  <si>
    <t>2025-04-21 00:00:00</t>
  </si>
  <si>
    <t>1862836</t>
  </si>
  <si>
    <t>1725297</t>
  </si>
  <si>
    <t>-54160</t>
  </si>
  <si>
    <t>0.6103999999999999</t>
  </si>
  <si>
    <t>0.5604</t>
  </si>
  <si>
    <t>22028000022146176</t>
  </si>
  <si>
    <t>51788000002787855</t>
  </si>
  <si>
    <t>zcrm_51788000257213052</t>
  </si>
  <si>
    <t>2024-04-27 15:29:47</t>
  </si>
  <si>
    <t>Ms. Sheena Mohan</t>
  </si>
  <si>
    <t>sheena.mohan@gmail.com</t>
  </si>
  <si>
    <t>+919879150941</t>
  </si>
  <si>
    <t>Ms. Beena Prashant</t>
  </si>
  <si>
    <t>principal.iira@gmail.com</t>
  </si>
  <si>
    <t>+919924251314</t>
  </si>
  <si>
    <t>53500</t>
  </si>
  <si>
    <t>Plot No 436. Near Green Field 3, Po Bhayali. Vasana Road Bhayli</t>
  </si>
  <si>
    <t>BRDI00821C</t>
  </si>
  <si>
    <t>Broadway Public School, Barnala</t>
  </si>
  <si>
    <t>IN-2022001644</t>
  </si>
  <si>
    <t>425094</t>
  </si>
  <si>
    <t>68885</t>
  </si>
  <si>
    <t>2025-04-03 00:00:00</t>
  </si>
  <si>
    <t>1700376</t>
  </si>
  <si>
    <t>830519</t>
  </si>
  <si>
    <t>800972</t>
  </si>
  <si>
    <t>0.6334000000000001</t>
  </si>
  <si>
    <t>Barnala</t>
  </si>
  <si>
    <t>22028000021545200</t>
  </si>
  <si>
    <t>51788000002787856</t>
  </si>
  <si>
    <t>zcrm_51788000256009173</t>
  </si>
  <si>
    <t>himani.singla_ei1</t>
  </si>
  <si>
    <t>himani.singla@ei.study</t>
  </si>
  <si>
    <t>Himani singla</t>
  </si>
  <si>
    <t>2024-03-22 09:19:40</t>
  </si>
  <si>
    <t>Mr. M. A. Saify</t>
  </si>
  <si>
    <t>maarifsaify@yahoo.com</t>
  </si>
  <si>
    <t>+919417458050</t>
  </si>
  <si>
    <t>broadway.manal@gmail.com</t>
  </si>
  <si>
    <t>Mr. Pritpal</t>
  </si>
  <si>
    <t>+919878158410</t>
  </si>
  <si>
    <t>Manal - Sikandarpura Rd, opp. Gurmukh Filling Station, Manal, Punjab 148101</t>
  </si>
  <si>
    <t>148101</t>
  </si>
  <si>
    <t>PTLS17729F</t>
  </si>
  <si>
    <t>Reliance Foundation School</t>
  </si>
  <si>
    <t>IN-2022002543</t>
  </si>
  <si>
    <t>831</t>
  </si>
  <si>
    <t>73127</t>
  </si>
  <si>
    <t>73130</t>
  </si>
  <si>
    <t>0.48210000000000003</t>
  </si>
  <si>
    <t>Navi Mumbai</t>
  </si>
  <si>
    <t>22028000025643380</t>
  </si>
  <si>
    <t>51788000002788172</t>
  </si>
  <si>
    <t>zcrm_51788000276211001</t>
  </si>
  <si>
    <t>2024-10-24 14:56:53</t>
  </si>
  <si>
    <t>Ms. Pooja Joshi</t>
  </si>
  <si>
    <t>+919737756790</t>
  </si>
  <si>
    <t>info.rfs@ril.com</t>
  </si>
  <si>
    <t>Alok Katdare</t>
  </si>
  <si>
    <t>info.rfskk@rfs.edu.in</t>
  </si>
  <si>
    <t>+918452917127</t>
  </si>
  <si>
    <t>Usha Gangavarapu</t>
  </si>
  <si>
    <t>usha.gangavarapu@rfs.edu.in</t>
  </si>
  <si>
    <t>+917021247871</t>
  </si>
  <si>
    <t>Plot No 60 - 61, Sector 14, Koparkhairane</t>
  </si>
  <si>
    <t>400705</t>
  </si>
  <si>
    <t>Mount Litera Zee School, Surat</t>
  </si>
  <si>
    <t>IN-2022001555</t>
  </si>
  <si>
    <t>337747</t>
  </si>
  <si>
    <t>43361</t>
  </si>
  <si>
    <t>2025-01-07 00:00:00</t>
  </si>
  <si>
    <t>1350988</t>
  </si>
  <si>
    <t>1233116</t>
  </si>
  <si>
    <t>74511</t>
  </si>
  <si>
    <t>0.2133</t>
  </si>
  <si>
    <t>Surat</t>
  </si>
  <si>
    <t>22028000021245048</t>
  </si>
  <si>
    <t>51788000002788181</t>
  </si>
  <si>
    <t>zcrm_51788000257140340</t>
  </si>
  <si>
    <t>sahil.siddique_ei</t>
  </si>
  <si>
    <t>sahil.siddique@ei.study</t>
  </si>
  <si>
    <t>Sahil siddique</t>
  </si>
  <si>
    <t>2024-03-05 10:02:39</t>
  </si>
  <si>
    <t>Mr. Pratham Ghael</t>
  </si>
  <si>
    <t>pratham.ghael@zeeschoolsurat.com</t>
  </si>
  <si>
    <t>+917405156568</t>
  </si>
  <si>
    <t>info@zeeschoolsurat.com</t>
  </si>
  <si>
    <t>88000</t>
  </si>
  <si>
    <t>Block No 218, Surat Dandi Road, Village : Veluk, Narthan Patiya, Ta : Olpad</t>
  </si>
  <si>
    <t>395005</t>
  </si>
  <si>
    <t>Delhi Public School Mysore</t>
  </si>
  <si>
    <t>IN-2022001636</t>
  </si>
  <si>
    <t>52345</t>
  </si>
  <si>
    <t>122138</t>
  </si>
  <si>
    <t>978</t>
  </si>
  <si>
    <t>2025-03-06 00:00:00</t>
  </si>
  <si>
    <t>174483</t>
  </si>
  <si>
    <t>170993</t>
  </si>
  <si>
    <t>2512</t>
  </si>
  <si>
    <t>Mysuru</t>
  </si>
  <si>
    <t>22028000021529124</t>
  </si>
  <si>
    <t>51788000002788432</t>
  </si>
  <si>
    <t>zcrm_51788000266755199</t>
  </si>
  <si>
    <t>2024-04-04 16:54:23</t>
  </si>
  <si>
    <t>Ms. Ameera Subohi</t>
  </si>
  <si>
    <t>dps.ameerasubohi@gmail.com</t>
  </si>
  <si>
    <t>+919902310824</t>
  </si>
  <si>
    <t>nikithasushma19@gmail.com</t>
  </si>
  <si>
    <t>Sy.No.119/1, Bhugathgalli Village, Mysore-Bannur Road, Varuna Hobli,</t>
  </si>
  <si>
    <t>570011</t>
  </si>
  <si>
    <t>Mount Index International School, Indore</t>
  </si>
  <si>
    <t>IN-2022001552</t>
  </si>
  <si>
    <t>204750</t>
  </si>
  <si>
    <t>819000</t>
  </si>
  <si>
    <t>786880</t>
  </si>
  <si>
    <t>32120</t>
  </si>
  <si>
    <t>22028000021237672</t>
  </si>
  <si>
    <t>51788000002788434</t>
  </si>
  <si>
    <t>zcrm_51788000265947310</t>
  </si>
  <si>
    <t>2024-03-06 17:02:59</t>
  </si>
  <si>
    <t>Mr. Shyam Agarwal</t>
  </si>
  <si>
    <t>principal@mountindex.in</t>
  </si>
  <si>
    <t>+917389910700</t>
  </si>
  <si>
    <t>75000</t>
  </si>
  <si>
    <t>Index City, NH59-A, Indore, Nemawar Rd</t>
  </si>
  <si>
    <t>Sir Mutha School</t>
  </si>
  <si>
    <t>IN-2022001449</t>
  </si>
  <si>
    <t>1722</t>
  </si>
  <si>
    <t>2024-02-12 00:00:00</t>
  </si>
  <si>
    <t>655161</t>
  </si>
  <si>
    <t>2024-06-17 00:00:00</t>
  </si>
  <si>
    <t>14471</t>
  </si>
  <si>
    <t>2024-12-27 00:00:00</t>
  </si>
  <si>
    <t>1310322</t>
  </si>
  <si>
    <t>1257438</t>
  </si>
  <si>
    <t>38413</t>
  </si>
  <si>
    <t>0.22</t>
  </si>
  <si>
    <t>CHENNAI</t>
  </si>
  <si>
    <t>22028000020872292</t>
  </si>
  <si>
    <t>51788000002788582</t>
  </si>
  <si>
    <t>zcrm_51788000259910237</t>
  </si>
  <si>
    <t>makara.jyothi_ei</t>
  </si>
  <si>
    <t>makara.jyothi@ei.study</t>
  </si>
  <si>
    <t>Makara jyothi</t>
  </si>
  <si>
    <t>2024-02-27 14:04:02</t>
  </si>
  <si>
    <t>Samaira Tandon</t>
  </si>
  <si>
    <t>info@sirmuthaschool.edu.in</t>
  </si>
  <si>
    <t>+919940420538</t>
  </si>
  <si>
    <t>principal@srimuthaschool.com</t>
  </si>
  <si>
    <t>"SHENSTONE PARK" #7, HARRINGTON ROAD, CHETPUT</t>
  </si>
  <si>
    <t>600031</t>
  </si>
  <si>
    <t>Redbricks School</t>
  </si>
  <si>
    <t>IN-2022001920</t>
  </si>
  <si>
    <t>587</t>
  </si>
  <si>
    <t>83758</t>
  </si>
  <si>
    <t>195434</t>
  </si>
  <si>
    <t>2024-09-18 00:00:00</t>
  </si>
  <si>
    <t>279192</t>
  </si>
  <si>
    <t>266922</t>
  </si>
  <si>
    <t>12270</t>
  </si>
  <si>
    <t>0.5188</t>
  </si>
  <si>
    <t>0.46880000000000005</t>
  </si>
  <si>
    <t>22028000022120096</t>
  </si>
  <si>
    <t>51788000002788596</t>
  </si>
  <si>
    <t>zcrm_51788000267490001</t>
  </si>
  <si>
    <t>2024-04-22 17:31:42</t>
  </si>
  <si>
    <t>Dr Ritu Jain</t>
  </si>
  <si>
    <t>ritu.jain@redbrickseducation.org</t>
  </si>
  <si>
    <t>+919979877064</t>
  </si>
  <si>
    <t>info@redbrickseducation.org</t>
  </si>
  <si>
    <t>Plot no 1385 &amp; 1386, Near Arjun Farm, Shilaj - Rancharda Road</t>
  </si>
  <si>
    <t>382721</t>
  </si>
  <si>
    <t>AHMR05742C</t>
  </si>
  <si>
    <t>DPS Electronic City</t>
  </si>
  <si>
    <t>IN-2022002707</t>
  </si>
  <si>
    <t>229927</t>
  </si>
  <si>
    <t>536496</t>
  </si>
  <si>
    <t>15328</t>
  </si>
  <si>
    <t>766423</t>
  </si>
  <si>
    <t>751095</t>
  </si>
  <si>
    <t>22028000026913408</t>
  </si>
  <si>
    <t>51788000002788652</t>
  </si>
  <si>
    <t>zcrm_51788000280221447</t>
  </si>
  <si>
    <t>Alumu Srinivasulu</t>
  </si>
  <si>
    <t>2024-12-20 14:54:29</t>
  </si>
  <si>
    <t>Anupama Ramachandra</t>
  </si>
  <si>
    <t>principal@dpsecity.com</t>
  </si>
  <si>
    <t>+919880848482</t>
  </si>
  <si>
    <t>info@dpsecity.com</t>
  </si>
  <si>
    <t>Ms. Anupama Ramachandra</t>
  </si>
  <si>
    <t>Ms. Rachna Singh</t>
  </si>
  <si>
    <t>coordinator_5@dpsecity.com</t>
  </si>
  <si>
    <t>+917829542532</t>
  </si>
  <si>
    <t>10000</t>
  </si>
  <si>
    <t>Survey No. 33, Bettadasanapura, Begur Hobli</t>
  </si>
  <si>
    <t>560068</t>
  </si>
  <si>
    <t>St. Xavier'S School</t>
  </si>
  <si>
    <t>IN-2022001785</t>
  </si>
  <si>
    <t>1801</t>
  </si>
  <si>
    <t>38716</t>
  </si>
  <si>
    <t>3974.4</t>
  </si>
  <si>
    <t>2025-02-20 00:00:00</t>
  </si>
  <si>
    <t>154864</t>
  </si>
  <si>
    <t>136384</t>
  </si>
  <si>
    <t>14506</t>
  </si>
  <si>
    <t>0.53</t>
  </si>
  <si>
    <t>kalimpong</t>
  </si>
  <si>
    <t>2024-02-15 00:00:00</t>
  </si>
  <si>
    <t>2025-02-28 00:00:00</t>
  </si>
  <si>
    <t>22028000021838660</t>
  </si>
  <si>
    <t>51788000002789070</t>
  </si>
  <si>
    <t>zcrm_51788000257940211</t>
  </si>
  <si>
    <t>partha.das_ei</t>
  </si>
  <si>
    <t>partha.das@ei.study</t>
  </si>
  <si>
    <t>Partha das</t>
  </si>
  <si>
    <t>Partha Pratim Das</t>
  </si>
  <si>
    <t>2024-03-30 18:12:30</t>
  </si>
  <si>
    <t>Sr. Rajani Mondal</t>
  </si>
  <si>
    <t>sxs_damsang@yahoo.com</t>
  </si>
  <si>
    <t>+919733167970</t>
  </si>
  <si>
    <t>Neelam Agarwal</t>
  </si>
  <si>
    <t>neelamagarwal861@gmail.com</t>
  </si>
  <si>
    <t>+919547772551</t>
  </si>
  <si>
    <t>21st Mile Pedong</t>
  </si>
  <si>
    <t>734311</t>
  </si>
  <si>
    <t>CALS17392E</t>
  </si>
  <si>
    <t>Erudite Academy</t>
  </si>
  <si>
    <t>IN-2022002201</t>
  </si>
  <si>
    <t>1000</t>
  </si>
  <si>
    <t>301066</t>
  </si>
  <si>
    <t>301024</t>
  </si>
  <si>
    <t>42</t>
  </si>
  <si>
    <t>0.6153</t>
  </si>
  <si>
    <t>Diphu</t>
  </si>
  <si>
    <t>22028000022960520</t>
  </si>
  <si>
    <t>51788000002789635</t>
  </si>
  <si>
    <t>zcrm_51788000264242025</t>
  </si>
  <si>
    <t>2024-06-18 11:02:14</t>
  </si>
  <si>
    <t>SWARNA JYOTI KHATANIAR</t>
  </si>
  <si>
    <t>principal@erudite.ac.in</t>
  </si>
  <si>
    <t>+919435166140</t>
  </si>
  <si>
    <t>Mahananda Haflongbar</t>
  </si>
  <si>
    <t>erudite.diphu@gmail.com</t>
  </si>
  <si>
    <t>+919678030711</t>
  </si>
  <si>
    <t>Near Diphu Town Committe Office,Diphu,District-Karbi-Anglong</t>
  </si>
  <si>
    <t>782460</t>
  </si>
  <si>
    <t>Jamnabai Narsee School</t>
  </si>
  <si>
    <t>IN-2022002028</t>
  </si>
  <si>
    <t>573</t>
  </si>
  <si>
    <t>412324</t>
  </si>
  <si>
    <t>962089</t>
  </si>
  <si>
    <t>8247</t>
  </si>
  <si>
    <t>1374413</t>
  </si>
  <si>
    <t>1361477</t>
  </si>
  <si>
    <t>4689</t>
  </si>
  <si>
    <t>0.6179</t>
  </si>
  <si>
    <t>0.4679</t>
  </si>
  <si>
    <t>Gandhinagar</t>
  </si>
  <si>
    <t>22028000022395424</t>
  </si>
  <si>
    <t>51788000002789808</t>
  </si>
  <si>
    <t>zcrm_51788000267720001</t>
  </si>
  <si>
    <t>2024-05-08 16:26:47</t>
  </si>
  <si>
    <t>Anupama Singh</t>
  </si>
  <si>
    <t>principal.gift@jns.ac.in</t>
  </si>
  <si>
    <t>+919879338000</t>
  </si>
  <si>
    <t>info.gift@jns.ac.in</t>
  </si>
  <si>
    <t>Rajal Raval</t>
  </si>
  <si>
    <t>rajal.raval@jns.ac.in</t>
  </si>
  <si>
    <t>+919892571718</t>
  </si>
  <si>
    <t>Jamnabai Narsee School. Gift City, Gandhinagar, Gujarat</t>
  </si>
  <si>
    <t>382355</t>
  </si>
  <si>
    <t>AHMN06576D</t>
  </si>
  <si>
    <t>Delhi Public School, Delhi Public School, Bulandshahr</t>
  </si>
  <si>
    <t>2024-04-03 00:00:00, 2024-08-21 00:00:00</t>
  </si>
  <si>
    <t>32543162024.00, IN-2022002451</t>
  </si>
  <si>
    <t>2024-04-03 00:00:00, 2024-10-01 00:00:00</t>
  </si>
  <si>
    <t>2024-04-03 00:00:00, 2024-12-23 00:00:00</t>
  </si>
  <si>
    <t>2000-01-01 00:00:00, 2024-04-03 00:00:00</t>
  </si>
  <si>
    <t>CBSE, CISCE</t>
  </si>
  <si>
    <t>Bulandshahr</t>
  </si>
  <si>
    <t>Delhi/Haryana, UP/Uttarakhand</t>
  </si>
  <si>
    <t>2024-04-01 00:00:00, 2024-04-03 00:00:00</t>
  </si>
  <si>
    <t>2024-04-03 00:00:00, 2025-03-31 00:00:00</t>
  </si>
  <si>
    <t>22028000024247292, 32543162024</t>
  </si>
  <si>
    <t>51788000002789854</t>
  </si>
  <si>
    <t>zcrm_51788000273007172</t>
  </si>
  <si>
    <t>2024-04-03 00:00:00, 2024-08-21 16:03:05</t>
  </si>
  <si>
    <t>Mr. D. S. Yadav</t>
  </si>
  <si>
    <t>dpsb_shahr@rediffmail.com</t>
  </si>
  <si>
    <t>0, 75000</t>
  </si>
  <si>
    <t>Yamunapuram,</t>
  </si>
  <si>
    <t>203001</t>
  </si>
  <si>
    <t>Gedee Public School</t>
  </si>
  <si>
    <t>IN-2022001556</t>
  </si>
  <si>
    <t>165221</t>
  </si>
  <si>
    <t>6606</t>
  </si>
  <si>
    <t>330442</t>
  </si>
  <si>
    <t>323835</t>
  </si>
  <si>
    <t>22028000021258040</t>
  </si>
  <si>
    <t>51788000002790069</t>
  </si>
  <si>
    <t>zcrm_51788000258047283</t>
  </si>
  <si>
    <t>2024-03-19 10:37:48</t>
  </si>
  <si>
    <t>Dr Shantha Jeyakumar</t>
  </si>
  <si>
    <t>isd@gedeepublicschool.com</t>
  </si>
  <si>
    <t>+919585530265</t>
  </si>
  <si>
    <t>principal@gedeepublicschool.com</t>
  </si>
  <si>
    <t>Mrs Anitha</t>
  </si>
  <si>
    <t>info@gedeepublicschool.com</t>
  </si>
  <si>
    <t>+919685530265</t>
  </si>
  <si>
    <t>634/2, Eachanari - Chettipalayam Road, Eachanari P.O</t>
  </si>
  <si>
    <t>641021</t>
  </si>
  <si>
    <t>CMBG03975G</t>
  </si>
  <si>
    <t>Anand Niketan, Sughad Campus</t>
  </si>
  <si>
    <t>2024-07-07 00:00:00</t>
  </si>
  <si>
    <t>IN-2022002319</t>
  </si>
  <si>
    <t>51120</t>
  </si>
  <si>
    <t>2024-11-22 00:00:00</t>
  </si>
  <si>
    <t>510600</t>
  </si>
  <si>
    <t>460080</t>
  </si>
  <si>
    <t>-600</t>
  </si>
  <si>
    <t>22028000023338888</t>
  </si>
  <si>
    <t>51788000002790209</t>
  </si>
  <si>
    <t>zcrm_51788000271489001</t>
  </si>
  <si>
    <t>2024-07-10 16:37:24</t>
  </si>
  <si>
    <t>Bitasta Bhattacharya</t>
  </si>
  <si>
    <t>bitasta.bhattacharya@anandniketan.org</t>
  </si>
  <si>
    <t>+919376168802</t>
  </si>
  <si>
    <t>ansughad@anandniketan.org</t>
  </si>
  <si>
    <t>Air Port Gandhi Nagar Road, Rajasthan Hospital Circel B/H Sandesh Farm Sughad Village</t>
  </si>
  <si>
    <t>382424</t>
  </si>
  <si>
    <t>AHMA13072D</t>
  </si>
  <si>
    <t>Kunskapsskolan</t>
  </si>
  <si>
    <t>IN-2022002088</t>
  </si>
  <si>
    <t>122843</t>
  </si>
  <si>
    <t>245686</t>
  </si>
  <si>
    <t>241458</t>
  </si>
  <si>
    <t>4228</t>
  </si>
  <si>
    <t>0.3667</t>
  </si>
  <si>
    <t>22028000022644952</t>
  </si>
  <si>
    <t>51788000002790210</t>
  </si>
  <si>
    <t>zcrm_51788000270071025</t>
  </si>
  <si>
    <t>2024-05-27 15:57:32</t>
  </si>
  <si>
    <t>Mrs. Pradhepa Idayachandran</t>
  </si>
  <si>
    <t>ipradhepa@kunskapsskolan.edu.in</t>
  </si>
  <si>
    <t>+919871400557</t>
  </si>
  <si>
    <t>info@kunskapsskolan.edu.in</t>
  </si>
  <si>
    <t>Site No. 1122, Block-A, Dlf Phase-1</t>
  </si>
  <si>
    <t>122002</t>
  </si>
  <si>
    <t>RTKD05158G</t>
  </si>
  <si>
    <t>The Pentecostal Assembly School, Bokaro</t>
  </si>
  <si>
    <t>2024-03-30 00:00:00, 2024-04-01 00:00:00</t>
  </si>
  <si>
    <t>IN-2022001783, IN-2022001795</t>
  </si>
  <si>
    <t>1880</t>
  </si>
  <si>
    <t>2024-03-30 00:00:00, 2024-06-24 00:00:00</t>
  </si>
  <si>
    <t>574118, 940125</t>
  </si>
  <si>
    <t>574243, 940000</t>
  </si>
  <si>
    <t>-125, 125</t>
  </si>
  <si>
    <t>0.6851, 0.7149</t>
  </si>
  <si>
    <t>0.5851, 0.6149</t>
  </si>
  <si>
    <t>Bokaro</t>
  </si>
  <si>
    <t>22028000021838544, 22028000021867288</t>
  </si>
  <si>
    <t>51788000002790221</t>
  </si>
  <si>
    <t>zcrm_51788000267770329, zcrm_51788000267780357</t>
  </si>
  <si>
    <t>Mayukh Chowdhury</t>
  </si>
  <si>
    <t>2024-04-01 10:23:18, 2024-04-02 15:14:37</t>
  </si>
  <si>
    <t>Mr. Daniel Michael Prasad</t>
  </si>
  <si>
    <t>prasad.daniel@gmail.com</t>
  </si>
  <si>
    <t>+919934363077</t>
  </si>
  <si>
    <t>info@pasbokaro.com</t>
  </si>
  <si>
    <t>Karuna Prasad</t>
  </si>
  <si>
    <t>karuna.prasad@pasbokaro.com</t>
  </si>
  <si>
    <t>Sector 12 Bokaro Steel City</t>
  </si>
  <si>
    <t>827012</t>
  </si>
  <si>
    <t>Bokaro Steel City</t>
  </si>
  <si>
    <t>The Radiant International School</t>
  </si>
  <si>
    <t>IN-2022002790</t>
  </si>
  <si>
    <t>144216</t>
  </si>
  <si>
    <t>143431.24</t>
  </si>
  <si>
    <t>785</t>
  </si>
  <si>
    <t>0.41659999999999997</t>
  </si>
  <si>
    <t>22028000027312192</t>
  </si>
  <si>
    <t>51788000002790446</t>
  </si>
  <si>
    <t>zcrm_51788000275877217</t>
  </si>
  <si>
    <t>devansh.desai_ei</t>
  </si>
  <si>
    <t>devansh.desai@ei.study</t>
  </si>
  <si>
    <t>Devansh desai</t>
  </si>
  <si>
    <t>2025-01-16 15:09:15</t>
  </si>
  <si>
    <t>Mr. Tushar Parmar</t>
  </si>
  <si>
    <t>cbse.principal@tris.edu.in</t>
  </si>
  <si>
    <t>+918758866100</t>
  </si>
  <si>
    <t>info@tris.edu.in</t>
  </si>
  <si>
    <t>Trushar parmar</t>
  </si>
  <si>
    <t>Trushar parma</t>
  </si>
  <si>
    <t>56000</t>
  </si>
  <si>
    <t>Bhesan Road</t>
  </si>
  <si>
    <t>Ugat Canal Rd,</t>
  </si>
  <si>
    <t>Ugat Canal</t>
  </si>
  <si>
    <t>Ugat Canal Rd, Near Sneha Rashmi Botanical Garden, Jahangirabad, Dahin Nagar</t>
  </si>
  <si>
    <t>Gyanshree School</t>
  </si>
  <si>
    <t>2024-07-24 00:00:00, 2024-07-28 00:00:00</t>
  </si>
  <si>
    <t>IN-2022002373, IN-2022002374, IN-2022002381</t>
  </si>
  <si>
    <t>520, 740</t>
  </si>
  <si>
    <t>1511</t>
  </si>
  <si>
    <t>2000-01-01 00:00:00, 2024-07-25 00:00:00</t>
  </si>
  <si>
    <t>0, 140520</t>
  </si>
  <si>
    <t>2000-01-01 00:00:00, 2024-12-25 00:00:00</t>
  </si>
  <si>
    <t>14051.93, 61566.4, 8422.38</t>
  </si>
  <si>
    <t>2024-09-06 00:00:00</t>
  </si>
  <si>
    <t>281040, 615664, 84224</t>
  </si>
  <si>
    <t>126467, 554098, 75802</t>
  </si>
  <si>
    <t>0, 140521</t>
  </si>
  <si>
    <t>0.6534, 0.6566, 0.6654000000000001</t>
  </si>
  <si>
    <t>22028000023728104, 22028000023728160, 22028000023790664</t>
  </si>
  <si>
    <t>51788000002790453</t>
  </si>
  <si>
    <t>zcrm_51788000272114001, zcrm_51788000272114135, zcrm_51788000272114269</t>
  </si>
  <si>
    <t>2024-07-26 10:26:48, 2024-07-26 10:26:55, 2024-08-06 12:56:58</t>
  </si>
  <si>
    <t>Mr. Akashdeep Sharma</t>
  </si>
  <si>
    <t>akashdeep@gyanshree.in</t>
  </si>
  <si>
    <t>+919910072534</t>
  </si>
  <si>
    <t>infogyanshree@gmail.com</t>
  </si>
  <si>
    <t>Plot No 3 &amp; 4, Noida Expressway, Sector 127</t>
  </si>
  <si>
    <t>201304</t>
  </si>
  <si>
    <t>DELH04678C</t>
  </si>
  <si>
    <t>The Kirk View School</t>
  </si>
  <si>
    <t>IN-2022001840, IN-2022001841</t>
  </si>
  <si>
    <t>212</t>
  </si>
  <si>
    <t>1317</t>
  </si>
  <si>
    <t>1077, 1526</t>
  </si>
  <si>
    <t>320303, 95405</t>
  </si>
  <si>
    <t>2024-09-20 00:00:00, 2026-02-07 00:00:00</t>
  </si>
  <si>
    <t>190810, 640606</t>
  </si>
  <si>
    <t>190809, 676946</t>
  </si>
  <si>
    <t>-36340, 1</t>
  </si>
  <si>
    <t>0.75, 0.8234999999999999</t>
  </si>
  <si>
    <t>Gaya</t>
  </si>
  <si>
    <t>22028000021923008, 22028000021923128</t>
  </si>
  <si>
    <t>51788000002790457</t>
  </si>
  <si>
    <t>zcrm_51788000267810003, zcrm_51788000267810134</t>
  </si>
  <si>
    <t>2024-04-22 09:35:35, 2024-04-22 09:35:43</t>
  </si>
  <si>
    <t>Mr. Prabuddha Chatterjee</t>
  </si>
  <si>
    <t>prabuddha@tkvs.org</t>
  </si>
  <si>
    <t>+918051725111</t>
  </si>
  <si>
    <t>principal@tkvs.org</t>
  </si>
  <si>
    <t>Prabuddha Chatterjee</t>
  </si>
  <si>
    <t>Samridhi Rashi</t>
  </si>
  <si>
    <t>samridhi.rashi@tkvs.org</t>
  </si>
  <si>
    <t>+919507207667</t>
  </si>
  <si>
    <t>Kirk View Church Road, South Gandhi Maidan, Opposite Gaya Museum</t>
  </si>
  <si>
    <t>823001</t>
  </si>
  <si>
    <t>Opposite Gaya Museum</t>
  </si>
  <si>
    <t>The Kalyani School</t>
  </si>
  <si>
    <t>IN-2022002206</t>
  </si>
  <si>
    <t>243870</t>
  </si>
  <si>
    <t>24387</t>
  </si>
  <si>
    <t>2024-07-12 00:00:00</t>
  </si>
  <si>
    <t>487740</t>
  </si>
  <si>
    <t>441342</t>
  </si>
  <si>
    <t>22011</t>
  </si>
  <si>
    <t>22028000023003264</t>
  </si>
  <si>
    <t>51788000002790461</t>
  </si>
  <si>
    <t>zcrm_51788000270695001</t>
  </si>
  <si>
    <t>2024-06-19 15:25:33</t>
  </si>
  <si>
    <t>Mrs. Nirmal Waddan</t>
  </si>
  <si>
    <t>principal@thekalyanischool.com</t>
  </si>
  <si>
    <t>+917722061428</t>
  </si>
  <si>
    <t>info@thekalyanischool.com</t>
  </si>
  <si>
    <t>Manjari Village Road, Manjari Budruk, Near Hadapsar, Maharashtra</t>
  </si>
  <si>
    <t>412307</t>
  </si>
  <si>
    <t>PNEA05180A</t>
  </si>
  <si>
    <t>Paul George Global School</t>
  </si>
  <si>
    <t>2024-05-30 00:00:00, 2024-07-05 00:00:00</t>
  </si>
  <si>
    <t>IN-2022002125, IN-2022002126, IN-2022002315</t>
  </si>
  <si>
    <t>465</t>
  </si>
  <si>
    <t>403</t>
  </si>
  <si>
    <t>1892</t>
  </si>
  <si>
    <t>2024-07-20 00:00:00, 2024-07-26 00:00:00, 2024-08-24 00:00:00</t>
  </si>
  <si>
    <t>34860, 40223, 96539</t>
  </si>
  <si>
    <t>2024-08-24 00:00:00, 2024-09-20 00:00:00, 2024-12-28 00:00:00</t>
  </si>
  <si>
    <t>2000-01-01 00:00:00, 2024-10-26 00:00:00</t>
  </si>
  <si>
    <t>0, 96539</t>
  </si>
  <si>
    <t>2000-01-01 00:00:00, 2024-12-28 00:00:00</t>
  </si>
  <si>
    <t>29239, 5279, 8045</t>
  </si>
  <si>
    <t>2025-02-01 00:00:00, 2025-05-09 00:00:00, 2025-05-28 00:00:00</t>
  </si>
  <si>
    <t>386156, 69720, 80446</t>
  </si>
  <si>
    <t>263166, 47514, 72400</t>
  </si>
  <si>
    <t>1, 16927, 93751</t>
  </si>
  <si>
    <t>0.69</t>
  </si>
  <si>
    <t>0.64, 0.69</t>
  </si>
  <si>
    <t>22028000022729112, 22028000022729152, 22028000023341076</t>
  </si>
  <si>
    <t>51788000002790465</t>
  </si>
  <si>
    <t>zcrm_51788000269957022, zcrm_51788000269957212, zcrm_51788000271455001</t>
  </si>
  <si>
    <t>2024-07-08 17:22:08, 2024-07-15 16:57:38, 2024-07-15 16:57:39</t>
  </si>
  <si>
    <t>Simi Robertson</t>
  </si>
  <si>
    <t>simi.robertson@pggs.edu.in</t>
  </si>
  <si>
    <t>+919599965464</t>
  </si>
  <si>
    <t>contact@pggs.edu.in</t>
  </si>
  <si>
    <t>Alaknanda Behind St George School ,Delhi</t>
  </si>
  <si>
    <t>110019</t>
  </si>
  <si>
    <t>DELP21675D</t>
  </si>
  <si>
    <t>Deens Academy - Gunjur</t>
  </si>
  <si>
    <t>2024-05-16 00:00:00</t>
  </si>
  <si>
    <t>IN-2022002057, IN-2022002058</t>
  </si>
  <si>
    <t>1246</t>
  </si>
  <si>
    <t>2, 3</t>
  </si>
  <si>
    <t>293429, 516836</t>
  </si>
  <si>
    <t>2024-08-25 00:00:00, 2024-09-05 00:00:00</t>
  </si>
  <si>
    <t>293429, 387627</t>
  </si>
  <si>
    <t>2000-01-01 00:00:00, 2024-12-05 00:00:00</t>
  </si>
  <si>
    <t>0, 387627</t>
  </si>
  <si>
    <t>130870, 30181</t>
  </si>
  <si>
    <t>2024-09-18 00:00:00, 2024-12-09 00:00:00</t>
  </si>
  <si>
    <t>1292090, 586858</t>
  </si>
  <si>
    <t>1177829, 540526</t>
  </si>
  <si>
    <t>-16609, 16151</t>
  </si>
  <si>
    <t>0.5917, 0.6339</t>
  </si>
  <si>
    <t>2024-05-25 00:00:00, 2024-06-01 00:00:00</t>
  </si>
  <si>
    <t>2025-03-31 00:00:00, 2025-05-24 00:00:00</t>
  </si>
  <si>
    <t>22028000022542100, 22028000022542152</t>
  </si>
  <si>
    <t>51788000002790477</t>
  </si>
  <si>
    <t>zcrm_51788000269469520, zcrm_51788000269469651</t>
  </si>
  <si>
    <t>2024-05-24 12:41:07, 2024-05-24 12:46:54</t>
  </si>
  <si>
    <t>Mr. Imtiyaz Parvez</t>
  </si>
  <si>
    <t>accounts1@deensacademy.com</t>
  </si>
  <si>
    <t>+919740803755</t>
  </si>
  <si>
    <t>principal@deensacademy.com</t>
  </si>
  <si>
    <t>Hema Ma'am</t>
  </si>
  <si>
    <t>gunjur.hm@deensacademy.com</t>
  </si>
  <si>
    <t>+919738118071</t>
  </si>
  <si>
    <t>Balachandran R</t>
  </si>
  <si>
    <t>balachandran.r@deensacademy.com</t>
  </si>
  <si>
    <t>Sy. No. 48/2, Kathriguppe Village, Neriga, Post-Gunjur</t>
  </si>
  <si>
    <t>560082</t>
  </si>
  <si>
    <t>BLRD05589D</t>
  </si>
  <si>
    <t>The HDFC School</t>
  </si>
  <si>
    <t>IN-2022001772</t>
  </si>
  <si>
    <t>185236</t>
  </si>
  <si>
    <t>3705</t>
  </si>
  <si>
    <t>2025-07-18 00:00:00</t>
  </si>
  <si>
    <t>370472</t>
  </si>
  <si>
    <t>363065.35</t>
  </si>
  <si>
    <t>3702</t>
  </si>
  <si>
    <t>0.5667</t>
  </si>
  <si>
    <t>0.5167</t>
  </si>
  <si>
    <t>22028000021810600</t>
  </si>
  <si>
    <t>51788000002790640</t>
  </si>
  <si>
    <t>zcrm_51788000267717001</t>
  </si>
  <si>
    <t>2024-04-12 10:27:24</t>
  </si>
  <si>
    <t>Deepshikha Dahiya</t>
  </si>
  <si>
    <t>deepshikha.dahiya@thehdfcschoolggn.com</t>
  </si>
  <si>
    <t>+919811352736</t>
  </si>
  <si>
    <t>info@thehdfcschool.com</t>
  </si>
  <si>
    <t>Block C, Sushant Lok III, Sector 57, Gurugram, Haryana</t>
  </si>
  <si>
    <t>122003</t>
  </si>
  <si>
    <t>Saandeepani Academy For Excellence</t>
  </si>
  <si>
    <t>Ei ASSET,Ei CARES,Ei Mindspark, Ei ASSET,Ei Mindspark, Ei Mindspark</t>
  </si>
  <si>
    <t>IN-2022002017, IN-2022002018, IN-2022002019, IN-2022002020, IN-2022002021</t>
  </si>
  <si>
    <t>603, 737, 741, 896</t>
  </si>
  <si>
    <t>1786</t>
  </si>
  <si>
    <t>1695, 2044, 2377, 2380, 2934</t>
  </si>
  <si>
    <t>140598, 204046, 59907, 75417, 82496</t>
  </si>
  <si>
    <t>14022, 20404, 6013, 7560, 8250</t>
  </si>
  <si>
    <t>239628, 301668, 329984, 562392, 816184</t>
  </si>
  <si>
    <t>237550, 256235, 273376, 511887, 745772</t>
  </si>
  <si>
    <t>-3935, 20732, 36483, 50008, 65499</t>
  </si>
  <si>
    <t>0.4445, 0.6099, 0.6104999999999999, 0.6794, 0.7767000000000001</t>
  </si>
  <si>
    <t>22028000022386104, 22028000022386192, 22028000022386292, 22028000022386404, 22028000022386568</t>
  </si>
  <si>
    <t>51788000002790655</t>
  </si>
  <si>
    <t>zcrm_51788000269106306, zcrm_51788000269106437, zcrm_51788000269106568, zcrm_51788000269137025, zcrm_51788000269137156</t>
  </si>
  <si>
    <t>2024-06-06 11:37:46, 2024-06-06 11:39:55, 2024-06-06 11:42:09, 2024-06-06 11:43:41, 2024-06-06 11:43:57</t>
  </si>
  <si>
    <t>Latha M</t>
  </si>
  <si>
    <t>director@saandeepani.in</t>
  </si>
  <si>
    <t>+918970775989</t>
  </si>
  <si>
    <t>info@saandeepani.in</t>
  </si>
  <si>
    <t>+919980570075</t>
  </si>
  <si>
    <t>Ms. Smitha R</t>
  </si>
  <si>
    <t>complab@saandeepani.in</t>
  </si>
  <si>
    <t>+918088470134</t>
  </si>
  <si>
    <t>90/75 Sompura Gate, Sarjapur Road,</t>
  </si>
  <si>
    <t>562125</t>
  </si>
  <si>
    <t>BLRS47970G</t>
  </si>
  <si>
    <t>Navrachana International School</t>
  </si>
  <si>
    <t>IN-2022002035</t>
  </si>
  <si>
    <t>945</t>
  </si>
  <si>
    <t>245588</t>
  </si>
  <si>
    <t>4910</t>
  </si>
  <si>
    <t>491176</t>
  </si>
  <si>
    <t>481180</t>
  </si>
  <si>
    <t>5086</t>
  </si>
  <si>
    <t>22028000022430164</t>
  </si>
  <si>
    <t>51788000002790843</t>
  </si>
  <si>
    <t>zcrm_51788000267519996</t>
  </si>
  <si>
    <t>2024-05-09 15:11:21</t>
  </si>
  <si>
    <t>Mr. Theopane Dsouza</t>
  </si>
  <si>
    <t>principal@navrachana.ac.in</t>
  </si>
  <si>
    <t>+919426514659</t>
  </si>
  <si>
    <t>Principal@navrachana.ac.in</t>
  </si>
  <si>
    <t>Ms. Kashmira Jaiswal</t>
  </si>
  <si>
    <t>+919376233930</t>
  </si>
  <si>
    <t>151300</t>
  </si>
  <si>
    <t>Vasna Bhaiyali Road. Vadodara</t>
  </si>
  <si>
    <t>BRDN01994G</t>
  </si>
  <si>
    <t>Delhi Public School, Balco</t>
  </si>
  <si>
    <t>2024-03-18 00:00:00</t>
  </si>
  <si>
    <t>IN-2022001663</t>
  </si>
  <si>
    <t>41861</t>
  </si>
  <si>
    <t>1004670</t>
  </si>
  <si>
    <t>1046531</t>
  </si>
  <si>
    <t>128790.56</t>
  </si>
  <si>
    <t>917740</t>
  </si>
  <si>
    <t>Korba</t>
  </si>
  <si>
    <t>22028000021598112</t>
  </si>
  <si>
    <t>51788000002790848</t>
  </si>
  <si>
    <t>zcrm_51788000267002230</t>
  </si>
  <si>
    <t>2024-03-22 11:07:55</t>
  </si>
  <si>
    <t>Kailash Pawar</t>
  </si>
  <si>
    <t>dpsbalco@gmail.con</t>
  </si>
  <si>
    <t>+919981996378</t>
  </si>
  <si>
    <t>dpsbalco@gmail.com</t>
  </si>
  <si>
    <t>Balco Nagar</t>
  </si>
  <si>
    <t>495684</t>
  </si>
  <si>
    <t>Delhi Public School Greater Faridabad</t>
  </si>
  <si>
    <t>IN-2022001716</t>
  </si>
  <si>
    <t>877</t>
  </si>
  <si>
    <t>60314</t>
  </si>
  <si>
    <t>621030</t>
  </si>
  <si>
    <t>542824</t>
  </si>
  <si>
    <t>17892</t>
  </si>
  <si>
    <t>0.7125</t>
  </si>
  <si>
    <t>22028000021670368</t>
  </si>
  <si>
    <t>51788000002790854</t>
  </si>
  <si>
    <t>zcrm_51788000267395097</t>
  </si>
  <si>
    <t>2024-03-22 11:58:54</t>
  </si>
  <si>
    <t>Mr. Vishal Jain</t>
  </si>
  <si>
    <t>vishal.jain@shailgroup.com</t>
  </si>
  <si>
    <t>+919999894837</t>
  </si>
  <si>
    <t>info@dpsgfaridabad.com</t>
  </si>
  <si>
    <t>Dr. Bindu Sharma</t>
  </si>
  <si>
    <t>principal@dpsgfaridabad.com</t>
  </si>
  <si>
    <t>Ms. Samidha Goel</t>
  </si>
  <si>
    <t>samidhagoel@dpsgfaridabad.com</t>
  </si>
  <si>
    <t>+918700732561</t>
  </si>
  <si>
    <t>Sector 81.,Faridabad,Haryana</t>
  </si>
  <si>
    <t>121004</t>
  </si>
  <si>
    <t>IN-2022002530</t>
  </si>
  <si>
    <t>233667</t>
  </si>
  <si>
    <t>83667</t>
  </si>
  <si>
    <t>0.5616</t>
  </si>
  <si>
    <t>Chhindwara</t>
  </si>
  <si>
    <t>22028000025601420</t>
  </si>
  <si>
    <t>51788000002790878</t>
  </si>
  <si>
    <t>zcrm_51788000275820390</t>
  </si>
  <si>
    <t>2024-10-29 10:25:14</t>
  </si>
  <si>
    <t>Habib Khan</t>
  </si>
  <si>
    <t>principal@dpschhindwara.com</t>
  </si>
  <si>
    <t>+919977544122</t>
  </si>
  <si>
    <t>info@dpschhindwara.com</t>
  </si>
  <si>
    <t>Mr Habib Khan</t>
  </si>
  <si>
    <t>51000</t>
  </si>
  <si>
    <t>12Th K.M. Stone, Betul Road, Chhindwara, Mp Sh 26, Tiwara Kamath,</t>
  </si>
  <si>
    <t>480001</t>
  </si>
  <si>
    <t>SANSKRUTI – An English Medium School, Ashoknagar</t>
  </si>
  <si>
    <t>IN-2022001761</t>
  </si>
  <si>
    <t>1555</t>
  </si>
  <si>
    <t>338696</t>
  </si>
  <si>
    <t>135046</t>
  </si>
  <si>
    <t>1354784</t>
  </si>
  <si>
    <t>1215410</t>
  </si>
  <si>
    <t>4328</t>
  </si>
  <si>
    <t>0.6074</t>
  </si>
  <si>
    <t>Ashoknagar</t>
  </si>
  <si>
    <t>22028000021783776</t>
  </si>
  <si>
    <t>51788000002791004</t>
  </si>
  <si>
    <t>zcrm_51788000265905569</t>
  </si>
  <si>
    <t>2024-03-28 17:14:30</t>
  </si>
  <si>
    <t>Ms. Inderpal Kaur</t>
  </si>
  <si>
    <t>sanskrutischool21@gmail.com</t>
  </si>
  <si>
    <t>+918959009077</t>
  </si>
  <si>
    <t>devendra1172@gmail.com</t>
  </si>
  <si>
    <t>32200</t>
  </si>
  <si>
    <t>Pathriya</t>
  </si>
  <si>
    <t>473331</t>
  </si>
  <si>
    <t>BPLA04691B</t>
  </si>
  <si>
    <t>Suditi Global Academy, Etawah</t>
  </si>
  <si>
    <t>IN-2022001477</t>
  </si>
  <si>
    <t>150020</t>
  </si>
  <si>
    <t>2024-07-05 00:00:00</t>
  </si>
  <si>
    <t>2024-10-05 00:00:00</t>
  </si>
  <si>
    <t>600080</t>
  </si>
  <si>
    <t>477249</t>
  </si>
  <si>
    <t>119831</t>
  </si>
  <si>
    <t>Etawah</t>
  </si>
  <si>
    <t>22028000020971056</t>
  </si>
  <si>
    <t>51788000002791028</t>
  </si>
  <si>
    <t>zcrm_51788000264845024</t>
  </si>
  <si>
    <t>2024-02-14 10:04:41</t>
  </si>
  <si>
    <t>Mr. Mayank Yadav</t>
  </si>
  <si>
    <t>principalsgaetawah@yahoo.co.in</t>
  </si>
  <si>
    <t>+919412159222</t>
  </si>
  <si>
    <t>principalsgsatawah@gmail.com</t>
  </si>
  <si>
    <t>Mr. kamal Kumar</t>
  </si>
  <si>
    <t>principalsgaetawah@gmail.com</t>
  </si>
  <si>
    <t>+919027166213</t>
  </si>
  <si>
    <t>Vicharpur,Agra Road,Etawah</t>
  </si>
  <si>
    <t>206001</t>
  </si>
  <si>
    <t>St.Joseph^s Convent Higher Secondary School , Tezpur convent</t>
  </si>
  <si>
    <t>IN-2022001816, IN-2022001817</t>
  </si>
  <si>
    <t>1482, 1670</t>
  </si>
  <si>
    <t>226376, 95996</t>
  </si>
  <si>
    <t>2024-05-23 00:00:00, 2025-03-17 00:00:00</t>
  </si>
  <si>
    <t>383984, 905504</t>
  </si>
  <si>
    <t>100000, 938595</t>
  </si>
  <si>
    <t>-33091, 283984</t>
  </si>
  <si>
    <t>0.43, 0.523</t>
  </si>
  <si>
    <t>Tezpur</t>
  </si>
  <si>
    <t>22028000021899184, 22028000021899244</t>
  </si>
  <si>
    <t>51788000002791210</t>
  </si>
  <si>
    <t>zcrm_51788000265302130</t>
  </si>
  <si>
    <t>anita.kamath</t>
  </si>
  <si>
    <t>anita.kamath@ei.study</t>
  </si>
  <si>
    <t>Anita kamath</t>
  </si>
  <si>
    <t>Shramana Mukherjee</t>
  </si>
  <si>
    <t>2024-04-03 16:37:38, 2024-04-03 16:40:45</t>
  </si>
  <si>
    <t>Ms. Sr. Emilia Chopfohra</t>
  </si>
  <si>
    <t>stjosephconvent38@gmail.com</t>
  </si>
  <si>
    <t>+919401981078</t>
  </si>
  <si>
    <t>st.josephconvent38@gmail.com</t>
  </si>
  <si>
    <t>Sr. Emelia Chopfohra</t>
  </si>
  <si>
    <t>34500</t>
  </si>
  <si>
    <t>Near Head post Office, Tezpur, District-Sonitpur</t>
  </si>
  <si>
    <t>784001</t>
  </si>
  <si>
    <t>SHLS07497A</t>
  </si>
  <si>
    <t>Ramakrishna Mission Vidyapith</t>
  </si>
  <si>
    <t>IN-2022002334</t>
  </si>
  <si>
    <t>59095</t>
  </si>
  <si>
    <t>2025-03-17 00:00:00</t>
  </si>
  <si>
    <t>236380</t>
  </si>
  <si>
    <t>236385</t>
  </si>
  <si>
    <t>-5</t>
  </si>
  <si>
    <t>0.5385</t>
  </si>
  <si>
    <t>Deoghar</t>
  </si>
  <si>
    <t>22028000023464512</t>
  </si>
  <si>
    <t>51788000002791402</t>
  </si>
  <si>
    <t>zcrm_51788000270303464</t>
  </si>
  <si>
    <t>fayiez.ahmad_ei</t>
  </si>
  <si>
    <t>fayiez.ahmad@ei.study</t>
  </si>
  <si>
    <t>Fayiez ahmad</t>
  </si>
  <si>
    <t>Fayiez Ahmad</t>
  </si>
  <si>
    <t>2024-07-11 11:44:34</t>
  </si>
  <si>
    <t>Mr. SWAMI Divyasudhananda</t>
  </si>
  <si>
    <t>rkmvidyapith@gmail.com</t>
  </si>
  <si>
    <t>+919748535329</t>
  </si>
  <si>
    <t>16300</t>
  </si>
  <si>
    <t>P O Vidyapeeth Ramakrishna Nagar Deoghar (S P) Jharkhand</t>
  </si>
  <si>
    <t>814112</t>
  </si>
  <si>
    <t>Pinewood Academic Society</t>
  </si>
  <si>
    <t>IN-2022002748</t>
  </si>
  <si>
    <t>Saharanpur</t>
  </si>
  <si>
    <t>22028000027058504</t>
  </si>
  <si>
    <t>51788000002791491</t>
  </si>
  <si>
    <t>zcrm_51788000280772490</t>
  </si>
  <si>
    <t>Himanshi Yadav</t>
  </si>
  <si>
    <t>2024-12-30 10:53:58</t>
  </si>
  <si>
    <t>Mr. Dr. Sanjeev Jain</t>
  </si>
  <si>
    <t>+918755221100</t>
  </si>
  <si>
    <t>pinewoodschool@rediffmail.com</t>
  </si>
  <si>
    <t>Dr. Sanjeev Jain</t>
  </si>
  <si>
    <t>+919045400400</t>
  </si>
  <si>
    <t>86000</t>
  </si>
  <si>
    <t>Chunehti,, Delhi Rd</t>
  </si>
  <si>
    <t>247001</t>
  </si>
  <si>
    <t>KLE Basavaprabhu Kore CBSE School, Ankali</t>
  </si>
  <si>
    <t>IN-2022002223, IN-2022002225</t>
  </si>
  <si>
    <t>156639, 82557</t>
  </si>
  <si>
    <t>16545.2, 27050</t>
  </si>
  <si>
    <t>165114, 313278</t>
  </si>
  <si>
    <t>148906.8, 292150</t>
  </si>
  <si>
    <t>-338, -5922</t>
  </si>
  <si>
    <t>Chikodi</t>
  </si>
  <si>
    <t>22028000023002928, 22028000023033008</t>
  </si>
  <si>
    <t>51788000002791694</t>
  </si>
  <si>
    <t>zcrm_51788000270593141, zcrm_51788000270633124</t>
  </si>
  <si>
    <t>2024-06-18 10:21:23, 2024-06-18 10:55:59</t>
  </si>
  <si>
    <t>kles_ank1@rediffmail.com</t>
  </si>
  <si>
    <t>Ankali</t>
  </si>
  <si>
    <t>591213</t>
  </si>
  <si>
    <t>KLE School, Dharwad</t>
  </si>
  <si>
    <t>IN-2022002217, IN-2022002231</t>
  </si>
  <si>
    <t>190848, 98727</t>
  </si>
  <si>
    <t>19779.6, 32338</t>
  </si>
  <si>
    <t>197454, 381696</t>
  </si>
  <si>
    <t>178016.4, 349262</t>
  </si>
  <si>
    <t>-342, 96</t>
  </si>
  <si>
    <t>Dharwad</t>
  </si>
  <si>
    <t>22028000023002688, 22028000023033248</t>
  </si>
  <si>
    <t>51788000002791695</t>
  </si>
  <si>
    <t>zcrm_51788000270593986, zcrm_51788000270633656</t>
  </si>
  <si>
    <t>2024-06-18 10:39:37, 2024-06-18 10:52:05</t>
  </si>
  <si>
    <t>kle.dharwad@rediffmail.com</t>
  </si>
  <si>
    <t>Karnataka Industrial Area Development Board (KIADB Area), Near Bharat Petroleum Corporation Ltd, Road No.07, BPCL Balance Land, Rayapur, Dharwad</t>
  </si>
  <si>
    <t>580009</t>
  </si>
  <si>
    <t>KLE School, Haveri</t>
  </si>
  <si>
    <t>2024-06-16 00:00:00, 2024-06-18 00:00:00</t>
  </si>
  <si>
    <t>IN-2022002234, IN-2022002247</t>
  </si>
  <si>
    <t>118472, 226557</t>
  </si>
  <si>
    <t>23604.9, 38592</t>
  </si>
  <si>
    <t>236944, 453114</t>
  </si>
  <si>
    <t>212444.1, 416806</t>
  </si>
  <si>
    <t>-2284, 895</t>
  </si>
  <si>
    <t>Haveri</t>
  </si>
  <si>
    <t>22028000023033368, 22028000023039392</t>
  </si>
  <si>
    <t>51788000002791696</t>
  </si>
  <si>
    <t>zcrm_51788000270598404, zcrm_51788000270690394</t>
  </si>
  <si>
    <t>2024-06-18 10:42:17, 2024-06-18 11:23:24</t>
  </si>
  <si>
    <t>kleschoolhvr@rediffmail.com</t>
  </si>
  <si>
    <t>D.C.Office Road, HAVERI</t>
  </si>
  <si>
    <t>581110</t>
  </si>
  <si>
    <t>KLE School, Saundatti</t>
  </si>
  <si>
    <t>IN-2022002224, IN-2022002239</t>
  </si>
  <si>
    <t>172243, 84579</t>
  </si>
  <si>
    <t>16825.1, 27508</t>
  </si>
  <si>
    <t>169158, 344486</t>
  </si>
  <si>
    <t>151425.9, 297092</t>
  </si>
  <si>
    <t>19886, 907</t>
  </si>
  <si>
    <t>Belgaum</t>
  </si>
  <si>
    <t>22028000023002968, 22028000023033568</t>
  </si>
  <si>
    <t>51788000002791697</t>
  </si>
  <si>
    <t>zcrm_51788000270604302, zcrm_51788000270633001</t>
  </si>
  <si>
    <t>2024-06-18 10:45:18, 2024-06-18 10:57:31</t>
  </si>
  <si>
    <t>varshagaonkar2009@yahoo.com</t>
  </si>
  <si>
    <t>KLE Campus bus stand road Saundatti</t>
  </si>
  <si>
    <t>591126</t>
  </si>
  <si>
    <t>MRS Educational Trust (Redbridge International Academy)</t>
  </si>
  <si>
    <t>IN-2022002205</t>
  </si>
  <si>
    <t>2312</t>
  </si>
  <si>
    <t>175255</t>
  </si>
  <si>
    <t>350510</t>
  </si>
  <si>
    <t>15000</t>
  </si>
  <si>
    <t>2025-09-01 00:00:00</t>
  </si>
  <si>
    <t>701020</t>
  </si>
  <si>
    <t>720919</t>
  </si>
  <si>
    <t>-34899</t>
  </si>
  <si>
    <t>0.502</t>
  </si>
  <si>
    <t>0.452</t>
  </si>
  <si>
    <t>22028000022971864</t>
  </si>
  <si>
    <t>51788000002791698</t>
  </si>
  <si>
    <t>zcrm_51788000270618009</t>
  </si>
  <si>
    <t>2024-06-13 16:05:52</t>
  </si>
  <si>
    <t>Mrs. Sherene Thomas</t>
  </si>
  <si>
    <t>principal@rbia.in</t>
  </si>
  <si>
    <t>+918884468855</t>
  </si>
  <si>
    <t>#114, Hulimangala Post, Jigani Hobli, Bangalore</t>
  </si>
  <si>
    <t>CALM12454B</t>
  </si>
  <si>
    <t>Darbari Lal Foundation World School</t>
  </si>
  <si>
    <t>IN-2022001734, IN-2022001743, IN-2022001744, IN-2022001745, IN-2022001751</t>
  </si>
  <si>
    <t>450</t>
  </si>
  <si>
    <t>1200, 1550</t>
  </si>
  <si>
    <t>0, 1589</t>
  </si>
  <si>
    <t>0, 10465, 18750, 34096, 5100</t>
  </si>
  <si>
    <t>0, 136384, 20400, 41860, 75000</t>
  </si>
  <si>
    <t>0.4792, 0.7, 0.7417, 0.7939, 1</t>
  </si>
  <si>
    <t>0.4292, 0.65, 0.6917, 0.7439, 1</t>
  </si>
  <si>
    <t>0, 4, 6</t>
  </si>
  <si>
    <t>22028000021730264, 22028000021730572, 22028000021730644, 22028000021730704, 22028000021745144</t>
  </si>
  <si>
    <t>51788000002792047</t>
  </si>
  <si>
    <t>zcrm_51788000267491074, zcrm_51788000267491207, zcrm_51788000267493001, zcrm_51788000267494113, zcrm_51788000267494250</t>
  </si>
  <si>
    <t>2024-03-28 12:20:26, 2024-03-28 12:20:33, 2024-03-28 12:20:40, 2024-03-28 12:20:46, 2024-03-28 12:20:50</t>
  </si>
  <si>
    <t>Dr. Mrignaini Ma'am</t>
  </si>
  <si>
    <t>mrignaini@dlps.co.in</t>
  </si>
  <si>
    <t>+919810396027</t>
  </si>
  <si>
    <t>contact@dlws.edu.in</t>
  </si>
  <si>
    <t>Ms. Ruchi Jain</t>
  </si>
  <si>
    <t>Ruchi.Jain@dlws.edu.in</t>
  </si>
  <si>
    <t>HS - 31, Sector Zeta - 1</t>
  </si>
  <si>
    <t>DELD06768G</t>
  </si>
  <si>
    <t>Discoveri Oaks School</t>
  </si>
  <si>
    <t>IN-2022001995</t>
  </si>
  <si>
    <t>833</t>
  </si>
  <si>
    <t>1667</t>
  </si>
  <si>
    <t>123251</t>
  </si>
  <si>
    <t>119626</t>
  </si>
  <si>
    <t>2025-03-01 00:00:00</t>
  </si>
  <si>
    <t>362503</t>
  </si>
  <si>
    <t>378900</t>
  </si>
  <si>
    <t>-16397</t>
  </si>
  <si>
    <t>0.5614</t>
  </si>
  <si>
    <t>0.5114</t>
  </si>
  <si>
    <t>22028000022336268</t>
  </si>
  <si>
    <t>51788000002792104</t>
  </si>
  <si>
    <t>zcrm_51788000268704102</t>
  </si>
  <si>
    <t>2024-05-02 13:07:44</t>
  </si>
  <si>
    <t>Sara Anjum</t>
  </si>
  <si>
    <t>principal@discoveroaks.org</t>
  </si>
  <si>
    <t>+916302583902</t>
  </si>
  <si>
    <t>info@discoverioaks.org</t>
  </si>
  <si>
    <t>Ms. Riha Chakraborthy</t>
  </si>
  <si>
    <t>c.riha@discoveroaks.org</t>
  </si>
  <si>
    <t>+916003801787</t>
  </si>
  <si>
    <t>Survey No 610, Ramakrishnapuram, Pedda Amberpet, Behind Kaveri Function Hall</t>
  </si>
  <si>
    <t>501505</t>
  </si>
  <si>
    <t>KLE C.B. Ranamode School, Athani</t>
  </si>
  <si>
    <t>IN-2022002222, IN-2022002226</t>
  </si>
  <si>
    <t>111165, 223256</t>
  </si>
  <si>
    <t>22174.3, 36254</t>
  </si>
  <si>
    <t>222330, 446512</t>
  </si>
  <si>
    <t>199568.7, 391546</t>
  </si>
  <si>
    <t>18712, 587</t>
  </si>
  <si>
    <t>Athani</t>
  </si>
  <si>
    <t>22028000023002888, 22028000023033048</t>
  </si>
  <si>
    <t>51788000002792227</t>
  </si>
  <si>
    <t>zcrm_51788000270593280, zcrm_51788000270633255</t>
  </si>
  <si>
    <t>2024-06-18 10:36:19, 2024-06-18 10:56:11</t>
  </si>
  <si>
    <t>msh1061@rediffmail.com</t>
  </si>
  <si>
    <t>SATTI Road, Athani District Belgavi</t>
  </si>
  <si>
    <t>591304</t>
  </si>
  <si>
    <t>Gillco International School</t>
  </si>
  <si>
    <t>2024-04-21 00:00:00</t>
  </si>
  <si>
    <t>IN-2022001948, IN-2022001949</t>
  </si>
  <si>
    <t>816</t>
  </si>
  <si>
    <t>1125</t>
  </si>
  <si>
    <t>359978, 489393</t>
  </si>
  <si>
    <t>25600, 35998</t>
  </si>
  <si>
    <t>719956, 978786</t>
  </si>
  <si>
    <t>230401, 323999</t>
  </si>
  <si>
    <t>359959, 722785</t>
  </si>
  <si>
    <t>0.5109, 0.5493</t>
  </si>
  <si>
    <t>Kharar</t>
  </si>
  <si>
    <t>22028000022197128, 22028000022197184</t>
  </si>
  <si>
    <t>51788000002792428</t>
  </si>
  <si>
    <t>zcrm_51788000264598476, zcrm_51788000268628473</t>
  </si>
  <si>
    <t>Virender Verma</t>
  </si>
  <si>
    <t>2024-05-02 16:18:42, 2024-05-02 16:18:47</t>
  </si>
  <si>
    <t>Shiv Shankar Paul</t>
  </si>
  <si>
    <t>viceprincipal@gillcoschool.com</t>
  </si>
  <si>
    <t>+918697972739</t>
  </si>
  <si>
    <t>info@gillcoschool.com</t>
  </si>
  <si>
    <t>2028, Rising Sun floors, Gillco Valley Rd, Sector 127, Kharar, Punjab 140301</t>
  </si>
  <si>
    <t>140301</t>
  </si>
  <si>
    <t>Polestar Academy</t>
  </si>
  <si>
    <t>2023-11-05 00:00:00</t>
  </si>
  <si>
    <t>IN-2022001244</t>
  </si>
  <si>
    <t>108015</t>
  </si>
  <si>
    <t>2025-04-08 00:00:00</t>
  </si>
  <si>
    <t>432060</t>
  </si>
  <si>
    <t>226024</t>
  </si>
  <si>
    <t>206036</t>
  </si>
  <si>
    <t>Sonari</t>
  </si>
  <si>
    <t>22028000019843156</t>
  </si>
  <si>
    <t>51788000002792460</t>
  </si>
  <si>
    <t>zcrm_51788000260063210</t>
  </si>
  <si>
    <t>2023-11-24 10:50:00</t>
  </si>
  <si>
    <t>Ms. Tapati Bhattacharya</t>
  </si>
  <si>
    <t>tapati.bhatta@yahoo.co.in</t>
  </si>
  <si>
    <t>+919954478195</t>
  </si>
  <si>
    <t>Tapati Bhattacharya</t>
  </si>
  <si>
    <t>96000</t>
  </si>
  <si>
    <t>Court Road Rajadhap Sonar, Sibsagar</t>
  </si>
  <si>
    <t>785690</t>
  </si>
  <si>
    <t>Vallaba Vidyalaya</t>
  </si>
  <si>
    <t>IN-2022001927</t>
  </si>
  <si>
    <t>912</t>
  </si>
  <si>
    <t>2024-04-19 00:00:00</t>
  </si>
  <si>
    <t>121478</t>
  </si>
  <si>
    <t>141725</t>
  </si>
  <si>
    <t>404928</t>
  </si>
  <si>
    <t>356434</t>
  </si>
  <si>
    <t>48494</t>
  </si>
  <si>
    <t>0.715</t>
  </si>
  <si>
    <t>22028000022129240</t>
  </si>
  <si>
    <t>51788000002792634</t>
  </si>
  <si>
    <t>zcrm_51788000268430274</t>
  </si>
  <si>
    <t>2024-04-23 09:46:49</t>
  </si>
  <si>
    <t>Mr. Dinesh Dinesh</t>
  </si>
  <si>
    <t>moulijain333@gmail.com</t>
  </si>
  <si>
    <t>+919123597625</t>
  </si>
  <si>
    <t>info@vallabavidyalaya.in</t>
  </si>
  <si>
    <t>Thiruvilanpatti, Alagarkovil Main Road, Arumbanur (P.O),</t>
  </si>
  <si>
    <t>625104</t>
  </si>
  <si>
    <t>Kaveri International School</t>
  </si>
  <si>
    <t>IN-2022002281</t>
  </si>
  <si>
    <t>706</t>
  </si>
  <si>
    <t>119323</t>
  </si>
  <si>
    <t>11932</t>
  </si>
  <si>
    <t>238646</t>
  </si>
  <si>
    <t>214782</t>
  </si>
  <si>
    <t>0.5293</t>
  </si>
  <si>
    <t>22028000023199376</t>
  </si>
  <si>
    <t>51788000002792637</t>
  </si>
  <si>
    <t>zcrm_51788000271078606</t>
  </si>
  <si>
    <t>himanshu.sangatani_ei</t>
  </si>
  <si>
    <t>himanshu.sangatani@ei.study</t>
  </si>
  <si>
    <t>Himanshu sangatani</t>
  </si>
  <si>
    <t>Harleen Kaur Behal</t>
  </si>
  <si>
    <t>2024-07-01 11:12:04</t>
  </si>
  <si>
    <t>Rashmi Deshpande</t>
  </si>
  <si>
    <t>reshma.deshpande@kaveri.edu.in</t>
  </si>
  <si>
    <t>+919545559025</t>
  </si>
  <si>
    <t>info@kaveriinternationalschool.com</t>
  </si>
  <si>
    <t>84000</t>
  </si>
  <si>
    <t>Vadgaon Shinde Road</t>
  </si>
  <si>
    <t>411047</t>
  </si>
  <si>
    <t>PNEK00970E</t>
  </si>
  <si>
    <t>Greenwood High Bannerghatta</t>
  </si>
  <si>
    <t>IN-2022001934, IN-2022001935</t>
  </si>
  <si>
    <t>406</t>
  </si>
  <si>
    <t>1760</t>
  </si>
  <si>
    <t>159734, 366581</t>
  </si>
  <si>
    <t>2024-08-31 00:00:00, 2024-09-30 00:00:00</t>
  </si>
  <si>
    <t>1466322, 372714</t>
  </si>
  <si>
    <t>0, 1832903</t>
  </si>
  <si>
    <t>315546, 53060</t>
  </si>
  <si>
    <t>2024-07-30 00:00:00, 2024-08-07 00:00:00</t>
  </si>
  <si>
    <t>2024-10-07 00:00:00, 2025-01-18 00:00:00</t>
  </si>
  <si>
    <t>3665806, 532448</t>
  </si>
  <si>
    <t>3407892, 482992</t>
  </si>
  <si>
    <t>-3604, -57632</t>
  </si>
  <si>
    <t>0.42310000000000003, 0.7684000000000001</t>
  </si>
  <si>
    <t>22028000022146044, 22028000022146096</t>
  </si>
  <si>
    <t>51788000002792669</t>
  </si>
  <si>
    <t>zcrm_51788000268593139, zcrm_51788000268593270</t>
  </si>
  <si>
    <t>mitul.patel_ei1, sourabh.mehta_eiindia</t>
  </si>
  <si>
    <t>2024-05-24 13:37:22, 2024-05-25 09:26:54</t>
  </si>
  <si>
    <t>Mr. Louis Dias</t>
  </si>
  <si>
    <t>principal.bgt@greenwoodhigh.edu.in</t>
  </si>
  <si>
    <t>+918884434027</t>
  </si>
  <si>
    <t>accounts.bgt@greenwoodhigh.edu.in</t>
  </si>
  <si>
    <t>Deepali</t>
  </si>
  <si>
    <t>deepaliy@greenwoodhigh.edu.in</t>
  </si>
  <si>
    <t>+919686111928</t>
  </si>
  <si>
    <t>200000</t>
  </si>
  <si>
    <t>No. 7-12, Krishna Avenue, Gottigere, Bannerghatta Road, Bengaluru, KA-560083</t>
  </si>
  <si>
    <t>560083</t>
  </si>
  <si>
    <t>BLRR10099F</t>
  </si>
  <si>
    <t>Carmel High School, Basaveshwarnagar - State</t>
  </si>
  <si>
    <t>IN-2022001877</t>
  </si>
  <si>
    <t>8579</t>
  </si>
  <si>
    <t>38607</t>
  </si>
  <si>
    <t>58037</t>
  </si>
  <si>
    <t>85793</t>
  </si>
  <si>
    <t>77323</t>
  </si>
  <si>
    <t>-49567</t>
  </si>
  <si>
    <t>0.4211</t>
  </si>
  <si>
    <t>22028000021942428</t>
  </si>
  <si>
    <t>51788000002792706</t>
  </si>
  <si>
    <t>zcrm_51788000267959170</t>
  </si>
  <si>
    <t>2024-04-13 09:10:09</t>
  </si>
  <si>
    <t>Ms. Mani Megala</t>
  </si>
  <si>
    <t>II Block, III Stage, Judges Colony, West Of Chord Road, Basaveshwarnagar</t>
  </si>
  <si>
    <t>KLE M. R. Sakhare CBSE School, Hubballi</t>
  </si>
  <si>
    <t>IN-2022002211, IN-2022002241</t>
  </si>
  <si>
    <t>138839, 264966</t>
  </si>
  <si>
    <t>27679, 45254</t>
  </si>
  <si>
    <t>277678, 529932</t>
  </si>
  <si>
    <t>249111, 488746</t>
  </si>
  <si>
    <t>-4068, 888</t>
  </si>
  <si>
    <t>22028000023002448, 22028000023033648</t>
  </si>
  <si>
    <t>51788000002792826</t>
  </si>
  <si>
    <t>zcrm_51788000270598839, zcrm_51788000270692041</t>
  </si>
  <si>
    <t>2024-06-18 10:42:44, 2024-06-18 10:46:20</t>
  </si>
  <si>
    <t>klemrs123@gmail.com</t>
  </si>
  <si>
    <t>Vidyanagar, hubli</t>
  </si>
  <si>
    <t>G Rio School</t>
  </si>
  <si>
    <t>IN-2022001600</t>
  </si>
  <si>
    <t>580466</t>
  </si>
  <si>
    <t>580465.6</t>
  </si>
  <si>
    <t>Kohima</t>
  </si>
  <si>
    <t>Nagaland</t>
  </si>
  <si>
    <t>22028000021440072</t>
  </si>
  <si>
    <t>51788000002792837</t>
  </si>
  <si>
    <t>zcrm_51788000266321832</t>
  </si>
  <si>
    <t>2024-03-27 10:31:32</t>
  </si>
  <si>
    <t>Mr. Temsu Waten</t>
  </si>
  <si>
    <t>grioschool06@yahoo.in</t>
  </si>
  <si>
    <t>+918787396988</t>
  </si>
  <si>
    <t>Benjong</t>
  </si>
  <si>
    <t>High School Colony</t>
  </si>
  <si>
    <t>797001</t>
  </si>
  <si>
    <t>Thamarai International School</t>
  </si>
  <si>
    <t>IN-2022002274</t>
  </si>
  <si>
    <t>5820</t>
  </si>
  <si>
    <t>23280</t>
  </si>
  <si>
    <t>29100</t>
  </si>
  <si>
    <t>1164</t>
  </si>
  <si>
    <t>58200</t>
  </si>
  <si>
    <t>57036</t>
  </si>
  <si>
    <t>Kumbakonam</t>
  </si>
  <si>
    <t>22028000023154644</t>
  </si>
  <si>
    <t>51788000002792846</t>
  </si>
  <si>
    <t>zcrm_51788000271102136</t>
  </si>
  <si>
    <t>2024-07-01 14:31:35</t>
  </si>
  <si>
    <t>Mrs Jayashree .</t>
  </si>
  <si>
    <t>thamaraiinternationalschoom@gmail.com</t>
  </si>
  <si>
    <t>+918012597426</t>
  </si>
  <si>
    <t>infokum@thamaraischools.org</t>
  </si>
  <si>
    <t>T.S.NO.156/4A, Asoor Road, Kadichambadi</t>
  </si>
  <si>
    <t>612501</t>
  </si>
  <si>
    <t>Shiv Nadar School, Faridabad (CBSE)</t>
  </si>
  <si>
    <t>2024-08-14 00:00:00, 2024-08-16 00:00:00</t>
  </si>
  <si>
    <t>IN-2022002426, IN-2022002440</t>
  </si>
  <si>
    <t>2024-08-30 00:00:00, 2024-08-31 00:00:00</t>
  </si>
  <si>
    <t>22028000024101904, 22028000024156296</t>
  </si>
  <si>
    <t>51788000002792903</t>
  </si>
  <si>
    <t>zcrm_51788000272879354</t>
  </si>
  <si>
    <t>2024-08-16 15:50:05, 2024-08-16 15:53:17</t>
  </si>
  <si>
    <t>anju.wal@sns.edu.in</t>
  </si>
  <si>
    <t>Sector 82, Naharpar, Greater Faribadad</t>
  </si>
  <si>
    <t>DELS45337F</t>
  </si>
  <si>
    <t>Allen Career Institute, Nerul</t>
  </si>
  <si>
    <t>IN-2022001968</t>
  </si>
  <si>
    <t>2023-09-01 00:00:00</t>
  </si>
  <si>
    <t>2023-10-09 00:00:00</t>
  </si>
  <si>
    <t>48598</t>
  </si>
  <si>
    <t>48600</t>
  </si>
  <si>
    <t>-2</t>
  </si>
  <si>
    <t>0.2667</t>
  </si>
  <si>
    <t>2025-03-04 00:00:00</t>
  </si>
  <si>
    <t>22028000022274552</t>
  </si>
  <si>
    <t>51788000002792910</t>
  </si>
  <si>
    <t>zcrm_51788000268985328</t>
  </si>
  <si>
    <t>2024-04-27 14:34:55</t>
  </si>
  <si>
    <t>Mr. M Gaurav</t>
  </si>
  <si>
    <t>+919867035397</t>
  </si>
  <si>
    <t>kharghar@allen.ac.in</t>
  </si>
  <si>
    <t>Unit No 94-106,1st Floor, Chaturbhuj CHS Commercial Complex, Plot No, 61 &amp; 62, Sector - 21, Near Shilp Chowk, Kharghar</t>
  </si>
  <si>
    <t>400706</t>
  </si>
  <si>
    <t>Sunbeam English School, Bhagwanpur</t>
  </si>
  <si>
    <t>IN-2022001851</t>
  </si>
  <si>
    <t>162481</t>
  </si>
  <si>
    <t>31976</t>
  </si>
  <si>
    <t>649924</t>
  </si>
  <si>
    <t>584632</t>
  </si>
  <si>
    <t>33316</t>
  </si>
  <si>
    <t>22028000021913752</t>
  </si>
  <si>
    <t>51788000002731005</t>
  </si>
  <si>
    <t>zcrm_51788000267781325</t>
  </si>
  <si>
    <t>2024-04-09 09:58:45</t>
  </si>
  <si>
    <t>bhagwanpur@sunbeamschools.com</t>
  </si>
  <si>
    <t>206, Bhagwanpur, Lanka</t>
  </si>
  <si>
    <t>221005</t>
  </si>
  <si>
    <t>Aga Khan School, Sidhpur</t>
  </si>
  <si>
    <t>IN-2022002539</t>
  </si>
  <si>
    <t>Sidhpur</t>
  </si>
  <si>
    <t>22028000025644168</t>
  </si>
  <si>
    <t>51788000002793047</t>
  </si>
  <si>
    <t>zcrm_51788000274553696</t>
  </si>
  <si>
    <t>2024-10-22 12:55:16</t>
  </si>
  <si>
    <t>Chandan sharma</t>
  </si>
  <si>
    <t>info.akss@akesi.org</t>
  </si>
  <si>
    <t>+912767221021</t>
  </si>
  <si>
    <t>rajesh.sharma@akesi.org</t>
  </si>
  <si>
    <t>Reshma</t>
  </si>
  <si>
    <t>+919586794774</t>
  </si>
  <si>
    <t>19000</t>
  </si>
  <si>
    <t>Opp. Ganj Bazaar Sidhpur - 384 151, District-Patan Gujarat INDIA</t>
  </si>
  <si>
    <t>384151</t>
  </si>
  <si>
    <t>V V S Gandhi Centenary English Primary School (Saptharshidhama Campus)</t>
  </si>
  <si>
    <t>IN-2022002099</t>
  </si>
  <si>
    <t>252013</t>
  </si>
  <si>
    <t>49953</t>
  </si>
  <si>
    <t>2025-01-04 00:00:00</t>
  </si>
  <si>
    <t>504026</t>
  </si>
  <si>
    <t>449578</t>
  </si>
  <si>
    <t>4495</t>
  </si>
  <si>
    <t>22028000022677040</t>
  </si>
  <si>
    <t>51788000002793051</t>
  </si>
  <si>
    <t>zcrm_51788000270083061</t>
  </si>
  <si>
    <t>2024-06-05 15:30:41</t>
  </si>
  <si>
    <t>Ms. Shwetha S</t>
  </si>
  <si>
    <t>vvs_gcs@yahoo.co.in</t>
  </si>
  <si>
    <t>+919886736568</t>
  </si>
  <si>
    <t>vengita302@gmail.com</t>
  </si>
  <si>
    <t>Saptharshidhamain Block, Rajajinagar</t>
  </si>
  <si>
    <t>560010</t>
  </si>
  <si>
    <t>BLRV00496G</t>
  </si>
  <si>
    <t>Don Bosco High School, Lumding</t>
  </si>
  <si>
    <t>IN-2022001568</t>
  </si>
  <si>
    <t>1008</t>
  </si>
  <si>
    <t>43596</t>
  </si>
  <si>
    <t>2024-05-17 00:00:00</t>
  </si>
  <si>
    <t>174384</t>
  </si>
  <si>
    <t>176652</t>
  </si>
  <si>
    <t>-2268</t>
  </si>
  <si>
    <t>0.44</t>
  </si>
  <si>
    <t>Lumding</t>
  </si>
  <si>
    <t>22028000021291064</t>
  </si>
  <si>
    <t>51788000002793100</t>
  </si>
  <si>
    <t>zcrm_51788000266043143</t>
  </si>
  <si>
    <t>2024-03-22 11:31:00</t>
  </si>
  <si>
    <t>Mr. Father Joshy</t>
  </si>
  <si>
    <t>donboscolmg@gmail.com</t>
  </si>
  <si>
    <t>+918474832716</t>
  </si>
  <si>
    <t>25500</t>
  </si>
  <si>
    <t>Lumding Dbs</t>
  </si>
  <si>
    <t>782447</t>
  </si>
  <si>
    <t>St. Kabir School</t>
  </si>
  <si>
    <t>IN-2022001626</t>
  </si>
  <si>
    <t>531</t>
  </si>
  <si>
    <t>954</t>
  </si>
  <si>
    <t>1853909</t>
  </si>
  <si>
    <t>3707818</t>
  </si>
  <si>
    <t>3208131.85</t>
  </si>
  <si>
    <t>499686</t>
  </si>
  <si>
    <t>0.7831</t>
  </si>
  <si>
    <t>0.6331</t>
  </si>
  <si>
    <t>22028000021524024</t>
  </si>
  <si>
    <t>51788000002793290</t>
  </si>
  <si>
    <t>zcrm_51788000266287393</t>
  </si>
  <si>
    <t>2024-03-27 17:00:03</t>
  </si>
  <si>
    <t>Ms. Swati Khot</t>
  </si>
  <si>
    <t>swati@stkabirschool.com</t>
  </si>
  <si>
    <t>+919099039807</t>
  </si>
  <si>
    <t>Saiyed Vasna Road, Opposite Rameshwar Temple</t>
  </si>
  <si>
    <t>390015</t>
  </si>
  <si>
    <t>Swarnim International School</t>
  </si>
  <si>
    <t>IN-2022001689, IN-2022001690</t>
  </si>
  <si>
    <t>1597</t>
  </si>
  <si>
    <t>26782, 4211</t>
  </si>
  <si>
    <t>2024-03-28 00:00:00, 2024-04-15 00:00:00</t>
  </si>
  <si>
    <t>210574, 318514</t>
  </si>
  <si>
    <t>206362.66999999998, 334497.88</t>
  </si>
  <si>
    <t>-42766, 0</t>
  </si>
  <si>
    <t>0.644, 0.8255</t>
  </si>
  <si>
    <t>22028000021611228, 22028000021611272</t>
  </si>
  <si>
    <t>51788000002793624</t>
  </si>
  <si>
    <t>zcrm_51788000267060027, zcrm_51788000267060305</t>
  </si>
  <si>
    <t>2024-03-23 14:55:17, 2024-03-23 14:55:59</t>
  </si>
  <si>
    <t>Rumjhumi Biswas</t>
  </si>
  <si>
    <t>principal@siskol.edu.in</t>
  </si>
  <si>
    <t>+919804693026</t>
  </si>
  <si>
    <t>Anindita Mazumdar</t>
  </si>
  <si>
    <t>aninditam@siskol.edu.in</t>
  </si>
  <si>
    <t>+919007021693</t>
  </si>
  <si>
    <t>12 N.S. C. Bose Road, Kodalia</t>
  </si>
  <si>
    <t>700146</t>
  </si>
  <si>
    <t>CALS36462G</t>
  </si>
  <si>
    <t>180 N.S.C.Bose Road, Kodalia</t>
  </si>
  <si>
    <t>Bhavan Vidyalaya, Panchkula</t>
  </si>
  <si>
    <t>IN-2022001427, IN-2022001428, IN-2022001429</t>
  </si>
  <si>
    <t>400</t>
  </si>
  <si>
    <t>158813, 166221, 420021</t>
  </si>
  <si>
    <t>158813, 387848, 420021</t>
  </si>
  <si>
    <t>2000-01-01 00:00:00, 2024-10-04 00:00:00</t>
  </si>
  <si>
    <t>0, 158813, 420021</t>
  </si>
  <si>
    <t>2000-01-01 00:00:00, 2024-12-06 00:00:00</t>
  </si>
  <si>
    <t>2024-08-14 00:00:00, 2024-12-24 00:00:00</t>
  </si>
  <si>
    <t>2024-08-28 00:00:00, 2025-02-06 00:00:00</t>
  </si>
  <si>
    <t>1680084, 554069, 635252</t>
  </si>
  <si>
    <t>1404913, 404609, 665804</t>
  </si>
  <si>
    <t>-111735, 230643, 275171</t>
  </si>
  <si>
    <t>0.5625, 0.65, 0.7333</t>
  </si>
  <si>
    <t>22028000020795832, 22028000020795880, 22028000020795920</t>
  </si>
  <si>
    <t>51788000002735083</t>
  </si>
  <si>
    <t>zcrm_51788000264116025, zcrm_51788000264170001, zcrm_51788000264170173</t>
  </si>
  <si>
    <t>2024-02-21 13:44:51, 2024-02-21 13:44:57, 2024-02-26 11:15:12</t>
  </si>
  <si>
    <t>Ms. Gulshan Kaur</t>
  </si>
  <si>
    <t>bhavanpr15@gmail.com</t>
  </si>
  <si>
    <t>+919855436357</t>
  </si>
  <si>
    <t>Anita Ranjan</t>
  </si>
  <si>
    <t>+919463391669</t>
  </si>
  <si>
    <t>Sector 15,</t>
  </si>
  <si>
    <t>134113</t>
  </si>
  <si>
    <t>RTKB02517E</t>
  </si>
  <si>
    <t>The Wisdom Tree School</t>
  </si>
  <si>
    <t>IN-2022001875</t>
  </si>
  <si>
    <t>303790</t>
  </si>
  <si>
    <t>123078</t>
  </si>
  <si>
    <t>2024-05-21 00:00:00</t>
  </si>
  <si>
    <t>1215160</t>
  </si>
  <si>
    <t>1107701.49</t>
  </si>
  <si>
    <t>-15619</t>
  </si>
  <si>
    <t>0.3055</t>
  </si>
  <si>
    <t>22028000021951472</t>
  </si>
  <si>
    <t>51788000002793675</t>
  </si>
  <si>
    <t>zcrm_51788000266610821</t>
  </si>
  <si>
    <t>2024-04-09 15:29:30</t>
  </si>
  <si>
    <t>Mrs. Animikha Roy</t>
  </si>
  <si>
    <t>principal@thewisdomtree.co</t>
  </si>
  <si>
    <t>+919354243310</t>
  </si>
  <si>
    <t>admissions@thewisdomtree.co</t>
  </si>
  <si>
    <t>Ms Neha Yadav</t>
  </si>
  <si>
    <t>nehay2901@gmail.com</t>
  </si>
  <si>
    <t>+919540477546</t>
  </si>
  <si>
    <t>Plot No: HS-2 Sector-16B, Noida Extension</t>
  </si>
  <si>
    <t>201309</t>
  </si>
  <si>
    <t>MRTT03056E</t>
  </si>
  <si>
    <t>Mahatma Global Gateway</t>
  </si>
  <si>
    <t>IN-2022001234</t>
  </si>
  <si>
    <t>326380</t>
  </si>
  <si>
    <t>349578</t>
  </si>
  <si>
    <t>-23198</t>
  </si>
  <si>
    <t>22028000019791700</t>
  </si>
  <si>
    <t>51788000002793849</t>
  </si>
  <si>
    <t>zcrm_51788000259903072</t>
  </si>
  <si>
    <t>2024-02-09 14:33:25</t>
  </si>
  <si>
    <t>+919843533778</t>
  </si>
  <si>
    <t>Gopalakrishnan Gurvasal, Pcm Place, Veerapanjan,</t>
  </si>
  <si>
    <t>Empyrean School</t>
  </si>
  <si>
    <t>IN-2022002004</t>
  </si>
  <si>
    <t>7928</t>
  </si>
  <si>
    <t>400061</t>
  </si>
  <si>
    <t>388459</t>
  </si>
  <si>
    <t>3674</t>
  </si>
  <si>
    <t>0.7111</t>
  </si>
  <si>
    <t>0.6111</t>
  </si>
  <si>
    <t>22028000022347520</t>
  </si>
  <si>
    <t>51788000002793893</t>
  </si>
  <si>
    <t>zcrm_51788000269046298</t>
  </si>
  <si>
    <t>2024-05-08 16:30:00</t>
  </si>
  <si>
    <t>Mr. Soumyabrata Mukherjee</t>
  </si>
  <si>
    <t>principal@empyreanschool.com</t>
  </si>
  <si>
    <t>+918451820582</t>
  </si>
  <si>
    <t>admin@empyreanschool.com</t>
  </si>
  <si>
    <t>Ms.Teena</t>
  </si>
  <si>
    <t>coordinator6-8@empyreanschool.com</t>
  </si>
  <si>
    <t>Plot no.2, Sector 35 G, Near TATA hospital Kharghar, Navi Mumbai</t>
  </si>
  <si>
    <t>410210</t>
  </si>
  <si>
    <t>Delhi Public School Sagar</t>
  </si>
  <si>
    <t>IN-2022002258</t>
  </si>
  <si>
    <t>1547</t>
  </si>
  <si>
    <t>163611</t>
  </si>
  <si>
    <t>16361</t>
  </si>
  <si>
    <t>2025-02-27 00:00:00</t>
  </si>
  <si>
    <t>654444</t>
  </si>
  <si>
    <t>222528</t>
  </si>
  <si>
    <t>415555</t>
  </si>
  <si>
    <t>0.629</t>
  </si>
  <si>
    <t>0.579</t>
  </si>
  <si>
    <t>22028000023103280</t>
  </si>
  <si>
    <t>51788000002794027</t>
  </si>
  <si>
    <t>zcrm_51788000270961174</t>
  </si>
  <si>
    <t>2024-06-25 12:53:13</t>
  </si>
  <si>
    <t>Ritul Jain</t>
  </si>
  <si>
    <t>dpssagar01@gmail.com</t>
  </si>
  <si>
    <t>Sagar-BIna Road, Pathariya Hat,</t>
  </si>
  <si>
    <t>470002</t>
  </si>
  <si>
    <t>LPS Global School</t>
  </si>
  <si>
    <t>IN-2022001944</t>
  </si>
  <si>
    <t>90505</t>
  </si>
  <si>
    <t>181009</t>
  </si>
  <si>
    <t>7240</t>
  </si>
  <si>
    <t>362019</t>
  </si>
  <si>
    <t>354779</t>
  </si>
  <si>
    <t>22028000022166620</t>
  </si>
  <si>
    <t>51788000002794030</t>
  </si>
  <si>
    <t>zcrm_51788000268464416</t>
  </si>
  <si>
    <t>2024-04-24 14:36:28</t>
  </si>
  <si>
    <t>Mr. Manish Yadav</t>
  </si>
  <si>
    <t>chairman@lpsglobal.org</t>
  </si>
  <si>
    <t>+917042032228</t>
  </si>
  <si>
    <t>info@lpsglobal.org</t>
  </si>
  <si>
    <t>Mrs Mahuya Mandal</t>
  </si>
  <si>
    <t>principal@lpsglobal.org</t>
  </si>
  <si>
    <t>+919205358906</t>
  </si>
  <si>
    <t>Ms Shruti</t>
  </si>
  <si>
    <t>shruti.kodesia@lpsglobal.org</t>
  </si>
  <si>
    <t>+919599082545</t>
  </si>
  <si>
    <t>D-196/2, Sector 51, Noida, Uttar Pradesh</t>
  </si>
  <si>
    <t>MRTS11726B</t>
  </si>
  <si>
    <t>Billabong High International School (CBSE)</t>
  </si>
  <si>
    <t>IN-2022001860</t>
  </si>
  <si>
    <t>90025</t>
  </si>
  <si>
    <t>180050</t>
  </si>
  <si>
    <t>50450</t>
  </si>
  <si>
    <t>Rewa</t>
  </si>
  <si>
    <t>2025-04-07 00:00:00</t>
  </si>
  <si>
    <t>22028000021939560</t>
  </si>
  <si>
    <t>51788000002794086</t>
  </si>
  <si>
    <t>zcrm_51788000268026720</t>
  </si>
  <si>
    <t>2024-04-06 13:16:17</t>
  </si>
  <si>
    <t>Mr. Ashish Kakwani</t>
  </si>
  <si>
    <t>enquirybillabonghigh@gmail.com</t>
  </si>
  <si>
    <t>+919826181818</t>
  </si>
  <si>
    <t>36900</t>
  </si>
  <si>
    <t>Behind Radhaswami Satsang Bhawan, Khaira Road, Chorhata, Rewa M.P.</t>
  </si>
  <si>
    <t>486006</t>
  </si>
  <si>
    <t>Tashi Namgyal Academy</t>
  </si>
  <si>
    <t>IN-2022001473, IN-2022001474</t>
  </si>
  <si>
    <t>1481451, 595817</t>
  </si>
  <si>
    <t>1481451, 286360</t>
  </si>
  <si>
    <t>0, 309457</t>
  </si>
  <si>
    <t>0.4857, 0.5138</t>
  </si>
  <si>
    <t>Gangtok</t>
  </si>
  <si>
    <t>22028000020953376, 22028000020953452</t>
  </si>
  <si>
    <t>51788000002735107</t>
  </si>
  <si>
    <t>zcrm_51788000045231395, zcrm_51788000264714589</t>
  </si>
  <si>
    <t>2024-02-09 12:44:20, 2024-02-09 12:44:21</t>
  </si>
  <si>
    <t>Mr. Mothi George Jacob</t>
  </si>
  <si>
    <t>tnadirector@tashinamgyalacademy.com</t>
  </si>
  <si>
    <t>+919419214972</t>
  </si>
  <si>
    <t>Aakash Pradhan</t>
  </si>
  <si>
    <t>tna.admin@tashinamgyalacademy.com</t>
  </si>
  <si>
    <t>+918348775543</t>
  </si>
  <si>
    <t>36400</t>
  </si>
  <si>
    <t>Zero Point, P.O. Raj Bhawan,Gangtok,Sikkim - 737103</t>
  </si>
  <si>
    <t>737103</t>
  </si>
  <si>
    <t>CALT04894B</t>
  </si>
  <si>
    <t>BVM International School</t>
  </si>
  <si>
    <t>IN-2022002314</t>
  </si>
  <si>
    <t>16038</t>
  </si>
  <si>
    <t>37422</t>
  </si>
  <si>
    <t>5292</t>
  </si>
  <si>
    <t>53460</t>
  </si>
  <si>
    <t>135166</t>
  </si>
  <si>
    <t>-86998</t>
  </si>
  <si>
    <t>22028000023336368</t>
  </si>
  <si>
    <t>51788000002794266</t>
  </si>
  <si>
    <t>zcrm_51788000271455437</t>
  </si>
  <si>
    <t>2024-07-05 08:43:25</t>
  </si>
  <si>
    <t>info@bvminternational.org</t>
  </si>
  <si>
    <t>Bollineni Hillside Campus, Nookampalayam Rd, Sithalapakkam, Chennai, Tamil Nadu 600126</t>
  </si>
  <si>
    <t>600126</t>
  </si>
  <si>
    <t>Mind Tree School, Ambala Cantt</t>
  </si>
  <si>
    <t>IN-2022002288</t>
  </si>
  <si>
    <t>33720</t>
  </si>
  <si>
    <t>604800</t>
  </si>
  <si>
    <t>303480</t>
  </si>
  <si>
    <t>267600</t>
  </si>
  <si>
    <t>22028000023208476</t>
  </si>
  <si>
    <t>51788000002794269</t>
  </si>
  <si>
    <t>zcrm_51788000268630774</t>
  </si>
  <si>
    <t>2024-07-01 12:54:14</t>
  </si>
  <si>
    <t>Mr. Deepak Mongia</t>
  </si>
  <si>
    <t>mindtree.panjokhra@gmail.com</t>
  </si>
  <si>
    <t>+919888005254</t>
  </si>
  <si>
    <t>Panjokhra, Ambala Cantt</t>
  </si>
  <si>
    <t>134003</t>
  </si>
  <si>
    <t>The S D Vidya School</t>
  </si>
  <si>
    <t>IN-2022001985</t>
  </si>
  <si>
    <t>479660</t>
  </si>
  <si>
    <t>462400</t>
  </si>
  <si>
    <t>17260</t>
  </si>
  <si>
    <t>0.7333</t>
  </si>
  <si>
    <t>22028000022316704</t>
  </si>
  <si>
    <t>51788000002794277</t>
  </si>
  <si>
    <t>zcrm_51788000269076301</t>
  </si>
  <si>
    <t>megha.m_ei</t>
  </si>
  <si>
    <t>Sajan Thareja</t>
  </si>
  <si>
    <t>2024-05-09 17:19:24</t>
  </si>
  <si>
    <t>Ms. Neelinderjeet Kaur</t>
  </si>
  <si>
    <t>thesdvidyaschool@gmail.com</t>
  </si>
  <si>
    <t>+919779913349</t>
  </si>
  <si>
    <t>Jagadri Road, Nr Civil Hospital</t>
  </si>
  <si>
    <t>133001</t>
  </si>
  <si>
    <t>Akshara Matriculation Higher Secondary School</t>
  </si>
  <si>
    <t>IN-2022002078</t>
  </si>
  <si>
    <t>187991</t>
  </si>
  <si>
    <t>7920</t>
  </si>
  <si>
    <t>375982</t>
  </si>
  <si>
    <t>388060</t>
  </si>
  <si>
    <t>-19998</t>
  </si>
  <si>
    <t>0.4445</t>
  </si>
  <si>
    <t>22028000022591408</t>
  </si>
  <si>
    <t>51788000002731012</t>
  </si>
  <si>
    <t>zcrm_51788000269937001</t>
  </si>
  <si>
    <t>2024-06-03 12:19:07</t>
  </si>
  <si>
    <t>Ms. Prabha S</t>
  </si>
  <si>
    <t>aks.mdu1992@gmail.com</t>
  </si>
  <si>
    <t>+919751336129</t>
  </si>
  <si>
    <t>Theni road, karadipatti, nagamalai pudukottai</t>
  </si>
  <si>
    <t>625019</t>
  </si>
  <si>
    <t>MRIP01890A</t>
  </si>
  <si>
    <t>Wisdom High International School (Cambridge Section)</t>
  </si>
  <si>
    <t>IN-2022001527</t>
  </si>
  <si>
    <t>344305</t>
  </si>
  <si>
    <t>688610</t>
  </si>
  <si>
    <t>640017</t>
  </si>
  <si>
    <t>48593</t>
  </si>
  <si>
    <t>Nashik</t>
  </si>
  <si>
    <t>22028000021135276</t>
  </si>
  <si>
    <t>51788000002794297</t>
  </si>
  <si>
    <t>zcrm_51788000265371365</t>
  </si>
  <si>
    <t>2024-06-11 15:50:17</t>
  </si>
  <si>
    <t>Shraddha Maam</t>
  </si>
  <si>
    <t>shraddhag@whis.edu.in</t>
  </si>
  <si>
    <t>+918983555586</t>
  </si>
  <si>
    <t>Mr. Ganesh</t>
  </si>
  <si>
    <t>ganeshp@whis.edu.in</t>
  </si>
  <si>
    <t>112000</t>
  </si>
  <si>
    <t>Gowardhan Nagar, Behind GIT College, Near Gammat Jammat, Gangapur Road</t>
  </si>
  <si>
    <t>422031</t>
  </si>
  <si>
    <t>NSKR01764A</t>
  </si>
  <si>
    <t>Balawant Nagar, Anandvalli</t>
  </si>
  <si>
    <t>Gangapur road, Balawantnagar</t>
  </si>
  <si>
    <t>Chanderbala Modi Academy</t>
  </si>
  <si>
    <t>2024-04-11 00:00:00</t>
  </si>
  <si>
    <t>IN-2022001894</t>
  </si>
  <si>
    <t>203559</t>
  </si>
  <si>
    <t>40464</t>
  </si>
  <si>
    <t>407118</t>
  </si>
  <si>
    <t>364178</t>
  </si>
  <si>
    <t>2476</t>
  </si>
  <si>
    <t>0.5768</t>
  </si>
  <si>
    <t>Ankleshwar</t>
  </si>
  <si>
    <t>22028000022033072</t>
  </si>
  <si>
    <t>51788000002735117</t>
  </si>
  <si>
    <t>zcrm_51788000261578796</t>
  </si>
  <si>
    <t>2024-04-13 10:49:28</t>
  </si>
  <si>
    <t>Mr. Ramjee Nagarajan</t>
  </si>
  <si>
    <t>principal@cma1.in</t>
  </si>
  <si>
    <t>+919227047920</t>
  </si>
  <si>
    <t>Info@cma1.in</t>
  </si>
  <si>
    <t>Kondh Village, Ankleshwar - Valia Road, GJ SH 13, Gujarat Guardian Township, Kondh</t>
  </si>
  <si>
    <t>393001</t>
  </si>
  <si>
    <t>BRDC01013F</t>
  </si>
  <si>
    <t>GEMS Public School - Patiala</t>
  </si>
  <si>
    <t>IN-2022001702</t>
  </si>
  <si>
    <t>79182</t>
  </si>
  <si>
    <t>184759</t>
  </si>
  <si>
    <t>263941</t>
  </si>
  <si>
    <t>0.5666</t>
  </si>
  <si>
    <t>Patiala</t>
  </si>
  <si>
    <t>22028000021648388</t>
  </si>
  <si>
    <t>51788000002794430</t>
  </si>
  <si>
    <t>zcrm_51788000266783587</t>
  </si>
  <si>
    <t>2024-03-27 09:29:32</t>
  </si>
  <si>
    <t>Ms. Manjari Tejpal</t>
  </si>
  <si>
    <t>manjari.tejpal@gemspublicschools.co.in</t>
  </si>
  <si>
    <t>+919988083999</t>
  </si>
  <si>
    <t>corporate@gemsedu.in</t>
  </si>
  <si>
    <t>Ms Manitee</t>
  </si>
  <si>
    <t>manitee.arora@gemspublicschoolpatiala.co.in</t>
  </si>
  <si>
    <t>+918196096777</t>
  </si>
  <si>
    <t>Chaura, Sanaur Rd, behind Urban Estate, Phase I, Patiala, 147002</t>
  </si>
  <si>
    <t>147002</t>
  </si>
  <si>
    <t>Glendale Academy International</t>
  </si>
  <si>
    <t>IN-2022002192</t>
  </si>
  <si>
    <t>217160</t>
  </si>
  <si>
    <t>506706</t>
  </si>
  <si>
    <t>2025-04-02 00:00:00</t>
  </si>
  <si>
    <t>723866</t>
  </si>
  <si>
    <t>463518.2</t>
  </si>
  <si>
    <t>260348</t>
  </si>
  <si>
    <t>22028000022901208</t>
  </si>
  <si>
    <t>51788000002735127</t>
  </si>
  <si>
    <t>zcrm_51788000270317151</t>
  </si>
  <si>
    <t>2024-06-14 16:03:24</t>
  </si>
  <si>
    <t>Ms. Minu Salooja</t>
  </si>
  <si>
    <t>minu@glendaleacademy.net</t>
  </si>
  <si>
    <t>+918886717924</t>
  </si>
  <si>
    <t>Ms.Rupinder Kaur</t>
  </si>
  <si>
    <t>headexternalexaminations@glendaleacademy.net</t>
  </si>
  <si>
    <t>Don Bosco post, Bandlaguda Jagir, Rajender Nagar, Hyderabad, Telangana 500086</t>
  </si>
  <si>
    <t>500086</t>
  </si>
  <si>
    <t>Mahatma Gandhi School</t>
  </si>
  <si>
    <t>IN-2022002185</t>
  </si>
  <si>
    <t>1272</t>
  </si>
  <si>
    <t>286675</t>
  </si>
  <si>
    <t>286680</t>
  </si>
  <si>
    <t>0.5831000000000001</t>
  </si>
  <si>
    <t>22028000022873620</t>
  </si>
  <si>
    <t>51788000002794676</t>
  </si>
  <si>
    <t>zcrm_51788000262426212</t>
  </si>
  <si>
    <t>2024-06-13 09:01:21</t>
  </si>
  <si>
    <t>Mr. Jimil Parikh</t>
  </si>
  <si>
    <t>jimilparikh@gmail.com</t>
  </si>
  <si>
    <t>+919825696169</t>
  </si>
  <si>
    <t>jimilparikh@mahatmagandhischool.org</t>
  </si>
  <si>
    <t>24000</t>
  </si>
  <si>
    <t>Opp. Ajmera Shastrinagar, Nana Mauva Main Road, Rajkot</t>
  </si>
  <si>
    <t>382010</t>
  </si>
  <si>
    <t>Nana Mauva Main Road, Rajkot</t>
  </si>
  <si>
    <t>Silver Oaks High School</t>
  </si>
  <si>
    <t>2024-04-10 00:00:00, 2024-05-04 00:00:00</t>
  </si>
  <si>
    <t>IN-2022001890, IN-2022002009</t>
  </si>
  <si>
    <t>1944</t>
  </si>
  <si>
    <t>2024-04-15 00:00:00, 2024-05-15 00:00:00</t>
  </si>
  <si>
    <t>151313, 495512</t>
  </si>
  <si>
    <t>2024-06-25 00:00:00, 2024-06-30 00:00:00</t>
  </si>
  <si>
    <t>1486535, 453938</t>
  </si>
  <si>
    <t>102518, 116403</t>
  </si>
  <si>
    <t>2024-08-05 00:00:00, 2024-08-21 00:00:00</t>
  </si>
  <si>
    <t>2024-08-21 00:00:00, 2025-03-29 00:00:00</t>
  </si>
  <si>
    <t>1982047, 605251</t>
  </si>
  <si>
    <t>1257147, 998246</t>
  </si>
  <si>
    <t>-495513, 608497</t>
  </si>
  <si>
    <t>0.3628, 0.5</t>
  </si>
  <si>
    <t>Visakhapatnam</t>
  </si>
  <si>
    <t>Andhra Pradesh</t>
  </si>
  <si>
    <t>2025-03-21 00:00:00, 2025-03-31 00:00:00</t>
  </si>
  <si>
    <t>22028000022024040, 22028000022365104</t>
  </si>
  <si>
    <t>51788000002794707</t>
  </si>
  <si>
    <t>zcrm_51788000268216175, zcrm_51788000269114540</t>
  </si>
  <si>
    <t>2024-04-11 11:18:47, 2024-05-29 11:07:30</t>
  </si>
  <si>
    <t>Mrs. Y Sunitha</t>
  </si>
  <si>
    <t>hakim.kanchwala@ei.study, principal@vizag.silveroaks.co.in</t>
  </si>
  <si>
    <t>+917997998012</t>
  </si>
  <si>
    <t>principal@vizag.silveroaks.co.in</t>
  </si>
  <si>
    <t>hakim.kanchwala@ei.study</t>
  </si>
  <si>
    <t>125000</t>
  </si>
  <si>
    <t>Beside Gitam Medical College, Rushikonda</t>
  </si>
  <si>
    <t>530045</t>
  </si>
  <si>
    <t>VPNS12041B</t>
  </si>
  <si>
    <t>Rushikonda</t>
  </si>
  <si>
    <t>Young Horizons School, Karaya Road</t>
  </si>
  <si>
    <t>IN-2022002086, IN-2022002087</t>
  </si>
  <si>
    <t>1350, 1650</t>
  </si>
  <si>
    <t>28461, 40161</t>
  </si>
  <si>
    <t>1138.22, 1606.22</t>
  </si>
  <si>
    <t>113844, 160644</t>
  </si>
  <si>
    <t>121232, 144166</t>
  </si>
  <si>
    <t>-8526, 14872</t>
  </si>
  <si>
    <t>0.5286, 0.6143</t>
  </si>
  <si>
    <t>22028000022641212, 22028000022641276</t>
  </si>
  <si>
    <t>51788000002794714</t>
  </si>
  <si>
    <t>zcrm_51788000269951001, zcrm_51788000269951138</t>
  </si>
  <si>
    <t>2024-05-30 10:20:42, 2024-05-30 10:21:03</t>
  </si>
  <si>
    <t>yhskaraya@gmail.com</t>
  </si>
  <si>
    <t>100B Karaya Road</t>
  </si>
  <si>
    <t>CALY00130E</t>
  </si>
  <si>
    <t>The Shri Ram School, Junior Aravali</t>
  </si>
  <si>
    <t>IN-2022001823, IN-2022002633</t>
  </si>
  <si>
    <t>0, 270003</t>
  </si>
  <si>
    <t>4564, 6431</t>
  </si>
  <si>
    <t>2024-05-10 00:00:00, 2024-12-12 00:00:00</t>
  </si>
  <si>
    <t>2024-08-24 00:00:00, 2024-12-12 00:00:00</t>
  </si>
  <si>
    <t>326525, 540006</t>
  </si>
  <si>
    <t>320094, 530114</t>
  </si>
  <si>
    <t>0, 5328</t>
  </si>
  <si>
    <t>0.16670000000000001, 0.5670000000000001</t>
  </si>
  <si>
    <t>22028000021905104, 22028000026470452</t>
  </si>
  <si>
    <t>51788000002794916</t>
  </si>
  <si>
    <t>zcrm_51788000267829442, zcrm_51788000278308381</t>
  </si>
  <si>
    <t>2024-04-04 10:51:42, 2024-11-28 17:14:04</t>
  </si>
  <si>
    <t>junior.aravali@tsrs.org</t>
  </si>
  <si>
    <t>Hamilton Court, Behind, DLF City, DLF Phase IV, Gurugram, Haryana 122002</t>
  </si>
  <si>
    <t>Hamilton Court, Behind, DLF City, DLF Phase IV,</t>
  </si>
  <si>
    <t>Global Concept School</t>
  </si>
  <si>
    <t>IN-2022001721</t>
  </si>
  <si>
    <t>1500</t>
  </si>
  <si>
    <t>125642</t>
  </si>
  <si>
    <t>2025-04-09 00:00:00</t>
  </si>
  <si>
    <t>502568</t>
  </si>
  <si>
    <t>360000</t>
  </si>
  <si>
    <t>142568</t>
  </si>
  <si>
    <t>0.423</t>
  </si>
  <si>
    <t>KARHI</t>
  </si>
  <si>
    <t>22028000021677100</t>
  </si>
  <si>
    <t>51788000002794932</t>
  </si>
  <si>
    <t>zcrm_51788000257413175</t>
  </si>
  <si>
    <t>2024-03-22 15:21:00</t>
  </si>
  <si>
    <t>Mr. Rahul Goyal</t>
  </si>
  <si>
    <t>rahulgoyal.brw@gmail.com</t>
  </si>
  <si>
    <t>+919755935648</t>
  </si>
  <si>
    <t>shrikanwartara.karhi@gmail.com</t>
  </si>
  <si>
    <t>35000</t>
  </si>
  <si>
    <t>KODLIYA KHEDI ROAD, KARHI DIST.KHARGONE, MP-451220</t>
  </si>
  <si>
    <t>451220</t>
  </si>
  <si>
    <t>The Shri Ram Universal School</t>
  </si>
  <si>
    <t>2024-03-29 00:00:00, 2024-03-30 00:00:00</t>
  </si>
  <si>
    <t>IN-2022001767, IN-2022001774</t>
  </si>
  <si>
    <t>2000-01-01 00:00:00, 2024-06-05 00:00:00</t>
  </si>
  <si>
    <t>0, 216600</t>
  </si>
  <si>
    <t>2000-01-01 00:00:00, 2024-08-10 00:00:00</t>
  </si>
  <si>
    <t>111975, 43320</t>
  </si>
  <si>
    <t>2024-07-05 00:00:00, 2024-10-25 00:00:00</t>
  </si>
  <si>
    <t>1119749, 433200</t>
  </si>
  <si>
    <t>1007774, 389880</t>
  </si>
  <si>
    <t>0.30760000000000004, 0.5</t>
  </si>
  <si>
    <t>2024-04-01 00:00:00, 2024-06-01 00:00:00</t>
  </si>
  <si>
    <t>22028000021820480, 22028000021838212</t>
  </si>
  <si>
    <t>51788000002795093</t>
  </si>
  <si>
    <t>zcrm_51788000267558318, zcrm_51788000267786001</t>
  </si>
  <si>
    <t>2024-04-05 19:13:40, 2024-04-05 19:13:44</t>
  </si>
  <si>
    <t>Dr. Jyothi Reddy, Dr.Jyothi Reddy</t>
  </si>
  <si>
    <t>principal@tsushyderabad.com</t>
  </si>
  <si>
    <t>+919542949898</t>
  </si>
  <si>
    <t>Dr. Jyothi Reddy Ghanta</t>
  </si>
  <si>
    <t>Ms. Nirupama K</t>
  </si>
  <si>
    <t>vpjuniorschool@tsushyderabad.com</t>
  </si>
  <si>
    <t>+919949535533</t>
  </si>
  <si>
    <t>2-59/1/JM/104, Financial District Nanakramguda, Gachibowli, Serilingampalle (M)</t>
  </si>
  <si>
    <t>500032</t>
  </si>
  <si>
    <t>HYDV14326E</t>
  </si>
  <si>
    <t>The Global Edge School, Kokapet</t>
  </si>
  <si>
    <t>IN-2022001857</t>
  </si>
  <si>
    <t>48336</t>
  </si>
  <si>
    <t>483360</t>
  </si>
  <si>
    <t>435024</t>
  </si>
  <si>
    <t>22028000021930420</t>
  </si>
  <si>
    <t>51788000002795094</t>
  </si>
  <si>
    <t>zcrm_51788000266680177</t>
  </si>
  <si>
    <t>2024-04-24 10:40:00</t>
  </si>
  <si>
    <t>Ms. Supriya</t>
  </si>
  <si>
    <t>supriyakokapet@globaledgeschool.com</t>
  </si>
  <si>
    <t>+919908546359</t>
  </si>
  <si>
    <t>Sy No. 166, Opp. Sri Krishna Goshala, Kokapet Road, Narsingi Village, Gandipet Mandal, R R District</t>
  </si>
  <si>
    <t>500075</t>
  </si>
  <si>
    <t>HYDS38805E</t>
  </si>
  <si>
    <t>Yuva Bharathi Public School</t>
  </si>
  <si>
    <t>IN-2022002525</t>
  </si>
  <si>
    <t>268554</t>
  </si>
  <si>
    <t>161132</t>
  </si>
  <si>
    <t>107421</t>
  </si>
  <si>
    <t>29001</t>
  </si>
  <si>
    <t>537107</t>
  </si>
  <si>
    <t>525877</t>
  </si>
  <si>
    <t>-17771</t>
  </si>
  <si>
    <t>coimbatore</t>
  </si>
  <si>
    <t>22028000025533184</t>
  </si>
  <si>
    <t>51788000002735253</t>
  </si>
  <si>
    <t>zcrm_51788000258008819</t>
  </si>
  <si>
    <t>2024-10-30 10:15:33</t>
  </si>
  <si>
    <t>Mrs Geetha Jayachandran</t>
  </si>
  <si>
    <t>principal@yuvabharathi.in</t>
  </si>
  <si>
    <t>+917305959603</t>
  </si>
  <si>
    <t>info@yuvabharathi.in</t>
  </si>
  <si>
    <t>Mrs Vinolia</t>
  </si>
  <si>
    <t>vp.primary@yuvabharathi.in</t>
  </si>
  <si>
    <t>Thudiyalur road,somsyampalayam post,</t>
  </si>
  <si>
    <t>CMBB03296G</t>
  </si>
  <si>
    <t>Yuva Enclave, Kanuvai - Thudiyalur road, Kanuvai,</t>
  </si>
  <si>
    <t>The HDFC School, Pune</t>
  </si>
  <si>
    <t>IN-2022002007</t>
  </si>
  <si>
    <t>305547</t>
  </si>
  <si>
    <t>61175</t>
  </si>
  <si>
    <t>611094</t>
  </si>
  <si>
    <t>550569.1</t>
  </si>
  <si>
    <t>-650</t>
  </si>
  <si>
    <t>22028000022354400</t>
  </si>
  <si>
    <t>51788000002795266</t>
  </si>
  <si>
    <t>zcrm_51788000268908001</t>
  </si>
  <si>
    <t>2024-07-12 13:05:51</t>
  </si>
  <si>
    <t>Ms. Amruta Prabhu</t>
  </si>
  <si>
    <t>principal.pune@thehdfcschool.com</t>
  </si>
  <si>
    <t>+919423505045</t>
  </si>
  <si>
    <t>admissions.pune@thehdfcschool.com</t>
  </si>
  <si>
    <t>Magarpatta Rd</t>
  </si>
  <si>
    <t>411028</t>
  </si>
  <si>
    <t>Akshar Arbol International School</t>
  </si>
  <si>
    <t>IN-2022001862, IN-2022001865</t>
  </si>
  <si>
    <t>685</t>
  </si>
  <si>
    <t>2712</t>
  </si>
  <si>
    <t>2024-06-10 00:00:00, 2024-06-30 00:00:00</t>
  </si>
  <si>
    <t>43815, 49603</t>
  </si>
  <si>
    <t>2024-08-10 00:00:00, 2024-09-30 00:00:00</t>
  </si>
  <si>
    <t>2000-01-01 00:00:00, 2024-10-10 00:00:00</t>
  </si>
  <si>
    <t>0, 49603</t>
  </si>
  <si>
    <t>2000-01-01 00:00:00, 2024-12-10 00:00:00</t>
  </si>
  <si>
    <t>198412, 87630</t>
  </si>
  <si>
    <t>0, 172791</t>
  </si>
  <si>
    <t>25621, 87630</t>
  </si>
  <si>
    <t>0.11109999999999999, 0.5436</t>
  </si>
  <si>
    <t>22028000021928200, 22028000021940136</t>
  </si>
  <si>
    <t>51788000002795505</t>
  </si>
  <si>
    <t>zcrm_51788000266711129, zcrm_51788000267963001</t>
  </si>
  <si>
    <t>vineeth.v_ei, zohra.khan_ei</t>
  </si>
  <si>
    <t>vineeth.v@ei.study, zohra.khan@ei.study</t>
  </si>
  <si>
    <t>Vineeth v, Zohra khan</t>
  </si>
  <si>
    <t>2024-05-22 11:18:28, 2024-05-22 11:19:18</t>
  </si>
  <si>
    <t>Mrs. Priya Dixit</t>
  </si>
  <si>
    <t>headofschool@akshararbol.edu.in</t>
  </si>
  <si>
    <t>+919444973275, +919840922615</t>
  </si>
  <si>
    <t>admin.ecr@akshararbol.edu.in</t>
  </si>
  <si>
    <t>Mrs.Akila Srinivas</t>
  </si>
  <si>
    <t>principal.cty@akshararbol.edu.in</t>
  </si>
  <si>
    <t>1/778, Bethel Nagar North 9th street Injambakkam,Chennai</t>
  </si>
  <si>
    <t>600115</t>
  </si>
  <si>
    <t>CHEA25446B</t>
  </si>
  <si>
    <t>Delhi Public School, Vasant Kunj</t>
  </si>
  <si>
    <t>2024-04-07 00:00:00, 2024-08-21 00:00:00</t>
  </si>
  <si>
    <t>3537762024.00, IN-2022002458</t>
  </si>
  <si>
    <t>2024-04-07 00:00:00</t>
  </si>
  <si>
    <t>2024-04-07 00:00:00, 2024-10-01 00:00:00</t>
  </si>
  <si>
    <t>2024-04-07 00:00:00, 2024-12-23 00:00:00</t>
  </si>
  <si>
    <t>2000-01-01 00:00:00, 2024-04-07 00:00:00</t>
  </si>
  <si>
    <t>2024-04-01 00:00:00, 2024-04-07 00:00:00</t>
  </si>
  <si>
    <t>2024-04-07 00:00:00, 2025-03-31 00:00:00</t>
  </si>
  <si>
    <t>22028000024247608, 3537762024</t>
  </si>
  <si>
    <t>51788000002735271</t>
  </si>
  <si>
    <t>zcrm_51788000272971676</t>
  </si>
  <si>
    <t>2024-04-07 00:00:00, 2024-08-21 15:58:39</t>
  </si>
  <si>
    <t>Mrs. Deepti Vohra</t>
  </si>
  <si>
    <t>principal@dpsvasantkunj.com</t>
  </si>
  <si>
    <t>Sector - C, Pocket -5, Vasant Kunj,</t>
  </si>
  <si>
    <t>St. Xavier^s Higher Secondary School</t>
  </si>
  <si>
    <t>IN-2022001339</t>
  </si>
  <si>
    <t>292488</t>
  </si>
  <si>
    <t>1169952</t>
  </si>
  <si>
    <t>1117033.51</t>
  </si>
  <si>
    <t>52918</t>
  </si>
  <si>
    <t>0.42310000000000003</t>
  </si>
  <si>
    <t>Tura</t>
  </si>
  <si>
    <t>Meghalaya</t>
  </si>
  <si>
    <t>22028000020170848</t>
  </si>
  <si>
    <t>51788000002735279</t>
  </si>
  <si>
    <t>zcrm_51788000261367296</t>
  </si>
  <si>
    <t>2024-02-08 10:32:14</t>
  </si>
  <si>
    <t>Ms. Sr. Maria D'Silva</t>
  </si>
  <si>
    <t>saintxaviershss@gmail.com</t>
  </si>
  <si>
    <t>+918257936144</t>
  </si>
  <si>
    <t>Sr. Maria D'Silva</t>
  </si>
  <si>
    <t>33500</t>
  </si>
  <si>
    <t>Chandmari, West Garo Hills,</t>
  </si>
  <si>
    <t>794002</t>
  </si>
  <si>
    <t>SHLS12021C</t>
  </si>
  <si>
    <t>West Garo Hills,</t>
  </si>
  <si>
    <t>Shri Ganesh Sr. Sec School</t>
  </si>
  <si>
    <t>IN-2022002362</t>
  </si>
  <si>
    <t>1251</t>
  </si>
  <si>
    <t>235130</t>
  </si>
  <si>
    <t>228215</t>
  </si>
  <si>
    <t>2024-10-11 00:00:00</t>
  </si>
  <si>
    <t>2026-02-23 00:00:00</t>
  </si>
  <si>
    <t>691560</t>
  </si>
  <si>
    <t>444695.4</t>
  </si>
  <si>
    <t>242465</t>
  </si>
  <si>
    <t>Sidhi</t>
  </si>
  <si>
    <t>22028000023631960</t>
  </si>
  <si>
    <t>51788000002795863</t>
  </si>
  <si>
    <t>zcrm_51788000272113001</t>
  </si>
  <si>
    <t>2024-07-24 16:39:06</t>
  </si>
  <si>
    <t>Mahendra Tiwari</t>
  </si>
  <si>
    <t>mahendrakt44@gmail.com</t>
  </si>
  <si>
    <t>+918817112516</t>
  </si>
  <si>
    <t>sgsssidhi@gmail.com</t>
  </si>
  <si>
    <t>NAISHA EDUCATION &amp; WELFARE PRIVATE LIMITED</t>
  </si>
  <si>
    <t>486661</t>
  </si>
  <si>
    <t>JBPN02186C</t>
  </si>
  <si>
    <t>Sherwood School</t>
  </si>
  <si>
    <t>2024-01-06 00:00:00</t>
  </si>
  <si>
    <t>IN-2022001385</t>
  </si>
  <si>
    <t>226802</t>
  </si>
  <si>
    <t>0.2923</t>
  </si>
  <si>
    <t>0.1923</t>
  </si>
  <si>
    <t>22028000020549208</t>
  </si>
  <si>
    <t>51788000002735282</t>
  </si>
  <si>
    <t>zcrm_51788000262735003</t>
  </si>
  <si>
    <t>2024-01-16 11:00:34</t>
  </si>
  <si>
    <t>Ms. Kimberly Momin</t>
  </si>
  <si>
    <t>kim.dbrass@gmail.com</t>
  </si>
  <si>
    <t>+917807183408</t>
  </si>
  <si>
    <t>tasha.abs@gmail.com</t>
  </si>
  <si>
    <t>Tasha Ann Beddoe Sawkmie</t>
  </si>
  <si>
    <t>+918974962680</t>
  </si>
  <si>
    <t>SH 11, Danakgre,</t>
  </si>
  <si>
    <t>794101</t>
  </si>
  <si>
    <t>Sudarshanam Vidyashram</t>
  </si>
  <si>
    <t>IN-2022001558, IN-2022001559</t>
  </si>
  <si>
    <t>1639</t>
  </si>
  <si>
    <t>1429</t>
  </si>
  <si>
    <t>216764, 222969</t>
  </si>
  <si>
    <t>2024-09-01 00:00:00, 2024-09-30 00:00:00</t>
  </si>
  <si>
    <t>867056, 891876</t>
  </si>
  <si>
    <t>841241, 894409</t>
  </si>
  <si>
    <t>-2533, 25815</t>
  </si>
  <si>
    <t>0.5317000000000001</t>
  </si>
  <si>
    <t>22028000021244452, 22028000021244512</t>
  </si>
  <si>
    <t>51788000002795889</t>
  </si>
  <si>
    <t>zcrm_51788000265708659, zcrm_51788000265934507</t>
  </si>
  <si>
    <t>sathish.kumar_ei</t>
  </si>
  <si>
    <t>sathish.kumar@ei.study</t>
  </si>
  <si>
    <t>Sathish kumar</t>
  </si>
  <si>
    <t>2024-03-22 12:30:47, 2024-03-28 08:18:33</t>
  </si>
  <si>
    <t>Venkatesh Raja</t>
  </si>
  <si>
    <t>pvr@saec.ac.in</t>
  </si>
  <si>
    <t>+919884097976, +919940381123</t>
  </si>
  <si>
    <t>+919884097976</t>
  </si>
  <si>
    <t>Ponamallee Avadi Main Road, Thiruverkadu</t>
  </si>
  <si>
    <t>600077</t>
  </si>
  <si>
    <t>2024-04-05 00:00:00, 2024-04-16 00:00:00</t>
  </si>
  <si>
    <t>IN-2022001861, IN-2022001912</t>
  </si>
  <si>
    <t>55203, 60749</t>
  </si>
  <si>
    <t>2024-08-10 00:00:00, 2024-09-10 00:00:00</t>
  </si>
  <si>
    <t>0, 55203</t>
  </si>
  <si>
    <t>121498, 220812</t>
  </si>
  <si>
    <t>0, 312130</t>
  </si>
  <si>
    <t>-91318, 121498</t>
  </si>
  <si>
    <t>0.11109999999999999, 0.5318</t>
  </si>
  <si>
    <t>22028000021930576, 22028000022085392</t>
  </si>
  <si>
    <t>51788000002796045</t>
  </si>
  <si>
    <t>zcrm_51788000267952045, zcrm_51788000267952173</t>
  </si>
  <si>
    <t>2024-05-22 11:16:37, 2024-05-22 11:16:42</t>
  </si>
  <si>
    <t>+919840922615</t>
  </si>
  <si>
    <t>10, Chari Street, TNagar, Chennai - 600017</t>
  </si>
  <si>
    <t>600017</t>
  </si>
  <si>
    <t>Keystone International School</t>
  </si>
  <si>
    <t>2023-12-23 00:00:00</t>
  </si>
  <si>
    <t>IN-2022001366</t>
  </si>
  <si>
    <t>1620</t>
  </si>
  <si>
    <t>2023-12-26 00:00:00</t>
  </si>
  <si>
    <t>93150</t>
  </si>
  <si>
    <t>19440</t>
  </si>
  <si>
    <t>2023-12-29 00:00:00</t>
  </si>
  <si>
    <t>186300</t>
  </si>
  <si>
    <t>174960</t>
  </si>
  <si>
    <t>-8100</t>
  </si>
  <si>
    <t>0.46</t>
  </si>
  <si>
    <t>Both Rounds</t>
  </si>
  <si>
    <t>22028000020383320</t>
  </si>
  <si>
    <t>51788000002796143</t>
  </si>
  <si>
    <t>zcrm_51788000262575454</t>
  </si>
  <si>
    <t>2023-12-29 15:15:30</t>
  </si>
  <si>
    <t>Mr. Rajesh Majumdar</t>
  </si>
  <si>
    <t>hos@keystoneeducation.in</t>
  </si>
  <si>
    <t>+919676789893</t>
  </si>
  <si>
    <t>info@keystoneeducation.in</t>
  </si>
  <si>
    <t>203000</t>
  </si>
  <si>
    <t>Nanakramguda</t>
  </si>
  <si>
    <t>502032</t>
  </si>
  <si>
    <t>World One School</t>
  </si>
  <si>
    <t>IN-2022002375</t>
  </si>
  <si>
    <t>2679</t>
  </si>
  <si>
    <t>2025-05-02 00:00:00</t>
  </si>
  <si>
    <t>168801</t>
  </si>
  <si>
    <t>165424</t>
  </si>
  <si>
    <t>3377</t>
  </si>
  <si>
    <t>0.409</t>
  </si>
  <si>
    <t>0.359</t>
  </si>
  <si>
    <t>22028000023747404</t>
  </si>
  <si>
    <t>51788000002796250</t>
  </si>
  <si>
    <t>zcrm_51788000272053931</t>
  </si>
  <si>
    <t>2024-08-07 17:31:22</t>
  </si>
  <si>
    <t>Mr. Kranthi Kiran</t>
  </si>
  <si>
    <t>kranthikiran@vignan.edu.in</t>
  </si>
  <si>
    <t>+919176107384</t>
  </si>
  <si>
    <t>Hafeezpet</t>
  </si>
  <si>
    <t>500049</t>
  </si>
  <si>
    <t>The Rajkumar College</t>
  </si>
  <si>
    <t>IN-2022002409</t>
  </si>
  <si>
    <t>2204</t>
  </si>
  <si>
    <t>195017</t>
  </si>
  <si>
    <t>152312</t>
  </si>
  <si>
    <t>42705</t>
  </si>
  <si>
    <t>0.2975</t>
  </si>
  <si>
    <t>0.1475</t>
  </si>
  <si>
    <t>22028000023993512</t>
  </si>
  <si>
    <t>51788000002735298</t>
  </si>
  <si>
    <t>zcrm_51788000272728001</t>
  </si>
  <si>
    <t>2024-08-09 17:59:41</t>
  </si>
  <si>
    <t>Yash Saxena</t>
  </si>
  <si>
    <t>principal@rkcrajkot.in</t>
  </si>
  <si>
    <t>+919687656419</t>
  </si>
  <si>
    <t>contact@rkcrajkot.com</t>
  </si>
  <si>
    <t>Dr. Radha Krishnan Marg, Opp. Sastri Maidan, Gavliwad,</t>
  </si>
  <si>
    <t>RKTT00212C</t>
  </si>
  <si>
    <t>Joyous Primary Secondary English School</t>
  </si>
  <si>
    <t>IN-2022002476</t>
  </si>
  <si>
    <t>810</t>
  </si>
  <si>
    <t>124740</t>
  </si>
  <si>
    <t>0.35</t>
  </si>
  <si>
    <t>22028000024453220</t>
  </si>
  <si>
    <t>51788000002735305</t>
  </si>
  <si>
    <t>zcrm_51788000273563001</t>
  </si>
  <si>
    <t>Nikita Darvesh</t>
  </si>
  <si>
    <t>2024-09-09 16:05:39</t>
  </si>
  <si>
    <t>Yogita ma'am</t>
  </si>
  <si>
    <t>Joyousenglishschool@gmail.com</t>
  </si>
  <si>
    <t>+919879254578</t>
  </si>
  <si>
    <t>Behind Yash Plaza, Near Rajhans Point, Varachha Road</t>
  </si>
  <si>
    <t>395006</t>
  </si>
  <si>
    <t>Rawdat Al-Quran Al-Kareem</t>
  </si>
  <si>
    <t>IN-2022002190</t>
  </si>
  <si>
    <t>14700</t>
  </si>
  <si>
    <t>147000</t>
  </si>
  <si>
    <t>132300</t>
  </si>
  <si>
    <t>2025-03-07 00:00:00</t>
  </si>
  <si>
    <t>22028000022901164</t>
  </si>
  <si>
    <t>51788000002796491</t>
  </si>
  <si>
    <t>zcrm_51788000270468488</t>
  </si>
  <si>
    <t>2024-06-11 16:20:13</t>
  </si>
  <si>
    <t>Mr. Murtaza Madha</t>
  </si>
  <si>
    <t>murtazamadha@jameasaifiyah.edu</t>
  </si>
  <si>
    <t>+919769022489</t>
  </si>
  <si>
    <t>264000</t>
  </si>
  <si>
    <t>95G/95K, Block No. 5/7, 1st &amp; 2nd Floor, Bhulabai Desai Road,</t>
  </si>
  <si>
    <t>Global Indian International School Balewadi</t>
  </si>
  <si>
    <t>IEM Public School</t>
  </si>
  <si>
    <t>2023-12-19 00:00:00, 2024-03-29 00:00:00, 2024-05-28 00:00:00</t>
  </si>
  <si>
    <t>IN-2022001360, IN-2022001361, IN-2022001766, IN-2022002120</t>
  </si>
  <si>
    <t>1101</t>
  </si>
  <si>
    <t>1271, 2000</t>
  </si>
  <si>
    <t>2024-03-29 00:00:00, 2024-03-31 00:00:00</t>
  </si>
  <si>
    <t>0, 4118</t>
  </si>
  <si>
    <t>2023-12-21 00:00:00, 2024-03-28 00:00:00, 2024-05-28 00:00:00</t>
  </si>
  <si>
    <t>2024-03-28 00:00:00, 2024-05-28 00:00:00, 2025-04-21 00:00:00</t>
  </si>
  <si>
    <t>257978, 318330, 453703, 554707</t>
  </si>
  <si>
    <t>212175, 238861, 329293, 413624</t>
  </si>
  <si>
    <t>106155, 124410, 141083, 14999</t>
  </si>
  <si>
    <t>0.5, 0.6371, 0.6629, 0.7295999999999999</t>
  </si>
  <si>
    <t>0.4, 0.5371, 0.5629, 0.6296</t>
  </si>
  <si>
    <t>2024-04-01 00:00:00, 2024-04-08 00:00:00, 2024-06-03 00:00:00</t>
  </si>
  <si>
    <t>2025-03-28 00:00:00, 2025-03-31 00:00:00</t>
  </si>
  <si>
    <t>22028000020337060, 22028000020337092, 22028000021820052, 22028000022689160</t>
  </si>
  <si>
    <t>51788000002796681</t>
  </si>
  <si>
    <t>zcrm_51788000260972024, zcrm_51788000261244382, zcrm_51788000265401373, zcrm_51788000270044349</t>
  </si>
  <si>
    <t>2023-12-19 15:16:16, 2023-12-19 15:16:25, 2024-03-29 11:54:26, 2024-05-28 15:09:54</t>
  </si>
  <si>
    <t>Debashis Majumdar, Mr. Debashis Majumdar, Mr. Debasish Majumdar</t>
  </si>
  <si>
    <t>debashish.m@iempublicschool.com, debashism@gmail.com</t>
  </si>
  <si>
    <t>+919163194900, +919830747008</t>
  </si>
  <si>
    <t>principal@iempublicschool.com</t>
  </si>
  <si>
    <t>Swati Datta</t>
  </si>
  <si>
    <t>prncipal@iempublicschool.com</t>
  </si>
  <si>
    <t>+919163194900</t>
  </si>
  <si>
    <t>Ge-4/A, Sector - III</t>
  </si>
  <si>
    <t>700106</t>
  </si>
  <si>
    <t>CALI01171C</t>
  </si>
  <si>
    <t>GE-4/A, Salt Lake Sector 3,Near to Tank No 12</t>
  </si>
  <si>
    <t>Diamond Jubilee Girls School</t>
  </si>
  <si>
    <t>IN-2022002535</t>
  </si>
  <si>
    <t>22028000025644032</t>
  </si>
  <si>
    <t>51788000002796690</t>
  </si>
  <si>
    <t>zcrm_51788000274553156</t>
  </si>
  <si>
    <t>2024-10-22 12:56:11</t>
  </si>
  <si>
    <t>Chandrakala Mishra</t>
  </si>
  <si>
    <t>vardah.roghay@akesi.org</t>
  </si>
  <si>
    <t>+919892010246</t>
  </si>
  <si>
    <t>Ms. Taqdees Pathan</t>
  </si>
  <si>
    <t>+919773178608</t>
  </si>
  <si>
    <t>S.V.P Road Dongri</t>
  </si>
  <si>
    <t>Aga Khan School,Chitravad</t>
  </si>
  <si>
    <t>IN-2022002541</t>
  </si>
  <si>
    <t>Junagadh</t>
  </si>
  <si>
    <t>22028000025644244</t>
  </si>
  <si>
    <t>51788000002796704</t>
  </si>
  <si>
    <t>zcrm_51788000274553987</t>
  </si>
  <si>
    <t>2024-10-22 12:54:46</t>
  </si>
  <si>
    <t>Abid Hussain</t>
  </si>
  <si>
    <t>info@aksc2akesi.org</t>
  </si>
  <si>
    <t>+917006151039</t>
  </si>
  <si>
    <t>Virendra</t>
  </si>
  <si>
    <t>+918140994068</t>
  </si>
  <si>
    <t>Aga Khan School, Chitravad Taluka - Talala District - Gir Somnath</t>
  </si>
  <si>
    <t>362150</t>
  </si>
  <si>
    <t>The Galaxy School - Wadi</t>
  </si>
  <si>
    <t>2024-07-01 00:00:00, 2024-07-24 00:00:00</t>
  </si>
  <si>
    <t>IN-2022002300, IN-2022002372</t>
  </si>
  <si>
    <t>1610</t>
  </si>
  <si>
    <t>0, 73583.79</t>
  </si>
  <si>
    <t>2024-11-25 00:00:00, 2025-02-05 00:00:00</t>
  </si>
  <si>
    <t>2025-01-09 00:00:00, 2025-02-05 00:00:00</t>
  </si>
  <si>
    <t>1471933, 735838</t>
  </si>
  <si>
    <t>1301271, 578912</t>
  </si>
  <si>
    <t>170662, 83342</t>
  </si>
  <si>
    <t>0.5931000000000001, 0.63</t>
  </si>
  <si>
    <t>0.49310000000000004, 0.58</t>
  </si>
  <si>
    <t>22028000023251176, 22028000023707312</t>
  </si>
  <si>
    <t>51788000002735316</t>
  </si>
  <si>
    <t>zcrm_51788000271061190, zcrm_51788000271352178</t>
  </si>
  <si>
    <t>2024-07-01 14:57:59, 2024-07-24 17:37:18</t>
  </si>
  <si>
    <t>Mr. Gokul Paravoor</t>
  </si>
  <si>
    <t>102000</t>
  </si>
  <si>
    <t>Jamnagar Highway, Gokulpur, At-Taraghadi, Taluka-Padadhari</t>
  </si>
  <si>
    <t>360110</t>
  </si>
  <si>
    <t>Meru International School</t>
  </si>
  <si>
    <t>IN-2022001650, IN-2022001652</t>
  </si>
  <si>
    <t>1229</t>
  </si>
  <si>
    <t>302432, 459030</t>
  </si>
  <si>
    <t>2024-07-15 00:00:00, 2024-10-15 00:00:00</t>
  </si>
  <si>
    <t>151216, 459030</t>
  </si>
  <si>
    <t>0, 151216</t>
  </si>
  <si>
    <t>18362, 9257</t>
  </si>
  <si>
    <t>2024-10-19 00:00:00, 2025-06-13 00:00:00</t>
  </si>
  <si>
    <t>604864, 918060</t>
  </si>
  <si>
    <t>536861, 899698</t>
  </si>
  <si>
    <t>0, 58746</t>
  </si>
  <si>
    <t>0.56, 0.5971</t>
  </si>
  <si>
    <t>2024-03-15 00:00:00, 2024-04-01 00:00:00</t>
  </si>
  <si>
    <t>2025-03-14 00:00:00, 2025-03-31 00:00:00</t>
  </si>
  <si>
    <t>22028000021573368, 22028000021573452</t>
  </si>
  <si>
    <t>51788000002796709</t>
  </si>
  <si>
    <t>zcrm_51788000266811406, zcrm_51788000266848138</t>
  </si>
  <si>
    <t>2024-03-22 15:17:04, 2024-03-22 15:17:09</t>
  </si>
  <si>
    <t>Mr. Butchibabu Inaganti</t>
  </si>
  <si>
    <t>accountsmanager@meruinternationalschool.com</t>
  </si>
  <si>
    <t>+919121000408</t>
  </si>
  <si>
    <t>info@meruinternationalschool.com</t>
  </si>
  <si>
    <t>Mr. Satyaki Banerjee</t>
  </si>
  <si>
    <t>principal@meruinternationalschool.com</t>
  </si>
  <si>
    <t>+919818410003</t>
  </si>
  <si>
    <t>Ms. Vandana Vatturi</t>
  </si>
  <si>
    <t>vandana.vatturi@meruinternationalschool.com</t>
  </si>
  <si>
    <t>+919676547111</t>
  </si>
  <si>
    <t>Sy. No. 97(P) &amp; 98, Adjacent to My Home Jewel, Madeenaguda, Chanda Nagar</t>
  </si>
  <si>
    <t>HYDM16423B</t>
  </si>
  <si>
    <t>Chanda Nagar</t>
  </si>
  <si>
    <t>SAI International Residential School, Cuttack</t>
  </si>
  <si>
    <t>2024-05-03 00:00:00, 2024-06-05 00:00:00</t>
  </si>
  <si>
    <t>IN-2022001999, IN-2022002170</t>
  </si>
  <si>
    <t>2000-01-01 00:00:00, 2024-05-04 00:00:00</t>
  </si>
  <si>
    <t>0, 90005</t>
  </si>
  <si>
    <t>2000-01-01 00:00:00, 2024-07-04 00:00:00</t>
  </si>
  <si>
    <t>0, 34190</t>
  </si>
  <si>
    <t>2025-12-30 00:00:00</t>
  </si>
  <si>
    <t>104552, 360020</t>
  </si>
  <si>
    <t>0, 307701</t>
  </si>
  <si>
    <t>104552, 18129</t>
  </si>
  <si>
    <t>0.6665000000000001, 0.7</t>
  </si>
  <si>
    <t>Cuttack</t>
  </si>
  <si>
    <t>22028000022353264, 22028000022845032</t>
  </si>
  <si>
    <t>51788000002796925</t>
  </si>
  <si>
    <t>zcrm_51788000269100081, zcrm_51788000270347412</t>
  </si>
  <si>
    <t>2024-05-08 17:00:27, 2024-06-08 10:07:54</t>
  </si>
  <si>
    <t>info@sirs.edu.in</t>
  </si>
  <si>
    <t>Amitabh Agnihotri</t>
  </si>
  <si>
    <t>headmaster@sirs.edu.in</t>
  </si>
  <si>
    <t>+918114367701</t>
  </si>
  <si>
    <t>Archana Pradhan</t>
  </si>
  <si>
    <t>pradhan.archana1978@gmail.com</t>
  </si>
  <si>
    <t>+917326024022</t>
  </si>
  <si>
    <t>SAI Vihar, 1400 Ramdaspur, Nuagaon, Cuttack-754008, Odisha, INDIA</t>
  </si>
  <si>
    <t>754008</t>
  </si>
  <si>
    <t>SECUREWAYS LOGISTICS PRIVATE LIMITED (STUDENT GALLERY), Plot No : N / 33 &amp; 34, Chandka Industrial Estate, Near OTV office, Bhubaneswar - 751024, Odisha</t>
  </si>
  <si>
    <t>SAI International Residential School SAI Vihar, 1400, Ramdaspur, Nuagaon, Godisahi, Cuttack - 754008 (Odisha)</t>
  </si>
  <si>
    <t>Sgs International School</t>
  </si>
  <si>
    <t>IN-2022001891</t>
  </si>
  <si>
    <t>2025-03-10 00:00:00</t>
  </si>
  <si>
    <t>114000</t>
  </si>
  <si>
    <t>96750</t>
  </si>
  <si>
    <t>17250</t>
  </si>
  <si>
    <t>South 24 Paraganas</t>
  </si>
  <si>
    <t>22028000022024144</t>
  </si>
  <si>
    <t>51788000002797341</t>
  </si>
  <si>
    <t>zcrm_51788000268196490</t>
  </si>
  <si>
    <t>soumodeep.ghosh_ei</t>
  </si>
  <si>
    <t>soumodeep.ghosh@ei.study</t>
  </si>
  <si>
    <t>Soumodeep ghosh</t>
  </si>
  <si>
    <t>2024-05-27 11:11:17</t>
  </si>
  <si>
    <t>Dewpha Mukherjee Patra</t>
  </si>
  <si>
    <t>principal.infodesk@gmail.com</t>
  </si>
  <si>
    <t>+917003032356</t>
  </si>
  <si>
    <t>25095</t>
  </si>
  <si>
    <t>Baruipur Canning Rd., Panchanantala Nr Ramnagar Bazar Dist.-South 24Pgs</t>
  </si>
  <si>
    <t>743387</t>
  </si>
  <si>
    <t>PICT Model School</t>
  </si>
  <si>
    <t>IN-2022001617</t>
  </si>
  <si>
    <t>266987</t>
  </si>
  <si>
    <t>52937</t>
  </si>
  <si>
    <t>1067948</t>
  </si>
  <si>
    <t>880691</t>
  </si>
  <si>
    <t>134320</t>
  </si>
  <si>
    <t>0.5869</t>
  </si>
  <si>
    <t>22028000021501560</t>
  </si>
  <si>
    <t>51788000002797517</t>
  </si>
  <si>
    <t>zcrm_51788000266616112</t>
  </si>
  <si>
    <t>2024-03-13 08:46:18</t>
  </si>
  <si>
    <t>Dr. Pampa Chaudhuri</t>
  </si>
  <si>
    <t>director@pictmodelschool.edu.in</t>
  </si>
  <si>
    <t>+919075094201</t>
  </si>
  <si>
    <t>97600</t>
  </si>
  <si>
    <t>Survey no 6&amp;7/54B, Nr Balewadi Stadium,Mahalunge,Pune</t>
  </si>
  <si>
    <t>411045</t>
  </si>
  <si>
    <t>PNES00144E</t>
  </si>
  <si>
    <t>Vega School</t>
  </si>
  <si>
    <t>IN-2022002512</t>
  </si>
  <si>
    <t>818</t>
  </si>
  <si>
    <t>86728</t>
  </si>
  <si>
    <t>78056</t>
  </si>
  <si>
    <t>8672</t>
  </si>
  <si>
    <t>0.5089</t>
  </si>
  <si>
    <t>22028000025294040</t>
  </si>
  <si>
    <t>51788000002797672</t>
  </si>
  <si>
    <t>zcrm_51788000275112033</t>
  </si>
  <si>
    <t>2024-10-22 11:23:46</t>
  </si>
  <si>
    <t>Ms. Sweta Kumari</t>
  </si>
  <si>
    <t>sweta.kumari@vega.edu.in</t>
  </si>
  <si>
    <t>+919911954538</t>
  </si>
  <si>
    <t>info@vega.edu.in</t>
  </si>
  <si>
    <t>Ms. Komal Sood</t>
  </si>
  <si>
    <t>+911242655200</t>
  </si>
  <si>
    <t>Sohna Rd, near Eldeco Mansionz, Tatvam Villas, Dhani, Sector 48, Gurugram, Haryana 122018</t>
  </si>
  <si>
    <t>122018</t>
  </si>
  <si>
    <t>The Shri Ram School, Senior Aravali</t>
  </si>
  <si>
    <t>IN-2022001821, IN-2022002635</t>
  </si>
  <si>
    <t>12962, 4525</t>
  </si>
  <si>
    <t>2024-05-10 00:00:00, 2025-01-07 00:00:00</t>
  </si>
  <si>
    <t>2024-08-28 00:00:00, 2025-01-07 00:00:00</t>
  </si>
  <si>
    <t>540006, 648114</t>
  </si>
  <si>
    <t>527904, 635152</t>
  </si>
  <si>
    <t>0, 7577</t>
  </si>
  <si>
    <t>22028000021896932, 22028000026470576</t>
  </si>
  <si>
    <t>51788000002735463</t>
  </si>
  <si>
    <t>zcrm_51788000267782193, zcrm_51788000278308163</t>
  </si>
  <si>
    <t>2024-04-04 10:38:39, 2024-11-28 17:10:09</t>
  </si>
  <si>
    <t>sudha.sahay@tsrs.org</t>
  </si>
  <si>
    <t>Mr. Anupam Jain, Ms. Sudha Sahay</t>
  </si>
  <si>
    <t>anupam.jain@tsrs.org, sudha.sahay@tsrs.org</t>
  </si>
  <si>
    <t>Mr. Anupam Jain, Ms. Tanu Setia</t>
  </si>
  <si>
    <t>anupam.jain@tsrs.org, tanu.setia@tsrs.org</t>
  </si>
  <si>
    <t>+919873499147, +919891369408</t>
  </si>
  <si>
    <t>Hamilton Court Complex, Phase - IV, DLF City, ,Gurugram,Haryana - 122002</t>
  </si>
  <si>
    <t>Maxfort School</t>
  </si>
  <si>
    <t>2024-01-23 00:00:00</t>
  </si>
  <si>
    <t>IN-2022001420</t>
  </si>
  <si>
    <t>2024-01-09 00:00:00</t>
  </si>
  <si>
    <t>180009</t>
  </si>
  <si>
    <t>2023-05-15 00:00:00</t>
  </si>
  <si>
    <t>720036</t>
  </si>
  <si>
    <t>176400</t>
  </si>
  <si>
    <t>543636</t>
  </si>
  <si>
    <t>22028000020769144</t>
  </si>
  <si>
    <t>51788000002735472</t>
  </si>
  <si>
    <t>zcrm_51788000263825520</t>
  </si>
  <si>
    <t>soumya.subudhi_ei</t>
  </si>
  <si>
    <t>soumya.subudhi@ei.study</t>
  </si>
  <si>
    <t>Soumya subudhi</t>
  </si>
  <si>
    <t>Soumya Suman Subudhi</t>
  </si>
  <si>
    <t>2024-02-03 17:13:40</t>
  </si>
  <si>
    <t>Ms. Dipika sharma</t>
  </si>
  <si>
    <t>maxfortschool.dwarka@gmail.com</t>
  </si>
  <si>
    <t>+919315525487</t>
  </si>
  <si>
    <t>Plot 9, Sector-7, Main Road, Dwarka, ,Delhi,Delhi - 110075</t>
  </si>
  <si>
    <t>110075</t>
  </si>
  <si>
    <t>Delhi Public School Bangalore East</t>
  </si>
  <si>
    <t>IN-2022002623</t>
  </si>
  <si>
    <t>306269</t>
  </si>
  <si>
    <t>714629</t>
  </si>
  <si>
    <t>6125</t>
  </si>
  <si>
    <t>2025-03-15 00:00:00</t>
  </si>
  <si>
    <t>1020898</t>
  </si>
  <si>
    <t>1000489</t>
  </si>
  <si>
    <t>14284</t>
  </si>
  <si>
    <t>22028000026438008</t>
  </si>
  <si>
    <t>51788000002797922</t>
  </si>
  <si>
    <t>zcrm_51788000266616602</t>
  </si>
  <si>
    <t>2024-12-05 11:22:29</t>
  </si>
  <si>
    <t>Mrs. Manila Carvalho</t>
  </si>
  <si>
    <t>principal@east.dpsbangalore.edu.in</t>
  </si>
  <si>
    <t>+919945338809</t>
  </si>
  <si>
    <t>igcse@east.dpsbangalore.edu.in</t>
  </si>
  <si>
    <t>Manila Carvalho</t>
  </si>
  <si>
    <t>Suchismitha Cood</t>
  </si>
  <si>
    <t>+919008755224</t>
  </si>
  <si>
    <t>Survey No.43/1B &amp; 45, Sulikunte Village,Dommasandra Post</t>
  </si>
  <si>
    <t>Anand Niketan Satellite</t>
  </si>
  <si>
    <t>IN-2022002332</t>
  </si>
  <si>
    <t>35160</t>
  </si>
  <si>
    <t>351000</t>
  </si>
  <si>
    <t>316440</t>
  </si>
  <si>
    <t>22028000023461584</t>
  </si>
  <si>
    <t>51788000002735473</t>
  </si>
  <si>
    <t>2024-07-22 10:46:16</t>
  </si>
  <si>
    <t>Ms. Sonal Narang</t>
  </si>
  <si>
    <t>Sonal.narang@anandniketan.org</t>
  </si>
  <si>
    <t>ansatellite@anandniketan.org</t>
  </si>
  <si>
    <t>Near Novotel Hotel Nr. Asavari Tower, Off S G Highway, Satellite,</t>
  </si>
  <si>
    <t>Rachana School (C.B.S.E.)</t>
  </si>
  <si>
    <t>IN-2022001589</t>
  </si>
  <si>
    <t>1534</t>
  </si>
  <si>
    <t>1002396</t>
  </si>
  <si>
    <t>938050</t>
  </si>
  <si>
    <t>64346</t>
  </si>
  <si>
    <t>0.759</t>
  </si>
  <si>
    <t>0.5589999999999999</t>
  </si>
  <si>
    <t>22028000021380072</t>
  </si>
  <si>
    <t>51788000002735484</t>
  </si>
  <si>
    <t>zcrm_51788000265590178</t>
  </si>
  <si>
    <t>2024-03-05 18:20:05</t>
  </si>
  <si>
    <t>Mrs. Gopa Ghosh</t>
  </si>
  <si>
    <t>rachana_ahmedabad@yahoo.com</t>
  </si>
  <si>
    <t>Tarla Niketan Complex, Opp Rita Park, Shahibagh,</t>
  </si>
  <si>
    <t>AHMR07157D</t>
  </si>
  <si>
    <t>Mahatma Montessori Residential School (Cbse)</t>
  </si>
  <si>
    <t>IN-2022001236</t>
  </si>
  <si>
    <t>92794</t>
  </si>
  <si>
    <t>79995</t>
  </si>
  <si>
    <t>12799</t>
  </si>
  <si>
    <t>22028000019791732</t>
  </si>
  <si>
    <t>51788000002798501</t>
  </si>
  <si>
    <t>zcrm_51788000259824929</t>
  </si>
  <si>
    <t>2024-02-09 14:27:03</t>
  </si>
  <si>
    <t>Anitha</t>
  </si>
  <si>
    <t>+919843953682</t>
  </si>
  <si>
    <t>akcbse17@gmail.com</t>
  </si>
  <si>
    <t>Gopalakrishnan Gardens Alagarkovil</t>
  </si>
  <si>
    <t>625301</t>
  </si>
  <si>
    <t>Nazareth Convent High School &amp; Junior College</t>
  </si>
  <si>
    <t>2024-01-03 00:00:00</t>
  </si>
  <si>
    <t>IN-2022001379</t>
  </si>
  <si>
    <t>2024-01-05 00:00:00</t>
  </si>
  <si>
    <t>56006</t>
  </si>
  <si>
    <t>224026</t>
  </si>
  <si>
    <t>280032</t>
  </si>
  <si>
    <t>280706</t>
  </si>
  <si>
    <t>-674</t>
  </si>
  <si>
    <t>Udhagamandalam</t>
  </si>
  <si>
    <t>22028000020493364</t>
  </si>
  <si>
    <t>51788000002731031</t>
  </si>
  <si>
    <t>zcrm_51788000262828244</t>
  </si>
  <si>
    <t>2024-01-06 13:09:02</t>
  </si>
  <si>
    <t>MRS ELIZABETH RANI .</t>
  </si>
  <si>
    <t>nazrethschool@gmail.com</t>
  </si>
  <si>
    <t>+916385541151</t>
  </si>
  <si>
    <t>+916485541151</t>
  </si>
  <si>
    <t>St. Mary^S Hill, Nilgiris, Ooty,</t>
  </si>
  <si>
    <t>GEAR Innovative International School Neuron</t>
  </si>
  <si>
    <t>IN-2022002150, IN-2022002151</t>
  </si>
  <si>
    <t>590</t>
  </si>
  <si>
    <t>1932</t>
  </si>
  <si>
    <t>17102, 66107</t>
  </si>
  <si>
    <t>15392, 59496</t>
  </si>
  <si>
    <t>1710, 6611</t>
  </si>
  <si>
    <t>0.6446, 0.6517000000000001</t>
  </si>
  <si>
    <t>22028000022789528, 22028000022789584</t>
  </si>
  <si>
    <t>51788000002798723</t>
  </si>
  <si>
    <t>zcrm_51788000270244001, zcrm_51788000270244132</t>
  </si>
  <si>
    <t>aruna_ei</t>
  </si>
  <si>
    <t>aruna@ei.study</t>
  </si>
  <si>
    <t>2024-06-03 17:24:03, 2024-06-03 17:26:40</t>
  </si>
  <si>
    <t>Mr. Sarvesh Srinivasan</t>
  </si>
  <si>
    <t>sarvesh@gear.ac.in</t>
  </si>
  <si>
    <t>+919448852144</t>
  </si>
  <si>
    <t>contactus@gear.ac.in</t>
  </si>
  <si>
    <t>Lakshmi Ganesh</t>
  </si>
  <si>
    <t>lakshmi.gn@gear.ac.in</t>
  </si>
  <si>
    <t>+919741255422</t>
  </si>
  <si>
    <t>GEAR Innovative International School - Neuron, SY No. 9/1, S,Medahalli, Sarjapur-Attibele road</t>
  </si>
  <si>
    <t>Arya Vidya Mandir Bandra West</t>
  </si>
  <si>
    <t>IN-2022002330</t>
  </si>
  <si>
    <t>613</t>
  </si>
  <si>
    <t>110377</t>
  </si>
  <si>
    <t>331130</t>
  </si>
  <si>
    <t>44269</t>
  </si>
  <si>
    <t>2024-08-17 00:00:00</t>
  </si>
  <si>
    <t>441507</t>
  </si>
  <si>
    <t>398416</t>
  </si>
  <si>
    <t>-1178</t>
  </si>
  <si>
    <t>0.6541</t>
  </si>
  <si>
    <t>22028000023464416</t>
  </si>
  <si>
    <t>51788000002728397</t>
  </si>
  <si>
    <t>zcrm_51788000271708157</t>
  </si>
  <si>
    <t>2024-08-01 18:08:22</t>
  </si>
  <si>
    <t>Jyoti Kumar</t>
  </si>
  <si>
    <t>jyoti.kumar@avmschools.ac.in</t>
  </si>
  <si>
    <t>+919820039272</t>
  </si>
  <si>
    <t>avm@avmschools.ac.in</t>
  </si>
  <si>
    <t>1, St. Cyril Road, Bandra (W),</t>
  </si>
  <si>
    <t>400050</t>
  </si>
  <si>
    <t>MUMA21237G</t>
  </si>
  <si>
    <t>Agurchand Manmull Jain School</t>
  </si>
  <si>
    <t>IN-2022002256</t>
  </si>
  <si>
    <t>374702</t>
  </si>
  <si>
    <t>112865.7</t>
  </si>
  <si>
    <t>2025-04-22 00:00:00</t>
  </si>
  <si>
    <t>1498808</t>
  </si>
  <si>
    <t>1353010</t>
  </si>
  <si>
    <t>32932</t>
  </si>
  <si>
    <t>22028000023104048</t>
  </si>
  <si>
    <t>51788000002798892</t>
  </si>
  <si>
    <t>zcrm_51788000270884147</t>
  </si>
  <si>
    <t>2024-07-05 12:37:51</t>
  </si>
  <si>
    <t>Mr. Pannalal Chordia</t>
  </si>
  <si>
    <t>panu@amjainschool.com</t>
  </si>
  <si>
    <t>+919282150050</t>
  </si>
  <si>
    <t>amjainschool@yahoo.com</t>
  </si>
  <si>
    <t>Jayashree Venkatraman</t>
  </si>
  <si>
    <t>vp@amjainschool.com</t>
  </si>
  <si>
    <t>+919840355608</t>
  </si>
  <si>
    <t>Mrs.Vidyalakshmi</t>
  </si>
  <si>
    <t>vidhyalakshmi@amjainschool.com</t>
  </si>
  <si>
    <t>+919941293537</t>
  </si>
  <si>
    <t>No.2, Govindasamy Street, Nanganallur, Meenambakkam</t>
  </si>
  <si>
    <t>600114</t>
  </si>
  <si>
    <t>CHEA19901A</t>
  </si>
  <si>
    <t>Sri Kumaran Public School -ICSE</t>
  </si>
  <si>
    <t>IN-2022002105, IN-2022002106, IN-2022002107</t>
  </si>
  <si>
    <t>671</t>
  </si>
  <si>
    <t>0, 148748, 34800</t>
  </si>
  <si>
    <t>0, 56800, 6930</t>
  </si>
  <si>
    <t>2024-11-06 00:00:00, 2024-11-14 00:00:00, 2024-12-06 00:00:00</t>
  </si>
  <si>
    <t>2024-11-14 00:00:00, 2024-12-20 00:00:00, 2025-01-23 00:00:00</t>
  </si>
  <si>
    <t>139200, 547450, 594992</t>
  </si>
  <si>
    <t>489595, 511681, 62370</t>
  </si>
  <si>
    <t>26511, 57855, 69900</t>
  </si>
  <si>
    <t>0.3056, 0.5, 0.5393</t>
  </si>
  <si>
    <t>0.3056, 0.4893, 0.5</t>
  </si>
  <si>
    <t>22028000022677260, 22028000022677308, 22028000022677352</t>
  </si>
  <si>
    <t>51788000002735518</t>
  </si>
  <si>
    <t>zcrm_51788000269952595, zcrm_51788000269952725, zcrm_51788000269952856</t>
  </si>
  <si>
    <t>2024-06-05 15:16:16, 2024-06-05 15:17:26, 2024-06-05 15:19:08</t>
  </si>
  <si>
    <t>Ms. Jayasree Ramesh</t>
  </si>
  <si>
    <t>jayasreeramesh@kumarans.org</t>
  </si>
  <si>
    <t>+919880412036</t>
  </si>
  <si>
    <t>icse@kumarans.org</t>
  </si>
  <si>
    <t>Syno 44 to 48, Mallasandra Village, Uttarahalli, Hobli</t>
  </si>
  <si>
    <t>NSKS16703B</t>
  </si>
  <si>
    <t>Canary The School</t>
  </si>
  <si>
    <t>2024-03-15 00:00:00, 2024-03-20 00:00:00</t>
  </si>
  <si>
    <t>IN-2022001654, IN-2022001655, IN-2022001701</t>
  </si>
  <si>
    <t>575, 765</t>
  </si>
  <si>
    <t>2000</t>
  </si>
  <si>
    <t>144513, 31918, 56228</t>
  </si>
  <si>
    <t>2024-07-15 00:00:00, 2024-12-15 00:00:00</t>
  </si>
  <si>
    <t>144513, 168683, 95754</t>
  </si>
  <si>
    <t>0, 144513</t>
  </si>
  <si>
    <t>1941, 3030, 3393</t>
  </si>
  <si>
    <t>2025-01-27 00:00:00, 2025-02-24 00:00:00</t>
  </si>
  <si>
    <t>127672, 224911, 578052</t>
  </si>
  <si>
    <t>125730, 221516, 585195</t>
  </si>
  <si>
    <t>-10173, 1, 2</t>
  </si>
  <si>
    <t>0.23070000000000002, 0.49, 0.6165999999999999</t>
  </si>
  <si>
    <t>22028000021573532, 22028000021573592, 22028000021646428</t>
  </si>
  <si>
    <t>51788000002798944</t>
  </si>
  <si>
    <t>zcrm_51788000266811001, zcrm_51788000266811135, zcrm_51788000266811269</t>
  </si>
  <si>
    <t>2024-04-22 14:46:08, 2024-04-22 14:49:38, 2024-04-22 14:49:41</t>
  </si>
  <si>
    <t>Ms. Swetha Reddy, Ms.Swetha Reddy</t>
  </si>
  <si>
    <t>chairman@canaryschool.in</t>
  </si>
  <si>
    <t>+919100090038</t>
  </si>
  <si>
    <t>adminmanager@canaryschool.in</t>
  </si>
  <si>
    <t>Dr Emmadi Naveen Kumar</t>
  </si>
  <si>
    <t>headseniorschool@canaryschool.in</t>
  </si>
  <si>
    <t>+919000044133</t>
  </si>
  <si>
    <t>Krushi Nagar Street, Beside Substation Road, Tiwari Nagar, Miyapur, Hyderabad, Telangana - 500049</t>
  </si>
  <si>
    <t>HYDG00695C</t>
  </si>
  <si>
    <t>Hyderabad, Telangana - 500049</t>
  </si>
  <si>
    <t>Poola School</t>
  </si>
  <si>
    <t>IN-2022002602</t>
  </si>
  <si>
    <t>630</t>
  </si>
  <si>
    <t>25200</t>
  </si>
  <si>
    <t>0.58</t>
  </si>
  <si>
    <t>22028000026309176</t>
  </si>
  <si>
    <t>51788000002798965</t>
  </si>
  <si>
    <t>zcrm_51788000277827001</t>
  </si>
  <si>
    <t>Baskaran P</t>
  </si>
  <si>
    <t>2024-11-20 15:46:13</t>
  </si>
  <si>
    <t>Mr Amarnath Poola</t>
  </si>
  <si>
    <t>admin812@poola.edu.in</t>
  </si>
  <si>
    <t>+919900055615</t>
  </si>
  <si>
    <t>enquiry@poola.edu.in</t>
  </si>
  <si>
    <t>Ms. Banurekha</t>
  </si>
  <si>
    <t>Survey no: 183 Chokkanahalli, Madhure Temple Road, Bangalore North Taluk,</t>
  </si>
  <si>
    <t>561203</t>
  </si>
  <si>
    <t>Bombay International School Association</t>
  </si>
  <si>
    <t>IN-2022002542</t>
  </si>
  <si>
    <t>2024-11-28 00:00:00</t>
  </si>
  <si>
    <t>70800</t>
  </si>
  <si>
    <t>69384</t>
  </si>
  <si>
    <t>1416</t>
  </si>
  <si>
    <t>22028000025643248</t>
  </si>
  <si>
    <t>51788000002799111</t>
  </si>
  <si>
    <t>zcrm_51788000275847145</t>
  </si>
  <si>
    <t>2024-11-12 12:28:09</t>
  </si>
  <si>
    <t>Neha Chheda</t>
  </si>
  <si>
    <t>pyphead@bis.edu.in</t>
  </si>
  <si>
    <t>+919870027788</t>
  </si>
  <si>
    <t>Neha Chedda</t>
  </si>
  <si>
    <t>120000</t>
  </si>
  <si>
    <t>42, Sir Vithaldas Thackersey Marg, New Marine Lines, Marine Lines,</t>
  </si>
  <si>
    <t>400020</t>
  </si>
  <si>
    <t>MUMT01781D</t>
  </si>
  <si>
    <t>Gangotri International School</t>
  </si>
  <si>
    <t>2024-02-28 00:00:00, 2024-12-31 00:00:00</t>
  </si>
  <si>
    <t>IN-2022001564, IN-2022002755</t>
  </si>
  <si>
    <t>591</t>
  </si>
  <si>
    <t>0, 415112</t>
  </si>
  <si>
    <t>0, 402903</t>
  </si>
  <si>
    <t>0, 6360</t>
  </si>
  <si>
    <t>2024-09-04 00:00:00, 2025-01-17 00:00:00</t>
  </si>
  <si>
    <t>2025-01-22 00:00:00, 2025-08-29 00:00:00</t>
  </si>
  <si>
    <t>1220918, 315960</t>
  </si>
  <si>
    <t>1238635.79, 314230</t>
  </si>
  <si>
    <t>-24078, 1730</t>
  </si>
  <si>
    <t>0.5411, 0.698</t>
  </si>
  <si>
    <t>0.4911, 0.5479999999999999</t>
  </si>
  <si>
    <t>Gondal</t>
  </si>
  <si>
    <t>22028000021282164, 22028000027135056</t>
  </si>
  <si>
    <t>51788000002799752</t>
  </si>
  <si>
    <t>zcrm_51788000266063178, zcrm_51788000281022273</t>
  </si>
  <si>
    <t>2024-03-01 09:59:26, 2025-01-03 17:44:14</t>
  </si>
  <si>
    <t>Dipen Chhotala, Sandip Chhotala</t>
  </si>
  <si>
    <t>dipenchhotala@gmail.com, sandipchhotala@gmail.com</t>
  </si>
  <si>
    <t>+919879389449, +919925106400</t>
  </si>
  <si>
    <t>dipen@gisgondal.com</t>
  </si>
  <si>
    <t>Sandip Chhotala</t>
  </si>
  <si>
    <t>sandipchhotala@gmail.com</t>
  </si>
  <si>
    <t>+919925106400</t>
  </si>
  <si>
    <t>Jigisha Ma'am, Sandip Chhotala</t>
  </si>
  <si>
    <t>hoa@gisgondal.com, sandipchhotala@gmail.com</t>
  </si>
  <si>
    <t>+919512300368, +919925106400</t>
  </si>
  <si>
    <t>Gangotri International School At Jamvadi, Gondal - Jetpur Nh-27</t>
  </si>
  <si>
    <t>360311</t>
  </si>
  <si>
    <t>Mallya Aditi International School</t>
  </si>
  <si>
    <t>2024-05-22 00:00:00, 2025-06-26 00:00:00</t>
  </si>
  <si>
    <t>IN-2022002080, IN-2022003728</t>
  </si>
  <si>
    <t>2983</t>
  </si>
  <si>
    <t>2000-01-01 00:00:00, 2024-05-30 00:00:00</t>
  </si>
  <si>
    <t>0, 283000</t>
  </si>
  <si>
    <t>2000-01-01 00:00:00, 2024-07-31 00:00:00</t>
  </si>
  <si>
    <t>0, 377333</t>
  </si>
  <si>
    <t>0, 11276</t>
  </si>
  <si>
    <t>0, 943333</t>
  </si>
  <si>
    <t>0, 934263</t>
  </si>
  <si>
    <t>-2206, 0</t>
  </si>
  <si>
    <t>0.0223, 1</t>
  </si>
  <si>
    <t>2024-06-01 00:00:00, 2025-06-01 00:00:00</t>
  </si>
  <si>
    <t>2025-05-31 00:00:00, 2026-05-31 00:00:00</t>
  </si>
  <si>
    <t>22028000022611188, 22028000031167032</t>
  </si>
  <si>
    <t>51788000002735651</t>
  </si>
  <si>
    <t>zcrm_51788000269940045, zcrm_51788000292518001</t>
  </si>
  <si>
    <t>dipti.jain_ei, jasper.jessie_ei</t>
  </si>
  <si>
    <t>dipti.jain@ei.study, jasper.jessie@ei.study</t>
  </si>
  <si>
    <t>Dipti jain, Jasper jessie</t>
  </si>
  <si>
    <t>2024-05-23 15:34:16, 2025-06-26 12:40:31</t>
  </si>
  <si>
    <t>Mr. Maruf Shaikh, Ms. Rekha Chari</t>
  </si>
  <si>
    <t>maruf.shaikh@ei.study, rekha.chari@gsuite.aditi.edu.in</t>
  </si>
  <si>
    <t>+919341981458, +919632534048</t>
  </si>
  <si>
    <t>ganesh@aditi.edu.in</t>
  </si>
  <si>
    <t>Ms. Rekha</t>
  </si>
  <si>
    <t>rekha.chari@gsuite.aditi.edu.in</t>
  </si>
  <si>
    <t>+919632534048</t>
  </si>
  <si>
    <t>P B No 6427, Behind Nipccd Bulding, Yelahanka New Town,</t>
  </si>
  <si>
    <t>560106</t>
  </si>
  <si>
    <t>BLRU01202F</t>
  </si>
  <si>
    <t>Sainik School</t>
  </si>
  <si>
    <t>IN-2022001709</t>
  </si>
  <si>
    <t>1712</t>
  </si>
  <si>
    <t>112577</t>
  </si>
  <si>
    <t>28164</t>
  </si>
  <si>
    <t>450308</t>
  </si>
  <si>
    <t>253489</t>
  </si>
  <si>
    <t>168655</t>
  </si>
  <si>
    <t>0.5108</t>
  </si>
  <si>
    <t>Mandsaur</t>
  </si>
  <si>
    <t>22028000021658640</t>
  </si>
  <si>
    <t>51788000002799926</t>
  </si>
  <si>
    <t>zcrm_51788000266009224</t>
  </si>
  <si>
    <t>2024-03-26 17:11:30</t>
  </si>
  <si>
    <t>Saroj Prasad</t>
  </si>
  <si>
    <t>svm.cbse.mds.1314@gmail.com</t>
  </si>
  <si>
    <t>+919425922001</t>
  </si>
  <si>
    <t>69200</t>
  </si>
  <si>
    <t>Sanjeet Naka Near Village Jaggakhedi</t>
  </si>
  <si>
    <t>458001</t>
  </si>
  <si>
    <t>Mukesh R Patel CBSE School, Shirpur</t>
  </si>
  <si>
    <t>IN-2022002470</t>
  </si>
  <si>
    <t>2871</t>
  </si>
  <si>
    <t>143563</t>
  </si>
  <si>
    <t>140692</t>
  </si>
  <si>
    <t>Shirpur</t>
  </si>
  <si>
    <t>22028000024372544</t>
  </si>
  <si>
    <t>51788000002799944</t>
  </si>
  <si>
    <t>zcrm_51788000273410279</t>
  </si>
  <si>
    <t>2024-08-28 17:09:42</t>
  </si>
  <si>
    <t>Manju Singh</t>
  </si>
  <si>
    <t>manju.singh@svkm.ac.in</t>
  </si>
  <si>
    <t>+919834162846</t>
  </si>
  <si>
    <t>mrpslearning@gmail.com</t>
  </si>
  <si>
    <t>Shirpur Chopda Road, Opp Priyadarshini Spinning Mill, Tande, Shirpur, Dist Dhule</t>
  </si>
  <si>
    <t>425405</t>
  </si>
  <si>
    <t>V V S Gandhi Centenary English Primary School (Dhruvadhama Campus)</t>
  </si>
  <si>
    <t>IN-2022002100, IN-2022002101</t>
  </si>
  <si>
    <t>380</t>
  </si>
  <si>
    <t>428422, 89099</t>
  </si>
  <si>
    <t>8777, 93335</t>
  </si>
  <si>
    <t>2024-07-25 00:00:00, 2025-02-12 00:00:00</t>
  </si>
  <si>
    <t>2025-01-04 00:00:00, 2025-02-12 00:00:00</t>
  </si>
  <si>
    <t>178198, 856844</t>
  </si>
  <si>
    <t>78992, 840015</t>
  </si>
  <si>
    <t>-76506, 90429</t>
  </si>
  <si>
    <t>0.5, 0.7467</t>
  </si>
  <si>
    <t>22028000022677080, 22028000022677120</t>
  </si>
  <si>
    <t>51788000002735663</t>
  </si>
  <si>
    <t>zcrm_51788000270074033, zcrm_51788000270083201</t>
  </si>
  <si>
    <t>2024-06-05 15:27:23, 2024-06-05 15:29:03</t>
  </si>
  <si>
    <t>1St, N Block, Rajaji Nagar,</t>
  </si>
  <si>
    <t>St Michaels School</t>
  </si>
  <si>
    <t>IN-2022001562</t>
  </si>
  <si>
    <t>2023-11-03 00:00:00</t>
  </si>
  <si>
    <t>156021</t>
  </si>
  <si>
    <t>3150</t>
  </si>
  <si>
    <t>624084</t>
  </si>
  <si>
    <t>616601</t>
  </si>
  <si>
    <t>4333</t>
  </si>
  <si>
    <t>22028000021266472</t>
  </si>
  <si>
    <t>51788000002800159</t>
  </si>
  <si>
    <t>zcrm_51788000263748130</t>
  </si>
  <si>
    <t>Rana Sumit Kumar Singh</t>
  </si>
  <si>
    <t>2024-02-29 19:05:04</t>
  </si>
  <si>
    <t>Mr. Rajat Behl</t>
  </si>
  <si>
    <t>stmichaelsranchi@gmail.com</t>
  </si>
  <si>
    <t>+919905103322</t>
  </si>
  <si>
    <t>st.michaelschoolmuri@gmail.com</t>
  </si>
  <si>
    <t>Irshad Ansari</t>
  </si>
  <si>
    <t>+918340756601</t>
  </si>
  <si>
    <t>29200</t>
  </si>
  <si>
    <t>Muri</t>
  </si>
  <si>
    <t>835101</t>
  </si>
  <si>
    <t>RCHK00420G</t>
  </si>
  <si>
    <t>JAJPUR, SOPAROM, ITKI ROAD RANCHI</t>
  </si>
  <si>
    <t>Pakshalika High</t>
  </si>
  <si>
    <t>IN-2022002039, IN-2022002040</t>
  </si>
  <si>
    <t>382</t>
  </si>
  <si>
    <t>1740, 2543</t>
  </si>
  <si>
    <t>128107, 59265</t>
  </si>
  <si>
    <t>2024-07-15 00:00:00, 2024-08-14 00:00:00</t>
  </si>
  <si>
    <t>2378, 4851</t>
  </si>
  <si>
    <t>2025-03-01 00:00:00, 2025-03-24 00:00:00</t>
  </si>
  <si>
    <t>237060, 512428</t>
  </si>
  <si>
    <t>236447, 505233</t>
  </si>
  <si>
    <t>-1765, 2344</t>
  </si>
  <si>
    <t>0.16649999999999998, 0.7149</t>
  </si>
  <si>
    <t>Sibsagar</t>
  </si>
  <si>
    <t>22028000022473100, 22028000022473204</t>
  </si>
  <si>
    <t>51788000002800299</t>
  </si>
  <si>
    <t>zcrm_51788000269564001, zcrm_51788000269568001</t>
  </si>
  <si>
    <t>2024-05-17 12:43:51, 2024-05-17 16:55:35</t>
  </si>
  <si>
    <t>Ms. Mawmita Dutta</t>
  </si>
  <si>
    <t>mawmitadutta@gmail.com</t>
  </si>
  <si>
    <t>+919435149061</t>
  </si>
  <si>
    <t>Sumi Dowarah</t>
  </si>
  <si>
    <t>sumidowarah93@gmail.com</t>
  </si>
  <si>
    <t>+919706846540</t>
  </si>
  <si>
    <t>Mela Chakkar,Sibsagar</t>
  </si>
  <si>
    <t>785640</t>
  </si>
  <si>
    <t>Melachakkar Tiniali</t>
  </si>
  <si>
    <t>Allegiance Academy, Kukshi</t>
  </si>
  <si>
    <t>624</t>
  </si>
  <si>
    <t>2025-07-17 00:00:00</t>
  </si>
  <si>
    <t>Dhar</t>
  </si>
  <si>
    <t>51788000002800372</t>
  </si>
  <si>
    <t>Mr. Anand Gupta</t>
  </si>
  <si>
    <t>anandgupta95@yahoo.com</t>
  </si>
  <si>
    <t>allegiance.academy@gmail.com</t>
  </si>
  <si>
    <t>Mr. Abhishek Srivastava</t>
  </si>
  <si>
    <t>Vill-Dhanora, Kukshi</t>
  </si>
  <si>
    <t>454331</t>
  </si>
  <si>
    <t>BPLS11142F</t>
  </si>
  <si>
    <t>Morning Bells Academy Shayamnagar</t>
  </si>
  <si>
    <t>IN-2022002037</t>
  </si>
  <si>
    <t>1120</t>
  </si>
  <si>
    <t>84011</t>
  </si>
  <si>
    <t>2024-11-10 00:00:00</t>
  </si>
  <si>
    <t>336044</t>
  </si>
  <si>
    <t>337191</t>
  </si>
  <si>
    <t>-1147</t>
  </si>
  <si>
    <t>0.37770000000000004</t>
  </si>
  <si>
    <t>Shyamnagar</t>
  </si>
  <si>
    <t>2025-06-09 00:00:00</t>
  </si>
  <si>
    <t>22028000022454536</t>
  </si>
  <si>
    <t>51788000002800509</t>
  </si>
  <si>
    <t>zcrm_51788000269072790</t>
  </si>
  <si>
    <t>2024-05-13 17:09:15</t>
  </si>
  <si>
    <t>Mr. Joydeep Sah</t>
  </si>
  <si>
    <t>morningbellsacademy@yahoo.co</t>
  </si>
  <si>
    <t>morningbellsacademy@yahoo.com</t>
  </si>
  <si>
    <t>310/311, East Ghospara Road, Pinkal, Shyam Nagar,,North 24 PGS</t>
  </si>
  <si>
    <t>743127</t>
  </si>
  <si>
    <t>The Millennium School, Noida Extension</t>
  </si>
  <si>
    <t>IN-2022001533</t>
  </si>
  <si>
    <t>829</t>
  </si>
  <si>
    <t>452773</t>
  </si>
  <si>
    <t>226386</t>
  </si>
  <si>
    <t>89983</t>
  </si>
  <si>
    <t>905545</t>
  </si>
  <si>
    <t>809844</t>
  </si>
  <si>
    <t>5718</t>
  </si>
  <si>
    <t>0.4474</t>
  </si>
  <si>
    <t>0.39740000000000003</t>
  </si>
  <si>
    <t>22028000021150984</t>
  </si>
  <si>
    <t>51788000002800905</t>
  </si>
  <si>
    <t>zcrm_51788000263644109</t>
  </si>
  <si>
    <t>2024-03-13 15:37:57</t>
  </si>
  <si>
    <t>Dr. Himani Tyagi</t>
  </si>
  <si>
    <t>principal@themillenniumschoolgrnoida.com</t>
  </si>
  <si>
    <t>+918860645588</t>
  </si>
  <si>
    <t>contact@themillennniumschoolgrnoida.com</t>
  </si>
  <si>
    <t>Ms Ritu Gupta</t>
  </si>
  <si>
    <t>ritu.gupta@tmsnoidaextension.com</t>
  </si>
  <si>
    <t>+919953565803</t>
  </si>
  <si>
    <t>Plot No. 58/1, knowledge park-5, Greater Noida (West),</t>
  </si>
  <si>
    <t>201306</t>
  </si>
  <si>
    <t>MRTS11890E</t>
  </si>
  <si>
    <t>Indo Scots Global School Kamothe</t>
  </si>
  <si>
    <t>IN-2022001469</t>
  </si>
  <si>
    <t>1735</t>
  </si>
  <si>
    <t>90044</t>
  </si>
  <si>
    <t>210104</t>
  </si>
  <si>
    <t>2025-02-18 00:00:00</t>
  </si>
  <si>
    <t>300148</t>
  </si>
  <si>
    <t>326902</t>
  </si>
  <si>
    <t>-26754</t>
  </si>
  <si>
    <t>0.2771</t>
  </si>
  <si>
    <t>2025-05-30 00:00:00</t>
  </si>
  <si>
    <t>22028000020931064</t>
  </si>
  <si>
    <t>51788000002801099</t>
  </si>
  <si>
    <t>zcrm_51788000264434331</t>
  </si>
  <si>
    <t>Shailaja Shah</t>
  </si>
  <si>
    <t>2024-03-02 11:36:36</t>
  </si>
  <si>
    <t>Nidhi Shrisvastav</t>
  </si>
  <si>
    <t>director@indoscotsglobalschool.com</t>
  </si>
  <si>
    <t>+919820398988</t>
  </si>
  <si>
    <t>info@indoscottishkamothe.com</t>
  </si>
  <si>
    <t>Mrs. Maymon Jitesh</t>
  </si>
  <si>
    <t>principal@indoscotskamothe.com</t>
  </si>
  <si>
    <t>+919920960630</t>
  </si>
  <si>
    <t>Ms. Mamta</t>
  </si>
  <si>
    <t>mamtapunder1988@gmail.com</t>
  </si>
  <si>
    <t>+919820938458</t>
  </si>
  <si>
    <t>105000</t>
  </si>
  <si>
    <t>Old Vsnl Colony, Sector - 17, Kamothe, Panvel,</t>
  </si>
  <si>
    <t>410206</t>
  </si>
  <si>
    <t>Mount Litera Zee School, Ara</t>
  </si>
  <si>
    <t>IN-2022001641</t>
  </si>
  <si>
    <t>288000</t>
  </si>
  <si>
    <t>2024-05-30 00:00:00</t>
  </si>
  <si>
    <t>576000</t>
  </si>
  <si>
    <t>Ara</t>
  </si>
  <si>
    <t>22028000021541224</t>
  </si>
  <si>
    <t>51788000002801125</t>
  </si>
  <si>
    <t>zcrm_51788000266729531</t>
  </si>
  <si>
    <t>ajit.ojha_eiindia</t>
  </si>
  <si>
    <t>ajit.ojha@ei.study</t>
  </si>
  <si>
    <t>Ajit ojha</t>
  </si>
  <si>
    <t>Ajit Ojha</t>
  </si>
  <si>
    <t>2024-05-20 18:06:05</t>
  </si>
  <si>
    <t>Mr. Devassy M</t>
  </si>
  <si>
    <t>principal.arah@mountlitera.com</t>
  </si>
  <si>
    <t>+919330289321</t>
  </si>
  <si>
    <t>Principal.arah@mountlitera.com</t>
  </si>
  <si>
    <t>Mr. Sai Prasad</t>
  </si>
  <si>
    <t>+918319426057</t>
  </si>
  <si>
    <t>4500</t>
  </si>
  <si>
    <t>Ara-Buxar Road, Bampali, Ara</t>
  </si>
  <si>
    <t>802312</t>
  </si>
  <si>
    <t>Bhavan^s Gangabux Kanoria Vidyamandir</t>
  </si>
  <si>
    <t>IN-2022001893</t>
  </si>
  <si>
    <t>1890</t>
  </si>
  <si>
    <t>540763</t>
  </si>
  <si>
    <t>27516</t>
  </si>
  <si>
    <t>2025-02-17 00:00:00</t>
  </si>
  <si>
    <t>2163052</t>
  </si>
  <si>
    <t>2127487</t>
  </si>
  <si>
    <t>8049</t>
  </si>
  <si>
    <t>0.38060000000000005</t>
  </si>
  <si>
    <t>22028000022034048</t>
  </si>
  <si>
    <t>51788000002735706</t>
  </si>
  <si>
    <t>zcrm_51788000268309001</t>
  </si>
  <si>
    <t>2024-04-12 18:05:34</t>
  </si>
  <si>
    <t>Sujata Ghosh</t>
  </si>
  <si>
    <t>sujatabgkv@gmail.com</t>
  </si>
  <si>
    <t>+919433072595</t>
  </si>
  <si>
    <t>bgkv_kolkata@yahoo.com</t>
  </si>
  <si>
    <t>Suparna Chatterjee and Arun Kumar Dasgupta</t>
  </si>
  <si>
    <t>suparna.chatterjee@bhavansgkvidyamandir.edu.in</t>
  </si>
  <si>
    <t>+919163292020</t>
  </si>
  <si>
    <t>Sujaya bhattyacharya</t>
  </si>
  <si>
    <t>mousumimukherjee.bgkv1984@gmail.com</t>
  </si>
  <si>
    <t>+919830169686</t>
  </si>
  <si>
    <t>Address: Block â FA, Sector â III, Salt Lake City</t>
  </si>
  <si>
    <t>700097</t>
  </si>
  <si>
    <t>CALB01486C</t>
  </si>
  <si>
    <t>Innovative International School</t>
  </si>
  <si>
    <t>IN-2022002649</t>
  </si>
  <si>
    <t>342000</t>
  </si>
  <si>
    <t>22028000026588420</t>
  </si>
  <si>
    <t>51788000002801377</t>
  </si>
  <si>
    <t>zcrm_51788000278378033</t>
  </si>
  <si>
    <t>unnati.sharma_ei</t>
  </si>
  <si>
    <t>unnati.sharma@ei.study</t>
  </si>
  <si>
    <t>Unnati sharma</t>
  </si>
  <si>
    <t>2024-12-04 17:51:49</t>
  </si>
  <si>
    <t>Mr. Vivek Sinhar</t>
  </si>
  <si>
    <t>vivek@innovativeinternationalschool.com</t>
  </si>
  <si>
    <t>+919099940990</t>
  </si>
  <si>
    <t>connect@innovativeinternational.com</t>
  </si>
  <si>
    <t>Vivek Sinhar</t>
  </si>
  <si>
    <t>At Iswariya,Ta.Padadhari,Pin Code	360005</t>
  </si>
  <si>
    <t>360007</t>
  </si>
  <si>
    <t>Mount Litera Zee School</t>
  </si>
  <si>
    <t>2024-01-29 00:00:00</t>
  </si>
  <si>
    <t>IN-2022001437</t>
  </si>
  <si>
    <t>116100</t>
  </si>
  <si>
    <t>232200</t>
  </si>
  <si>
    <t>249983</t>
  </si>
  <si>
    <t>-17783</t>
  </si>
  <si>
    <t>Cuddalore</t>
  </si>
  <si>
    <t>22028000020832400</t>
  </si>
  <si>
    <t>51788000002801395</t>
  </si>
  <si>
    <t>zcrm_51788000264297883</t>
  </si>
  <si>
    <t>2024-01-31 17:59:31</t>
  </si>
  <si>
    <t>Mrs. Kavitha Mrs</t>
  </si>
  <si>
    <t>rm..mlzscuddalore@gmail.com</t>
  </si>
  <si>
    <t>+919600337614</t>
  </si>
  <si>
    <t>Mrs. Kavitha</t>
  </si>
  <si>
    <t>+918220111512</t>
  </si>
  <si>
    <t>Kavitha</t>
  </si>
  <si>
    <t>rm.mlzscuddalore@gmail.com</t>
  </si>
  <si>
    <t>+918678961100</t>
  </si>
  <si>
    <t>58/3, Vandipalayam,(Way To Rto), Cuddalore</t>
  </si>
  <si>
    <t>607004</t>
  </si>
  <si>
    <t>Christel House India - Atal Nagar</t>
  </si>
  <si>
    <t>2024-02-09 00:00:00</t>
  </si>
  <si>
    <t>IN-2022001482</t>
  </si>
  <si>
    <t>803</t>
  </si>
  <si>
    <t>2024-02-24 00:00:00</t>
  </si>
  <si>
    <t>39086</t>
  </si>
  <si>
    <t>390861</t>
  </si>
  <si>
    <t>351774</t>
  </si>
  <si>
    <t>0.43229999999999996</t>
  </si>
  <si>
    <t>22028000020988088</t>
  </si>
  <si>
    <t>51788000002801552</t>
  </si>
  <si>
    <t>zcrm_51788000264812025</t>
  </si>
  <si>
    <t>2024-02-09 13:32:48</t>
  </si>
  <si>
    <t>Mr. Ranjeet Kumar Jha</t>
  </si>
  <si>
    <t>rjha@nr.christelhouseindia.org</t>
  </si>
  <si>
    <t>+919926192337</t>
  </si>
  <si>
    <t>eaedu@nr.christelhouseindia.org</t>
  </si>
  <si>
    <t>Sector 25, Atal Nagar, Village Rakhi, Naya Raipur</t>
  </si>
  <si>
    <t>492015</t>
  </si>
  <si>
    <t>Partap World School</t>
  </si>
  <si>
    <t>2024-04-26 00:00:00</t>
  </si>
  <si>
    <t>IN-2022001966</t>
  </si>
  <si>
    <t>Pathankot</t>
  </si>
  <si>
    <t>22028000022273180</t>
  </si>
  <si>
    <t>51788000002801578</t>
  </si>
  <si>
    <t>zcrm_51788000268978359</t>
  </si>
  <si>
    <t>Vikrant Behal</t>
  </si>
  <si>
    <t>2024-05-10 11:42:36</t>
  </si>
  <si>
    <t>Mr. Sunny Mahajan</t>
  </si>
  <si>
    <t>sunny.mahajn@gmail.com</t>
  </si>
  <si>
    <t>+919814750752</t>
  </si>
  <si>
    <t>pwsptk@gmail.com</t>
  </si>
  <si>
    <t>Mrs. Subhra Rani</t>
  </si>
  <si>
    <t>pwspkt@gmail.com</t>
  </si>
  <si>
    <t>+919356925282</t>
  </si>
  <si>
    <t>Mr. Prashant</t>
  </si>
  <si>
    <t>+919464833334</t>
  </si>
  <si>
    <t>Defence Rd, Pangoli, Punjab 145001</t>
  </si>
  <si>
    <t>145001</t>
  </si>
  <si>
    <t>KLE School, Lingaraj Campus, Belagavi</t>
  </si>
  <si>
    <t>IN-2022002219, IN-2022002228</t>
  </si>
  <si>
    <t>143436, 75717</t>
  </si>
  <si>
    <t>14803.6, 24204</t>
  </si>
  <si>
    <t>151434, 286872</t>
  </si>
  <si>
    <t>133232.4, 261398</t>
  </si>
  <si>
    <t>1270, 3398</t>
  </si>
  <si>
    <t>22028000023002768, 22028000023033128</t>
  </si>
  <si>
    <t>51788000002801590</t>
  </si>
  <si>
    <t>zcrm_51788000270593575, zcrm_51788000270690001</t>
  </si>
  <si>
    <t>2024-06-18 10:37:50, 2024-06-18 10:56:48</t>
  </si>
  <si>
    <t>kleschoolbgm2@gmail.com</t>
  </si>
  <si>
    <t>Lingaraj College Campus, Belagavi</t>
  </si>
  <si>
    <t>590016</t>
  </si>
  <si>
    <t>Campion School</t>
  </si>
  <si>
    <t>2024-04-12 00:00:00, 2025-01-17 00:00:00</t>
  </si>
  <si>
    <t>IN-2022001901, IN-2022001902, IN-2022001903, IN-2022002798</t>
  </si>
  <si>
    <t>0, 2385</t>
  </si>
  <si>
    <t>2098</t>
  </si>
  <si>
    <t>2024-03-31 00:00:00, 2024-12-31 00:00:00</t>
  </si>
  <si>
    <t>0, 216192</t>
  </si>
  <si>
    <t>2024-04-02 00:00:00, 2025-04-10 00:00:00</t>
  </si>
  <si>
    <t>0, 317250, 965954, 980163</t>
  </si>
  <si>
    <t>0, 268892, 852726, 925557</t>
  </si>
  <si>
    <t>-167834, 0, 113228, 54606</t>
  </si>
  <si>
    <t>0.3361, 0.5478999999999999, 0.6, 1</t>
  </si>
  <si>
    <t>0.2361, 0.44789999999999996, 0.5, 1</t>
  </si>
  <si>
    <t>0, 2, 8</t>
  </si>
  <si>
    <t>22028000022064108, 22028000022064140, 22028000022064172, 22028000027399272</t>
  </si>
  <si>
    <t>51788000002735729</t>
  </si>
  <si>
    <t>zcrm_51788000268324129, zcrm_51788000268324260, zcrm_51788000268324390, zcrm_51788000282276198</t>
  </si>
  <si>
    <t>2024-04-18 14:56:53, 2024-04-18 14:56:58, 2024-04-18 14:57:02, 2025-01-17 11:22:34</t>
  </si>
  <si>
    <t>Father Dr. Francis Swamy S.J., Mr. Maruf Shaikh</t>
  </si>
  <si>
    <t>maruf.shaikh@ei.study, principal@campionmumbai.org</t>
  </si>
  <si>
    <t>+918160731829, +919920353009</t>
  </si>
  <si>
    <t>Father Dr. Francis Swamy S.J., Jude Fernandes</t>
  </si>
  <si>
    <t>contact@htmarysicse.com, principal@campionmumbai.org</t>
  </si>
  <si>
    <t>+919819326736, +919920353009</t>
  </si>
  <si>
    <t>Elias</t>
  </si>
  <si>
    <t>contact@htmarysicse.com</t>
  </si>
  <si>
    <t>+919820002305</t>
  </si>
  <si>
    <t>13 Cooperage Road Fort</t>
  </si>
  <si>
    <t>MUMC03444A</t>
  </si>
  <si>
    <t>The Global Edge School, Vasanth Nagar</t>
  </si>
  <si>
    <t>IN-2022001856</t>
  </si>
  <si>
    <t>33231</t>
  </si>
  <si>
    <t>332310</t>
  </si>
  <si>
    <t>299079</t>
  </si>
  <si>
    <t>22028000021930388</t>
  </si>
  <si>
    <t>51788000002801798</t>
  </si>
  <si>
    <t>zcrm_51788000266680311</t>
  </si>
  <si>
    <t>2024-04-24 10:21:51</t>
  </si>
  <si>
    <t>Ms. Roshni Ramachandran</t>
  </si>
  <si>
    <t>headmistress.vn@globaledgeschool.com</t>
  </si>
  <si>
    <t>Mr. Pavan</t>
  </si>
  <si>
    <t>pavan.vn@globaledgeschool.com</t>
  </si>
  <si>
    <t>+919573376077</t>
  </si>
  <si>
    <t>Sy no. 145, IDPL employees cooperative society, Vasanth nagar, Kukatpally</t>
  </si>
  <si>
    <t>500072</t>
  </si>
  <si>
    <t>St Joseph school for Excellence</t>
  </si>
  <si>
    <t>IN-2022001705</t>
  </si>
  <si>
    <t>1440</t>
  </si>
  <si>
    <t>155060</t>
  </si>
  <si>
    <t>2024-12-03 00:00:00</t>
  </si>
  <si>
    <t>2025-02-14 00:00:00</t>
  </si>
  <si>
    <t>620240</t>
  </si>
  <si>
    <t>299145</t>
  </si>
  <si>
    <t>321095</t>
  </si>
  <si>
    <t>0.528</t>
  </si>
  <si>
    <t>22028000021646504</t>
  </si>
  <si>
    <t>51788000002802176</t>
  </si>
  <si>
    <t>zcrm_51788000265597111</t>
  </si>
  <si>
    <t>2024-04-03 14:51:51</t>
  </si>
  <si>
    <t>Sister Cynthia</t>
  </si>
  <si>
    <t>sjisebhopalmp@gmail.com</t>
  </si>
  <si>
    <t>+919302467332</t>
  </si>
  <si>
    <t>info@stjosephexcel.com</t>
  </si>
  <si>
    <t>52200</t>
  </si>
  <si>
    <t>Taraisewaniya, Near Airport</t>
  </si>
  <si>
    <t>462030</t>
  </si>
  <si>
    <t>IN-2022002392</t>
  </si>
  <si>
    <t>2024-08-13 00:00:00</t>
  </si>
  <si>
    <t>51096</t>
  </si>
  <si>
    <t>53896</t>
  </si>
  <si>
    <t>-2800</t>
  </si>
  <si>
    <t>0.45189999999999997</t>
  </si>
  <si>
    <t>0.3519</t>
  </si>
  <si>
    <t>Bangalore</t>
  </si>
  <si>
    <t>2025-03-22 00:00:00</t>
  </si>
  <si>
    <t>22028000023819552</t>
  </si>
  <si>
    <t>51788000002802336</t>
  </si>
  <si>
    <t>zcrm_51788000266770678</t>
  </si>
  <si>
    <t>2024-07-31 14:51:36</t>
  </si>
  <si>
    <t>Shailaja .</t>
  </si>
  <si>
    <t>hos.kkb@ked.edu.in</t>
  </si>
  <si>
    <t>+918130618383</t>
  </si>
  <si>
    <t>info.kkb@ked.edu.in</t>
  </si>
  <si>
    <t>92/1, Sarjapur Chandapura road, Muthanallur cross</t>
  </si>
  <si>
    <t>Delhi Public School, Dwarka Expressway</t>
  </si>
  <si>
    <t>IN-2022001796</t>
  </si>
  <si>
    <t>490</t>
  </si>
  <si>
    <t>997</t>
  </si>
  <si>
    <t>174443</t>
  </si>
  <si>
    <t>2024-10-24 00:00:00</t>
  </si>
  <si>
    <t>1898765</t>
  </si>
  <si>
    <t>1714027</t>
  </si>
  <si>
    <t>10295</t>
  </si>
  <si>
    <t>0.706</t>
  </si>
  <si>
    <t>0.556</t>
  </si>
  <si>
    <t>22028000021863952</t>
  </si>
  <si>
    <t>51788000002802366</t>
  </si>
  <si>
    <t>zcrm_51788000267844051</t>
  </si>
  <si>
    <t>vibhor.tyagi_ei</t>
  </si>
  <si>
    <t>vibhor.tyagi@ei.study</t>
  </si>
  <si>
    <t>Vibhor tyagi</t>
  </si>
  <si>
    <t>2024-04-06 09:44:00</t>
  </si>
  <si>
    <t>Mr. Nitin Sawhney</t>
  </si>
  <si>
    <t>nitinsawhney@dpsgurgaon.in</t>
  </si>
  <si>
    <t>+918130314455</t>
  </si>
  <si>
    <t>171000</t>
  </si>
  <si>
    <t>Sector 103, Dwarka Expy, Gurugram, Haryana 122006</t>
  </si>
  <si>
    <t>122006</t>
  </si>
  <si>
    <t>Paramount School</t>
  </si>
  <si>
    <t>IN-2022001833</t>
  </si>
  <si>
    <t>61202</t>
  </si>
  <si>
    <t>244808</t>
  </si>
  <si>
    <t>254636</t>
  </si>
  <si>
    <t>-9828</t>
  </si>
  <si>
    <t>0.4252</t>
  </si>
  <si>
    <t>Kalimpong</t>
  </si>
  <si>
    <t>22028000021911676</t>
  </si>
  <si>
    <t>51788000002802381</t>
  </si>
  <si>
    <t>zcrm_51788000267775928</t>
  </si>
  <si>
    <t>2024-04-13 11:46:56</t>
  </si>
  <si>
    <t>Mr. Anupam Lama</t>
  </si>
  <si>
    <t>paramountkpg@gmail.com</t>
  </si>
  <si>
    <t>+919832074908</t>
  </si>
  <si>
    <t>Rahul sharma</t>
  </si>
  <si>
    <t>raeuls@gmail.com</t>
  </si>
  <si>
    <t>+919593222162</t>
  </si>
  <si>
    <t>Rinkinpong Rd, Kalimpong,Kashmahal</t>
  </si>
  <si>
    <t>734301</t>
  </si>
  <si>
    <t>Mind Tree School, Naraingarh</t>
  </si>
  <si>
    <t>IN-2022001882</t>
  </si>
  <si>
    <t>76950</t>
  </si>
  <si>
    <t>Naraingarh</t>
  </si>
  <si>
    <t>22028000021976088</t>
  </si>
  <si>
    <t>51788000002802403</t>
  </si>
  <si>
    <t>zcrm_51788000268010012</t>
  </si>
  <si>
    <t>2024-06-05 10:57:31</t>
  </si>
  <si>
    <t>Manish Aggarwal</t>
  </si>
  <si>
    <t>mindtree.ngh@gmail.com</t>
  </si>
  <si>
    <t>+919996331271</t>
  </si>
  <si>
    <t>Ambala, Haryana 134203</t>
  </si>
  <si>
    <t>134203</t>
  </si>
  <si>
    <t>The Infinity School</t>
  </si>
  <si>
    <t>IN-2022001717, IN-2022001719</t>
  </si>
  <si>
    <t>2024-04-15 00:00:00, 2024-04-20 00:00:00</t>
  </si>
  <si>
    <t>147000, 72000</t>
  </si>
  <si>
    <t>2024-07-15 00:00:00, 2024-07-20 00:00:00</t>
  </si>
  <si>
    <t>2024-10-15 00:00:00, 2024-10-20 00:00:00</t>
  </si>
  <si>
    <t>2024-12-20 00:00:00, 2024-12-30 00:00:00</t>
  </si>
  <si>
    <t>21600, 41028</t>
  </si>
  <si>
    <t>2025-08-11 00:00:00, 2025-08-12 00:00:00</t>
  </si>
  <si>
    <t>288000, 588000</t>
  </si>
  <si>
    <t>259200, 491872</t>
  </si>
  <si>
    <t>55100, 7200</t>
  </si>
  <si>
    <t>0.4, 0.52</t>
  </si>
  <si>
    <t>22028000021670416, 22028000021670556</t>
  </si>
  <si>
    <t>51788000002802559</t>
  </si>
  <si>
    <t>zcrm_51788000266862001, zcrm_51788000266862272</t>
  </si>
  <si>
    <t>2024-03-22 12:10:06, 2024-03-22 12:10:13</t>
  </si>
  <si>
    <t>Mr. Harinder Chhabra</t>
  </si>
  <si>
    <t>harinder.chhabra@theinfinityschool.org</t>
  </si>
  <si>
    <t>+919604512846</t>
  </si>
  <si>
    <t>finance@theinfinityschool.org</t>
  </si>
  <si>
    <t>Ms. Upasana Bhattacharya</t>
  </si>
  <si>
    <t>upasana.bhattacharya@theinfinityschool.org</t>
  </si>
  <si>
    <t>HS-04, Tech Zone 7, Greater Noida (West), Uttar Pradesh 203207</t>
  </si>
  <si>
    <t>203207</t>
  </si>
  <si>
    <t>MRTV03878A</t>
  </si>
  <si>
    <t>KLE Society’s Basava Residential Girls School - Kengeri</t>
  </si>
  <si>
    <t>IN-2022002423</t>
  </si>
  <si>
    <t>35604</t>
  </si>
  <si>
    <t>7246.3</t>
  </si>
  <si>
    <t>71208</t>
  </si>
  <si>
    <t>65216.7</t>
  </si>
  <si>
    <t>-1255</t>
  </si>
  <si>
    <t>0.7927</t>
  </si>
  <si>
    <t>22028000024106560</t>
  </si>
  <si>
    <t>51788000002802584</t>
  </si>
  <si>
    <t>zcrm_51788000272985027</t>
  </si>
  <si>
    <t>2024-08-14 10:57:39</t>
  </si>
  <si>
    <t>basavaresidentialgirlschool@gmail.com</t>
  </si>
  <si>
    <t>BRGS, Doddabele, Kengeri</t>
  </si>
  <si>
    <t>560060</t>
  </si>
  <si>
    <t>Prakriti School - Sec-128</t>
  </si>
  <si>
    <t>IN-2022001797</t>
  </si>
  <si>
    <t>520</t>
  </si>
  <si>
    <t>1386</t>
  </si>
  <si>
    <t>2114</t>
  </si>
  <si>
    <t>101186</t>
  </si>
  <si>
    <t>404744</t>
  </si>
  <si>
    <t>91943</t>
  </si>
  <si>
    <t>312801</t>
  </si>
  <si>
    <t>0.6536</t>
  </si>
  <si>
    <t>0.5536</t>
  </si>
  <si>
    <t>22028000021867468</t>
  </si>
  <si>
    <t>51788000002802587</t>
  </si>
  <si>
    <t>zcrm_51788000267799121</t>
  </si>
  <si>
    <t>2024-04-05 09:41:45</t>
  </si>
  <si>
    <t>Mr.Mridul Batra</t>
  </si>
  <si>
    <t>mridul@prakriti.org.in</t>
  </si>
  <si>
    <t>+918800990777</t>
  </si>
  <si>
    <t>info@prakriti.org.in</t>
  </si>
  <si>
    <t>Prakriti Xway, c/o JDM Foundation, Sector 128</t>
  </si>
  <si>
    <t>Krishna English Medium School</t>
  </si>
  <si>
    <t>IN-2022002180</t>
  </si>
  <si>
    <t>1054</t>
  </si>
  <si>
    <t>2144</t>
  </si>
  <si>
    <t>338203</t>
  </si>
  <si>
    <t>2024-07-27 00:00:00</t>
  </si>
  <si>
    <t>2024-11-21 00:00:00</t>
  </si>
  <si>
    <t>676406</t>
  </si>
  <si>
    <t>423020</t>
  </si>
  <si>
    <t>253386</t>
  </si>
  <si>
    <t>0.29719999999999996</t>
  </si>
  <si>
    <t>0.24719999999999998</t>
  </si>
  <si>
    <t>22028000022859696</t>
  </si>
  <si>
    <t>51788000002802793</t>
  </si>
  <si>
    <t>zcrm_51788000266227110</t>
  </si>
  <si>
    <t>Gaurav Muliya</t>
  </si>
  <si>
    <t>2024-06-19 12:59:38</t>
  </si>
  <si>
    <t>Mr. Chirag Koshiya</t>
  </si>
  <si>
    <t>bntkindergarten@gmail.com</t>
  </si>
  <si>
    <t>+918238710675</t>
  </si>
  <si>
    <t>Pedak Road, Nr Pani no Ghodo, Opp Balak Hanuman Temple</t>
  </si>
  <si>
    <t>360003</t>
  </si>
  <si>
    <t>Pragyan School</t>
  </si>
  <si>
    <t>2024-03-14 00:00:00</t>
  </si>
  <si>
    <t>IN-2022001645, IN-2022001646, IN-2022001647, IN-2022001648</t>
  </si>
  <si>
    <t>1344, 1791, 896</t>
  </si>
  <si>
    <t>1913</t>
  </si>
  <si>
    <t>10178, 3520, 4048, 949</t>
  </si>
  <si>
    <t>214963, 236460, 50158, 632078</t>
  </si>
  <si>
    <t>172480, 198376, 46522, 590296</t>
  </si>
  <si>
    <t>2687, 31604, 34036, 38963</t>
  </si>
  <si>
    <t>0.4033, 0.478</t>
  </si>
  <si>
    <t>0.30329999999999996, 0.37799999999999995</t>
  </si>
  <si>
    <t>22028000021558260, 22028000021558304, 22028000021558336, 22028000021558380</t>
  </si>
  <si>
    <t>51788000002735888</t>
  </si>
  <si>
    <t>zcrm_51788000266669001, zcrm_51788000266682001, zcrm_51788000266682132, zcrm_51788000266682269</t>
  </si>
  <si>
    <t>2024-03-18 15:47:05, 2024-03-18 15:47:11, 2024-03-18 15:47:22, 2024-03-18 16:17:11</t>
  </si>
  <si>
    <t>Ramchand</t>
  </si>
  <si>
    <t>ramchand@pragyanschool.com</t>
  </si>
  <si>
    <t>+919891959399, +919910272118</t>
  </si>
  <si>
    <t>info@pragyanschool.com</t>
  </si>
  <si>
    <t>Sector Gamma 1</t>
  </si>
  <si>
    <t>DELH04352F</t>
  </si>
  <si>
    <t>Little Flower Higher Secondary School</t>
  </si>
  <si>
    <t>2024-02-15 00:00:00, 2024-02-16 00:00:00, 2024-06-04 00:00:00</t>
  </si>
  <si>
    <t>IN-2022001503, IN-2022001505, IN-2022002164</t>
  </si>
  <si>
    <t>0, 1425, 1750</t>
  </si>
  <si>
    <t>0, 576625, 67690</t>
  </si>
  <si>
    <t>0, 33635, 4039</t>
  </si>
  <si>
    <t>2024-02-19 00:00:00, 2024-07-26 00:00:00</t>
  </si>
  <si>
    <t>0, 2306500, 270760</t>
  </si>
  <si>
    <t>0, 197962.13, 2305993.13</t>
  </si>
  <si>
    <t>-33128, 0, 68759</t>
  </si>
  <si>
    <t>0.45189999999999997, 0.5, 1</t>
  </si>
  <si>
    <t>Dibrugarh</t>
  </si>
  <si>
    <t>22028000021083296, 22028000021094064, 22028000022813420</t>
  </si>
  <si>
    <t>51788000002735904</t>
  </si>
  <si>
    <t>zcrm_51788000265320027, zcrm_51788000265320164, zcrm_51788000270136001</t>
  </si>
  <si>
    <t>2024-02-20 10:46:54, 2024-02-20 10:46:58, 2024-06-07 10:00:51</t>
  </si>
  <si>
    <t>Sr. nelia Mary</t>
  </si>
  <si>
    <t>littleflower.dib@gmail.com</t>
  </si>
  <si>
    <t>+919435330013</t>
  </si>
  <si>
    <t>Moumita Sengupta</t>
  </si>
  <si>
    <t>rumpa.sengupta704@gmail.com</t>
  </si>
  <si>
    <t>+919101680424</t>
  </si>
  <si>
    <t>K C Gogoi Path, Kadomoni</t>
  </si>
  <si>
    <t>786001</t>
  </si>
  <si>
    <t>K C Gogoi Path, running gate, kodomoni</t>
  </si>
  <si>
    <t>SHLS08975B</t>
  </si>
  <si>
    <t>The Westwood School</t>
  </si>
  <si>
    <t>IN-2022002015</t>
  </si>
  <si>
    <t>704035</t>
  </si>
  <si>
    <t>691000</t>
  </si>
  <si>
    <t>13035</t>
  </si>
  <si>
    <t>22028000022381204</t>
  </si>
  <si>
    <t>51788000002803791</t>
  </si>
  <si>
    <t>zcrm_51788000267476180</t>
  </si>
  <si>
    <t>2024-05-08 16:17:03</t>
  </si>
  <si>
    <t>Ms. Bindi Thomas</t>
  </si>
  <si>
    <t>seekingconsultancy@gmail.com</t>
  </si>
  <si>
    <t>+919825936762</t>
  </si>
  <si>
    <t>info@thewestwoodschool.co.in</t>
  </si>
  <si>
    <t>C/O The Consultant, Kailash Shikhar, SUN Pharma Road, Atladara</t>
  </si>
  <si>
    <t>390012</t>
  </si>
  <si>
    <t>Rajkot Morbi Highway, Near ADB Hotel</t>
  </si>
  <si>
    <t>360006</t>
  </si>
  <si>
    <t>C/O The Consultant, Kailash Shikhar, SUN Pharma Road, Atladara, Vadodara</t>
  </si>
  <si>
    <t>Father Agnel School</t>
  </si>
  <si>
    <t>IN-2022001988</t>
  </si>
  <si>
    <t>367479</t>
  </si>
  <si>
    <t>2024-08-16 00:00:00</t>
  </si>
  <si>
    <t>36748</t>
  </si>
  <si>
    <t>734958</t>
  </si>
  <si>
    <t>330731</t>
  </si>
  <si>
    <t>0.6315999999999999</t>
  </si>
  <si>
    <t>0.5316</t>
  </si>
  <si>
    <t>22028000022327032</t>
  </si>
  <si>
    <t>51788000002735913</t>
  </si>
  <si>
    <t>zcrm_51788000269095027</t>
  </si>
  <si>
    <t>2024-05-03 13:44:40</t>
  </si>
  <si>
    <t>Josy Joseph</t>
  </si>
  <si>
    <t>josy.joseph@agnelgreaternoida.org</t>
  </si>
  <si>
    <t>+918802994999</t>
  </si>
  <si>
    <t>royvarghesekollam@gmail.com</t>
  </si>
  <si>
    <t>Fr. Agnel SchoolPocket -FBeta-IIGREATER NOIDA</t>
  </si>
  <si>
    <t>Cambridge School, Indirapuram</t>
  </si>
  <si>
    <t>IN-2022001980</t>
  </si>
  <si>
    <t>213750</t>
  </si>
  <si>
    <t>498750</t>
  </si>
  <si>
    <t>14250</t>
  </si>
  <si>
    <t>2025-01-22 00:00:00</t>
  </si>
  <si>
    <t>712500</t>
  </si>
  <si>
    <t>698250</t>
  </si>
  <si>
    <t>22028000022319200</t>
  </si>
  <si>
    <t>51788000002735919</t>
  </si>
  <si>
    <t>zcrm_51788000269032298</t>
  </si>
  <si>
    <t>2024-05-14 12:37:36</t>
  </si>
  <si>
    <t>Mrs. Hardeep Kaur</t>
  </si>
  <si>
    <t>principal.csi@cambridgeschool.edu.in</t>
  </si>
  <si>
    <t>+919818191692</t>
  </si>
  <si>
    <t>pmalhotra.sae@cambridgeschool.edu.in</t>
  </si>
  <si>
    <t>Ms Neelam Singh</t>
  </si>
  <si>
    <t>neelam.csi@gmail.com</t>
  </si>
  <si>
    <t>+919871105361</t>
  </si>
  <si>
    <t>Vijay Laxmi Pandit Marg,Shakti Khand 2, Indirapuram, Ghaziabad, Uttar Pradesh</t>
  </si>
  <si>
    <t>201010</t>
  </si>
  <si>
    <t>Shakti Khand Ii, Indirapuram, Ghaziabad, Uttar Pradesh</t>
  </si>
  <si>
    <t>MRTC00226C</t>
  </si>
  <si>
    <t>Khaitan Public School</t>
  </si>
  <si>
    <t>2024-04-18 00:00:00, 2024-04-23 00:00:00</t>
  </si>
  <si>
    <t>IN-2022001940, IN-2022001957</t>
  </si>
  <si>
    <t>600, 792</t>
  </si>
  <si>
    <t>686</t>
  </si>
  <si>
    <t>2024-03-31 00:00:00, 2024-04-26 00:00:00</t>
  </si>
  <si>
    <t>0, 136136</t>
  </si>
  <si>
    <t>2024-03-12 00:00:00, 2024-04-29 00:00:00</t>
  </si>
  <si>
    <t>2024-04-29 00:00:00, 2024-09-27 00:00:00</t>
  </si>
  <si>
    <t>1391148, 3000</t>
  </si>
  <si>
    <t>1225217, 3000</t>
  </si>
  <si>
    <t>0, 29795</t>
  </si>
  <si>
    <t>0.5, 0.5133</t>
  </si>
  <si>
    <t>0.31329999999999997, 0.5</t>
  </si>
  <si>
    <t>22028000022145520, 22028000022224032</t>
  </si>
  <si>
    <t>51788000002735921</t>
  </si>
  <si>
    <t>zcrm_51788000265277470, zcrm_51788000268635509</t>
  </si>
  <si>
    <t>maruf.shaikh1, mitul.patel_ei1</t>
  </si>
  <si>
    <t>2024-04-20 10:05:46, 2024-04-26 09:28:50</t>
  </si>
  <si>
    <t>Mr. Akhsat Tewari, Mr. Akshat Tewari</t>
  </si>
  <si>
    <t>director.curri@khaitanec.com</t>
  </si>
  <si>
    <t>+919873301088</t>
  </si>
  <si>
    <t>admission@khaitanpublicschool.com</t>
  </si>
  <si>
    <t>123000</t>
  </si>
  <si>
    <t>Sector 5,Rajendra Nagar, Sahibabad</t>
  </si>
  <si>
    <t>201005</t>
  </si>
  <si>
    <t>DLF Public School</t>
  </si>
  <si>
    <t>IN-2022001737, IN-2022001748, IN-2022001749, IN-2022001750, IN-2022001752</t>
  </si>
  <si>
    <t>0, 120360, 226403, 320809, 57900</t>
  </si>
  <si>
    <t>0, 50000</t>
  </si>
  <si>
    <t>2024-08-28 00:00:00, 2025-10-17 00:00:00</t>
  </si>
  <si>
    <t>0, 1283236, 231600, 481440, 905612</t>
  </si>
  <si>
    <t>0, 424803, 450000</t>
  </si>
  <si>
    <t>0, 1283236, 231600, 405612, 6637</t>
  </si>
  <si>
    <t>0.4792, 0.7, 0.7417, 0.7978000000000001, 1</t>
  </si>
  <si>
    <t>0.4292, 0.65, 0.6917, 0.6978, 1</t>
  </si>
  <si>
    <t>22028000021730432, 22028000021730908, 22028000021730980, 22028000021745072, 22028000021745216</t>
  </si>
  <si>
    <t>51788000002735922</t>
  </si>
  <si>
    <t>zcrm_51788000267489001, zcrm_51788000267489132, zcrm_51788000267489269, zcrm_51788000267489400, zcrm_51788000267489531</t>
  </si>
  <si>
    <t>2024-03-28 11:47:05, 2024-03-28 11:47:11, 2024-03-28 11:47:17, 2024-03-28 11:47:23, 2024-03-28 11:47:29</t>
  </si>
  <si>
    <t>contactus@dlps.co.in</t>
  </si>
  <si>
    <t>Mrs. Mrignaini Ma'am</t>
  </si>
  <si>
    <t>Ms. Chhavi</t>
  </si>
  <si>
    <t>chhavi.kumar@dlps.co.in</t>
  </si>
  <si>
    <t>+919899643648</t>
  </si>
  <si>
    <t>Sector-2, Rajender Nagar,Sahibabad</t>
  </si>
  <si>
    <t>Rajender Nagar,Sahibabad</t>
  </si>
  <si>
    <t>Millennium World School-Moradabad</t>
  </si>
  <si>
    <t>2023-12-01 00:00:00</t>
  </si>
  <si>
    <t>Ei CARES,Ei Mindspark</t>
  </si>
  <si>
    <t>IN-2022001324</t>
  </si>
  <si>
    <t>1049</t>
  </si>
  <si>
    <t>2024-03-09 00:00:00</t>
  </si>
  <si>
    <t>187217</t>
  </si>
  <si>
    <t>11664</t>
  </si>
  <si>
    <t>748868</t>
  </si>
  <si>
    <t>288662</t>
  </si>
  <si>
    <t>448542</t>
  </si>
  <si>
    <t>0.563</t>
  </si>
  <si>
    <t>Moradabad</t>
  </si>
  <si>
    <t>22028000020129920</t>
  </si>
  <si>
    <t>51788000002803993</t>
  </si>
  <si>
    <t>zcrm_51788000261149423</t>
  </si>
  <si>
    <t>2024-01-09 11:30:51</t>
  </si>
  <si>
    <t>Ms. Jyoti Chakraborty</t>
  </si>
  <si>
    <t>Millennium.moradabad@gmail.com</t>
  </si>
  <si>
    <t>+919837193555</t>
  </si>
  <si>
    <t>info.moradabad@millenniumworldschool.com</t>
  </si>
  <si>
    <t>Danish Khan</t>
  </si>
  <si>
    <t>+919045997679</t>
  </si>
  <si>
    <t>Near IFTM University, Next to CNG Station, Chaudharpur, Amroha, NH-24, Delhi Highway, Moradabad</t>
  </si>
  <si>
    <t>244102</t>
  </si>
  <si>
    <t>Air Force School Tezpur</t>
  </si>
  <si>
    <t>2024-07-23 00:00:00, 2024-10-24 00:00:00</t>
  </si>
  <si>
    <t>IN-2022002370, IN-2022002550</t>
  </si>
  <si>
    <t>1525, 318</t>
  </si>
  <si>
    <t>2000-01-01 00:00:00, 2024-08-12 00:00:00</t>
  </si>
  <si>
    <t>0, 41852</t>
  </si>
  <si>
    <t>2000-01-01 00:00:00, 2024-12-20 00:00:00</t>
  </si>
  <si>
    <t>2025-02-25 00:00:00</t>
  </si>
  <si>
    <t>167408, 33012</t>
  </si>
  <si>
    <t>0, 187820</t>
  </si>
  <si>
    <t>-20412, 33012</t>
  </si>
  <si>
    <t>0.75, 0.8957999999999999</t>
  </si>
  <si>
    <t>2024-08-01 00:00:00, 2024-11-01 00:00:00</t>
  </si>
  <si>
    <t>2025-09-11 00:00:00</t>
  </si>
  <si>
    <t>22028000023712236, 22028000025720116</t>
  </si>
  <si>
    <t>51788000002805337</t>
  </si>
  <si>
    <t>zcrm_51788000268546657</t>
  </si>
  <si>
    <t>2024-08-12 13:41:20, 2024-11-07 12:39:54</t>
  </si>
  <si>
    <t>Mrs. Lidya John</t>
  </si>
  <si>
    <t>afschooltezpur1971@gmail.com</t>
  </si>
  <si>
    <t>+918403835598</t>
  </si>
  <si>
    <t>Brij Rathore</t>
  </si>
  <si>
    <t>+916375692117</t>
  </si>
  <si>
    <t>17000</t>
  </si>
  <si>
    <t>No. 11 Wing C/O 99 A P O</t>
  </si>
  <si>
    <t>784104</t>
  </si>
  <si>
    <t>Apex Academy</t>
  </si>
  <si>
    <t>2024-03-30 00:00:00, 2024-04-17 00:00:00</t>
  </si>
  <si>
    <t>IN-2022001780, IN-2022001926</t>
  </si>
  <si>
    <t>1603</t>
  </si>
  <si>
    <t>2024-04-25 00:00:00, 2024-04-29 00:00:00</t>
  </si>
  <si>
    <t>222853, 62832</t>
  </si>
  <si>
    <t>2024-06-29 00:00:00, 2024-07-23 00:00:00</t>
  </si>
  <si>
    <t>222853, 60984</t>
  </si>
  <si>
    <t>2024-08-30 00:00:00, 2024-10-23 00:00:00</t>
  </si>
  <si>
    <t>2000-01-01 00:00:00, 2024-12-24 00:00:00</t>
  </si>
  <si>
    <t>0, 222853</t>
  </si>
  <si>
    <t>45107, 6283</t>
  </si>
  <si>
    <t>2025-01-13 00:00:00, 2025-03-17 00:00:00</t>
  </si>
  <si>
    <t>184800, 891412</t>
  </si>
  <si>
    <t>366034, 599136</t>
  </si>
  <si>
    <t>-187517, 247169</t>
  </si>
  <si>
    <t>0.4879, 0.6</t>
  </si>
  <si>
    <t>Purba Medinipur</t>
  </si>
  <si>
    <t>2024-04-08 00:00:00, 2024-04-30 00:00:00</t>
  </si>
  <si>
    <t>22028000021836820, 22028000022129184</t>
  </si>
  <si>
    <t>51788000244468781</t>
  </si>
  <si>
    <t>zcrm_51788000267796020, zcrm_51788000268581182</t>
  </si>
  <si>
    <t>2024-04-17 10:07:12, 2024-04-20 11:15:09</t>
  </si>
  <si>
    <t>Mrs. Nayantara Roy</t>
  </si>
  <si>
    <t>principal.apexacademy@gmail.com</t>
  </si>
  <si>
    <t>+917431826949</t>
  </si>
  <si>
    <t>Dipankar</t>
  </si>
  <si>
    <t>+917407940696</t>
  </si>
  <si>
    <t>Madhyahingli, Mahishadal</t>
  </si>
  <si>
    <t>721628</t>
  </si>
  <si>
    <t>CALA11989F</t>
  </si>
  <si>
    <t>Brookfield High School</t>
  </si>
  <si>
    <t>IN-2022002292, IN-2022002294</t>
  </si>
  <si>
    <t>1000, 2000</t>
  </si>
  <si>
    <t>2024-09-01 00:00:00, 2024-09-02 00:00:00</t>
  </si>
  <si>
    <t>114000, 141500</t>
  </si>
  <si>
    <t>0, 1415</t>
  </si>
  <si>
    <t>2024-07-05 00:00:00, 2025-01-09 00:00:00</t>
  </si>
  <si>
    <t>228000, 283000</t>
  </si>
  <si>
    <t>481585, 58250</t>
  </si>
  <si>
    <t>-200000, 169750</t>
  </si>
  <si>
    <t>22028000023208928, 22028000023235032</t>
  </si>
  <si>
    <t>51788000002807440</t>
  </si>
  <si>
    <t>zcrm_51788000271110022, zcrm_51788000271316013</t>
  </si>
  <si>
    <t>2024-06-29 14:08:35, 2024-06-29 14:10:51</t>
  </si>
  <si>
    <t>Mrs. Keerthi Sachin</t>
  </si>
  <si>
    <t>brookfieldhigh9@brookfieldhigh.com</t>
  </si>
  <si>
    <t>+919845084559</t>
  </si>
  <si>
    <t>careers@brookfieldhigh.com</t>
  </si>
  <si>
    <t>Singena Agrahara Road,Via Huskur Road/A.P.M.C. Yard,Electronic City P.O., Bengaluru, Karnataka</t>
  </si>
  <si>
    <t>560099</t>
  </si>
  <si>
    <t>Choprajhar Green Valley Academy</t>
  </si>
  <si>
    <t>IN-2022002068</t>
  </si>
  <si>
    <t>1040</t>
  </si>
  <si>
    <t>65263</t>
  </si>
  <si>
    <t>2025-03-19 00:00:00</t>
  </si>
  <si>
    <t>261052</t>
  </si>
  <si>
    <t>194227</t>
  </si>
  <si>
    <t>66825</t>
  </si>
  <si>
    <t>0.42219999999999996</t>
  </si>
  <si>
    <t>Islampur</t>
  </si>
  <si>
    <t>22028000022602224</t>
  </si>
  <si>
    <t>51788000002808171</t>
  </si>
  <si>
    <t>zcrm_51788000269913112</t>
  </si>
  <si>
    <t>2024-05-27 09:56:55</t>
  </si>
  <si>
    <t>Mr. Rupendu Mallick Thakur</t>
  </si>
  <si>
    <t>greenvalleyisp@gmail.com</t>
  </si>
  <si>
    <t>+918617428281</t>
  </si>
  <si>
    <t>choprajhargva@gmail.com</t>
  </si>
  <si>
    <t>P.O- Dimrulla,P.S- Islampur, Dist- Uttar Dinajpur (Wb) Pin-733202</t>
  </si>
  <si>
    <t>733202</t>
  </si>
  <si>
    <t>Uttar Dinajpur</t>
  </si>
  <si>
    <t>Delhi Public School Nashik, Village Manori</t>
  </si>
  <si>
    <t>2024-02-17 00:00:00</t>
  </si>
  <si>
    <t>IN-2022001508</t>
  </si>
  <si>
    <t>3515</t>
  </si>
  <si>
    <t>344466</t>
  </si>
  <si>
    <t>332294</t>
  </si>
  <si>
    <t>8657</t>
  </si>
  <si>
    <t>Nagpur</t>
  </si>
  <si>
    <t>22028000021091964</t>
  </si>
  <si>
    <t>51788000002808852</t>
  </si>
  <si>
    <t>zcrm_51788000265123754</t>
  </si>
  <si>
    <t>2024-03-28 00:11:51</t>
  </si>
  <si>
    <t>Aarti Sharma</t>
  </si>
  <si>
    <t>arti.sharma@dpsnashik.in</t>
  </si>
  <si>
    <t>+918237412938</t>
  </si>
  <si>
    <t>dean@dpsnashik.in</t>
  </si>
  <si>
    <t>Shilpa Ahiray</t>
  </si>
  <si>
    <t>Himgiri Goods Pvt. Ltd c/o Delhi Public School Lava Nagpur pre-primary Branch</t>
  </si>
  <si>
    <t>422606</t>
  </si>
  <si>
    <t>Behind Maharashtra University Of Health Sciences, Dindori Rd, Nashik, Maharashtra 422004</t>
  </si>
  <si>
    <t>422004</t>
  </si>
  <si>
    <t>Civil Lines</t>
  </si>
  <si>
    <t>Village Manori</t>
  </si>
  <si>
    <t>Dps Bangalore South School</t>
  </si>
  <si>
    <t>IN-2022001643</t>
  </si>
  <si>
    <t>310919</t>
  </si>
  <si>
    <t>725477</t>
  </si>
  <si>
    <t>20728</t>
  </si>
  <si>
    <t>1036396</t>
  </si>
  <si>
    <t>1015668</t>
  </si>
  <si>
    <t>22028000021544248</t>
  </si>
  <si>
    <t>51788000002809391</t>
  </si>
  <si>
    <t>zcrm_51788000266736707</t>
  </si>
  <si>
    <t>2024-03-19 10:15:41</t>
  </si>
  <si>
    <t>Ms. Anita Bijesh</t>
  </si>
  <si>
    <t>principal@south.dpsbangalore.edu.in</t>
  </si>
  <si>
    <t>+918026668582</t>
  </si>
  <si>
    <t>Bikaspura Main Road</t>
  </si>
  <si>
    <t>Emmanuel Convent School</t>
  </si>
  <si>
    <t>IN-2022002061</t>
  </si>
  <si>
    <t>60528</t>
  </si>
  <si>
    <t>2025-04-04 00:00:00</t>
  </si>
  <si>
    <t>242112</t>
  </si>
  <si>
    <t>242111</t>
  </si>
  <si>
    <t>22028000022569804</t>
  </si>
  <si>
    <t>51788000002809668</t>
  </si>
  <si>
    <t>zcrm_51788000269796470</t>
  </si>
  <si>
    <t>2024-05-28 10:18:56</t>
  </si>
  <si>
    <t>Emmanuel more, Anand Nagar Siwan Bihar</t>
  </si>
  <si>
    <t>Emmanuel Office, 1st Floor , M.M. Clinic, Ali Nagar Gate No 2, Near Alinagar Masjid. Anishabad,</t>
  </si>
  <si>
    <t>Golden Era Millennium School</t>
  </si>
  <si>
    <t>IN-2022002002</t>
  </si>
  <si>
    <t>2154</t>
  </si>
  <si>
    <t>162661</t>
  </si>
  <si>
    <t>2025-05-25 00:00:00</t>
  </si>
  <si>
    <t>650644</t>
  </si>
  <si>
    <t>539202</t>
  </si>
  <si>
    <t>111442</t>
  </si>
  <si>
    <t>0.6289</t>
  </si>
  <si>
    <t>Malerkotla</t>
  </si>
  <si>
    <t>22028000022349328</t>
  </si>
  <si>
    <t>51788000002810455</t>
  </si>
  <si>
    <t>zcrm_51788000269056655</t>
  </si>
  <si>
    <t>2024-05-04 11:11:15</t>
  </si>
  <si>
    <t>Mr. Jaandeep Sandhu</t>
  </si>
  <si>
    <t>gems.exam321@gmail.com</t>
  </si>
  <si>
    <t>+919115590025</t>
  </si>
  <si>
    <t>gemsschoolindia@gmail.com</t>
  </si>
  <si>
    <t>Malerkotla, Raikot Road</t>
  </si>
  <si>
    <t>148023</t>
  </si>
  <si>
    <t>Gurukula International School</t>
  </si>
  <si>
    <t>IN-2022001499</t>
  </si>
  <si>
    <t>769</t>
  </si>
  <si>
    <t>667</t>
  </si>
  <si>
    <t>328607</t>
  </si>
  <si>
    <t>82152</t>
  </si>
  <si>
    <t>2024-03-16 00:00:00</t>
  </si>
  <si>
    <t>410759</t>
  </si>
  <si>
    <t>410087</t>
  </si>
  <si>
    <t>0.48700000000000004</t>
  </si>
  <si>
    <t>0.43700000000000006</t>
  </si>
  <si>
    <t>Hassan</t>
  </si>
  <si>
    <t>22028000021084168</t>
  </si>
  <si>
    <t>51788000002810872</t>
  </si>
  <si>
    <t>zcrm_51788000265093032</t>
  </si>
  <si>
    <t>2024-03-19 13:34:42</t>
  </si>
  <si>
    <t>Mr. Vijaya Kumar BV</t>
  </si>
  <si>
    <t>vijaykumarbislehalli@gmail.com</t>
  </si>
  <si>
    <t>+919480759010</t>
  </si>
  <si>
    <t>50300</t>
  </si>
  <si>
    <t>Near Gavimutt, B.H. Roa, Arsikere, Hassan</t>
  </si>
  <si>
    <t>573103</t>
  </si>
  <si>
    <t>Near Gavimutt, B.H. Road, Arsikere, Hassan</t>
  </si>
  <si>
    <t>Heritage Vidhyalaya</t>
  </si>
  <si>
    <t>IN-2022002316</t>
  </si>
  <si>
    <t>Salem</t>
  </si>
  <si>
    <t>22028000023340420</t>
  </si>
  <si>
    <t>51788000002811233</t>
  </si>
  <si>
    <t>zcrm_51788000271451001</t>
  </si>
  <si>
    <t>2024-07-09 15:36:20</t>
  </si>
  <si>
    <t>+919578561911</t>
  </si>
  <si>
    <t>office@heritagevidhyalaya.com</t>
  </si>
  <si>
    <t>Kavarkal Patty, Vellalagundam (Po)</t>
  </si>
  <si>
    <t>636111</t>
  </si>
  <si>
    <t>Holy Writ High School &amp; Junior College</t>
  </si>
  <si>
    <t>IN-2022002361</t>
  </si>
  <si>
    <t>3813</t>
  </si>
  <si>
    <t>1367850</t>
  </si>
  <si>
    <t>46372</t>
  </si>
  <si>
    <t>2024-10-30 00:00:00</t>
  </si>
  <si>
    <t>2735700</t>
  </si>
  <si>
    <t>2689618</t>
  </si>
  <si>
    <t>-290</t>
  </si>
  <si>
    <t>2025-07-28 00:00:00</t>
  </si>
  <si>
    <t>22028000023640464</t>
  </si>
  <si>
    <t>51788000002811464</t>
  </si>
  <si>
    <t>zcrm_51788000272015020</t>
  </si>
  <si>
    <t>Deep Prajapati</t>
  </si>
  <si>
    <t>2024-07-22 09:23:36</t>
  </si>
  <si>
    <t>Vinod Tiwari</t>
  </si>
  <si>
    <t>vht5113@gmail.com</t>
  </si>
  <si>
    <t>+919930003687</t>
  </si>
  <si>
    <t>info@holywritschool.in</t>
  </si>
  <si>
    <t>Pimploli Village, Nr. Barvi Dam, Badlapur (W) - Thane, Mumbai, Maharashtra</t>
  </si>
  <si>
    <t>421503</t>
  </si>
  <si>
    <t>MUMP21772C</t>
  </si>
  <si>
    <t>St. Francis De Sales Hr. Secondary School, Narengi</t>
  </si>
  <si>
    <t>IN-2022001930, IN-2022001937, IN-2022001938, IN-2022001939</t>
  </si>
  <si>
    <t>1161, 581, 908</t>
  </si>
  <si>
    <t>1027</t>
  </si>
  <si>
    <t>163152, 183720, 18727, 466084</t>
  </si>
  <si>
    <t>2024-07-01 00:00:00, 2024-08-01 00:00:00</t>
  </si>
  <si>
    <t>11411, 1176, 28561, 6600</t>
  </si>
  <si>
    <t>1864336, 652608, 734880, 74908</t>
  </si>
  <si>
    <t>1850931, 650668, 753363, 77214</t>
  </si>
  <si>
    <t>-15156, -29894, -3482, -4660</t>
  </si>
  <si>
    <t>0.6509, 0.6633, 0.6683, 0.6774</t>
  </si>
  <si>
    <t>0.6274000000000001, 0.6509, 0.6633, 0.6683</t>
  </si>
  <si>
    <t>22028000022141152, 22028000022147060, 22028000022147120, 22028000022147168</t>
  </si>
  <si>
    <t>51788000002736061</t>
  </si>
  <si>
    <t>zcrm_51788000268505205, zcrm_51788000268505342, zcrm_51788000268505479, zcrm_51788000268505616</t>
  </si>
  <si>
    <t>2024-04-21 00:19:29, 2024-04-21 00:19:34, 2024-04-21 00:26:43, 2024-04-21 00:26:48</t>
  </si>
  <si>
    <t>Fr. P. George Thomas</t>
  </si>
  <si>
    <t>principal@sfsnarengi.ac.in</t>
  </si>
  <si>
    <t>+919531055724</t>
  </si>
  <si>
    <t>principal@sfsguwahati.ac.in</t>
  </si>
  <si>
    <t>Adreena</t>
  </si>
  <si>
    <t>coe@sfsguwahati.ac.in</t>
  </si>
  <si>
    <t>+919707149800</t>
  </si>
  <si>
    <t>Udyan Vihar, NSFS Provincialate,Satgaon-Narengi</t>
  </si>
  <si>
    <t>781171</t>
  </si>
  <si>
    <t>SHLM02849A</t>
  </si>
  <si>
    <t>Mount Litera Zee School Jamshedpur</t>
  </si>
  <si>
    <t>2024-01-20 00:00:00</t>
  </si>
  <si>
    <t>IN-2022001410, IN-2022001411</t>
  </si>
  <si>
    <t>698</t>
  </si>
  <si>
    <t>135007, 49523</t>
  </si>
  <si>
    <t>2024-03-13 00:00:00, 2024-06-28 00:00:00</t>
  </si>
  <si>
    <t>198092, 540028</t>
  </si>
  <si>
    <t>194134.5, 495483.5</t>
  </si>
  <si>
    <t>3958, 44544</t>
  </si>
  <si>
    <t>0.5, 0.535</t>
  </si>
  <si>
    <t>Kharsawan</t>
  </si>
  <si>
    <t>22028000020732048, 22028000020732096</t>
  </si>
  <si>
    <t>51788000002815455</t>
  </si>
  <si>
    <t>zcrm_51788000261520469, zcrm_51788000263469901</t>
  </si>
  <si>
    <t>2024-03-02 10:41:57, 2024-03-02 10:42:03</t>
  </si>
  <si>
    <t>Akshay Agarwal, Mr. Akshay Agarwal</t>
  </si>
  <si>
    <t>akshayagarwal18@gmail.com</t>
  </si>
  <si>
    <t>+919952657432</t>
  </si>
  <si>
    <t>kavyaptaglobal@gmail.com</t>
  </si>
  <si>
    <t>Akshay Aggarwal</t>
  </si>
  <si>
    <t>mlzsjamshedpur@gmail.com</t>
  </si>
  <si>
    <t>45500</t>
  </si>
  <si>
    <t>Chandil, Pin - 831012, District Seraikela - Kharsawan, Jharkhand</t>
  </si>
  <si>
    <t>831012</t>
  </si>
  <si>
    <t>RCHK00804G</t>
  </si>
  <si>
    <t>Kavyapta Global School NH-33, Pardih Chowk, Mango, Jamshedpur, Pin - 831012</t>
  </si>
  <si>
    <t>Oakridge International School, Bengaluru</t>
  </si>
  <si>
    <t>IN-2022002889</t>
  </si>
  <si>
    <t>76946</t>
  </si>
  <si>
    <t>22028000028038068</t>
  </si>
  <si>
    <t>51788000002816479</t>
  </si>
  <si>
    <t>zcrm_51788000284465035</t>
  </si>
  <si>
    <t>2025-02-17 10:30:07</t>
  </si>
  <si>
    <t>Jayan Vijayan</t>
  </si>
  <si>
    <t>jayan.vijayan@oakridge.in</t>
  </si>
  <si>
    <t>+919341981458</t>
  </si>
  <si>
    <t>Kavita Sukhani</t>
  </si>
  <si>
    <t>Kavita.sukhani@oakridge.in</t>
  </si>
  <si>
    <t>Swapna Vanam</t>
  </si>
  <si>
    <t>swapna.vanam@oakridge.in</t>
  </si>
  <si>
    <t>Varthur Road, Near Dommasandra Circle, Sarjapur Hobli, Bengaluru, Karnataka 562125</t>
  </si>
  <si>
    <t>Satchidananda Jothi Nikethan International School</t>
  </si>
  <si>
    <t>IN-2022002519</t>
  </si>
  <si>
    <t>2024-10-19 00:00:00</t>
  </si>
  <si>
    <t>144750</t>
  </si>
  <si>
    <t>28950</t>
  </si>
  <si>
    <t>289500</t>
  </si>
  <si>
    <t>260550</t>
  </si>
  <si>
    <t>22028000025440520</t>
  </si>
  <si>
    <t>51788000002819533</t>
  </si>
  <si>
    <t>zcrm_51788000275097020</t>
  </si>
  <si>
    <t>2024-11-04 11:52:38</t>
  </si>
  <si>
    <t>Mrs Uma Maheswari .</t>
  </si>
  <si>
    <t>principalsjn@gmail.com</t>
  </si>
  <si>
    <t>+919894683056</t>
  </si>
  <si>
    <t>info@sjnshool.com</t>
  </si>
  <si>
    <t>Mrs Uma Maheshwari</t>
  </si>
  <si>
    <t>Mrs Thilagavathi</t>
  </si>
  <si>
    <t>+919500241233</t>
  </si>
  <si>
    <t>S.F.No. 416/A, 417,418/A1, 418/A2, 419/1A, 419/1B, 419/2, Odenthurai Village Panchayat, Kallar Post, Mettupalayam, 641305, Coimbatore Dt.</t>
  </si>
  <si>
    <t>641305</t>
  </si>
  <si>
    <t>Sri Sarvajna Public School</t>
  </si>
  <si>
    <t>IN-2022002153, IN-2022002156</t>
  </si>
  <si>
    <t>5501, 9213</t>
  </si>
  <si>
    <t>16502, 27640</t>
  </si>
  <si>
    <t>0, 1180</t>
  </si>
  <si>
    <t>22003, 36853</t>
  </si>
  <si>
    <t>19563, 38116</t>
  </si>
  <si>
    <t>-2443, 2440</t>
  </si>
  <si>
    <t>22028000022795096, 22028000022795216</t>
  </si>
  <si>
    <t>51788000002821755</t>
  </si>
  <si>
    <t>zcrm_51788000267356423, zcrm_51788000270183355</t>
  </si>
  <si>
    <t>2024-06-11 14:33:08, 2024-06-11 14:36:25</t>
  </si>
  <si>
    <t>Ms. Namitha K S</t>
  </si>
  <si>
    <t>SriSarvajnaPublicSchool_3998030@gmail.com</t>
  </si>
  <si>
    <t>No. 7 &amp; 8, 14Th Cross, Mc Layout, Vijayanagar, Bengaluru, Karnataka</t>
  </si>
  <si>
    <t>560040</t>
  </si>
  <si>
    <t>BLRS12381F</t>
  </si>
  <si>
    <t>St.Mary^s Senior Secondary School</t>
  </si>
  <si>
    <t>IN-2022001569</t>
  </si>
  <si>
    <t>262500</t>
  </si>
  <si>
    <t>1050000</t>
  </si>
  <si>
    <t>1042124.5</t>
  </si>
  <si>
    <t>7876</t>
  </si>
  <si>
    <t>22028000021291120</t>
  </si>
  <si>
    <t>51788000002823400</t>
  </si>
  <si>
    <t>zcrm_51788000265389035</t>
  </si>
  <si>
    <t>2024-03-07 14:26:50</t>
  </si>
  <si>
    <t>Ms. Sr. Sania Rosemary</t>
  </si>
  <si>
    <t>st.marysschool66@yahoo.com</t>
  </si>
  <si>
    <t>+919435198086</t>
  </si>
  <si>
    <t>Sr. Sania Rosemary</t>
  </si>
  <si>
    <t>16500</t>
  </si>
  <si>
    <t>Maligaon,Kamrup(Metro)</t>
  </si>
  <si>
    <t>781011</t>
  </si>
  <si>
    <t>St.Michael^s Academy</t>
  </si>
  <si>
    <t>2023-11-22 00:00:00</t>
  </si>
  <si>
    <t>IN-2022001272</t>
  </si>
  <si>
    <t>1307</t>
  </si>
  <si>
    <t>233368</t>
  </si>
  <si>
    <t>933471</t>
  </si>
  <si>
    <t>583419</t>
  </si>
  <si>
    <t>153428</t>
  </si>
  <si>
    <t>2023-12-06 00:00:00</t>
  </si>
  <si>
    <t>2333677</t>
  </si>
  <si>
    <t>1592332</t>
  </si>
  <si>
    <t>587917</t>
  </si>
  <si>
    <t>22028000020035412</t>
  </si>
  <si>
    <t>51788000002823519</t>
  </si>
  <si>
    <t>zcrm_51788000259813633</t>
  </si>
  <si>
    <t>2023-11-28 10:52:30</t>
  </si>
  <si>
    <t>Thomas Pushparaj</t>
  </si>
  <si>
    <t>sathishkumars@st-michaelsacademy.com</t>
  </si>
  <si>
    <t>+918220283866</t>
  </si>
  <si>
    <t>admission@st-michaelsacademy.com</t>
  </si>
  <si>
    <t>3rd Canal Cross Road 4th Main Road Chennai Chennai-600020</t>
  </si>
  <si>
    <t>CHES17291B</t>
  </si>
  <si>
    <t>Tejas Public School</t>
  </si>
  <si>
    <t>2023-12-27 00:00:00</t>
  </si>
  <si>
    <t>IN-2022001372</t>
  </si>
  <si>
    <t>153430</t>
  </si>
  <si>
    <t>613720</t>
  </si>
  <si>
    <t>Ambala (Naraingarh)</t>
  </si>
  <si>
    <t>2023-12-25 00:00:00</t>
  </si>
  <si>
    <t>22028000020417792</t>
  </si>
  <si>
    <t>51788000002824163</t>
  </si>
  <si>
    <t>zcrm_51788000261572284</t>
  </si>
  <si>
    <t>2024-01-02 12:43:36</t>
  </si>
  <si>
    <t>Mr. Vikrant Vikrant</t>
  </si>
  <si>
    <t>tejaspublic@gmail.com</t>
  </si>
  <si>
    <t>+919254110007</t>
  </si>
  <si>
    <t>Village Dhamouli Majri, NH 344</t>
  </si>
  <si>
    <t>134202</t>
  </si>
  <si>
    <t>Ambala ( (Naraingarh))</t>
  </si>
  <si>
    <t>The Blue Bells English Medium School</t>
  </si>
  <si>
    <t>2024-03-28 00:00:00, 2024-12-21 00:00:00</t>
  </si>
  <si>
    <t>IN-2022001764, IN-2022002732</t>
  </si>
  <si>
    <t>0, 1648</t>
  </si>
  <si>
    <t>2000-01-01 00:00:00, 2024-06-18 00:00:00</t>
  </si>
  <si>
    <t>0, 127347</t>
  </si>
  <si>
    <t>2000-01-01 00:00:00, 2024-08-20 00:00:00</t>
  </si>
  <si>
    <t>2000-01-01 00:00:00, 2024-12-16 00:00:00</t>
  </si>
  <si>
    <t>0, 509388</t>
  </si>
  <si>
    <t>0, 429602</t>
  </si>
  <si>
    <t>0, 79786</t>
  </si>
  <si>
    <t>0.529, 1</t>
  </si>
  <si>
    <t>Jharsuguda</t>
  </si>
  <si>
    <t>22028000021799668, 22028000026996144</t>
  </si>
  <si>
    <t>51788000002824218</t>
  </si>
  <si>
    <t>zcrm_51788000267689165, zcrm_51788000280501712</t>
  </si>
  <si>
    <t>sanjeet.das_eiindia1</t>
  </si>
  <si>
    <t>sanjeet.das@ei.study</t>
  </si>
  <si>
    <t>Sanjeet das</t>
  </si>
  <si>
    <t>Sanjeet Das</t>
  </si>
  <si>
    <t>2024-04-01 17:18:26, 2024-12-21 10:52:14</t>
  </si>
  <si>
    <t>Mr Vinod, Mr. J Vinod</t>
  </si>
  <si>
    <t>bluebellsjsg@gmail.com, maruf.shaikh@ei.study</t>
  </si>
  <si>
    <t>+919348139869, +919348842091</t>
  </si>
  <si>
    <t>bluebellsjsg@gmail.com</t>
  </si>
  <si>
    <t>Mr Vinod, Mr.Vinod</t>
  </si>
  <si>
    <t>Mr.Vinod</t>
  </si>
  <si>
    <t>+919348842091</t>
  </si>
  <si>
    <t>42000</t>
  </si>
  <si>
    <t>K.C Mukherjee Road Near Durga Mandir, K.C Mukherjee Road Near Durga Mandir Beheramal Cox-Colony Jharsuguda</t>
  </si>
  <si>
    <t>768203</t>
  </si>
  <si>
    <t>Cox colony, K.C Mukherjee Road Near Durga Mandir Beheramal Cox-Colony Jharsuguda</t>
  </si>
  <si>
    <t>The Blue Bells English Medium School (main branch) Opp. Biju Express Way, Saleitikra</t>
  </si>
  <si>
    <t>The Blue Bells English Medium School(main branch) Opp. Biju Express Way, Saleitikra</t>
  </si>
  <si>
    <t>Sky World School</t>
  </si>
  <si>
    <t>2024-01-30 00:00:00</t>
  </si>
  <si>
    <t>IN-2022001444</t>
  </si>
  <si>
    <t>435</t>
  </si>
  <si>
    <t>753</t>
  </si>
  <si>
    <t>141625</t>
  </si>
  <si>
    <t>2024-10-04 00:00:00</t>
  </si>
  <si>
    <t>566500</t>
  </si>
  <si>
    <t>0.7101999999999999</t>
  </si>
  <si>
    <t>22028000020843220</t>
  </si>
  <si>
    <t>51788000002824751</t>
  </si>
  <si>
    <t>zcrm_51788000264313025</t>
  </si>
  <si>
    <t>2024-02-28 12:56:35</t>
  </si>
  <si>
    <t>Manu Bhandari</t>
  </si>
  <si>
    <t>manu@theskyschool.com</t>
  </si>
  <si>
    <t>+919317780093</t>
  </si>
  <si>
    <t>admissions@theskyschool.com</t>
  </si>
  <si>
    <t>Site 1, Sector 21, Panchkula, Haryana 134112</t>
  </si>
  <si>
    <t>Catalyst World School</t>
  </si>
  <si>
    <t>IN-2022001818</t>
  </si>
  <si>
    <t>139478</t>
  </si>
  <si>
    <t>135376</t>
  </si>
  <si>
    <t>8954</t>
  </si>
  <si>
    <t>2025-06-21 00:00:00</t>
  </si>
  <si>
    <t>410230</t>
  </si>
  <si>
    <t>508846</t>
  </si>
  <si>
    <t>-107570</t>
  </si>
  <si>
    <t>22028000021890372</t>
  </si>
  <si>
    <t>51788000002825222</t>
  </si>
  <si>
    <t>zcrm_51788000267360626</t>
  </si>
  <si>
    <t>2024-04-26 09:27:03</t>
  </si>
  <si>
    <t>Mrs. Poonam Shekhawat</t>
  </si>
  <si>
    <t>catalystworldschool@gmail.com</t>
  </si>
  <si>
    <t>+919302254871</t>
  </si>
  <si>
    <t>poonamshekhawat73@gmail.com</t>
  </si>
  <si>
    <t>Village Ambamoliya, Bicholi Mardana</t>
  </si>
  <si>
    <t>Vidya Peetam</t>
  </si>
  <si>
    <t>IN-2022001620</t>
  </si>
  <si>
    <t>209400</t>
  </si>
  <si>
    <t>157050</t>
  </si>
  <si>
    <t>4152</t>
  </si>
  <si>
    <t>523500</t>
  </si>
  <si>
    <t>512295</t>
  </si>
  <si>
    <t>7053</t>
  </si>
  <si>
    <t>Vellore</t>
  </si>
  <si>
    <t>22028000021509124</t>
  </si>
  <si>
    <t>51788000002825407</t>
  </si>
  <si>
    <t>zcrm_51788000261115679</t>
  </si>
  <si>
    <t>2024-03-15 14:48:12</t>
  </si>
  <si>
    <t>Mrs. Viswabharathy</t>
  </si>
  <si>
    <t>Vidyapeetam82@gmail.com</t>
  </si>
  <si>
    <t>+919843723677</t>
  </si>
  <si>
    <t>vidyapeetam82@gmail.com</t>
  </si>
  <si>
    <t>Krishnavaram Karikkal Post Sholinghur Vellore Dist. Tamil Nadu</t>
  </si>
  <si>
    <t>631102</t>
  </si>
  <si>
    <t>CHEV03096C</t>
  </si>
  <si>
    <t>CAIE</t>
  </si>
  <si>
    <t>422222</t>
  </si>
  <si>
    <t>Witty International School, Bhilwara</t>
  </si>
  <si>
    <t>Bhilwara</t>
  </si>
  <si>
    <t>Witty International School, Udaipur</t>
  </si>
  <si>
    <t>210000</t>
  </si>
  <si>
    <t>Udaipur</t>
  </si>
  <si>
    <t>Witty International School, Borivali (W)</t>
  </si>
  <si>
    <t>40001262024.00</t>
  </si>
  <si>
    <t>486000</t>
  </si>
  <si>
    <t>40001262024</t>
  </si>
  <si>
    <t>Prem Prakash International School</t>
  </si>
  <si>
    <t>IN-2022001914</t>
  </si>
  <si>
    <t>1300</t>
  </si>
  <si>
    <t>119340</t>
  </si>
  <si>
    <t>115830</t>
  </si>
  <si>
    <t>2025-05-23 00:00:00</t>
  </si>
  <si>
    <t>289575</t>
  </si>
  <si>
    <t>61425</t>
  </si>
  <si>
    <t>Bagod</t>
  </si>
  <si>
    <t>22028000022086700</t>
  </si>
  <si>
    <t>51788000002804760</t>
  </si>
  <si>
    <t>zcrm_51788000267431012</t>
  </si>
  <si>
    <t>2024-04-16 15:38:08</t>
  </si>
  <si>
    <t>Mr. Satish Jain</t>
  </si>
  <si>
    <t>prempis21@gmail.com</t>
  </si>
  <si>
    <t>+919826492707</t>
  </si>
  <si>
    <t>Village-Bagod</t>
  </si>
  <si>
    <t>Mothers Public School-Khandagiri</t>
  </si>
  <si>
    <t>IN-2022002173, IN-2022002174</t>
  </si>
  <si>
    <t>2025</t>
  </si>
  <si>
    <t>2024-06-10 00:00:00, 2024-07-01 00:00:00</t>
  </si>
  <si>
    <t>158964, 85013</t>
  </si>
  <si>
    <t>2024-08-30 00:00:00, 2024-10-30 00:00:00</t>
  </si>
  <si>
    <t>158964, 198365</t>
  </si>
  <si>
    <t>0, 158964</t>
  </si>
  <si>
    <t>44931, 48778</t>
  </si>
  <si>
    <t>2025-01-08 00:00:00, 2025-03-26 00:00:00</t>
  </si>
  <si>
    <t>283378, 635856</t>
  </si>
  <si>
    <t>404375, 438999</t>
  </si>
  <si>
    <t>-165928, 148079</t>
  </si>
  <si>
    <t>0.4671, 0.5667</t>
  </si>
  <si>
    <t>22028000022845668, 22028000022845716</t>
  </si>
  <si>
    <t>51788000002804763</t>
  </si>
  <si>
    <t>zcrm_51788000270347001, zcrm_51788000270347138</t>
  </si>
  <si>
    <t>2024-06-21 10:20:29, 2024-06-21 10:20:54</t>
  </si>
  <si>
    <t>Mrs. Supreet Kaur Rajpal</t>
  </si>
  <si>
    <t>mothers.khandagiri@mothers.edu.in</t>
  </si>
  <si>
    <t>+917608000321</t>
  </si>
  <si>
    <t>Plot No-802- P/6, Opp. The Aurobindo Integral School, Khandagiri, Bhubaneswar</t>
  </si>
  <si>
    <t>751030</t>
  </si>
  <si>
    <t>BBNS09011C</t>
  </si>
  <si>
    <t>Pramila Memorial Advanced School</t>
  </si>
  <si>
    <t>IN-2022001806</t>
  </si>
  <si>
    <t>1632</t>
  </si>
  <si>
    <t>2023-12-30 00:00:00</t>
  </si>
  <si>
    <t>371180</t>
  </si>
  <si>
    <t>20519</t>
  </si>
  <si>
    <t>1484720</t>
  </si>
  <si>
    <t>1369203</t>
  </si>
  <si>
    <t>94998</t>
  </si>
  <si>
    <t>0.5568</t>
  </si>
  <si>
    <t>22028000021867728</t>
  </si>
  <si>
    <t>51788000002736082</t>
  </si>
  <si>
    <t>zcrm_51788000267861188</t>
  </si>
  <si>
    <t>2024-04-02 11:31:03</t>
  </si>
  <si>
    <t>Manisha Kumar</t>
  </si>
  <si>
    <t>mitul.patel@ei.study</t>
  </si>
  <si>
    <t>+919830082801</t>
  </si>
  <si>
    <t>pmi.kolkata59@gmail.com</t>
  </si>
  <si>
    <t>AB-8/23, Rail Pukur Rd, School Para, Desh Bandhu Nagar, Baguiati,</t>
  </si>
  <si>
    <t>700059</t>
  </si>
  <si>
    <t>CALP08364G</t>
  </si>
  <si>
    <t>San Academy, Tambaram</t>
  </si>
  <si>
    <t>IN-2022002248</t>
  </si>
  <si>
    <t>899</t>
  </si>
  <si>
    <t>27414</t>
  </si>
  <si>
    <t>54828</t>
  </si>
  <si>
    <t>57524</t>
  </si>
  <si>
    <t>-2696</t>
  </si>
  <si>
    <t>0.251</t>
  </si>
  <si>
    <t>22028000023040504</t>
  </si>
  <si>
    <t>51788000002826378</t>
  </si>
  <si>
    <t>zcrm_51788000269122262</t>
  </si>
  <si>
    <t>2024-06-19 18:15:46</t>
  </si>
  <si>
    <t>Aparna Arulanathan</t>
  </si>
  <si>
    <t>santam@sanacademy.edu.in</t>
  </si>
  <si>
    <t>+919902469795</t>
  </si>
  <si>
    <t>admissions@sanacademy.edu.in</t>
  </si>
  <si>
    <t>Kishkintha main road, off chennai bypass, Service Rd, West Tambaram, Chennai, Tamil Nadu 600045</t>
  </si>
  <si>
    <t>600045</t>
  </si>
  <si>
    <t>Richmondd Convent school</t>
  </si>
  <si>
    <t>IN-2022001419</t>
  </si>
  <si>
    <t>1401</t>
  </si>
  <si>
    <t>140841</t>
  </si>
  <si>
    <t>563364</t>
  </si>
  <si>
    <t>511711</t>
  </si>
  <si>
    <t>51653</t>
  </si>
  <si>
    <t>0.461</t>
  </si>
  <si>
    <t>22028000020757232</t>
  </si>
  <si>
    <t>51788000002826555</t>
  </si>
  <si>
    <t>zcrm_51788000263943059</t>
  </si>
  <si>
    <t>Pankaj Dhiman</t>
  </si>
  <si>
    <t>2024-01-23 18:04:39</t>
  </si>
  <si>
    <t>Amarjit Singh</t>
  </si>
  <si>
    <t>amarjitpoultry786@gmail.com</t>
  </si>
  <si>
    <t>+919592260786</t>
  </si>
  <si>
    <t>richmonddconvent@gmail.com</t>
  </si>
  <si>
    <t>Mrs. Jeevan Jyoti</t>
  </si>
  <si>
    <t>info@richmonddconventschool.com</t>
  </si>
  <si>
    <t>+917009416681</t>
  </si>
  <si>
    <t>Komal Rana</t>
  </si>
  <si>
    <t>+916284871755</t>
  </si>
  <si>
    <t>Dharam Singh Nagar, Manwal Bagh, Pathankot, Punjab</t>
  </si>
  <si>
    <t>Green Valley International School</t>
  </si>
  <si>
    <t>State Board, CBSE Pr</t>
  </si>
  <si>
    <t>Morvi</t>
  </si>
  <si>
    <t>51788000002826961</t>
  </si>
  <si>
    <t>Mr. Dharmendra Khandivar</t>
  </si>
  <si>
    <t>ultravision04@yahoo.in</t>
  </si>
  <si>
    <t>+919726505335</t>
  </si>
  <si>
    <t>info@greenvalley.org.in</t>
  </si>
  <si>
    <t>Tanay Shukla</t>
  </si>
  <si>
    <t>gvschool2@gmail.com</t>
  </si>
  <si>
    <t>+919687577698</t>
  </si>
  <si>
    <t>36100</t>
  </si>
  <si>
    <t>Rajkot Morbi Highway, near Lajai Chowkdi, Near Honest Highway Restaurant</t>
  </si>
  <si>
    <t>363641</t>
  </si>
  <si>
    <t>310</t>
  </si>
  <si>
    <t>51788000002826986</t>
  </si>
  <si>
    <t>+919822511326</t>
  </si>
  <si>
    <t>pgosm05@gmail.com</t>
  </si>
  <si>
    <t>78300</t>
  </si>
  <si>
    <t>Priyadarshani school C/o Sanvi Enterprises Boratewadi, Moshi,Pune</t>
  </si>
  <si>
    <t>412105</t>
  </si>
  <si>
    <t>Priyadarshani School &amp; Jr College, Boratewadi, Moshi,Pune</t>
  </si>
  <si>
    <t>Global Indian International School, Bannerghatta</t>
  </si>
  <si>
    <t>Cambridge International School, Palampur</t>
  </si>
  <si>
    <t>IN-2022001628</t>
  </si>
  <si>
    <t>95160</t>
  </si>
  <si>
    <t>285480</t>
  </si>
  <si>
    <t>42666</t>
  </si>
  <si>
    <t>2024-09-11 00:00:00</t>
  </si>
  <si>
    <t>951600</t>
  </si>
  <si>
    <t>383994</t>
  </si>
  <si>
    <t>524940</t>
  </si>
  <si>
    <t>Palampur</t>
  </si>
  <si>
    <t>22028000021527224</t>
  </si>
  <si>
    <t>51788000007807190</t>
  </si>
  <si>
    <t>zcrm_51788000266705064</t>
  </si>
  <si>
    <t>2024-03-23 14:43:28</t>
  </si>
  <si>
    <t>Vishwa Raj</t>
  </si>
  <si>
    <t>palampur.cambridge@gmail.com</t>
  </si>
  <si>
    <t>+919816671818</t>
  </si>
  <si>
    <t>Cambridge International School, Rajpur</t>
  </si>
  <si>
    <t>176067</t>
  </si>
  <si>
    <t>The Shishukunj International School, North Campus</t>
  </si>
  <si>
    <t>IN-2022002082, IN-2022002083</t>
  </si>
  <si>
    <t>411625, 477023</t>
  </si>
  <si>
    <t>2024-08-01 00:00:00, 2024-10-01 00:00:00</t>
  </si>
  <si>
    <t>204439, 411625</t>
  </si>
  <si>
    <t>0, 411625</t>
  </si>
  <si>
    <t>8233, 9413</t>
  </si>
  <si>
    <t>2024-07-11 00:00:00, 2024-08-28 00:00:00</t>
  </si>
  <si>
    <t>2025-02-04 00:00:00, 2025-06-16 00:00:00</t>
  </si>
  <si>
    <t>1646500, 681462</t>
  </si>
  <si>
    <t>1061238, 1238975</t>
  </si>
  <si>
    <t>-389189, 399292</t>
  </si>
  <si>
    <t>0.5665, 0.63</t>
  </si>
  <si>
    <t>22028000022615100, 22028000022615148</t>
  </si>
  <si>
    <t>51788000092806132</t>
  </si>
  <si>
    <t>zcrm_51788000269458001, zcrm_51788000269847001</t>
  </si>
  <si>
    <t>2024-06-03 14:14:57, 2024-06-03 14:15:34</t>
  </si>
  <si>
    <t>Info.north@shishukunjindore.in</t>
  </si>
  <si>
    <t>Neeta Lala</t>
  </si>
  <si>
    <t>neeta.lala.nc@shishukunj.in</t>
  </si>
  <si>
    <t>+919039700180</t>
  </si>
  <si>
    <t>Gram Badodia Ema</t>
  </si>
  <si>
    <t>452003</t>
  </si>
  <si>
    <t>Inventure Academy</t>
  </si>
  <si>
    <t>IN-2022002195</t>
  </si>
  <si>
    <t>995532</t>
  </si>
  <si>
    <t>17246</t>
  </si>
  <si>
    <t>1991064</t>
  </si>
  <si>
    <t>1896235</t>
  </si>
  <si>
    <t>77583</t>
  </si>
  <si>
    <t>0.3889</t>
  </si>
  <si>
    <t>2025-06-15 00:00:00</t>
  </si>
  <si>
    <t>22028000022915040</t>
  </si>
  <si>
    <t>51788000002736265</t>
  </si>
  <si>
    <t>zcrm_51788000270584001</t>
  </si>
  <si>
    <t>2024-06-11 15:15:50</t>
  </si>
  <si>
    <t>Mr. Vijay V Bongale</t>
  </si>
  <si>
    <t>vijay@inventureacademy.com</t>
  </si>
  <si>
    <t>+918027822101</t>
  </si>
  <si>
    <t>info1@inventureacademy.com</t>
  </si>
  <si>
    <t>Whitefield-Sarjarpur Road, Chikkavaderapura, Near Dommasandra Circle,</t>
  </si>
  <si>
    <t>BLRI02063F</t>
  </si>
  <si>
    <t>Navrachana Vidyani Vidyalaya</t>
  </si>
  <si>
    <t>IN-2022001974</t>
  </si>
  <si>
    <t>422994</t>
  </si>
  <si>
    <t>8460</t>
  </si>
  <si>
    <t>845988</t>
  </si>
  <si>
    <t>829080</t>
  </si>
  <si>
    <t>8448</t>
  </si>
  <si>
    <t>0.7195</t>
  </si>
  <si>
    <t>0.6695</t>
  </si>
  <si>
    <t>22028000022312336</t>
  </si>
  <si>
    <t>51788000002731057</t>
  </si>
  <si>
    <t>zcrm_51788000269069128</t>
  </si>
  <si>
    <t>2024-05-02 14:21:34</t>
  </si>
  <si>
    <t>Dr. Archana Mishra</t>
  </si>
  <si>
    <t>drarchanam@navrachana.edu.in</t>
  </si>
  <si>
    <t>+919824353133</t>
  </si>
  <si>
    <t>vidyani@navrachana.edu.in</t>
  </si>
  <si>
    <t>Ms Suni Sreeniwas</t>
  </si>
  <si>
    <t>sunib@navrachana.edu.in</t>
  </si>
  <si>
    <t>+919427313106</t>
  </si>
  <si>
    <t>Jyoti Colony, Sama Road,</t>
  </si>
  <si>
    <t>390008</t>
  </si>
  <si>
    <t>BRDN01993F</t>
  </si>
  <si>
    <t>Edumont World School</t>
  </si>
  <si>
    <t>2023-11-16 00:00:00</t>
  </si>
  <si>
    <t>IN-2022001260</t>
  </si>
  <si>
    <t>1747</t>
  </si>
  <si>
    <t>324624</t>
  </si>
  <si>
    <t>2025-10-14 00:00:00</t>
  </si>
  <si>
    <t>1298496</t>
  </si>
  <si>
    <t>792982</t>
  </si>
  <si>
    <t>505514</t>
  </si>
  <si>
    <t>0.6565000000000001</t>
  </si>
  <si>
    <t>Nabha</t>
  </si>
  <si>
    <t>22028000019960392</t>
  </si>
  <si>
    <t>51788000007808451</t>
  </si>
  <si>
    <t>zcrm_51788000260024465</t>
  </si>
  <si>
    <t>Himani Singla</t>
  </si>
  <si>
    <t>2024-04-11 12:50:35</t>
  </si>
  <si>
    <t>Hansraj Nagpal</t>
  </si>
  <si>
    <t>ews@edumontworldschool.com</t>
  </si>
  <si>
    <t>+919417016249</t>
  </si>
  <si>
    <t>info@edumontworldschool.com</t>
  </si>
  <si>
    <t>Pul, Rohti, Patiala Rd, Nabha, Punjab 147201</t>
  </si>
  <si>
    <t>147201</t>
  </si>
  <si>
    <t>D L F Public School-IGCSE</t>
  </si>
  <si>
    <t>IN-2022001735, IN-2022001736, IN-2022001746, IN-2022001747</t>
  </si>
  <si>
    <t>1550</t>
  </si>
  <si>
    <t>0, 14062, 27509, 6299</t>
  </si>
  <si>
    <t>0, 110036, 25196, 56248</t>
  </si>
  <si>
    <t>0, 25197</t>
  </si>
  <si>
    <t>-1, 0, 110036, 56248</t>
  </si>
  <si>
    <t>0.4792, 0.7417, 0.7879, 1</t>
  </si>
  <si>
    <t>0.4292, 0.6917, 0.7379000000000001, 1</t>
  </si>
  <si>
    <t>22028000021730336, 22028000021730384, 22028000021730776, 22028000021730836</t>
  </si>
  <si>
    <t>51788000009286329</t>
  </si>
  <si>
    <t>zcrm_51788000267489659, zcrm_51788000267489943, zcrm_51788000267492001, zcrm_51788000267492132</t>
  </si>
  <si>
    <t>2024-03-28 12:48:01, 2024-03-28 12:48:07, 2024-03-28 12:48:13, 2024-03-28 12:48:22</t>
  </si>
  <si>
    <t>Ms. Mrignaini</t>
  </si>
  <si>
    <t>Mrignaini@dlps.co.in</t>
  </si>
  <si>
    <t>Ms. Chhavi Guptta</t>
  </si>
  <si>
    <t>Chhavi.kumar@dlps.co.in</t>
  </si>
  <si>
    <t>Sector 2, Rajender Nagar, Sahibabad</t>
  </si>
  <si>
    <t>Disha India Community School</t>
  </si>
  <si>
    <t>2025-04-25 00:00:00</t>
  </si>
  <si>
    <t>IN-2022003382</t>
  </si>
  <si>
    <t>22028000029556176</t>
  </si>
  <si>
    <t>51788000009286330</t>
  </si>
  <si>
    <t>zcrm_51788000288170220</t>
  </si>
  <si>
    <t>anushka.gupta_ei</t>
  </si>
  <si>
    <t>anushka.gupta@ei.study</t>
  </si>
  <si>
    <t>Anushka gupta</t>
  </si>
  <si>
    <t>2025-04-25 12:27:07</t>
  </si>
  <si>
    <t>psr@dishaindiaeducation.org</t>
  </si>
  <si>
    <t>16000</t>
  </si>
  <si>
    <t>Village Padha</t>
  </si>
  <si>
    <t>132036</t>
  </si>
  <si>
    <t>St.George School</t>
  </si>
  <si>
    <t>IN-2022001242</t>
  </si>
  <si>
    <t>388752</t>
  </si>
  <si>
    <t>359596</t>
  </si>
  <si>
    <t>29156</t>
  </si>
  <si>
    <t>0.377</t>
  </si>
  <si>
    <t>Shillong</t>
  </si>
  <si>
    <t>22028000019828872</t>
  </si>
  <si>
    <t>51788000009286332</t>
  </si>
  <si>
    <t>zcrm_51788000257453390</t>
  </si>
  <si>
    <t>2023-11-20 11:53:53</t>
  </si>
  <si>
    <t>Mr. Simon Joseph Kunnappillil</t>
  </si>
  <si>
    <t>joseph196805@gmail.com</t>
  </si>
  <si>
    <t>+919436994898</t>
  </si>
  <si>
    <t>stgeorgeshillong@gmail.com</t>
  </si>
  <si>
    <t>Simon Joseph</t>
  </si>
  <si>
    <t>Gilbert Rynjah</t>
  </si>
  <si>
    <t>+919774065455</t>
  </si>
  <si>
    <t>Nongmynsong, Shillong</t>
  </si>
  <si>
    <t>793019</t>
  </si>
  <si>
    <t>Reliance Foundation School, Lodhivali</t>
  </si>
  <si>
    <t>IN-2022002515</t>
  </si>
  <si>
    <t>88200</t>
  </si>
  <si>
    <t>205800</t>
  </si>
  <si>
    <t>20625</t>
  </si>
  <si>
    <t>294000</t>
  </si>
  <si>
    <t>264600</t>
  </si>
  <si>
    <t>8775</t>
  </si>
  <si>
    <t>Raigad</t>
  </si>
  <si>
    <t>22028000025420228</t>
  </si>
  <si>
    <t>51788000002736303</t>
  </si>
  <si>
    <t>zcrm_51788000274976033</t>
  </si>
  <si>
    <t>2024-10-12 10:33:39</t>
  </si>
  <si>
    <t>jhasadmin@bsnl.in</t>
  </si>
  <si>
    <t>Dhirendra Harbola</t>
  </si>
  <si>
    <t>dhirendra.harbola@rfs.edu.in</t>
  </si>
  <si>
    <t>+919106652328</t>
  </si>
  <si>
    <t>Rama Dighe</t>
  </si>
  <si>
    <t>rama.dighe@rfs.edu.in</t>
  </si>
  <si>
    <t>+919975576646</t>
  </si>
  <si>
    <t>Ril Township, Mumbai-Pune Highway, P O Lodhivali, Tal Khalapur, Dist. Raigad</t>
  </si>
  <si>
    <t>PNEJ12191E</t>
  </si>
  <si>
    <t>Bala Vidya Mandir Senior Secondary School</t>
  </si>
  <si>
    <t>IN-2022002384</t>
  </si>
  <si>
    <t>206150</t>
  </si>
  <si>
    <t>154850</t>
  </si>
  <si>
    <t>51300</t>
  </si>
  <si>
    <t>22028000023796844</t>
  </si>
  <si>
    <t>51788000002728431</t>
  </si>
  <si>
    <t>zcrm_51788000272055330</t>
  </si>
  <si>
    <t>Sriram Subramaniam</t>
  </si>
  <si>
    <t>2024-09-09 11:43:03</t>
  </si>
  <si>
    <t>Daphne Ms</t>
  </si>
  <si>
    <t>infobvmadyar@gmail.com</t>
  </si>
  <si>
    <t>+917358028750</t>
  </si>
  <si>
    <t>infobalavidyamandir@gmail.com</t>
  </si>
  <si>
    <t>No. 58, Iv Main Road, Gandhinagar, Adyar,</t>
  </si>
  <si>
    <t>Delhi World Public School</t>
  </si>
  <si>
    <t>IN-2022002278</t>
  </si>
  <si>
    <t>2288</t>
  </si>
  <si>
    <t>28603</t>
  </si>
  <si>
    <t>337517</t>
  </si>
  <si>
    <t>308913</t>
  </si>
  <si>
    <t>Barasat</t>
  </si>
  <si>
    <t>22028000023173452</t>
  </si>
  <si>
    <t>51788000025390756</t>
  </si>
  <si>
    <t>zcrm_51788000271104622</t>
  </si>
  <si>
    <t>2024-06-26 19:07:34</t>
  </si>
  <si>
    <t>Shraddha Agarwal</t>
  </si>
  <si>
    <t>info@dwpsbarasat.com</t>
  </si>
  <si>
    <t>Shradha Agarwal</t>
  </si>
  <si>
    <t>principal@dwpsbarasat.com</t>
  </si>
  <si>
    <t>Madhupur, Holding number 10504, Vill: Kadambagachhi, ?Mouza Daspuldanga, P. O. Badu, P. S. Duttapukur, District 24 Parganas (N), Pin Code - 700 128</t>
  </si>
  <si>
    <t>700128</t>
  </si>
  <si>
    <t>Sanskriti The Gurukul</t>
  </si>
  <si>
    <t>IN-2022001694</t>
  </si>
  <si>
    <t>1228</t>
  </si>
  <si>
    <t>19914</t>
  </si>
  <si>
    <t>1164998</t>
  </si>
  <si>
    <t>975767</t>
  </si>
  <si>
    <t>169317</t>
  </si>
  <si>
    <t>0.447</t>
  </si>
  <si>
    <t>0.34700000000000003</t>
  </si>
  <si>
    <t>22028000021629056</t>
  </si>
  <si>
    <t>51788000002736307</t>
  </si>
  <si>
    <t>zcrm_51788000267074068</t>
  </si>
  <si>
    <t>2024-04-02 17:59:30</t>
  </si>
  <si>
    <t>Mr. Ashutosh Aggarwal</t>
  </si>
  <si>
    <t>ashutosh.aggarwal@sanskritithegurukul.in</t>
  </si>
  <si>
    <t>+919864028962</t>
  </si>
  <si>
    <t>Radha Baruah</t>
  </si>
  <si>
    <t>radha.baruah@sanskritithegurukul.in</t>
  </si>
  <si>
    <t>+919678074959</t>
  </si>
  <si>
    <t>Gargi das</t>
  </si>
  <si>
    <t>gargi.das@sanskritithegurukul.in</t>
  </si>
  <si>
    <t>+919707786178</t>
  </si>
  <si>
    <t>Gugh,Ahomgaon,NH-37,Opposite ISBT</t>
  </si>
  <si>
    <t>781035</t>
  </si>
  <si>
    <t>Greenwood High (An International School)</t>
  </si>
  <si>
    <t>IN-2022001932, IN-2022001933</t>
  </si>
  <si>
    <t>513</t>
  </si>
  <si>
    <t>288004, 451943</t>
  </si>
  <si>
    <t>1807772, 672008</t>
  </si>
  <si>
    <t>0, 2259715</t>
  </si>
  <si>
    <t>0, 69684</t>
  </si>
  <si>
    <t>2024-07-26 00:00:00, 2024-09-12 00:00:00</t>
  </si>
  <si>
    <t>2024-10-03 00:00:00, 2025-02-12 00:00:00</t>
  </si>
  <si>
    <t>4519430, 960012</t>
  </si>
  <si>
    <t>4466295, 932202</t>
  </si>
  <si>
    <t>-16549, 27810</t>
  </si>
  <si>
    <t>0.42310000000000003, 0.7426999999999999</t>
  </si>
  <si>
    <t>22028000022139432, 22028000022140268</t>
  </si>
  <si>
    <t>51788000002736344</t>
  </si>
  <si>
    <t>zcrm_51788000268564075, zcrm_51788000268564206</t>
  </si>
  <si>
    <t>2024-05-10 12:08:38, 2024-05-21 10:13:53</t>
  </si>
  <si>
    <t>Mr. Louis Lopez</t>
  </si>
  <si>
    <t>principal@greenwoodhigh.edu.in</t>
  </si>
  <si>
    <t>+918146090697</t>
  </si>
  <si>
    <t>Madhumita Maity</t>
  </si>
  <si>
    <t>Madhumitama@greenwoodhigh.edu.in</t>
  </si>
  <si>
    <t>+919880852902</t>
  </si>
  <si>
    <t>201000</t>
  </si>
  <si>
    <t>No.8-14, Chikkawadayarapura, Near Heggondahalli, Gunjur Post, Sarjapura Road</t>
  </si>
  <si>
    <t>560087</t>
  </si>
  <si>
    <t>BLRG04831B</t>
  </si>
  <si>
    <t>St. Kabir Public School, Chandigarh</t>
  </si>
  <si>
    <t>IN-2022001846, IN-2022001847</t>
  </si>
  <si>
    <t>1100, 1350</t>
  </si>
  <si>
    <t>199137, 89388</t>
  </si>
  <si>
    <t>0, 5742</t>
  </si>
  <si>
    <t>357552, 796548</t>
  </si>
  <si>
    <t>360912.19, 764407.81</t>
  </si>
  <si>
    <t>-3360, 26398</t>
  </si>
  <si>
    <t>0.5416, 0.5781000000000001</t>
  </si>
  <si>
    <t>Chandigarh</t>
  </si>
  <si>
    <t>22028000021909904, 22028000021909956</t>
  </si>
  <si>
    <t>51788000002731067</t>
  </si>
  <si>
    <t>zcrm_51788000265412025, zcrm_51788000265412205</t>
  </si>
  <si>
    <t>2024-04-11 09:42:27, 2024-04-11 09:42:32</t>
  </si>
  <si>
    <t>Ms. Shallu Pahooja</t>
  </si>
  <si>
    <t>e0074shallupahooja@stkabir.co.in</t>
  </si>
  <si>
    <t>+919872044999</t>
  </si>
  <si>
    <t>contact@stkabir.co.in</t>
  </si>
  <si>
    <t>Sector 26, Chandigarh, 160019</t>
  </si>
  <si>
    <t>160019</t>
  </si>
  <si>
    <t>PTLK10205G</t>
  </si>
  <si>
    <t>Witty International School, Malad (W)</t>
  </si>
  <si>
    <t>4346192024.00</t>
  </si>
  <si>
    <t>278400</t>
  </si>
  <si>
    <t>4346192024</t>
  </si>
  <si>
    <t>Nand Vidya Niketan</t>
  </si>
  <si>
    <t>IN-2022001947</t>
  </si>
  <si>
    <t>600046</t>
  </si>
  <si>
    <t>400031</t>
  </si>
  <si>
    <t>96618.6</t>
  </si>
  <si>
    <t>1000077</t>
  </si>
  <si>
    <t>900000</t>
  </si>
  <si>
    <t>3458</t>
  </si>
  <si>
    <t>0.8418000000000001</t>
  </si>
  <si>
    <t>22028000022173280</t>
  </si>
  <si>
    <t>51788000002736697</t>
  </si>
  <si>
    <t>zcrm_51788000255123883</t>
  </si>
  <si>
    <t>2024-04-20 14:07:01</t>
  </si>
  <si>
    <t>Mr. Radheshyam Pandey</t>
  </si>
  <si>
    <t>muliyagaurav@gmail.com</t>
  </si>
  <si>
    <t>+919099056791</t>
  </si>
  <si>
    <t>nvn.nvn@redffmail.com</t>
  </si>
  <si>
    <t>58000</t>
  </si>
  <si>
    <t>Dhichda Ring Road, Near Shrinath Petrol Pump</t>
  </si>
  <si>
    <t>361009</t>
  </si>
  <si>
    <t>RKTV03949B</t>
  </si>
  <si>
    <t>Hollotoli School</t>
  </si>
  <si>
    <t>IN-2022001687, IN-2022001688</t>
  </si>
  <si>
    <t>2245</t>
  </si>
  <si>
    <t>1428</t>
  </si>
  <si>
    <t>120074, 130797</t>
  </si>
  <si>
    <t>39989, 51421</t>
  </si>
  <si>
    <t>2024-04-20 00:00:00, 2024-07-05 00:00:00</t>
  </si>
  <si>
    <t>480296, 523188</t>
  </si>
  <si>
    <t>431880, 462785</t>
  </si>
  <si>
    <t>8427, 8982</t>
  </si>
  <si>
    <t>0.5318999999999999, 0.5322</t>
  </si>
  <si>
    <t>Dimapur</t>
  </si>
  <si>
    <t>22028000021615164, 22028000021615212</t>
  </si>
  <si>
    <t>51788000002736726</t>
  </si>
  <si>
    <t>zcrm_51788000266788073, zcrm_51788000266788210</t>
  </si>
  <si>
    <t>2024-03-22 10:20:07, 2024-03-22 13:37:07</t>
  </si>
  <si>
    <t>Ms. Chubamenla Jamir</t>
  </si>
  <si>
    <t>hollotolischool@gmail.com</t>
  </si>
  <si>
    <t>+918259801363</t>
  </si>
  <si>
    <t>Apunsha</t>
  </si>
  <si>
    <t>+917005899910</t>
  </si>
  <si>
    <t>N.H. 29, Padampukhiri, Purana Bazar</t>
  </si>
  <si>
    <t>797116</t>
  </si>
  <si>
    <t>SHLH01793B</t>
  </si>
  <si>
    <t>Padampukhiri, Purana Bazar</t>
  </si>
  <si>
    <t>St. George^s School</t>
  </si>
  <si>
    <t>IN-2022001845</t>
  </si>
  <si>
    <t>312048</t>
  </si>
  <si>
    <t>728112</t>
  </si>
  <si>
    <t>2024-11-13 00:00:00</t>
  </si>
  <si>
    <t>1040160</t>
  </si>
  <si>
    <t>926055</t>
  </si>
  <si>
    <t>114105</t>
  </si>
  <si>
    <t>22028000021909844</t>
  </si>
  <si>
    <t>51788000002731098</t>
  </si>
  <si>
    <t>zcrm_51788000267583006</t>
  </si>
  <si>
    <t>2024-04-13 12:20:46</t>
  </si>
  <si>
    <t>Ms. Anjali Massey</t>
  </si>
  <si>
    <t>stgeorgeschool_alaknanda@yahoo.com</t>
  </si>
  <si>
    <t>+919999685435</t>
  </si>
  <si>
    <t>info@sgs.edu.in</t>
  </si>
  <si>
    <t>Ms.Preetha</t>
  </si>
  <si>
    <t>preetha.sajan@sgs.edu.in</t>
  </si>
  <si>
    <t>+919910168793</t>
  </si>
  <si>
    <t>Plot No. 70, Alaknanda Don Bosco Rd, Opp. Niligiri Apartment, Alaknanda, New Delhi, Delhi ,New Delhi,Delhi - 110019</t>
  </si>
  <si>
    <t>Diamond Jubilee High School</t>
  </si>
  <si>
    <t>IN-2022002534</t>
  </si>
  <si>
    <t>22028000025622092</t>
  </si>
  <si>
    <t>51788000002731206</t>
  </si>
  <si>
    <t>zcrm_51788000274553003</t>
  </si>
  <si>
    <t>2024-10-22 12:56:21</t>
  </si>
  <si>
    <t>Taskeen Bhore</t>
  </si>
  <si>
    <t>taskeen.bhore@akesi.org</t>
  </si>
  <si>
    <t>+919773181614</t>
  </si>
  <si>
    <t>nutan.iyer@akesi.org</t>
  </si>
  <si>
    <t>Peptina B</t>
  </si>
  <si>
    <t>+918097952434</t>
  </si>
  <si>
    <t>39/43 Diamond Complex, Nesbit Road, Mazagaon,</t>
  </si>
  <si>
    <t>GEAR Innovative International School</t>
  </si>
  <si>
    <t>2024-05-25 00:00:00, 2024-05-27 00:00:00, 2024-12-11 00:00:00</t>
  </si>
  <si>
    <t>IN-2022002090, IN-2022002098, IN-2022002679</t>
  </si>
  <si>
    <t>655</t>
  </si>
  <si>
    <t>0, 1932</t>
  </si>
  <si>
    <t>2024-05-31 00:00:00, 2024-06-10 00:00:00, 2024-12-11 00:00:00</t>
  </si>
  <si>
    <t>0, 1539041, 578541</t>
  </si>
  <si>
    <t>0, 1385137, 519935</t>
  </si>
  <si>
    <t>0, 153904, 58606</t>
  </si>
  <si>
    <t>0.6368, 0.6546, 1</t>
  </si>
  <si>
    <t>22028000022640280, 22028000022641696, 22028000026784392</t>
  </si>
  <si>
    <t>51788000002728437</t>
  </si>
  <si>
    <t>zcrm_51788000269925030, zcrm_51788000270086001, zcrm_51788000279441001</t>
  </si>
  <si>
    <t>aruna_ei, nisha.murali_eiindia</t>
  </si>
  <si>
    <t>aruna@ei.study, nisha.murali@ei.study</t>
  </si>
  <si>
    <t>Aruna, Nisha murali</t>
  </si>
  <si>
    <t>2024-06-03 10:04:13, 2024-06-03 10:04:32, 2024-12-13 10:19:14</t>
  </si>
  <si>
    <t>Mr. Maruf Shaikh, Mr. Sarvesh Srinivasan</t>
  </si>
  <si>
    <t>maruf.shaikh@ei.study, sarvesh@gear.ac.in</t>
  </si>
  <si>
    <t>Mr. Maruf Shaikh, Mrs.Nandini Bhat</t>
  </si>
  <si>
    <t>maruf.shaikh@ei.study, principal.gurukul@gear.ac.in</t>
  </si>
  <si>
    <t>+919016039311, +919741255422</t>
  </si>
  <si>
    <t>Lakshmi Ganesh, Mr. Maruf Shaikh</t>
  </si>
  <si>
    <t>lakshmi.gn@gear.ac.in, maruf.shaikh@ei.study</t>
  </si>
  <si>
    <t>No. 175, Gear Road, Off Sarajpur Road &amp; Outer Ring Road, Doddakanelli</t>
  </si>
  <si>
    <t>560035</t>
  </si>
  <si>
    <t>St. Stanislaus International School</t>
  </si>
  <si>
    <t>2024-05-02 00:00:00, 2024-08-17 00:00:00</t>
  </si>
  <si>
    <t>IN-2022001996, IN-2022002446</t>
  </si>
  <si>
    <t>2024-04-30 00:00:00, 2024-08-17 00:00:00</t>
  </si>
  <si>
    <t>0, 2486</t>
  </si>
  <si>
    <t>2024-04-30 00:00:00, 2024-09-06 00:00:00</t>
  </si>
  <si>
    <t>143438, 29340</t>
  </si>
  <si>
    <t>101446, 26854</t>
  </si>
  <si>
    <t>0, 41992</t>
  </si>
  <si>
    <t>0.09449999999999999</t>
  </si>
  <si>
    <t>2025-04-24 00:00:00, 2025-07-31 00:00:00</t>
  </si>
  <si>
    <t>22028000022340028, 22028000024174432</t>
  </si>
  <si>
    <t>51788000087604795</t>
  </si>
  <si>
    <t>zcrm_51788000268664580, zcrm_51788000272997511</t>
  </si>
  <si>
    <t>2024-05-03 14:39:19, 2024-08-28 10:56:06</t>
  </si>
  <si>
    <t>Montwin D'Costa, Mr. Montwin D'Costa</t>
  </si>
  <si>
    <t>principal@stanislausinternational.in</t>
  </si>
  <si>
    <t>+919152424557</t>
  </si>
  <si>
    <t>igcse@stanislausinternational.in</t>
  </si>
  <si>
    <t>Mr. Montwin D'Costa</t>
  </si>
  <si>
    <t>Ms.Emerlin</t>
  </si>
  <si>
    <t>emerlin@stanislausinternational.in</t>
  </si>
  <si>
    <t>+919833109176</t>
  </si>
  <si>
    <t>74600</t>
  </si>
  <si>
    <t>65 Ramdas Nayak Rd.(Hill Road), Bandra,</t>
  </si>
  <si>
    <t>Vimukti Girls School, Jaipur</t>
  </si>
  <si>
    <t>2024-06-27 00:00:00, 2025-03-05 00:00:00</t>
  </si>
  <si>
    <t>Ei ASSET, Ei ASSET,Ei CARES,Ei Mindspark</t>
  </si>
  <si>
    <t>IN-2022002282, IN-2022002974</t>
  </si>
  <si>
    <t>2000-01-01 00:00:00, 2024-09-15 00:00:00</t>
  </si>
  <si>
    <t>2000-01-01 00:00:00, 2024-11-15 00:00:00</t>
  </si>
  <si>
    <t>Jaipur</t>
  </si>
  <si>
    <t>2024-04-01 00:00:00, 2024-06-05 00:00:00</t>
  </si>
  <si>
    <t>22028000023204188, 22028000028489120</t>
  </si>
  <si>
    <t>51788000139252041</t>
  </si>
  <si>
    <t>zcrm_51788000271143164, zcrm_51788000285921028</t>
  </si>
  <si>
    <t>anshul.nagpal_ei, shruti.chauhan_ei</t>
  </si>
  <si>
    <t>anshul.nagpal@ei.study, shruti.chauhan@ei.study</t>
  </si>
  <si>
    <t>Anshul nagpal, Shruti chauhan</t>
  </si>
  <si>
    <t>2024-06-27 15:34:09, 2025-03-05 15:25:41</t>
  </si>
  <si>
    <t>Maruf Shaikh, Navratan Sharma</t>
  </si>
  <si>
    <t>Admin, Other</t>
  </si>
  <si>
    <t>maruf.shaikh@ei.study, nav@vimuktisanstha.org</t>
  </si>
  <si>
    <t>+919016039311, +919571903783</t>
  </si>
  <si>
    <t>vimukti_school@yahoo.co.in</t>
  </si>
  <si>
    <t>Ms. Jyoti Dixit, Navratan Sharma</t>
  </si>
  <si>
    <t>jyoti@vimuktisanstha.org, nav@vimuktisanstha.org</t>
  </si>
  <si>
    <t>+919571903783</t>
  </si>
  <si>
    <t>Mr. Navrattan Sharma, Navratan Sharma</t>
  </si>
  <si>
    <t>nav@vimuktisanstha.org</t>
  </si>
  <si>
    <t>C/o Alpha beta school, Sanganer, Sector - 16, Pratap Nagar</t>
  </si>
  <si>
    <t>302033</t>
  </si>
  <si>
    <t>Sanganer, Sector - 16, Pratap Nagar</t>
  </si>
  <si>
    <t>Sri Kumaran Children^s Home CBSE</t>
  </si>
  <si>
    <t>IN-2022002112</t>
  </si>
  <si>
    <t>139800</t>
  </si>
  <si>
    <t>39930</t>
  </si>
  <si>
    <t>559200</t>
  </si>
  <si>
    <t>380971</t>
  </si>
  <si>
    <t>138299</t>
  </si>
  <si>
    <t>0.25</t>
  </si>
  <si>
    <t>22028000022677624</t>
  </si>
  <si>
    <t>51788000160486249</t>
  </si>
  <si>
    <t>zcrm_51788000269929072</t>
  </si>
  <si>
    <t>2024-06-06 17:14:43</t>
  </si>
  <si>
    <t>Sri Kumaran Children^s Academy, Bangalore</t>
  </si>
  <si>
    <t>IN-2022002108</t>
  </si>
  <si>
    <t>71400</t>
  </si>
  <si>
    <t>48191</t>
  </si>
  <si>
    <t>2025-01-23 00:00:00</t>
  </si>
  <si>
    <t>285600</t>
  </si>
  <si>
    <t>351076</t>
  </si>
  <si>
    <t>-113667</t>
  </si>
  <si>
    <t>22028000022677412</t>
  </si>
  <si>
    <t>51788000160486325</t>
  </si>
  <si>
    <t>zcrm_51788000269952464</t>
  </si>
  <si>
    <t>2024-07-09 11:36:53</t>
  </si>
  <si>
    <t>G.D.Goenka Public School Dakshineswar</t>
  </si>
  <si>
    <t>2024-12-08 00:00:00</t>
  </si>
  <si>
    <t>IN-2022002672</t>
  </si>
  <si>
    <t>620</t>
  </si>
  <si>
    <t>319274</t>
  </si>
  <si>
    <t>0.5867</t>
  </si>
  <si>
    <t>22028000026753048</t>
  </si>
  <si>
    <t>51788000160824211</t>
  </si>
  <si>
    <t>zcrm_51788000279122240</t>
  </si>
  <si>
    <t>2024-12-11 10:06:23</t>
  </si>
  <si>
    <t>Dr. Aniruddha Bhattacharya</t>
  </si>
  <si>
    <t>bgkv.kolkata@gmail.com</t>
  </si>
  <si>
    <t>+918335060112</t>
  </si>
  <si>
    <t>enquiry@gdgdakshineswar.com</t>
  </si>
  <si>
    <t>viceprincipal@gdgdakshineswar.com</t>
  </si>
  <si>
    <t>Ms Paromita Bagchi</t>
  </si>
  <si>
    <t>primaryincharge@gdgdakshineswar.com</t>
  </si>
  <si>
    <t>+919903200644</t>
  </si>
  <si>
    <t>48A, Bidyayatan Sarani</t>
  </si>
  <si>
    <t>700035</t>
  </si>
  <si>
    <t>Bidyayatan Sarani, Baranagar</t>
  </si>
  <si>
    <t>48A,PWD Rd, Bidyayatan Sarani, Baranagar</t>
  </si>
  <si>
    <t>SES Gurukul</t>
  </si>
  <si>
    <t>IN-2022002287</t>
  </si>
  <si>
    <t>195513</t>
  </si>
  <si>
    <t>39169</t>
  </si>
  <si>
    <t>391026</t>
  </si>
  <si>
    <t>352524</t>
  </si>
  <si>
    <t>-667</t>
  </si>
  <si>
    <t>0.5553</t>
  </si>
  <si>
    <t>22028000023213104</t>
  </si>
  <si>
    <t>51788000162137105</t>
  </si>
  <si>
    <t>zcrm_51788000270364394</t>
  </si>
  <si>
    <t>2024-07-01 15:47:00</t>
  </si>
  <si>
    <t>Maneesha J</t>
  </si>
  <si>
    <t>gurukulpuneprincipal@gmail.com</t>
  </si>
  <si>
    <t>+919560555404</t>
  </si>
  <si>
    <t>gurukulprincipal@gmail.com</t>
  </si>
  <si>
    <t>University Road</t>
  </si>
  <si>
    <t>411016</t>
  </si>
  <si>
    <t>Hopes and Dreams Trust</t>
  </si>
  <si>
    <t>2024-05-30 00:00:00, 2024-06-01 00:00:00</t>
  </si>
  <si>
    <t>IN-2022002128, IN-2022002141</t>
  </si>
  <si>
    <t>1047, 849</t>
  </si>
  <si>
    <t>1027, 1047</t>
  </si>
  <si>
    <t>5440, 7748</t>
  </si>
  <si>
    <t>54394, 77478</t>
  </si>
  <si>
    <t>48954, 69730</t>
  </si>
  <si>
    <t>0.5942000000000001, 0.6038</t>
  </si>
  <si>
    <t>0.3942, 0.40380000000000005</t>
  </si>
  <si>
    <t>Gurgaon</t>
  </si>
  <si>
    <t>22028000022730172, 22028000022758268</t>
  </si>
  <si>
    <t>51788000092806131</t>
  </si>
  <si>
    <t>zcrm_51788000270147039, zcrm_51788000270147169</t>
  </si>
  <si>
    <t>2024-06-24 11:24:14, 2024-06-24 15:20:24</t>
  </si>
  <si>
    <t>Mrs. Garima Gulati</t>
  </si>
  <si>
    <t>Other, School Owner</t>
  </si>
  <si>
    <t>garima@sitare.org</t>
  </si>
  <si>
    <t>+919711226521</t>
  </si>
  <si>
    <t>info@sitare.org</t>
  </si>
  <si>
    <t>1st floor, Vatika Triangle, Sushant Lok. Phase-1, MG Road</t>
  </si>
  <si>
    <t>JDHH03078F</t>
  </si>
  <si>
    <t>Adani International School</t>
  </si>
  <si>
    <t>2024-08-09 00:00:00</t>
  </si>
  <si>
    <t>IN-2022002412</t>
  </si>
  <si>
    <t>5603</t>
  </si>
  <si>
    <t>2024-10-18 00:00:00</t>
  </si>
  <si>
    <t>284061</t>
  </si>
  <si>
    <t>274557</t>
  </si>
  <si>
    <t>3901</t>
  </si>
  <si>
    <t>0.6185</t>
  </si>
  <si>
    <t>0.4685</t>
  </si>
  <si>
    <t>22028000024037040</t>
  </si>
  <si>
    <t>51788000174638058</t>
  </si>
  <si>
    <t>zcrm_51788000272790001</t>
  </si>
  <si>
    <t>2024-08-20 09:22:07</t>
  </si>
  <si>
    <t>Ms. Sonia</t>
  </si>
  <si>
    <t>sonia.raina@adaniinternational.edu.in</t>
  </si>
  <si>
    <t>+919099932339</t>
  </si>
  <si>
    <t>admissions@adani.com</t>
  </si>
  <si>
    <t>Shantigram, Vaishnodevi Circle, Ahmedabad</t>
  </si>
  <si>
    <t>The HDFC School, Bengaluru</t>
  </si>
  <si>
    <t>IN-2022001638</t>
  </si>
  <si>
    <t>5694</t>
  </si>
  <si>
    <t>276879</t>
  </si>
  <si>
    <t>278984.1</t>
  </si>
  <si>
    <t>-7799</t>
  </si>
  <si>
    <t>22028000021537208</t>
  </si>
  <si>
    <t>51788000174827655</t>
  </si>
  <si>
    <t>zcrm_51788000266711001</t>
  </si>
  <si>
    <t>2024-04-10 19:56:30</t>
  </si>
  <si>
    <t>Ms. Shruti Nirmal</t>
  </si>
  <si>
    <t>shruthi.nirmal@yahoo.co.in</t>
  </si>
  <si>
    <t>+919686598830</t>
  </si>
  <si>
    <t>admissions.blr@thehdfcschool.com</t>
  </si>
  <si>
    <t>Parvathy Seshadri</t>
  </si>
  <si>
    <t>principal.blr@thehdfcschool.com</t>
  </si>
  <si>
    <t>+919886311572</t>
  </si>
  <si>
    <t>Shruti Nirmal</t>
  </si>
  <si>
    <t>Survey No. 13, Nehru Nagar, Shivanahalli Road, Off Jakkur - Yelahanka Road,</t>
  </si>
  <si>
    <t>560064</t>
  </si>
  <si>
    <t>RTKE01663E</t>
  </si>
  <si>
    <t>SRGVVK Trust School</t>
  </si>
  <si>
    <t>IN-2022002295</t>
  </si>
  <si>
    <t>22028000023210600</t>
  </si>
  <si>
    <t>51788000175875849</t>
  </si>
  <si>
    <t>zcrm_51788000270931249</t>
  </si>
  <si>
    <t>2024-06-29 14:22:00</t>
  </si>
  <si>
    <t>4charityschool@gmail.com</t>
  </si>
  <si>
    <t>vaddara palaya,JP Nagar, 8th phase, 2nd block,Gottigere(P)</t>
  </si>
  <si>
    <t>Don Bosco Higher Secondary School (Tezpur)</t>
  </si>
  <si>
    <t>2024-08-14 00:00:00, 2024-09-09 00:00:00</t>
  </si>
  <si>
    <t>IN-2022002424, IN-2022002481</t>
  </si>
  <si>
    <t>0, 1470</t>
  </si>
  <si>
    <t>2024-08-26 00:00:00, 2024-09-30 00:00:00</t>
  </si>
  <si>
    <t>0, 168168</t>
  </si>
  <si>
    <t>0, 126126</t>
  </si>
  <si>
    <t>0, 3363</t>
  </si>
  <si>
    <t>2025-02-07 00:00:00</t>
  </si>
  <si>
    <t>0, 420420</t>
  </si>
  <si>
    <t>0, 415587</t>
  </si>
  <si>
    <t>0.58, 1</t>
  </si>
  <si>
    <t>22028000024105664, 22028000024642812</t>
  </si>
  <si>
    <t>51788000176673001</t>
  </si>
  <si>
    <t>zcrm_51788000272329308</t>
  </si>
  <si>
    <t>2024-08-16 11:47:47, 2024-09-20 09:57:21</t>
  </si>
  <si>
    <t>Fr. Hippoletus Toppo</t>
  </si>
  <si>
    <t>donboscotezpur@gmail.com</t>
  </si>
  <si>
    <t>+918811893843</t>
  </si>
  <si>
    <t>Michael Sir</t>
  </si>
  <si>
    <t>+917085805015</t>
  </si>
  <si>
    <t>19400</t>
  </si>
  <si>
    <t>Near Mission Chariali</t>
  </si>
  <si>
    <t>784501</t>
  </si>
  <si>
    <t>Navy Children School</t>
  </si>
  <si>
    <t>IN-2022002062</t>
  </si>
  <si>
    <t>547113</t>
  </si>
  <si>
    <t>109422.62</t>
  </si>
  <si>
    <t>1094226</t>
  </si>
  <si>
    <t>984801</t>
  </si>
  <si>
    <t>Vasco</t>
  </si>
  <si>
    <t>Goa</t>
  </si>
  <si>
    <t>22028000022582064</t>
  </si>
  <si>
    <t>51788000002737760</t>
  </si>
  <si>
    <t>zcrm_51788000257889420</t>
  </si>
  <si>
    <t>2024-06-21 17:21:18</t>
  </si>
  <si>
    <t>Anupama Mehra</t>
  </si>
  <si>
    <t>ncsgoa@yahoo.co.in</t>
  </si>
  <si>
    <t>+919923064003</t>
  </si>
  <si>
    <t>68000</t>
  </si>
  <si>
    <t>403711</t>
  </si>
  <si>
    <t>BLRN05952C</t>
  </si>
  <si>
    <t>Vimukti Sanstha - Project DDGIC</t>
  </si>
  <si>
    <t>IN-2022002283</t>
  </si>
  <si>
    <t>UP Board</t>
  </si>
  <si>
    <t>22028000023204316</t>
  </si>
  <si>
    <t>51788000174718895</t>
  </si>
  <si>
    <t>zcrm_51788000271143027</t>
  </si>
  <si>
    <t>2024-06-27 15:50:00</t>
  </si>
  <si>
    <t>ddgic123@gmail.com</t>
  </si>
  <si>
    <t>C/o Alpha Beta School, Sector 16, Pratap Nagar</t>
  </si>
  <si>
    <t>bye pass road</t>
  </si>
  <si>
    <t>Firozabad</t>
  </si>
  <si>
    <t>283203</t>
  </si>
  <si>
    <t>The Premia Academy</t>
  </si>
  <si>
    <t>2024-05-06 00:00:00, 2025-04-04 00:00:00</t>
  </si>
  <si>
    <t>IN-2022002013, IN-2022003207</t>
  </si>
  <si>
    <t>2024-05-10 00:00:00, 2024-12-31 00:00:00</t>
  </si>
  <si>
    <t>2024-05-17 00:00:00, 2025-05-12 00:00:00</t>
  </si>
  <si>
    <t>190800, 281384</t>
  </si>
  <si>
    <t>0.4167, 0.5</t>
  </si>
  <si>
    <t>2025-04-30 00:00:00, 2025-05-10 00:00:00</t>
  </si>
  <si>
    <t>22028000022382480, 22028000029106036</t>
  </si>
  <si>
    <t>51788000192055340</t>
  </si>
  <si>
    <t>zcrm_51788000269103301, zcrm_51788000269103432</t>
  </si>
  <si>
    <t>2024-05-15 17:50:36, 2025-04-04 19:09:11</t>
  </si>
  <si>
    <t>Mr. Ganesh, Ms. Arti Mandhania</t>
  </si>
  <si>
    <t>artimandhania@thepremiaacademy.com, head-operations@thepremiaacademy.com</t>
  </si>
  <si>
    <t>+919000162755, +919502795583</t>
  </si>
  <si>
    <t>na@gmail.com</t>
  </si>
  <si>
    <t>Ms. Trupti Rao</t>
  </si>
  <si>
    <t>principal@thepremiaacademy.com</t>
  </si>
  <si>
    <t>+919441107454</t>
  </si>
  <si>
    <t>Ms.Monica Arora</t>
  </si>
  <si>
    <t>hm@thepremiaacademy.com</t>
  </si>
  <si>
    <t>Pillar Number 102, 501, Road, Karwan Sahu,, Pillar Number 102, 501, Road, Karwan Sahu, Langar Houz, Attapur, Telangana</t>
  </si>
  <si>
    <t>500008</t>
  </si>
  <si>
    <t>Pillar Number 102, 501, Road, Karwan Sahu, Langar Houz, Attapur, Telangana</t>
  </si>
  <si>
    <t>Langar Houz, Attapur, Telangana</t>
  </si>
  <si>
    <t>K.S.N school</t>
  </si>
  <si>
    <t>2024-04-05 00:00:00, 2024-04-29 00:00:00</t>
  </si>
  <si>
    <t>IN-2022001863, IN-2022001972</t>
  </si>
  <si>
    <t>759</t>
  </si>
  <si>
    <t>106839, 15795</t>
  </si>
  <si>
    <t>249290, 36855</t>
  </si>
  <si>
    <t>25304, 5428</t>
  </si>
  <si>
    <t>2024-06-22 00:00:00, 2024-11-13 00:00:00</t>
  </si>
  <si>
    <t>356129, 52650</t>
  </si>
  <si>
    <t>331548, 48843</t>
  </si>
  <si>
    <t>-1621, -723</t>
  </si>
  <si>
    <t>0.1, 0.5192</t>
  </si>
  <si>
    <t>chennai</t>
  </si>
  <si>
    <t>2024-04-04 00:00:00, 2024-05-01 00:00:00</t>
  </si>
  <si>
    <t>22028000021940192, 22028000022296312</t>
  </si>
  <si>
    <t>51788000192259299</t>
  </si>
  <si>
    <t>zcrm_51788000267963129, zcrm_51788000269015174</t>
  </si>
  <si>
    <t>jasper.jessie_ei, vineeth.v_ei</t>
  </si>
  <si>
    <t>jasper.jessie@ei.study, vineeth.v@ei.study</t>
  </si>
  <si>
    <t>Jasper jessie, Vineeth v</t>
  </si>
  <si>
    <t>Gayathiri Ahobalan</t>
  </si>
  <si>
    <t>2024-04-09 14:44:02, 2024-05-10 16:09:01</t>
  </si>
  <si>
    <t>Dr. Sridhar V</t>
  </si>
  <si>
    <t>principal@ksnschool.in</t>
  </si>
  <si>
    <t>+919840168668</t>
  </si>
  <si>
    <t>school@ksnschool.in</t>
  </si>
  <si>
    <t>Soya</t>
  </si>
  <si>
    <t>soya.ck@gmail.com</t>
  </si>
  <si>
    <t>+919444533315</t>
  </si>
  <si>
    <t>No 1 South avenue , kamarajar nager, Tiruvanmayur</t>
  </si>
  <si>
    <t>600042</t>
  </si>
  <si>
    <t>600041</t>
  </si>
  <si>
    <t>NO.1, SOUTH AVENUE, KAMARAJ NAGAR , THIRUVANMIYUR</t>
  </si>
  <si>
    <t>Delhi Public School, Rohini</t>
  </si>
  <si>
    <t>2024-04-10 00:00:00, 2024-08-21 00:00:00</t>
  </si>
  <si>
    <t>50148952024.00, IN-2022002455</t>
  </si>
  <si>
    <t>2024-04-10 00:00:00, 2024-10-01 00:00:00</t>
  </si>
  <si>
    <t>2024-04-10 00:00:00, 2024-12-23 00:00:00</t>
  </si>
  <si>
    <t>2000-01-01 00:00:00, 2024-04-10 00:00:00</t>
  </si>
  <si>
    <t>2024-04-01 00:00:00, 2024-04-10 00:00:00</t>
  </si>
  <si>
    <t>2024-04-10 00:00:00, 2025-03-31 00:00:00</t>
  </si>
  <si>
    <t>22028000024247468, 50148952024</t>
  </si>
  <si>
    <t>51788000193494062</t>
  </si>
  <si>
    <t>zcrm_51788000273021068</t>
  </si>
  <si>
    <t>2024-04-10 00:00:00, 2024-08-21 16:00:02</t>
  </si>
  <si>
    <t>Mrs. Kanika Govi</t>
  </si>
  <si>
    <t>+919811995848</t>
  </si>
  <si>
    <t>principal@dpsrohini.com</t>
  </si>
  <si>
    <t>0, 117000</t>
  </si>
  <si>
    <t>Sector-24, Phase III, Rohini,</t>
  </si>
  <si>
    <t>110085</t>
  </si>
  <si>
    <t>, Sector-24, Phase III, Rohini, New Delhi-110085</t>
  </si>
  <si>
    <t>BAPS Swaminarayan Vidyamandir Girls Residential School</t>
  </si>
  <si>
    <t>2024-07-17 00:00:00</t>
  </si>
  <si>
    <t>IN-2022002357</t>
  </si>
  <si>
    <t>24874</t>
  </si>
  <si>
    <t>497475</t>
  </si>
  <si>
    <t>442530</t>
  </si>
  <si>
    <t>30071</t>
  </si>
  <si>
    <t>22028000023611108</t>
  </si>
  <si>
    <t>51788000193948634</t>
  </si>
  <si>
    <t>zcrm_51788000271908001</t>
  </si>
  <si>
    <t>2024-07-23 10:29:20</t>
  </si>
  <si>
    <t>Mr. Bharat Mavadia</t>
  </si>
  <si>
    <t>bharatmavadia@baps.edu.in</t>
  </si>
  <si>
    <t>+919998993394</t>
  </si>
  <si>
    <t>info.svmrandesan@in.baps.org</t>
  </si>
  <si>
    <t>City Pulse Cinema Lane, Koba-Gandhinagar Highway, At. Randesan</t>
  </si>
  <si>
    <t>382426</t>
  </si>
  <si>
    <t>AHMS02650E</t>
  </si>
  <si>
    <t>Tapasvi International School, Rajkot</t>
  </si>
  <si>
    <t>IN-2022001763</t>
  </si>
  <si>
    <t>1617</t>
  </si>
  <si>
    <t>663954</t>
  </si>
  <si>
    <t>467439.67</t>
  </si>
  <si>
    <t>196514</t>
  </si>
  <si>
    <t>0.7467</t>
  </si>
  <si>
    <t>0.5967</t>
  </si>
  <si>
    <t>22028000021790200</t>
  </si>
  <si>
    <t>51788000193904774</t>
  </si>
  <si>
    <t>zcrm_51788000267629001</t>
  </si>
  <si>
    <t>2024-04-09 15:34:32</t>
  </si>
  <si>
    <t>Mr. Amish Desai</t>
  </si>
  <si>
    <t>amish_desai2008@yahoo.com</t>
  </si>
  <si>
    <t>+919825628180</t>
  </si>
  <si>
    <t>tapasviinternationalschool@gmail.com</t>
  </si>
  <si>
    <t>Bhakti Ma'am</t>
  </si>
  <si>
    <t>+918160862053</t>
  </si>
  <si>
    <t>Raiya Road, Vajdigadh</t>
  </si>
  <si>
    <t>Na</t>
  </si>
  <si>
    <t>Nurture International School</t>
  </si>
  <si>
    <t>Ei ASSET,Ei Mindspark, Ei CARES</t>
  </si>
  <si>
    <t>IN-2022001991, IN-2022001992</t>
  </si>
  <si>
    <t>882</t>
  </si>
  <si>
    <t>1795</t>
  </si>
  <si>
    <t>2024-05-01 00:00:00, 2024-05-10 00:00:00</t>
  </si>
  <si>
    <t>27000, 45070</t>
  </si>
  <si>
    <t>2024-06-10 00:00:00, 2024-07-10 00:00:00</t>
  </si>
  <si>
    <t>292956, 54000</t>
  </si>
  <si>
    <t>2024-09-10 00:00:00, 2024-10-10 00:00:00</t>
  </si>
  <si>
    <t>394363, 54000</t>
  </si>
  <si>
    <t>0, 394363</t>
  </si>
  <si>
    <t>2023-10-16 00:00:00, 2024-05-28 00:00:00</t>
  </si>
  <si>
    <t>2024-08-31 00:00:00, 2025-03-12 00:00:00</t>
  </si>
  <si>
    <t>1126752, 135000</t>
  </si>
  <si>
    <t>1194702, 81000</t>
  </si>
  <si>
    <t>-67950, 54000</t>
  </si>
  <si>
    <t>0.25, 0.4117</t>
  </si>
  <si>
    <t>0.25, 0.3617</t>
  </si>
  <si>
    <t>22028000022333096, 22028000022333160</t>
  </si>
  <si>
    <t>51788000197341044</t>
  </si>
  <si>
    <t>zcrm_51788000263539959, zcrm_51788000269053061</t>
  </si>
  <si>
    <t>2024-05-10 17:32:27, 2024-05-10 17:32:34</t>
  </si>
  <si>
    <t>Ms. Suma HR, Ms. Suma Hr</t>
  </si>
  <si>
    <t>nisbbkdesk@nurtureinternational.in</t>
  </si>
  <si>
    <t>+917899299110</t>
  </si>
  <si>
    <t>nisbbkdesk@nutureschool.com</t>
  </si>
  <si>
    <t>Ms. Suma Hr</t>
  </si>
  <si>
    <t>Niti</t>
  </si>
  <si>
    <t>vp.nurtureinternational@gmail.com</t>
  </si>
  <si>
    <t>+919742064616</t>
  </si>
  <si>
    <t>9th mile stone, Hesargatta main road, Bagalgunte</t>
  </si>
  <si>
    <t>560073</t>
  </si>
  <si>
    <t>Billabong High International School Erode</t>
  </si>
  <si>
    <t>IN-2022002307</t>
  </si>
  <si>
    <t>3390</t>
  </si>
  <si>
    <t>50007</t>
  </si>
  <si>
    <t>450067</t>
  </si>
  <si>
    <t>0.44439999999999996</t>
  </si>
  <si>
    <t>Erode</t>
  </si>
  <si>
    <t>22028000023340164</t>
  </si>
  <si>
    <t>51788000209405021</t>
  </si>
  <si>
    <t>zcrm_51788000271423229</t>
  </si>
  <si>
    <t>2024-07-05 11:59:19</t>
  </si>
  <si>
    <t>Mr Vignesh .</t>
  </si>
  <si>
    <t>enquirie@billabonghighschoolerode.org</t>
  </si>
  <si>
    <t>+917825905566</t>
  </si>
  <si>
    <t>Principal@billabonghighschoolerode.org</t>
  </si>
  <si>
    <t>Sonia Thomas</t>
  </si>
  <si>
    <t>+919087505566</t>
  </si>
  <si>
    <t>Beside SIDCO, Nanjai Uthukuli,</t>
  </si>
  <si>
    <t>9000</t>
  </si>
  <si>
    <t>21000</t>
  </si>
  <si>
    <t>2025-08-18 00:00:00</t>
  </si>
  <si>
    <t>Tandon International School, Barnala</t>
  </si>
  <si>
    <t>IN-2022001233</t>
  </si>
  <si>
    <t>133457</t>
  </si>
  <si>
    <t>2023-11-27 00:00:00</t>
  </si>
  <si>
    <t>533828</t>
  </si>
  <si>
    <t>453828</t>
  </si>
  <si>
    <t>22028000019788516</t>
  </si>
  <si>
    <t>51788000211824585</t>
  </si>
  <si>
    <t>zcrm_51788000259602409</t>
  </si>
  <si>
    <t>2023-11-09 15:41:51</t>
  </si>
  <si>
    <t>Mr. Shiv Singla</t>
  </si>
  <si>
    <t>info@tandonschool.com</t>
  </si>
  <si>
    <t>+919888340003</t>
  </si>
  <si>
    <t>Near Taraksheel Chowk, Sanghera Bypass Road,</t>
  </si>
  <si>
    <t>Amrutvahinis NIDO International School</t>
  </si>
  <si>
    <t>IN-2022002001</t>
  </si>
  <si>
    <t>99011</t>
  </si>
  <si>
    <t>396044</t>
  </si>
  <si>
    <t>380710</t>
  </si>
  <si>
    <t>15334</t>
  </si>
  <si>
    <t>0.7222</t>
  </si>
  <si>
    <t>0.6722</t>
  </si>
  <si>
    <t>Sangamner</t>
  </si>
  <si>
    <t>22028000022347272</t>
  </si>
  <si>
    <t>51788000214715133</t>
  </si>
  <si>
    <t>zcrm_51788000266472025</t>
  </si>
  <si>
    <t>2024-05-08 16:23:00</t>
  </si>
  <si>
    <t>Anjali Kannawar</t>
  </si>
  <si>
    <t>anjali.kannawar@gmail.com</t>
  </si>
  <si>
    <t>+912425259203</t>
  </si>
  <si>
    <t>amrutvahininis@gmail.com</t>
  </si>
  <si>
    <t>Rajni Rupwate</t>
  </si>
  <si>
    <t>rajnirupwate@gmail.com</t>
  </si>
  <si>
    <t>+919689625437</t>
  </si>
  <si>
    <t>Behind Maze Ghar Housing Society ,Nashik Pune Highway ,Gunjalwadi</t>
  </si>
  <si>
    <t>422608</t>
  </si>
  <si>
    <t>DPS West</t>
  </si>
  <si>
    <t>IN-2022001598</t>
  </si>
  <si>
    <t>43346</t>
  </si>
  <si>
    <t>101140</t>
  </si>
  <si>
    <t>2890</t>
  </si>
  <si>
    <t>144486</t>
  </si>
  <si>
    <t>141596</t>
  </si>
  <si>
    <t>22028000021418112</t>
  </si>
  <si>
    <t>51788000217920131</t>
  </si>
  <si>
    <t>zcrm_51788000266298895</t>
  </si>
  <si>
    <t>2024-03-16 10:12:01</t>
  </si>
  <si>
    <t>Ms. Renu Dimri</t>
  </si>
  <si>
    <t>renudimri3574@gmail.com</t>
  </si>
  <si>
    <t>+919980364838</t>
  </si>
  <si>
    <t>info@west.dpsbangalore.edu</t>
  </si>
  <si>
    <t>Sy.No.17, Dombarahalli Village, Dasanapura Hobli</t>
  </si>
  <si>
    <t>562162</t>
  </si>
  <si>
    <t>Sy.No.17, Dombarahalli Village, Dasanapura Hobli,</t>
  </si>
  <si>
    <t>BLRK01734K</t>
  </si>
  <si>
    <t>Parle Tilak Vidyalaya (Secondary) ICSE</t>
  </si>
  <si>
    <t>IN-2022002262</t>
  </si>
  <si>
    <t>42075</t>
  </si>
  <si>
    <t>22028000023098416</t>
  </si>
  <si>
    <t>51788000220245196</t>
  </si>
  <si>
    <t>zcrm_51788000271035001</t>
  </si>
  <si>
    <t>2024-06-25 13:36:12</t>
  </si>
  <si>
    <t>Thanawala Lane, Off Mahatma Gandhi Road, Vile Parle (East)</t>
  </si>
  <si>
    <t>51788000220518500</t>
  </si>
  <si>
    <t>+919881796677</t>
  </si>
  <si>
    <t>pemsbhosari2018@gmail.com</t>
  </si>
  <si>
    <t>45300</t>
  </si>
  <si>
    <t>411026</t>
  </si>
  <si>
    <t>Sector No. 2, Rajwada, Indrayaninagar, Bhosari</t>
  </si>
  <si>
    <t>Indrayaninagar</t>
  </si>
  <si>
    <t>GG International School, Bavdhan</t>
  </si>
  <si>
    <t>IN-2022002301</t>
  </si>
  <si>
    <t>69006</t>
  </si>
  <si>
    <t>63500</t>
  </si>
  <si>
    <t>5506</t>
  </si>
  <si>
    <t>22028000023255480</t>
  </si>
  <si>
    <t>51788000224097089</t>
  </si>
  <si>
    <t>zcrm_51788000271133027</t>
  </si>
  <si>
    <t>2024-07-09 14:45:06</t>
  </si>
  <si>
    <t>Sukhvinder Kaur</t>
  </si>
  <si>
    <t>principal.bavdhan@myggis.org</t>
  </si>
  <si>
    <t>+919823129061</t>
  </si>
  <si>
    <t>Patil Nagar, Bavdhan Pune</t>
  </si>
  <si>
    <t>411021</t>
  </si>
  <si>
    <t>Creative Minds Global School</t>
  </si>
  <si>
    <t>IN-2022001502</t>
  </si>
  <si>
    <t>1891</t>
  </si>
  <si>
    <t>151089</t>
  </si>
  <si>
    <t>146645</t>
  </si>
  <si>
    <t>444379</t>
  </si>
  <si>
    <t>329261</t>
  </si>
  <si>
    <t>115118</t>
  </si>
  <si>
    <t>0.2727</t>
  </si>
  <si>
    <t>Neemuch,</t>
  </si>
  <si>
    <t>22028000021083152</t>
  </si>
  <si>
    <t>51788000234990158</t>
  </si>
  <si>
    <t>zcrm_51788000263752798</t>
  </si>
  <si>
    <t>2024-02-17 11:05:13</t>
  </si>
  <si>
    <t>Mr. Vikas Madnani</t>
  </si>
  <si>
    <t>vikasmadnani@gmail.com</t>
  </si>
  <si>
    <t>+919893314243</t>
  </si>
  <si>
    <t>Opp Gopi Dhani, Behind Maheshwari Warehouse</t>
  </si>
  <si>
    <t>458441</t>
  </si>
  <si>
    <t>Neemuch</t>
  </si>
  <si>
    <t>A M Naik School</t>
  </si>
  <si>
    <t>IN-2022002324</t>
  </si>
  <si>
    <t>414600</t>
  </si>
  <si>
    <t>22028000023392060</t>
  </si>
  <si>
    <t>51788000234546566</t>
  </si>
  <si>
    <t>zcrm_51788000271451132</t>
  </si>
  <si>
    <t>2024-07-11 15:37:04</t>
  </si>
  <si>
    <t>Mrs. Madhura Phadke</t>
  </si>
  <si>
    <t>sudarshan.kulkarni@amnaikschool.com</t>
  </si>
  <si>
    <t>+919819888625</t>
  </si>
  <si>
    <t>sudarshan.kulkarni@amnaikschool.in</t>
  </si>
  <si>
    <t>Saki Vihar Road, Between gate 1 &amp;2, Powai</t>
  </si>
  <si>
    <t>400072</t>
  </si>
  <si>
    <t>Powai</t>
  </si>
  <si>
    <t>Delhi Public School, Knowledge Park -V</t>
  </si>
  <si>
    <t>2024-04-01 00:00:00, 2024-08-21 00:00:00</t>
  </si>
  <si>
    <t>50161872024.00, IN-2022002454</t>
  </si>
  <si>
    <t>2024-04-01 00:00:00, 2024-10-01 00:00:00</t>
  </si>
  <si>
    <t>2024-04-01 00:00:00, 2024-12-23 00:00:00</t>
  </si>
  <si>
    <t>2024-04-01 00:00:00, 2025-03-31 00:00:00</t>
  </si>
  <si>
    <t>22028000024247424, 50161872024</t>
  </si>
  <si>
    <t>51788000232791003</t>
  </si>
  <si>
    <t>zcrm_51788000272933786</t>
  </si>
  <si>
    <t>2024-04-01 00:00:00, 2024-08-21 16:00:19</t>
  </si>
  <si>
    <t>Manju Verma</t>
  </si>
  <si>
    <t>admin@dpskpv.com</t>
  </si>
  <si>
    <t>DPS, Knowledge Park -V Plot No 224 &amp; 228 Knowledge Park-V, DPSS HRDC, (Opp. Major Rohit Chowk), Greater Noida (west) U.P. Pin: 201306</t>
  </si>
  <si>
    <t>IN-2022001446</t>
  </si>
  <si>
    <t>207017</t>
  </si>
  <si>
    <t>185400</t>
  </si>
  <si>
    <t>21617</t>
  </si>
  <si>
    <t>0.1666</t>
  </si>
  <si>
    <t>22028000020866376</t>
  </si>
  <si>
    <t>51788000235479360</t>
  </si>
  <si>
    <t>zcrm_51788000261367702</t>
  </si>
  <si>
    <t>2024-02-01 13:06:39</t>
  </si>
  <si>
    <t>Mr. Husain Tarvadi</t>
  </si>
  <si>
    <t>Husain2u@gmail.com</t>
  </si>
  <si>
    <t>+919687733971</t>
  </si>
  <si>
    <t>msbrajkot@gmail.com</t>
  </si>
  <si>
    <t>Husain Tarvadi</t>
  </si>
  <si>
    <t>husain2u@gmail.com</t>
  </si>
  <si>
    <t>25000</t>
  </si>
  <si>
    <t>Khandei street</t>
  </si>
  <si>
    <t>Kahnderi street</t>
  </si>
  <si>
    <t>GJ</t>
  </si>
  <si>
    <t>Mayoor School, Jaipur</t>
  </si>
  <si>
    <t>IN-2022001921, IN-2022001923</t>
  </si>
  <si>
    <t>2024-04-02 00:00:00, 2024-04-03 00:00:00</t>
  </si>
  <si>
    <t>45000, 59136</t>
  </si>
  <si>
    <t>2024-07-31 00:00:00, 2024-08-31 00:00:00</t>
  </si>
  <si>
    <t>103488, 45000</t>
  </si>
  <si>
    <t>0, 103488</t>
  </si>
  <si>
    <t>2025-04-23 00:00:00, 2025-05-09 00:00:00</t>
  </si>
  <si>
    <t>369600, 90000</t>
  </si>
  <si>
    <t>110000, 314338</t>
  </si>
  <si>
    <t>-20000, 55262</t>
  </si>
  <si>
    <t>0.6, 0.625</t>
  </si>
  <si>
    <t>2025-03-31 00:00:00, 2025-04-20 00:00:00</t>
  </si>
  <si>
    <t>22028000022126060, 22028000022126160</t>
  </si>
  <si>
    <t>51788000235822118</t>
  </si>
  <si>
    <t>zcrm_51788000267766825, zcrm_51788000268514565</t>
  </si>
  <si>
    <t>bhavyadeep.singh_ei</t>
  </si>
  <si>
    <t>bhavyadeep.singh@ei.study</t>
  </si>
  <si>
    <t>Bhavyadeep singh</t>
  </si>
  <si>
    <t>2024-04-20 12:47:57, 2024-04-20 13:43:50</t>
  </si>
  <si>
    <t>Mr. Naman Kandoi</t>
  </si>
  <si>
    <t>administrator@mayoorschooljaipur.org</t>
  </si>
  <si>
    <t>+919588841008</t>
  </si>
  <si>
    <t>124000</t>
  </si>
  <si>
    <t>ITS1, IT Park Rd, Sitapura Industrial area,Sitapura</t>
  </si>
  <si>
    <t>302022</t>
  </si>
  <si>
    <t>JPRG02102C</t>
  </si>
  <si>
    <t>The Pinnacle Global School, Neemuch</t>
  </si>
  <si>
    <t>IN-2022001553</t>
  </si>
  <si>
    <t>2800</t>
  </si>
  <si>
    <t>70006</t>
  </si>
  <si>
    <t>280024</t>
  </si>
  <si>
    <t>189000</t>
  </si>
  <si>
    <t>70024</t>
  </si>
  <si>
    <t>0.2631</t>
  </si>
  <si>
    <t>22028000021237836</t>
  </si>
  <si>
    <t>51788000234945100</t>
  </si>
  <si>
    <t>zcrm_51788000261044634</t>
  </si>
  <si>
    <t>2024-03-01 13:54:05</t>
  </si>
  <si>
    <t>Mr. Sanjay Gupta</t>
  </si>
  <si>
    <t>info@thepinnacleglobalschool.com</t>
  </si>
  <si>
    <t>+919806328807</t>
  </si>
  <si>
    <t>sanjaysujatanmh@yahoo.com</t>
  </si>
  <si>
    <t>Jawad Road</t>
  </si>
  <si>
    <t>Jawad Road, Bhadbhadiya Village</t>
  </si>
  <si>
    <t>Anekant English Medium School</t>
  </si>
  <si>
    <t>IN-2022001587</t>
  </si>
  <si>
    <t>351710</t>
  </si>
  <si>
    <t>703420</t>
  </si>
  <si>
    <t>631637</t>
  </si>
  <si>
    <t>71783</t>
  </si>
  <si>
    <t>0.46649999999999997</t>
  </si>
  <si>
    <t>Baramati</t>
  </si>
  <si>
    <t>22028000021357168</t>
  </si>
  <si>
    <t>51788000237553714</t>
  </si>
  <si>
    <t>zcrm_51788000257878344</t>
  </si>
  <si>
    <t>2024-03-16 14:18:28</t>
  </si>
  <si>
    <t>Richa Tiwari Diwan</t>
  </si>
  <si>
    <t>anekantems@gmail.com</t>
  </si>
  <si>
    <t>+918141478790</t>
  </si>
  <si>
    <t>Ramesh Munde</t>
  </si>
  <si>
    <t>+919822570356</t>
  </si>
  <si>
    <t>TC College</t>
  </si>
  <si>
    <t>413102</t>
  </si>
  <si>
    <t>H3 World School, Tragad</t>
  </si>
  <si>
    <t>IN-2022002485</t>
  </si>
  <si>
    <t>2024-09-17 00:00:00</t>
  </si>
  <si>
    <t>25800</t>
  </si>
  <si>
    <t>22028000024802404</t>
  </si>
  <si>
    <t>51788000243672425</t>
  </si>
  <si>
    <t>zcrm_51788000272067394</t>
  </si>
  <si>
    <t>2024-09-21 15:07:14</t>
  </si>
  <si>
    <t>Ms. Reena Srivastava</t>
  </si>
  <si>
    <t>adminmanager@h3worldschool.com</t>
  </si>
  <si>
    <t>+919904475120</t>
  </si>
  <si>
    <t>Principal@h3schools.com</t>
  </si>
  <si>
    <t>Leena Purohit</t>
  </si>
  <si>
    <t>principal@h3worldschool.com</t>
  </si>
  <si>
    <t>Purvi</t>
  </si>
  <si>
    <t>coordinator@h3worldschool.com</t>
  </si>
  <si>
    <t>+919033410298</t>
  </si>
  <si>
    <t>75500</t>
  </si>
  <si>
    <t>Sub plot 2, Survey no. 259 near dutt parisar tragad gam. Tragad</t>
  </si>
  <si>
    <t>382470</t>
  </si>
  <si>
    <t>ABS Smart Global School</t>
  </si>
  <si>
    <t>IN-2022002483</t>
  </si>
  <si>
    <t>95316</t>
  </si>
  <si>
    <t>381264</t>
  </si>
  <si>
    <t>301264</t>
  </si>
  <si>
    <t>22028000024750124</t>
  </si>
  <si>
    <t>51788000243719222</t>
  </si>
  <si>
    <t>zcrm_51788000255908054</t>
  </si>
  <si>
    <t>2024-09-13 11:34:53</t>
  </si>
  <si>
    <t>Mr. Shakthi Balasundaram</t>
  </si>
  <si>
    <t>drbala@absglobal.org</t>
  </si>
  <si>
    <t>+919500108134</t>
  </si>
  <si>
    <t>ktadmin@absglobal.org</t>
  </si>
  <si>
    <t>Gowri Krishna</t>
  </si>
  <si>
    <t>info@absglobal.org</t>
  </si>
  <si>
    <t>+919791064618</t>
  </si>
  <si>
    <t>Deivanai</t>
  </si>
  <si>
    <t>+919962180375</t>
  </si>
  <si>
    <t>Dr. Ysr street, near varadaraja perumal temple, korattur</t>
  </si>
  <si>
    <t>600076</t>
  </si>
  <si>
    <t>Tamil nadu</t>
  </si>
  <si>
    <t>Shri Rama Bharati School - Nahara Nahari</t>
  </si>
  <si>
    <t>IN-2022001374</t>
  </si>
  <si>
    <t>191646</t>
  </si>
  <si>
    <t>1954680</t>
  </si>
  <si>
    <t>1778549</t>
  </si>
  <si>
    <t>-15515</t>
  </si>
  <si>
    <t>22028000020435368</t>
  </si>
  <si>
    <t>51788000244584316</t>
  </si>
  <si>
    <t>zcrm_51788000262243620</t>
  </si>
  <si>
    <t>2024-01-17 17:43:21</t>
  </si>
  <si>
    <t>Poonam Khatri</t>
  </si>
  <si>
    <t>ino.nn@srbps.com</t>
  </si>
  <si>
    <t>+919992555105</t>
  </si>
  <si>
    <t>Nahara nahari road</t>
  </si>
  <si>
    <t>Silver Oaks International School, Ameenpur</t>
  </si>
  <si>
    <t>IN-2022002008</t>
  </si>
  <si>
    <t>141188</t>
  </si>
  <si>
    <t>423563</t>
  </si>
  <si>
    <t>56475</t>
  </si>
  <si>
    <t>564751</t>
  </si>
  <si>
    <t>508275.83</t>
  </si>
  <si>
    <t>22028000022365064</t>
  </si>
  <si>
    <t>51788000244596409</t>
  </si>
  <si>
    <t>zcrm_51788000269131501</t>
  </si>
  <si>
    <t>2024-05-29 11:11:33</t>
  </si>
  <si>
    <t>Mrs. Uma Devi Grandhe</t>
  </si>
  <si>
    <t>principal@odl.silveroaks.co.in</t>
  </si>
  <si>
    <t>+914041896699</t>
  </si>
  <si>
    <t>49500</t>
  </si>
  <si>
    <t>Sy no. 88 &amp; 89, Wadakpally Village, Near Beeramguda-Kistareddypet</t>
  </si>
  <si>
    <t>502319</t>
  </si>
  <si>
    <t>Birla Open Minds International School</t>
  </si>
  <si>
    <t>IN-2022001485</t>
  </si>
  <si>
    <t>102165</t>
  </si>
  <si>
    <t>145950</t>
  </si>
  <si>
    <t>145949</t>
  </si>
  <si>
    <t>22028000021002380</t>
  </si>
  <si>
    <t>51788000244590139</t>
  </si>
  <si>
    <t>zcrm_51788000264998017</t>
  </si>
  <si>
    <t>2024-02-14 17:02:25</t>
  </si>
  <si>
    <t>T. R, Bhanu Prabha</t>
  </si>
  <si>
    <t>director.krpuram@birlaopenminds.com</t>
  </si>
  <si>
    <t>+918095469992</t>
  </si>
  <si>
    <t>154000</t>
  </si>
  <si>
    <t>50/1, Margondanahalli, Kithagnur Main Road, Hebron Enclave Road</t>
  </si>
  <si>
    <t>MERU International School (Cambridge)</t>
  </si>
  <si>
    <t>IN-2022001651</t>
  </si>
  <si>
    <t>600364</t>
  </si>
  <si>
    <t>300182</t>
  </si>
  <si>
    <t>20283</t>
  </si>
  <si>
    <t>1200728</t>
  </si>
  <si>
    <t>1176450</t>
  </si>
  <si>
    <t>3995</t>
  </si>
  <si>
    <t>0.5972</t>
  </si>
  <si>
    <t>2025-03-14 00:00:00</t>
  </si>
  <si>
    <t>22028000021573412</t>
  </si>
  <si>
    <t>51788000244709470</t>
  </si>
  <si>
    <t>zcrm_51788000266848001</t>
  </si>
  <si>
    <t>2024-03-22 15:14:59</t>
  </si>
  <si>
    <t>Sy. No. 97(P) &amp; 98, Adjacent to My Home Jewel; Miyapur, Chandanagar</t>
  </si>
  <si>
    <t>Chandanagar</t>
  </si>
  <si>
    <t>Shiv Nadar School, Gurugram</t>
  </si>
  <si>
    <t>IN-2022002438</t>
  </si>
  <si>
    <t>1607</t>
  </si>
  <si>
    <t>72300</t>
  </si>
  <si>
    <t>22028000024145560</t>
  </si>
  <si>
    <t>51788000245425623</t>
  </si>
  <si>
    <t>zcrm_51788000272922248</t>
  </si>
  <si>
    <t>2024-08-16 15:50:40</t>
  </si>
  <si>
    <t>sameer.arora@sns.edu.in</t>
  </si>
  <si>
    <t>Pahari Road, Block E,</t>
  </si>
  <si>
    <t>Meru International School, Tellapur</t>
  </si>
  <si>
    <t>2024-03-15 00:00:00, 2024-03-18 00:00:00</t>
  </si>
  <si>
    <t>IN-2022001653, IN-2022001673</t>
  </si>
  <si>
    <t>112860, 80484</t>
  </si>
  <si>
    <t>112860, 40242</t>
  </si>
  <si>
    <t>0, 40242</t>
  </si>
  <si>
    <t>2586, 4517</t>
  </si>
  <si>
    <t>2024-10-24 00:00:00, 2025-06-13 00:00:00</t>
  </si>
  <si>
    <t>160968, 225720</t>
  </si>
  <si>
    <t>150041, 221205</t>
  </si>
  <si>
    <t>-2, 8341</t>
  </si>
  <si>
    <t>0.56, 0.5972</t>
  </si>
  <si>
    <t>2024-03-15 00:00:00, 2024-06-01 00:00:00</t>
  </si>
  <si>
    <t>22028000021573492, 22028000021610064</t>
  </si>
  <si>
    <t>51788000248350231</t>
  </si>
  <si>
    <t>zcrm_51788000266905001, zcrm_51788000266920001</t>
  </si>
  <si>
    <t>2024-03-22 15:19:13, 2024-03-22 15:19:17</t>
  </si>
  <si>
    <t>Ms. Satya Vani</t>
  </si>
  <si>
    <t>headmistress.tellapur@meruinternationalschool.com</t>
  </si>
  <si>
    <t>Ms. Prasanti MV</t>
  </si>
  <si>
    <t>prasanti.mv@meruinternationalschool.com</t>
  </si>
  <si>
    <t>+918121029792</t>
  </si>
  <si>
    <t>Sy.no.745/Part and 476/Part, Adjacent to My Home Tridasa</t>
  </si>
  <si>
    <t>Tellapur</t>
  </si>
  <si>
    <t>Aryavart Ancient Academy - Khurda</t>
  </si>
  <si>
    <t>IN-2022002329</t>
  </si>
  <si>
    <t>79002</t>
  </si>
  <si>
    <t>2025-09-29 00:00:00</t>
  </si>
  <si>
    <t>316008</t>
  </si>
  <si>
    <t>319897</t>
  </si>
  <si>
    <t>-3889</t>
  </si>
  <si>
    <t>0.6579999999999999</t>
  </si>
  <si>
    <t>Khurda</t>
  </si>
  <si>
    <t>22028000023460092</t>
  </si>
  <si>
    <t>51788000246301006</t>
  </si>
  <si>
    <t>zcrm_51788000271525089</t>
  </si>
  <si>
    <t>srikanta.rout_eiindia</t>
  </si>
  <si>
    <t>srikanta.rout@ei.study</t>
  </si>
  <si>
    <t>Srikanta rout</t>
  </si>
  <si>
    <t>2024-07-15 15:53:55</t>
  </si>
  <si>
    <t>Diptimayee Mohanty</t>
  </si>
  <si>
    <t>aryavartaa.krd@gmail.com</t>
  </si>
  <si>
    <t>+919777983807</t>
  </si>
  <si>
    <t>info@aaaschool.in</t>
  </si>
  <si>
    <t>31070</t>
  </si>
  <si>
    <t>Plot no 684, Haladipada, Arjunpur</t>
  </si>
  <si>
    <t>752056</t>
  </si>
  <si>
    <t>Aryavart Ancient Academy Plot no-684, Haladipada, Arjunpur, Khorda,Odisha-752056</t>
  </si>
  <si>
    <t>ODM Global School</t>
  </si>
  <si>
    <t>IN-2022001724</t>
  </si>
  <si>
    <t>1870</t>
  </si>
  <si>
    <t>190745</t>
  </si>
  <si>
    <t>3245</t>
  </si>
  <si>
    <t>2025-06-26 00:00:00</t>
  </si>
  <si>
    <t>762980</t>
  </si>
  <si>
    <t>767537</t>
  </si>
  <si>
    <t>-7802</t>
  </si>
  <si>
    <t>0.4657</t>
  </si>
  <si>
    <t>22028000021707060</t>
  </si>
  <si>
    <t>51788000252193001</t>
  </si>
  <si>
    <t>zcrm_51788000267420020</t>
  </si>
  <si>
    <t>2024-03-30 10:06:42</t>
  </si>
  <si>
    <t>Edu Valley, Jagannath Temple Road</t>
  </si>
  <si>
    <t>Jagannath Temple Road</t>
  </si>
  <si>
    <t>Discoveri Oaks School (CBSE)</t>
  </si>
  <si>
    <t>IN-2022001994</t>
  </si>
  <si>
    <t>63751</t>
  </si>
  <si>
    <t>61876</t>
  </si>
  <si>
    <t>187503</t>
  </si>
  <si>
    <t>56100</t>
  </si>
  <si>
    <t>131403</t>
  </si>
  <si>
    <t>22028000022336196</t>
  </si>
  <si>
    <t>51788000252532003</t>
  </si>
  <si>
    <t>zcrm_51788000268704236</t>
  </si>
  <si>
    <t>2024-05-02 13:08:44</t>
  </si>
  <si>
    <t>GD Goenka Public School</t>
  </si>
  <si>
    <t>2024-02-03 00:00:00</t>
  </si>
  <si>
    <t>IN-2022001467</t>
  </si>
  <si>
    <t>1650</t>
  </si>
  <si>
    <t>185650</t>
  </si>
  <si>
    <t>742600</t>
  </si>
  <si>
    <t>408840</t>
  </si>
  <si>
    <t>333760</t>
  </si>
  <si>
    <t>0.3653</t>
  </si>
  <si>
    <t>22028000020902620</t>
  </si>
  <si>
    <t>51788000253898454</t>
  </si>
  <si>
    <t>zcrm_51788000264573871</t>
  </si>
  <si>
    <t>2024-03-02 13:24:40</t>
  </si>
  <si>
    <t>Dr. Sunil Kumar</t>
  </si>
  <si>
    <t>principal@gdgoenkaranchi.com</t>
  </si>
  <si>
    <t>+919934603586</t>
  </si>
  <si>
    <t>sunilkumar1812@gmail.com</t>
  </si>
  <si>
    <t>Dr Sunil Kumar</t>
  </si>
  <si>
    <t>40500</t>
  </si>
  <si>
    <t>Doranda main road, Namkum</t>
  </si>
  <si>
    <t>834010</t>
  </si>
  <si>
    <t>Vega Schools Sector 76, Gurugram</t>
  </si>
  <si>
    <t>IN-2022002511</t>
  </si>
  <si>
    <t>979</t>
  </si>
  <si>
    <t>185032</t>
  </si>
  <si>
    <t>166529</t>
  </si>
  <si>
    <t>18503</t>
  </si>
  <si>
    <t>0.48009999999999997</t>
  </si>
  <si>
    <t>22028000025250996</t>
  </si>
  <si>
    <t>51788000253434015</t>
  </si>
  <si>
    <t>zcrm_51788000275112196</t>
  </si>
  <si>
    <t>2024-10-22 11:26:38</t>
  </si>
  <si>
    <t>Komal Sood</t>
  </si>
  <si>
    <t>Sweta Kumari</t>
  </si>
  <si>
    <t>Near toll plaza, NH-8, Kherki Daula</t>
  </si>
  <si>
    <t>122001</t>
  </si>
  <si>
    <t>Kikani Global Academy CBSE School</t>
  </si>
  <si>
    <t>IN-2022001798</t>
  </si>
  <si>
    <t>1076</t>
  </si>
  <si>
    <t>1368</t>
  </si>
  <si>
    <t>195076</t>
  </si>
  <si>
    <t>7042</t>
  </si>
  <si>
    <t>780304</t>
  </si>
  <si>
    <t>805276</t>
  </si>
  <si>
    <t>-32014</t>
  </si>
  <si>
    <t>0.7757999999999999</t>
  </si>
  <si>
    <t>22028000021866444</t>
  </si>
  <si>
    <t>51788000253250616</t>
  </si>
  <si>
    <t>zcrm_51788000267761332</t>
  </si>
  <si>
    <t>2024-04-30 17:15:39</t>
  </si>
  <si>
    <t>Mrs Shalini Nair. .</t>
  </si>
  <si>
    <t>kikaniglobalacademy@gmail.com</t>
  </si>
  <si>
    <t>+919500529443</t>
  </si>
  <si>
    <t>Mr Amarnath</t>
  </si>
  <si>
    <t>+919003913286</t>
  </si>
  <si>
    <t>65000</t>
  </si>
  <si>
    <t>Perur cheetipalayam Post</t>
  </si>
  <si>
    <t>641010</t>
  </si>
  <si>
    <t>Peru Chettipalayam Post</t>
  </si>
  <si>
    <t>Inventure Academy, Yeshwantpur Campus</t>
  </si>
  <si>
    <t>IN-2022002197</t>
  </si>
  <si>
    <t>63802</t>
  </si>
  <si>
    <t>1231</t>
  </si>
  <si>
    <t>127604</t>
  </si>
  <si>
    <t>127753</t>
  </si>
  <si>
    <t>-1380</t>
  </si>
  <si>
    <t>22028000022920176</t>
  </si>
  <si>
    <t>51788000254235235</t>
  </si>
  <si>
    <t>zcrm_51788000270585001</t>
  </si>
  <si>
    <t>2024-06-11 17:39:33</t>
  </si>
  <si>
    <t>Ms. Varsha Saxena</t>
  </si>
  <si>
    <t>varsha@inventureacademy.com</t>
  </si>
  <si>
    <t>+919686400459</t>
  </si>
  <si>
    <t>infoypr@inventureacademy.com</t>
  </si>
  <si>
    <t>122000</t>
  </si>
  <si>
    <t>Prestige Jindal City</t>
  </si>
  <si>
    <t>560066</t>
  </si>
  <si>
    <t>Delhi Public School, Sec 122</t>
  </si>
  <si>
    <t>2024-04-11 00:00:00, 2024-08-21 00:00:00</t>
  </si>
  <si>
    <t>50173832024.00, IN-2022002452</t>
  </si>
  <si>
    <t>2024-04-11 00:00:00, 2024-10-01 00:00:00</t>
  </si>
  <si>
    <t>2024-04-11 00:00:00, 2024-12-23 00:00:00</t>
  </si>
  <si>
    <t>2000-01-01 00:00:00, 2024-04-11 00:00:00</t>
  </si>
  <si>
    <t>2024-04-01 00:00:00, 2024-04-11 00:00:00</t>
  </si>
  <si>
    <t>2024-04-11 00:00:00, 2025-03-31 00:00:00</t>
  </si>
  <si>
    <t>22028000024247336, 50173832024</t>
  </si>
  <si>
    <t>51788000254759337</t>
  </si>
  <si>
    <t>zcrm_51788000272968873</t>
  </si>
  <si>
    <t>2024-04-11 00:00:00, 2024-08-21 16:01:03</t>
  </si>
  <si>
    <t>Ms. Vibha Singh</t>
  </si>
  <si>
    <t>principal@dps122noida.com</t>
  </si>
  <si>
    <t>Sector 122, Block C</t>
  </si>
  <si>
    <t>Prime Steps International School</t>
  </si>
  <si>
    <t>IN-2022001910</t>
  </si>
  <si>
    <t>1866</t>
  </si>
  <si>
    <t>55053</t>
  </si>
  <si>
    <t>220212</t>
  </si>
  <si>
    <t>22021</t>
  </si>
  <si>
    <t>198191</t>
  </si>
  <si>
    <t>0.633</t>
  </si>
  <si>
    <t>Shahzadpur</t>
  </si>
  <si>
    <t>22028000022087232</t>
  </si>
  <si>
    <t>51788000255780442</t>
  </si>
  <si>
    <t>zcrm_51788000255778479</t>
  </si>
  <si>
    <t>2024-04-24 17:57:14</t>
  </si>
  <si>
    <t>Mr. Rehan Sareen</t>
  </si>
  <si>
    <t>hr@primestepsschool.com</t>
  </si>
  <si>
    <t>+919896903995</t>
  </si>
  <si>
    <t>Near new Bus Stand</t>
  </si>
  <si>
    <t>Near New Bus Stand</t>
  </si>
  <si>
    <t>Vivekananda Mission School Baruipur</t>
  </si>
  <si>
    <t>2023-11-17 00:00:00</t>
  </si>
  <si>
    <t>IN-2022001264</t>
  </si>
  <si>
    <t>107247</t>
  </si>
  <si>
    <t>1366</t>
  </si>
  <si>
    <t>428988</t>
  </si>
  <si>
    <t>347599.1</t>
  </si>
  <si>
    <t>80023</t>
  </si>
  <si>
    <t>22028000019956960</t>
  </si>
  <si>
    <t>51788000255928009</t>
  </si>
  <si>
    <t>zcrm_51788000258088102</t>
  </si>
  <si>
    <t>2024-01-09 10:23:24</t>
  </si>
  <si>
    <t>CHANDRANI GHOSH</t>
  </si>
  <si>
    <t>principal-baruipur@vms.edu.in</t>
  </si>
  <si>
    <t>+918910219670</t>
  </si>
  <si>
    <t>Khasmallick, Baruipur (near Parimal kunja),</t>
  </si>
  <si>
    <t>700145</t>
  </si>
  <si>
    <t>Khasmallick, Baruipur (near Parimal kunja)</t>
  </si>
  <si>
    <t>The Learning Sanctuary</t>
  </si>
  <si>
    <t>2023-11-01 00:00:00, 2024-06-29 00:00:00, 2024-07-11 00:00:00</t>
  </si>
  <si>
    <t>IN-2022001231, IN-2022002296, IN-2022002339</t>
  </si>
  <si>
    <t>1443</t>
  </si>
  <si>
    <t>1190</t>
  </si>
  <si>
    <t>2000-01-01 00:00:00, 2024-07-05 00:00:00, 2024-07-15 00:00:00</t>
  </si>
  <si>
    <t>0, 23167, 65992</t>
  </si>
  <si>
    <t>2000-01-01 00:00:00, 2024-10-01 00:00:00, 2024-10-15 00:00:00</t>
  </si>
  <si>
    <t>2024-03-12 00:00:00, 2024-07-11 00:00:00, 2025-06-23 00:00:00</t>
  </si>
  <si>
    <t>2024-03-18 00:00:00, 2024-07-15 00:00:00, 2025-06-23 00:00:00</t>
  </si>
  <si>
    <t>131984, 215007, 46334</t>
  </si>
  <si>
    <t>112451, 222600, 50000</t>
  </si>
  <si>
    <t>-3666, -7593, 19533</t>
  </si>
  <si>
    <t>0.445, 0.61</t>
  </si>
  <si>
    <t>2024-02-01 00:00:00, 2024-07-08 00:00:00</t>
  </si>
  <si>
    <t>2024-12-31 00:00:00, 2025-01-08 00:00:00</t>
  </si>
  <si>
    <t>22028000019791396, 22028000023236184, 22028000023477372</t>
  </si>
  <si>
    <t>51788000256854023</t>
  </si>
  <si>
    <t>zcrm_51788000257448351, zcrm_51788000271230262</t>
  </si>
  <si>
    <t>2023-12-04 14:43:14, 2024-07-01 10:25:46, 2024-07-11 11:49:13</t>
  </si>
  <si>
    <t>Mr. Tyrone D'Brass</t>
  </si>
  <si>
    <t>tyronedbrass1960@gmail.com</t>
  </si>
  <si>
    <t>+918794961440</t>
  </si>
  <si>
    <t>Tyrone DBrass</t>
  </si>
  <si>
    <t>Sonal Gupta</t>
  </si>
  <si>
    <t>sonalgupta1434@gmail.com</t>
  </si>
  <si>
    <t>+919366346175</t>
  </si>
  <si>
    <t>49000</t>
  </si>
  <si>
    <t>Lower Babupara</t>
  </si>
  <si>
    <t>794001</t>
  </si>
  <si>
    <t>Saraswati Schooling System</t>
  </si>
  <si>
    <t>IN-2022002343, IN-2022002344</t>
  </si>
  <si>
    <t>1358</t>
  </si>
  <si>
    <t>27636, 27918</t>
  </si>
  <si>
    <t>31482, 82908</t>
  </si>
  <si>
    <t>2024-08-05 00:00:00, 2025-01-01 00:00:00</t>
  </si>
  <si>
    <t>110544, 59400</t>
  </si>
  <si>
    <t>50300, 81725</t>
  </si>
  <si>
    <t>-22325, 60244</t>
  </si>
  <si>
    <t>0.25, 0.555</t>
  </si>
  <si>
    <t>2025-07-19 00:00:00</t>
  </si>
  <si>
    <t>22028000023485736, 22028000023485792</t>
  </si>
  <si>
    <t>51788000256585211</t>
  </si>
  <si>
    <t>zcrm_51788000256907921, zcrm_51788000271680402</t>
  </si>
  <si>
    <t>2024-07-16 12:32:29, 2024-07-16 12:33:18</t>
  </si>
  <si>
    <t>Mr. Mehul Bapodara</t>
  </si>
  <si>
    <t>mehulb.saraswati@gmail.com</t>
  </si>
  <si>
    <t>+919227800714</t>
  </si>
  <si>
    <t>Bijalt.saraswati@gmail.com</t>
  </si>
  <si>
    <t>Gita mandir,Vaniyavadi main road, Bhaktinagar</t>
  </si>
  <si>
    <t>Nr Geetamandir,</t>
  </si>
  <si>
    <t>KSR Mytikas Public School</t>
  </si>
  <si>
    <t>IN-2022001698</t>
  </si>
  <si>
    <t>1222</t>
  </si>
  <si>
    <t>72709</t>
  </si>
  <si>
    <t>70571</t>
  </si>
  <si>
    <t>213851</t>
  </si>
  <si>
    <t>66477</t>
  </si>
  <si>
    <t>147374</t>
  </si>
  <si>
    <t>Ambur Taluk</t>
  </si>
  <si>
    <t>22028000021646204</t>
  </si>
  <si>
    <t>51788000260425165</t>
  </si>
  <si>
    <t>zcrm_51788000266754687</t>
  </si>
  <si>
    <t>2024-03-21 11:28:29</t>
  </si>
  <si>
    <t>Mr. Sudhakar</t>
  </si>
  <si>
    <t>ksrmytikascbse@gmail.com</t>
  </si>
  <si>
    <t>+919677109489</t>
  </si>
  <si>
    <t>VV66+CM4, Palur</t>
  </si>
  <si>
    <t>635804</t>
  </si>
  <si>
    <t>Thamarai's</t>
  </si>
  <si>
    <t>2023-12-08 00:00:00</t>
  </si>
  <si>
    <t>IN-2022001341</t>
  </si>
  <si>
    <t>72018</t>
  </si>
  <si>
    <t>2024-01-02 00:00:00</t>
  </si>
  <si>
    <t>144036</t>
  </si>
  <si>
    <t>114454</t>
  </si>
  <si>
    <t>29582</t>
  </si>
  <si>
    <t>22028000020221568</t>
  </si>
  <si>
    <t>51788000261243287</t>
  </si>
  <si>
    <t>zcrm_51788000261235226</t>
  </si>
  <si>
    <t>2024-01-03 09:40:35</t>
  </si>
  <si>
    <t>Mrs JAYASHREE BADRINATH .</t>
  </si>
  <si>
    <t>Mrs Jesumary</t>
  </si>
  <si>
    <t>principal@thamaraischools.org</t>
  </si>
  <si>
    <t>+916355737998</t>
  </si>
  <si>
    <t>T.S No : 4420/ 5, Kadakadappai</t>
  </si>
  <si>
    <t>Tamilnadu</t>
  </si>
  <si>
    <t>New Pithampur Public School Bagdun</t>
  </si>
  <si>
    <t>2024-01-25 00:00:00</t>
  </si>
  <si>
    <t>IN-2022001424</t>
  </si>
  <si>
    <t>1862</t>
  </si>
  <si>
    <t>232750</t>
  </si>
  <si>
    <t>931000</t>
  </si>
  <si>
    <t>831000</t>
  </si>
  <si>
    <t>0.51</t>
  </si>
  <si>
    <t>MP Board</t>
  </si>
  <si>
    <t>Pithampur</t>
  </si>
  <si>
    <t>22028000020779964</t>
  </si>
  <si>
    <t>51788000261027124</t>
  </si>
  <si>
    <t>zcrm_51788000264150287</t>
  </si>
  <si>
    <t>2024-01-25 15:02:49</t>
  </si>
  <si>
    <t>Gani Khan</t>
  </si>
  <si>
    <t>schoolnpps@gmail.com</t>
  </si>
  <si>
    <t>+919826064097</t>
  </si>
  <si>
    <t>Housing Board Colony, Pithampur Industrial Area</t>
  </si>
  <si>
    <t>454774</t>
  </si>
  <si>
    <t>Vijaya School</t>
  </si>
  <si>
    <t>IN-2022002157</t>
  </si>
  <si>
    <t>1627</t>
  </si>
  <si>
    <t>222555</t>
  </si>
  <si>
    <t>51664</t>
  </si>
  <si>
    <t>890220</t>
  </si>
  <si>
    <t>464988</t>
  </si>
  <si>
    <t>373568</t>
  </si>
  <si>
    <t>0.7345</t>
  </si>
  <si>
    <t>22028000022799224</t>
  </si>
  <si>
    <t>51788000263051001</t>
  </si>
  <si>
    <t>zcrm_51788000270302025</t>
  </si>
  <si>
    <t>EI - Zoho ONE Admin</t>
  </si>
  <si>
    <t>2024-06-10 10:28:27</t>
  </si>
  <si>
    <t>Ms. Tara S Swamy</t>
  </si>
  <si>
    <t>vsfounderdirector@gmail.com</t>
  </si>
  <si>
    <t>+919727087680</t>
  </si>
  <si>
    <t>info@vijayaschoolhsn.in</t>
  </si>
  <si>
    <t>Mr. Nandeesha</t>
  </si>
  <si>
    <t>varuni21042015@gmail.com</t>
  </si>
  <si>
    <t>+919844136172</t>
  </si>
  <si>
    <t>60300</t>
  </si>
  <si>
    <t>Chikkahonnenahalli, Near Ring Road</t>
  </si>
  <si>
    <t>573202</t>
  </si>
  <si>
    <t>K.R. Mangalam World School</t>
  </si>
  <si>
    <t>2024-01-28 00:00:00</t>
  </si>
  <si>
    <t>IN-2022001433</t>
  </si>
  <si>
    <t>2024-02-02 00:00:00</t>
  </si>
  <si>
    <t>100533</t>
  </si>
  <si>
    <t>2024-11-02 00:00:00</t>
  </si>
  <si>
    <t>402132</t>
  </si>
  <si>
    <t>216426</t>
  </si>
  <si>
    <t>185706</t>
  </si>
  <si>
    <t>0.2134</t>
  </si>
  <si>
    <t>22028000020817148</t>
  </si>
  <si>
    <t>51788000255459103</t>
  </si>
  <si>
    <t>zcrm_51788000258148509</t>
  </si>
  <si>
    <t>2024-02-22 15:00:21</t>
  </si>
  <si>
    <t>Mrs. Arpita Acharya</t>
  </si>
  <si>
    <t>Principal@krmangalambahadurgarh.com</t>
  </si>
  <si>
    <t>+919811130078</t>
  </si>
  <si>
    <t>Pratiksha</t>
  </si>
  <si>
    <t>pratiksha.panwar@krmangalambahadurgarh.com</t>
  </si>
  <si>
    <t>+918708364230</t>
  </si>
  <si>
    <t>Sector-2, Near Gauri Shankar Mandir</t>
  </si>
  <si>
    <t>Moulya Gurukul International School</t>
  </si>
  <si>
    <t>IN-2022001487</t>
  </si>
  <si>
    <t>637</t>
  </si>
  <si>
    <t>1495</t>
  </si>
  <si>
    <t>244177</t>
  </si>
  <si>
    <t>488354</t>
  </si>
  <si>
    <t>288354</t>
  </si>
  <si>
    <t>0.755</t>
  </si>
  <si>
    <t>22028000021042076</t>
  </si>
  <si>
    <t>51788000264914304</t>
  </si>
  <si>
    <t>zcrm_51788000265056010</t>
  </si>
  <si>
    <t>Vineetkumar S Upadhye</t>
  </si>
  <si>
    <t>2024-03-01 11:06:41</t>
  </si>
  <si>
    <t>Mr. Satyamoorthy</t>
  </si>
  <si>
    <t>+917373791021</t>
  </si>
  <si>
    <t>63, Hompallagatta, Kasaba, Hobli, Anekal</t>
  </si>
  <si>
    <t>562106</t>
  </si>
  <si>
    <t>Khaitan World School</t>
  </si>
  <si>
    <t>IN-2022001943</t>
  </si>
  <si>
    <t>952</t>
  </si>
  <si>
    <t>1936</t>
  </si>
  <si>
    <t>245965</t>
  </si>
  <si>
    <t>235692</t>
  </si>
  <si>
    <t>10273</t>
  </si>
  <si>
    <t>0.3951</t>
  </si>
  <si>
    <t>0.2451</t>
  </si>
  <si>
    <t>2025-04-24 00:00:00</t>
  </si>
  <si>
    <t>22028000022150760</t>
  </si>
  <si>
    <t>51788000265339174</t>
  </si>
  <si>
    <t>zcrm_51788000265284217</t>
  </si>
  <si>
    <t>2024-04-21 00:35:34</t>
  </si>
  <si>
    <t>Mr. Akshat Tewari.</t>
  </si>
  <si>
    <t>At 05Km Stone, NH 58, Meerut Rd,opp. ITC Delhi</t>
  </si>
  <si>
    <t>201017</t>
  </si>
  <si>
    <t>GIS Gondal</t>
  </si>
  <si>
    <t>IN-2022001563</t>
  </si>
  <si>
    <t>1174</t>
  </si>
  <si>
    <t>986</t>
  </si>
  <si>
    <t>49288</t>
  </si>
  <si>
    <t>48302</t>
  </si>
  <si>
    <t>0.077</t>
  </si>
  <si>
    <t>22028000021266600</t>
  </si>
  <si>
    <t>51788000266037001</t>
  </si>
  <si>
    <t>zcrm_51788000266063001</t>
  </si>
  <si>
    <t>2024-03-01 15:32:49</t>
  </si>
  <si>
    <t>Mr. Dipen Chhotala</t>
  </si>
  <si>
    <t>info@giisgondal.com</t>
  </si>
  <si>
    <t>+919512300351</t>
  </si>
  <si>
    <t>admin@gisgondal.com</t>
  </si>
  <si>
    <t>Jigisha Ma'am</t>
  </si>
  <si>
    <t>hoa@gisgondal.com</t>
  </si>
  <si>
    <t>+919512300368</t>
  </si>
  <si>
    <t>Aalaya Academy Montessori &amp; CBSE School</t>
  </si>
  <si>
    <t>2024-03-02 00:00:00</t>
  </si>
  <si>
    <t>IN-2022001584</t>
  </si>
  <si>
    <t>92399</t>
  </si>
  <si>
    <t>369596</t>
  </si>
  <si>
    <t>364499</t>
  </si>
  <si>
    <t>5097</t>
  </si>
  <si>
    <t>Tiruppur</t>
  </si>
  <si>
    <t>22028000021315328</t>
  </si>
  <si>
    <t>51788000266155005</t>
  </si>
  <si>
    <t>zcrm_51788000266190308</t>
  </si>
  <si>
    <t>2024-03-20 13:55:01</t>
  </si>
  <si>
    <t>Mrs Mohana .</t>
  </si>
  <si>
    <t>aalayaacademy@gmail.com</t>
  </si>
  <si>
    <t>+919698078899</t>
  </si>
  <si>
    <t>Mrs Roshini</t>
  </si>
  <si>
    <t>+919159968899</t>
  </si>
  <si>
    <t>S.F.No.84/6A2, ACS Nagar, Kasipalayam Road,S.Periyapalayam post,</t>
  </si>
  <si>
    <t>641607</t>
  </si>
  <si>
    <t>CMBA12135E</t>
  </si>
  <si>
    <t>MSB Educational Institute Kota</t>
  </si>
  <si>
    <t>IN-2022001836</t>
  </si>
  <si>
    <t>964</t>
  </si>
  <si>
    <t>836</t>
  </si>
  <si>
    <t>48513</t>
  </si>
  <si>
    <t>97026</t>
  </si>
  <si>
    <t>100492</t>
  </si>
  <si>
    <t>2876</t>
  </si>
  <si>
    <t>2025-07-23 00:00:00</t>
  </si>
  <si>
    <t>346523</t>
  </si>
  <si>
    <t>241939</t>
  </si>
  <si>
    <t>101708</t>
  </si>
  <si>
    <t>0.35710000000000003</t>
  </si>
  <si>
    <t>0.3071</t>
  </si>
  <si>
    <t>Kota</t>
  </si>
  <si>
    <t>22028000021919760</t>
  </si>
  <si>
    <t>51788000264491114</t>
  </si>
  <si>
    <t>zcrm_51788000264509505</t>
  </si>
  <si>
    <t>Kishlay Bhojwani</t>
  </si>
  <si>
    <t>2024-04-05 15:10:32</t>
  </si>
  <si>
    <t>Mr. Huzefa Dhansura</t>
  </si>
  <si>
    <t>kotamasool@msbinstitute.com</t>
  </si>
  <si>
    <t>+919145052553</t>
  </si>
  <si>
    <t>Nanta</t>
  </si>
  <si>
    <t>324006</t>
  </si>
  <si>
    <t>Plot no. 1, Burhani park,ward no. 1 ,Ram nagar</t>
  </si>
  <si>
    <t>JDHM19984G</t>
  </si>
  <si>
    <t>IEM Public School, Newtown Kolkata</t>
  </si>
  <si>
    <t>IN-2022001710</t>
  </si>
  <si>
    <t>597</t>
  </si>
  <si>
    <t>1034</t>
  </si>
  <si>
    <t>2023</t>
  </si>
  <si>
    <t>210123</t>
  </si>
  <si>
    <t>116878</t>
  </si>
  <si>
    <t>93245</t>
  </si>
  <si>
    <t>0.5579999999999999</t>
  </si>
  <si>
    <t>22028000021657916</t>
  </si>
  <si>
    <t>51788000266608307</t>
  </si>
  <si>
    <t>zcrm_51788000266610946</t>
  </si>
  <si>
    <t>2024-03-26 12:32:06</t>
  </si>
  <si>
    <t>Debasish Majumdar</t>
  </si>
  <si>
    <t>debasish@iempublicschool.com</t>
  </si>
  <si>
    <t>Chirantan Bhaduri</t>
  </si>
  <si>
    <t>principal.newtown@iempublicschool.com</t>
  </si>
  <si>
    <t>+919874739111</t>
  </si>
  <si>
    <t>38300</t>
  </si>
  <si>
    <t>IEM Public School, Newtown, Street No 279, DD Block</t>
  </si>
  <si>
    <t>700156</t>
  </si>
  <si>
    <t>MERU International School, Tellapur (Cambridge)</t>
  </si>
  <si>
    <t>IN-2022001670</t>
  </si>
  <si>
    <t>168260</t>
  </si>
  <si>
    <t>84130</t>
  </si>
  <si>
    <t>5286</t>
  </si>
  <si>
    <t>336520</t>
  </si>
  <si>
    <t>306576</t>
  </si>
  <si>
    <t>24658</t>
  </si>
  <si>
    <t>0.5971</t>
  </si>
  <si>
    <t>22028000021606956</t>
  </si>
  <si>
    <t>51788000266930001</t>
  </si>
  <si>
    <t>zcrm_51788000267040001</t>
  </si>
  <si>
    <t>2024-03-22 15:20:37</t>
  </si>
  <si>
    <t>Crinnovation Nexus Pvt. Ltd.</t>
  </si>
  <si>
    <t>IN-2022001762</t>
  </si>
  <si>
    <t>100</t>
  </si>
  <si>
    <t>34437</t>
  </si>
  <si>
    <t>68874</t>
  </si>
  <si>
    <t>172185</t>
  </si>
  <si>
    <t>500000</t>
  </si>
  <si>
    <t>-327815</t>
  </si>
  <si>
    <t>0.9333</t>
  </si>
  <si>
    <t>22028000021804248</t>
  </si>
  <si>
    <t>51788000267422003</t>
  </si>
  <si>
    <t>zcrm_51788000267293185</t>
  </si>
  <si>
    <t>2024-03-28 15:52:44</t>
  </si>
  <si>
    <t>Mrs. Isha Buddhdev</t>
  </si>
  <si>
    <t>+917567119111</t>
  </si>
  <si>
    <t>ibdirector@crinn.in</t>
  </si>
  <si>
    <t>304, Nakshatra Heights, 150 ring road, Opp Raiya Telephone Exchange,</t>
  </si>
  <si>
    <t>Loreto Day School Elliot Road</t>
  </si>
  <si>
    <t>IN-2022001779</t>
  </si>
  <si>
    <t>23472</t>
  </si>
  <si>
    <t>46944</t>
  </si>
  <si>
    <t>117360</t>
  </si>
  <si>
    <t>22028000021835216</t>
  </si>
  <si>
    <t>51788000267529950</t>
  </si>
  <si>
    <t>zcrm_51788000267675188</t>
  </si>
  <si>
    <t>2024-04-02 10:39:05</t>
  </si>
  <si>
    <t>Ms. Jessica Gomes</t>
  </si>
  <si>
    <t>elliotroadprincipal@loreto.in</t>
  </si>
  <si>
    <t>elliotroadsec@loreto.in</t>
  </si>
  <si>
    <t>+919830167729</t>
  </si>
  <si>
    <t>Jessica Gomes</t>
  </si>
  <si>
    <t>9, Elliot Rd, Taltala, Kolkata, West Bengal 700016</t>
  </si>
  <si>
    <t>700016</t>
  </si>
  <si>
    <t>Taltala</t>
  </si>
  <si>
    <t>National Public School - Kengeri</t>
  </si>
  <si>
    <t>IN-2022002306</t>
  </si>
  <si>
    <t>7139</t>
  </si>
  <si>
    <t>421221</t>
  </si>
  <si>
    <t>414082</t>
  </si>
  <si>
    <t>22028000023309668</t>
  </si>
  <si>
    <t>51788000268173022</t>
  </si>
  <si>
    <t>zcrm_51788000268135403</t>
  </si>
  <si>
    <t>Jaisson K Simon</t>
  </si>
  <si>
    <t>2024-07-08 10:28:30</t>
  </si>
  <si>
    <t>Mrs. Geeta Dikshit</t>
  </si>
  <si>
    <t>principal@npskengeri.com</t>
  </si>
  <si>
    <t>+919611605482</t>
  </si>
  <si>
    <t>No. 8 C, Kengeri Hobli, Hoysala Circle, Near Police Quarters, Kengeri Satellite Town</t>
  </si>
  <si>
    <t>The Cathedral &amp; John Connon School - Senior Section</t>
  </si>
  <si>
    <t>2024-04-16 00:00:00, 2024-10-22 00:00:00</t>
  </si>
  <si>
    <t>IN-2022001916, IN-2022002545</t>
  </si>
  <si>
    <t>0, 1724</t>
  </si>
  <si>
    <t>2024-06-30 00:00:00, 2024-10-01 00:00:00</t>
  </si>
  <si>
    <t>0, 72000</t>
  </si>
  <si>
    <t>2024-09-03 00:00:00</t>
  </si>
  <si>
    <t>0, 1440846</t>
  </si>
  <si>
    <t>0, 1221142</t>
  </si>
  <si>
    <t>0, 147704</t>
  </si>
  <si>
    <t>0.0425, 1</t>
  </si>
  <si>
    <t>22028000022098152, 22028000025662044</t>
  </si>
  <si>
    <t>51788000268571001</t>
  </si>
  <si>
    <t>zcrm_51788000268571126, zcrm_51788000275833099</t>
  </si>
  <si>
    <t>2024-04-17 16:27:03, 2024-10-22 17:39:07</t>
  </si>
  <si>
    <t>Dr. Sonal Parmar</t>
  </si>
  <si>
    <t>maruf.shaikh@ei.study, principal@cathedral-school.com</t>
  </si>
  <si>
    <t>+912222094940, +919821360078</t>
  </si>
  <si>
    <t>principal@cathedral-school.com</t>
  </si>
  <si>
    <t>Sagar Tamhankar</t>
  </si>
  <si>
    <t>sagar.tamhankar@cathedral-school.com</t>
  </si>
  <si>
    <t>+919768614433</t>
  </si>
  <si>
    <t>107000</t>
  </si>
  <si>
    <t>The Cathedral &amp; John Connon School - Senior School, 6, Purushottamdas Thakurdas Road, Azad Maidan, Fort.</t>
  </si>
  <si>
    <t>St. Agnes HighSchool(ICSE)</t>
  </si>
  <si>
    <t>IN-2022001945</t>
  </si>
  <si>
    <t>1499</t>
  </si>
  <si>
    <t>50827</t>
  </si>
  <si>
    <t>118597</t>
  </si>
  <si>
    <t>17482</t>
  </si>
  <si>
    <t>169424</t>
  </si>
  <si>
    <t>157432</t>
  </si>
  <si>
    <t>-5490</t>
  </si>
  <si>
    <t>0.039</t>
  </si>
  <si>
    <t>22028000022152556</t>
  </si>
  <si>
    <t>51788000268574088</t>
  </si>
  <si>
    <t>zcrm_51788000268514429</t>
  </si>
  <si>
    <t>2024-04-24 10:15:56</t>
  </si>
  <si>
    <t>Mrs. Sister Arena</t>
  </si>
  <si>
    <t>stagnesicse@gmail.com</t>
  </si>
  <si>
    <t>+912223899900</t>
  </si>
  <si>
    <t>Ms.Celin</t>
  </si>
  <si>
    <t>+919833201543</t>
  </si>
  <si>
    <t>9450</t>
  </si>
  <si>
    <t>Clare Road</t>
  </si>
  <si>
    <t>400008</t>
  </si>
  <si>
    <t>MUMT18334B</t>
  </si>
  <si>
    <t>Royal Stationers</t>
  </si>
  <si>
    <t>IN-2022001954</t>
  </si>
  <si>
    <t>2200</t>
  </si>
  <si>
    <t>182610</t>
  </si>
  <si>
    <t>182600</t>
  </si>
  <si>
    <t>10</t>
  </si>
  <si>
    <t>0.15380000000000002</t>
  </si>
  <si>
    <t>22028000022196916</t>
  </si>
  <si>
    <t>51788000268703061</t>
  </si>
  <si>
    <t>zcrm_51788000268620858</t>
  </si>
  <si>
    <t>2024-04-22 18:22:14</t>
  </si>
  <si>
    <t>Ms. Sonal Thakkar</t>
  </si>
  <si>
    <t>Royalstationers.rajkot@gmail.com</t>
  </si>
  <si>
    <t>+919428244567</t>
  </si>
  <si>
    <t>Shivani Acharya</t>
  </si>
  <si>
    <t>contact@radhikaschool.com</t>
  </si>
  <si>
    <t>+919328530302</t>
  </si>
  <si>
    <t>Tanvi Shah</t>
  </si>
  <si>
    <t>+918238193666</t>
  </si>
  <si>
    <t>Shop No.14, Sagar Apartment Street, 6, Kalavad Rd, Opposite State Bank Of Hyderabad, Royal Park</t>
  </si>
  <si>
    <t>Nr. JMC Water Tank Mahaprabhuji Bethak Road</t>
  </si>
  <si>
    <t>361001</t>
  </si>
  <si>
    <t>C/O Royal Stationers, Shop No.14, Sagar Apartment Street, 6, Kalavad Rd, Opposite State Bank Of Hyderabad, Royal Park</t>
  </si>
  <si>
    <t>Shri Rabindranath Tagore English Medium School (SRT)</t>
  </si>
  <si>
    <t>IN-2022002064</t>
  </si>
  <si>
    <t>1275</t>
  </si>
  <si>
    <t>160983</t>
  </si>
  <si>
    <t>106222</t>
  </si>
  <si>
    <t>54761</t>
  </si>
  <si>
    <t>0.5821000000000001</t>
  </si>
  <si>
    <t>GSEB</t>
  </si>
  <si>
    <t>22028000022593156</t>
  </si>
  <si>
    <t>51788000269116059</t>
  </si>
  <si>
    <t>zcrm_51788000269386143</t>
  </si>
  <si>
    <t>2024-05-24 12:39:44</t>
  </si>
  <si>
    <t>Mr. Kiran Bhalodia</t>
  </si>
  <si>
    <t>kiran.bhalodi@tges.org</t>
  </si>
  <si>
    <t>+917878790999</t>
  </si>
  <si>
    <t>nirav.mehta@tges.org</t>
  </si>
  <si>
    <t>C/O JHP Education Foundation, New Balmukund society, Behind sun city, Sadhuvaswani road</t>
  </si>
  <si>
    <t>New Balmukund society, Behind sun city, Sadhuvaswani road</t>
  </si>
  <si>
    <t>Kavi Shri Narmad English Medium School (KSN)</t>
  </si>
  <si>
    <t>IN-2022002066</t>
  </si>
  <si>
    <t>123370</t>
  </si>
  <si>
    <t>104551</t>
  </si>
  <si>
    <t>18819</t>
  </si>
  <si>
    <t>22028000022593220</t>
  </si>
  <si>
    <t>51788000269116018</t>
  </si>
  <si>
    <t>zcrm_51788000269416133</t>
  </si>
  <si>
    <t>2024-05-24 12:35:30</t>
  </si>
  <si>
    <t>kiran.bhalodia@tges.org</t>
  </si>
  <si>
    <t>C/O JHP Education Foundation, 3/9 corner, Gayatri nagar, gayatri nagar main road, near bhimnath mahadev temple</t>
  </si>
  <si>
    <t>360002</t>
  </si>
  <si>
    <t>3/9 corner, Gayatri nagar, gayatri nagar main road, near bhimnath mahadev temple</t>
  </si>
  <si>
    <t>Dr.Homi Jehangir Bhabha English Medium School No.78 (HJB)</t>
  </si>
  <si>
    <t>IN-2022002065</t>
  </si>
  <si>
    <t>142929</t>
  </si>
  <si>
    <t>107894</t>
  </si>
  <si>
    <t>35035</t>
  </si>
  <si>
    <t>22028000022593188</t>
  </si>
  <si>
    <t>51788000269116100</t>
  </si>
  <si>
    <t>zcrm_51788000269404161</t>
  </si>
  <si>
    <t>2024-05-24 12:29:21</t>
  </si>
  <si>
    <t>C/O JHP Education Foundation, Opp HJ Steel, Near Overhead Water Tank, Dudhsagar Road</t>
  </si>
  <si>
    <t>Opp HJ Steel, Near Overhead Water Tank, Dudhsagar Road</t>
  </si>
  <si>
    <t>Edu Girls</t>
  </si>
  <si>
    <t>IN-2022002169</t>
  </si>
  <si>
    <t>521</t>
  </si>
  <si>
    <t>786</t>
  </si>
  <si>
    <t>662</t>
  </si>
  <si>
    <t>619627</t>
  </si>
  <si>
    <t>601403</t>
  </si>
  <si>
    <t>1822433</t>
  </si>
  <si>
    <t>0.6831</t>
  </si>
  <si>
    <t>22028000022844100</t>
  </si>
  <si>
    <t>51788000270233004</t>
  </si>
  <si>
    <t>zcrm_51788000270232036</t>
  </si>
  <si>
    <t>2024-06-21 12:35:39</t>
  </si>
  <si>
    <t>Vandana Pamecha</t>
  </si>
  <si>
    <t>vandana.pamecha@gmail.com</t>
  </si>
  <si>
    <t>+17037721970</t>
  </si>
  <si>
    <t>C/o Alpha Beta School, 162/62, Pratap Nagar, Jaipur, Rajasthan 302033</t>
  </si>
  <si>
    <t>25 Kentbury Way</t>
  </si>
  <si>
    <t>Aarth Universal School</t>
  </si>
  <si>
    <t>IN-2022002191</t>
  </si>
  <si>
    <t>1535</t>
  </si>
  <si>
    <t>2254</t>
  </si>
  <si>
    <t>119700</t>
  </si>
  <si>
    <t>110426</t>
  </si>
  <si>
    <t>7020</t>
  </si>
  <si>
    <t>22028000022902160</t>
  </si>
  <si>
    <t>51788000270481470</t>
  </si>
  <si>
    <t>zcrm_51788000270459322</t>
  </si>
  <si>
    <t>2024-06-19 11:05:21</t>
  </si>
  <si>
    <t>Ms. Jyothi Nair</t>
  </si>
  <si>
    <t>jyothi@aarthuniversalschool.org</t>
  </si>
  <si>
    <t>+919833138330</t>
  </si>
  <si>
    <t>contact@aarthuniversalschool.org</t>
  </si>
  <si>
    <t>Block 148, Bhesan-Barbodhan, Road, Malgama</t>
  </si>
  <si>
    <t>SRTB06042B</t>
  </si>
  <si>
    <t>Girls Primary School Teachers MJM</t>
  </si>
  <si>
    <t>IN-2022002584</t>
  </si>
  <si>
    <t>22028000026207152</t>
  </si>
  <si>
    <t>51788000271346050</t>
  </si>
  <si>
    <t>zcrm_51788000277192160</t>
  </si>
  <si>
    <t>2024-11-15 11:02:50</t>
  </si>
  <si>
    <t>+918160731829</t>
  </si>
  <si>
    <t>Vaseem Bano</t>
  </si>
  <si>
    <t>+918686679729</t>
  </si>
  <si>
    <t>20/4/206, Arbon Ki Masjid Rd, Zohra Colony, Shalibanda</t>
  </si>
  <si>
    <t>500065</t>
  </si>
  <si>
    <t>Shalibanda</t>
  </si>
  <si>
    <t>Girls Primary School MJM</t>
  </si>
  <si>
    <t>IN-2022002345</t>
  </si>
  <si>
    <t>22028000023508176</t>
  </si>
  <si>
    <t>51788000271346009</t>
  </si>
  <si>
    <t>zcrm_51788000271462025</t>
  </si>
  <si>
    <t>2024-07-13 18:29:14</t>
  </si>
  <si>
    <t>Mrs. Vaseem Bano</t>
  </si>
  <si>
    <t>The Kulish School</t>
  </si>
  <si>
    <t>IN-2022002338</t>
  </si>
  <si>
    <t>28500</t>
  </si>
  <si>
    <t>27000</t>
  </si>
  <si>
    <t>22028000023477288</t>
  </si>
  <si>
    <t>51788000263322061</t>
  </si>
  <si>
    <t>zcrm_51788000264601021</t>
  </si>
  <si>
    <t>2024-08-06 18:04:06</t>
  </si>
  <si>
    <t>info@thekulishschool.com</t>
  </si>
  <si>
    <t>+919897303659</t>
  </si>
  <si>
    <t>Karolan ka barh, shri kishanpura,jagatpura</t>
  </si>
  <si>
    <t>302017</t>
  </si>
  <si>
    <t>Shri kishanpura</t>
  </si>
  <si>
    <t>Shiv Nadar School, Noida (IB)</t>
  </si>
  <si>
    <t>IN-2022002442</t>
  </si>
  <si>
    <t>22028000024156384</t>
  </si>
  <si>
    <t>51788000271834045</t>
  </si>
  <si>
    <t>zcrm_51788000272128366</t>
  </si>
  <si>
    <t>2024-08-16 15:49:12</t>
  </si>
  <si>
    <t>Shiv Nadar School, Noida</t>
  </si>
  <si>
    <t>IN-2022002443</t>
  </si>
  <si>
    <t>22028000024156424</t>
  </si>
  <si>
    <t>51788000271834086</t>
  </si>
  <si>
    <t>zcrm_51788000272128498</t>
  </si>
  <si>
    <t>2024-08-16 15:48:51</t>
  </si>
  <si>
    <t>Shiv Nadar School, Faridabad (IB)</t>
  </si>
  <si>
    <t>IN-2022002428</t>
  </si>
  <si>
    <t>22028000024101992</t>
  </si>
  <si>
    <t>51788000271817161</t>
  </si>
  <si>
    <t>zcrm_51788000272879102</t>
  </si>
  <si>
    <t>2024-08-16 15:54:38</t>
  </si>
  <si>
    <t>deblina.chakraborty@sns.edu.in</t>
  </si>
  <si>
    <t>Sector 82, Neharpar Faridabad</t>
  </si>
  <si>
    <t>Shiv Nadar School, Faridabad</t>
  </si>
  <si>
    <t>IN-2022002425</t>
  </si>
  <si>
    <t>22028000024101848</t>
  </si>
  <si>
    <t>51788000271817205</t>
  </si>
  <si>
    <t>zcrm_51788000272879486</t>
  </si>
  <si>
    <t>2024-08-16 15:51:59</t>
  </si>
  <si>
    <t>Sector 82, Neharpar Faridabad,</t>
  </si>
  <si>
    <t>Shiv Nadar School, Gurugram (IB)</t>
  </si>
  <si>
    <t>IN-2022002439</t>
  </si>
  <si>
    <t>22028000024156240</t>
  </si>
  <si>
    <t>51788000271817098</t>
  </si>
  <si>
    <t>zcrm_51788000272870332</t>
  </si>
  <si>
    <t>2024-08-16 15:50:22</t>
  </si>
  <si>
    <t>Piyush</t>
  </si>
  <si>
    <t>Pahari Road, Block E, DLF Phase 1, Sector 26A, Gurugram,</t>
  </si>
  <si>
    <t>Pahari Road, Block E, DLF Phase 1, Sector 26A, Gurugram</t>
  </si>
  <si>
    <t>Shiv Nadar Trust</t>
  </si>
  <si>
    <t>IN-2022002376</t>
  </si>
  <si>
    <t>2024-07-26 00:00:00</t>
  </si>
  <si>
    <t>1142602</t>
  </si>
  <si>
    <t>235161</t>
  </si>
  <si>
    <t>2285204</t>
  </si>
  <si>
    <t>2116439</t>
  </si>
  <si>
    <t>-66396</t>
  </si>
  <si>
    <t>0.46299999999999997</t>
  </si>
  <si>
    <t>0.413</t>
  </si>
  <si>
    <t>22028000023766140</t>
  </si>
  <si>
    <t>51788000271817246</t>
  </si>
  <si>
    <t>zcrm_51788000272128108</t>
  </si>
  <si>
    <t>2024-08-16 17:20:28</t>
  </si>
  <si>
    <t>Shiv Nadar School - Head Office IInd floor, Plot No: A-5, Sector - 24, Near Adobe System Building</t>
  </si>
  <si>
    <t>Silver Oaks International School Kommadi</t>
  </si>
  <si>
    <t>IN-2022002379</t>
  </si>
  <si>
    <t>1281</t>
  </si>
  <si>
    <t>29864</t>
  </si>
  <si>
    <t>89591</t>
  </si>
  <si>
    <t>176</t>
  </si>
  <si>
    <t>119455</t>
  </si>
  <si>
    <t>1902.1</t>
  </si>
  <si>
    <t>117377</t>
  </si>
  <si>
    <t>0.79</t>
  </si>
  <si>
    <t>22028000023793052</t>
  </si>
  <si>
    <t>51788000269106191</t>
  </si>
  <si>
    <t>zcrm_51788000269111474</t>
  </si>
  <si>
    <t>2024-07-30 16:23:29</t>
  </si>
  <si>
    <t>Mrs. Lakshmi Shobha</t>
  </si>
  <si>
    <t>principal@km.silveroaks.co.in</t>
  </si>
  <si>
    <t>+918977706192</t>
  </si>
  <si>
    <t>Kommadi Village</t>
  </si>
  <si>
    <t>Kommadi</t>
  </si>
  <si>
    <t>ABS Global Smart School</t>
  </si>
  <si>
    <t>IN-2022002383</t>
  </si>
  <si>
    <t>94556</t>
  </si>
  <si>
    <t>378224</t>
  </si>
  <si>
    <t>303224</t>
  </si>
  <si>
    <t>22028000023796800</t>
  </si>
  <si>
    <t>51788000272170207</t>
  </si>
  <si>
    <t>zcrm_51788000272197035</t>
  </si>
  <si>
    <t>2024-09-13 11:37:07</t>
  </si>
  <si>
    <t>Ms. S Deivanai</t>
  </si>
  <si>
    <t>principalav@absgroupschools.com</t>
  </si>
  <si>
    <t>coordinatorav@absgroupschools.com</t>
  </si>
  <si>
    <t>45000</t>
  </si>
  <si>
    <t>Mango Garden, Tonakela Camp Rd, Vivekananda Nagar, Annanur, Ambattur, Avadi</t>
  </si>
  <si>
    <t>600109</t>
  </si>
  <si>
    <t>Kalunga Shilpanchal Vidyalaya</t>
  </si>
  <si>
    <t>IN-2022002394</t>
  </si>
  <si>
    <t>Kalunga</t>
  </si>
  <si>
    <t>22028000023850048</t>
  </si>
  <si>
    <t>51788000263474853</t>
  </si>
  <si>
    <t>zcrm_51788000263613165</t>
  </si>
  <si>
    <t>2024-09-12 16:13:08</t>
  </si>
  <si>
    <t>Shradhanjali Parida</t>
  </si>
  <si>
    <t>sradha.anjali08@gmail.com</t>
  </si>
  <si>
    <t>+919124997918</t>
  </si>
  <si>
    <t>ksv.ifgl@gmail.com</t>
  </si>
  <si>
    <t>Sector A, IDC, Kalunga, Near Chariot Factory</t>
  </si>
  <si>
    <t>770031</t>
  </si>
  <si>
    <t>The TVS School for CARES</t>
  </si>
  <si>
    <t>IN-2022002445</t>
  </si>
  <si>
    <t>22028000024174280</t>
  </si>
  <si>
    <t>51788000272569002</t>
  </si>
  <si>
    <t>zcrm_51788000273020025</t>
  </si>
  <si>
    <t>2024-08-17 14:26:33</t>
  </si>
  <si>
    <t>Aga Khan Education Service India</t>
  </si>
  <si>
    <t>IN-2022002416</t>
  </si>
  <si>
    <t>1202078</t>
  </si>
  <si>
    <t>120208</t>
  </si>
  <si>
    <t>2404156</t>
  </si>
  <si>
    <t>2187677.44</t>
  </si>
  <si>
    <t>96271</t>
  </si>
  <si>
    <t>0.5334</t>
  </si>
  <si>
    <t>22028000024091040</t>
  </si>
  <si>
    <t>51788000272485108</t>
  </si>
  <si>
    <t>zcrm_51788000272852769</t>
  </si>
  <si>
    <t>2024-08-22 10:10:59</t>
  </si>
  <si>
    <t>Joydeep Kar</t>
  </si>
  <si>
    <t>joydeep.kar@akesi.org</t>
  </si>
  <si>
    <t>+919821055376</t>
  </si>
  <si>
    <t>trisha.sen@akesi.org</t>
  </si>
  <si>
    <t>3500</t>
  </si>
  <si>
    <t>39/43, Opp Aga Khan Hospital, Diamond Complex, Nesbit Road, Mazgaon</t>
  </si>
  <si>
    <t>Apple Global School - Gr6 - Cambridge Curriculum</t>
  </si>
  <si>
    <t>IN-2022002477</t>
  </si>
  <si>
    <t>22028000024522120</t>
  </si>
  <si>
    <t>51788000272956091</t>
  </si>
  <si>
    <t>zcrm_51788000273577025</t>
  </si>
  <si>
    <t>2024-09-04 15:15:45</t>
  </si>
  <si>
    <t>Nivedita Chakravarti</t>
  </si>
  <si>
    <t>Delhi Public School, Sector-30, Noida</t>
  </si>
  <si>
    <t>2024-04-02 00:00:00, 2024-08-21 00:00:00</t>
  </si>
  <si>
    <t>50182332024.00, IN-2022002447</t>
  </si>
  <si>
    <t>2024-04-02 00:00:00, 2024-11-15 00:00:00</t>
  </si>
  <si>
    <t>2024-04-02 00:00:00, 2024-12-23 00:00:00</t>
  </si>
  <si>
    <t>2000-01-01 00:00:00, 2024-04-02 00:00:00</t>
  </si>
  <si>
    <t>2024-04-01 00:00:00, 2024-04-02 00:00:00</t>
  </si>
  <si>
    <t>2024-04-02 00:00:00, 2025-03-31 00:00:00</t>
  </si>
  <si>
    <t>22028000024247044, 50182332024</t>
  </si>
  <si>
    <t>51788000273032836</t>
  </si>
  <si>
    <t>zcrm_51788000272979971</t>
  </si>
  <si>
    <t>2024-04-02 00:00:00, 2024-08-21 16:04:00</t>
  </si>
  <si>
    <t>Ms. Kamini Bhasin</t>
  </si>
  <si>
    <t>dpsnoida30@gmail.com</t>
  </si>
  <si>
    <t>Sector 30</t>
  </si>
  <si>
    <t>Delhi Public School, Navi Mumbai</t>
  </si>
  <si>
    <t>2024-04-09 00:00:00, 2024-08-21 00:00:00</t>
  </si>
  <si>
    <t>50182342024.00, IN-2022002450</t>
  </si>
  <si>
    <t>2024-04-09 00:00:00, 2024-10-01 00:00:00</t>
  </si>
  <si>
    <t>2024-04-09 00:00:00, 2024-12-23 00:00:00</t>
  </si>
  <si>
    <t>2000-01-01 00:00:00, 2024-04-09 00:00:00</t>
  </si>
  <si>
    <t>North, West</t>
  </si>
  <si>
    <t>Delhi/Haryana, Mumbai</t>
  </si>
  <si>
    <t>2024-04-01 00:00:00, 2024-04-09 00:00:00</t>
  </si>
  <si>
    <t>2024-04-09 00:00:00, 2025-03-31 00:00:00</t>
  </si>
  <si>
    <t>22028000024247248, 50182342024</t>
  </si>
  <si>
    <t>51788000273032897</t>
  </si>
  <si>
    <t>zcrm_51788000272961984</t>
  </si>
  <si>
    <t>2024-04-09 00:00:00, 2024-08-21 16:03:19</t>
  </si>
  <si>
    <t>Dr. H. S. Vashistha</t>
  </si>
  <si>
    <t>dpsnm@dpsnavimumbai.edu.in</t>
  </si>
  <si>
    <t>0, 113000</t>
  </si>
  <si>
    <t>Sector - 52 Nerul</t>
  </si>
  <si>
    <t>Palm Beach Road Sector - 52 Nerul</t>
  </si>
  <si>
    <t>City Montessori School - (SOW)</t>
  </si>
  <si>
    <t>2024-10-21 00:00:00, 2024-12-30 00:00:00</t>
  </si>
  <si>
    <t>IN-2022002532, IN-2022002751</t>
  </si>
  <si>
    <t>2000-01-01 00:00:00, 2024-09-26 00:00:00</t>
  </si>
  <si>
    <t>2000-01-01 00:00:00, 2024-12-04 00:00:00</t>
  </si>
  <si>
    <t>0, 500</t>
  </si>
  <si>
    <t>0, 73500</t>
  </si>
  <si>
    <t>-74000, 0</t>
  </si>
  <si>
    <t>22028000025606256, 22028000027095428</t>
  </si>
  <si>
    <t>51788000274256009</t>
  </si>
  <si>
    <t>zcrm_51788000274319254, zcrm_51788000280808628</t>
  </si>
  <si>
    <t>mohd.saqib_ei</t>
  </si>
  <si>
    <t>mohd.saqib@ei.study</t>
  </si>
  <si>
    <t>Mohd saqib</t>
  </si>
  <si>
    <t>Mohd Saqib</t>
  </si>
  <si>
    <t>2024-10-21 15:55:58</t>
  </si>
  <si>
    <t>GEETA GANDHI, Mrs. GEETA GANDHI</t>
  </si>
  <si>
    <t>+919919006188</t>
  </si>
  <si>
    <t>geeta.kingdon@cmseducation.org</t>
  </si>
  <si>
    <t>Mrs. GEETA GANDHI, Reena Soti</t>
  </si>
  <si>
    <t>maruf.shaikh@ei.study, reena.soti@cmseducation.org</t>
  </si>
  <si>
    <t>+919415767787, +919919006188</t>
  </si>
  <si>
    <t>12 Station Road Behind Metro Station Road</t>
  </si>
  <si>
    <t>226001</t>
  </si>
  <si>
    <t>Station Road</t>
  </si>
  <si>
    <t>Vimukti-DDGIC (Teacher's)</t>
  </si>
  <si>
    <t>IN-2022002528</t>
  </si>
  <si>
    <t>uttar Pradesh</t>
  </si>
  <si>
    <t>22028000025526472</t>
  </si>
  <si>
    <t>51788000274722189</t>
  </si>
  <si>
    <t>zcrm_51788000275334040</t>
  </si>
  <si>
    <t>2024-10-17 17:26:08</t>
  </si>
  <si>
    <t>Mr. Shabbir Umar</t>
  </si>
  <si>
    <t>shabbirumaruk@gmail.com</t>
  </si>
  <si>
    <t>+919727000407</t>
  </si>
  <si>
    <t>Rajni Shar</t>
  </si>
  <si>
    <t>rajnishar2308@gmail.com</t>
  </si>
  <si>
    <t>+918791885236</t>
  </si>
  <si>
    <t>c/o Alpha beta School, sector 16 pratap Nagar</t>
  </si>
  <si>
    <t>by pass road</t>
  </si>
  <si>
    <t>firozabad</t>
  </si>
  <si>
    <t>Akash International School (Managed by Vedant Group of Schools)</t>
  </si>
  <si>
    <t>IN-2022002526, IN-2022002527</t>
  </si>
  <si>
    <t>4058</t>
  </si>
  <si>
    <t>10800, 76612</t>
  </si>
  <si>
    <t>0, 0.335</t>
  </si>
  <si>
    <t>0.335</t>
  </si>
  <si>
    <t>2024-10-21 00:00:00, 2024-10-25 00:00:00</t>
  </si>
  <si>
    <t>22028000025527748, 22028000025527908</t>
  </si>
  <si>
    <t>51788000274454471</t>
  </si>
  <si>
    <t>zcrm_51788000275466656, zcrm_51788000275466952</t>
  </si>
  <si>
    <t>2024-10-18 11:00:23, 2024-10-18 11:01:12</t>
  </si>
  <si>
    <t>Mr. Prakash Chauhan</t>
  </si>
  <si>
    <t>contact@vedantgroupofschools.com</t>
  </si>
  <si>
    <t>+919664660732</t>
  </si>
  <si>
    <t>Richa Bhatti</t>
  </si>
  <si>
    <t>richa.k.b.1992@gmail.com</t>
  </si>
  <si>
    <t>+919106773415</t>
  </si>
  <si>
    <t>Shree Swastik Education and Charitable Trust, Behind Madhav Baug 5, Opp Kansumra GIDC Gate</t>
  </si>
  <si>
    <t>361004</t>
  </si>
  <si>
    <t>Behind Madhav Baug 5, Opp Kansumra GIDC Gate</t>
  </si>
  <si>
    <t>Silver Oaks School, Bowrampet</t>
  </si>
  <si>
    <t>IN-2022002588</t>
  </si>
  <si>
    <t>47250</t>
  </si>
  <si>
    <t>8850</t>
  </si>
  <si>
    <t>2025-07-05 00:00:00</t>
  </si>
  <si>
    <t>94500</t>
  </si>
  <si>
    <t>86399.3</t>
  </si>
  <si>
    <t>-749</t>
  </si>
  <si>
    <t>22028000026292188</t>
  </si>
  <si>
    <t>51788000269106067</t>
  </si>
  <si>
    <t>zcrm_51788000269164096</t>
  </si>
  <si>
    <t>2024-11-26 12:49:51</t>
  </si>
  <si>
    <t>Mrs. Rachna Sharma</t>
  </si>
  <si>
    <t>principal@bt.silveroaks.co.in</t>
  </si>
  <si>
    <t>+917799170444</t>
  </si>
  <si>
    <t>Mrs Rachna Sharna</t>
  </si>
  <si>
    <t>Ashmini</t>
  </si>
  <si>
    <t>HR@BT.SILVEROAKS.CO.IN</t>
  </si>
  <si>
    <t>+919703344116</t>
  </si>
  <si>
    <t>140000</t>
  </si>
  <si>
    <t>Bowrampet campus</t>
  </si>
  <si>
    <t>Bowrampet</t>
  </si>
  <si>
    <t>HYDS34165F</t>
  </si>
  <si>
    <t>S.V.S Educational Academy 1-93/12A, Bachupally Vill &amp; Mandal Medchal-Malkajgiri District</t>
  </si>
  <si>
    <t>SILVER OAKS SCHOOL, S.V.S Educational Academy Sy No.150/P, Bowrampet, Adj., to Praneeth Pranav Meadows Medchal-Malkajgiri District</t>
  </si>
  <si>
    <t>Green Valley English High School</t>
  </si>
  <si>
    <t>51788000274791331</t>
  </si>
  <si>
    <t>zcrm_51788000278328346</t>
  </si>
  <si>
    <t>principal@greenvalleyenglishschool.com</t>
  </si>
  <si>
    <t>+919743455551</t>
  </si>
  <si>
    <t>Chunchgatta Main Rd, Ganapathipura, Konanakunte, Bengaluru, Karnataka 560062</t>
  </si>
  <si>
    <t>Chunchagatta Main road, konankunte</t>
  </si>
  <si>
    <t>AID-NOIDA- (Teachers)</t>
  </si>
  <si>
    <t>IN-2022002745</t>
  </si>
  <si>
    <t>2024-12-29 00:00:00</t>
  </si>
  <si>
    <t>22028000027037424</t>
  </si>
  <si>
    <t>51788000280487146</t>
  </si>
  <si>
    <t>zcrm_51788000280641266</t>
  </si>
  <si>
    <t>2024-12-28 09:24:02</t>
  </si>
  <si>
    <t>Vijaya Laxmi</t>
  </si>
  <si>
    <t>vijaya@aidnoida.org</t>
  </si>
  <si>
    <t>+919999999999</t>
  </si>
  <si>
    <t>Vijaya</t>
  </si>
  <si>
    <t>vijaya.laxmi@gmail.com</t>
  </si>
  <si>
    <t>S3c 49 Prahlad Colony, Barola</t>
  </si>
  <si>
    <t>City Montessori School</t>
  </si>
  <si>
    <t>2024-08-24 00:00:00</t>
  </si>
  <si>
    <t>IN-2022002469</t>
  </si>
  <si>
    <t>534</t>
  </si>
  <si>
    <t>1074650</t>
  </si>
  <si>
    <t>64479</t>
  </si>
  <si>
    <t>2024-09-09 00:00:00</t>
  </si>
  <si>
    <t>4298600</t>
  </si>
  <si>
    <t>4237128.640000001</t>
  </si>
  <si>
    <t>-3008</t>
  </si>
  <si>
    <t>0.8774</t>
  </si>
  <si>
    <t>LUCKNOW</t>
  </si>
  <si>
    <t>22028000024313204</t>
  </si>
  <si>
    <t>51788000273215198</t>
  </si>
  <si>
    <t>zcrm_51788000273215210</t>
  </si>
  <si>
    <t>2024-09-08 21:07:55</t>
  </si>
  <si>
    <t>Ms. Geeta Gandhi</t>
  </si>
  <si>
    <t>Geeta.kingdon@cmseducation.org</t>
  </si>
  <si>
    <t>87000</t>
  </si>
  <si>
    <t>Billabong High International School, Bhopal</t>
  </si>
  <si>
    <t>IN-2022001684</t>
  </si>
  <si>
    <t>1487</t>
  </si>
  <si>
    <t>601545</t>
  </si>
  <si>
    <t>2024-09-07 00:00:00</t>
  </si>
  <si>
    <t>166000</t>
  </si>
  <si>
    <t>2406180</t>
  </si>
  <si>
    <t>2331500</t>
  </si>
  <si>
    <t>-91320</t>
  </si>
  <si>
    <t>0.6114999999999999</t>
  </si>
  <si>
    <t>0.5115</t>
  </si>
  <si>
    <t>22028000021613112</t>
  </si>
  <si>
    <t>51788000002737894</t>
  </si>
  <si>
    <t>zcrm_51788000267070001</t>
  </si>
  <si>
    <t>2024-03-20 09:36:46</t>
  </si>
  <si>
    <t>Mr Ashish Agarwal</t>
  </si>
  <si>
    <t>sk156825@rediffmail.com</t>
  </si>
  <si>
    <t>+917697972852</t>
  </si>
  <si>
    <t>enquiry@billabonghighbhopal.com</t>
  </si>
  <si>
    <t>Bhadbhada Road, Neelbad, Madhya Pradesh 462044</t>
  </si>
  <si>
    <t>462044</t>
  </si>
  <si>
    <t>BPLM05131A</t>
  </si>
  <si>
    <t>Seth Anandram Jaipuria School</t>
  </si>
  <si>
    <t>IN-2022002378</t>
  </si>
  <si>
    <t>15138</t>
  </si>
  <si>
    <t>756924</t>
  </si>
  <si>
    <t>741786</t>
  </si>
  <si>
    <t>22028000023763424</t>
  </si>
  <si>
    <t>51788000002737912</t>
  </si>
  <si>
    <t>zcrm_51788000272141031</t>
  </si>
  <si>
    <t>2024-08-08 10:50:25</t>
  </si>
  <si>
    <t>Mr. Abhinav Marwah</t>
  </si>
  <si>
    <t>abhinav.marwah_sajsvg@jaipuria.edu.in</t>
  </si>
  <si>
    <t>+917838327482</t>
  </si>
  <si>
    <t>ghaziabad@jaipuria.edu.in</t>
  </si>
  <si>
    <t>Sector 14C Vasundhara</t>
  </si>
  <si>
    <t>KNPS01503F</t>
  </si>
  <si>
    <t>Gurukul The School</t>
  </si>
  <si>
    <t>IN-2022001997</t>
  </si>
  <si>
    <t>289990</t>
  </si>
  <si>
    <t>579980</t>
  </si>
  <si>
    <t>78307</t>
  </si>
  <si>
    <t>1159960</t>
  </si>
  <si>
    <t>1074569.6400000001</t>
  </si>
  <si>
    <t>7083</t>
  </si>
  <si>
    <t>0.6065999999999999</t>
  </si>
  <si>
    <t>0.5566</t>
  </si>
  <si>
    <t>22028000022352144</t>
  </si>
  <si>
    <t>51788000002737913</t>
  </si>
  <si>
    <t>zcrm_51788000257822041</t>
  </si>
  <si>
    <t>2024-06-01 11:51:33</t>
  </si>
  <si>
    <t>Mr. Sachin Vats</t>
  </si>
  <si>
    <t>sachin.vats@gurukultheschool.com</t>
  </si>
  <si>
    <t>+919810177666</t>
  </si>
  <si>
    <t>principal@gurukultheschool.com</t>
  </si>
  <si>
    <t>NH-9, 28 Kms, Delhi Milestone</t>
  </si>
  <si>
    <t>Nh-9, 28 Kms, Delhi Milestone</t>
  </si>
  <si>
    <t>MRTM00674C</t>
  </si>
  <si>
    <t>St. Paul'S High School</t>
  </si>
  <si>
    <t>IN-2022001542</t>
  </si>
  <si>
    <t>39045</t>
  </si>
  <si>
    <t>351404</t>
  </si>
  <si>
    <t>195224</t>
  </si>
  <si>
    <t>780897</t>
  </si>
  <si>
    <t>24500</t>
  </si>
  <si>
    <t>756397</t>
  </si>
  <si>
    <t>22028000021161256</t>
  </si>
  <si>
    <t>51788000002738078</t>
  </si>
  <si>
    <t>zcrm_51788000265241010</t>
  </si>
  <si>
    <t>2024-03-22 09:15:37</t>
  </si>
  <si>
    <t>Ms. Rachna Batra</t>
  </si>
  <si>
    <t>r.batra@stpaulsambala.org</t>
  </si>
  <si>
    <t>+919996919689</t>
  </si>
  <si>
    <t>paulite@rediffmail.com</t>
  </si>
  <si>
    <t>Model Town Ambala City Ambala-134 003</t>
  </si>
  <si>
    <t>Sishu Griha Montessori And High School</t>
  </si>
  <si>
    <t>2024-02-14 00:00:00, 2024-02-16 00:00:00</t>
  </si>
  <si>
    <t>Ei ASSET, Ei ASSET,Ei CARES,Ei Mindspark, Ei Mindspark</t>
  </si>
  <si>
    <t>IN-2022001490, IN-2022001492, IN-2022001504</t>
  </si>
  <si>
    <t>535, 704</t>
  </si>
  <si>
    <t>1407</t>
  </si>
  <si>
    <t>1431, 1864</t>
  </si>
  <si>
    <t>144621, 79203, 90894</t>
  </si>
  <si>
    <t>2024-07-15 00:00:00, 2024-08-15 00:00:00</t>
  </si>
  <si>
    <t>237608, 272683, 337448</t>
  </si>
  <si>
    <t>0, 237608, 272683</t>
  </si>
  <si>
    <t>104534, 47082, 53459</t>
  </si>
  <si>
    <t>2024-10-18 00:00:00, 2025-03-18 00:00:00</t>
  </si>
  <si>
    <t>482069, 792027, 908943</t>
  </si>
  <si>
    <t>481131, 744489, 823539</t>
  </si>
  <si>
    <t>-19130, -52521, 456</t>
  </si>
  <si>
    <t>0.3889, 0.5136999999999999, 0.7186</t>
  </si>
  <si>
    <t>22028000021072188, 22028000021072328, 22028000021091048</t>
  </si>
  <si>
    <t>51788000002728439</t>
  </si>
  <si>
    <t>zcrm_51788000265142029, zcrm_51788000265143138, zcrm_51788000265320318</t>
  </si>
  <si>
    <t>2024-03-11 11:25:48, 2024-03-11 11:25:53, 2024-03-11 11:28:17</t>
  </si>
  <si>
    <t>Ms. Sujatha Mohandas</t>
  </si>
  <si>
    <t>sujatha.mohandas@sishugriha.in</t>
  </si>
  <si>
    <t>+919880387469</t>
  </si>
  <si>
    <t>Madhulika Chandra Kumar</t>
  </si>
  <si>
    <t>madhulika.chandrakumar@sishugriha.in</t>
  </si>
  <si>
    <t>No.3, Hal Iii Stage, New Thippasandra,</t>
  </si>
  <si>
    <t>560075</t>
  </si>
  <si>
    <t>BLRY00043B</t>
  </si>
  <si>
    <t>Delhi Public School Lava</t>
  </si>
  <si>
    <t>IN-2022001509</t>
  </si>
  <si>
    <t>197980</t>
  </si>
  <si>
    <t>193638</t>
  </si>
  <si>
    <t>2242</t>
  </si>
  <si>
    <t>22028000021091996</t>
  </si>
  <si>
    <t>51788000002738107</t>
  </si>
  <si>
    <t>zcrm_51788000265130854</t>
  </si>
  <si>
    <t>Mradul Garg</t>
  </si>
  <si>
    <t>2024-03-28 00:06:13</t>
  </si>
  <si>
    <t>info@dpsnagpurcity.com</t>
  </si>
  <si>
    <t>Anupama Sagdeo</t>
  </si>
  <si>
    <t>dean@dpsnagpurcity.com</t>
  </si>
  <si>
    <t>Himgiri Goods Pvt. Ltd c/o Delhi Public School Lava Nagpur pre-primary Branch, opp. Collector Office, Near St.Ursula School Civil line Nagpur_ 440001</t>
  </si>
  <si>
    <t>440001</t>
  </si>
  <si>
    <t>DPS Nagpur Lava DPS Lava, off Dhabha Ring Road, Nagpur, Maharashtra 440023</t>
  </si>
  <si>
    <t>440023</t>
  </si>
  <si>
    <t>Civil lines</t>
  </si>
  <si>
    <t>Kamptee road</t>
  </si>
  <si>
    <t>Vidya Valley School</t>
  </si>
  <si>
    <t>2024-07-01 00:00:00, 2024-07-15 00:00:00</t>
  </si>
  <si>
    <t>IN-2022002302, IN-2022002355</t>
  </si>
  <si>
    <t>1618</t>
  </si>
  <si>
    <t>2024-07-03 00:00:00, 2024-07-15 00:00:00</t>
  </si>
  <si>
    <t>226715, 311988</t>
  </si>
  <si>
    <t>45393, 72169</t>
  </si>
  <si>
    <t>1247952, 906860</t>
  </si>
  <si>
    <t>1194270, 823817</t>
  </si>
  <si>
    <t>-18487, 37650</t>
  </si>
  <si>
    <t>0.16670000000000001, 0.4697</t>
  </si>
  <si>
    <t>22028000023255528, 22028000023564060</t>
  </si>
  <si>
    <t>51788000002738132</t>
  </si>
  <si>
    <t>zcrm_51788000271349313, zcrm_51788000271832001</t>
  </si>
  <si>
    <t>2024-07-12 14:37:15, 2024-07-16 11:21:55</t>
  </si>
  <si>
    <t>Ipsita Rodricks</t>
  </si>
  <si>
    <t>ipsita.rodricks@vidyavalley.com</t>
  </si>
  <si>
    <t>+919075009969</t>
  </si>
  <si>
    <t>info@vidyavalley.com</t>
  </si>
  <si>
    <t>S.No 94/1 Sus Village, Taluka Mulshi,</t>
  </si>
  <si>
    <t>PNES12198E</t>
  </si>
  <si>
    <t>Silver Oaks High</t>
  </si>
  <si>
    <t>IN-2022002563</t>
  </si>
  <si>
    <t>804750</t>
  </si>
  <si>
    <t>160950</t>
  </si>
  <si>
    <t>1609500</t>
  </si>
  <si>
    <t>1448550</t>
  </si>
  <si>
    <t>22028000026053436</t>
  </si>
  <si>
    <t>51788000002738155</t>
  </si>
  <si>
    <t>zcrm_51788000269161134</t>
  </si>
  <si>
    <t>2024-11-26 12:54:38</t>
  </si>
  <si>
    <t>Mrs. seetha Murty</t>
  </si>
  <si>
    <t>directoreducation@silveroaks.in</t>
  </si>
  <si>
    <t>+919440800693</t>
  </si>
  <si>
    <t>Moksha</t>
  </si>
  <si>
    <t>patodirectoreducation@silveroaks.co.in</t>
  </si>
  <si>
    <t>+919440629431</t>
  </si>
  <si>
    <t>1-93/12A, Bachupally</t>
  </si>
  <si>
    <t>500090</t>
  </si>
  <si>
    <t>Saupin^s School, Chandigarh</t>
  </si>
  <si>
    <t>IN-2022001538</t>
  </si>
  <si>
    <t>1252</t>
  </si>
  <si>
    <t>327052</t>
  </si>
  <si>
    <t>763121</t>
  </si>
  <si>
    <t>1090173</t>
  </si>
  <si>
    <t>1013367</t>
  </si>
  <si>
    <t>76806</t>
  </si>
  <si>
    <t>0.4924</t>
  </si>
  <si>
    <t>22028000021133688</t>
  </si>
  <si>
    <t>51788000002738293</t>
  </si>
  <si>
    <t>zcrm_51788000265326003</t>
  </si>
  <si>
    <t>2024-02-24 14:28:53</t>
  </si>
  <si>
    <t>Ms. Neena Tiwari</t>
  </si>
  <si>
    <t>saupinsc@gmail.com</t>
  </si>
  <si>
    <t>+919915003808</t>
  </si>
  <si>
    <t>Plot No. 14, Sector 32A, 32A, Sector 32, Chandigarh, 160030</t>
  </si>
  <si>
    <t>160030</t>
  </si>
  <si>
    <t>PTLS10398D</t>
  </si>
  <si>
    <t>Dr. Kalmadi Shamarao High School (Secondary Section)</t>
  </si>
  <si>
    <t>IN-2022002276</t>
  </si>
  <si>
    <t>341728</t>
  </si>
  <si>
    <t>68346</t>
  </si>
  <si>
    <t>683456</t>
  </si>
  <si>
    <t>615110</t>
  </si>
  <si>
    <t>22028000023173112</t>
  </si>
  <si>
    <t>51788000002738304</t>
  </si>
  <si>
    <t>zcrm_51788000271133285</t>
  </si>
  <si>
    <t>2024-07-05 12:14:57</t>
  </si>
  <si>
    <t>Mrs. Pallavi Naik</t>
  </si>
  <si>
    <t>pallavi.naik@kaveri.edu.in</t>
  </si>
  <si>
    <t>+919422016011</t>
  </si>
  <si>
    <t>Survye No. 36, Ganesh Nagar, Erandawana,</t>
  </si>
  <si>
    <t>411038</t>
  </si>
  <si>
    <t>PNES32525D</t>
  </si>
  <si>
    <t>St. Vivekanand Millennium School</t>
  </si>
  <si>
    <t>IN-2022001525</t>
  </si>
  <si>
    <t>239767</t>
  </si>
  <si>
    <t>79491</t>
  </si>
  <si>
    <t>959068</t>
  </si>
  <si>
    <t>673938</t>
  </si>
  <si>
    <t>205639</t>
  </si>
  <si>
    <t>Pinjore</t>
  </si>
  <si>
    <t>22028000021135048</t>
  </si>
  <si>
    <t>51788000002738319</t>
  </si>
  <si>
    <t>zcrm_51788000264605708</t>
  </si>
  <si>
    <t>2024-02-20 13:05:17</t>
  </si>
  <si>
    <t>Mr. Piyush Punj</t>
  </si>
  <si>
    <t>reach@vivekanandpnj.com</t>
  </si>
  <si>
    <t>+919034020390</t>
  </si>
  <si>
    <t>svmshmt@gmail.com</t>
  </si>
  <si>
    <t>Piyush Punj</t>
  </si>
  <si>
    <t>+919876620397</t>
  </si>
  <si>
    <t>Ms. Puja Seth</t>
  </si>
  <si>
    <t>+919996290484</t>
  </si>
  <si>
    <t>57000</t>
  </si>
  <si>
    <t>Zirakpur-Panchkula-Kalka Hwy, HMT Twp, Pinjore, Haryana 134101</t>
  </si>
  <si>
    <t>134101</t>
  </si>
  <si>
    <t>PTLS13483B</t>
  </si>
  <si>
    <t>The Lawrence School, Sanawar</t>
  </si>
  <si>
    <t>2024-03-12 00:00:00, 2024-08-06 00:00:00, 2024-08-15 00:00:00</t>
  </si>
  <si>
    <t>IN-2022001634, IN-2022002402, IN-2022002435</t>
  </si>
  <si>
    <t>1032, 1322</t>
  </si>
  <si>
    <t>2024-04-01 00:00:00, 2024-08-10 00:00:00, 2024-08-19 00:00:00</t>
  </si>
  <si>
    <t>161246, 54732, 68525</t>
  </si>
  <si>
    <t>2024-07-01 00:00:00, 2024-09-05 00:00:00</t>
  </si>
  <si>
    <t>161246, 218926, 274099</t>
  </si>
  <si>
    <t>0, 161246</t>
  </si>
  <si>
    <t>2000-01-01 00:00:00, 2024-12-02 00:00:00</t>
  </si>
  <si>
    <t>15450, 27366, 34984</t>
  </si>
  <si>
    <t>2024-06-10 00:00:00, 2024-08-22 00:00:00</t>
  </si>
  <si>
    <t>2024-06-10 00:00:00, 2024-12-18 00:00:00</t>
  </si>
  <si>
    <t>273658, 342624, 644984</t>
  </si>
  <si>
    <t>139045.88, 245826.21, 314395.79000000004</t>
  </si>
  <si>
    <t>-6756, 466, 490488</t>
  </si>
  <si>
    <t>0.3042, 0.312, 0.3182</t>
  </si>
  <si>
    <t>Sanawar</t>
  </si>
  <si>
    <t>2024-03-18 00:00:00, 2024-08-01 00:00:00</t>
  </si>
  <si>
    <t>2024-08-31 00:00:00, 2024-12-31 00:00:00</t>
  </si>
  <si>
    <t>22028000021525452, 22028000023964360, 22028000024143144</t>
  </si>
  <si>
    <t>51788000002738563</t>
  </si>
  <si>
    <t>zcrm_51788000266605855, zcrm_51788000271610158, zcrm_51788000272616334</t>
  </si>
  <si>
    <t>gaurav.mehta_eiindia, sajan.thareja</t>
  </si>
  <si>
    <t>gaurav.mehta@ei.study, sajan.thareja@ei.study</t>
  </si>
  <si>
    <t>Gaurav mehta, Sajan thareja</t>
  </si>
  <si>
    <t>2024-03-20 10:12:57, 2024-08-16 18:03:19, 2024-08-16 18:03:41</t>
  </si>
  <si>
    <t>Asit Mukherjee, Mr. Asit Mukherjee, Seema Sinha</t>
  </si>
  <si>
    <t>dof@sanawar.edu.in, head-tec@sanawar.edu.in</t>
  </si>
  <si>
    <t>+918617231379, +919810927563</t>
  </si>
  <si>
    <t>dof@sanawar.edu.in</t>
  </si>
  <si>
    <t>Asit Mukherjee</t>
  </si>
  <si>
    <t>+918617231379</t>
  </si>
  <si>
    <t>800000</t>
  </si>
  <si>
    <t>Sanawar, Kasauli,</t>
  </si>
  <si>
    <t>173202</t>
  </si>
  <si>
    <t>PTLT11561E</t>
  </si>
  <si>
    <t>Don Bosco Senior Secondary School</t>
  </si>
  <si>
    <t>2024-01-08 00:00:00</t>
  </si>
  <si>
    <t>IN-2022001389</t>
  </si>
  <si>
    <t>460800</t>
  </si>
  <si>
    <t>1075200</t>
  </si>
  <si>
    <t>155080</t>
  </si>
  <si>
    <t>1536000</t>
  </si>
  <si>
    <t>1395720</t>
  </si>
  <si>
    <t>-14800</t>
  </si>
  <si>
    <t>22028000020570172</t>
  </si>
  <si>
    <t>51788000002738571</t>
  </si>
  <si>
    <t>zcrm_51788000263313419</t>
  </si>
  <si>
    <t>2024-01-09 10:56:25</t>
  </si>
  <si>
    <t>Fr.Akhil Abraham</t>
  </si>
  <si>
    <t>admin.nerul@sdbinb.in</t>
  </si>
  <si>
    <t>+919820819513</t>
  </si>
  <si>
    <t>donbosconerul@gmail.com</t>
  </si>
  <si>
    <t>Sangita Bhattacharya</t>
  </si>
  <si>
    <t>sangita.bhattacharya@gmail.com</t>
  </si>
  <si>
    <t>Monika Sharma</t>
  </si>
  <si>
    <t>monikasharma199328@gmail.com</t>
  </si>
  <si>
    <t>+918082439583</t>
  </si>
  <si>
    <t>8100</t>
  </si>
  <si>
    <t>Plot No.8, Sector 42-A, Opp. D-Mart, Seawoods, Nerul (W),</t>
  </si>
  <si>
    <t>Cambridge School</t>
  </si>
  <si>
    <t>IN-2022001981</t>
  </si>
  <si>
    <t>312975</t>
  </si>
  <si>
    <t>730275</t>
  </si>
  <si>
    <t>20866</t>
  </si>
  <si>
    <t>1043250</t>
  </si>
  <si>
    <t>1022384</t>
  </si>
  <si>
    <t>22028000022319240</t>
  </si>
  <si>
    <t>51788000002738685</t>
  </si>
  <si>
    <t>zcrm_51788000269048499</t>
  </si>
  <si>
    <t>2024-05-17 15:35:06</t>
  </si>
  <si>
    <t>Mrs. Preeti Sirohi</t>
  </si>
  <si>
    <t>vp.csn@cambridgeschool.edu.in</t>
  </si>
  <si>
    <t>+919643546365</t>
  </si>
  <si>
    <t>info.csn@cambridgeschool.edu.in</t>
  </si>
  <si>
    <t>Ms Jennifer Decastro</t>
  </si>
  <si>
    <t>jenniferd.csn@cambridgeschool.edu.in</t>
  </si>
  <si>
    <t>+919899188954</t>
  </si>
  <si>
    <t>Sector - 27, Dist. Gautam Budhnagar,</t>
  </si>
  <si>
    <t>MRTC00288B</t>
  </si>
  <si>
    <t>Cambridge School, Greater Noida</t>
  </si>
  <si>
    <t>2024-04-30 00:00:00, 2025-03-12 00:00:00</t>
  </si>
  <si>
    <t>IN-2022001983, IN-2022003022</t>
  </si>
  <si>
    <t>600, 750</t>
  </si>
  <si>
    <t>2000-01-01 00:00:00, 2024-05-07 00:00:00</t>
  </si>
  <si>
    <t>0, 115650</t>
  </si>
  <si>
    <t>2000-01-01 00:00:00, 2024-11-07 00:00:00</t>
  </si>
  <si>
    <t>0, 269850</t>
  </si>
  <si>
    <t>0, 7725</t>
  </si>
  <si>
    <t>385500, 600</t>
  </si>
  <si>
    <t>0, 378525</t>
  </si>
  <si>
    <t>-750, 600</t>
  </si>
  <si>
    <t>22028000022319320, 22028000028636220</t>
  </si>
  <si>
    <t>51788000002738700</t>
  </si>
  <si>
    <t>zcrm_51788000269023409, zcrm_51788000286709358</t>
  </si>
  <si>
    <t>puneet.khurana_ei, vaishali.yadav_ei</t>
  </si>
  <si>
    <t>puneet.khurana@ei.study, vaishali.yadav@ei.study</t>
  </si>
  <si>
    <t>Puneet khurana, Vaishali yadav</t>
  </si>
  <si>
    <t>2024-05-10 11:21:39, 2025-03-17 16:24:41</t>
  </si>
  <si>
    <t>Dr. Puneeta Malhotra, Mr. Shalabh Sharma</t>
  </si>
  <si>
    <t>pmalhotra.sae@cambridgeschool.edu.in, principal.csgn@cambridgeschool.edu.in</t>
  </si>
  <si>
    <t>+919873238609, +919911083712</t>
  </si>
  <si>
    <t>info.csgn@cambridgeschool.edu.in</t>
  </si>
  <si>
    <t>Mr. Shalabh Sharma</t>
  </si>
  <si>
    <t>info.csgn@cambridgeschool.edu.in, principal.csgn@cambridgeschool.edu.in</t>
  </si>
  <si>
    <t>+919873238609, +919958889782</t>
  </si>
  <si>
    <t>Dr. Puneeta Malhotra, Mr. Vinay Gupta</t>
  </si>
  <si>
    <t>pmalhotra.sae@cambridgeschool.edu.in, vinayg.csgn@cambridgeschool.edu.in</t>
  </si>
  <si>
    <t>+919911083712, +919911491139</t>
  </si>
  <si>
    <t>I - B, Institutional Area Knowledge Park I, Greater Noida,, KPV</t>
  </si>
  <si>
    <t>I - B, Institutional Area, I - B, Institutional Area Knowledge Park I, Greater Noida,</t>
  </si>
  <si>
    <t>MRTC00195G</t>
  </si>
  <si>
    <t>I - B, Institutional Area Knowledge Park I, Greater Noida,</t>
  </si>
  <si>
    <t>The Shri Ram School, Moulsari</t>
  </si>
  <si>
    <t>IN-2022001822, IN-2022002634</t>
  </si>
  <si>
    <t>909</t>
  </si>
  <si>
    <t>0, 237003</t>
  </si>
  <si>
    <t>11328, 4068</t>
  </si>
  <si>
    <t>474006, 566407</t>
  </si>
  <si>
    <t>467442, 555079</t>
  </si>
  <si>
    <t>0, 2496</t>
  </si>
  <si>
    <t>22028000021896972, 22028000026470516</t>
  </si>
  <si>
    <t>51788000002738769</t>
  </si>
  <si>
    <t>zcrm_51788000267782330, zcrm_51788000278308003</t>
  </si>
  <si>
    <t>2024-04-04 10:45:53, 2024-11-28 17:12:12</t>
  </si>
  <si>
    <t>senior.school@tsrs.org</t>
  </si>
  <si>
    <t>Mr. Anupam Jain, Ms. Ripple Sethi</t>
  </si>
  <si>
    <t>anupam.jain@tsrs.org, ripple.sethi@tsrs.org</t>
  </si>
  <si>
    <t>Mr. Anupam Jain, Ms. Sonia Lakhanpal</t>
  </si>
  <si>
    <t>anupam.jain@tsrs.org, sonia.lakhanpal@tsrs.org</t>
  </si>
  <si>
    <t>+919818151615, +919891369408</t>
  </si>
  <si>
    <t>V-37, Moulsari Avenue, DLF Phase-III, V - Block, ,Gurugram,Haryana - 122002</t>
  </si>
  <si>
    <t>Diamond Jubilee High School, Hyderabad</t>
  </si>
  <si>
    <t>IN-2022002538</t>
  </si>
  <si>
    <t>22028000025644132</t>
  </si>
  <si>
    <t>51788000002731272</t>
  </si>
  <si>
    <t>zcrm_51788000274553562</t>
  </si>
  <si>
    <t>2024-10-22 12:55:35</t>
  </si>
  <si>
    <t>Mrs. Sujata Gade</t>
  </si>
  <si>
    <t>sujatha.gade@akesi.org</t>
  </si>
  <si>
    <t>+917661075111</t>
  </si>
  <si>
    <t>Imbisath</t>
  </si>
  <si>
    <t>+917997995022</t>
  </si>
  <si>
    <t>No.5-8-503, Chirag Ali Lane Abids,</t>
  </si>
  <si>
    <t>500001</t>
  </si>
  <si>
    <t>JM International School, Dwarka</t>
  </si>
  <si>
    <t>IN-2022001618, IN-2022001619</t>
  </si>
  <si>
    <t>2373</t>
  </si>
  <si>
    <t>169500, 395480</t>
  </si>
  <si>
    <t>2024-07-05 00:00:00, 2024-08-05 00:00:00</t>
  </si>
  <si>
    <t>0, 395480</t>
  </si>
  <si>
    <t>137561, 34080</t>
  </si>
  <si>
    <t>2024-09-24 00:00:00, 2025-01-13 00:00:00</t>
  </si>
  <si>
    <t>1581920, 339000</t>
  </si>
  <si>
    <t>1485655, 306717</t>
  </si>
  <si>
    <t>-1797, -41296</t>
  </si>
  <si>
    <t>0.2223, 0.6</t>
  </si>
  <si>
    <t>22028000021489400, 22028000021505048</t>
  </si>
  <si>
    <t>51788000002738908</t>
  </si>
  <si>
    <t>zcrm_51788000266468001, zcrm_51788000266681001</t>
  </si>
  <si>
    <t>2024-03-13 12:28:49, 2024-03-13 12:31:08</t>
  </si>
  <si>
    <t>Mr Rohit Gupta</t>
  </si>
  <si>
    <t>yogesh_11gupta@yahoo.co.in</t>
  </si>
  <si>
    <t>+919560073337</t>
  </si>
  <si>
    <t>jmis.dwarka@jminternationalschool.com</t>
  </si>
  <si>
    <t>Dr. Amita Saxena</t>
  </si>
  <si>
    <t>principal.dwk@jminternationalschool.com</t>
  </si>
  <si>
    <t>Ms. Shweta Khanna</t>
  </si>
  <si>
    <t>dwk.shwetakhanna79@jminternationalschool.com</t>
  </si>
  <si>
    <t>+919654554081</t>
  </si>
  <si>
    <t>Sector 6, Dwarka, ,Delhi,Delhi - 110075</t>
  </si>
  <si>
    <t>DELJ06804A</t>
  </si>
  <si>
    <t>2024-02-19 00:00:00, 2024-08-03 00:00:00</t>
  </si>
  <si>
    <t>IN-2022001526, IN-2022001528, IN-2022001529, IN-2022002398</t>
  </si>
  <si>
    <t>2000-01-01 00:00:00, 2024-02-26 00:00:00</t>
  </si>
  <si>
    <t>0, 225030, 59635, 60760</t>
  </si>
  <si>
    <t>2000-01-01 00:00:00, 2024-06-25 00:00:00, 2024-07-22 00:00:00</t>
  </si>
  <si>
    <t>2024-06-06 00:00:00, 2024-08-21 00:00:00, 2024-10-25 00:00:00</t>
  </si>
  <si>
    <t>119270, 121520, 34004, 450060</t>
  </si>
  <si>
    <t>0, 200000, 35000, 40000</t>
  </si>
  <si>
    <t>250060, 34004, 81520, 84270</t>
  </si>
  <si>
    <t>0.44439999999999996, 0.6052000000000001</t>
  </si>
  <si>
    <t>2024-04-01 00:00:00, 2024-08-01 00:00:00</t>
  </si>
  <si>
    <t>2024-08-07 00:00:00, 2025-03-01 00:00:00, 2025-04-01 00:00:00</t>
  </si>
  <si>
    <t>22028000021135224, 22028000021135328, 22028000021135368, 22028000023940032</t>
  </si>
  <si>
    <t>51788000002739161</t>
  </si>
  <si>
    <t>zcrm_51788000265284902, zcrm_51788000265364326, zcrm_51788000265375295</t>
  </si>
  <si>
    <t>2024-03-27 15:35:20, 2024-06-11 16:07:14, 2024-06-11 16:11:11, 2024-08-03 13:00:34</t>
  </si>
  <si>
    <t>info@wisdomhigh.org</t>
  </si>
  <si>
    <t>Mrs. Surpiya Mahabal</t>
  </si>
  <si>
    <t>supriya@whis.edu.in</t>
  </si>
  <si>
    <t>Rameshwar Nagar, Anandvalli, Gangapur Road</t>
  </si>
  <si>
    <t>422007</t>
  </si>
  <si>
    <t>Gangapur Road</t>
  </si>
  <si>
    <t>Saupin^s School, Mohali</t>
  </si>
  <si>
    <t>IN-2022001537</t>
  </si>
  <si>
    <t>96091</t>
  </si>
  <si>
    <t>224212</t>
  </si>
  <si>
    <t>320303</t>
  </si>
  <si>
    <t>256910</t>
  </si>
  <si>
    <t>63393</t>
  </si>
  <si>
    <t>0.4989</t>
  </si>
  <si>
    <t>22028000021133612</t>
  </si>
  <si>
    <t>51788000002739174</t>
  </si>
  <si>
    <t>zcrm_51788000265326180</t>
  </si>
  <si>
    <t>2024-02-24 14:28:49</t>
  </si>
  <si>
    <t>saupinsm@gmail.com</t>
  </si>
  <si>
    <t>Plot - 16, Sector 70, Sahibzada Ajit Singh Nagar, Punjab 160062</t>
  </si>
  <si>
    <t>160062</t>
  </si>
  <si>
    <t>South Point School</t>
  </si>
  <si>
    <t>IN-2022001929</t>
  </si>
  <si>
    <t>334849</t>
  </si>
  <si>
    <t>781313</t>
  </si>
  <si>
    <t>6790</t>
  </si>
  <si>
    <t>1116162</t>
  </si>
  <si>
    <t>1047601</t>
  </si>
  <si>
    <t>61771</t>
  </si>
  <si>
    <t>0.5752</t>
  </si>
  <si>
    <t>22028000022141076</t>
  </si>
  <si>
    <t>51788000002731405</t>
  </si>
  <si>
    <t>zcrm_51788000268505753</t>
  </si>
  <si>
    <t>2024-06-20 10:39:42</t>
  </si>
  <si>
    <t>Mr. J.S.Chanda</t>
  </si>
  <si>
    <t>southpointguwahati@gmail.com</t>
  </si>
  <si>
    <t>+919706096040</t>
  </si>
  <si>
    <t>Rishvik Chanda</t>
  </si>
  <si>
    <t>+919678430664</t>
  </si>
  <si>
    <t>21,Barsapara Road</t>
  </si>
  <si>
    <t>781018</t>
  </si>
  <si>
    <t>SHLS05061A</t>
  </si>
  <si>
    <t>Fernwood School</t>
  </si>
  <si>
    <t>2024-01-30 00:00:00, 2024-02-21 00:00:00</t>
  </si>
  <si>
    <t>IN-2022001440, IN-2022001536</t>
  </si>
  <si>
    <t>798</t>
  </si>
  <si>
    <t>3285</t>
  </si>
  <si>
    <t>2024-02-28 00:00:00, 2024-03-07 00:00:00</t>
  </si>
  <si>
    <t>1093120, 332766</t>
  </si>
  <si>
    <t>1093120, 334362</t>
  </si>
  <si>
    <t>-1596, 0</t>
  </si>
  <si>
    <t>0.46799999999999997, 0.6411</t>
  </si>
  <si>
    <t>2024-03-18 00:00:00, 2024-04-02 00:00:00</t>
  </si>
  <si>
    <t>2025-03-04 00:00:00, 2025-03-18 00:00:00</t>
  </si>
  <si>
    <t>22028000020834272, 22028000021158376</t>
  </si>
  <si>
    <t>51788000002739543</t>
  </si>
  <si>
    <t>zcrm_51788000264304037, zcrm_51788000265621003</t>
  </si>
  <si>
    <t>2024-02-02 09:52:10, 2024-02-22 14:15:44</t>
  </si>
  <si>
    <t>Ms. Khrievonuo Yuly Vizotha</t>
  </si>
  <si>
    <t>kyulyvizotha@gmail.com</t>
  </si>
  <si>
    <t>+919436005558</t>
  </si>
  <si>
    <t>Yuly Vizotha</t>
  </si>
  <si>
    <t>fernwood.school@gmail.com</t>
  </si>
  <si>
    <t>Jamal</t>
  </si>
  <si>
    <t>+919436010468</t>
  </si>
  <si>
    <t>H.No. 46, Upper Medizie, Agri-Forest Colony,</t>
  </si>
  <si>
    <t>Upper Medizie, Agri-Forest Colony,</t>
  </si>
  <si>
    <t>Padma Seshadri Bala Bhavan Senior Secondary School, T. Nagar</t>
  </si>
  <si>
    <t>IN-2022002132</t>
  </si>
  <si>
    <t>107539</t>
  </si>
  <si>
    <t>250925</t>
  </si>
  <si>
    <t>10934</t>
  </si>
  <si>
    <t>358464</t>
  </si>
  <si>
    <t>325137</t>
  </si>
  <si>
    <t>22393</t>
  </si>
  <si>
    <t>22028000022755164</t>
  </si>
  <si>
    <t>51788000002728448</t>
  </si>
  <si>
    <t>zcrm_51788000270168001</t>
  </si>
  <si>
    <t>2024-06-07 18:25:07</t>
  </si>
  <si>
    <t>seniorvptngr@psbbschools.ac.in</t>
  </si>
  <si>
    <t>Number 17, Thirumalai Pillai Road, T. Nagar,</t>
  </si>
  <si>
    <t>The Heritage School, Rohini</t>
  </si>
  <si>
    <t>IN-2022002478</t>
  </si>
  <si>
    <t>33000</t>
  </si>
  <si>
    <t>332400</t>
  </si>
  <si>
    <t>297000</t>
  </si>
  <si>
    <t>22028000024525200</t>
  </si>
  <si>
    <t>51788000002731416</t>
  </si>
  <si>
    <t>zcrm_51788000273537208</t>
  </si>
  <si>
    <t>Venika Kamal</t>
  </si>
  <si>
    <t>2024-09-17 13:01:43</t>
  </si>
  <si>
    <t>Mrs. Ratna Kumari</t>
  </si>
  <si>
    <t>ratna.kumari@rohini.theheritageschool.in</t>
  </si>
  <si>
    <t>+918860350562</t>
  </si>
  <si>
    <t>contact@rohini.theheritageschool.in</t>
  </si>
  <si>
    <t>Plot No. 8, Sector  23, Rohini</t>
  </si>
  <si>
    <t>DELL01799A</t>
  </si>
  <si>
    <t>Little’s Pre Primary &amp; Primary School</t>
  </si>
  <si>
    <t>IN-2022001392</t>
  </si>
  <si>
    <t>31920</t>
  </si>
  <si>
    <t>34314</t>
  </si>
  <si>
    <t>2025-03-13 00:00:00</t>
  </si>
  <si>
    <t>79800</t>
  </si>
  <si>
    <t>69800</t>
  </si>
  <si>
    <t>margao</t>
  </si>
  <si>
    <t>22028000020579192</t>
  </si>
  <si>
    <t>51788000002739737</t>
  </si>
  <si>
    <t>zcrm_51788000256360609</t>
  </si>
  <si>
    <t>2024-01-10 10:06:44</t>
  </si>
  <si>
    <t>Ms. Tanuja Jaju</t>
  </si>
  <si>
    <t>tanuja.jaju@gmail.com</t>
  </si>
  <si>
    <t>+919764099444</t>
  </si>
  <si>
    <t>principal@littles.co.in</t>
  </si>
  <si>
    <t>Mrs. Tanuja Jaju</t>
  </si>
  <si>
    <t>tanuja@littles.co.in</t>
  </si>
  <si>
    <t>Near Chowgule's Maruti Service Centre, Fatorda</t>
  </si>
  <si>
    <t>403601</t>
  </si>
  <si>
    <t>Near Chowgule's Maruti Sentre, Fatorda</t>
  </si>
  <si>
    <t>N.E.T. Public School</t>
  </si>
  <si>
    <t>IN-2022002154</t>
  </si>
  <si>
    <t>9764</t>
  </si>
  <si>
    <t>29291</t>
  </si>
  <si>
    <t>781</t>
  </si>
  <si>
    <t>39055</t>
  </si>
  <si>
    <t>38272</t>
  </si>
  <si>
    <t>22028000022795136</t>
  </si>
  <si>
    <t>51788000002739911</t>
  </si>
  <si>
    <t>zcrm_51788000267346285</t>
  </si>
  <si>
    <t>2024-06-11 14:52:19</t>
  </si>
  <si>
    <t>+91805926595</t>
  </si>
  <si>
    <t>#17 2Nd Main Road, Sri Nijagunara Road, Gavipuram Extension</t>
  </si>
  <si>
    <t>Chanda Public School</t>
  </si>
  <si>
    <t>IN-2022002340</t>
  </si>
  <si>
    <t>18698</t>
  </si>
  <si>
    <t>18148</t>
  </si>
  <si>
    <t>54994</t>
  </si>
  <si>
    <t>Chandrapur</t>
  </si>
  <si>
    <t>22028000023474352</t>
  </si>
  <si>
    <t>51788000002739923</t>
  </si>
  <si>
    <t>zcrm_51788000271718035</t>
  </si>
  <si>
    <t>2024-07-16 13:54:50</t>
  </si>
  <si>
    <t>Smita Jiwtode</t>
  </si>
  <si>
    <t>chandapschool@gmail.com</t>
  </si>
  <si>
    <t>+919850344477</t>
  </si>
  <si>
    <t>chanda_public@rediffmail.com</t>
  </si>
  <si>
    <t>Datala Road, Ramnagar, Chandrapur 442401</t>
  </si>
  <si>
    <t>442401</t>
  </si>
  <si>
    <t>Dr. Kalmadi Shamarao High School (Baner)</t>
  </si>
  <si>
    <t>IN-2022002356</t>
  </si>
  <si>
    <t>121794</t>
  </si>
  <si>
    <t>24358</t>
  </si>
  <si>
    <t>243588</t>
  </si>
  <si>
    <t>219230</t>
  </si>
  <si>
    <t>22028000023564100</t>
  </si>
  <si>
    <t>51788000002739948</t>
  </si>
  <si>
    <t>zcrm_51788000271349161</t>
  </si>
  <si>
    <t>2024-07-17 00:10:12</t>
  </si>
  <si>
    <t>Madhuri Chittewan</t>
  </si>
  <si>
    <t>khs.baner@kaveri.edu.in</t>
  </si>
  <si>
    <t>+919881136730</t>
  </si>
  <si>
    <t>S/No. 153, D.P.Road, Parihar Chowk, Aundh,</t>
  </si>
  <si>
    <t>411007</t>
  </si>
  <si>
    <t>PNEA15172D</t>
  </si>
  <si>
    <t>Gate No. 147/8, 147/9 and 147/10, Park Marina Road, Baner, 411045</t>
  </si>
  <si>
    <t>Sat Paul Mittal School</t>
  </si>
  <si>
    <t>IN-2022001513</t>
  </si>
  <si>
    <t>33225</t>
  </si>
  <si>
    <t>332250</t>
  </si>
  <si>
    <t>299025</t>
  </si>
  <si>
    <t>Ludhiana</t>
  </si>
  <si>
    <t>22028000021098500</t>
  </si>
  <si>
    <t>51788000002739959</t>
  </si>
  <si>
    <t>zcrm_51788000261575091</t>
  </si>
  <si>
    <t>2024-09-17 12:59:25</t>
  </si>
  <si>
    <t>Ms. Ritu Bajaj</t>
  </si>
  <si>
    <t>ritu.bajaj@satpaulmittalschool.org</t>
  </si>
  <si>
    <t>+917696001706</t>
  </si>
  <si>
    <t>spmschool2004@satpaulmittalschool.org</t>
  </si>
  <si>
    <t>90000</t>
  </si>
  <si>
    <t>Phase 2, Urban Estate, Dugri, Ludhiana, Punjab 141002</t>
  </si>
  <si>
    <t>141002</t>
  </si>
  <si>
    <t>A. K. Ghosh Memorial School</t>
  </si>
  <si>
    <t>IN-2022001230</t>
  </si>
  <si>
    <t>72188</t>
  </si>
  <si>
    <t>216563</t>
  </si>
  <si>
    <t>288751</t>
  </si>
  <si>
    <t>751</t>
  </si>
  <si>
    <t>22028000019788412</t>
  </si>
  <si>
    <t>51788000002739980</t>
  </si>
  <si>
    <t>zcrm_51788000258429087</t>
  </si>
  <si>
    <t>2023-11-01 17:28:12</t>
  </si>
  <si>
    <t>Mr. Tuhin Kumar Guha</t>
  </si>
  <si>
    <t>tg1960@yahoo.co.in</t>
  </si>
  <si>
    <t>+919088023394</t>
  </si>
  <si>
    <t>akgms69@yahoo.in</t>
  </si>
  <si>
    <t>tguha1960@gmail.com</t>
  </si>
  <si>
    <t>+919830147070</t>
  </si>
  <si>
    <t>Tuhin Kr Guha</t>
  </si>
  <si>
    <t>300, Prince Anwar Shah Rd, Jodhpur Gardens, Lake Gardens,</t>
  </si>
  <si>
    <t>700045</t>
  </si>
  <si>
    <t>St. Michael's School For Girls</t>
  </si>
  <si>
    <t>2024-02-04 00:00:00, 2024-02-20 00:00:00</t>
  </si>
  <si>
    <t>IN-2022001468, IN-2022001531</t>
  </si>
  <si>
    <t>1952</t>
  </si>
  <si>
    <t>2024-05-03 00:00:00, 2024-06-30 00:00:00</t>
  </si>
  <si>
    <t>19200, 268304</t>
  </si>
  <si>
    <t>2024-06-21 00:00:00, 2024-09-30 00:00:00</t>
  </si>
  <si>
    <t>268304, 44800</t>
  </si>
  <si>
    <t>0, 268304</t>
  </si>
  <si>
    <t>0, 18715</t>
  </si>
  <si>
    <t>2024-05-21 00:00:00, 2024-09-23 00:00:00</t>
  </si>
  <si>
    <t>2024-09-23 00:00:00, 2025-03-24 00:00:00</t>
  </si>
  <si>
    <t>1073216, 64000</t>
  </si>
  <si>
    <t>1017667, 57232</t>
  </si>
  <si>
    <t>36834, 6768</t>
  </si>
  <si>
    <t>0, 0.3603</t>
  </si>
  <si>
    <t>0.3603</t>
  </si>
  <si>
    <t>2024-03-23 00:00:00, 2024-05-02 00:00:00</t>
  </si>
  <si>
    <t>22028000020905668, 22028000021137168</t>
  </si>
  <si>
    <t>51788000002740133</t>
  </si>
  <si>
    <t>zcrm_51788000264641153, zcrm_51788000265476001</t>
  </si>
  <si>
    <t>gargi.ghosh_ei, ratnabali.mukherjee_eiindia</t>
  </si>
  <si>
    <t>gargi.ghosh@ei.study, ratnabali.mukherjee@ei.study</t>
  </si>
  <si>
    <t>Gargi ghosh, Ratnabali mukherjee</t>
  </si>
  <si>
    <t>2024-02-07 13:45:28, 2024-02-22 16:20:36</t>
  </si>
  <si>
    <t>Sangeetha Chakravarti, Sangeetha chakraborty</t>
  </si>
  <si>
    <t>sangeethachak@gmail.com</t>
  </si>
  <si>
    <t>+919800055590</t>
  </si>
  <si>
    <t>smsgirls2014@gmail.com</t>
  </si>
  <si>
    <t>Sangeetha chakraborty</t>
  </si>
  <si>
    <t>Sandeep Mukherjee</t>
  </si>
  <si>
    <t>+919733946333</t>
  </si>
  <si>
    <t>3rd, Gate, Jyoti Nagar, 2nd Mile, Sevoke Road, ,Siliguri,West Bengal - 734001,Siliguri,West Bengal - 734001</t>
  </si>
  <si>
    <t>734001</t>
  </si>
  <si>
    <t>CALS51021F</t>
  </si>
  <si>
    <t>KLE International School, Belagavi</t>
  </si>
  <si>
    <t>IN-2022002221, IN-2022002227</t>
  </si>
  <si>
    <t>174910, 336985</t>
  </si>
  <si>
    <t>34863.1, 57000</t>
  </si>
  <si>
    <t>349820, 673970</t>
  </si>
  <si>
    <t>313767.9, 615598</t>
  </si>
  <si>
    <t>1189, 1372</t>
  </si>
  <si>
    <t>22028000023002848, 22028000023033088</t>
  </si>
  <si>
    <t>51788000002740173</t>
  </si>
  <si>
    <t>zcrm_51788000270593419, zcrm_51788000270633386</t>
  </si>
  <si>
    <t>2024-06-18 10:37:12, 2024-06-18 10:56:26</t>
  </si>
  <si>
    <t>klesisbgm@yahoo.co.in</t>
  </si>
  <si>
    <t>Lingaraj College Campus, College Road, Scheme No. 40 Kuvempu Nagar, Hindalaga, Belgavi</t>
  </si>
  <si>
    <t>2024-04-11 00:00:00, 2024-04-16 00:00:00, 2024-10-22 00:00:00</t>
  </si>
  <si>
    <t>IN-2022001898, IN-2022001913, IN-2022002544</t>
  </si>
  <si>
    <t>503</t>
  </si>
  <si>
    <t>0, 1000</t>
  </si>
  <si>
    <t>0, 233762, 397710</t>
  </si>
  <si>
    <t>0, 1193131, 701285</t>
  </si>
  <si>
    <t>0, 159134, 93504</t>
  </si>
  <si>
    <t>2024-11-19 00:00:00, 2025-02-21 00:00:00</t>
  </si>
  <si>
    <t>0, 1590841, 935047</t>
  </si>
  <si>
    <t>0, 1432206, 841536</t>
  </si>
  <si>
    <t>-499, 0, 7</t>
  </si>
  <si>
    <t>0.4445, 0.7182999999999999, 1</t>
  </si>
  <si>
    <t>22028000022046052, 22028000022086524, 22028000025660044</t>
  </si>
  <si>
    <t>51788000002728451</t>
  </si>
  <si>
    <t>zcrm_51788000268289001, zcrm_51788000268492001, zcrm_51788000276211323</t>
  </si>
  <si>
    <t>hetal.parmar_ei, saloni.shah_ei</t>
  </si>
  <si>
    <t>hetal.parmar@ei.study, saloni.shah@ei.study</t>
  </si>
  <si>
    <t>Hetal parmar, Saloni shah</t>
  </si>
  <si>
    <t>2024-04-18 14:36:45, 2024-04-18 14:36:49</t>
  </si>
  <si>
    <t>Maruf Shaikh, Ms. Kalpana Patange</t>
  </si>
  <si>
    <t>maruf.shaikh@ei.study, principal@jns.ac.in</t>
  </si>
  <si>
    <t>+919016039311, +919833381075</t>
  </si>
  <si>
    <t>Ms. Kalpana Patange</t>
  </si>
  <si>
    <t>principal@jns.ac.in</t>
  </si>
  <si>
    <t>+919833381075</t>
  </si>
  <si>
    <t>Kalpana</t>
  </si>
  <si>
    <t>+919820403447</t>
  </si>
  <si>
    <t>Narsee Monjee Bhavan, N.S. Road No. 7, JVPD Scheme, Vile Parle (West),</t>
  </si>
  <si>
    <t>Amrit Vidyalaya</t>
  </si>
  <si>
    <t>IN-2022002079</t>
  </si>
  <si>
    <t>1291</t>
  </si>
  <si>
    <t>538240</t>
  </si>
  <si>
    <t>524959</t>
  </si>
  <si>
    <t>13281</t>
  </si>
  <si>
    <t>0.5484</t>
  </si>
  <si>
    <t>0.39840000000000003</t>
  </si>
  <si>
    <t>Kalol</t>
  </si>
  <si>
    <t>22028000022594288</t>
  </si>
  <si>
    <t>51788000002731438</t>
  </si>
  <si>
    <t>zcrm_51788000269936001</t>
  </si>
  <si>
    <t>2024-06-07 09:55:28</t>
  </si>
  <si>
    <t>Mr. Vipin Baria</t>
  </si>
  <si>
    <t>vipin@amritvidyalaya.org</t>
  </si>
  <si>
    <t>+919428012734</t>
  </si>
  <si>
    <t>Info@amritvidyalaya.org</t>
  </si>
  <si>
    <t>Kalol-Malav Road, At Aata, Po. Alva,,Kalol</t>
  </si>
  <si>
    <t>389310</t>
  </si>
  <si>
    <t>MUMN32609D</t>
  </si>
  <si>
    <t>A. Ashok Garden,Tower 1, Tokersey Jivraj Road, Swan Mill Compound, Sewri,Mumbai,Mumbai-400015,Maharashtra</t>
  </si>
  <si>
    <t>Aga Khan School, Mundhra</t>
  </si>
  <si>
    <t>IN-2022002540</t>
  </si>
  <si>
    <t>Mundra</t>
  </si>
  <si>
    <t>22028000025644204</t>
  </si>
  <si>
    <t>51788000002740302</t>
  </si>
  <si>
    <t>zcrm_51788000274553832</t>
  </si>
  <si>
    <t>2024-10-22 12:55:00</t>
  </si>
  <si>
    <t>Shivkumar Naicker</t>
  </si>
  <si>
    <t>Info.aksm@akesi.org</t>
  </si>
  <si>
    <t>+919913137336</t>
  </si>
  <si>
    <t>info.aksm@akesi.org</t>
  </si>
  <si>
    <t>Aanchal Shukla</t>
  </si>
  <si>
    <t>+917990486028</t>
  </si>
  <si>
    <t>34650</t>
  </si>
  <si>
    <t>G E B Road, Mudra, Kutch</t>
  </si>
  <si>
    <t>370421</t>
  </si>
  <si>
    <t>Deens Academy -Whitefield</t>
  </si>
  <si>
    <t>IN-2022002055, IN-2022002056</t>
  </si>
  <si>
    <t>299322, 526831</t>
  </si>
  <si>
    <t>299322, 395123</t>
  </si>
  <si>
    <t>0, 395123</t>
  </si>
  <si>
    <t>131075, 58360</t>
  </si>
  <si>
    <t>1317077, 598644</t>
  </si>
  <si>
    <t>1179676, 525239</t>
  </si>
  <si>
    <t>15045, 6326</t>
  </si>
  <si>
    <t>0.5917, 0.6336999999999999</t>
  </si>
  <si>
    <t>22028000022539172, 22028000022542056</t>
  </si>
  <si>
    <t>51788000002740550</t>
  </si>
  <si>
    <t>zcrm_51788000269469261, zcrm_51788000269469392</t>
  </si>
  <si>
    <t>2024-05-24 12:48:31, 2024-05-24 14:40:20</t>
  </si>
  <si>
    <t>Shanthi</t>
  </si>
  <si>
    <t>+919986017191</t>
  </si>
  <si>
    <t>Sunitha Sunil /Ms.Merlyn</t>
  </si>
  <si>
    <t>sunitha.sunil@deensacademy.com</t>
  </si>
  <si>
    <t>+918028457764</t>
  </si>
  <si>
    <t>No. 64/1 &amp; 65/2, ECC Rd, Dodsworth Layout, Whitefield,</t>
  </si>
  <si>
    <t>Delhi Public School Nazira</t>
  </si>
  <si>
    <t>IN-2022002467</t>
  </si>
  <si>
    <t>1178</t>
  </si>
  <si>
    <t>206531</t>
  </si>
  <si>
    <t>2024-10-26 00:00:00</t>
  </si>
  <si>
    <t>200456</t>
  </si>
  <si>
    <t>3980</t>
  </si>
  <si>
    <t>607443</t>
  </si>
  <si>
    <t>590185</t>
  </si>
  <si>
    <t>13278</t>
  </si>
  <si>
    <t>0.6139</t>
  </si>
  <si>
    <t>Nazira</t>
  </si>
  <si>
    <t>22028000024308052</t>
  </si>
  <si>
    <t>51788000002728454</t>
  </si>
  <si>
    <t>zcrm_51788000273241185</t>
  </si>
  <si>
    <t>2024-09-05 15:17:43</t>
  </si>
  <si>
    <t>Mr.Partha Sarkar</t>
  </si>
  <si>
    <t>dpsnzr1@gmail.com</t>
  </si>
  <si>
    <t>+918638707198</t>
  </si>
  <si>
    <t>ONGC, Township, Ligiripukhuri, P.O. Nazira, Dist.: Sivasagar,</t>
  </si>
  <si>
    <t>785685</t>
  </si>
  <si>
    <t>SHLD01090F</t>
  </si>
  <si>
    <t>Good Shepherd English Medium School</t>
  </si>
  <si>
    <t>IN-2022002466</t>
  </si>
  <si>
    <t>98679</t>
  </si>
  <si>
    <t>230251</t>
  </si>
  <si>
    <t>32893</t>
  </si>
  <si>
    <t>328930</t>
  </si>
  <si>
    <t>296037</t>
  </si>
  <si>
    <t>0.42100000000000004</t>
  </si>
  <si>
    <t>Nandyal</t>
  </si>
  <si>
    <t>22028000024287276</t>
  </si>
  <si>
    <t>51788000002740962</t>
  </si>
  <si>
    <t>zcrm_51788000273252019</t>
  </si>
  <si>
    <t>2024-11-05 16:14:37</t>
  </si>
  <si>
    <t>Mrs. Jessy Paul</t>
  </si>
  <si>
    <t>goodshepherdschool.ndl@gmail.com</t>
  </si>
  <si>
    <t>+919948737321</t>
  </si>
  <si>
    <t>NGO Colony, Nandyal, Andhra Pradesh 518502</t>
  </si>
  <si>
    <t>518502</t>
  </si>
  <si>
    <t>HYDG00973A</t>
  </si>
  <si>
    <t>Douglas Memorial Higher Secondary School</t>
  </si>
  <si>
    <t>IN-2022001839</t>
  </si>
  <si>
    <t>131600</t>
  </si>
  <si>
    <t>7779</t>
  </si>
  <si>
    <t>526400</t>
  </si>
  <si>
    <t>510931</t>
  </si>
  <si>
    <t>7690</t>
  </si>
  <si>
    <t>22028000021909376</t>
  </si>
  <si>
    <t>51788000002741525</t>
  </si>
  <si>
    <t>zcrm_51788000264738052</t>
  </si>
  <si>
    <t>2024-04-09 13:39:51</t>
  </si>
  <si>
    <t>Sonia Gidla</t>
  </si>
  <si>
    <t>principaldmhss@gmail.com</t>
  </si>
  <si>
    <t>dmhssbkp@gmail.com</t>
  </si>
  <si>
    <t>+919830567625</t>
  </si>
  <si>
    <t>Arpita Pal</t>
  </si>
  <si>
    <t>dr.arpitapal_coordinator@dmhss.org.in</t>
  </si>
  <si>
    <t>+919830278470</t>
  </si>
  <si>
    <t>Barrack Road Barrackpore</t>
  </si>
  <si>
    <t>700120</t>
  </si>
  <si>
    <t>Vasudev C Wadhwa Arya Vidya Mandir School</t>
  </si>
  <si>
    <t>IN-2022002333</t>
  </si>
  <si>
    <t>609</t>
  </si>
  <si>
    <t>142088</t>
  </si>
  <si>
    <t>426265</t>
  </si>
  <si>
    <t>71904</t>
  </si>
  <si>
    <t>2025-08-12 00:00:00</t>
  </si>
  <si>
    <t>568353</t>
  </si>
  <si>
    <t>647135</t>
  </si>
  <si>
    <t>-150686</t>
  </si>
  <si>
    <t>0.655</t>
  </si>
  <si>
    <t>22028000023464464</t>
  </si>
  <si>
    <t>51788000002728458</t>
  </si>
  <si>
    <t>zcrm_51788000271708309</t>
  </si>
  <si>
    <t>2024-08-01 18:07:54</t>
  </si>
  <si>
    <t>Shobha Iyer</t>
  </si>
  <si>
    <t>shobha.iyer@avmschools.ac.in</t>
  </si>
  <si>
    <t>+919869194897</t>
  </si>
  <si>
    <t>Shobhnaiyer@avmschools.ac.in</t>
  </si>
  <si>
    <t>GN Block, Opp. U.T.I. Bldg., Bandra-Kurla Complex, Bandra (E),</t>
  </si>
  <si>
    <t>400051</t>
  </si>
  <si>
    <t>Smt. Ramdevi Sobhraj Bajaj Arya Vidya Mandir, Mumbai</t>
  </si>
  <si>
    <t>IN-2022002335</t>
  </si>
  <si>
    <t>615</t>
  </si>
  <si>
    <t>114644</t>
  </si>
  <si>
    <t>343933</t>
  </si>
  <si>
    <t>45858</t>
  </si>
  <si>
    <t>458577</t>
  </si>
  <si>
    <t>412718</t>
  </si>
  <si>
    <t>0.6537999999999999</t>
  </si>
  <si>
    <t>22028000023464568</t>
  </si>
  <si>
    <t>51788000002728459</t>
  </si>
  <si>
    <t>zcrm_51788000271708461</t>
  </si>
  <si>
    <t>2024-08-01 18:07:25</t>
  </si>
  <si>
    <t>Damanjit Kaur Sabherwal</t>
  </si>
  <si>
    <t>damanjit.s@avmschools.ac.in</t>
  </si>
  <si>
    <t>+919820419777</t>
  </si>
  <si>
    <t>anuradha.sridhar@avmschools.ac.in</t>
  </si>
  <si>
    <t>287, Arya Vidya Mandir Marg, JVPD Scheme</t>
  </si>
  <si>
    <t>Shaheed Rajpal DAV Public School</t>
  </si>
  <si>
    <t>IN-2022001731</t>
  </si>
  <si>
    <t>91196</t>
  </si>
  <si>
    <t>6101</t>
  </si>
  <si>
    <t>182392</t>
  </si>
  <si>
    <t>166934</t>
  </si>
  <si>
    <t>9357</t>
  </si>
  <si>
    <t>0.1112</t>
  </si>
  <si>
    <t>22028000021704668</t>
  </si>
  <si>
    <t>51788000002742353</t>
  </si>
  <si>
    <t>zcrm_51788000267488025</t>
  </si>
  <si>
    <t>2024-03-26 13:13:23</t>
  </si>
  <si>
    <t>Mrs. Indu Kakria</t>
  </si>
  <si>
    <t>indukakria@yahoo.com</t>
  </si>
  <si>
    <t>+918447596722</t>
  </si>
  <si>
    <t>davr_dv@yahoo.com</t>
  </si>
  <si>
    <t>Dayanand Vihar</t>
  </si>
  <si>
    <t>110092</t>
  </si>
  <si>
    <t>Sanghamitra School</t>
  </si>
  <si>
    <t>IN-2022002203</t>
  </si>
  <si>
    <t>1335</t>
  </si>
  <si>
    <t>856659</t>
  </si>
  <si>
    <t>174337</t>
  </si>
  <si>
    <t>2024-12-26 00:00:00</t>
  </si>
  <si>
    <t>1713318</t>
  </si>
  <si>
    <t>1569029</t>
  </si>
  <si>
    <t>-30048</t>
  </si>
  <si>
    <t>0.6965</t>
  </si>
  <si>
    <t>22028000022961444</t>
  </si>
  <si>
    <t>51788000002742735</t>
  </si>
  <si>
    <t>zcrm_51788000270515001</t>
  </si>
  <si>
    <t>2024-06-13 15:22:30</t>
  </si>
  <si>
    <t>Gangula Arundathi</t>
  </si>
  <si>
    <t>gangulaarundathi@gmail.com</t>
  </si>
  <si>
    <t>+919391183896</t>
  </si>
  <si>
    <t>2-32, Nizampet Rd, Jai Bharat Nagar, Hyder Nagar, Nagarjuna Homes, Kukatpally, Hyderabad, Telangana 500085</t>
  </si>
  <si>
    <t>HYDS02447E</t>
  </si>
  <si>
    <t>Kukatpally</t>
  </si>
  <si>
    <t>KLE International School, Rajajinagar, Bengaluru</t>
  </si>
  <si>
    <t>IN-2022002218, IN-2022002230</t>
  </si>
  <si>
    <t>118783, 228657</t>
  </si>
  <si>
    <t>23729.3, 38796</t>
  </si>
  <si>
    <t>237566, 457314</t>
  </si>
  <si>
    <t>213563.7, 419004</t>
  </si>
  <si>
    <t>-486, 273</t>
  </si>
  <si>
    <t>22028000023002728, 22028000023033208</t>
  </si>
  <si>
    <t>51788000002742747</t>
  </si>
  <si>
    <t>zcrm_51788000270593846, zcrm_51788000270690132</t>
  </si>
  <si>
    <t>2024-06-18 10:39:11, 2024-06-18 10:56:55</t>
  </si>
  <si>
    <t>kleis.rajajinagar@gmail.com</t>
  </si>
  <si>
    <t>S Nijilingappa College Campus , Ii Block, Rajajinagar</t>
  </si>
  <si>
    <t>Sunbeam School, Varuna</t>
  </si>
  <si>
    <t>IN-2022001849</t>
  </si>
  <si>
    <t>84490</t>
  </si>
  <si>
    <t>16898</t>
  </si>
  <si>
    <t>337960</t>
  </si>
  <si>
    <t>308545</t>
  </si>
  <si>
    <t>12517</t>
  </si>
  <si>
    <t>22028000021913656</t>
  </si>
  <si>
    <t>51788000002743394</t>
  </si>
  <si>
    <t>zcrm_51788000267781623</t>
  </si>
  <si>
    <t>2024-04-08 17:29:03</t>
  </si>
  <si>
    <t>Dr. Anupam Mishra</t>
  </si>
  <si>
    <t>principal.varuna@sunbeamschools.com</t>
  </si>
  <si>
    <t>+919721452401</t>
  </si>
  <si>
    <t>varuna@sunbeamschools.com</t>
  </si>
  <si>
    <t>Central Jail Road, Sicrole</t>
  </si>
  <si>
    <t>Sunbeam School, Lahartara</t>
  </si>
  <si>
    <t>IN-2022001874</t>
  </si>
  <si>
    <t>49394</t>
  </si>
  <si>
    <t>10042</t>
  </si>
  <si>
    <t>197576</t>
  </si>
  <si>
    <t>173968</t>
  </si>
  <si>
    <t>22028000021944144</t>
  </si>
  <si>
    <t>51788000002743396</t>
  </si>
  <si>
    <t>zcrm_51788000268075293</t>
  </si>
  <si>
    <t>2024-04-08 13:50:12</t>
  </si>
  <si>
    <t>lht@sunbeamschools.com</t>
  </si>
  <si>
    <t>Near Lahartara Over Bridge, Lahartara</t>
  </si>
  <si>
    <t>IN-2022001982</t>
  </si>
  <si>
    <t>169875</t>
  </si>
  <si>
    <t>396375</t>
  </si>
  <si>
    <t>11610</t>
  </si>
  <si>
    <t>566250</t>
  </si>
  <si>
    <t>568888</t>
  </si>
  <si>
    <t>-14248</t>
  </si>
  <si>
    <t>22028000022319280</t>
  </si>
  <si>
    <t>51788000002731645</t>
  </si>
  <si>
    <t>zcrm_51788000269050291</t>
  </si>
  <si>
    <t>2024-05-31 15:51:51</t>
  </si>
  <si>
    <t>Ms. Madhavi Goswami</t>
  </si>
  <si>
    <t>principal.snp@cambridgeschool.edu.in</t>
  </si>
  <si>
    <t>+918860876246</t>
  </si>
  <si>
    <t>info.snp@cambridgeschool.edu.in</t>
  </si>
  <si>
    <t>88850</t>
  </si>
  <si>
    <t>Block H,Swami Pranavanand Marg.Ring Road, Srinivaspuri, New Delhi, Delhi 110065</t>
  </si>
  <si>
    <t>DELC00018E</t>
  </si>
  <si>
    <t>Tripada English School</t>
  </si>
  <si>
    <t>IN-2022001807</t>
  </si>
  <si>
    <t>131437</t>
  </si>
  <si>
    <t>262874</t>
  </si>
  <si>
    <t>254800</t>
  </si>
  <si>
    <t>8074</t>
  </si>
  <si>
    <t>22028000021880564</t>
  </si>
  <si>
    <t>51788000002728465</t>
  </si>
  <si>
    <t>zcrm_51788000261352995</t>
  </si>
  <si>
    <t>2024-04-12 15:54:16</t>
  </si>
  <si>
    <t>Dr. Pratiksha Parikh</t>
  </si>
  <si>
    <t>principaltes@tripada.edu.in</t>
  </si>
  <si>
    <t>+919825281954</t>
  </si>
  <si>
    <t>info@tripada.com</t>
  </si>
  <si>
    <t>Near Madhuvan Water Tank, Opp. Saumil Apartment, Rannapark,</t>
  </si>
  <si>
    <t>380061</t>
  </si>
  <si>
    <t>IN-2022001871, IN-2022001872</t>
  </si>
  <si>
    <t>200</t>
  </si>
  <si>
    <t>1068</t>
  </si>
  <si>
    <t>0, 758243</t>
  </si>
  <si>
    <t>2000-01-01 00:00:00, 2024-07-09 00:00:00</t>
  </si>
  <si>
    <t>2000-01-01 00:00:00, 2024-10-09 00:00:00</t>
  </si>
  <si>
    <t>0, 12447</t>
  </si>
  <si>
    <t>2024-07-09 00:00:00, 2025-03-27 00:00:00</t>
  </si>
  <si>
    <t>154477, 3032972</t>
  </si>
  <si>
    <t>156678, 2906842.12</t>
  </si>
  <si>
    <t>-2201, 113683</t>
  </si>
  <si>
    <t>0.65, 0.8665999999999999</t>
  </si>
  <si>
    <t>22028000021928600, 22028000021928648</t>
  </si>
  <si>
    <t>51788000002744387</t>
  </si>
  <si>
    <t>zcrm_51788000267956275, zcrm_51788000267956506</t>
  </si>
  <si>
    <t>2024-04-08 10:06:13, 2024-04-08 10:09:47</t>
  </si>
  <si>
    <t>Mrs. Dalbir Kaur Chadda</t>
  </si>
  <si>
    <t>dkchadda@southpoint.org.in</t>
  </si>
  <si>
    <t>+919831806777</t>
  </si>
  <si>
    <t>spes@southpoint.org.in</t>
  </si>
  <si>
    <t>Seema Goswami</t>
  </si>
  <si>
    <t>sgoswami.0308@southpoint.edu.in</t>
  </si>
  <si>
    <t>+918017153969</t>
  </si>
  <si>
    <t>16, Mandevilla Gardens</t>
  </si>
  <si>
    <t>CALS02317A</t>
  </si>
  <si>
    <t>The Regency Public School</t>
  </si>
  <si>
    <t>IN-2022001577</t>
  </si>
  <si>
    <t>1099</t>
  </si>
  <si>
    <t>158514</t>
  </si>
  <si>
    <t>634058</t>
  </si>
  <si>
    <t>15842</t>
  </si>
  <si>
    <t>792572</t>
  </si>
  <si>
    <t>776263</t>
  </si>
  <si>
    <t>467</t>
  </si>
  <si>
    <t>0.3711</t>
  </si>
  <si>
    <t>22028000021303616</t>
  </si>
  <si>
    <t>51788000002745213</t>
  </si>
  <si>
    <t>zcrm_51788000266145057</t>
  </si>
  <si>
    <t>2024-03-05 15:36:06</t>
  </si>
  <si>
    <t>Ms. Rama Karthik</t>
  </si>
  <si>
    <t>theregencypublicschool@gmail.com</t>
  </si>
  <si>
    <t>+919937425120</t>
  </si>
  <si>
    <t>Saradha K</t>
  </si>
  <si>
    <t>+919739834842</t>
  </si>
  <si>
    <t>5/1, A.M.S. Layout, Vidyaranyapura</t>
  </si>
  <si>
    <t>560097</t>
  </si>
  <si>
    <t>BLRS33478E</t>
  </si>
  <si>
    <t>Akshar</t>
  </si>
  <si>
    <t>2024-02-27 00:00:00, 2024-08-23 00:00:00</t>
  </si>
  <si>
    <t>IN-2022001560, IN-2022002468</t>
  </si>
  <si>
    <t>581</t>
  </si>
  <si>
    <t>2798</t>
  </si>
  <si>
    <t>0, 54473</t>
  </si>
  <si>
    <t>2000-01-01 00:00:00, 2024-07-10 00:00:00</t>
  </si>
  <si>
    <t>0, 4420</t>
  </si>
  <si>
    <t>2024-06-25 00:00:00, 2024-09-09 00:00:00</t>
  </si>
  <si>
    <t>2024-09-09 00:00:00, 2025-01-10 00:00:00</t>
  </si>
  <si>
    <t>217892, 66823</t>
  </si>
  <si>
    <t>186176.7, 65528</t>
  </si>
  <si>
    <t>1295, 27295</t>
  </si>
  <si>
    <t>0.083, 0.6248</t>
  </si>
  <si>
    <t>2024-04-15 00:00:00, 2024-08-30 00:00:00</t>
  </si>
  <si>
    <t>22028000021247344, 22028000024308096</t>
  </si>
  <si>
    <t>51788000002728471</t>
  </si>
  <si>
    <t>zcrm_51788000265816869, zcrm_51788000273241048</t>
  </si>
  <si>
    <t>2024-02-29 11:09:26, 2024-09-03 16:31:20</t>
  </si>
  <si>
    <t>Mrs. Kavneet Khullar</t>
  </si>
  <si>
    <t>akshar1998@gmail.com</t>
  </si>
  <si>
    <t>+919830115422</t>
  </si>
  <si>
    <t>Reena Ghosh</t>
  </si>
  <si>
    <t>reenssgh@yahoo.com</t>
  </si>
  <si>
    <t>+919903755400</t>
  </si>
  <si>
    <t>35, Diamond Harbour Road</t>
  </si>
  <si>
    <t>700027</t>
  </si>
  <si>
    <t>CALR02809C</t>
  </si>
  <si>
    <t>Little Angels High School</t>
  </si>
  <si>
    <t>IN-2022001984</t>
  </si>
  <si>
    <t>123363</t>
  </si>
  <si>
    <t>287847</t>
  </si>
  <si>
    <t>5160</t>
  </si>
  <si>
    <t>411210</t>
  </si>
  <si>
    <t>561751</t>
  </si>
  <si>
    <t>-155701</t>
  </si>
  <si>
    <t>0.3846</t>
  </si>
  <si>
    <t>22028000022311364</t>
  </si>
  <si>
    <t>51788000002746244</t>
  </si>
  <si>
    <t>zcrm_51788000269027574</t>
  </si>
  <si>
    <t>2024-05-02 13:10:53</t>
  </si>
  <si>
    <t>Ms. Priya</t>
  </si>
  <si>
    <t>aetrust1959@littleangels-sion.in</t>
  </si>
  <si>
    <t>+919820212269</t>
  </si>
  <si>
    <t>Saisudha</t>
  </si>
  <si>
    <t>aetrust1959@gmail.com</t>
  </si>
  <si>
    <t>+919819061125</t>
  </si>
  <si>
    <t>Dr. Sonali</t>
  </si>
  <si>
    <t>lahsprimary@littleangels-sion.in</t>
  </si>
  <si>
    <t>+918080290555</t>
  </si>
  <si>
    <t>5700</t>
  </si>
  <si>
    <t>C S Number 6, Shastri Lane, Gully Vishramandi Sion (W), Near Manavseva Sangh,</t>
  </si>
  <si>
    <t>400022</t>
  </si>
  <si>
    <t>MUMT12692B</t>
  </si>
  <si>
    <t>Matunga Lions Pioneer English School</t>
  </si>
  <si>
    <t>IN-2022002279</t>
  </si>
  <si>
    <t>19423</t>
  </si>
  <si>
    <t>45320</t>
  </si>
  <si>
    <t>1399</t>
  </si>
  <si>
    <t>64743</t>
  </si>
  <si>
    <t>68592</t>
  </si>
  <si>
    <t>-5248</t>
  </si>
  <si>
    <t>22028000023171560</t>
  </si>
  <si>
    <t>51788000002746612</t>
  </si>
  <si>
    <t>zcrm_51788000270648408</t>
  </si>
  <si>
    <t>2024-07-01 18:03:12</t>
  </si>
  <si>
    <t>+919820830679</t>
  </si>
  <si>
    <t>MatungaLionsPioneerEnglishSchool_990412@gmail.com</t>
  </si>
  <si>
    <t>3800</t>
  </si>
  <si>
    <t>Bhau Daji Road, Matunga (W),</t>
  </si>
  <si>
    <t>400019</t>
  </si>
  <si>
    <t>Holy Angels School</t>
  </si>
  <si>
    <t>IN-2022001665</t>
  </si>
  <si>
    <t>744</t>
  </si>
  <si>
    <t>372827</t>
  </si>
  <si>
    <t>73562</t>
  </si>
  <si>
    <t>745654</t>
  </si>
  <si>
    <t>662064</t>
  </si>
  <si>
    <t>10028</t>
  </si>
  <si>
    <t>0.5889</t>
  </si>
  <si>
    <t>0.5389</t>
  </si>
  <si>
    <t>22028000021599068</t>
  </si>
  <si>
    <t>51788000002746787</t>
  </si>
  <si>
    <t>zcrm_51788000265280522</t>
  </si>
  <si>
    <t>2024-03-21 10:09:43</t>
  </si>
  <si>
    <t>Mr. Fr. Rijo John</t>
  </si>
  <si>
    <t>principalholyangelssahibabad@gmail.com</t>
  </si>
  <si>
    <t>+918130512091</t>
  </si>
  <si>
    <t>Sec - 3, Rajinder Nagar, Sahibabad</t>
  </si>
  <si>
    <t>ACAD Name</t>
  </si>
  <si>
    <t>Vaishali</t>
  </si>
  <si>
    <t>2025-11-12 00:00:00</t>
  </si>
  <si>
    <t>2025-11-20 00:00:00</t>
  </si>
  <si>
    <t>141991</t>
  </si>
  <si>
    <t>2025-12-31 00:00:00</t>
  </si>
  <si>
    <t>283982</t>
  </si>
  <si>
    <t>2025-10-01 00:00:00</t>
  </si>
  <si>
    <t>2026-03-31 00:00:00</t>
  </si>
  <si>
    <t>22028000034706192</t>
  </si>
  <si>
    <t>zcrm_51788000300260001</t>
  </si>
  <si>
    <t>2025-11-13 09:13:47</t>
  </si>
  <si>
    <t>Dr. Puneeta Malhotra</t>
  </si>
  <si>
    <t>+919911083712</t>
  </si>
  <si>
    <t>Ms. Sunandita Ganguly</t>
  </si>
  <si>
    <t>A block</t>
  </si>
  <si>
    <t>Vivekanand School</t>
  </si>
  <si>
    <t>Tanya</t>
  </si>
  <si>
    <t>2025-11-18 00:00:00</t>
  </si>
  <si>
    <t>275</t>
  </si>
  <si>
    <t>142553</t>
  </si>
  <si>
    <t>2025-12-03 00:00:00</t>
  </si>
  <si>
    <t>427658</t>
  </si>
  <si>
    <t>2850</t>
  </si>
  <si>
    <t>2025-11-19 00:00:00</t>
  </si>
  <si>
    <t>570211</t>
  </si>
  <si>
    <t>139702</t>
  </si>
  <si>
    <t>427659</t>
  </si>
  <si>
    <t>0.8168000000000001</t>
  </si>
  <si>
    <t>0.7668</t>
  </si>
  <si>
    <t>2025-11-17 00:00:00</t>
  </si>
  <si>
    <t>22028000034833068</t>
  </si>
  <si>
    <t>51788000002747001</t>
  </si>
  <si>
    <t>zcrm_51788000295077225</t>
  </si>
  <si>
    <t>2025-11-20 19:34:29</t>
  </si>
  <si>
    <t>Ms. Bhavna Batra</t>
  </si>
  <si>
    <t>bhavna.batra@vivekanandschool.in</t>
  </si>
  <si>
    <t>+919811329911</t>
  </si>
  <si>
    <t>neelam.gupta@vivekanandschool.in</t>
  </si>
  <si>
    <t>Mrs. Poonam Sharma</t>
  </si>
  <si>
    <t>Mrs. Bhavna Batra</t>
  </si>
  <si>
    <t>D-Block</t>
  </si>
  <si>
    <t>DELV13166G</t>
  </si>
  <si>
    <t>D-Block, Anand Vihar, Delhi, Delhi</t>
  </si>
  <si>
    <t>2025-05-12 00:00:00</t>
  </si>
  <si>
    <t>1305</t>
  </si>
  <si>
    <t>2025-05-20 00:00:00</t>
  </si>
  <si>
    <t>380676</t>
  </si>
  <si>
    <t>2025-07-21 00:00:00</t>
  </si>
  <si>
    <t>2025-10-20 00:00:00</t>
  </si>
  <si>
    <t>152433</t>
  </si>
  <si>
    <t>2025-06-10 00:00:00</t>
  </si>
  <si>
    <t>2026-03-06 00:00:00</t>
  </si>
  <si>
    <t>1522704</t>
  </si>
  <si>
    <t>1371898</t>
  </si>
  <si>
    <t>-1627</t>
  </si>
  <si>
    <t>0.6272</t>
  </si>
  <si>
    <t>2025-05-26 00:00:00</t>
  </si>
  <si>
    <t>22028000029993472</t>
  </si>
  <si>
    <t>zcrm_51788000290430187</t>
  </si>
  <si>
    <t>2025-05-22 10:21:26</t>
  </si>
  <si>
    <t>principal@stpaulsrourkela.org</t>
  </si>
  <si>
    <t>Mr.Rajendra Viswakarma</t>
  </si>
  <si>
    <t>raj@stpaulsrourkela.org</t>
  </si>
  <si>
    <t>+917381800102</t>
  </si>
  <si>
    <t>St. Paul's School</t>
  </si>
  <si>
    <t>Nithya Menon</t>
  </si>
  <si>
    <t>2025-06-05 00:00:00</t>
  </si>
  <si>
    <t>636</t>
  </si>
  <si>
    <t>2025-08-10 00:00:00</t>
  </si>
  <si>
    <t>122515, 298890</t>
  </si>
  <si>
    <t>2025-12-10 00:00:00</t>
  </si>
  <si>
    <t>12195, 24917</t>
  </si>
  <si>
    <t>2025-09-04 00:00:00</t>
  </si>
  <si>
    <t>245030, 597780</t>
  </si>
  <si>
    <t>109756, 269098</t>
  </si>
  <si>
    <t>123079, 303765</t>
  </si>
  <si>
    <t>0.7927, 0.875</t>
  </si>
  <si>
    <t>2025-06-01 00:00:00</t>
  </si>
  <si>
    <t>2026-05-31 00:00:00</t>
  </si>
  <si>
    <t>22028000030744368, 22028000030744412</t>
  </si>
  <si>
    <t>zcrm_51788000291708907, zcrm_51788000291719132</t>
  </si>
  <si>
    <t>2025-06-05 15:07:54, 2025-06-05 15:08:07</t>
  </si>
  <si>
    <t>Maruf Shaik, Maruf Shaikh</t>
  </si>
  <si>
    <t>MR. P. I. PATIL, Maruf Shaik</t>
  </si>
  <si>
    <t>klesstatenipani@gmail.com, maruf.shaikh@ei.study</t>
  </si>
  <si>
    <t>+919016039311, +919591299240</t>
  </si>
  <si>
    <t>Maruf Shaik, Ms Jyoti / Savita Maam</t>
  </si>
  <si>
    <t>kleems@rediffmail.com, maruf.shaikh@ei.study</t>
  </si>
  <si>
    <t>2025-04-04 00:00:00, 2025-04-28 00:00:00</t>
  </si>
  <si>
    <t>Ei ASSET, Ei ASSET,Ei CARES, Ei CARES, Ei Mindspark</t>
  </si>
  <si>
    <t>600, 604</t>
  </si>
  <si>
    <t>1893, 1900</t>
  </si>
  <si>
    <t>2050, 2059</t>
  </si>
  <si>
    <t>150, 39314, 39820, 475, 608</t>
  </si>
  <si>
    <t>2025-07-01 00:00:00</t>
  </si>
  <si>
    <t>157256, 159280, 1900, 2432, 600</t>
  </si>
  <si>
    <t>0.6, 0.664, 0.7625, 0.7634000000000001, 0.775</t>
  </si>
  <si>
    <t>2026-03-31 00:00:00, 2026-04-01 00:00:00</t>
  </si>
  <si>
    <t>22028000029084636, 22028000029084692, 22028000029639092, 22028000029639140, 22028000029639216</t>
  </si>
  <si>
    <t>zcrm_51788000288232055, zcrm_51788000288232281, zcrm_51788000289587493, zcrm_51788000289692261, zcrm_51788000289692489</t>
  </si>
  <si>
    <t>pooja.kapoor_eiindia1, tanya.brooks_ei</t>
  </si>
  <si>
    <t>pooja.kapoor@ei.study, tanya.brooks@ei.study</t>
  </si>
  <si>
    <t>Pooja kapoor, Tanya brooks</t>
  </si>
  <si>
    <t>2025-04-12 18:41:52, 2025-04-12 18:42:21, 2025-05-05 16:53:03, 2025-05-05 16:53:25, 2025-05-05 16:53:52</t>
  </si>
  <si>
    <t>Monisha Datta</t>
  </si>
  <si>
    <t>md@thedoongirlsschool.com</t>
  </si>
  <si>
    <t>Monisha Datta, Sumali Devgan</t>
  </si>
  <si>
    <t>md@thedoongirlsschool.com, principal@thedoongirlsschool.com</t>
  </si>
  <si>
    <t>+919927683344, +919988636241</t>
  </si>
  <si>
    <t>Mohini Chauhan, Monisha Datta</t>
  </si>
  <si>
    <t>md@thedoongirlsschool.com, vp@thedoongirlsschool.com</t>
  </si>
  <si>
    <t>+918650855855, +919927683344</t>
  </si>
  <si>
    <t>4, Circular Road,</t>
  </si>
  <si>
    <t>Manavi</t>
  </si>
  <si>
    <t>2025-04-30 00:00:00, 2025-05-19 00:00:00</t>
  </si>
  <si>
    <t>0, 1322, 2299</t>
  </si>
  <si>
    <t>0, 5024, 94247</t>
  </si>
  <si>
    <t>2025-08-07 00:00:00</t>
  </si>
  <si>
    <t>0, 50243, 942465</t>
  </si>
  <si>
    <t>0, 45279, 848278</t>
  </si>
  <si>
    <t>-60, 0</t>
  </si>
  <si>
    <t>0.47009999999999996, 0.5459, 1</t>
  </si>
  <si>
    <t>0.4201, 0.4959, 1</t>
  </si>
  <si>
    <t>2025-04-01 00:00:00, 2025-05-01 00:00:00</t>
  </si>
  <si>
    <t>22028000029683064, 22028000029683100, 22028000030185760</t>
  </si>
  <si>
    <t>zcrm_51788000289836001, zcrm_51788000289836171, zcrm_51788000290833001</t>
  </si>
  <si>
    <t>chaitanya.kolluri_ei, jasper.jessie_ei</t>
  </si>
  <si>
    <t>chaitanya.kolluri@ei.study, jasper.jessie@ei.study</t>
  </si>
  <si>
    <t>Chaitanya kolluri, Jasper jessie</t>
  </si>
  <si>
    <t>2025-05-26 18:20:06, 2025-05-28 17:21:47, 2025-05-28 17:22:10</t>
  </si>
  <si>
    <t>Vinjamur Jayashree</t>
  </si>
  <si>
    <t>+919573330202</t>
  </si>
  <si>
    <t>Reshma Joshi, Vinjamur Jayashree</t>
  </si>
  <si>
    <t>reshmajoshi186@gmail.com, vinjamurjayashree@gmail.com</t>
  </si>
  <si>
    <t>+919441451552, +919573330202</t>
  </si>
  <si>
    <t>2-2-4/1 O U Road, Sri Aurobindo Marg,</t>
  </si>
  <si>
    <t>Bhavishya</t>
  </si>
  <si>
    <t>2025-08-05 00:00:00</t>
  </si>
  <si>
    <t>2025-10-03 00:00:00</t>
  </si>
  <si>
    <t>72600</t>
  </si>
  <si>
    <t>-1200</t>
  </si>
  <si>
    <t>2025-04-01 00:00:00</t>
  </si>
  <si>
    <t>22028000030336084</t>
  </si>
  <si>
    <t>zcrm_51788000290949023</t>
  </si>
  <si>
    <t>2025-05-23 18:05:36</t>
  </si>
  <si>
    <t>Ms. Reema</t>
  </si>
  <si>
    <t>+919466640523</t>
  </si>
  <si>
    <t>Sector 1</t>
  </si>
  <si>
    <t>Sudhi</t>
  </si>
  <si>
    <t>1938522</t>
  </si>
  <si>
    <t>1330734</t>
  </si>
  <si>
    <t>607788</t>
  </si>
  <si>
    <t>0.5231</t>
  </si>
  <si>
    <t>22028000024444176</t>
  </si>
  <si>
    <t>zcrm_51788000273345737</t>
  </si>
  <si>
    <t>2024-09-02 14:34:52</t>
  </si>
  <si>
    <t>Swadhyay Bhavan School</t>
  </si>
  <si>
    <t>240491</t>
  </si>
  <si>
    <t>2025-07-15 00:00:00</t>
  </si>
  <si>
    <t>2025-10-30 00:00:00</t>
  </si>
  <si>
    <t>98067.04000000001</t>
  </si>
  <si>
    <t>2025-11-24 00:00:00</t>
  </si>
  <si>
    <t>961964</t>
  </si>
  <si>
    <t>872713.42</t>
  </si>
  <si>
    <t>-8816</t>
  </si>
  <si>
    <t>2026-04-30 00:00:00</t>
  </si>
  <si>
    <t>22028000024528924</t>
  </si>
  <si>
    <t>51788000002747411</t>
  </si>
  <si>
    <t>zcrm_51788000273184360</t>
  </si>
  <si>
    <t>2024-09-30 10:38:08</t>
  </si>
  <si>
    <t>Pravin Shah</t>
  </si>
  <si>
    <t>shobhna.nair@gkmschools.com</t>
  </si>
  <si>
    <t>+919987966456</t>
  </si>
  <si>
    <t>info@swadhyaybhavanschool.com</t>
  </si>
  <si>
    <t>76/A, RaKidwai Road, Matunga, Mumbai</t>
  </si>
  <si>
    <t>MUMG03371E</t>
  </si>
  <si>
    <t>Lopa</t>
  </si>
  <si>
    <t>188528</t>
  </si>
  <si>
    <t>439898</t>
  </si>
  <si>
    <t>8798</t>
  </si>
  <si>
    <t>2025-09-02 00:00:00</t>
  </si>
  <si>
    <t>2025-12-06 00:00:00</t>
  </si>
  <si>
    <t>628426</t>
  </si>
  <si>
    <t>615856</t>
  </si>
  <si>
    <t>3772</t>
  </si>
  <si>
    <t>0.65</t>
  </si>
  <si>
    <t>2026-04-07 00:00:00</t>
  </si>
  <si>
    <t>22028000029163880</t>
  </si>
  <si>
    <t>zcrm_51788000288514001</t>
  </si>
  <si>
    <t>shramana.mukherjee_ei</t>
  </si>
  <si>
    <t>shramana.mukherjee@ei.study</t>
  </si>
  <si>
    <t>Shramana mukherjee</t>
  </si>
  <si>
    <t>2025-06-09 14:22:04</t>
  </si>
  <si>
    <t>Sangeet Tandon</t>
  </si>
  <si>
    <t>Rupali Sen</t>
  </si>
  <si>
    <t>0053@shrishikshayatanschool.com</t>
  </si>
  <si>
    <t>+919331947288</t>
  </si>
  <si>
    <t>11, Lord Sinha Road</t>
  </si>
  <si>
    <t>11, Lord Sinha</t>
  </si>
  <si>
    <t>467747</t>
  </si>
  <si>
    <t>2025-08-01 00:00:00</t>
  </si>
  <si>
    <t>545705</t>
  </si>
  <si>
    <t>2025-12-01 00:00:00</t>
  </si>
  <si>
    <t>155207.02</t>
  </si>
  <si>
    <t>2026-01-08 00:00:00</t>
  </si>
  <si>
    <t>1559157</t>
  </si>
  <si>
    <t>1396863</t>
  </si>
  <si>
    <t>7087</t>
  </si>
  <si>
    <t>22028000029465104</t>
  </si>
  <si>
    <t>zcrm_51788000288971343</t>
  </si>
  <si>
    <t>2025-05-07 12:50:39</t>
  </si>
  <si>
    <t>Dr Revathy Parameswaran</t>
  </si>
  <si>
    <t>Sivakumar</t>
  </si>
  <si>
    <t>Mother's International Academy</t>
  </si>
  <si>
    <t>Pooja</t>
  </si>
  <si>
    <t>1680</t>
  </si>
  <si>
    <t>84420</t>
  </si>
  <si>
    <t>2025-10-15 00:00:00</t>
  </si>
  <si>
    <t>2025-04-19 00:00:00</t>
  </si>
  <si>
    <t>337680</t>
  </si>
  <si>
    <t>73676</t>
  </si>
  <si>
    <t>264004</t>
  </si>
  <si>
    <t>Patna</t>
  </si>
  <si>
    <t>22028000028753928</t>
  </si>
  <si>
    <t>51788000002748801</t>
  </si>
  <si>
    <t>zcrm_51788000279067764</t>
  </si>
  <si>
    <t>2025-04-21 12:24:39</t>
  </si>
  <si>
    <t>Shishir Mallick</t>
  </si>
  <si>
    <t>shishir@miapatna.com</t>
  </si>
  <si>
    <t>+919934049577</t>
  </si>
  <si>
    <t>Supriya Chatterjee</t>
  </si>
  <si>
    <t>principal@miapatna.com</t>
  </si>
  <si>
    <t>+918084908044</t>
  </si>
  <si>
    <t>29000</t>
  </si>
  <si>
    <t>FCI Road</t>
  </si>
  <si>
    <t>801505</t>
  </si>
  <si>
    <t>FCI Road, Phulwari Sharif</t>
  </si>
  <si>
    <t>FCI Road, Phulwari Sharif, Khagaul highway</t>
  </si>
  <si>
    <t>Spring Wood Senior Secondary School</t>
  </si>
  <si>
    <t>Shruti</t>
  </si>
  <si>
    <t>308722</t>
  </si>
  <si>
    <t>2025-12-02 00:00:00</t>
  </si>
  <si>
    <t>34302</t>
  </si>
  <si>
    <t>343024</t>
  </si>
  <si>
    <t>150308</t>
  </si>
  <si>
    <t>192716</t>
  </si>
  <si>
    <t>2025-06-02 00:00:00</t>
  </si>
  <si>
    <t>2026-03-28 00:00:00</t>
  </si>
  <si>
    <t>22028000028367620</t>
  </si>
  <si>
    <t>51788000002748839</t>
  </si>
  <si>
    <t>zcrm_51788000278142228</t>
  </si>
  <si>
    <t>2025-02-28 18:08:31</t>
  </si>
  <si>
    <t>Mr. Rahul Pal</t>
  </si>
  <si>
    <t>chatulata.chou@yahoo.in</t>
  </si>
  <si>
    <t>+919425106332</t>
  </si>
  <si>
    <t>springwoodschool@yahoo.in</t>
  </si>
  <si>
    <t>Mrs. Charulata Choubey</t>
  </si>
  <si>
    <t>charulata.chou@yahoo.in</t>
  </si>
  <si>
    <t>Near Scheme Number 36, Opposite New Collectorate</t>
  </si>
  <si>
    <t>Near Scheme Number 36, Opposite New Collectorate,</t>
  </si>
  <si>
    <t>Opposite New Collectorate, Near Industrial Area,</t>
  </si>
  <si>
    <t>Near Scheme Number 36, Opposite New Collectorate, Near Industrial Area,</t>
  </si>
  <si>
    <t>36072</t>
  </si>
  <si>
    <t>2025-10-27 00:00:00</t>
  </si>
  <si>
    <t>360715</t>
  </si>
  <si>
    <t>324644</t>
  </si>
  <si>
    <t>0.6201</t>
  </si>
  <si>
    <t>22028000030653252</t>
  </si>
  <si>
    <t>zcrm_51788000291587523</t>
  </si>
  <si>
    <t>2025-07-12 13:50:27</t>
  </si>
  <si>
    <t>Mrs. Anju Madan</t>
  </si>
  <si>
    <t>academichead@globaledgeschool.com</t>
  </si>
  <si>
    <t>Kerala Public School_ Burmamines</t>
  </si>
  <si>
    <t>Sumit Rana</t>
  </si>
  <si>
    <t>338975</t>
  </si>
  <si>
    <t>2025-08-24 00:00:00</t>
  </si>
  <si>
    <t>2025-09-19 00:00:00</t>
  </si>
  <si>
    <t>1355900</t>
  </si>
  <si>
    <t>643097</t>
  </si>
  <si>
    <t>712803</t>
  </si>
  <si>
    <t>Jamshedpur</t>
  </si>
  <si>
    <t>22028000028350456</t>
  </si>
  <si>
    <t>51788000002749631</t>
  </si>
  <si>
    <t>zcrm_51788000285609331</t>
  </si>
  <si>
    <t>2025-04-28 10:17:13</t>
  </si>
  <si>
    <t>Priyanka Barua</t>
  </si>
  <si>
    <t>kpsburmamines@yahoo.co.in</t>
  </si>
  <si>
    <t>+919471719012</t>
  </si>
  <si>
    <t>+919102578577</t>
  </si>
  <si>
    <t>6500</t>
  </si>
  <si>
    <t>Burmamines</t>
  </si>
  <si>
    <t>831007</t>
  </si>
  <si>
    <t>Burmamines Jamshedpur Jharkhand</t>
  </si>
  <si>
    <t>Nml Kerala Public School</t>
  </si>
  <si>
    <t>253500</t>
  </si>
  <si>
    <t>1014000</t>
  </si>
  <si>
    <t>238430</t>
  </si>
  <si>
    <t>775570</t>
  </si>
  <si>
    <t>22028000028340308</t>
  </si>
  <si>
    <t>51788000002749635</t>
  </si>
  <si>
    <t>zcrm_51788000285639404</t>
  </si>
  <si>
    <t>2025-04-28 10:18:30</t>
  </si>
  <si>
    <t>Mrs. Gurmeet Kaur</t>
  </si>
  <si>
    <t>kpsnml@yahoo.co.in</t>
  </si>
  <si>
    <t>Kpsnml@yahoo.co.in</t>
  </si>
  <si>
    <t>Gurmeet Kaur</t>
  </si>
  <si>
    <t>2300</t>
  </si>
  <si>
    <t>Bhuiyadih Main Rd, Agrico Colony, Bhuiyadih, Agrico Area, Jamshedpur</t>
  </si>
  <si>
    <t>831009</t>
  </si>
  <si>
    <t>Bhuyadih, Agrico,</t>
  </si>
  <si>
    <t>2025-04-08 00:00:00, 2025-04-10 00:00:00</t>
  </si>
  <si>
    <t>1372</t>
  </si>
  <si>
    <t>2025-04-10 00:00:00, 2025-04-15 00:00:00</t>
  </si>
  <si>
    <t>50116, 61870</t>
  </si>
  <si>
    <t>605028, 611838, 671131</t>
  </si>
  <si>
    <t>541250.33, 556833, 556834</t>
  </si>
  <si>
    <t>-13675, -6866, 79765</t>
  </si>
  <si>
    <t>0.44630000000000003, 0.618</t>
  </si>
  <si>
    <t>22028000029183408, 22028000029212332, 22028000029212400</t>
  </si>
  <si>
    <t>zcrm_51788000288510040, zcrm_51788000288510251, zcrm_51788000288510465</t>
  </si>
  <si>
    <t>2025-05-06 14:20:12, 2025-05-06 14:20:39, 2025-05-06 14:20:56</t>
  </si>
  <si>
    <t>Mr. Gagandeep Thareja</t>
  </si>
  <si>
    <t>gagandeep@vdjs.edu.in</t>
  </si>
  <si>
    <t>+918607952707</t>
  </si>
  <si>
    <t>Ms. Naina Dhillon</t>
  </si>
  <si>
    <t>principal@vdjs.edu.in</t>
  </si>
  <si>
    <t>La Montessori School, Dhalpur</t>
  </si>
  <si>
    <t>2025-04-29 00:00:00, 2025-11-25 00:00:00</t>
  </si>
  <si>
    <t>0, 1474</t>
  </si>
  <si>
    <t>2025-11-25 00:00:00</t>
  </si>
  <si>
    <t>2000-01-01 00:00:00, 2025-03-28 00:00:00</t>
  </si>
  <si>
    <t>0, 54525</t>
  </si>
  <si>
    <t>2000-01-01 00:00:00, 2025-06-28 00:00:00</t>
  </si>
  <si>
    <t>2000-01-01 00:00:00, 2025-09-30 00:00:00</t>
  </si>
  <si>
    <t>2000-01-01 00:00:00, 2025-12-31 00:00:00</t>
  </si>
  <si>
    <t>2025-09-26 00:00:00</t>
  </si>
  <si>
    <t>0, 218100</t>
  </si>
  <si>
    <t>0, 49000</t>
  </si>
  <si>
    <t>0, 169100</t>
  </si>
  <si>
    <t>0.75, 1</t>
  </si>
  <si>
    <t>2, 8</t>
  </si>
  <si>
    <t>22028000029652272, 22028000035053228</t>
  </si>
  <si>
    <t>51788000002750003</t>
  </si>
  <si>
    <t>zcrm_51788000289525945</t>
  </si>
  <si>
    <t>pankaj.dhiman_ei</t>
  </si>
  <si>
    <t>fagun.saraiya_eiindia1, mitul.patel_ei1</t>
  </si>
  <si>
    <t>pankaj.dhiman@ei.study</t>
  </si>
  <si>
    <t>Pankaj dhiman</t>
  </si>
  <si>
    <t>2025-04-30 11:02:13, 2025-11-25 12:50:06</t>
  </si>
  <si>
    <t>Mr. Uday Kanwar</t>
  </si>
  <si>
    <t>uday.kanwar@lms.org.in</t>
  </si>
  <si>
    <t>+919418022626</t>
  </si>
  <si>
    <t>lalita.kanwar@lms.org.in</t>
  </si>
  <si>
    <t>Lalita Kanwar</t>
  </si>
  <si>
    <t>+919816022626</t>
  </si>
  <si>
    <t>Lalita Kanwar, Urvashi Pandit</t>
  </si>
  <si>
    <t>lalita.kanwar@lms.org.in, urvashi.pandit@lms.org.in</t>
  </si>
  <si>
    <t>+918278740168, +919816022626</t>
  </si>
  <si>
    <t>175101</t>
  </si>
  <si>
    <t>Near Zonal Hospital</t>
  </si>
  <si>
    <t>The Mall, Hospital Rd, Dhalpur, Kullu, Himachal Pradesh 175101</t>
  </si>
  <si>
    <t>M P Birla Foundation Higher Secondary School</t>
  </si>
  <si>
    <t>106280</t>
  </si>
  <si>
    <t>1448</t>
  </si>
  <si>
    <t>425120</t>
  </si>
  <si>
    <t>320754</t>
  </si>
  <si>
    <t>102918</t>
  </si>
  <si>
    <t>0.7166</t>
  </si>
  <si>
    <t>2026-04-01 00:00:00</t>
  </si>
  <si>
    <t>22028000028189592</t>
  </si>
  <si>
    <t>51788000002732045</t>
  </si>
  <si>
    <t>zcrm_51788000254915835</t>
  </si>
  <si>
    <t>2025-04-02 16:06:07</t>
  </si>
  <si>
    <t>Mr. S K Singh</t>
  </si>
  <si>
    <t>sk1111singh@gmail.com</t>
  </si>
  <si>
    <t>+919831117111</t>
  </si>
  <si>
    <t>mpbfhsschool@bsnl.in</t>
  </si>
  <si>
    <t>Purnima Chatterjee</t>
  </si>
  <si>
    <t>principal.mpbfhss@gmail.com</t>
  </si>
  <si>
    <t>+919903033965</t>
  </si>
  <si>
    <t>79500</t>
  </si>
  <si>
    <t>James Long Sarani</t>
  </si>
  <si>
    <t>700034</t>
  </si>
  <si>
    <t>CALM00354E</t>
  </si>
  <si>
    <t>2025-04-29 00:00:00, 2025-05-07 00:00:00</t>
  </si>
  <si>
    <t>180054, 332250</t>
  </si>
  <si>
    <t>540161, 996750</t>
  </si>
  <si>
    <t>132900, 61475.67</t>
  </si>
  <si>
    <t>2025-07-07 00:00:00, 2025-10-03 00:00:00</t>
  </si>
  <si>
    <t>2025-11-06 00:00:00, 2025-12-29 00:00:00</t>
  </si>
  <si>
    <t>1329000, 720215</t>
  </si>
  <si>
    <t>1196100, 663938</t>
  </si>
  <si>
    <t>-5199, 0</t>
  </si>
  <si>
    <t>2025-05-01 00:00:00, 2025-06-01 00:00:00</t>
  </si>
  <si>
    <t>2026-04-30 00:00:00, 2026-05-31 00:00:00</t>
  </si>
  <si>
    <t>22028000029655128, 22028000029934108</t>
  </si>
  <si>
    <t>zcrm_51788000289683105, zcrm_51788000290410001</t>
  </si>
  <si>
    <t>2025-04-29 17:13:19, 2025-07-08 13:13:58</t>
  </si>
  <si>
    <t>Ms. Ranjana Jangra, Ms. Ranjna Jangra</t>
  </si>
  <si>
    <t>principal@birlaschoolkalyan.com</t>
  </si>
  <si>
    <t>+919372804429</t>
  </si>
  <si>
    <t>Ms. Ranjana Jangra, Ranjna Jangra</t>
  </si>
  <si>
    <t>+919372804429, +919820776655</t>
  </si>
  <si>
    <t>Ms. Ranjana Jangra, Ms. Ruchita</t>
  </si>
  <si>
    <t>principal@birlaschoolkalyan.com, viceprincipal@birlaschoolkalyan.com</t>
  </si>
  <si>
    <t>1017, 2542</t>
  </si>
  <si>
    <t>1165558, 256864, 432771</t>
  </si>
  <si>
    <t>2025-09-30 00:00:00</t>
  </si>
  <si>
    <t>17270, 38964, 81</t>
  </si>
  <si>
    <t>2025-07-18 00:00:00, 2025-12-05 00:00:00</t>
  </si>
  <si>
    <t>2025-12-05 00:00:00</t>
  </si>
  <si>
    <t>2331116, 513728, 865542</t>
  </si>
  <si>
    <t>2378094.6399999997, 4719, 854901.7</t>
  </si>
  <si>
    <t>-6630, -85943, 508928</t>
  </si>
  <si>
    <t>0.5, 0.6142, 0.6666</t>
  </si>
  <si>
    <t>22028000027717120, 22028000027718084, 22028000027718264</t>
  </si>
  <si>
    <t>zcrm_51788000283296001, zcrm_51788000283296200, zcrm_51788000283296375</t>
  </si>
  <si>
    <t>2025-02-12 11:42:43, 2025-02-12 11:43:09, 2025-02-12 11:43:26</t>
  </si>
  <si>
    <t>Ms. Anjana Saha</t>
  </si>
  <si>
    <t>+919433899453</t>
  </si>
  <si>
    <t>Ms Anjana Saha, Ms. Anjana Saha</t>
  </si>
  <si>
    <t>+919433899453, +919830260979</t>
  </si>
  <si>
    <t>Monali Biswas, Ms. Basundhara Bhattacharya, Subhasree Mallick</t>
  </si>
  <si>
    <t>coordinator.mid@mbwa.org.in, hod.english.mid@mbwa.org.in, subhasree.mallick.mbwa@gmail.com</t>
  </si>
  <si>
    <t>+918276812989, +919433456468, +919903595193</t>
  </si>
  <si>
    <t>Mahadevi Birla World Academy</t>
  </si>
  <si>
    <t>Rishikul Vidyapeeth School</t>
  </si>
  <si>
    <t>664</t>
  </si>
  <si>
    <t>1351</t>
  </si>
  <si>
    <t>550017</t>
  </si>
  <si>
    <t>2025-07-07 00:00:00</t>
  </si>
  <si>
    <t>2026-01-21 00:00:00</t>
  </si>
  <si>
    <t>2200068</t>
  </si>
  <si>
    <t>1259179</t>
  </si>
  <si>
    <t>910889</t>
  </si>
  <si>
    <t>0.5572</t>
  </si>
  <si>
    <t>0.5072</t>
  </si>
  <si>
    <t>22028000028465540</t>
  </si>
  <si>
    <t>zcrm_51788000286004578</t>
  </si>
  <si>
    <t>2025-03-11 12:13:53</t>
  </si>
  <si>
    <t>Mr. Dheeraj Sharma</t>
  </si>
  <si>
    <t>Devru Road</t>
  </si>
  <si>
    <t>2025-06-13 00:00:00</t>
  </si>
  <si>
    <t>941</t>
  </si>
  <si>
    <t>826319</t>
  </si>
  <si>
    <t>2025-11-01 00:00:00</t>
  </si>
  <si>
    <t>17205</t>
  </si>
  <si>
    <t>2025-07-16 00:00:00</t>
  </si>
  <si>
    <t>2026-02-05 00:00:00</t>
  </si>
  <si>
    <t>1652638</t>
  </si>
  <si>
    <t>1628078</t>
  </si>
  <si>
    <t>7355</t>
  </si>
  <si>
    <t>22028000030878376</t>
  </si>
  <si>
    <t>zcrm_51788000289773492</t>
  </si>
  <si>
    <t>2025-06-13 12:57:15</t>
  </si>
  <si>
    <t>near GIPCL Circle, Raghuvir Nagar</t>
  </si>
  <si>
    <t>Sama Road,near GIPCL Circle,Vadodara, Gujarat</t>
  </si>
  <si>
    <t>2025-06-05 00:00:00, 2025-06-08 00:00:00</t>
  </si>
  <si>
    <t>242637, 95617</t>
  </si>
  <si>
    <t>19895, 9737</t>
  </si>
  <si>
    <t>191234, 485274</t>
  </si>
  <si>
    <t>214865, 87637</t>
  </si>
  <si>
    <t>250514, 93860</t>
  </si>
  <si>
    <t>22028000030744200, 22028000030799048</t>
  </si>
  <si>
    <t>zcrm_51788000291698715, zcrm_51788000291698940</t>
  </si>
  <si>
    <t>2025-06-05 15:24:17, 2025-06-09 10:25:56</t>
  </si>
  <si>
    <t>Maruf Shaik</t>
  </si>
  <si>
    <t>Dr.Sheetal Tiwari, Maruf Shaik</t>
  </si>
  <si>
    <t>klesakharesheetal@gmail.com, maruf.shaikh@ei.study</t>
  </si>
  <si>
    <t>+918123665291, +919016039311</t>
  </si>
  <si>
    <t>Maruf Shaik, Vani Maam</t>
  </si>
  <si>
    <t>klemrsakharestate@gmail.com, maruf.shaikh@ei.study</t>
  </si>
  <si>
    <t>120649, 291015</t>
  </si>
  <si>
    <t>11962, 24440</t>
  </si>
  <si>
    <t>241298, 582030</t>
  </si>
  <si>
    <t>107656, 263950</t>
  </si>
  <si>
    <t>121680, 293640</t>
  </si>
  <si>
    <t>22028000030744116, 22028000030744160</t>
  </si>
  <si>
    <t>zcrm_51788000291698262, zcrm_51788000291698487</t>
  </si>
  <si>
    <t>2025-06-05 15:17:50, 2025-06-05 15:18:03</t>
  </si>
  <si>
    <t>Jagdish S Marali, Maruf Shaikh</t>
  </si>
  <si>
    <t>kleschool.man@yahoo.com, maruf.shaikh@ei.study</t>
  </si>
  <si>
    <t>+919016039311, +919886589184</t>
  </si>
  <si>
    <t>Maruf Shaikh, Ms Tasleem / Ms Pushpa</t>
  </si>
  <si>
    <t>+919016039311, +919742498564</t>
  </si>
  <si>
    <t>142173, 358143</t>
  </si>
  <si>
    <t>14186, 28985</t>
  </si>
  <si>
    <t>284346, 716286</t>
  </si>
  <si>
    <t>127675, 313033</t>
  </si>
  <si>
    <t>142485, 374268</t>
  </si>
  <si>
    <t>0.7926000000000001, 0.875</t>
  </si>
  <si>
    <t>22028000030714688, 22028000030714740</t>
  </si>
  <si>
    <t>zcrm_51788000291678003, zcrm_51788000291678228</t>
  </si>
  <si>
    <t>2025-06-05 15:12:17, 2025-06-05 15:12:26</t>
  </si>
  <si>
    <t>Maruf Shaikh, Mr. Maruf Shaik</t>
  </si>
  <si>
    <t>Maruf Shaikh, Mrs. KALPANA CHACHADI</t>
  </si>
  <si>
    <t>klesgdg@gmail.com, maruf.shaikh@ei.study</t>
  </si>
  <si>
    <t>+919016039311, +919663277748</t>
  </si>
  <si>
    <t>Maruf Shaikh, Raghavendra Sir</t>
  </si>
  <si>
    <t>853</t>
  </si>
  <si>
    <t>351896</t>
  </si>
  <si>
    <t>2025-08-23 00:00:00</t>
  </si>
  <si>
    <t>1407584</t>
  </si>
  <si>
    <t>1007584</t>
  </si>
  <si>
    <t>0.4313</t>
  </si>
  <si>
    <t>22028000028465348</t>
  </si>
  <si>
    <t>zcrm_51788000285895005</t>
  </si>
  <si>
    <t>2025-04-02 18:11:14</t>
  </si>
  <si>
    <t>Ankur Jindal</t>
  </si>
  <si>
    <t>108 K.M. Stone</t>
  </si>
  <si>
    <t>Tulsi Public School</t>
  </si>
  <si>
    <t>2025-11-11 00:00:00</t>
  </si>
  <si>
    <t>413</t>
  </si>
  <si>
    <t>2025-11-14 00:00:00</t>
  </si>
  <si>
    <t>24574</t>
  </si>
  <si>
    <t>2026-01-14 00:00:00</t>
  </si>
  <si>
    <t>49148</t>
  </si>
  <si>
    <t>52039</t>
  </si>
  <si>
    <t>-2891</t>
  </si>
  <si>
    <t>0.6823</t>
  </si>
  <si>
    <t>22028000034678248</t>
  </si>
  <si>
    <t>51788000002752834</t>
  </si>
  <si>
    <t>zcrm_51788000299689483</t>
  </si>
  <si>
    <t>2025-11-15 08:02:02</t>
  </si>
  <si>
    <t>Mrs. Anuradha Jindal</t>
  </si>
  <si>
    <t>tps@tpsambala.com</t>
  </si>
  <si>
    <t>+919354469828</t>
  </si>
  <si>
    <t>tpsambala@gmail.com</t>
  </si>
  <si>
    <t>Hissar Road, Jhansa Tangori Road</t>
  </si>
  <si>
    <t>134008</t>
  </si>
  <si>
    <t>Hisar Road</t>
  </si>
  <si>
    <t>142328, 343142</t>
  </si>
  <si>
    <t>284656, 686284</t>
  </si>
  <si>
    <t>142795, 344266</t>
  </si>
  <si>
    <t>22028000030714604, 22028000030714648</t>
  </si>
  <si>
    <t>zcrm_51788000291670553, zcrm_51788000291670775</t>
  </si>
  <si>
    <t>2025-06-05 15:10:14, 2025-06-05 15:10:24</t>
  </si>
  <si>
    <t>Maruf Shaik, SMT. NANDA CHUNAMARI</t>
  </si>
  <si>
    <t>klesgokak@gmail.com, maruf.shaikh@ei.study</t>
  </si>
  <si>
    <t>+919016039311, +919916779892</t>
  </si>
  <si>
    <t>Akshay Sir, Maruf Shaik</t>
  </si>
  <si>
    <t>Aditya Kumar</t>
  </si>
  <si>
    <t>1462</t>
  </si>
  <si>
    <t>2025-06-16 00:00:00</t>
  </si>
  <si>
    <t>177659</t>
  </si>
  <si>
    <t>2025-09-15 00:00:00</t>
  </si>
  <si>
    <t>3011</t>
  </si>
  <si>
    <t>2025-08-02 00:00:00</t>
  </si>
  <si>
    <t>2025-12-19 00:00:00</t>
  </si>
  <si>
    <t>710636</t>
  </si>
  <si>
    <t>520486</t>
  </si>
  <si>
    <t>187139</t>
  </si>
  <si>
    <t>0.5209</t>
  </si>
  <si>
    <t>2026-05-30 00:00:00</t>
  </si>
  <si>
    <t>22028000030899060</t>
  </si>
  <si>
    <t>zcrm_51788000292141001</t>
  </si>
  <si>
    <t>2025-06-19 11:01:48</t>
  </si>
  <si>
    <t>Keerthiga</t>
  </si>
  <si>
    <t>senioroffice@thesivakasilionsschool.in</t>
  </si>
  <si>
    <t>+919994656465</t>
  </si>
  <si>
    <t>Inspiration Sr Sec School</t>
  </si>
  <si>
    <t>860</t>
  </si>
  <si>
    <t>123637</t>
  </si>
  <si>
    <t>494548</t>
  </si>
  <si>
    <t>109564</t>
  </si>
  <si>
    <t>384984</t>
  </si>
  <si>
    <t>0.6692</t>
  </si>
  <si>
    <t>Kathgodam</t>
  </si>
  <si>
    <t>22028000027815448</t>
  </si>
  <si>
    <t>51788000002753069</t>
  </si>
  <si>
    <t>zcrm_51788000283054011</t>
  </si>
  <si>
    <t>prabhjit.singh_ei</t>
  </si>
  <si>
    <t>prabhjit.singh@ei.study</t>
  </si>
  <si>
    <t>Prabhjit singh</t>
  </si>
  <si>
    <t>2025-02-11 12:03:20</t>
  </si>
  <si>
    <t>Mrs. Geetika Balutia</t>
  </si>
  <si>
    <t>+919837334160</t>
  </si>
  <si>
    <t>contact@inspirationschoolkgm.org</t>
  </si>
  <si>
    <t>Mr. Anurag Mathur</t>
  </si>
  <si>
    <t>+919548170836</t>
  </si>
  <si>
    <t>NH-87, Naveen Nagar, Polysheet, Haldwani, Uttarakhand</t>
  </si>
  <si>
    <t>263139</t>
  </si>
  <si>
    <t>263126</t>
  </si>
  <si>
    <t>Nainital Road, Kathgodam-263126 Uttarakhand , INDIA</t>
  </si>
  <si>
    <t>1005</t>
  </si>
  <si>
    <t>2025-09-10 00:00:00</t>
  </si>
  <si>
    <t>302551</t>
  </si>
  <si>
    <t>705953</t>
  </si>
  <si>
    <t>2026-02-12 00:00:00</t>
  </si>
  <si>
    <t>1008504</t>
  </si>
  <si>
    <t>0.4426</t>
  </si>
  <si>
    <t>22028000032749248</t>
  </si>
  <si>
    <t>zcrm_51788000296142001</t>
  </si>
  <si>
    <t>2025-09-27 11:25:25</t>
  </si>
  <si>
    <t>Dr. Anu Sharma</t>
  </si>
  <si>
    <t>azanusharma@gmail.com</t>
  </si>
  <si>
    <t>+918002102689</t>
  </si>
  <si>
    <t>1560, 2340</t>
  </si>
  <si>
    <t>2025-07-30 00:00:00</t>
  </si>
  <si>
    <t>159120, 53040</t>
  </si>
  <si>
    <t>154440, 51480</t>
  </si>
  <si>
    <t>156000, 468000</t>
  </si>
  <si>
    <t>0, 159120</t>
  </si>
  <si>
    <t>156000, 308880</t>
  </si>
  <si>
    <t>0.1, 0.2</t>
  </si>
  <si>
    <t>22028000031714364, 22028000031714528</t>
  </si>
  <si>
    <t>zcrm_51788000293813001, zcrm_51788000293813165</t>
  </si>
  <si>
    <t>2025-07-25 12:36:58, 2025-07-25 12:37:23</t>
  </si>
  <si>
    <t>+918160731829, +919341981458</t>
  </si>
  <si>
    <t>Anushka</t>
  </si>
  <si>
    <t>2025-05-15 00:00:00</t>
  </si>
  <si>
    <t>756</t>
  </si>
  <si>
    <t>2025-05-13 00:00:00</t>
  </si>
  <si>
    <t>9147</t>
  </si>
  <si>
    <t>2025-05-03 00:00:00</t>
  </si>
  <si>
    <t>457350</t>
  </si>
  <si>
    <t>448232</t>
  </si>
  <si>
    <t>-29</t>
  </si>
  <si>
    <t>0.41850000000000004</t>
  </si>
  <si>
    <t>22028000030081300</t>
  </si>
  <si>
    <t>zcrm_51788000290325127</t>
  </si>
  <si>
    <t>2025-05-22 10:25:27</t>
  </si>
  <si>
    <t>Ms. Tanvi Pathania</t>
  </si>
  <si>
    <t>+919991020308</t>
  </si>
  <si>
    <t>Kamla Nehru Higher Secondary School</t>
  </si>
  <si>
    <t>Rohit</t>
  </si>
  <si>
    <t>2025-04-01 00:00:00, 2025-04-11 00:00:00</t>
  </si>
  <si>
    <t>659</t>
  </si>
  <si>
    <t>1030</t>
  </si>
  <si>
    <t>2025-04-05 00:00:00, 2025-04-21 00:00:00</t>
  </si>
  <si>
    <t>196232, 85649</t>
  </si>
  <si>
    <t>2025-07-21 00:00:00, 2025-09-15 00:00:00</t>
  </si>
  <si>
    <t>190460, 85649</t>
  </si>
  <si>
    <t>2025-10-20 00:00:00, 2025-12-15 00:00:00</t>
  </si>
  <si>
    <t>2000-01-01 00:00:00, 2025-12-22 00:00:00</t>
  </si>
  <si>
    <t>0, 85649</t>
  </si>
  <si>
    <t>10722.62, 44830</t>
  </si>
  <si>
    <t>2025-12-16 00:00:00, 2026-02-18 00:00:00</t>
  </si>
  <si>
    <t>342596, 577152</t>
  </si>
  <si>
    <t>221914, 583030</t>
  </si>
  <si>
    <t>-50708, 109959</t>
  </si>
  <si>
    <t>0.4932, 0.6625</t>
  </si>
  <si>
    <t>2026-03-31 00:00:00, 2026-06-30 00:00:00</t>
  </si>
  <si>
    <t>22028000029048368, 22028000029238296</t>
  </si>
  <si>
    <t>51788000002756453</t>
  </si>
  <si>
    <t>zcrm_51788000282673078, zcrm_51788000288152084</t>
  </si>
  <si>
    <t>2025-04-25 13:31:47, 2025-04-25 13:32:15</t>
  </si>
  <si>
    <t>Mrs. Anita Bajpai, Ms. Anita Bajpai</t>
  </si>
  <si>
    <t>kamla.nehru.school@gmail.com, kamlaneherybpl@gmail.com</t>
  </si>
  <si>
    <t>+919425300554</t>
  </si>
  <si>
    <t>kamla.nehru.school@gmail.com</t>
  </si>
  <si>
    <t>Mrs Anita Bajpai, Ms. Anita Bajpai</t>
  </si>
  <si>
    <t>47100</t>
  </si>
  <si>
    <t>Kamla Nagar</t>
  </si>
  <si>
    <t>462003</t>
  </si>
  <si>
    <t>BPLK00864D</t>
  </si>
  <si>
    <t>Kamla Nagar Katra Sultanabad</t>
  </si>
  <si>
    <t>2025-04-17 00:00:00, 2025-04-30 00:00:00</t>
  </si>
  <si>
    <t>1356, 699</t>
  </si>
  <si>
    <t>2025-06-25 00:00:00</t>
  </si>
  <si>
    <t>2000-01-01 00:00:00, 2025-04-20 00:00:00</t>
  </si>
  <si>
    <t>0, 117994, 58793</t>
  </si>
  <si>
    <t>2000-01-01 00:00:00, 2025-07-20 00:00:00</t>
  </si>
  <si>
    <t>2000-01-01 00:00:00, 2025-10-20 00:00:00</t>
  </si>
  <si>
    <t>130000, 40121, 5467</t>
  </si>
  <si>
    <t>2025-09-29 00:00:00, 2025-12-30 00:00:00, 2026-01-28 00:00:00</t>
  </si>
  <si>
    <t>2025-09-29 00:00:00, 2026-01-28 00:00:00</t>
  </si>
  <si>
    <t>1151400, 235172, 471976</t>
  </si>
  <si>
    <t>1128000, 361061, 49199</t>
  </si>
  <si>
    <t>-106600, 180506, 70794</t>
  </si>
  <si>
    <t>0.5556, 0.6, 0.7707999999999999</t>
  </si>
  <si>
    <t>2025-04-16 00:00:00, 2025-04-28 00:00:00</t>
  </si>
  <si>
    <t>2026-04-15 00:00:00, 2026-04-27 00:00:00</t>
  </si>
  <si>
    <t>22028000029406384, 22028000029406432, 22028000029695032</t>
  </si>
  <si>
    <t>zcrm_51788000289001147, zcrm_51788000289001323, zcrm_51788000289568188</t>
  </si>
  <si>
    <t>rana.singh_ei</t>
  </si>
  <si>
    <t>rana.singh@ei.study</t>
  </si>
  <si>
    <t>Rana singh</t>
  </si>
  <si>
    <t>2025-04-21 10:12:04, 2025-04-23 10:49:55, 2025-06-10 10:43:43</t>
  </si>
  <si>
    <t>Nilakantha Panigrahi</t>
  </si>
  <si>
    <t>Plot No 5A, Chandaka Industrial Estate,, SECUREWAYS LOGISTICS PRIVATE LIMITED (STUDENT GALLERY) Plot No : N / 33 &amp; 34, Chandka Industrial Estate, Near OTV office,</t>
  </si>
  <si>
    <t>Plot No 5A, Chandaka Industrial Estate,, SAI INTERNATIONAL SCHOOL,PLOT NO-5A, Chandaka I.E, INFOCITY ROAD, PATIA,</t>
  </si>
  <si>
    <t>2025-03-26 00:00:00, 2025-04-03 00:00:00</t>
  </si>
  <si>
    <t>371</t>
  </si>
  <si>
    <t>495</t>
  </si>
  <si>
    <t>0, 1258</t>
  </si>
  <si>
    <t>2000-01-01 00:00:00, 2025-04-07 00:00:00</t>
  </si>
  <si>
    <t>0, 1109454</t>
  </si>
  <si>
    <t>2000-01-01 00:00:00, 2025-07-01 00:00:00</t>
  </si>
  <si>
    <t>2000-01-01 00:00:00, 2025-10-01 00:00:00</t>
  </si>
  <si>
    <t>0, 69708</t>
  </si>
  <si>
    <t>2026-01-06 00:00:00</t>
  </si>
  <si>
    <t>0, 4437816</t>
  </si>
  <si>
    <t>0, 3843393</t>
  </si>
  <si>
    <t>0, 524715</t>
  </si>
  <si>
    <t>0.7526999999999999, 1</t>
  </si>
  <si>
    <t>0.6027, 1</t>
  </si>
  <si>
    <t>2025-04-01 00:00:00, 2025-04-02 00:00:00</t>
  </si>
  <si>
    <t>22028000028924136, 22028000029069368</t>
  </si>
  <si>
    <t>zcrm_51788000287758657, zcrm_51788000288188017</t>
  </si>
  <si>
    <t>2025-04-04 13:39:12, 2025-04-04 13:40:26</t>
  </si>
  <si>
    <t>Ms Asha Chadha, Promini Chopra</t>
  </si>
  <si>
    <t>ashachadha@jaipuria.com, principal@jaipuria.com</t>
  </si>
  <si>
    <t>+919759544544, +919838503807</t>
  </si>
  <si>
    <t>Deepa Wahi, Ms Asha Chadha</t>
  </si>
  <si>
    <t>ashachadha@jaipuria.com, deepawahi@jaipuria.com</t>
  </si>
  <si>
    <t>+919621874500, +919759544544</t>
  </si>
  <si>
    <t>Vineet Khand-1,</t>
  </si>
  <si>
    <t>820475, 926736</t>
  </si>
  <si>
    <t>2025-06-01 00:00:00, 2025-10-01 00:00:00</t>
  </si>
  <si>
    <t>397173, 820475</t>
  </si>
  <si>
    <t>2000-01-01 00:00:00, 2025-09-01 00:00:00</t>
  </si>
  <si>
    <t>0, 820475</t>
  </si>
  <si>
    <t>2000-01-01 00:00:00, 2025-12-01 00:00:00</t>
  </si>
  <si>
    <t>18435, 74396.06</t>
  </si>
  <si>
    <t>2025-06-27 00:00:00, 2025-07-21 00:00:00</t>
  </si>
  <si>
    <t>2025-07-21 00:00:00, 2026-01-02 00:00:00</t>
  </si>
  <si>
    <t>1323909, 3281900</t>
  </si>
  <si>
    <t>3645415.5, 903295</t>
  </si>
  <si>
    <t>-437912, 402179</t>
  </si>
  <si>
    <t>2026-03-01 00:00:00</t>
  </si>
  <si>
    <t>22028000028759352, 22028000028759396</t>
  </si>
  <si>
    <t>zcrm_51788000287135235, zcrm_51788000287135494</t>
  </si>
  <si>
    <t>2025-03-26 19:28:25, 2025-03-26 19:28:39</t>
  </si>
  <si>
    <t>Shishukunj International School</t>
  </si>
  <si>
    <t>2057</t>
  </si>
  <si>
    <t>205695</t>
  </si>
  <si>
    <t>2025-10-04 00:00:00</t>
  </si>
  <si>
    <t>6335.41</t>
  </si>
  <si>
    <t>822780</t>
  </si>
  <si>
    <t>310430</t>
  </si>
  <si>
    <t>506015</t>
  </si>
  <si>
    <t>0.41229999999999994</t>
  </si>
  <si>
    <t>22028000027998200</t>
  </si>
  <si>
    <t>zcrm_51788000284193062</t>
  </si>
  <si>
    <t>2025-02-17 10:20:05</t>
  </si>
  <si>
    <t>Mr. Swoyan Satyendu</t>
  </si>
  <si>
    <t>swoyan@odmegroup.org</t>
  </si>
  <si>
    <t>+919901262288</t>
  </si>
  <si>
    <t>Mr. Amit Singh</t>
  </si>
  <si>
    <t>principal.ogs@odmegroup.org</t>
  </si>
  <si>
    <t>12th Milestone,</t>
  </si>
  <si>
    <t>2025-07-15 00:00:00, 2025-07-24 00:00:00</t>
  </si>
  <si>
    <t>0, 1310</t>
  </si>
  <si>
    <t>2000-01-01 00:00:00, 2025-07-30 00:00:00</t>
  </si>
  <si>
    <t>0, 134817, 37017</t>
  </si>
  <si>
    <t>2000-01-01 00:00:00, 2025-09-10 00:00:00</t>
  </si>
  <si>
    <t>0, 38385</t>
  </si>
  <si>
    <t>2025-08-14 00:00:00, 2026-02-19 00:00:00</t>
  </si>
  <si>
    <t>2025-11-13 00:00:00, 2026-02-19 00:00:00</t>
  </si>
  <si>
    <t>0, 148068, 539268</t>
  </si>
  <si>
    <t>0, 407897.79000000004, 88771.72</t>
  </si>
  <si>
    <t>0, 59296, 92985</t>
  </si>
  <si>
    <t>0.474, 0.5542, 1</t>
  </si>
  <si>
    <t>2025-04-01 00:00:00, 2025-06-01 00:00:00</t>
  </si>
  <si>
    <t>2026-03-31 00:00:00, 2026-05-31 00:00:00</t>
  </si>
  <si>
    <t>22028000031595136, 22028000031595188, 22028000031771628, 22028000031771664</t>
  </si>
  <si>
    <t>zcrm_51788000292985013, zcrm_51788000293077162, zcrm_51788000293797001, zcrm_51788000293797162</t>
  </si>
  <si>
    <t>2025-07-21 17:17:42, 2025-07-21 17:18:15, 2025-07-28 14:17:09, 2025-07-28 14:21:01</t>
  </si>
  <si>
    <t>Mr. Vaibhav Doshi, Ms. Arpita</t>
  </si>
  <si>
    <t>arpita@almamater.education, vaibhav@almamater.education</t>
  </si>
  <si>
    <t>+919784294701, +919983321066</t>
  </si>
  <si>
    <t>2025-06-24 00:00:00</t>
  </si>
  <si>
    <t>1802</t>
  </si>
  <si>
    <t>3305</t>
  </si>
  <si>
    <t>0, 12415</t>
  </si>
  <si>
    <t>624031, 91892</t>
  </si>
  <si>
    <t>0, 703508</t>
  </si>
  <si>
    <t>-624031, 624031</t>
  </si>
  <si>
    <t>0.307, 0.35</t>
  </si>
  <si>
    <t>22028000031124204, 22028000031124240</t>
  </si>
  <si>
    <t>zcrm_51788000292468001, zcrm_51788000292468173</t>
  </si>
  <si>
    <t>2025-07-03 17:05:54, 2025-07-03 17:06:25</t>
  </si>
  <si>
    <t>pyp@flag.org.in</t>
  </si>
  <si>
    <t>Mahera Goel, Ms. Mahera Goel</t>
  </si>
  <si>
    <t>St Joseph^s Boys High School</t>
  </si>
  <si>
    <t>120686</t>
  </si>
  <si>
    <t>2025-08-14 00:00:00</t>
  </si>
  <si>
    <t>241372</t>
  </si>
  <si>
    <t>236545</t>
  </si>
  <si>
    <t>4827</t>
  </si>
  <si>
    <t>0.3834</t>
  </si>
  <si>
    <t>22028000029044936</t>
  </si>
  <si>
    <t>zcrm_51788000277799734</t>
  </si>
  <si>
    <t>2025-05-30 10:10:07</t>
  </si>
  <si>
    <t>principalsjbhs@gmail.com</t>
  </si>
  <si>
    <t>Lawrence Frank</t>
  </si>
  <si>
    <t>roshanlfrank@gmail.com</t>
  </si>
  <si>
    <t>+919964692323</t>
  </si>
  <si>
    <t>Museum Rd</t>
  </si>
  <si>
    <t>St. Mary's School (ICSE), Mazagaon</t>
  </si>
  <si>
    <t>2650</t>
  </si>
  <si>
    <t>2703</t>
  </si>
  <si>
    <t>2025-06-30 00:00:00, 2025-07-31 00:00:00</t>
  </si>
  <si>
    <t>177849, 382925</t>
  </si>
  <si>
    <t>2025-08-31 00:00:00, 2025-09-30 00:00:00</t>
  </si>
  <si>
    <t>30701.489999999998, 79318.18</t>
  </si>
  <si>
    <t>2025-07-03 00:00:00, 2025-08-05 00:00:00</t>
  </si>
  <si>
    <t>2026-01-16 00:00:00</t>
  </si>
  <si>
    <t>1531700, 711396</t>
  </si>
  <si>
    <t>1410932, 506395</t>
  </si>
  <si>
    <t>174300, 41450</t>
  </si>
  <si>
    <t>0.1139, 0.47</t>
  </si>
  <si>
    <t>22028000027580440, 22028000027580520</t>
  </si>
  <si>
    <t>zcrm_51788000282947024, zcrm_51788000282947198</t>
  </si>
  <si>
    <t>2025-02-05 20:01:31, 2025-02-05 20:02:01</t>
  </si>
  <si>
    <t>Dr. Yohan Alphonso</t>
  </si>
  <si>
    <t>yohanalphonso30@stmarysicse.com</t>
  </si>
  <si>
    <t>+919623185617</t>
  </si>
  <si>
    <t>Yohan Alphonso</t>
  </si>
  <si>
    <t>2025-05-06 00:00:00</t>
  </si>
  <si>
    <t>179351</t>
  </si>
  <si>
    <t>54297.08</t>
  </si>
  <si>
    <t>2025-08-20 00:00:00</t>
  </si>
  <si>
    <t>2026-02-10 00:00:00</t>
  </si>
  <si>
    <t>717404</t>
  </si>
  <si>
    <t>488675</t>
  </si>
  <si>
    <t>174432</t>
  </si>
  <si>
    <t>22028000029912300</t>
  </si>
  <si>
    <t>zcrm_51788000290138397</t>
  </si>
  <si>
    <t>2025-06-23 11:29:45</t>
  </si>
  <si>
    <t>Anantha Raman M K</t>
  </si>
  <si>
    <t>+919123545360</t>
  </si>
  <si>
    <t>Banu N</t>
  </si>
  <si>
    <t>banu@vedavallividyalaya.org</t>
  </si>
  <si>
    <t>+919123545375</t>
  </si>
  <si>
    <t>Balaji V</t>
  </si>
  <si>
    <t>balaji.v@vedavallividyalaya.org</t>
  </si>
  <si>
    <t>+919952440005</t>
  </si>
  <si>
    <t>2025-05-16 00:00:00</t>
  </si>
  <si>
    <t>106205</t>
  </si>
  <si>
    <t>2025-12-15 00:00:00</t>
  </si>
  <si>
    <t>5422.96</t>
  </si>
  <si>
    <t>2025-08-21 00:00:00</t>
  </si>
  <si>
    <t>2026-01-19 00:00:00</t>
  </si>
  <si>
    <t>424820</t>
  </si>
  <si>
    <t>314542</t>
  </si>
  <si>
    <t>104855</t>
  </si>
  <si>
    <t>2026-06-30 00:00:00</t>
  </si>
  <si>
    <t>22028000030148192</t>
  </si>
  <si>
    <t>zcrm_51788000290770030</t>
  </si>
  <si>
    <t>2025-05-30 12:42:45</t>
  </si>
  <si>
    <t>Ms. Meenakshi Zarabi</t>
  </si>
  <si>
    <t>GHaziabad</t>
  </si>
  <si>
    <t>A – 43 Near SBI Bank,</t>
  </si>
  <si>
    <t>253791</t>
  </si>
  <si>
    <t>2025-12-08 00:00:00</t>
  </si>
  <si>
    <t>2026-02-24 00:00:00</t>
  </si>
  <si>
    <t>1015164</t>
  </si>
  <si>
    <t>450000</t>
  </si>
  <si>
    <t>565164</t>
  </si>
  <si>
    <t>0.6143</t>
  </si>
  <si>
    <t>22028000030780216</t>
  </si>
  <si>
    <t>zcrm_51788000291726001</t>
  </si>
  <si>
    <t>2025-06-14 09:49:13</t>
  </si>
  <si>
    <t>2025-08-11 00:00:00</t>
  </si>
  <si>
    <t>52782</t>
  </si>
  <si>
    <t>622831</t>
  </si>
  <si>
    <t>570049</t>
  </si>
  <si>
    <t>22028000030958392</t>
  </si>
  <si>
    <t>zcrm_51788000292112348</t>
  </si>
  <si>
    <t>rohit.kumar_ei</t>
  </si>
  <si>
    <t>rohit.kumar@ei.study</t>
  </si>
  <si>
    <t>Rohit kumar</t>
  </si>
  <si>
    <t>2025-06-23 14:01:11</t>
  </si>
  <si>
    <t>Dhirendra Srivastav</t>
  </si>
  <si>
    <t>2025-03-16 00:00:00</t>
  </si>
  <si>
    <t>1871</t>
  </si>
  <si>
    <t>77169</t>
  </si>
  <si>
    <t>2638</t>
  </si>
  <si>
    <t>2026-02-21 00:00:00</t>
  </si>
  <si>
    <t>308676</t>
  </si>
  <si>
    <t>263082</t>
  </si>
  <si>
    <t>42956</t>
  </si>
  <si>
    <t>0.46549999999999997</t>
  </si>
  <si>
    <t>22028000028702488</t>
  </si>
  <si>
    <t>zcrm_51788000286977001</t>
  </si>
  <si>
    <t>2025-03-20 17:43:29</t>
  </si>
  <si>
    <t>Paramount Academy</t>
  </si>
  <si>
    <t>2025-02-10 00:00:00, 2025-06-11 00:00:00</t>
  </si>
  <si>
    <t>0, 750</t>
  </si>
  <si>
    <t>1380</t>
  </si>
  <si>
    <t>2000-01-01 00:00:00, 2025-04-01 00:00:00</t>
  </si>
  <si>
    <t>0, 408621, 57750, 676525</t>
  </si>
  <si>
    <t>2000-01-01 00:00:00, 2025-07-31 00:00:00</t>
  </si>
  <si>
    <t>2000-01-01 00:00:00, 2025-10-31 00:00:00</t>
  </si>
  <si>
    <t>0, 14984.220000000001, 2313, 30198.010000000002</t>
  </si>
  <si>
    <t>2025-12-19 00:00:00, 2026-02-10 00:00:00</t>
  </si>
  <si>
    <t>0, 1634484, 231000, 2706100</t>
  </si>
  <si>
    <t>0, 1532075.36, 169785.5, 1881372.96</t>
  </si>
  <si>
    <t>0, 58902, 794529, 87424</t>
  </si>
  <si>
    <t>0.5, 0.7454999999999999, 1</t>
  </si>
  <si>
    <t>22028000027901356, 22028000027901452, 22028000027901504, 22028000030860052</t>
  </si>
  <si>
    <t>zcrm_51788000283891164, zcrm_51788000283891366, zcrm_51788000283891532, zcrm_51788000292001013</t>
  </si>
  <si>
    <t>2025-02-10 11:55:28, 2025-02-10 11:55:53, 2025-02-10 11:57:51, 2025-06-14 12:06:13</t>
  </si>
  <si>
    <t>Mr. Arnab Chandra</t>
  </si>
  <si>
    <t>Vivekananda Mission School Joka</t>
  </si>
  <si>
    <t>1350, 1652</t>
  </si>
  <si>
    <t>71888, 95816</t>
  </si>
  <si>
    <t>2025-08-27 00:00:00</t>
  </si>
  <si>
    <t>2025-05-28 00:00:00, 2025-10-28 00:00:00</t>
  </si>
  <si>
    <t>2025-09-18 00:00:00</t>
  </si>
  <si>
    <t>287552, 383264</t>
  </si>
  <si>
    <t>69614, 94000</t>
  </si>
  <si>
    <t>193552, 313650</t>
  </si>
  <si>
    <t>0.5, 0.528</t>
  </si>
  <si>
    <t>2026-05-25 00:00:00</t>
  </si>
  <si>
    <t>22028000030438732, 22028000030497176</t>
  </si>
  <si>
    <t>zcrm_51788000290969037, zcrm_51788000291034001</t>
  </si>
  <si>
    <t>2025-06-09 11:35:44, 2025-06-09 14:13:44</t>
  </si>
  <si>
    <t>Mrs. Sarmistha Sen</t>
  </si>
  <si>
    <t>Mrs. Sarmistha Sen, Mrs.Sarmistha Sen</t>
  </si>
  <si>
    <t>principal@younghorizonsschool.com</t>
  </si>
  <si>
    <t>+919830446090, +919830494565</t>
  </si>
  <si>
    <t>Mrs. Soumi Banerjee</t>
  </si>
  <si>
    <t>+919681753336</t>
  </si>
  <si>
    <t>220, Barakhola, Eastern Metropolitan Bypass</t>
  </si>
  <si>
    <t>563</t>
  </si>
  <si>
    <t>2025-08-15 00:00:00</t>
  </si>
  <si>
    <t>1146951</t>
  </si>
  <si>
    <t>20606</t>
  </si>
  <si>
    <t>2293902</t>
  </si>
  <si>
    <t>1126344</t>
  </si>
  <si>
    <t>1146952</t>
  </si>
  <si>
    <t>0.8436</t>
  </si>
  <si>
    <t>22028000029816100</t>
  </si>
  <si>
    <t>zcrm_51788000289937975</t>
  </si>
  <si>
    <t>2025-05-15 16:06:09</t>
  </si>
  <si>
    <t>+919677712353</t>
  </si>
  <si>
    <t>Mrs. Mala Sivakumar</t>
  </si>
  <si>
    <t>principal@kamalaniketan.com</t>
  </si>
  <si>
    <t>+917373791024</t>
  </si>
  <si>
    <t>Mrs Bhuvaneswari G</t>
  </si>
  <si>
    <t>247946</t>
  </si>
  <si>
    <t>2025-08-25 00:00:00</t>
  </si>
  <si>
    <t>2025-12-25 00:00:00</t>
  </si>
  <si>
    <t>84243.1</t>
  </si>
  <si>
    <t>2025-06-11 00:00:00</t>
  </si>
  <si>
    <t>2025-12-26 00:00:00</t>
  </si>
  <si>
    <t>991784</t>
  </si>
  <si>
    <t>909825</t>
  </si>
  <si>
    <t>-2284</t>
  </si>
  <si>
    <t>22028000030654344</t>
  </si>
  <si>
    <t>zcrm_51788000291533505</t>
  </si>
  <si>
    <t>2025-06-03 15:37:49</t>
  </si>
  <si>
    <t>Mr Madhavan</t>
  </si>
  <si>
    <t>Sarumathi</t>
  </si>
  <si>
    <t>+919489533166</t>
  </si>
  <si>
    <t>Manju</t>
  </si>
  <si>
    <t>No .10 A,Chairman Shanmugam salai</t>
  </si>
  <si>
    <t>10 A,Shanmugham Road</t>
  </si>
  <si>
    <t>Presidency School, R.T. Nagar</t>
  </si>
  <si>
    <t>No payment received</t>
  </si>
  <si>
    <t>195636</t>
  </si>
  <si>
    <t>2025-08-04 00:00:00</t>
  </si>
  <si>
    <t>189882</t>
  </si>
  <si>
    <t>2025-10-06 00:00:00</t>
  </si>
  <si>
    <t>575400</t>
  </si>
  <si>
    <t>22028000029695616</t>
  </si>
  <si>
    <t>51788000002732473</t>
  </si>
  <si>
    <t>zcrm_51788000289079229</t>
  </si>
  <si>
    <t>2025-07-10 16:31:21</t>
  </si>
  <si>
    <t>Mrs. Rekha Rekha</t>
  </si>
  <si>
    <t>+919723459285</t>
  </si>
  <si>
    <t>presidencyrtnagar@yahoo.co.in</t>
  </si>
  <si>
    <t>principal-rtn@presidency.edu.in</t>
  </si>
  <si>
    <t>+919686553511</t>
  </si>
  <si>
    <t>Ms. Shahina</t>
  </si>
  <si>
    <t>shahina@presidency.edu.in</t>
  </si>
  <si>
    <t>+919972953819</t>
  </si>
  <si>
    <t>84200</t>
  </si>
  <si>
    <t>8th Cross Road,</t>
  </si>
  <si>
    <t>560032</t>
  </si>
  <si>
    <t>P.O. Box No. 3204, CA/4, R.T. Nagar, HMT Layout</t>
  </si>
  <si>
    <t>1571</t>
  </si>
  <si>
    <t>247499</t>
  </si>
  <si>
    <t>2025-09-13 00:00:00</t>
  </si>
  <si>
    <t>2026-03-02 00:00:00</t>
  </si>
  <si>
    <t>989996</t>
  </si>
  <si>
    <t>1189996</t>
  </si>
  <si>
    <t>-200000</t>
  </si>
  <si>
    <t>0.5339</t>
  </si>
  <si>
    <t>22028000028216064</t>
  </si>
  <si>
    <t>zcrm_51788000285153001</t>
  </si>
  <si>
    <t>2025-03-05 12:23:08</t>
  </si>
  <si>
    <t>Mr. Nagaraju K</t>
  </si>
  <si>
    <t>kodurunagaraju@gmail.com</t>
  </si>
  <si>
    <t>Parvathi Reddy R</t>
  </si>
  <si>
    <t>5-7-200/11, Near Mamata General Hospital, Pakabanda Bazar</t>
  </si>
  <si>
    <t>2648</t>
  </si>
  <si>
    <t>636710</t>
  </si>
  <si>
    <t>2025-09-25 00:00:00</t>
  </si>
  <si>
    <t>215832.46</t>
  </si>
  <si>
    <t>2026-03-07 00:00:00</t>
  </si>
  <si>
    <t>2546840</t>
  </si>
  <si>
    <t>2331003</t>
  </si>
  <si>
    <t>5</t>
  </si>
  <si>
    <t>0.132</t>
  </si>
  <si>
    <t>22028000029377408</t>
  </si>
  <si>
    <t>zcrm_51788000288939420</t>
  </si>
  <si>
    <t>2025-04-21 17:47:43</t>
  </si>
  <si>
    <t>Mrs. Sarmistha Palit</t>
  </si>
  <si>
    <t>sarmistha.palit@mhsforgirls.edu.in</t>
  </si>
  <si>
    <t>+919836490777</t>
  </si>
  <si>
    <t>Modern High School for Girls</t>
  </si>
  <si>
    <t>2025-06-03 00:00:00</t>
  </si>
  <si>
    <t>2025-08-31 00:00:00</t>
  </si>
  <si>
    <t>83165</t>
  </si>
  <si>
    <t>2025-06-18 00:00:00</t>
  </si>
  <si>
    <t>748487</t>
  </si>
  <si>
    <t>548</t>
  </si>
  <si>
    <t>22028000028843304</t>
  </si>
  <si>
    <t>zcrm_51788000287574367</t>
  </si>
  <si>
    <t>2025-04-04 13:34:43</t>
  </si>
  <si>
    <t>124, RH Road, Mylapore, Chennai</t>
  </si>
  <si>
    <t>2025-06-30 00:00:00, 2025-11-19 00:00:00</t>
  </si>
  <si>
    <t>215, 768</t>
  </si>
  <si>
    <t>2025-12-15 00:00:00, 2025-12-16 00:00:00</t>
  </si>
  <si>
    <t>11348695, 806223, 90283</t>
  </si>
  <si>
    <t>0.46259999999999996, 0.5558, 0.5667</t>
  </si>
  <si>
    <t>0.41259999999999997, 0.4558, 0.4667</t>
  </si>
  <si>
    <t>22028000031218456, 22028000031218560, 22028000034907188</t>
  </si>
  <si>
    <t>zcrm_51788000289782438, zcrm_51788000292648363</t>
  </si>
  <si>
    <t>2025-06-30 14:40:15, 2025-06-30 18:34:30, 2025-11-21 13:15:07</t>
  </si>
  <si>
    <t>University Rd,</t>
  </si>
  <si>
    <t>1285</t>
  </si>
  <si>
    <t>607</t>
  </si>
  <si>
    <t>1309195</t>
  </si>
  <si>
    <t>507626</t>
  </si>
  <si>
    <t>2025-06-12 00:00:00</t>
  </si>
  <si>
    <t>2026-02-07 00:00:00</t>
  </si>
  <si>
    <t>5236780</t>
  </si>
  <si>
    <t>4757248</t>
  </si>
  <si>
    <t>-28094</t>
  </si>
  <si>
    <t>0.8011</t>
  </si>
  <si>
    <t>22028000029495136</t>
  </si>
  <si>
    <t>zcrm_51788000289326161</t>
  </si>
  <si>
    <t>2025-05-12 09:11:00</t>
  </si>
  <si>
    <t>Aruna Kumari</t>
  </si>
  <si>
    <t>Jeyshree</t>
  </si>
  <si>
    <t>106125</t>
  </si>
  <si>
    <t>2025-07-02 00:00:00</t>
  </si>
  <si>
    <t>212250</t>
  </si>
  <si>
    <t>32043</t>
  </si>
  <si>
    <t>2025-04-14 00:00:00</t>
  </si>
  <si>
    <t>2025-12-09 00:00:00</t>
  </si>
  <si>
    <t>424500</t>
  </si>
  <si>
    <t>382047</t>
  </si>
  <si>
    <t>10410</t>
  </si>
  <si>
    <t>2026-01-31 00:00:00</t>
  </si>
  <si>
    <t>22028000028790644</t>
  </si>
  <si>
    <t>zcrm_51788000274756484</t>
  </si>
  <si>
    <t>sudhi.malhotra_ei</t>
  </si>
  <si>
    <t>sudhi.malhotra@ei.study</t>
  </si>
  <si>
    <t>Sudhi malhotra</t>
  </si>
  <si>
    <t>2025-04-07 13:50:50</t>
  </si>
  <si>
    <t>Mr. T.H Ireland</t>
  </si>
  <si>
    <t>T.H. Ireland</t>
  </si>
  <si>
    <t>Dhrubajyoti Dhar</t>
  </si>
  <si>
    <t>+919830727944</t>
  </si>
  <si>
    <t>880</t>
  </si>
  <si>
    <t>1118, 1271</t>
  </si>
  <si>
    <t>269905, 395939</t>
  </si>
  <si>
    <t>237568, 428276</t>
  </si>
  <si>
    <t>-32337, 32337</t>
  </si>
  <si>
    <t>0.7501000000000001, 0.8167</t>
  </si>
  <si>
    <t>22028000030024464, 22028000030024512</t>
  </si>
  <si>
    <t>zcrm_51788000290486344, zcrm_51788000290523077</t>
  </si>
  <si>
    <t>2025-05-29 10:26:51, 2025-05-29 10:27:08</t>
  </si>
  <si>
    <t>Mrs Pounraj Senthilnayagi</t>
  </si>
  <si>
    <t>senthilnayagi.vmjschool@gmail.com</t>
  </si>
  <si>
    <t>Malar</t>
  </si>
  <si>
    <t>magizhmalar@gmail.com</t>
  </si>
  <si>
    <t>+919842155005</t>
  </si>
  <si>
    <t>635</t>
  </si>
  <si>
    <t>157030, 378466</t>
  </si>
  <si>
    <t>15664, 32004</t>
  </si>
  <si>
    <t>314060, 756932</t>
  </si>
  <si>
    <t>140975, 345640</t>
  </si>
  <si>
    <t>157421, 379288</t>
  </si>
  <si>
    <t>0.7927, 0.8751000000000001</t>
  </si>
  <si>
    <t>2026-03-31 00:00:00, 2026-04-30 00:00:00</t>
  </si>
  <si>
    <t>22028000030723596, 22028000030723636</t>
  </si>
  <si>
    <t>zcrm_51788000291728612, zcrm_51788000291728791</t>
  </si>
  <si>
    <t>2025-06-05 14:45:39, 2025-06-05 14:46:02</t>
  </si>
  <si>
    <t>M S Hiremath, Mr. Maruf Shaikh</t>
  </si>
  <si>
    <t>maruf.shaikh@ei.study, principalklesolapur@gmail.com</t>
  </si>
  <si>
    <t>+917972107183, +919016039311</t>
  </si>
  <si>
    <t>Adityabhodi Sir, Mr. Maruf Shaikh</t>
  </si>
  <si>
    <t>kles_solapur@rediffmail.com, maruf.shaikh@ei.study</t>
  </si>
  <si>
    <t>742</t>
  </si>
  <si>
    <t>380987</t>
  </si>
  <si>
    <t>76080</t>
  </si>
  <si>
    <t>2025-11-27 00:00:00</t>
  </si>
  <si>
    <t>761974</t>
  </si>
  <si>
    <t>684711</t>
  </si>
  <si>
    <t>1183</t>
  </si>
  <si>
    <t>22028000029469344</t>
  </si>
  <si>
    <t>zcrm_51788000289239189</t>
  </si>
  <si>
    <t>2025-05-05 15:15:47</t>
  </si>
  <si>
    <t>Father Byju Peruvan</t>
  </si>
  <si>
    <t>Sector 9</t>
  </si>
  <si>
    <t>1625</t>
  </si>
  <si>
    <t>32508</t>
  </si>
  <si>
    <t>325080</t>
  </si>
  <si>
    <t>292572</t>
  </si>
  <si>
    <t>0.24</t>
  </si>
  <si>
    <t>0.14</t>
  </si>
  <si>
    <t>22028000030610332</t>
  </si>
  <si>
    <t>zcrm_51788000291136088</t>
  </si>
  <si>
    <t>2025-06-19 17:31:46</t>
  </si>
  <si>
    <t>Mrs. Arundhati Shukla</t>
  </si>
  <si>
    <t>dhos@kasigaschool.com</t>
  </si>
  <si>
    <t>+919761250870</t>
  </si>
  <si>
    <t>Off Dehradun - Mussoorie Highway, Village, Purkul Rd, Dehradun, Uttarakhand</t>
  </si>
  <si>
    <t>Village Purkul Off</t>
  </si>
  <si>
    <t>215067</t>
  </si>
  <si>
    <t>4425</t>
  </si>
  <si>
    <t>2026-02-13 00:00:00</t>
  </si>
  <si>
    <t>860268</t>
  </si>
  <si>
    <t>453329</t>
  </si>
  <si>
    <t>402514</t>
  </si>
  <si>
    <t>0.4443</t>
  </si>
  <si>
    <t>0.3943</t>
  </si>
  <si>
    <t>22028000027776032</t>
  </si>
  <si>
    <t>zcrm_51788000283332003</t>
  </si>
  <si>
    <t>2025-02-11 10:15:51</t>
  </si>
  <si>
    <t>Rahul Sharma</t>
  </si>
  <si>
    <t>info@rpsjhalawar.com</t>
  </si>
  <si>
    <t>Deepshikha Agarwal</t>
  </si>
  <si>
    <t>+919887533947</t>
  </si>
  <si>
    <t>Mr.Rahul</t>
  </si>
  <si>
    <t>rahul_a@rpsjhalawar.com</t>
  </si>
  <si>
    <t>Shri Rama Bharti Public School - Sainik Nagar</t>
  </si>
  <si>
    <t>1280</t>
  </si>
  <si>
    <t>0, 231029</t>
  </si>
  <si>
    <t>1598920, 678780</t>
  </si>
  <si>
    <t>0, 2042351</t>
  </si>
  <si>
    <t>-674460, 678780</t>
  </si>
  <si>
    <t>0.6936, 0.7</t>
  </si>
  <si>
    <t>0.5436, 0.55</t>
  </si>
  <si>
    <t>22028000028636252, 22028000028636300</t>
  </si>
  <si>
    <t>zcrm_51788000286869222, zcrm_51788000286933001</t>
  </si>
  <si>
    <t>2025-04-04 17:13:47, 2025-04-04 17:14:05</t>
  </si>
  <si>
    <t>Priya</t>
  </si>
  <si>
    <t>Komal</t>
  </si>
  <si>
    <t>+918059001575</t>
  </si>
  <si>
    <t>Near Sector-06</t>
  </si>
  <si>
    <t>Sainik Nagar,</t>
  </si>
  <si>
    <t>1856</t>
  </si>
  <si>
    <t>196004</t>
  </si>
  <si>
    <t>2025-07-10 00:00:00</t>
  </si>
  <si>
    <t>2025-10-10 00:00:00</t>
  </si>
  <si>
    <t>14632</t>
  </si>
  <si>
    <t>2025-04-29 00:00:00</t>
  </si>
  <si>
    <t>784016</t>
  </si>
  <si>
    <t>778142</t>
  </si>
  <si>
    <t>-8758</t>
  </si>
  <si>
    <t>0.3917</t>
  </si>
  <si>
    <t>22028000029161212</t>
  </si>
  <si>
    <t>zcrm_51788000288440033</t>
  </si>
  <si>
    <t>2025-04-22 10:05:41</t>
  </si>
  <si>
    <t>Rosy Mukherjee</t>
  </si>
  <si>
    <t>Presidency School, Nandini Layout</t>
  </si>
  <si>
    <t>157284</t>
  </si>
  <si>
    <t>152658</t>
  </si>
  <si>
    <t>462600</t>
  </si>
  <si>
    <t>22028000029695380</t>
  </si>
  <si>
    <t>51788000002732681</t>
  </si>
  <si>
    <t>zcrm_51788000289116055</t>
  </si>
  <si>
    <t>2025-07-10 16:33:44</t>
  </si>
  <si>
    <t>Dr. Indira Kothenath</t>
  </si>
  <si>
    <t>principal.nlo@gmail.com</t>
  </si>
  <si>
    <t>Dr Indhira Kothenath</t>
  </si>
  <si>
    <t>principal-nlo@presidency.edu.in</t>
  </si>
  <si>
    <t>+919980078895</t>
  </si>
  <si>
    <t>Ms. Shruthi Raj</t>
  </si>
  <si>
    <t>shruthiraj-nlo@presidency.edu.in</t>
  </si>
  <si>
    <t>+917338012432</t>
  </si>
  <si>
    <t>5th Cross</t>
  </si>
  <si>
    <t>560096</t>
  </si>
  <si>
    <t>Nandini Layout,</t>
  </si>
  <si>
    <t>2025-09-12 00:00:00</t>
  </si>
  <si>
    <t>546511</t>
  </si>
  <si>
    <t>535581</t>
  </si>
  <si>
    <t>10930</t>
  </si>
  <si>
    <t>0.4133</t>
  </si>
  <si>
    <t>0.36329999999999996</t>
  </si>
  <si>
    <t>22028000031405456</t>
  </si>
  <si>
    <t>zcrm_51788000282898923</t>
  </si>
  <si>
    <t>2025-07-08 10:11:56</t>
  </si>
  <si>
    <t>Gowri N</t>
  </si>
  <si>
    <t>jss.bsk@gmail.com</t>
  </si>
  <si>
    <t>2025-07-24 00:00:00</t>
  </si>
  <si>
    <t>715065</t>
  </si>
  <si>
    <t>671011</t>
  </si>
  <si>
    <t>44054</t>
  </si>
  <si>
    <t>22028000028978064</t>
  </si>
  <si>
    <t>zcrm_51788000287781001</t>
  </si>
  <si>
    <t>2025-04-18 15:15:28</t>
  </si>
  <si>
    <t>Ms Dhruvi Bhatia</t>
  </si>
  <si>
    <t>ah12@myggis.org</t>
  </si>
  <si>
    <t>+919823362384</t>
  </si>
  <si>
    <t>Dhruvi Bhatia</t>
  </si>
  <si>
    <t>Ruchita Rathod</t>
  </si>
  <si>
    <t>examination@myggis.org</t>
  </si>
  <si>
    <t>+919922304804</t>
  </si>
  <si>
    <t>Swar Ganga, 174 - 177, near The Muslim Co-operative Bank</t>
  </si>
  <si>
    <t>2025-03-07 00:00:00, 2025-06-21 00:00:00</t>
  </si>
  <si>
    <t>883</t>
  </si>
  <si>
    <t>2025-03-31 00:00:00, 2025-06-30 00:00:00</t>
  </si>
  <si>
    <t>0, 43164</t>
  </si>
  <si>
    <t>0, 431637</t>
  </si>
  <si>
    <t>0, 388473</t>
  </si>
  <si>
    <t>0.5054, 1</t>
  </si>
  <si>
    <t>22028000028534700, 22028000031091044</t>
  </si>
  <si>
    <t>zcrm_51788000286546001, zcrm_51788000292195131</t>
  </si>
  <si>
    <t>aruna_ei, zohra.khan_ei</t>
  </si>
  <si>
    <t>aruna@ei.study, zohra.khan@ei.study</t>
  </si>
  <si>
    <t>Aruna, Zohra khan</t>
  </si>
  <si>
    <t>2025-03-08 13:01:58, 2025-06-21 11:26:29</t>
  </si>
  <si>
    <t>Amit Sams, Maruf Shaikh</t>
  </si>
  <si>
    <t>eaedu@christelhouseindia.org, maruf.shaikh@ei.study</t>
  </si>
  <si>
    <t>+919016039311, +919845742265</t>
  </si>
  <si>
    <t>Maruf Shaikh, Nandini Lakshman</t>
  </si>
  <si>
    <t>maruf.shaikh@ei.study, nlakshman@christelhouseindia.org</t>
  </si>
  <si>
    <t>+919016039311, +91984574264</t>
  </si>
  <si>
    <t>Gyan Jyoti Awasiya Vidyalaya</t>
  </si>
  <si>
    <t>2025-09-20 00:00:00</t>
  </si>
  <si>
    <t>155758</t>
  </si>
  <si>
    <t>311516</t>
  </si>
  <si>
    <t>0.8959999999999999</t>
  </si>
  <si>
    <t>22028000033285324</t>
  </si>
  <si>
    <t>51788000002763541</t>
  </si>
  <si>
    <t>zcrm_51788000278686984</t>
  </si>
  <si>
    <t>2025-09-22 10:18:27</t>
  </si>
  <si>
    <t>Dr. Aditya Bijay Jain</t>
  </si>
  <si>
    <t>aditya_bijay@hotmail.com</t>
  </si>
  <si>
    <t>+919934040452</t>
  </si>
  <si>
    <t>43500</t>
  </si>
  <si>
    <t>Bampali</t>
  </si>
  <si>
    <t>Bampali Ara - Bhojpur, Buxar Road Old T D M Road, South Ramna Road,</t>
  </si>
  <si>
    <t>Sir Sivaswami Kalalaya Senior Secondary School</t>
  </si>
  <si>
    <t>385681</t>
  </si>
  <si>
    <t>42853</t>
  </si>
  <si>
    <t>38568</t>
  </si>
  <si>
    <t>428534</t>
  </si>
  <si>
    <t>347112</t>
  </si>
  <si>
    <t>42854</t>
  </si>
  <si>
    <t>2026-03-09 00:00:00</t>
  </si>
  <si>
    <t>22028000028801236</t>
  </si>
  <si>
    <t>51788000002732705</t>
  </si>
  <si>
    <t>zcrm_51788000285412653</t>
  </si>
  <si>
    <t>2025-04-09 09:50:31</t>
  </si>
  <si>
    <t>Ms. Jashoda Sundar</t>
  </si>
  <si>
    <t>reachus@sirsivaswamikalalaya.org</t>
  </si>
  <si>
    <t>+919884116702</t>
  </si>
  <si>
    <t>S Jayasri</t>
  </si>
  <si>
    <t>+919444901078</t>
  </si>
  <si>
    <t>Jashoda Sundar</t>
  </si>
  <si>
    <t>5, Sundareshwarar St, Girija Garden, Mylapore, Chennai, Tamil Nadu 600004</t>
  </si>
  <si>
    <t>835</t>
  </si>
  <si>
    <t>1833</t>
  </si>
  <si>
    <t>795378</t>
  </si>
  <si>
    <t>240667</t>
  </si>
  <si>
    <t>3181512</t>
  </si>
  <si>
    <t>2890010</t>
  </si>
  <si>
    <t>50835</t>
  </si>
  <si>
    <t>0.42729999999999996</t>
  </si>
  <si>
    <t>22028000028482908</t>
  </si>
  <si>
    <t>zcrm_51788000286092001</t>
  </si>
  <si>
    <t>2025-03-29 14:48:57</t>
  </si>
  <si>
    <t>+91919880285585</t>
  </si>
  <si>
    <t>Manasa M</t>
  </si>
  <si>
    <t>manasa.m@kumarans.org</t>
  </si>
  <si>
    <t>+918971908378</t>
  </si>
  <si>
    <t>Chaitanya</t>
  </si>
  <si>
    <t>2025-04-01 00:00:00, 2025-07-07 00:00:00</t>
  </si>
  <si>
    <t>2025-04-01 00:00:00, 2025-09-20 00:00:00</t>
  </si>
  <si>
    <t>2025-04-01 00:00:00, 2025-12-31 00:00:00</t>
  </si>
  <si>
    <t>2025-04-01 00:00:00, 2026-03-31 00:00:00</t>
  </si>
  <si>
    <t>190282025, 22028000031408096</t>
  </si>
  <si>
    <t>zcrm_51788000292747872</t>
  </si>
  <si>
    <t>2025-04-01 00:00:00, 2025-07-07 15:01:36</t>
  </si>
  <si>
    <t>Mr. Anil Kumar</t>
  </si>
  <si>
    <t>Dr. Anubha Gopal</t>
  </si>
  <si>
    <t>+919910102129</t>
  </si>
  <si>
    <t>Sector-XII, R.K. Puram, ,</t>
  </si>
  <si>
    <t>718</t>
  </si>
  <si>
    <t>1826</t>
  </si>
  <si>
    <t>166626</t>
  </si>
  <si>
    <t>45139</t>
  </si>
  <si>
    <t>2025-07-11 00:00:00</t>
  </si>
  <si>
    <t>666504</t>
  </si>
  <si>
    <t>452813</t>
  </si>
  <si>
    <t>168552</t>
  </si>
  <si>
    <t>0.40149999999999997</t>
  </si>
  <si>
    <t>22028000030715128</t>
  </si>
  <si>
    <t>zcrm_51788000291588409</t>
  </si>
  <si>
    <t>2025-06-03 18:16:43</t>
  </si>
  <si>
    <t>Anitha Kasiraman</t>
  </si>
  <si>
    <t>anitha.Kasiraman@kumarans.org</t>
  </si>
  <si>
    <t>+919980271333</t>
  </si>
  <si>
    <t>92, 6th Main Rd, Tata Silk Farm, Basavanagudi, Bengaluru, Karnataka 560028</t>
  </si>
  <si>
    <t>2025-05-22 00:00:00</t>
  </si>
  <si>
    <t>843270</t>
  </si>
  <si>
    <t>168652.94</t>
  </si>
  <si>
    <t>2026-01-25 00:00:00</t>
  </si>
  <si>
    <t>1686540</t>
  </si>
  <si>
    <t>1528212</t>
  </si>
  <si>
    <t>-10325</t>
  </si>
  <si>
    <t>0.2961</t>
  </si>
  <si>
    <t>22028000030274416</t>
  </si>
  <si>
    <t>zcrm_51788000289776637</t>
  </si>
  <si>
    <t>2025-06-02 12:58:38</t>
  </si>
  <si>
    <t>Ms. Khyati Jani</t>
  </si>
  <si>
    <t>khyati.jani@anandniketan.edu.in</t>
  </si>
  <si>
    <t>+919737047643</t>
  </si>
  <si>
    <t>Plot no. 495, Thaltej-Shilaj Road,</t>
  </si>
  <si>
    <t>73879</t>
  </si>
  <si>
    <t>2025-05-05 00:00:00</t>
  </si>
  <si>
    <t>295516</t>
  </si>
  <si>
    <t>154101</t>
  </si>
  <si>
    <t>141415</t>
  </si>
  <si>
    <t>0.75</t>
  </si>
  <si>
    <t>Haldia</t>
  </si>
  <si>
    <t>2026-03-30 00:00:00</t>
  </si>
  <si>
    <t>22028000026773848</t>
  </si>
  <si>
    <t>51788000002764620</t>
  </si>
  <si>
    <t>zcrm_51788000275464469</t>
  </si>
  <si>
    <t>2025-04-02 16:24:36</t>
  </si>
  <si>
    <t>50700</t>
  </si>
  <si>
    <t>Anchorage Camp P. O. Haldia Port Haldia Township East Medinipur-721 605</t>
  </si>
  <si>
    <t>721605</t>
  </si>
  <si>
    <t>2025-04-11 00:00:00</t>
  </si>
  <si>
    <t>312119</t>
  </si>
  <si>
    <t>728277</t>
  </si>
  <si>
    <t>31407</t>
  </si>
  <si>
    <t>1040396</t>
  </si>
  <si>
    <t>923696</t>
  </si>
  <si>
    <t>85293</t>
  </si>
  <si>
    <t>22028000029235240</t>
  </si>
  <si>
    <t>zcrm_51788000288644362</t>
  </si>
  <si>
    <t>2025-04-23 11:04:08</t>
  </si>
  <si>
    <t>Mrs. Geetha Govindarajan</t>
  </si>
  <si>
    <t>+918056950211</t>
  </si>
  <si>
    <t>Padma Seshadri Bala Bhavan Senior Secondary School, Nungambakkam</t>
  </si>
  <si>
    <t>18598</t>
  </si>
  <si>
    <t>43396</t>
  </si>
  <si>
    <t>6200</t>
  </si>
  <si>
    <t>61994</t>
  </si>
  <si>
    <t>55794</t>
  </si>
  <si>
    <t>22028000029235196</t>
  </si>
  <si>
    <t>zcrm_51788000288644541</t>
  </si>
  <si>
    <t>2025-04-23 11:02:52</t>
  </si>
  <si>
    <t>Mrs. Vasanthi Sundararajan</t>
  </si>
  <si>
    <t>principalngm@psbbschools.ac.in</t>
  </si>
  <si>
    <t>+919840998016</t>
  </si>
  <si>
    <t>86947</t>
  </si>
  <si>
    <t>84389</t>
  </si>
  <si>
    <t>2025-11-28 00:00:00</t>
  </si>
  <si>
    <t>62410.97</t>
  </si>
  <si>
    <t>2025-08-26 00:00:00</t>
  </si>
  <si>
    <t>2026-02-17 00:00:00</t>
  </si>
  <si>
    <t>255725</t>
  </si>
  <si>
    <t>180080</t>
  </si>
  <si>
    <t>13234</t>
  </si>
  <si>
    <t>22028000030958228</t>
  </si>
  <si>
    <t>zcrm_51788000292123050</t>
  </si>
  <si>
    <t>2025-06-19 14:03:27</t>
  </si>
  <si>
    <t>Ms. Vatsa</t>
  </si>
  <si>
    <t>vatsa@happydays.edu</t>
  </si>
  <si>
    <t>Ms. Vasta</t>
  </si>
  <si>
    <t>vasta@happydays.edu</t>
  </si>
  <si>
    <t>Happy Days Schools</t>
  </si>
  <si>
    <t>East Point School</t>
  </si>
  <si>
    <t>2025-03-03 00:00:00, 2025-09-26 00:00:00</t>
  </si>
  <si>
    <t>600, 639</t>
  </si>
  <si>
    <t>927</t>
  </si>
  <si>
    <t>2000-01-01 00:00:00, 2025-03-06 00:00:00</t>
  </si>
  <si>
    <t>0, 103358, 68883</t>
  </si>
  <si>
    <t>2000-01-01 00:00:00, 2025-12-15 00:00:00</t>
  </si>
  <si>
    <t>20725.71, 31007.83, 420</t>
  </si>
  <si>
    <t>2025-03-13 00:00:00, 2025-11-01 00:00:00</t>
  </si>
  <si>
    <t>2025-11-01 00:00:00, 2026-02-05 00:00:00, 2026-02-06 00:00:00</t>
  </si>
  <si>
    <t>275532, 413432, 4200</t>
  </si>
  <si>
    <t>186537, 279067, 3780</t>
  </si>
  <si>
    <t>0, 103357, 68269</t>
  </si>
  <si>
    <t>0.5, 0.574, 0.6962999999999999</t>
  </si>
  <si>
    <t>2025-04-01 00:00:00, 2025-10-01 00:00:00</t>
  </si>
  <si>
    <t>22028000028440144, 22028000028440388, 22028000033418116</t>
  </si>
  <si>
    <t>51788000002732914</t>
  </si>
  <si>
    <t>zcrm_51788000282565035, zcrm_51788000285914124, zcrm_51788000297535951</t>
  </si>
  <si>
    <t>2025-03-06 12:44:53, 2025-03-06 14:15:01, 2025-10-03 10:26:48</t>
  </si>
  <si>
    <t>Mrs. Archana Srivastava, Ms. Archana Srivastava</t>
  </si>
  <si>
    <t>eastpointsch@gmail.com</t>
  </si>
  <si>
    <t>+919891935566</t>
  </si>
  <si>
    <t>Mrs Archana Srivastava, Ms Archana Srivastava, Ms. Archana Srivastava</t>
  </si>
  <si>
    <t>Mrs Archana Srivastava, Ms Archana Srivastava, Ms Prantika Basu</t>
  </si>
  <si>
    <t>+919871820325, +919891935566</t>
  </si>
  <si>
    <t>Fc-26 Dallupura Vasundhara Enclave Delhi</t>
  </si>
  <si>
    <t>110096</t>
  </si>
  <si>
    <t>Fc-26 Dallupura Vasundhara Enclave</t>
  </si>
  <si>
    <t>DELE00997D</t>
  </si>
  <si>
    <t>1249</t>
  </si>
  <si>
    <t>1998</t>
  </si>
  <si>
    <t>2541</t>
  </si>
  <si>
    <t>1050980</t>
  </si>
  <si>
    <t>4203920</t>
  </si>
  <si>
    <t>0.1673</t>
  </si>
  <si>
    <t>22028000036268952</t>
  </si>
  <si>
    <t>zcrm_51788000301019003</t>
  </si>
  <si>
    <t>2026-02-16 12:51:36</t>
  </si>
  <si>
    <t>Mrs. Vasanthi Thiagarajan</t>
  </si>
  <si>
    <t>Hosur Taluk, Krishnagiri District-635110, TN</t>
  </si>
  <si>
    <t>2025-02-27 00:00:00, 2025-03-06 00:00:00</t>
  </si>
  <si>
    <t>2025-03-10 00:00:00, 2025-04-10 00:00:00</t>
  </si>
  <si>
    <t>18005, 53100</t>
  </si>
  <si>
    <t>2025-06-10 00:00:00, 2025-07-10 00:00:00</t>
  </si>
  <si>
    <t>159300, 54014</t>
  </si>
  <si>
    <t>2025-12-23 00:00:00</t>
  </si>
  <si>
    <t>212400, 72019</t>
  </si>
  <si>
    <t>224400, 56409</t>
  </si>
  <si>
    <t>-12000, 15610</t>
  </si>
  <si>
    <t>0.2, 0.6666</t>
  </si>
  <si>
    <t>0.2, 0.6165999999999999</t>
  </si>
  <si>
    <t>2025-06-01 00:00:00, 2025-06-02 00:00:00</t>
  </si>
  <si>
    <t>2026-03-31 00:00:00, 2026-04-10 00:00:00</t>
  </si>
  <si>
    <t>22028000028340424, 22028000028519040</t>
  </si>
  <si>
    <t>zcrm_51788000277550406, zcrm_51788000285701618</t>
  </si>
  <si>
    <t>2025-03-27 11:02:10, 2025-03-27 11:02:28</t>
  </si>
  <si>
    <t>Dr. Florence D'Souza</t>
  </si>
  <si>
    <t>principal@vecjnr.edu.in</t>
  </si>
  <si>
    <t>+919448201161</t>
  </si>
  <si>
    <t>No .1, opp. BHS School, 4th T Block East, Jayanagar 4th Block East, Jayanagar, Bengaluru, Karnataka 560011</t>
  </si>
  <si>
    <t>4Th Block East Jayanagar</t>
  </si>
  <si>
    <t>2025-06-05 00:00:00, 2025-07-21 00:00:00</t>
  </si>
  <si>
    <t>2467</t>
  </si>
  <si>
    <t>2025-06-16 00:00:00, 2025-07-24 00:00:00</t>
  </si>
  <si>
    <t>160800, 707311</t>
  </si>
  <si>
    <t>2025-08-16 00:00:00, 2025-10-01 00:00:00</t>
  </si>
  <si>
    <t>2000-01-01 00:00:00, 2025-10-16 00:00:00</t>
  </si>
  <si>
    <t>0, 707311</t>
  </si>
  <si>
    <t>2000-01-01 00:00:00, 2025-12-16 00:00:00</t>
  </si>
  <si>
    <t>24414.18, 3216</t>
  </si>
  <si>
    <t>2025-05-21 00:00:00, 2025-11-11 00:00:00</t>
  </si>
  <si>
    <t>2025-12-17 00:00:00, 2026-02-03 00:00:00</t>
  </si>
  <si>
    <t>2829244, 321600</t>
  </si>
  <si>
    <t>2814880, 318384</t>
  </si>
  <si>
    <t>-10050, 0</t>
  </si>
  <si>
    <t>0.19149999999999998, 0.2</t>
  </si>
  <si>
    <t>22028000030718344, 22028000031669788</t>
  </si>
  <si>
    <t>zcrm_51788000291725003, zcrm_51788000293613237</t>
  </si>
  <si>
    <t>2025-06-06 14:51:01, 2025-07-24 11:00:56</t>
  </si>
  <si>
    <t>Daly College</t>
  </si>
  <si>
    <t>Satya Prakash Public School</t>
  </si>
  <si>
    <t>180342</t>
  </si>
  <si>
    <t>154579</t>
  </si>
  <si>
    <t>2025-09-22 00:00:00</t>
  </si>
  <si>
    <t>128816</t>
  </si>
  <si>
    <t>51526</t>
  </si>
  <si>
    <t>44552.44</t>
  </si>
  <si>
    <t>2026-02-18 00:00:00</t>
  </si>
  <si>
    <t>515263</t>
  </si>
  <si>
    <t>437211</t>
  </si>
  <si>
    <t>0.5555</t>
  </si>
  <si>
    <t>Jabalpur</t>
  </si>
  <si>
    <t>22028000028757124</t>
  </si>
  <si>
    <t>51788000002766596</t>
  </si>
  <si>
    <t>zcrm_51788000286506559</t>
  </si>
  <si>
    <t>2025-03-26 10:33:41</t>
  </si>
  <si>
    <t>Mr. Rajiv Singh</t>
  </si>
  <si>
    <t>director@satyaprakash.edu.in</t>
  </si>
  <si>
    <t>+919935672102</t>
  </si>
  <si>
    <t>principalspps@gmail.com</t>
  </si>
  <si>
    <t>Mr rajiv Singh</t>
  </si>
  <si>
    <t>principal@satyaprakash.edu.in</t>
  </si>
  <si>
    <t>52100</t>
  </si>
  <si>
    <t>TFRI</t>
  </si>
  <si>
    <t>482008</t>
  </si>
  <si>
    <t>JBPS01676D</t>
  </si>
  <si>
    <t>Polipather, Jabalpur, Madhya Pradesh</t>
  </si>
  <si>
    <t>Presidency School, Mangalore</t>
  </si>
  <si>
    <t>47940</t>
  </si>
  <si>
    <t>46530</t>
  </si>
  <si>
    <t>141000</t>
  </si>
  <si>
    <t>Mangalore</t>
  </si>
  <si>
    <t>22028000029695568</t>
  </si>
  <si>
    <t>51788000002733037</t>
  </si>
  <si>
    <t>zcrm_51788000289087101</t>
  </si>
  <si>
    <t>2025-07-10 16:35:43</t>
  </si>
  <si>
    <t>Shaila Banu</t>
  </si>
  <si>
    <t>principal-mng1@presidency.edu.in</t>
  </si>
  <si>
    <t>Ms. Shaila Banu</t>
  </si>
  <si>
    <t>+919483458583</t>
  </si>
  <si>
    <t>Mr. Anand Prasad U</t>
  </si>
  <si>
    <t>anandprasad-psmng@presidency.edu.in</t>
  </si>
  <si>
    <t>+917411234930</t>
  </si>
  <si>
    <t>Kelarai Post,</t>
  </si>
  <si>
    <t>575029</t>
  </si>
  <si>
    <t>Kelarai Post, Bondanthila, Kuntadka</t>
  </si>
  <si>
    <t>473494</t>
  </si>
  <si>
    <t>459568</t>
  </si>
  <si>
    <t>2025-10-22 00:00:00</t>
  </si>
  <si>
    <t>2026-02-25 00:00:00</t>
  </si>
  <si>
    <t>1392630</t>
  </si>
  <si>
    <t>1230309</t>
  </si>
  <si>
    <t>162321</t>
  </si>
  <si>
    <t>22028000028759532</t>
  </si>
  <si>
    <t>zcrm_51788000287135001</t>
  </si>
  <si>
    <t>2025-03-21 10:31:02</t>
  </si>
  <si>
    <t>Kaanger Valley Academy</t>
  </si>
  <si>
    <t>47760</t>
  </si>
  <si>
    <t>2025-11-15 00:00:00</t>
  </si>
  <si>
    <t>95520</t>
  </si>
  <si>
    <t>93609</t>
  </si>
  <si>
    <t>1911</t>
  </si>
  <si>
    <t>22028000033358576</t>
  </si>
  <si>
    <t>51788000002766962</t>
  </si>
  <si>
    <t>zcrm_51788000281428025</t>
  </si>
  <si>
    <t>nidhish.dubey_ei</t>
  </si>
  <si>
    <t>nidhish.dubey@ei.study</t>
  </si>
  <si>
    <t>Nidhish dubey</t>
  </si>
  <si>
    <t>Nidhish Dubey</t>
  </si>
  <si>
    <t>2025-09-24 15:42:21</t>
  </si>
  <si>
    <t>Mr. Abijit Das</t>
  </si>
  <si>
    <t>principal@kva.edu.in</t>
  </si>
  <si>
    <t>+919770912136</t>
  </si>
  <si>
    <t>Mr. Kaushal</t>
  </si>
  <si>
    <t>examination@kva.edu.in</t>
  </si>
  <si>
    <t>+918878913582</t>
  </si>
  <si>
    <t>Opposite RSU Gym</t>
  </si>
  <si>
    <t>492011</t>
  </si>
  <si>
    <t>Dumar Talab</t>
  </si>
  <si>
    <t>Dumar talab</t>
  </si>
  <si>
    <t>926</t>
  </si>
  <si>
    <t>2035</t>
  </si>
  <si>
    <t>127587</t>
  </si>
  <si>
    <t>2025-09-09 00:00:00</t>
  </si>
  <si>
    <t>7327</t>
  </si>
  <si>
    <t>510348</t>
  </si>
  <si>
    <t>392246</t>
  </si>
  <si>
    <t>110775</t>
  </si>
  <si>
    <t>0.3329</t>
  </si>
  <si>
    <t>0.2329</t>
  </si>
  <si>
    <t>22028000029122780</t>
  </si>
  <si>
    <t>zcrm_51788000288506001</t>
  </si>
  <si>
    <t>2025-04-07 16:00:15</t>
  </si>
  <si>
    <t>+919824804026</t>
  </si>
  <si>
    <t>Ms. Deepa Avashia</t>
  </si>
  <si>
    <t>deepa@schoolriverside.com</t>
  </si>
  <si>
    <t>+919825405468</t>
  </si>
  <si>
    <t>Ms. Ritu Agrawal</t>
  </si>
  <si>
    <t>2025-03-03 00:00:00</t>
  </si>
  <si>
    <t>1900</t>
  </si>
  <si>
    <t>541509</t>
  </si>
  <si>
    <t>10745</t>
  </si>
  <si>
    <t>2026-01-23 00:00:00</t>
  </si>
  <si>
    <t>1083018</t>
  </si>
  <si>
    <t>1057166</t>
  </si>
  <si>
    <t>15107</t>
  </si>
  <si>
    <t>0.1739</t>
  </si>
  <si>
    <t>22028000028436212</t>
  </si>
  <si>
    <t>zcrm_51788000285871276</t>
  </si>
  <si>
    <t>2025-03-06 16:43:26</t>
  </si>
  <si>
    <t>SK Tomar</t>
  </si>
  <si>
    <t>sktomar@nhgoel.com</t>
  </si>
  <si>
    <t>+919009799987</t>
  </si>
  <si>
    <t>Dr Awinash Pandey</t>
  </si>
  <si>
    <t>+919977238880</t>
  </si>
  <si>
    <t>Mr Vinod Joon</t>
  </si>
  <si>
    <t>vinod.kumar@nhgoel.com</t>
  </si>
  <si>
    <t>Pura project</t>
  </si>
  <si>
    <t>2025-07-03 00:00:00</t>
  </si>
  <si>
    <t>1270348</t>
  </si>
  <si>
    <t>1162691</t>
  </si>
  <si>
    <t>107657</t>
  </si>
  <si>
    <t>0.3054</t>
  </si>
  <si>
    <t>0.2554</t>
  </si>
  <si>
    <t>22028000030240244</t>
  </si>
  <si>
    <t>zcrm_51788000290958235</t>
  </si>
  <si>
    <t>2025-06-02 13:05:43</t>
  </si>
  <si>
    <t>Deepanshu Arora</t>
  </si>
  <si>
    <t>deepanshu@ais.net</t>
  </si>
  <si>
    <t>Sanjana Amarnani</t>
  </si>
  <si>
    <t>sanjana.amarnani@ais.net</t>
  </si>
  <si>
    <t>+919537333341</t>
  </si>
  <si>
    <t>Anshita Aggarwal</t>
  </si>
  <si>
    <t>anshita.aggarwal@ais.net</t>
  </si>
  <si>
    <t>+919909001760</t>
  </si>
  <si>
    <t>Opposite Rajpath Row House,</t>
  </si>
  <si>
    <t>1390</t>
  </si>
  <si>
    <t>305444</t>
  </si>
  <si>
    <t>1221776</t>
  </si>
  <si>
    <t>615056</t>
  </si>
  <si>
    <t>606720</t>
  </si>
  <si>
    <t>0.6840999999999999</t>
  </si>
  <si>
    <t>22028000031046036</t>
  </si>
  <si>
    <t>zcrm_51788000292118182</t>
  </si>
  <si>
    <t>2025-06-28 09:59:57</t>
  </si>
  <si>
    <t>Vanteru Sabitha</t>
  </si>
  <si>
    <t>421974</t>
  </si>
  <si>
    <t>409563</t>
  </si>
  <si>
    <t>81491.1</t>
  </si>
  <si>
    <t>2026-02-16 00:00:00</t>
  </si>
  <si>
    <t>1241100</t>
  </si>
  <si>
    <t>1071628</t>
  </si>
  <si>
    <t>87981</t>
  </si>
  <si>
    <t>22028000028451888</t>
  </si>
  <si>
    <t>zcrm_51788000285304690</t>
  </si>
  <si>
    <t>2025-03-20 14:28:32</t>
  </si>
  <si>
    <t>Mrs. Usha Tomar</t>
  </si>
  <si>
    <t>+917415666676</t>
  </si>
  <si>
    <t>ISKCON Vihar Colony, Nipania Road</t>
  </si>
  <si>
    <t>2025-07-25 00:00:00</t>
  </si>
  <si>
    <t>546156</t>
  </si>
  <si>
    <t>0.7666</t>
  </si>
  <si>
    <t>22028000031717612</t>
  </si>
  <si>
    <t>zcrm_51788000293820033</t>
  </si>
  <si>
    <t>2025-08-08 17:52:26</t>
  </si>
  <si>
    <t>Dr. Joy M George</t>
  </si>
  <si>
    <t>management@acaindia.org</t>
  </si>
  <si>
    <t>+914344255807</t>
  </si>
  <si>
    <t>Mr Sijumon  K G</t>
  </si>
  <si>
    <t>sijumon.kg@acaindia.org</t>
  </si>
  <si>
    <t>P Kavitha</t>
  </si>
  <si>
    <t>Chettinad Vidya Mandir</t>
  </si>
  <si>
    <t>32475</t>
  </si>
  <si>
    <t>146138</t>
  </si>
  <si>
    <t>2025-07-14 00:00:00</t>
  </si>
  <si>
    <t>324751</t>
  </si>
  <si>
    <t>31825</t>
  </si>
  <si>
    <t>292926</t>
  </si>
  <si>
    <t>karur</t>
  </si>
  <si>
    <t>22028000027696192</t>
  </si>
  <si>
    <t>51788000002733072</t>
  </si>
  <si>
    <t>zcrm_51788000280620087</t>
  </si>
  <si>
    <t>2025-02-25 08:54:50</t>
  </si>
  <si>
    <t>Ms. Vijayalakshmi P .</t>
  </si>
  <si>
    <t>principal@chettinadvidyamandir.org</t>
  </si>
  <si>
    <t>+919362602841</t>
  </si>
  <si>
    <t>Mrs Vijayalaxmi</t>
  </si>
  <si>
    <t>Chettipalayam, Puliyur C F Post</t>
  </si>
  <si>
    <t>639114</t>
  </si>
  <si>
    <t>Chettipalayam, puliyur C F post</t>
  </si>
  <si>
    <t>2025-02-22 00:00:00</t>
  </si>
  <si>
    <t>180015</t>
  </si>
  <si>
    <t>2025-08-19 00:00:00</t>
  </si>
  <si>
    <t>360030</t>
  </si>
  <si>
    <t>343200</t>
  </si>
  <si>
    <t>16830</t>
  </si>
  <si>
    <t>0.4045</t>
  </si>
  <si>
    <t>22028000028236132</t>
  </si>
  <si>
    <t>zcrm_51788000285167001</t>
  </si>
  <si>
    <t>2025-02-27 10:51:31</t>
  </si>
  <si>
    <t>Mrs. Shobha Menon</t>
  </si>
  <si>
    <t>shoba@nalandaschool.org</t>
  </si>
  <si>
    <t>+919825456743</t>
  </si>
  <si>
    <t>C/O The Consultant</t>
  </si>
  <si>
    <t>107610</t>
  </si>
  <si>
    <t>32196.02</t>
  </si>
  <si>
    <t>430440</t>
  </si>
  <si>
    <t>288797</t>
  </si>
  <si>
    <t>109447</t>
  </si>
  <si>
    <t>22028000030505156</t>
  </si>
  <si>
    <t>zcrm_51788000291179270</t>
  </si>
  <si>
    <t>2025-06-23 11:28:01</t>
  </si>
  <si>
    <t>Sheela</t>
  </si>
  <si>
    <t>sheela.k@vedavallividyalaya.org</t>
  </si>
  <si>
    <t>Sangeetha</t>
  </si>
  <si>
    <t>sangeetha.g@vedavallividyalaya.org</t>
  </si>
  <si>
    <t>120613, 92364</t>
  </si>
  <si>
    <t>19111, 45270</t>
  </si>
  <si>
    <t>2025-09-30 00:00:00, 2026-02-27 00:00:00</t>
  </si>
  <si>
    <t>369456, 482452</t>
  </si>
  <si>
    <t>237227, 535094</t>
  </si>
  <si>
    <t>-97912, 113118</t>
  </si>
  <si>
    <t>0.5834, 0.6667000000000001</t>
  </si>
  <si>
    <t>22028000029498264, 22028000029498328</t>
  </si>
  <si>
    <t>zcrm_51788000289308657, zcrm_51788000289308818</t>
  </si>
  <si>
    <t>2025-05-12 09:16:09, 2025-05-12 09:16:24</t>
  </si>
  <si>
    <t>Mrs. Subhasini P</t>
  </si>
  <si>
    <t>+919843465255</t>
  </si>
  <si>
    <t>Jeyshree, Rajalakshmi K</t>
  </si>
  <si>
    <t>jeyasree.thetvs.as@gmail.com, rajalakshmi@tvslvs.com</t>
  </si>
  <si>
    <t>+919894970145, +919994905311</t>
  </si>
  <si>
    <t>Laskhmi School</t>
  </si>
  <si>
    <t>Delhi Public School, Dwarka</t>
  </si>
  <si>
    <t>2124322025, 22028000031366824</t>
  </si>
  <si>
    <t>zcrm_51788000292903018</t>
  </si>
  <si>
    <t>2025-04-01 00:00:00, 2025-07-07 14:59:46</t>
  </si>
  <si>
    <t>Ms. Priya Narayanan</t>
  </si>
  <si>
    <t>+919654650706</t>
  </si>
  <si>
    <t>Ms. Kanupriya Sethi</t>
  </si>
  <si>
    <t>Phase I, Dwarka Sector-3</t>
  </si>
  <si>
    <t>Adani Vidya Mandir</t>
  </si>
  <si>
    <t>Ei Teacher Training</t>
  </si>
  <si>
    <t>300000</t>
  </si>
  <si>
    <t>Regular School: Active school with teacher count and rate per teacher defined</t>
  </si>
  <si>
    <t>21331722025</t>
  </si>
  <si>
    <t>Delhi Public School, Ruby Park</t>
  </si>
  <si>
    <t>2025-09-08 00:00:00</t>
  </si>
  <si>
    <t>765</t>
  </si>
  <si>
    <t>474345</t>
  </si>
  <si>
    <t>464814</t>
  </si>
  <si>
    <t>9531</t>
  </si>
  <si>
    <t>0.5032</t>
  </si>
  <si>
    <t>22028000032881152</t>
  </si>
  <si>
    <t>51788000002733235</t>
  </si>
  <si>
    <t>zcrm_51788000295758753</t>
  </si>
  <si>
    <t>2025-09-12 14:28:47</t>
  </si>
  <si>
    <t>Ms. Joyoti Chowdhury</t>
  </si>
  <si>
    <t>principal@dpskolkata.com</t>
  </si>
  <si>
    <t>+913371300240</t>
  </si>
  <si>
    <t>info@dpskolkata.com</t>
  </si>
  <si>
    <t>20000</t>
  </si>
  <si>
    <t>254, Shanti Pally</t>
  </si>
  <si>
    <t>700107</t>
  </si>
  <si>
    <t>Loreto Convent, Shillong</t>
  </si>
  <si>
    <t>579</t>
  </si>
  <si>
    <t>2025-05-14 00:00:00</t>
  </si>
  <si>
    <t>100746</t>
  </si>
  <si>
    <t>235074</t>
  </si>
  <si>
    <t>335820</t>
  </si>
  <si>
    <t>336400</t>
  </si>
  <si>
    <t>-580</t>
  </si>
  <si>
    <t>0.614</t>
  </si>
  <si>
    <t>22028000029812672</t>
  </si>
  <si>
    <t>51788000002733237</t>
  </si>
  <si>
    <t>zcrm_51788000289978420</t>
  </si>
  <si>
    <t>Ratnabali Mukherjee</t>
  </si>
  <si>
    <t>2025-06-24 10:30:56</t>
  </si>
  <si>
    <t>Ms. Sister Mabel Pramila Rudum</t>
  </si>
  <si>
    <t>shillongprincipal@loreto.in</t>
  </si>
  <si>
    <t>+918017198627</t>
  </si>
  <si>
    <t>shillongsec@loreto.in</t>
  </si>
  <si>
    <t>9500</t>
  </si>
  <si>
    <t>793003</t>
  </si>
  <si>
    <t>Dhankheti</t>
  </si>
  <si>
    <t>Easr Khasi Hills Shillong East Khasi Hills-793 003</t>
  </si>
  <si>
    <t>1000000, 399774</t>
  </si>
  <si>
    <t>105978, 222366</t>
  </si>
  <si>
    <t>22028000029043120, 22028000029043152</t>
  </si>
  <si>
    <t>zcrm_51788000288081021, zcrm_51788000288081243</t>
  </si>
  <si>
    <t>2025-04-03 12:07:50, 2025-04-03 12:12:10</t>
  </si>
  <si>
    <t>Ms. Vandana Saxena</t>
  </si>
  <si>
    <t>+919814710728</t>
  </si>
  <si>
    <t>Ms. Mona</t>
  </si>
  <si>
    <t>mona@learningpaths.in</t>
  </si>
  <si>
    <t>+919878938385</t>
  </si>
  <si>
    <t>240298</t>
  </si>
  <si>
    <t>9612</t>
  </si>
  <si>
    <t>480596</t>
  </si>
  <si>
    <t>470983</t>
  </si>
  <si>
    <t>22028000028530264</t>
  </si>
  <si>
    <t>zcrm_51788000285965390</t>
  </si>
  <si>
    <t>shrikant.gehlot_ei</t>
  </si>
  <si>
    <t>shrikant.gehlot@ei.study</t>
  </si>
  <si>
    <t>Shrikant gehlot</t>
  </si>
  <si>
    <t>2025-03-27 11:20:12</t>
  </si>
  <si>
    <t>Arti sharma</t>
  </si>
  <si>
    <t>+917972434874</t>
  </si>
  <si>
    <t>Mrs.Munmun Sagupta</t>
  </si>
  <si>
    <t>munmun@dpsvaranasi.com</t>
  </si>
  <si>
    <t>Mrs. Arti Sharma</t>
  </si>
  <si>
    <t>Himgiri Goods Pvt Limited, C/O DPS Lava Nagpur Pre-primary Branch</t>
  </si>
  <si>
    <t>Village Vishokhar</t>
  </si>
  <si>
    <t>2025-04-19 00:00:00, 2025-05-02 00:00:00</t>
  </si>
  <si>
    <t>971</t>
  </si>
  <si>
    <t>2660</t>
  </si>
  <si>
    <t>2025-05-01 00:00:00, 2025-05-03 00:00:00</t>
  </si>
  <si>
    <t>185180, 51702</t>
  </si>
  <si>
    <t>0, 51702</t>
  </si>
  <si>
    <t>0, 6278</t>
  </si>
  <si>
    <t>2025-04-25 00:00:00, 2025-07-04 00:00:00</t>
  </si>
  <si>
    <t>206808, 370360</t>
  </si>
  <si>
    <t>0, 364082</t>
  </si>
  <si>
    <t>0, 206808</t>
  </si>
  <si>
    <t>0.1282, 0.4813</t>
  </si>
  <si>
    <t>2025-04-20 00:00:00, 2025-04-30 00:00:00</t>
  </si>
  <si>
    <t>2026-04-20 00:00:00</t>
  </si>
  <si>
    <t>22028000029427244, 22028000029795552</t>
  </si>
  <si>
    <t>zcrm_51788000288925453, zcrm_51788000289954001</t>
  </si>
  <si>
    <t>2025-04-23 13:02:47, 2025-05-02 18:50:03</t>
  </si>
  <si>
    <t>Mr. Anupam Jain, Ms. Pooja Thakur</t>
  </si>
  <si>
    <t>junior.school@tsrs.org, pooja.thakur@tsrs.org</t>
  </si>
  <si>
    <t>The Shri Ram School</t>
  </si>
  <si>
    <t>2206</t>
  </si>
  <si>
    <t>2025-06-16 00:00:00, 2025-06-17 00:00:00</t>
  </si>
  <si>
    <t>158292, 295360</t>
  </si>
  <si>
    <t>2025-08-16 00:00:00</t>
  </si>
  <si>
    <t>2025-09-15 00:00:00, 2025-10-16 00:00:00</t>
  </si>
  <si>
    <t>2025-11-18 00:00:00, 2025-12-16 00:00:00</t>
  </si>
  <si>
    <t>2026-02-06 00:00:00</t>
  </si>
  <si>
    <t>1181440, 633168</t>
  </si>
  <si>
    <t>0, 802980</t>
  </si>
  <si>
    <t>378460, 633168</t>
  </si>
  <si>
    <t>0.37, 0.4986</t>
  </si>
  <si>
    <t>2025-05-01 00:00:00</t>
  </si>
  <si>
    <t>22028000030978048, 22028000030999072</t>
  </si>
  <si>
    <t>zcrm_51788000292231502, zcrm_51788000292231721</t>
  </si>
  <si>
    <t>2025-06-19 10:43:07, 2025-06-19 10:44:07</t>
  </si>
  <si>
    <t>GKDGS</t>
  </si>
  <si>
    <t>748706</t>
  </si>
  <si>
    <t>313600</t>
  </si>
  <si>
    <t>435106</t>
  </si>
  <si>
    <t>22028000033782852</t>
  </si>
  <si>
    <t>zcrm_51788000298213633</t>
  </si>
  <si>
    <t>2025-10-16 12:10:06</t>
  </si>
  <si>
    <t>Reshmi Ghosh</t>
  </si>
  <si>
    <t>reshmi.ghosh@anandniketan.org</t>
  </si>
  <si>
    <t>+919737047616</t>
  </si>
  <si>
    <t>Ms. Riddhima</t>
  </si>
  <si>
    <t>+919979863822</t>
  </si>
  <si>
    <t>Linking Rd, Sarkhej-Okaf,</t>
  </si>
  <si>
    <t>Near Novotel Hotel</t>
  </si>
  <si>
    <t>2430</t>
  </si>
  <si>
    <t>80195</t>
  </si>
  <si>
    <t>801948</t>
  </si>
  <si>
    <t>721752</t>
  </si>
  <si>
    <t>0.6781</t>
  </si>
  <si>
    <t>0.5281</t>
  </si>
  <si>
    <t>22028000028500248</t>
  </si>
  <si>
    <t>zcrm_51788000286218059</t>
  </si>
  <si>
    <t>2025-03-06 19:05:37</t>
  </si>
  <si>
    <t>vivek.nair@asiaenglishschool.org</t>
  </si>
  <si>
    <t>Campus, Opp Drive-In Cinema, Thaltej,</t>
  </si>
  <si>
    <t>228664</t>
  </si>
  <si>
    <t>44698</t>
  </si>
  <si>
    <t>457328</t>
  </si>
  <si>
    <t>402276</t>
  </si>
  <si>
    <t>10354</t>
  </si>
  <si>
    <t>0.2575</t>
  </si>
  <si>
    <t>22028000028629536</t>
  </si>
  <si>
    <t>zcrm_51788000286945728</t>
  </si>
  <si>
    <t>2025-03-20 10:38:49</t>
  </si>
  <si>
    <t>Leena Nair</t>
  </si>
  <si>
    <t>Rupa Mehta</t>
  </si>
  <si>
    <t>+919328243185</t>
  </si>
  <si>
    <t>Near Passport Office</t>
  </si>
  <si>
    <t>2025-03-10 00:00:00, 2025-10-15 00:00:00</t>
  </si>
  <si>
    <t>0, 1260</t>
  </si>
  <si>
    <t>2256</t>
  </si>
  <si>
    <t>2025-11-03 00:00:00</t>
  </si>
  <si>
    <t>2000-01-01 00:00:00, 2025-04-29 00:00:00</t>
  </si>
  <si>
    <t>0, 515749, 833495</t>
  </si>
  <si>
    <t>2000-01-01 00:00:00, 2025-08-31 00:00:00</t>
  </si>
  <si>
    <t>0, 500580, 808980</t>
  </si>
  <si>
    <t>2000-01-01 00:00:00, 2025-11-30 00:00:00</t>
  </si>
  <si>
    <t>0, 33017, 37743</t>
  </si>
  <si>
    <t>0, 1516909, 2451455</t>
  </si>
  <si>
    <t>0, 1734420, 2096624</t>
  </si>
  <si>
    <t>-250528, 0, 317088</t>
  </si>
  <si>
    <t>0.3369, 0.5564, 1</t>
  </si>
  <si>
    <t>2025-05-01 00:00:00, 2025-10-15 00:00:00</t>
  </si>
  <si>
    <t>2025-12-31 00:00:00, 2026-04-30 00:00:00</t>
  </si>
  <si>
    <t>22028000028584400, 22028000028584448, 22028000033945112</t>
  </si>
  <si>
    <t>zcrm_51788000286695019, zcrm_51788000286695185, zcrm_51788000298464001</t>
  </si>
  <si>
    <t>nisha.murali_eiindia, vineeth.v_ei</t>
  </si>
  <si>
    <t>maruf.shaikh1, mitul.patel_ei1, sourabh.mehta_eiindia</t>
  </si>
  <si>
    <t>nisha.murali@ei.study, vineeth.v@ei.study</t>
  </si>
  <si>
    <t>Nisha murali, Vineeth v</t>
  </si>
  <si>
    <t>2025-04-14 10:47:37, 2025-04-14 10:47:49, 2025-10-16 11:46:50</t>
  </si>
  <si>
    <t>Mr. Maruf Shaikh, Mr. Roshan Menezes</t>
  </si>
  <si>
    <t>administrator@carmelhighschool.org, maruf.shaikh@ei.study</t>
  </si>
  <si>
    <t>+919016039311, +919844010597</t>
  </si>
  <si>
    <t>Mr. Maruf Shaikh, Mr.Roshan Menezes</t>
  </si>
  <si>
    <t>Delhi Public School, Faridabad</t>
  </si>
  <si>
    <t>22028000031366868, 2347752025</t>
  </si>
  <si>
    <t>zcrm_51788000292933016</t>
  </si>
  <si>
    <t>2025-04-01 00:00:00, 2025-07-07 15:00:00</t>
  </si>
  <si>
    <t>Ms. Sukarma Nehra</t>
  </si>
  <si>
    <t>+919873114368</t>
  </si>
  <si>
    <t>principal@dpsfsis.com</t>
  </si>
  <si>
    <t>Ms. Sangeeta Chakravarty</t>
  </si>
  <si>
    <t>+919810954607</t>
  </si>
  <si>
    <t>417750</t>
  </si>
  <si>
    <t>377325</t>
  </si>
  <si>
    <t>40425</t>
  </si>
  <si>
    <t>22028000031717576</t>
  </si>
  <si>
    <t>zcrm_51788000293077545</t>
  </si>
  <si>
    <t>2025-07-28 17:39:10</t>
  </si>
  <si>
    <t>Priyanka Bhattacharya</t>
  </si>
  <si>
    <t>vp@mayocollege.com</t>
  </si>
  <si>
    <t>+919897028089</t>
  </si>
  <si>
    <t>Saurav Sinha</t>
  </si>
  <si>
    <t>Delhi Public School, N T P C, Farakka</t>
  </si>
  <si>
    <t>2025-05-08 00:00:00</t>
  </si>
  <si>
    <t>901</t>
  </si>
  <si>
    <t>58536</t>
  </si>
  <si>
    <t>2025-11-04 00:00:00</t>
  </si>
  <si>
    <t>234144</t>
  </si>
  <si>
    <t>175608</t>
  </si>
  <si>
    <t>0.5668</t>
  </si>
  <si>
    <t>Nabarun</t>
  </si>
  <si>
    <t>22028000029936344</t>
  </si>
  <si>
    <t>51788000002773425</t>
  </si>
  <si>
    <t>zcrm_51788000275405448</t>
  </si>
  <si>
    <t>rudra.mishra_ei</t>
  </si>
  <si>
    <t>rudra.mishra@ei.study</t>
  </si>
  <si>
    <t>Rudra mishra</t>
  </si>
  <si>
    <t>Rudra Mishra</t>
  </si>
  <si>
    <t>2025-05-27 11:20:41</t>
  </si>
  <si>
    <t>Mr. KK Jaiswal</t>
  </si>
  <si>
    <t>dps.fkk@gmail.com</t>
  </si>
  <si>
    <t>+919434008812</t>
  </si>
  <si>
    <t>NH-33, Dist, Farakka, West Bengal 742236</t>
  </si>
  <si>
    <t>742236</t>
  </si>
  <si>
    <t>Nabarun Post Office, Murshidabad,</t>
  </si>
  <si>
    <t>148012, 376144</t>
  </si>
  <si>
    <t>14824, 30288</t>
  </si>
  <si>
    <t>296024, 752288</t>
  </si>
  <si>
    <t>133415, 327105</t>
  </si>
  <si>
    <t>147785, 394895</t>
  </si>
  <si>
    <t>22028000030714436, 22028000030714480</t>
  </si>
  <si>
    <t>zcrm_51788000291661708, zcrm_51788000291661875</t>
  </si>
  <si>
    <t>2025-06-05 15:19:03, 2025-06-05 15:19:14</t>
  </si>
  <si>
    <t>Maruf Shaikh, Prasad S Dongaonkar</t>
  </si>
  <si>
    <t>maruf.shaikh@ei.study, principal@kleschool.com</t>
  </si>
  <si>
    <t>+919016039311, +919844236023</t>
  </si>
  <si>
    <t>Maruf Shaikh, Ms Preetham</t>
  </si>
  <si>
    <t>kleschooloffice@gmail.com, maruf.shaikh@ei.study</t>
  </si>
  <si>
    <t>Presidency School, Bangalore East</t>
  </si>
  <si>
    <t>138720</t>
  </si>
  <si>
    <t>134640</t>
  </si>
  <si>
    <t>408000</t>
  </si>
  <si>
    <t>22028000029695336</t>
  </si>
  <si>
    <t>51788000002773434</t>
  </si>
  <si>
    <t>zcrm_51788000289119100</t>
  </si>
  <si>
    <t>2025-07-10 16:34:04</t>
  </si>
  <si>
    <t>Dr. Indhira Kothenath</t>
  </si>
  <si>
    <t>presidencyeast@gmail.com</t>
  </si>
  <si>
    <t>principalpsbe@presidency.edu.in</t>
  </si>
  <si>
    <t>Ms Kalavathi M</t>
  </si>
  <si>
    <t>mkalavathi-ksn@presidency.edu.in</t>
  </si>
  <si>
    <t>+918105590816</t>
  </si>
  <si>
    <t>CA Site 7P1A, 2nd A Main,</t>
  </si>
  <si>
    <t>560043</t>
  </si>
  <si>
    <t>Kasturinagar, Bengaluru, Karnataka</t>
  </si>
  <si>
    <t>8400.24</t>
  </si>
  <si>
    <t>420012</t>
  </si>
  <si>
    <t>411612</t>
  </si>
  <si>
    <t>0.5611</t>
  </si>
  <si>
    <t>22028000028212216</t>
  </si>
  <si>
    <t>zcrm_51788000285167203</t>
  </si>
  <si>
    <t>2025-03-06 14:57:18</t>
  </si>
  <si>
    <t>Nita Arora</t>
  </si>
  <si>
    <t>Sector -18,</t>
  </si>
  <si>
    <t>1949</t>
  </si>
  <si>
    <t>364518</t>
  </si>
  <si>
    <t>2025-07-08 00:00:00</t>
  </si>
  <si>
    <t>2025-10-07 00:00:00</t>
  </si>
  <si>
    <t>121761.51</t>
  </si>
  <si>
    <t>1458072</t>
  </si>
  <si>
    <t>1315027</t>
  </si>
  <si>
    <t>21283</t>
  </si>
  <si>
    <t>0.36119999999999997</t>
  </si>
  <si>
    <t>22028000028858488</t>
  </si>
  <si>
    <t>zcrm_51788000287173451</t>
  </si>
  <si>
    <t>2025-03-29 14:36:27</t>
  </si>
  <si>
    <t>Edwin</t>
  </si>
  <si>
    <t>edwin@scis.co.in</t>
  </si>
  <si>
    <t>+919830159661</t>
  </si>
  <si>
    <t>4187</t>
  </si>
  <si>
    <t>889425, 90000</t>
  </si>
  <si>
    <t>165468, 9000</t>
  </si>
  <si>
    <t>2025-04-21 00:00:00, 2025-12-16 00:00:00</t>
  </si>
  <si>
    <t>1778850, 180000</t>
  </si>
  <si>
    <t>1626967, 81000</t>
  </si>
  <si>
    <t>-13585, 90000</t>
  </si>
  <si>
    <t>0.1765, 0.5</t>
  </si>
  <si>
    <t>22028000027865736, 22028000027866048</t>
  </si>
  <si>
    <t>zcrm_51788000283648916, zcrm_51788000283829001</t>
  </si>
  <si>
    <t>2025-02-20 11:59:30, 2025-02-20 11:59:48</t>
  </si>
  <si>
    <t>Maruf Shaikh, Mrs. S Ganguly</t>
  </si>
  <si>
    <t>jsoffice@cathedral-school.com, maruf.shaikh@ei.study</t>
  </si>
  <si>
    <t>+912222049219, +919016039311</t>
  </si>
  <si>
    <t>Maruf Shakh, Mrs. S Ganguly</t>
  </si>
  <si>
    <t>19, Mahatma Gandhi Road, next to Standard Charted bank, Azad Maidan, Fort, Mumbai, Maharashtra 400001</t>
  </si>
  <si>
    <t>2025-02-04 00:00:00, 2025-11-10 00:00:00</t>
  </si>
  <si>
    <t>0, 855</t>
  </si>
  <si>
    <t>2025-11-10 00:00:00</t>
  </si>
  <si>
    <t>2000-01-01 00:00:00, 2025-06-01 00:00:00</t>
  </si>
  <si>
    <t>0, 1057670</t>
  </si>
  <si>
    <t>0, 27277.87</t>
  </si>
  <si>
    <t>2026-01-12 00:00:00</t>
  </si>
  <si>
    <t>0, 2115340</t>
  </si>
  <si>
    <t>0, 2076150</t>
  </si>
  <si>
    <t>0, 11912</t>
  </si>
  <si>
    <t>0.5209, 1</t>
  </si>
  <si>
    <t>22028000027780264, 22028000034601120</t>
  </si>
  <si>
    <t>zcrm_51788000283138001, zcrm_51788000300077035</t>
  </si>
  <si>
    <t>jasper.jessie_ei, nisha.murali_eiindia</t>
  </si>
  <si>
    <t>hakim.kanchwala_eiindia1, maruf.shaikh1</t>
  </si>
  <si>
    <t>jasper.jessie@ei.study, nisha.murali@ei.study</t>
  </si>
  <si>
    <t>Jasper jessie, Nisha murali</t>
  </si>
  <si>
    <t>2025-03-08 12:21:41, 2025-11-24 10:15:06</t>
  </si>
  <si>
    <t>Mr. Maruf Shaikh, Mrs. Sankari Ravi</t>
  </si>
  <si>
    <t>maruf.shaikh@ei.study, sankarivme@gmail.com</t>
  </si>
  <si>
    <t>+919016039311, +919445656112</t>
  </si>
  <si>
    <t>Mr. Maruf Shaikh, Ms. Subhalakshmi</t>
  </si>
  <si>
    <t>maruf.shaikh@ei.study, vpp@vidyamandirestancia.com</t>
  </si>
  <si>
    <t>+919016039311, +919940375015</t>
  </si>
  <si>
    <t>Estancia Integrated Township</t>
  </si>
  <si>
    <t>2025-05-21 00:00:00</t>
  </si>
  <si>
    <t>792</t>
  </si>
  <si>
    <t>135935</t>
  </si>
  <si>
    <t>131937</t>
  </si>
  <si>
    <t>399809</t>
  </si>
  <si>
    <t>0.594</t>
  </si>
  <si>
    <t>22028000030284056</t>
  </si>
  <si>
    <t>zcrm_51788000290864093</t>
  </si>
  <si>
    <t>2025-07-17 12:56:24</t>
  </si>
  <si>
    <t>R S Upadhayay</t>
  </si>
  <si>
    <t>rsupadhyay@dma1.in</t>
  </si>
  <si>
    <t>+918218628136</t>
  </si>
  <si>
    <t>Dayawati Modi Academy I Modipuram</t>
  </si>
  <si>
    <t>339050</t>
  </si>
  <si>
    <t>169525</t>
  </si>
  <si>
    <t>33905</t>
  </si>
  <si>
    <t>2025-11-23 00:00:00</t>
  </si>
  <si>
    <t>678100</t>
  </si>
  <si>
    <t>305145</t>
  </si>
  <si>
    <t>22028000033583168</t>
  </si>
  <si>
    <t>zcrm_51788000297990001</t>
  </si>
  <si>
    <t>2025-11-10 14:29:29</t>
  </si>
  <si>
    <t>+919837123456</t>
  </si>
  <si>
    <t>tksaxena@bgh.balbharti.net</t>
  </si>
  <si>
    <t>rpopli@bgh.balbharti.net</t>
  </si>
  <si>
    <t>Delhi Rohtak Road</t>
  </si>
  <si>
    <t>621</t>
  </si>
  <si>
    <t>28380</t>
  </si>
  <si>
    <t>283797</t>
  </si>
  <si>
    <t>255417</t>
  </si>
  <si>
    <t>0.4825</t>
  </si>
  <si>
    <t>22028000028502032</t>
  </si>
  <si>
    <t>zcrm_51788000286317024</t>
  </si>
  <si>
    <t>2025-03-08 17:14:20</t>
  </si>
  <si>
    <t>Shewtha Singh</t>
  </si>
  <si>
    <t>shewtha.singh@vidyagyan.in</t>
  </si>
  <si>
    <t>+919634098012</t>
  </si>
  <si>
    <t>128155</t>
  </si>
  <si>
    <t>512620</t>
  </si>
  <si>
    <t>22028000028940556</t>
  </si>
  <si>
    <t>51788000002733671</t>
  </si>
  <si>
    <t>zcrm_51788000281274684</t>
  </si>
  <si>
    <t>2025-03-28 15:42:07</t>
  </si>
  <si>
    <t>Mrs. Smita Satish</t>
  </si>
  <si>
    <t>apsahmedabaad@gmail.com</t>
  </si>
  <si>
    <t>+918799592679</t>
  </si>
  <si>
    <t>apsahmedabad@gmail.com</t>
  </si>
  <si>
    <t>Sangeeta Patel</t>
  </si>
  <si>
    <t>58300</t>
  </si>
  <si>
    <t>Shahibaug Road, Cantonment Shahibaug, near Shree Camp Hanumanji Mandir, Ahmedabad, Gujarat 380004</t>
  </si>
  <si>
    <t>Near Hanuman Temple, Cantonment, Shahibaug</t>
  </si>
  <si>
    <t>770</t>
  </si>
  <si>
    <t>55436</t>
  </si>
  <si>
    <t>54327</t>
  </si>
  <si>
    <t>1109</t>
  </si>
  <si>
    <t>0.4867</t>
  </si>
  <si>
    <t>22028000030878032</t>
  </si>
  <si>
    <t>zcrm_51788000292006033</t>
  </si>
  <si>
    <t>2025-06-14 14:26:42</t>
  </si>
  <si>
    <t>Mrs. Gayathry B H</t>
  </si>
  <si>
    <t>Rajini K</t>
  </si>
  <si>
    <t>adminofficer@theeastwestschool.org</t>
  </si>
  <si>
    <t>+919008176708</t>
  </si>
  <si>
    <t>2025-05-07 00:00:00</t>
  </si>
  <si>
    <t>1252, 2505</t>
  </si>
  <si>
    <t>354690, 447796</t>
  </si>
  <si>
    <t>35469, 44780</t>
  </si>
  <si>
    <t>709380, 895592</t>
  </si>
  <si>
    <t>319221, 403016</t>
  </si>
  <si>
    <t>0.179, 0.5895</t>
  </si>
  <si>
    <t>22028000029912356, 22028000029912400</t>
  </si>
  <si>
    <t>zcrm_51788000290138561, zcrm_51788000290273001</t>
  </si>
  <si>
    <t>2025-06-18 17:01:26, 2025-06-18 17:01:39</t>
  </si>
  <si>
    <t>Premalalitha</t>
  </si>
  <si>
    <t>premalalitha@jeevanaschool.in</t>
  </si>
  <si>
    <t>+919486029184</t>
  </si>
  <si>
    <t>124497</t>
  </si>
  <si>
    <t>7408.05</t>
  </si>
  <si>
    <t>2025-12-29 00:00:00</t>
  </si>
  <si>
    <t>497988</t>
  </si>
  <si>
    <t>362989</t>
  </si>
  <si>
    <t>127591</t>
  </si>
  <si>
    <t>0.6591</t>
  </si>
  <si>
    <t>22028000029911072</t>
  </si>
  <si>
    <t>zcrm_51788000290235300</t>
  </si>
  <si>
    <t>2025-05-16 12:17:14</t>
  </si>
  <si>
    <t>Mr. Gopal Patidar</t>
  </si>
  <si>
    <t>kamlesh2214@gmail.com</t>
  </si>
  <si>
    <t>Maheshwar</t>
  </si>
  <si>
    <t>22028000031408144, 24492025</t>
  </si>
  <si>
    <t>zcrm_51788000292700783</t>
  </si>
  <si>
    <t>2025-04-01 00:00:00, 2025-07-07 15:01:56</t>
  </si>
  <si>
    <t>Mr. Ram Singh</t>
  </si>
  <si>
    <t>Ram Singh</t>
  </si>
  <si>
    <t>principal@dpsmathuraroad.org</t>
  </si>
  <si>
    <t>+919999237324</t>
  </si>
  <si>
    <t>Komal Arora</t>
  </si>
  <si>
    <t>Mathura Road,</t>
  </si>
  <si>
    <t>Shree Mumbadevi Vidya Mandir CISCE</t>
  </si>
  <si>
    <t>60594</t>
  </si>
  <si>
    <t>2412</t>
  </si>
  <si>
    <t>121188</t>
  </si>
  <si>
    <t>118176</t>
  </si>
  <si>
    <t>0.33340000000000003</t>
  </si>
  <si>
    <t>22028000031625584</t>
  </si>
  <si>
    <t>51788000002774719</t>
  </si>
  <si>
    <t>zcrm_51788000282914878</t>
  </si>
  <si>
    <t>2025-07-21 22:47:58</t>
  </si>
  <si>
    <t>Mrs. Rekha Desai</t>
  </si>
  <si>
    <t>principalicse@khareducationsociety.com</t>
  </si>
  <si>
    <t>+919324403836</t>
  </si>
  <si>
    <t>Rekha Desai</t>
  </si>
  <si>
    <t>S. V. Road, Khar (West), Mumbai, Maharashtra</t>
  </si>
  <si>
    <t>MUMK12388F</t>
  </si>
  <si>
    <t>2025-04-26 00:00:00</t>
  </si>
  <si>
    <t>62744</t>
  </si>
  <si>
    <t>12548.34</t>
  </si>
  <si>
    <t>2026-01-13 00:00:00</t>
  </si>
  <si>
    <t>125488</t>
  </si>
  <si>
    <t>112940</t>
  </si>
  <si>
    <t>22028000029587040</t>
  </si>
  <si>
    <t>zcrm_51788000289420063</t>
  </si>
  <si>
    <t>2025-05-17 15:53:41</t>
  </si>
  <si>
    <t>43580, 70250</t>
  </si>
  <si>
    <t>130739, 210749</t>
  </si>
  <si>
    <t>3486, 5485.03</t>
  </si>
  <si>
    <t>174319, 280999</t>
  </si>
  <si>
    <t>170833, 275247</t>
  </si>
  <si>
    <t>0, 267</t>
  </si>
  <si>
    <t>22028000031234168, 22028000031234212</t>
  </si>
  <si>
    <t>zcrm_51788000292478797, zcrm_51788000292478956</t>
  </si>
  <si>
    <t>2025-07-04 14:51:10, 2025-07-04 15:11:18</t>
  </si>
  <si>
    <t>Ms. Shylaja BM</t>
  </si>
  <si>
    <t>+918105926595</t>
  </si>
  <si>
    <t>2025-05-19 00:00:00</t>
  </si>
  <si>
    <t>1920</t>
  </si>
  <si>
    <t>612411</t>
  </si>
  <si>
    <t>2025-07-20 00:00:00</t>
  </si>
  <si>
    <t>2025-12-20 00:00:00</t>
  </si>
  <si>
    <t>12000</t>
  </si>
  <si>
    <t>2026-02-19 00:00:00</t>
  </si>
  <si>
    <t>2449644</t>
  </si>
  <si>
    <t>1669812</t>
  </si>
  <si>
    <t>767832</t>
  </si>
  <si>
    <t>0.47850000000000004</t>
  </si>
  <si>
    <t>22028000030185832</t>
  </si>
  <si>
    <t>zcrm_51788000290943024</t>
  </si>
  <si>
    <t>2025-06-04 12:20:55</t>
  </si>
  <si>
    <t>Mr. Rudresh Kumar P</t>
  </si>
  <si>
    <t>+919448049895</t>
  </si>
  <si>
    <t>Ms.Subarna Chatterjee</t>
  </si>
  <si>
    <t>+919147015566</t>
  </si>
  <si>
    <t>156343</t>
  </si>
  <si>
    <t>5997.42</t>
  </si>
  <si>
    <t>2026-02-04 00:00:00</t>
  </si>
  <si>
    <t>625372</t>
  </si>
  <si>
    <t>293849.4</t>
  </si>
  <si>
    <t>325525</t>
  </si>
  <si>
    <t>22028000028705108</t>
  </si>
  <si>
    <t>zcrm_51788000286845272</t>
  </si>
  <si>
    <t>2025-04-03 12:03:54</t>
  </si>
  <si>
    <t>Mr. Shantnu Sharma</t>
  </si>
  <si>
    <t>Ms. Raina Verma</t>
  </si>
  <si>
    <t>principalcambridgekullu@gmail.com</t>
  </si>
  <si>
    <t>+918219574161</t>
  </si>
  <si>
    <t>Ms. Sakshi</t>
  </si>
  <si>
    <t>sakshi@cisk.co.in</t>
  </si>
  <si>
    <t>+919816138889</t>
  </si>
  <si>
    <t>Sri Aham Aathma Vidyalaya</t>
  </si>
  <si>
    <t>3570</t>
  </si>
  <si>
    <t>162591</t>
  </si>
  <si>
    <t>2025-08-30 00:00:00</t>
  </si>
  <si>
    <t>325182</t>
  </si>
  <si>
    <t>2025-11-30 00:00:00</t>
  </si>
  <si>
    <t>812955</t>
  </si>
  <si>
    <t>650364</t>
  </si>
  <si>
    <t>0.415</t>
  </si>
  <si>
    <t>2026-04-19 00:00:00</t>
  </si>
  <si>
    <t>22028000027872128</t>
  </si>
  <si>
    <t>51788000002774906</t>
  </si>
  <si>
    <t>zcrm_51788000278991364</t>
  </si>
  <si>
    <t>ravi.tangadagi_ei</t>
  </si>
  <si>
    <t>ravi.tangadagi@ei.study</t>
  </si>
  <si>
    <t>Ravi tangadagi</t>
  </si>
  <si>
    <t>2025-03-08 10:07:14</t>
  </si>
  <si>
    <t>Mr. Chandrashekar .</t>
  </si>
  <si>
    <t>sriaav@gmail.com</t>
  </si>
  <si>
    <t>+919880200172</t>
  </si>
  <si>
    <t>98000</t>
  </si>
  <si>
    <t>Tamkur Road, Bengaluru, Karnataka</t>
  </si>
  <si>
    <t>Gruhalakashmi Layout, Nagasandra Post Peenya, Dasarahalli Tamkur Road, Bengaluru, Karnataka</t>
  </si>
  <si>
    <t>The Samhita Academy</t>
  </si>
  <si>
    <t>2025-03-26 00:00:00, 2025-11-13 00:00:00</t>
  </si>
  <si>
    <t>0, 2912</t>
  </si>
  <si>
    <t>2025-11-13 00:00:00</t>
  </si>
  <si>
    <t>2000-01-01 00:00:00, 2025-03-27 00:00:00</t>
  </si>
  <si>
    <t>0, 481042</t>
  </si>
  <si>
    <t>2000-01-01 00:00:00, 2025-06-10 00:00:00</t>
  </si>
  <si>
    <t>2000-01-01 00:00:00, 2025-12-10 00:00:00</t>
  </si>
  <si>
    <t>0, 40911</t>
  </si>
  <si>
    <t>0, 1924168</t>
  </si>
  <si>
    <t>0, 1307725</t>
  </si>
  <si>
    <t>0, 575532</t>
  </si>
  <si>
    <t>0.045599999999999995, 1</t>
  </si>
  <si>
    <t>2025-04-01 00:00:00, 2025-11-13 00:00:00</t>
  </si>
  <si>
    <t>2025-12-31 00:00:00, 2026-03-31 00:00:00</t>
  </si>
  <si>
    <t>22028000028907184, 22028000034725464</t>
  </si>
  <si>
    <t>51788000002775116</t>
  </si>
  <si>
    <t>zcrm_51788000287782173, zcrm_51788000300479001</t>
  </si>
  <si>
    <t>2025-03-28 10:30:23, 2025-11-15 12:22:06</t>
  </si>
  <si>
    <t>Mr. Maruf Shaikh, Ms. Jyothi K S</t>
  </si>
  <si>
    <t>jyothis@thesamhitaacademy.com, maruf.shaikh@ei.study</t>
  </si>
  <si>
    <t>+919016039311, +919886251121</t>
  </si>
  <si>
    <t>info@thesamhitaacademy.com</t>
  </si>
  <si>
    <t>Mr. Maruf Shaikh, Ms. Radhika B S</t>
  </si>
  <si>
    <t>maruf.shaikh@ei.study, radhikabs@thesamhitaacademy.com</t>
  </si>
  <si>
    <t>+919016039311, +919663383066</t>
  </si>
  <si>
    <t>180000</t>
  </si>
  <si>
    <t>#52, Lakshmipura Village, Off Bannerghatta Road</t>
  </si>
  <si>
    <t>BLRA07462A</t>
  </si>
  <si>
    <t>Lakshmipura Village, Bannerghatta Road</t>
  </si>
  <si>
    <t>305</t>
  </si>
  <si>
    <t>1046</t>
  </si>
  <si>
    <t>1330, 1333</t>
  </si>
  <si>
    <t>107745, 556281</t>
  </si>
  <si>
    <t>1826, 20428</t>
  </si>
  <si>
    <t>1112562, 215490</t>
  </si>
  <si>
    <t>105919, 1092133.85</t>
  </si>
  <si>
    <t>0, 107745</t>
  </si>
  <si>
    <t>0.5631, 0.7820999999999999</t>
  </si>
  <si>
    <t>22028000029874068, 22028000029874168</t>
  </si>
  <si>
    <t>zcrm_51788000290138033, zcrm_51788000290138194</t>
  </si>
  <si>
    <t>2025-05-08 16:54:25, 2025-05-08 16:56:33</t>
  </si>
  <si>
    <t>Mrs. G Deepalakshmi</t>
  </si>
  <si>
    <t>+919489067789</t>
  </si>
  <si>
    <t>Premalatha</t>
  </si>
  <si>
    <t>838</t>
  </si>
  <si>
    <t>1503</t>
  </si>
  <si>
    <t>134190</t>
  </si>
  <si>
    <t>1485493</t>
  </si>
  <si>
    <t>1348890</t>
  </si>
  <si>
    <t>2413</t>
  </si>
  <si>
    <t>0.5527000000000001</t>
  </si>
  <si>
    <t>0.40270000000000006</t>
  </si>
  <si>
    <t>22028000029823220</t>
  </si>
  <si>
    <t>zcrm_51788000289281035</t>
  </si>
  <si>
    <t>2025-05-05 11:58:41</t>
  </si>
  <si>
    <t>Ms. Jayashree Balasaria</t>
  </si>
  <si>
    <t>+919084795682</t>
  </si>
  <si>
    <t>BVM Global Bollineni Hillside Senior Secondary School</t>
  </si>
  <si>
    <t>852</t>
  </si>
  <si>
    <t>296751</t>
  </si>
  <si>
    <t>692418</t>
  </si>
  <si>
    <t>19783</t>
  </si>
  <si>
    <t>989169</t>
  </si>
  <si>
    <t>969385</t>
  </si>
  <si>
    <t>0.5266</t>
  </si>
  <si>
    <t>22028000029044696</t>
  </si>
  <si>
    <t>zcrm_51788000287930019</t>
  </si>
  <si>
    <t>2025-05-10 13:48:53</t>
  </si>
  <si>
    <t>Ms Anuradha Ramakrishnan</t>
  </si>
  <si>
    <t>principal_bollinenihillside@bvmglobal.org</t>
  </si>
  <si>
    <t>+918056015269</t>
  </si>
  <si>
    <t>Poornima</t>
  </si>
  <si>
    <t>bhs_hmacademics@bvmglobal.org</t>
  </si>
  <si>
    <t>+919940643008</t>
  </si>
  <si>
    <t>387</t>
  </si>
  <si>
    <t>362</t>
  </si>
  <si>
    <t>281034</t>
  </si>
  <si>
    <t>88142.98</t>
  </si>
  <si>
    <t>1124136</t>
  </si>
  <si>
    <t>988718</t>
  </si>
  <si>
    <t>47275</t>
  </si>
  <si>
    <t>0.7417</t>
  </si>
  <si>
    <t>0.6417</t>
  </si>
  <si>
    <t>2026-03-24 00:00:00</t>
  </si>
  <si>
    <t>22028000028702304</t>
  </si>
  <si>
    <t>zcrm_51788000286486001</t>
  </si>
  <si>
    <t>2025-03-24 18:18:45</t>
  </si>
  <si>
    <t>Priyanka Modi</t>
  </si>
  <si>
    <t>priyanka@appleglobal.in</t>
  </si>
  <si>
    <t>+919978900868</t>
  </si>
  <si>
    <t>2398</t>
  </si>
  <si>
    <t>275900</t>
  </si>
  <si>
    <t>81921</t>
  </si>
  <si>
    <t>1103600</t>
  </si>
  <si>
    <t>1045024</t>
  </si>
  <si>
    <t>-23345</t>
  </si>
  <si>
    <t>0.214</t>
  </si>
  <si>
    <t>0.16399999999999998</t>
  </si>
  <si>
    <t>22028000029030728</t>
  </si>
  <si>
    <t>zcrm_51788000287844027</t>
  </si>
  <si>
    <t>2025-04-07 18:02:59</t>
  </si>
  <si>
    <t>Mr. Aditya Chaudhary</t>
  </si>
  <si>
    <t>aditya@sunbeamschools.com</t>
  </si>
  <si>
    <t>Mrs. Archana Singh</t>
  </si>
  <si>
    <t>821 Ga</t>
  </si>
  <si>
    <t>491261</t>
  </si>
  <si>
    <t>362105</t>
  </si>
  <si>
    <t>129156</t>
  </si>
  <si>
    <t>22028000026666244</t>
  </si>
  <si>
    <t>zcrm_51788000277083167</t>
  </si>
  <si>
    <t>2025-03-27 17:10:35</t>
  </si>
  <si>
    <t>Subha Manikadan</t>
  </si>
  <si>
    <t>Subhamanikandan</t>
  </si>
  <si>
    <t>+919443774141</t>
  </si>
  <si>
    <t>10333</t>
  </si>
  <si>
    <t>2025-08-06 00:00:00</t>
  </si>
  <si>
    <t>599328</t>
  </si>
  <si>
    <t>22028000030987032</t>
  </si>
  <si>
    <t>zcrm_51788000291979427</t>
  </si>
  <si>
    <t>2025-07-28 14:28:02</t>
  </si>
  <si>
    <t>Ms. C Sreeja Nair</t>
  </si>
  <si>
    <t>sreeja.n@candorschool.com</t>
  </si>
  <si>
    <t>Mr. Ross Ferris</t>
  </si>
  <si>
    <t>+919483299999</t>
  </si>
  <si>
    <t>Abida Maam</t>
  </si>
  <si>
    <t>abida.k@candorschool.com</t>
  </si>
  <si>
    <t>+917996613477</t>
  </si>
  <si>
    <t>Begur - Koppa Rd, off Bannerghatta Main Rd, near Electronic City, Hullahalli, Bengaluru, Karnataka 560105</t>
  </si>
  <si>
    <t>842</t>
  </si>
  <si>
    <t>119958</t>
  </si>
  <si>
    <t>279902</t>
  </si>
  <si>
    <t>8047</t>
  </si>
  <si>
    <t>2025-09-23 00:00:00</t>
  </si>
  <si>
    <t>399860</t>
  </si>
  <si>
    <t>394315</t>
  </si>
  <si>
    <t>-2502</t>
  </si>
  <si>
    <t>0.5283</t>
  </si>
  <si>
    <t>22028000029163824</t>
  </si>
  <si>
    <t>zcrm_51788000288527021</t>
  </si>
  <si>
    <t>2025-05-10 13:49:32</t>
  </si>
  <si>
    <t>Ms.Sripriya Lakshminarasimhan</t>
  </si>
  <si>
    <t>principal_perungudi@bvmglobal.org</t>
  </si>
  <si>
    <t>+918056015274</t>
  </si>
  <si>
    <t>Sakuntala Devi</t>
  </si>
  <si>
    <t>sagunthaladevi.pg@bvmglobal.org</t>
  </si>
  <si>
    <t>+919840256681</t>
  </si>
  <si>
    <t>75899</t>
  </si>
  <si>
    <t>74382</t>
  </si>
  <si>
    <t>0.4889</t>
  </si>
  <si>
    <t>0.3389</t>
  </si>
  <si>
    <t>22028000033427336</t>
  </si>
  <si>
    <t>zcrm_51788000297616215</t>
  </si>
  <si>
    <t>2025-09-26 12:02:20</t>
  </si>
  <si>
    <t>Ms. Anvita Kackar</t>
  </si>
  <si>
    <t>anvita.kackar@rfs.edu.in</t>
  </si>
  <si>
    <t>navin.agrawal@rfs.edu.in</t>
  </si>
  <si>
    <t>854</t>
  </si>
  <si>
    <t>123811</t>
  </si>
  <si>
    <t>288893</t>
  </si>
  <si>
    <t>8254</t>
  </si>
  <si>
    <t>2025-12-04 00:00:00</t>
  </si>
  <si>
    <t>412704</t>
  </si>
  <si>
    <t>404453</t>
  </si>
  <si>
    <t>0.5259</t>
  </si>
  <si>
    <t>22028000029066124</t>
  </si>
  <si>
    <t>zcrm_51788000287930368</t>
  </si>
  <si>
    <t>2025-05-10 13:49:22</t>
  </si>
  <si>
    <t>Ms. SYEDA SARFRAZ S A</t>
  </si>
  <si>
    <t>+917708873733</t>
  </si>
  <si>
    <t>Nancy</t>
  </si>
  <si>
    <t>cbe.nancymary@bvmglobal.org</t>
  </si>
  <si>
    <t>+918903761538</t>
  </si>
  <si>
    <t>2025-05-10 00:00:00</t>
  </si>
  <si>
    <t>324</t>
  </si>
  <si>
    <t>222783</t>
  </si>
  <si>
    <t>2420519</t>
  </si>
  <si>
    <t>2195146</t>
  </si>
  <si>
    <t>2590</t>
  </si>
  <si>
    <t>0.7842</t>
  </si>
  <si>
    <t>22028000030006136</t>
  </si>
  <si>
    <t>zcrm_51788000290504075</t>
  </si>
  <si>
    <t>2025-05-16 14:33:28</t>
  </si>
  <si>
    <t>Nandini Mukherjee</t>
  </si>
  <si>
    <t>+917381648428</t>
  </si>
  <si>
    <t>+919776101887</t>
  </si>
  <si>
    <t>N.H.-6, Badhal, Po - Ghutur, Via - Keonjhar Bazar,</t>
  </si>
  <si>
    <t>470, 670</t>
  </si>
  <si>
    <t>0, 30146</t>
  </si>
  <si>
    <t>2025-07-17 00:00:00, 2025-10-17 00:00:00</t>
  </si>
  <si>
    <t>2025-10-17 00:00:00</t>
  </si>
  <si>
    <t>200970, 301455, 70515</t>
  </si>
  <si>
    <t>38485, 411309, 93000</t>
  </si>
  <si>
    <t>-140000, 107970, 32030</t>
  </si>
  <si>
    <t>0.5534, 0.6866</t>
  </si>
  <si>
    <t>2025-05-09 00:00:00</t>
  </si>
  <si>
    <t>22028000030004408, 22028000030004440, 22028000030004476</t>
  </si>
  <si>
    <t>zcrm_51788000290391263, zcrm_51788000290391284, zcrm_51788000290391647</t>
  </si>
  <si>
    <t>2025-06-20 16:34:37, 2025-06-20 16:35:00, 2025-06-20 16:35:16</t>
  </si>
  <si>
    <t>Ms Vijayshree Ranganathan, Ms. Vijayshree Ranganathan</t>
  </si>
  <si>
    <t>vijayashree.r@sbs-school.org</t>
  </si>
  <si>
    <t>Plot No. A-10,</t>
  </si>
  <si>
    <t>105008</t>
  </si>
  <si>
    <t>13022</t>
  </si>
  <si>
    <t>420032</t>
  </si>
  <si>
    <t>140639</t>
  </si>
  <si>
    <t>266371</t>
  </si>
  <si>
    <t>22028000028924736</t>
  </si>
  <si>
    <t>zcrm_51788000287675994</t>
  </si>
  <si>
    <t>2025-03-27 12:09:10</t>
  </si>
  <si>
    <t>Mr. Srikanth TM .</t>
  </si>
  <si>
    <t>Mr Srikanth</t>
  </si>
  <si>
    <t>Thoovaipatay Road ,</t>
  </si>
  <si>
    <t>Thoovaipatay Road , Anaikatti, Coimbatore</t>
  </si>
  <si>
    <t>Parle Tilak Vidyalaya (ICSE)</t>
  </si>
  <si>
    <t>2025-06-27 00:00:00</t>
  </si>
  <si>
    <t>131047</t>
  </si>
  <si>
    <t>131040</t>
  </si>
  <si>
    <t>7</t>
  </si>
  <si>
    <t>0.3933</t>
  </si>
  <si>
    <t>22028000031194360</t>
  </si>
  <si>
    <t>zcrm_51788000292612846</t>
  </si>
  <si>
    <t>2025-07-03 17:12:14</t>
  </si>
  <si>
    <t>La Montessori School, Kelheli</t>
  </si>
  <si>
    <t>0, 1469</t>
  </si>
  <si>
    <t>0, 124500</t>
  </si>
  <si>
    <t>0, 498000</t>
  </si>
  <si>
    <t>0, 196000</t>
  </si>
  <si>
    <t>0, 302000</t>
  </si>
  <si>
    <t>22028000029652348, 22028000035053056</t>
  </si>
  <si>
    <t>51788000002775891</t>
  </si>
  <si>
    <t>zcrm_51788000289644647</t>
  </si>
  <si>
    <t>2025-04-30 11:01:03, 2025-11-25 12:48:38</t>
  </si>
  <si>
    <t>alita.kanwar@lms.org.in</t>
  </si>
  <si>
    <t>lalita.kanwar@ei.study, lalita.kanwar@lms.org.in</t>
  </si>
  <si>
    <t>lalita.kanwar@ei.study, urvashi.pandit@lms.org.in</t>
  </si>
  <si>
    <t>Bhanoo Hospital Rd,</t>
  </si>
  <si>
    <t>175125</t>
  </si>
  <si>
    <t>Bhanoo Hospital Rd, Kalehli, Himachal Pradesh 175125</t>
  </si>
  <si>
    <t>155659</t>
  </si>
  <si>
    <t>622636</t>
  </si>
  <si>
    <t>22028000029260436</t>
  </si>
  <si>
    <t>zcrm_51788000288802001</t>
  </si>
  <si>
    <t>2025-04-12 13:56:52</t>
  </si>
  <si>
    <t>234387, 84268</t>
  </si>
  <si>
    <t>17257, 8446</t>
  </si>
  <si>
    <t>168536, 468774</t>
  </si>
  <si>
    <t>186378, 76017</t>
  </si>
  <si>
    <t>265139, 84073</t>
  </si>
  <si>
    <t>22028000030714864, 22028000030714908</t>
  </si>
  <si>
    <t>zcrm_51788000291678906, zcrm_51788000291692131</t>
  </si>
  <si>
    <t>2025-06-05 15:00:23, 2025-06-05 15:00:36</t>
  </si>
  <si>
    <t>Maruf Shaikh, Ms. Asha K Martin</t>
  </si>
  <si>
    <t>klecbsenpn@rediffmail.com, maruf.shaikh@ei.study</t>
  </si>
  <si>
    <t>+919016039311, +919880885151</t>
  </si>
  <si>
    <t>Maruf Shaikh, Mr Mahesh</t>
  </si>
  <si>
    <t>22028000036043268</t>
  </si>
  <si>
    <t>51788000002775905</t>
  </si>
  <si>
    <t>zcrm_51788000303478570</t>
  </si>
  <si>
    <t>Mitul patel</t>
  </si>
  <si>
    <t>2025-12-26 15:02:53</t>
  </si>
  <si>
    <t>Dipti Lal</t>
  </si>
  <si>
    <t>dipti.lal@ei-india.com</t>
  </si>
  <si>
    <t>+919739798001</t>
  </si>
  <si>
    <t>admisssion.noida@globalindianschool.org</t>
  </si>
  <si>
    <t>Mitul</t>
  </si>
  <si>
    <t>+919979660084</t>
  </si>
  <si>
    <t>D -5, Sec 71</t>
  </si>
  <si>
    <t>Apeejay School, Salt Lake Branch</t>
  </si>
  <si>
    <t>0, 900</t>
  </si>
  <si>
    <t>0, 572</t>
  </si>
  <si>
    <t>2025-10-15 00:00:00, 2025-12-30 00:00:00</t>
  </si>
  <si>
    <t>2000-01-01 00:00:00, 2025-10-15 00:00:00</t>
  </si>
  <si>
    <t>0, 295650</t>
  </si>
  <si>
    <t>2025-11-26 00:00:00</t>
  </si>
  <si>
    <t>0, 523826, 591300</t>
  </si>
  <si>
    <t>0, 576828</t>
  </si>
  <si>
    <t>0, 14472, 523826</t>
  </si>
  <si>
    <t>0.4, 0.8125, 1</t>
  </si>
  <si>
    <t>22028000033683076, 22028000033683708, 22028000033683756</t>
  </si>
  <si>
    <t>51788000002733852</t>
  </si>
  <si>
    <t>zcrm_51788000296996497, zcrm_51788000297019344, zcrm_51788000297226795</t>
  </si>
  <si>
    <t>2025-10-08 14:36:10, 2025-10-08 14:36:25, 2025-10-08 14:38:51</t>
  </si>
  <si>
    <t>Moonmoon Ghosh</t>
  </si>
  <si>
    <t>moonmoonghosh@apeejaygroup.com</t>
  </si>
  <si>
    <t>+919831096385</t>
  </si>
  <si>
    <t>vp.saltlake@apeejayschool.com</t>
  </si>
  <si>
    <t>Saswati Dasgupta</t>
  </si>
  <si>
    <t>+919051471179</t>
  </si>
  <si>
    <t>Piyali Das</t>
  </si>
  <si>
    <t>easchoolceo@apeejaygroup.com</t>
  </si>
  <si>
    <t>+916289161381</t>
  </si>
  <si>
    <t>86300</t>
  </si>
  <si>
    <t>BG-180, Sector - II, Salt Lake</t>
  </si>
  <si>
    <t>700091</t>
  </si>
  <si>
    <t>42112</t>
  </si>
  <si>
    <t>2025-10-28 00:00:00</t>
  </si>
  <si>
    <t>421119</t>
  </si>
  <si>
    <t>379007</t>
  </si>
  <si>
    <t>22028000030653216</t>
  </si>
  <si>
    <t>zcrm_51788000291587365</t>
  </si>
  <si>
    <t>2025-07-12 13:51:59</t>
  </si>
  <si>
    <t>Ms. KP Sreevalli</t>
  </si>
  <si>
    <t>sreevalli.kp@globaledgeschool.com</t>
  </si>
  <si>
    <t>2025-08-28 00:00:00</t>
  </si>
  <si>
    <t>59058</t>
  </si>
  <si>
    <t>57321</t>
  </si>
  <si>
    <t>173700</t>
  </si>
  <si>
    <t>22028000032583124</t>
  </si>
  <si>
    <t>zcrm_51788000295629035</t>
  </si>
  <si>
    <t>2025-08-28 17:55:14</t>
  </si>
  <si>
    <t>Ms. Sheethal M</t>
  </si>
  <si>
    <t>+919900503777</t>
  </si>
  <si>
    <t>Sheethal M</t>
  </si>
  <si>
    <t>543</t>
  </si>
  <si>
    <t>974</t>
  </si>
  <si>
    <t>1978768</t>
  </si>
  <si>
    <t>375214</t>
  </si>
  <si>
    <t>3957536</t>
  </si>
  <si>
    <t>3552420</t>
  </si>
  <si>
    <t>29902</t>
  </si>
  <si>
    <t>0.7787000000000001</t>
  </si>
  <si>
    <t>0.6286999999999999</t>
  </si>
  <si>
    <t>2026-03-27 00:00:00</t>
  </si>
  <si>
    <t>22028000028236036</t>
  </si>
  <si>
    <t>zcrm_51788000285150082</t>
  </si>
  <si>
    <t>2025-02-28 17:44:50</t>
  </si>
  <si>
    <t>Arjun Tandon</t>
  </si>
  <si>
    <t>Ms. Namita Anand</t>
  </si>
  <si>
    <t>namita@stkabirschool.com</t>
  </si>
  <si>
    <t>+918200232227</t>
  </si>
  <si>
    <t>Mr. Hitesh Doshi</t>
  </si>
  <si>
    <t>hitesh@stkabirschool.com</t>
  </si>
  <si>
    <t>+919662619720</t>
  </si>
  <si>
    <t>Plot No. 80, Survey No. 94, Talsat Chapad Rd,</t>
  </si>
  <si>
    <t>128543</t>
  </si>
  <si>
    <t>124762</t>
  </si>
  <si>
    <t>5775</t>
  </si>
  <si>
    <t>2025-12-11 00:00:00</t>
  </si>
  <si>
    <t>378067</t>
  </si>
  <si>
    <t>307498</t>
  </si>
  <si>
    <t>64794</t>
  </si>
  <si>
    <t>0.6042000000000001</t>
  </si>
  <si>
    <t>22028000026815560</t>
  </si>
  <si>
    <t>2024-12-17 12:27:20</t>
  </si>
  <si>
    <t>Mount St. Mary'S School</t>
  </si>
  <si>
    <t>711</t>
  </si>
  <si>
    <t>1090</t>
  </si>
  <si>
    <t>490966</t>
  </si>
  <si>
    <t>43202</t>
  </si>
  <si>
    <t>2026-03-03 00:00:00</t>
  </si>
  <si>
    <t>1963864</t>
  </si>
  <si>
    <t>1598863</t>
  </si>
  <si>
    <t>321799</t>
  </si>
  <si>
    <t>0.5263</t>
  </si>
  <si>
    <t>0.43</t>
  </si>
  <si>
    <t>0.0481</t>
  </si>
  <si>
    <t>0.0482</t>
  </si>
  <si>
    <t>22028000028278284</t>
  </si>
  <si>
    <t>51788000002733871</t>
  </si>
  <si>
    <t>zcrm_51788000277908835</t>
  </si>
  <si>
    <t>2025-02-27 11:38:20</t>
  </si>
  <si>
    <t>Mr. Bro Tomy Varghese</t>
  </si>
  <si>
    <t>msmschool1963@gmail.com</t>
  </si>
  <si>
    <t>+911125692002</t>
  </si>
  <si>
    <t>contact@msmschool.net</t>
  </si>
  <si>
    <t>BRO. TOMY VARGHESE</t>
  </si>
  <si>
    <t>+918800532652</t>
  </si>
  <si>
    <t>Mr. Geo Mathew</t>
  </si>
  <si>
    <t>+919818451505</t>
  </si>
  <si>
    <t>66495</t>
  </si>
  <si>
    <t>Mount ST. Mary's School Delhi Cantt.</t>
  </si>
  <si>
    <t>110010</t>
  </si>
  <si>
    <t>75 Parade Road, Delhi Cantt</t>
  </si>
  <si>
    <t>DELT05756C</t>
  </si>
  <si>
    <t>Mount ST. Mary's School, 75 Parade Road,Delhi Cantt, Delhi, Delhi</t>
  </si>
  <si>
    <t>194964</t>
  </si>
  <si>
    <t>38992.39</t>
  </si>
  <si>
    <t>2026-02-28 00:00:00</t>
  </si>
  <si>
    <t>389928</t>
  </si>
  <si>
    <t>350936</t>
  </si>
  <si>
    <t>22028000030857072</t>
  </si>
  <si>
    <t>zcrm_51788000291940642</t>
  </si>
  <si>
    <t>2025-07-01 11:24:31</t>
  </si>
  <si>
    <t>Mrs. Asma Shaheda</t>
  </si>
  <si>
    <t>Asma Shaheda</t>
  </si>
  <si>
    <t>Vandana Bandari</t>
  </si>
  <si>
    <t>vandana.bandari@pearsonschoolkompally.edu.in</t>
  </si>
  <si>
    <t>+919642615866</t>
  </si>
  <si>
    <t>Survey No, 149 To 150</t>
  </si>
  <si>
    <t>118038</t>
  </si>
  <si>
    <t>275423</t>
  </si>
  <si>
    <t>11804</t>
  </si>
  <si>
    <t>393461</t>
  </si>
  <si>
    <t>363692</t>
  </si>
  <si>
    <t>17965</t>
  </si>
  <si>
    <t>22028000029235308</t>
  </si>
  <si>
    <t>zcrm_51788000288644171</t>
  </si>
  <si>
    <t>2025-04-23 11:01:18</t>
  </si>
  <si>
    <t>Mrs.Vijayalakshmi Raman</t>
  </si>
  <si>
    <t>+919962174451</t>
  </si>
  <si>
    <t>582306</t>
  </si>
  <si>
    <t>570453</t>
  </si>
  <si>
    <t>11853</t>
  </si>
  <si>
    <t>0.6164999999999999</t>
  </si>
  <si>
    <t>22028000028365076</t>
  </si>
  <si>
    <t>2025-03-27 17:05:40</t>
  </si>
  <si>
    <t>Sitha Maha Lakshmi</t>
  </si>
  <si>
    <t>+919885232302</t>
  </si>
  <si>
    <t>Chaitra Reddy</t>
  </si>
  <si>
    <t>+919701228249</t>
  </si>
  <si>
    <t>Sy.No. 26/A, Opp. C.P.R.I.</t>
  </si>
  <si>
    <t>Sy.No. 26/A, Opp. C.P.R.I., Medipally, Warangal Highway, Hyderabad</t>
  </si>
  <si>
    <t>Apeejay School- Parkstreet</t>
  </si>
  <si>
    <t>0, 237150</t>
  </si>
  <si>
    <t>0, 403670, 474300</t>
  </si>
  <si>
    <t>0, 457758</t>
  </si>
  <si>
    <t>0, 16542, 403670</t>
  </si>
  <si>
    <t>22028000033681992, 22028000033682244, 22028000033683640</t>
  </si>
  <si>
    <t>51788000002733890</t>
  </si>
  <si>
    <t>zcrm_51788000296716676, zcrm_51788000297029436, zcrm_51788000297234479</t>
  </si>
  <si>
    <t>2025-10-08 13:06:19, 2025-10-08 13:59:30, 2025-10-08 14:01:00</t>
  </si>
  <si>
    <t>vp.parkstreet@apeejayschool.com</t>
  </si>
  <si>
    <t>Rima Chaudhuri</t>
  </si>
  <si>
    <t>+919831510505</t>
  </si>
  <si>
    <t>54700</t>
  </si>
  <si>
    <t>115, Mother Teresa Sarani, Mullick Bazar, Park Street Area</t>
  </si>
  <si>
    <t>115, Park St, Mullick Bazar, Park Street area,</t>
  </si>
  <si>
    <t>Banyan Tree School</t>
  </si>
  <si>
    <t>1576</t>
  </si>
  <si>
    <t>105171</t>
  </si>
  <si>
    <t>420684</t>
  </si>
  <si>
    <t>103068</t>
  </si>
  <si>
    <t>317616</t>
  </si>
  <si>
    <t>0.39399999999999996</t>
  </si>
  <si>
    <t>22028000025504064</t>
  </si>
  <si>
    <t>51788000002776875</t>
  </si>
  <si>
    <t>zcrm_51788000274212259</t>
  </si>
  <si>
    <t>2024-11-11 14:10:12</t>
  </si>
  <si>
    <t>Banyan Tree school jaipur</t>
  </si>
  <si>
    <t>ruchi.srivastava@jpr.banyantree.in</t>
  </si>
  <si>
    <t>+919140131636</t>
  </si>
  <si>
    <t>info@jpr.banyantree.in</t>
  </si>
  <si>
    <t>Ruchi Srivastava</t>
  </si>
  <si>
    <t>Sector-7, Madhyam Marg, Mansarovar</t>
  </si>
  <si>
    <t>302020</t>
  </si>
  <si>
    <t>89254</t>
  </si>
  <si>
    <t>7297</t>
  </si>
  <si>
    <t>357016</t>
  </si>
  <si>
    <t>160496</t>
  </si>
  <si>
    <t>189223</t>
  </si>
  <si>
    <t>22028000029465268</t>
  </si>
  <si>
    <t>zcrm_51788000289219148</t>
  </si>
  <si>
    <t>2025-04-23 11:12:16</t>
  </si>
  <si>
    <t>vidhyamadirary@gmail.com</t>
  </si>
  <si>
    <t>+919942986110</t>
  </si>
  <si>
    <t>vidyamandirary@gamil.com</t>
  </si>
  <si>
    <t>2025-08-08 00:00:00</t>
  </si>
  <si>
    <t>22028000030919328</t>
  </si>
  <si>
    <t>zcrm_51788000292130875</t>
  </si>
  <si>
    <t>2025-06-19 15:31:20</t>
  </si>
  <si>
    <t>Ms. Anju Soni</t>
  </si>
  <si>
    <t>anju@sns.edu.in</t>
  </si>
  <si>
    <t>+919999408061</t>
  </si>
  <si>
    <t>Deepika Joshi</t>
  </si>
  <si>
    <t>deepika.joshi@sns.edu.in</t>
  </si>
  <si>
    <t>Plot SS1,Expressway,</t>
  </si>
  <si>
    <t>2025-06-30 00:00:00, 2026-01-10 00:00:00</t>
  </si>
  <si>
    <t>321</t>
  </si>
  <si>
    <t>1527</t>
  </si>
  <si>
    <t>2025-12-15 00:00:00, 2025-12-31 00:00:00</t>
  </si>
  <si>
    <t>16386, 378397</t>
  </si>
  <si>
    <t>0.49950000000000006, 0.7857999999999999</t>
  </si>
  <si>
    <t>0.4495, 0.7857999999999999</t>
  </si>
  <si>
    <t>22028000031218488, 22028000036306192</t>
  </si>
  <si>
    <t>zcrm_51788000292631522</t>
  </si>
  <si>
    <t>2025-06-30 18:52:00, 2026-01-22 11:47:22</t>
  </si>
  <si>
    <t>580</t>
  </si>
  <si>
    <t>448595, 70998</t>
  </si>
  <si>
    <t>1046722, 165662</t>
  </si>
  <si>
    <t>129451, 23666</t>
  </si>
  <si>
    <t>2025-11-14 00:00:00, 2025-11-15 00:00:00</t>
  </si>
  <si>
    <t>1495317, 236660</t>
  </si>
  <si>
    <t>1398065, 212994</t>
  </si>
  <si>
    <t>-32199, 0</t>
  </si>
  <si>
    <t>0.22219999999999998, 0.6133</t>
  </si>
  <si>
    <t>22028000027760260, 22028000027760300</t>
  </si>
  <si>
    <t>zcrm_51788000283312069, zcrm_51788000283312244</t>
  </si>
  <si>
    <t>2025-02-27 10:37:00, 2025-02-27 10:37:13</t>
  </si>
  <si>
    <t>Ms. Rajas Sardesai Bhosale</t>
  </si>
  <si>
    <t>+919920591291</t>
  </si>
  <si>
    <t>Ms. Rajas Sardesai Bhosale, Ms.Rajas Sardesai Bhosale</t>
  </si>
  <si>
    <t>Mr. Shashank, Mr.Shashank</t>
  </si>
  <si>
    <t>shashank.gghs@gmail.com</t>
  </si>
  <si>
    <t>+919867227975</t>
  </si>
  <si>
    <t>27167.76</t>
  </si>
  <si>
    <t>271678</t>
  </si>
  <si>
    <t>244510</t>
  </si>
  <si>
    <t>0.4165</t>
  </si>
  <si>
    <t>22028000029862384</t>
  </si>
  <si>
    <t>zcrm_51788000290235001</t>
  </si>
  <si>
    <t>2025-05-06 15:36:39</t>
  </si>
  <si>
    <t>Ankit Agarwal</t>
  </si>
  <si>
    <t>ankit.agarwal@vidyagyan.in</t>
  </si>
  <si>
    <t>Vidygyan School Sitapur</t>
  </si>
  <si>
    <t>Shiv Nadar School (CBSE)</t>
  </si>
  <si>
    <t>2025-06-13 00:00:00, 2026-02-02 00:00:00</t>
  </si>
  <si>
    <t>2025-08-08 00:00:00, 2025-12-31 00:00:00</t>
  </si>
  <si>
    <t>2025-06-01 00:00:00, 2025-06-18 00:00:00</t>
  </si>
  <si>
    <t>22028000030919188, 22028000036924160</t>
  </si>
  <si>
    <t>zcrm_51788000292130318</t>
  </si>
  <si>
    <t>chaitanya.kolluri_ei, pooja.kapoor_eiindia1</t>
  </si>
  <si>
    <t>chaitanya.kolluri@ei.study, pooja.kapoor@ei.study</t>
  </si>
  <si>
    <t>Chaitanya kolluri, Pooja kapoor</t>
  </si>
  <si>
    <t>2025-06-19 15:32:06, 2026-02-03 09:33:12</t>
  </si>
  <si>
    <t>Mr Sameer Arora, Sameer Arora</t>
  </si>
  <si>
    <t>+919810840004, +919999288284</t>
  </si>
  <si>
    <t>Meenu Ohlyan, Sameer Arora</t>
  </si>
  <si>
    <t>meenu.ohlyan@sns.edu.in, sameer.arora@sns.edu.in</t>
  </si>
  <si>
    <t>DLF City, Phase -1</t>
  </si>
  <si>
    <t>2025-09-27 00:00:00</t>
  </si>
  <si>
    <t>740</t>
  </si>
  <si>
    <t>1027051</t>
  </si>
  <si>
    <t>0.5067</t>
  </si>
  <si>
    <t>22028000033482044</t>
  </si>
  <si>
    <t>zcrm_51788000297317037</t>
  </si>
  <si>
    <t>2025-10-08 16:20:05</t>
  </si>
  <si>
    <t>Dr. Radhika Srinivasan</t>
  </si>
  <si>
    <t>884</t>
  </si>
  <si>
    <t>286778, 37908</t>
  </si>
  <si>
    <t>669149, 88452</t>
  </si>
  <si>
    <t>3791, 95592.32</t>
  </si>
  <si>
    <t>2025-05-30 00:00:00, 2026-01-13 00:00:00</t>
  </si>
  <si>
    <t>126360, 955927</t>
  </si>
  <si>
    <t>34117, 860332</t>
  </si>
  <si>
    <t>3, 88452</t>
  </si>
  <si>
    <t>0.1, 0.4531</t>
  </si>
  <si>
    <t>22028000030024304, 22028000030024356</t>
  </si>
  <si>
    <t>zcrm_51788000290486001, zcrm_51788000290486162</t>
  </si>
  <si>
    <t>2025-05-26 18:16:21, 2025-05-26 18:16:50</t>
  </si>
  <si>
    <t>Vidyalakshmi S</t>
  </si>
  <si>
    <t>+914424912510</t>
  </si>
  <si>
    <t>Ranjini</t>
  </si>
  <si>
    <t>242arya@gmail.com</t>
  </si>
  <si>
    <t>+919840097067</t>
  </si>
  <si>
    <t>19323.3</t>
  </si>
  <si>
    <t>2026-03-05 00:00:00</t>
  </si>
  <si>
    <t>173908</t>
  </si>
  <si>
    <t>-12075</t>
  </si>
  <si>
    <t>22028000029472116</t>
  </si>
  <si>
    <t>zcrm_51788000289245003</t>
  </si>
  <si>
    <t>2025-06-19 15:13:12</t>
  </si>
  <si>
    <t>+91963002601</t>
  </si>
  <si>
    <t>Dr Rajesh Sharma</t>
  </si>
  <si>
    <t>56285</t>
  </si>
  <si>
    <t>131332</t>
  </si>
  <si>
    <t>3752</t>
  </si>
  <si>
    <t>187617</t>
  </si>
  <si>
    <t>183865</t>
  </si>
  <si>
    <t>0.5286</t>
  </si>
  <si>
    <t>22028000029044752</t>
  </si>
  <si>
    <t>zcrm_51788000287930546</t>
  </si>
  <si>
    <t>2025-05-10 13:49:05</t>
  </si>
  <si>
    <t>Mr V J Suresh</t>
  </si>
  <si>
    <t>principal_trichy@bvmglobal.org</t>
  </si>
  <si>
    <t>+917358383959</t>
  </si>
  <si>
    <t>U Prasannan</t>
  </si>
  <si>
    <t>trichy.prasannan@bvmglobal.org</t>
  </si>
  <si>
    <t>+918838970726</t>
  </si>
  <si>
    <t>Delhi Public School, Greater Noida</t>
  </si>
  <si>
    <t>22028000031366632, 2651622025</t>
  </si>
  <si>
    <t>zcrm_51788000292903147</t>
  </si>
  <si>
    <t>2025-04-01 00:00:00, 2025-07-07 14:58:19</t>
  </si>
  <si>
    <t>Ms. Renu Chaturvedi</t>
  </si>
  <si>
    <t>Renu Chaturvedi</t>
  </si>
  <si>
    <t>principal@dpsgrnoida.com</t>
  </si>
  <si>
    <t>Sector Gamma-II, Dist.</t>
  </si>
  <si>
    <t>760</t>
  </si>
  <si>
    <t>9349</t>
  </si>
  <si>
    <t>93486</t>
  </si>
  <si>
    <t>84132</t>
  </si>
  <si>
    <t>0.49329999999999996</t>
  </si>
  <si>
    <t>22028000031595052</t>
  </si>
  <si>
    <t>zcrm_51788000293178360</t>
  </si>
  <si>
    <t>2025-07-16 12:58:21</t>
  </si>
  <si>
    <t>Ms. Abhilasha Shaw</t>
  </si>
  <si>
    <t>principal@dpsjodhpur.in</t>
  </si>
  <si>
    <t>Preeti Kapoor</t>
  </si>
  <si>
    <t>2025-03-12 00:00:00, 2025-03-21 00:00:00, 2025-11-18 00:00:00</t>
  </si>
  <si>
    <t>2000-01-01 00:00:00, 2025-03-12 00:00:00, 2025-03-21 00:00:00</t>
  </si>
  <si>
    <t>0, 163080, 208312</t>
  </si>
  <si>
    <t>2000-01-01 00:00:00, 2025-08-12 00:00:00, 2025-10-21 00:00:00</t>
  </si>
  <si>
    <t>0, 380520, 486060</t>
  </si>
  <si>
    <t>0, 42159, 54360</t>
  </si>
  <si>
    <t>2025-03-26 00:00:00, 2025-04-09 00:00:00</t>
  </si>
  <si>
    <t>2025-09-23 00:00:00, 2025-12-23 00:00:00</t>
  </si>
  <si>
    <t>0, 543600, 694372</t>
  </si>
  <si>
    <t>0, 489241.16, 635526</t>
  </si>
  <si>
    <t>-1, 0, 16687</t>
  </si>
  <si>
    <t>0.09449999999999999, 0.4, 1</t>
  </si>
  <si>
    <t>2025-03-19 00:00:00, 2025-03-21 00:00:00, 2025-06-01 00:00:00</t>
  </si>
  <si>
    <t>2026-03-18 00:00:00, 2026-03-20 00:00:00, 2026-03-31 00:00:00</t>
  </si>
  <si>
    <t>22028000028646340, 22028000028821120, 22028000034845160</t>
  </si>
  <si>
    <t>zcrm_51788000280022507, zcrm_51788000286930593, zcrm_51788000287031810</t>
  </si>
  <si>
    <t>2025-03-19 11:37:12, 2025-03-28 08:33:15, 2025-11-24 10:17:01</t>
  </si>
  <si>
    <t>Damayanti Bhattacharya, Shilpa Gandhi</t>
  </si>
  <si>
    <t>+919867739491, +919920084290</t>
  </si>
  <si>
    <t>Damayanti Bhattacharya, Damyanti Bhattacharya, Shilpa Gandhi</t>
  </si>
  <si>
    <t>Shachi Manek, Shachii Manik</t>
  </si>
  <si>
    <t>shachii.manek@jmlschool.org, shachii.manik@jmlschool.org</t>
  </si>
  <si>
    <t>Dr Madhuri Shah Campus,</t>
  </si>
  <si>
    <t>The Green Acres Academy-Chembur</t>
  </si>
  <si>
    <t>2024-10-09 00:00:00</t>
  </si>
  <si>
    <t>22028000025812052</t>
  </si>
  <si>
    <t>51788000002780144</t>
  </si>
  <si>
    <t>zcrm_51788000276346274</t>
  </si>
  <si>
    <t>2024-10-30 18:09:23</t>
  </si>
  <si>
    <t>Mr. Surendranath Chidambarnath</t>
  </si>
  <si>
    <t>+919167030476</t>
  </si>
  <si>
    <t>chembur@tgaa.in</t>
  </si>
  <si>
    <t>Surendranath Chidambarnath</t>
  </si>
  <si>
    <t>surendranath.chidambaranath@acresfoundation.org</t>
  </si>
  <si>
    <t>Farhat Khan</t>
  </si>
  <si>
    <t>+919867272637</t>
  </si>
  <si>
    <t>11000</t>
  </si>
  <si>
    <t>411-2/A, Hemu Kalani Marg, Sindhi Society,Chembur, Mumbai, Maharashtra</t>
  </si>
  <si>
    <t>400071</t>
  </si>
  <si>
    <t>473124</t>
  </si>
  <si>
    <t>2025-10-09 00:00:00</t>
  </si>
  <si>
    <t>1892496</t>
  </si>
  <si>
    <t>969027</t>
  </si>
  <si>
    <t>923469</t>
  </si>
  <si>
    <t>0.43579999999999997</t>
  </si>
  <si>
    <t>22028000029433816</t>
  </si>
  <si>
    <t>zcrm_51788000289131187</t>
  </si>
  <si>
    <t>2025-04-21 14:40:55</t>
  </si>
  <si>
    <t>Vrinda Joshi</t>
  </si>
  <si>
    <t>+917028910883</t>
  </si>
  <si>
    <t>Lisa ma'am</t>
  </si>
  <si>
    <t>viceprincipal@pratibhaintschool.org</t>
  </si>
  <si>
    <t>+919370425197</t>
  </si>
  <si>
    <t>Plot No. 3, Block D-III, Behind Mehta Hospital</t>
  </si>
  <si>
    <t>Plot No. 3, Block D-III, Behind Mehta Hospital, Off,</t>
  </si>
  <si>
    <t>1754</t>
  </si>
  <si>
    <t>280450</t>
  </si>
  <si>
    <t>23767</t>
  </si>
  <si>
    <t>560900</t>
  </si>
  <si>
    <t>256683</t>
  </si>
  <si>
    <t>0.4251</t>
  </si>
  <si>
    <t>22028000031020732</t>
  </si>
  <si>
    <t>zcrm_51788000292209340</t>
  </si>
  <si>
    <t>2025-07-10 14:41:49</t>
  </si>
  <si>
    <t>Vijayalakshmi</t>
  </si>
  <si>
    <t>2025-04-11 00:00:00, 2025-06-13 00:00:00</t>
  </si>
  <si>
    <t>1695, 267</t>
  </si>
  <si>
    <t>2025-04-12 00:00:00, 2025-06-01 00:00:00</t>
  </si>
  <si>
    <t>44052, 664086</t>
  </si>
  <si>
    <t>0, 474991</t>
  </si>
  <si>
    <t>189095, 44052</t>
  </si>
  <si>
    <t>0.44439999999999996, 0.9562999999999999</t>
  </si>
  <si>
    <t>22028000029250224, 22028000030937032</t>
  </si>
  <si>
    <t>zcrm_51788000284247080</t>
  </si>
  <si>
    <t>2025-04-12 14:00:42, 2025-06-21 12:10:11</t>
  </si>
  <si>
    <t>Drishti Oza, MR D V Mehta</t>
  </si>
  <si>
    <t>Admin, School Owner</t>
  </si>
  <si>
    <t>Geniusschoolrajkot@gmail.com</t>
  </si>
  <si>
    <t>+918780149885, +919898026664</t>
  </si>
  <si>
    <t>Dipti Vadukul, Kajal Shukla</t>
  </si>
  <si>
    <t>+916353695970, +918780149885</t>
  </si>
  <si>
    <t>Kajal Shukla</t>
  </si>
  <si>
    <t>Geniusschoolrajkot@gmail.com, kajalshukla@geniusschool.co.in</t>
  </si>
  <si>
    <t>+916353695970</t>
  </si>
  <si>
    <t>Opposite Cosmoplex Cinema, Mota Mauva,</t>
  </si>
  <si>
    <t>918</t>
  </si>
  <si>
    <t>2025-08-09 00:00:00</t>
  </si>
  <si>
    <t>180016</t>
  </si>
  <si>
    <t>176416</t>
  </si>
  <si>
    <t>3600</t>
  </si>
  <si>
    <t>0.38770000000000004</t>
  </si>
  <si>
    <t>22028000031659128</t>
  </si>
  <si>
    <t>zcrm_51788000293625003</t>
  </si>
  <si>
    <t>2025-07-21 17:10:48</t>
  </si>
  <si>
    <t>Arvind Dethe</t>
  </si>
  <si>
    <t>Mall Road,</t>
  </si>
  <si>
    <t>Vriksha Global School</t>
  </si>
  <si>
    <t>Namakkal</t>
  </si>
  <si>
    <t>22028000035016956</t>
  </si>
  <si>
    <t>51788000002781331</t>
  </si>
  <si>
    <t>zcrm_51788000300840246</t>
  </si>
  <si>
    <t>2025-11-24 12:36:24</t>
  </si>
  <si>
    <t>Mr. Harinivas .</t>
  </si>
  <si>
    <t>vrikshaschool@gmail.com</t>
  </si>
  <si>
    <t>+917373733433</t>
  </si>
  <si>
    <t>vrikshaglobal@gmail.com</t>
  </si>
  <si>
    <t>Mrs Yamini</t>
  </si>
  <si>
    <t>Kozhikaalnatham Road, Thiruchengode</t>
  </si>
  <si>
    <t>637211</t>
  </si>
  <si>
    <t>.</t>
  </si>
  <si>
    <t>855</t>
  </si>
  <si>
    <t>229132</t>
  </si>
  <si>
    <t>9165.630000000001</t>
  </si>
  <si>
    <t>458264</t>
  </si>
  <si>
    <t>449097</t>
  </si>
  <si>
    <t>0.526</t>
  </si>
  <si>
    <t>22028000029428660</t>
  </si>
  <si>
    <t>zcrm_51788000288911376</t>
  </si>
  <si>
    <t>2025-05-10 13:49:52</t>
  </si>
  <si>
    <t>Rosalind Priyadharshni</t>
  </si>
  <si>
    <t>principalbengaluru@bvmglobal.org</t>
  </si>
  <si>
    <t>+918105785885</t>
  </si>
  <si>
    <t>Sreegowri D Bhat</t>
  </si>
  <si>
    <t>blr.sreegowri@bvmglobal.org</t>
  </si>
  <si>
    <t>Anand Vidya Vihar</t>
  </si>
  <si>
    <t>106214</t>
  </si>
  <si>
    <t>212428</t>
  </si>
  <si>
    <t>22028000028258328</t>
  </si>
  <si>
    <t>51788000002728849</t>
  </si>
  <si>
    <t>zcrm_51788000283867429</t>
  </si>
  <si>
    <t>2025-03-11 17:25:01</t>
  </si>
  <si>
    <t>Mrs. Poornima Menon</t>
  </si>
  <si>
    <t>principal@anandvidyavihar.org</t>
  </si>
  <si>
    <t>+919824333402</t>
  </si>
  <si>
    <t>Anandvidyavihar@yahoo.co.in</t>
  </si>
  <si>
    <t>82800</t>
  </si>
  <si>
    <t>Anand Balwadi Premises, Hari Nagar Society, Gotri Road, Subhanpura</t>
  </si>
  <si>
    <t>390023</t>
  </si>
  <si>
    <t>Harinagar Society, Gotri road,</t>
  </si>
  <si>
    <t>2025-09-05 00:00:00, 2025-09-08 00:00:00</t>
  </si>
  <si>
    <t>1471, 600</t>
  </si>
  <si>
    <t>2025-09-12 00:00:00, 2025-09-15 00:00:00</t>
  </si>
  <si>
    <t>23911, 7050</t>
  </si>
  <si>
    <t>2025-10-10 00:00:00, 2025-10-15 00:00:00</t>
  </si>
  <si>
    <t>2025-11-10 00:00:00, 2025-11-17 00:00:00</t>
  </si>
  <si>
    <t>2025-12-10 00:00:00, 2025-12-15 00:00:00</t>
  </si>
  <si>
    <t>0, 2391.08</t>
  </si>
  <si>
    <t>28200, 95644</t>
  </si>
  <si>
    <t>0, 77115</t>
  </si>
  <si>
    <t>16138, 28200</t>
  </si>
  <si>
    <t>0.3321, 0.5</t>
  </si>
  <si>
    <t>22028000032833088, 22028000032848428</t>
  </si>
  <si>
    <t>zcrm_51788000295998093, zcrm_51788000295998293</t>
  </si>
  <si>
    <t>2025-09-11 10:06:59, 2025-09-15 13:43:03</t>
  </si>
  <si>
    <t>Anjali Chandra, Ruchi Sharma</t>
  </si>
  <si>
    <t>anjaliuttamschool@gmail.com, ruchisharma260214@gmail.com</t>
  </si>
  <si>
    <t>+917834876792, +919873797187</t>
  </si>
  <si>
    <t>61669</t>
  </si>
  <si>
    <t>185006</t>
  </si>
  <si>
    <t>4933.87</t>
  </si>
  <si>
    <t>2026-01-07 00:00:00</t>
  </si>
  <si>
    <t>246675</t>
  </si>
  <si>
    <t>241740</t>
  </si>
  <si>
    <t>22028000029497048</t>
  </si>
  <si>
    <t>zcrm_51788000289309194</t>
  </si>
  <si>
    <t>2025-04-24 17:45:27</t>
  </si>
  <si>
    <t>Samir Jale</t>
  </si>
  <si>
    <t>dpcoordinator.sj@jnis.ac.in</t>
  </si>
  <si>
    <t>+919967338855</t>
  </si>
  <si>
    <t>1312</t>
  </si>
  <si>
    <t>108365</t>
  </si>
  <si>
    <t>216731</t>
  </si>
  <si>
    <t>10837</t>
  </si>
  <si>
    <t>433461</t>
  </si>
  <si>
    <t>398319</t>
  </si>
  <si>
    <t>24305</t>
  </si>
  <si>
    <t>0.57</t>
  </si>
  <si>
    <t>2026-05-14 00:00:00</t>
  </si>
  <si>
    <t>22028000030098408</t>
  </si>
  <si>
    <t>zcrm_51788000288583901</t>
  </si>
  <si>
    <t>2025-05-26 15:58:14</t>
  </si>
  <si>
    <t>Mr. Atul Juneja</t>
  </si>
  <si>
    <t>admin.bhadaj@anandniketan.edu.in</t>
  </si>
  <si>
    <t>+919624000857</t>
  </si>
  <si>
    <t>Mr. Gyan Mathur</t>
  </si>
  <si>
    <t>gyanmathur1@gmail.com</t>
  </si>
  <si>
    <t>+919737043387</t>
  </si>
  <si>
    <t>Near Hare Krishna Temple,</t>
  </si>
  <si>
    <t>22028000036043340</t>
  </si>
  <si>
    <t>51788000002785399</t>
  </si>
  <si>
    <t>zcrm_51788000303478729</t>
  </si>
  <si>
    <t>2025-12-26 14:47:28</t>
  </si>
  <si>
    <t>admissions.bangalore@globalindianschool.org</t>
  </si>
  <si>
    <t>5, 6, 8 Heggondanahalli Village, Whitefield, Sarjapur Main Road, Gunjur</t>
  </si>
  <si>
    <t>Bluebells School International</t>
  </si>
  <si>
    <t>251</t>
  </si>
  <si>
    <t>108536</t>
  </si>
  <si>
    <t>10886</t>
  </si>
  <si>
    <t>217072</t>
  </si>
  <si>
    <t>97650</t>
  </si>
  <si>
    <t>0.8327</t>
  </si>
  <si>
    <t>0.7827</t>
  </si>
  <si>
    <t>22028000031586288</t>
  </si>
  <si>
    <t>51788000002728421</t>
  </si>
  <si>
    <t>zcrm_51788000260290437</t>
  </si>
  <si>
    <t>2025-07-21 21:08:13</t>
  </si>
  <si>
    <t>Mrs. Sonal Rawat</t>
  </si>
  <si>
    <t>principal@bluebellsinternational.com</t>
  </si>
  <si>
    <t>+919871103879</t>
  </si>
  <si>
    <t>contactus@bluebellsinternational.co</t>
  </si>
  <si>
    <t>Ms. Vandana Kumar</t>
  </si>
  <si>
    <t>vandana.kumar@bluebellsinternational.com</t>
  </si>
  <si>
    <t>+919811440544</t>
  </si>
  <si>
    <t>C45, Lala Lajpat Rai Road</t>
  </si>
  <si>
    <t>110048</t>
  </si>
  <si>
    <t>Opposite Lady Shriram College, Kailash Colony,</t>
  </si>
  <si>
    <t>932</t>
  </si>
  <si>
    <t>446816</t>
  </si>
  <si>
    <t>180046.27</t>
  </si>
  <si>
    <t>1787264</t>
  </si>
  <si>
    <t>1620407</t>
  </si>
  <si>
    <t>-13189</t>
  </si>
  <si>
    <t>0.6945</t>
  </si>
  <si>
    <t>22028000028927212</t>
  </si>
  <si>
    <t>zcrm_51788000287758888</t>
  </si>
  <si>
    <t>2025-03-27 15:41:33</t>
  </si>
  <si>
    <t>Ashok Yadav</t>
  </si>
  <si>
    <t>Lal Bahadur Shastri Marg, Government Quaters,</t>
  </si>
  <si>
    <t>Blossom public school</t>
  </si>
  <si>
    <t>1079</t>
  </si>
  <si>
    <t>186128</t>
  </si>
  <si>
    <t>744512</t>
  </si>
  <si>
    <t>551717</t>
  </si>
  <si>
    <t>192795</t>
  </si>
  <si>
    <t>0.585</t>
  </si>
  <si>
    <t>22028000025473076</t>
  </si>
  <si>
    <t>51788000002786375</t>
  </si>
  <si>
    <t>zcrm_51788000275558160</t>
  </si>
  <si>
    <t>2024-11-04 10:55:03</t>
  </si>
  <si>
    <t>Mr. A. Alagappan</t>
  </si>
  <si>
    <t>sakthi.wisdom@gmail.com</t>
  </si>
  <si>
    <t>+919789120477</t>
  </si>
  <si>
    <t>sakthi@blossomschool.in</t>
  </si>
  <si>
    <t>contactus@blossomschool.in</t>
  </si>
  <si>
    <t>+919843944663</t>
  </si>
  <si>
    <t>Pattukkottai Road</t>
  </si>
  <si>
    <t>614904</t>
  </si>
  <si>
    <t>2025-03-15 00:00:00, 2025-04-08 00:00:00</t>
  </si>
  <si>
    <t>1400, 604</t>
  </si>
  <si>
    <t>2025-04-15 00:00:00, 2025-04-20 00:00:00</t>
  </si>
  <si>
    <t>260400, 43788, 52511</t>
  </si>
  <si>
    <t>2025-09-15 00:00:00, 2025-09-20 00:00:00</t>
  </si>
  <si>
    <t>26040, 4379, 5251</t>
  </si>
  <si>
    <t>2025-05-02 00:00:00, 2026-02-20 00:00:00</t>
  </si>
  <si>
    <t>105022, 520800, 87576</t>
  </si>
  <si>
    <t>234360, 85408.51000000001, 87771.5</t>
  </si>
  <si>
    <t>-2212, 12000, 260400</t>
  </si>
  <si>
    <t>0.6, 0.6125, 0.6666</t>
  </si>
  <si>
    <t>22028000028705148, 22028000029183516, 22028000029183568</t>
  </si>
  <si>
    <t>zcrm_51788000286845508, zcrm_51788000288510679, zcrm_51788000288510901</t>
  </si>
  <si>
    <t>2025-04-26 13:20:33, 2025-04-30 22:20:50, 2025-04-30 22:21:06</t>
  </si>
  <si>
    <t>Ms. Vandana Kumari</t>
  </si>
  <si>
    <t>Ms. Vandana, Ms. Vandana Kumari</t>
  </si>
  <si>
    <t>Ms. Vinita</t>
  </si>
  <si>
    <t>+917986119802</t>
  </si>
  <si>
    <t>Sector 21</t>
  </si>
  <si>
    <t>2670</t>
  </si>
  <si>
    <t>2000-01-01 00:00:00, 2025-02-28 00:00:00</t>
  </si>
  <si>
    <t>0, 392982</t>
  </si>
  <si>
    <t>0, 133748.34</t>
  </si>
  <si>
    <t>2025-03-15 00:00:00, 2026-02-02 00:00:00</t>
  </si>
  <si>
    <t>1571928, 359021</t>
  </si>
  <si>
    <t>1444477, 361211</t>
  </si>
  <si>
    <t>-2190, -6297</t>
  </si>
  <si>
    <t>0.125, 0.6409</t>
  </si>
  <si>
    <t>0.075, 0.49090000000000006</t>
  </si>
  <si>
    <t>22028000027578640, 22028000027578844</t>
  </si>
  <si>
    <t>zcrm_51788000282942143, zcrm_51788000282942306</t>
  </si>
  <si>
    <t>2025-01-31 11:48:12, 2025-01-31 11:48:36</t>
  </si>
  <si>
    <t>Vaishali Purohit</t>
  </si>
  <si>
    <t>vaishali.purohit@theggis.com</t>
  </si>
  <si>
    <t>2025-01-16 00:00:00, 2025-03-21 00:00:00, 2025-03-22 00:00:00, 2025-05-27 00:00:00</t>
  </si>
  <si>
    <t>0, 825</t>
  </si>
  <si>
    <t>0, 2420</t>
  </si>
  <si>
    <t>2025-01-16 00:00:00, 2025-05-27 00:00:00</t>
  </si>
  <si>
    <t>0, 42900, 439058</t>
  </si>
  <si>
    <t>0, 36708.98, 4290</t>
  </si>
  <si>
    <t>2025-11-13 00:00:00, 2026-01-16 00:00:00</t>
  </si>
  <si>
    <t>0, 171600, 1756232</t>
  </si>
  <si>
    <t>0, 1343901, 38610</t>
  </si>
  <si>
    <t>0, 128700, 375622</t>
  </si>
  <si>
    <t>0.20679999999999998, 0.45, 1</t>
  </si>
  <si>
    <t>Offline, Online</t>
  </si>
  <si>
    <t>2024-04-01 00:00:00, 2025-04-01 00:00:00, 2025-05-01 00:00:00</t>
  </si>
  <si>
    <t>2025-03-31 00:00:00, 2026-03-31 00:00:00</t>
  </si>
  <si>
    <t>22028000027396184, 22028000028815240, 22028000028822216, 22028000030505232</t>
  </si>
  <si>
    <t>zcrm_51788000282274001, zcrm_51788000287469001, zcrm_51788000287469081, zcrm_51788000290816706</t>
  </si>
  <si>
    <t>2025-01-17 11:08:31, 2025-03-26 19:44:24, 2025-03-26 19:44:41, 2025-05-27 12:07:17</t>
  </si>
  <si>
    <t>Sanjay Bisht</t>
  </si>
  <si>
    <t>+911126892787</t>
  </si>
  <si>
    <t>+911126892787, +919810729846</t>
  </si>
  <si>
    <t>Vasant valley School</t>
  </si>
  <si>
    <t>Smart Modern School</t>
  </si>
  <si>
    <t>224978</t>
  </si>
  <si>
    <t>24998</t>
  </si>
  <si>
    <t>249976</t>
  </si>
  <si>
    <t>225000</t>
  </si>
  <si>
    <t>24976</t>
  </si>
  <si>
    <t>22028000032751108</t>
  </si>
  <si>
    <t>51788000002787649</t>
  </si>
  <si>
    <t>zcrm_51788000264038208</t>
  </si>
  <si>
    <t>2025-09-30 14:45:39</t>
  </si>
  <si>
    <t>Mr Rajendra Prasad .</t>
  </si>
  <si>
    <t>principal@smartmodernschool.com</t>
  </si>
  <si>
    <t>+919944815555</t>
  </si>
  <si>
    <t>info@smartmodernschool.com</t>
  </si>
  <si>
    <t>Mr Ragendra Prasad</t>
  </si>
  <si>
    <t>Ammapalayam,Avinasi Road,</t>
  </si>
  <si>
    <t>641652</t>
  </si>
  <si>
    <t>Ammapalayam, Avinasi Road,</t>
  </si>
  <si>
    <t>738</t>
  </si>
  <si>
    <t>1485</t>
  </si>
  <si>
    <t>2330</t>
  </si>
  <si>
    <t>148666, 160177, 86490</t>
  </si>
  <si>
    <t>0, 14500, 62576</t>
  </si>
  <si>
    <t>2025-12-05 00:00:00, 2026-03-02 00:00:00</t>
  </si>
  <si>
    <t>345960, 594664, 640708</t>
  </si>
  <si>
    <t>373050, 468000, 610410</t>
  </si>
  <si>
    <t>-32278, -41590, 126664</t>
  </si>
  <si>
    <t>0.23620000000000002, 0.49329999999999996, 0.536</t>
  </si>
  <si>
    <t>22028000028515132, 22028000028515196, 22028000028515244</t>
  </si>
  <si>
    <t>zcrm_51788000286168019, zcrm_51788000286168185, zcrm_51788000286168351</t>
  </si>
  <si>
    <t>2025-03-29 15:26:28, 2025-03-29 15:26:47, 2025-03-29 15:27:02</t>
  </si>
  <si>
    <t>Ms. Chandrakala K</t>
  </si>
  <si>
    <t>+919632122991</t>
  </si>
  <si>
    <t>Mrs.Chandrakala K</t>
  </si>
  <si>
    <t>Madhavi Pallapothu, Poojitha Kamath S, Sheela Sujith Kalmadi</t>
  </si>
  <si>
    <t>madhavi.sreedharala@kumarans.org, poojitha.kamath@kumarans.org, sheela.sujith@kumarans.org</t>
  </si>
  <si>
    <t>+916362024719, +919739577599, +919845533897</t>
  </si>
  <si>
    <t>22028000036043380</t>
  </si>
  <si>
    <t>51788000002787799</t>
  </si>
  <si>
    <t>zcrm_51788000303478988</t>
  </si>
  <si>
    <t>2025-12-26 14:50:20</t>
  </si>
  <si>
    <t>pa.ahmedabad@globalindianschool.org</t>
  </si>
  <si>
    <t>Godrej Garden City, Behind Nirma University, Off S.G Highway, Jagatpur</t>
  </si>
  <si>
    <t>202882</t>
  </si>
  <si>
    <t>2026-01-20 00:00:00</t>
  </si>
  <si>
    <t>811528</t>
  </si>
  <si>
    <t>750374</t>
  </si>
  <si>
    <t>61154</t>
  </si>
  <si>
    <t>0.7614</t>
  </si>
  <si>
    <t>22028000029383216</t>
  </si>
  <si>
    <t>zcrm_51788000288879258</t>
  </si>
  <si>
    <t>2025-05-30 10:37:26</t>
  </si>
  <si>
    <t>+917888048039</t>
  </si>
  <si>
    <t>Ms. Jyoti</t>
  </si>
  <si>
    <t>Chevella Rd, near Suncity, Sun City</t>
  </si>
  <si>
    <t>629798</t>
  </si>
  <si>
    <t>114370</t>
  </si>
  <si>
    <t>2519192</t>
  </si>
  <si>
    <t>1770041</t>
  </si>
  <si>
    <t>634781</t>
  </si>
  <si>
    <t>0.546</t>
  </si>
  <si>
    <t>2026-04-04 00:00:00</t>
  </si>
  <si>
    <t>22028000028979896</t>
  </si>
  <si>
    <t>zcrm_51788000280559224</t>
  </si>
  <si>
    <t>2025-04-03 13:14:09</t>
  </si>
  <si>
    <t>Ms Preeti Sharma</t>
  </si>
  <si>
    <t>J-1, Delta II,</t>
  </si>
  <si>
    <t>J-1, Delta 2</t>
  </si>
  <si>
    <t>Presidency School, Bangalore North</t>
  </si>
  <si>
    <t>141984</t>
  </si>
  <si>
    <t>137808</t>
  </si>
  <si>
    <t>417600</t>
  </si>
  <si>
    <t>22028000029695424</t>
  </si>
  <si>
    <t>51788000002787836</t>
  </si>
  <si>
    <t>zcrm_51788000289107055</t>
  </si>
  <si>
    <t>Roopashree Roopashree B C</t>
  </si>
  <si>
    <t>2025-07-10 16:33:19</t>
  </si>
  <si>
    <t>Dr. Angelo Michael</t>
  </si>
  <si>
    <t>principalpsbn@presidency.edu.in</t>
  </si>
  <si>
    <t>+919822722890</t>
  </si>
  <si>
    <t>Ms. Nadiya</t>
  </si>
  <si>
    <t>nadiya-psbn@presidency.edu.in</t>
  </si>
  <si>
    <t>+919986656315</t>
  </si>
  <si>
    <t>Post Box No 6455, Off Doddaballapura Road</t>
  </si>
  <si>
    <t>Yelahanka</t>
  </si>
  <si>
    <t>IIRA International School</t>
  </si>
  <si>
    <t>529750</t>
  </si>
  <si>
    <t>2026-01-30 00:00:00</t>
  </si>
  <si>
    <t>2119000</t>
  </si>
  <si>
    <t>1617394</t>
  </si>
  <si>
    <t>501606</t>
  </si>
  <si>
    <t>0.5965</t>
  </si>
  <si>
    <t>0.4965</t>
  </si>
  <si>
    <t>22028000029186944</t>
  </si>
  <si>
    <t>zcrm_51788000288454817</t>
  </si>
  <si>
    <t>2025-04-16 17:48:48</t>
  </si>
  <si>
    <t>Mrs. Beena Prashant</t>
  </si>
  <si>
    <t>Ms. Jyothi Gohil</t>
  </si>
  <si>
    <t>+918866755290</t>
  </si>
  <si>
    <t>plot 436, bhayali Canal road</t>
  </si>
  <si>
    <t>2025-03-03 00:00:00, 2025-04-30 00:00:00</t>
  </si>
  <si>
    <t>1864, 2378</t>
  </si>
  <si>
    <t>2025-04-01 00:00:00, 2025-07-10 00:00:00</t>
  </si>
  <si>
    <t>243002, 467156</t>
  </si>
  <si>
    <t>2025-07-01 00:00:00, 2025-10-10 00:00:00</t>
  </si>
  <si>
    <t>2025-10-01 00:00:00, 2025-12-31 00:00:00</t>
  </si>
  <si>
    <t>0, 73642</t>
  </si>
  <si>
    <t>1868624, 972008</t>
  </si>
  <si>
    <t>0, 662781</t>
  </si>
  <si>
    <t>1868624, 235585</t>
  </si>
  <si>
    <t>0.5324, 0.6335000000000001</t>
  </si>
  <si>
    <t>0.4824, 0.6335000000000001</t>
  </si>
  <si>
    <t>22028000028451172, 22028000029704128</t>
  </si>
  <si>
    <t>zcrm_51788000284886656, zcrm_51788000289779195</t>
  </si>
  <si>
    <t>2025-04-07 18:37:15, 2025-05-02 16:10:55</t>
  </si>
  <si>
    <t>Maruf Shaikh, Mr. M. A. Saify</t>
  </si>
  <si>
    <t>maarifsaify@yahoo.com, maruf.shaikh@ei.study</t>
  </si>
  <si>
    <t>M. Arif Saify, Mr. Arif Saify</t>
  </si>
  <si>
    <t>+917009295218, +919417458050</t>
  </si>
  <si>
    <t>+919417458050, +919569926021</t>
  </si>
  <si>
    <t>2025-06-16 00:00:00, 2025-07-16 00:00:00</t>
  </si>
  <si>
    <t>2400, 701</t>
  </si>
  <si>
    <t>2025-06-17 00:00:00, 2025-07-17 00:00:00</t>
  </si>
  <si>
    <t>369610, 65922</t>
  </si>
  <si>
    <t>2025-07-01 00:00:00, 2025-10-01 00:00:00</t>
  </si>
  <si>
    <t>184805, 65922</t>
  </si>
  <si>
    <t>2025-10-01 00:00:00, 2025-12-15 00:00:00</t>
  </si>
  <si>
    <t>0, 65922</t>
  </si>
  <si>
    <t>263688, 739220</t>
  </si>
  <si>
    <t>0, 566583</t>
  </si>
  <si>
    <t>172637, 263688</t>
  </si>
  <si>
    <t>0.2133, 0.7704000000000001</t>
  </si>
  <si>
    <t>0.16329999999999997, 0.7204</t>
  </si>
  <si>
    <t>22028000030935536, 22028000031628252</t>
  </si>
  <si>
    <t>zcrm_51788000280869936</t>
  </si>
  <si>
    <t>2025-06-17 14:02:33, 2025-08-06 10:14:15</t>
  </si>
  <si>
    <t>pratha.ghael@zeeschoolsurat.com, pratham.ghael@zeeschoolsurat.com</t>
  </si>
  <si>
    <t>+918155077300</t>
  </si>
  <si>
    <t>Mr. Hardik Antani</t>
  </si>
  <si>
    <t>principal@zeeschoolsurat.com</t>
  </si>
  <si>
    <t>+9181550077300, +918155077300</t>
  </si>
  <si>
    <t>Block No 218, Surat Dandi Road</t>
  </si>
  <si>
    <t>Narthan Patiya,</t>
  </si>
  <si>
    <t>Global City International School</t>
  </si>
  <si>
    <t>2024-11-09 00:00:00, 2024-12-26 00:00:00</t>
  </si>
  <si>
    <t>105689, 1113471</t>
  </si>
  <si>
    <t>2025-05-01 00:00:00, 2025-06-02 00:00:00</t>
  </si>
  <si>
    <t>150985, 1781554</t>
  </si>
  <si>
    <t>2025-10-01 00:00:00, 2025-11-01 00:00:00</t>
  </si>
  <si>
    <t>1253175, 1558860</t>
  </si>
  <si>
    <t>0, 89845</t>
  </si>
  <si>
    <t>2024-11-12 00:00:00, 2024-12-31 00:00:00</t>
  </si>
  <si>
    <t>2024-11-12 00:00:00, 2026-02-21 00:00:00</t>
  </si>
  <si>
    <t>1509849, 4453885</t>
  </si>
  <si>
    <t>100000, 4052984</t>
  </si>
  <si>
    <t>1409849, 311056</t>
  </si>
  <si>
    <t>0.2778, 0.33340000000000003</t>
  </si>
  <si>
    <t>0.2278, 0.2834</t>
  </si>
  <si>
    <t>22028000026098220, 22028000027048540</t>
  </si>
  <si>
    <t>51788000002788192</t>
  </si>
  <si>
    <t>zcrm_51788000276133052, zcrm_51788000280200278</t>
  </si>
  <si>
    <t>2024-11-13 12:35:07, 2025-01-02 12:28:20</t>
  </si>
  <si>
    <t>Mr. Venkata Suresh Lolla</t>
  </si>
  <si>
    <t>execprincipal@gcis.ed.in, execprincipal@gcis.edu.in</t>
  </si>
  <si>
    <t>+917204104111, +918025349188</t>
  </si>
  <si>
    <t>info@gcisb.org</t>
  </si>
  <si>
    <t>execprincipal@gcis.edu.in</t>
  </si>
  <si>
    <t>Mr. Munikumar, Mr. Venkata Suresh Lolla</t>
  </si>
  <si>
    <t>cst@gcis.edu.in, execprincipal@gcis.edu.in</t>
  </si>
  <si>
    <t>+918025349188, +918867789972</t>
  </si>
  <si>
    <t>#135, 5Th Main, 6Th Cross, Mallesh Palya, New Thipashindra Post, Near C.V. Raman Nagar, Bengaluru, Karnataka</t>
  </si>
  <si>
    <t>560075, 560093</t>
  </si>
  <si>
    <t>2025-06-14 00:00:00</t>
  </si>
  <si>
    <t>196950</t>
  </si>
  <si>
    <t>2026-01-28 00:00:00</t>
  </si>
  <si>
    <t>787800</t>
  </si>
  <si>
    <t>221000</t>
  </si>
  <si>
    <t>566800</t>
  </si>
  <si>
    <t>22028000030947176</t>
  </si>
  <si>
    <t>zcrm_51788000292035141</t>
  </si>
  <si>
    <t>2025-06-30 18:47:36</t>
  </si>
  <si>
    <t>Mount Index International school</t>
  </si>
  <si>
    <t>Index City</t>
  </si>
  <si>
    <t>Yagappa International Residential School</t>
  </si>
  <si>
    <t>1144</t>
  </si>
  <si>
    <t>53665</t>
  </si>
  <si>
    <t>160996</t>
  </si>
  <si>
    <t>214661</t>
  </si>
  <si>
    <t>0.625</t>
  </si>
  <si>
    <t>22028000028487060</t>
  </si>
  <si>
    <t>51788000002788581</t>
  </si>
  <si>
    <t>zcrm_51788000272109854</t>
  </si>
  <si>
    <t>Cruz Antony</t>
  </si>
  <si>
    <t>2025-06-02 18:24:02</t>
  </si>
  <si>
    <t>Edward Arokiaraj</t>
  </si>
  <si>
    <t>yagappaschools@gmail.com</t>
  </si>
  <si>
    <t>+919443142116</t>
  </si>
  <si>
    <t>cbseyirs@gmail.com</t>
  </si>
  <si>
    <t>Mrs Deepa</t>
  </si>
  <si>
    <t>officeatyagappa@gamil.com</t>
  </si>
  <si>
    <t>+919600777022</t>
  </si>
  <si>
    <t>Mr Sebastin</t>
  </si>
  <si>
    <t>officeatyagappa@gmail.com</t>
  </si>
  <si>
    <t>+919788304256</t>
  </si>
  <si>
    <t>Baskara Puram</t>
  </si>
  <si>
    <t>613007</t>
  </si>
  <si>
    <t>Trichy Expressway, Sengipatti,</t>
  </si>
  <si>
    <t>AVP Azhagammal Nagar</t>
  </si>
  <si>
    <t>1501</t>
  </si>
  <si>
    <t>556871</t>
  </si>
  <si>
    <t>2025-10-08 00:00:00</t>
  </si>
  <si>
    <t>11137</t>
  </si>
  <si>
    <t>2025-07-29 00:00:00</t>
  </si>
  <si>
    <t>1113742</t>
  </si>
  <si>
    <t>545734</t>
  </si>
  <si>
    <t>0.21</t>
  </si>
  <si>
    <t>22028000029345168</t>
  </si>
  <si>
    <t>zcrm_51788000284340027</t>
  </si>
  <si>
    <t>2025-06-03 15:34:52</t>
  </si>
  <si>
    <t>Samaira Tandon Mrs</t>
  </si>
  <si>
    <t>+918124418038</t>
  </si>
  <si>
    <t>Varsha</t>
  </si>
  <si>
    <t>+919176612826</t>
  </si>
  <si>
    <t>The Madras Seva Sadan Unit, Sir Mutha School</t>
  </si>
  <si>
    <t>645</t>
  </si>
  <si>
    <t>214929</t>
  </si>
  <si>
    <t>92113</t>
  </si>
  <si>
    <t>1813.67</t>
  </si>
  <si>
    <t>2026-02-09 00:00:00</t>
  </si>
  <si>
    <t>307042</t>
  </si>
  <si>
    <t>299501</t>
  </si>
  <si>
    <t>5727</t>
  </si>
  <si>
    <t>0.4708</t>
  </si>
  <si>
    <t>0.4208</t>
  </si>
  <si>
    <t>22028000028815392</t>
  </si>
  <si>
    <t>zcrm_51788000287486037</t>
  </si>
  <si>
    <t>2025-04-01 18:27:34</t>
  </si>
  <si>
    <t>+917572978478</t>
  </si>
  <si>
    <t>121275</t>
  </si>
  <si>
    <t>14900</t>
  </si>
  <si>
    <t>242550</t>
  </si>
  <si>
    <t>134096</t>
  </si>
  <si>
    <t>93554</t>
  </si>
  <si>
    <t>0.66</t>
  </si>
  <si>
    <t>22028000026749580</t>
  </si>
  <si>
    <t>zcrm_51788000258381179</t>
  </si>
  <si>
    <t>2025-02-21 16:03:20</t>
  </si>
  <si>
    <t>St. Xavier’s High School- Keonjhar</t>
  </si>
  <si>
    <t>2025-02-20 00:00:00, 2025-02-22 00:00:00, 2025-04-12 00:00:00</t>
  </si>
  <si>
    <t>0, 1320</t>
  </si>
  <si>
    <t>2025-03-29 00:00:00, 2025-04-24 00:00:00</t>
  </si>
  <si>
    <t>0, 214849</t>
  </si>
  <si>
    <t>2025-06-26 00:00:00, 2025-10-23 00:00:00</t>
  </si>
  <si>
    <t>2000-01-01 00:00:00, 2025-09-26 00:00:00</t>
  </si>
  <si>
    <t>2025-10-16 00:00:00</t>
  </si>
  <si>
    <t>0, 859396</t>
  </si>
  <si>
    <t>0, 510552</t>
  </si>
  <si>
    <t>0, 348844</t>
  </si>
  <si>
    <t>0.5558, 1</t>
  </si>
  <si>
    <t>22028000028193652, 22028000028217376, 22028000029260800</t>
  </si>
  <si>
    <t>51788000002789191</t>
  </si>
  <si>
    <t>zcrm_51788000275148952, zcrm_51788000285001466, zcrm_51788000288823130</t>
  </si>
  <si>
    <t>2025-03-13 16:23:51, 2025-03-13 16:24:53, 2025-04-14 14:14:13</t>
  </si>
  <si>
    <t>Mrs. Kiran Maam</t>
  </si>
  <si>
    <t>bharti.kiran3106@gmail.com, stxavierkjr@gmail.com</t>
  </si>
  <si>
    <t>+919348705166</t>
  </si>
  <si>
    <t>stxavierkjr@gmail.com</t>
  </si>
  <si>
    <t>Dr.Dibya Kishor Pradhan</t>
  </si>
  <si>
    <t>pradhan_1951@rediffmail.com, stxavierkjr@gmail.com</t>
  </si>
  <si>
    <t>+917847918780</t>
  </si>
  <si>
    <t>Shibadatta Das, Shibadutta Das</t>
  </si>
  <si>
    <t>silu.shiba@gmail.com</t>
  </si>
  <si>
    <t>+917978927471</t>
  </si>
  <si>
    <t>Naigaon, Dimbo</t>
  </si>
  <si>
    <t>758014</t>
  </si>
  <si>
    <t>Naigaon</t>
  </si>
  <si>
    <t>Naigaon, Dimbo, Dist : Keonjhar â 758014, Odisha, India</t>
  </si>
  <si>
    <t>303067</t>
  </si>
  <si>
    <t>22028000029485396</t>
  </si>
  <si>
    <t>zcrm_51788000289259203</t>
  </si>
  <si>
    <t>2025-04-26 11:01:41</t>
  </si>
  <si>
    <t>Near Diphu Town Committe Office,</t>
  </si>
  <si>
    <t>674</t>
  </si>
  <si>
    <t>809</t>
  </si>
  <si>
    <t>415111</t>
  </si>
  <si>
    <t>1245332</t>
  </si>
  <si>
    <t>24895</t>
  </si>
  <si>
    <t>1660443</t>
  </si>
  <si>
    <t>1627825</t>
  </si>
  <si>
    <t>7723</t>
  </si>
  <si>
    <t>0.5506</t>
  </si>
  <si>
    <t>0.4006</t>
  </si>
  <si>
    <t>22028000029207016</t>
  </si>
  <si>
    <t>zcrm_51788000288506367</t>
  </si>
  <si>
    <t>2025-04-15 12:12:59</t>
  </si>
  <si>
    <t>Manav Rachna International School - Charmwood, Faridabad</t>
  </si>
  <si>
    <t>125280</t>
  </si>
  <si>
    <t>187920</t>
  </si>
  <si>
    <t>2758</t>
  </si>
  <si>
    <t>313200</t>
  </si>
  <si>
    <t>306935</t>
  </si>
  <si>
    <t>3507</t>
  </si>
  <si>
    <t>22028000028908736</t>
  </si>
  <si>
    <t>51788000002789842</t>
  </si>
  <si>
    <t>zcrm_51788000286661012</t>
  </si>
  <si>
    <t>2025-04-07 17:56:23</t>
  </si>
  <si>
    <t>Ms. Sunitha Nambiar</t>
  </si>
  <si>
    <t>ceo@mris.edu.in</t>
  </si>
  <si>
    <t>+919910050536</t>
  </si>
  <si>
    <t>directorprincipal.mriscw@mris.edu.in</t>
  </si>
  <si>
    <t>Ms Sabreena Talwar</t>
  </si>
  <si>
    <t>+919999393856</t>
  </si>
  <si>
    <t>Ms Varsha Khajanchi</t>
  </si>
  <si>
    <t>varsha.mriscw@mris.edu.in</t>
  </si>
  <si>
    <t>+919650085432</t>
  </si>
  <si>
    <t>Eros Garden</t>
  </si>
  <si>
    <t>121009</t>
  </si>
  <si>
    <t>Eros Garden – Charmwood Village, Delhi – Surajkund Road</t>
  </si>
  <si>
    <t>Delhi Public School, Bulandshahr</t>
  </si>
  <si>
    <t>22028000031366776, 32543162025</t>
  </si>
  <si>
    <t>zcrm_51788000292927044</t>
  </si>
  <si>
    <t>2025-04-01 00:00:00, 2025-07-07 14:59:24</t>
  </si>
  <si>
    <t>Mr. B. P. Khandelwal</t>
  </si>
  <si>
    <t>+919111769173</t>
  </si>
  <si>
    <t>principaldpsbsr@gmail.com</t>
  </si>
  <si>
    <t>Ms. Bhawana Gupta</t>
  </si>
  <si>
    <t>Yamunapuram</t>
  </si>
  <si>
    <t>NH 91, Phase 2, Yamunapuram</t>
  </si>
  <si>
    <t>2025-09-05 00:00:00</t>
  </si>
  <si>
    <t>4836</t>
  </si>
  <si>
    <t>241800</t>
  </si>
  <si>
    <t>236964</t>
  </si>
  <si>
    <t>22028000032809672</t>
  </si>
  <si>
    <t>zcrm_51788000295980013</t>
  </si>
  <si>
    <t>2025-09-18 20:07:34</t>
  </si>
  <si>
    <t>Ms. Nithya S. Easwar</t>
  </si>
  <si>
    <t>nithyaeaswar@kunskapsskolan.edu.in</t>
  </si>
  <si>
    <t>+917760329999</t>
  </si>
  <si>
    <t>Ms. Inderbir Thussu</t>
  </si>
  <si>
    <t>inderbirthussu@kunskapsskolan.edu.in</t>
  </si>
  <si>
    <t>Block - A</t>
  </si>
  <si>
    <t>625</t>
  </si>
  <si>
    <t>1035, 2070</t>
  </si>
  <si>
    <t>277396, 638176, 765745</t>
  </si>
  <si>
    <t>0.5832999999999999, 0.5942000000000001, 0.6019</t>
  </si>
  <si>
    <t>2025-03-01 00:00:00, 2025-04-01 00:00:00</t>
  </si>
  <si>
    <t>22028000028972620, 22028000028972656, 22028000028972688</t>
  </si>
  <si>
    <t>zcrm_51788000288025001, zcrm_51788000288025165, zcrm_51788000288025329</t>
  </si>
  <si>
    <t>2025-04-01 16:02:12, 2025-04-01 16:02:29, 2025-04-01 16:02:42</t>
  </si>
  <si>
    <t>Dr. Karuna Prasad</t>
  </si>
  <si>
    <t>+919430313010</t>
  </si>
  <si>
    <t>The Pentecostal Assembly School</t>
  </si>
  <si>
    <t>137216</t>
  </si>
  <si>
    <t>134455</t>
  </si>
  <si>
    <t>2761</t>
  </si>
  <si>
    <t>22028000034773040</t>
  </si>
  <si>
    <t>2025-11-14 15:59:35</t>
  </si>
  <si>
    <t>Mr. Trushar Parmar</t>
  </si>
  <si>
    <t>Trushar Parmar</t>
  </si>
  <si>
    <t>Satish Patel</t>
  </si>
  <si>
    <t>satish.pps11@yahoo.com</t>
  </si>
  <si>
    <t>+919558070304</t>
  </si>
  <si>
    <t>745</t>
  </si>
  <si>
    <t>380647</t>
  </si>
  <si>
    <t>38227</t>
  </si>
  <si>
    <t>2025-05-27 00:00:00</t>
  </si>
  <si>
    <t>761294</t>
  </si>
  <si>
    <t>682913</t>
  </si>
  <si>
    <t>40154</t>
  </si>
  <si>
    <t>0.6466</t>
  </si>
  <si>
    <t>22028000030099176</t>
  </si>
  <si>
    <t>zcrm_51788000290126228</t>
  </si>
  <si>
    <t>2025-05-23 17:52:15</t>
  </si>
  <si>
    <t>Mrs. Priyanka Bhatkoti</t>
  </si>
  <si>
    <t>principal@gyanshree.in</t>
  </si>
  <si>
    <t>+919560337693</t>
  </si>
  <si>
    <t>Ms. Ritu Pandit</t>
  </si>
  <si>
    <t>rp@gyanshree.in</t>
  </si>
  <si>
    <t>+919416205254</t>
  </si>
  <si>
    <t>2025-01-03 00:00:00</t>
  </si>
  <si>
    <t>699</t>
  </si>
  <si>
    <t>1678</t>
  </si>
  <si>
    <t>2025-03-20 00:00:00, 2025-05-01 00:00:00, 2025-10-01 00:00:00</t>
  </si>
  <si>
    <t>2025-04-16 00:00:00, 2025-05-05 00:00:00, 2025-06-23 00:00:00</t>
  </si>
  <si>
    <t>2025-05-05 00:00:00, 2025-11-25 00:00:00, 2026-02-07 00:00:00</t>
  </si>
  <si>
    <t>121626, 176117, 865303</t>
  </si>
  <si>
    <t>161141, 176117.28, 716298.31</t>
  </si>
  <si>
    <t>-39515, 0, 149005</t>
  </si>
  <si>
    <t>0.534, 0.725, 0.9096</t>
  </si>
  <si>
    <t>2025-04-01 00:00:00, 2025-08-01 00:00:00</t>
  </si>
  <si>
    <t>22028000027180244, 22028000027180324, 22028000027180360</t>
  </si>
  <si>
    <t>zcrm_51788000280610001, zcrm_51788000280659087, zcrm_51788000280744001</t>
  </si>
  <si>
    <t>2025-01-08 13:59:04, 2025-01-08 14:03:24, 2025-01-08 14:05:04</t>
  </si>
  <si>
    <t>Kirk View Church Raod</t>
  </si>
  <si>
    <t>222381</t>
  </si>
  <si>
    <t>22238</t>
  </si>
  <si>
    <t>2025-11-21 00:00:00</t>
  </si>
  <si>
    <t>444762</t>
  </si>
  <si>
    <t>400288.20999999996</t>
  </si>
  <si>
    <t>22236</t>
  </si>
  <si>
    <t>0.5233</t>
  </si>
  <si>
    <t>22028000031210780</t>
  </si>
  <si>
    <t>zcrm_51788000292463101</t>
  </si>
  <si>
    <t>2025-06-30 17:52:20</t>
  </si>
  <si>
    <t>Nirmal Waddan</t>
  </si>
  <si>
    <t>Batul Lamba</t>
  </si>
  <si>
    <t>vp1@thekalyanischool.edu.in</t>
  </si>
  <si>
    <t>+919822194464</t>
  </si>
  <si>
    <t>AZ1/010, Manjari Budruk</t>
  </si>
  <si>
    <t>57311</t>
  </si>
  <si>
    <t>133727</t>
  </si>
  <si>
    <t>5641</t>
  </si>
  <si>
    <t>191038</t>
  </si>
  <si>
    <t>50770</t>
  </si>
  <si>
    <t>134627</t>
  </si>
  <si>
    <t>22028000029893600</t>
  </si>
  <si>
    <t>zcrm_51788000290122162</t>
  </si>
  <si>
    <t>2025-05-14 17:39:51</t>
  </si>
  <si>
    <t>Mrs. Rosemary Gaikwad</t>
  </si>
  <si>
    <t>principal@pggs.edu.in</t>
  </si>
  <si>
    <t>+919179626600</t>
  </si>
  <si>
    <t>677</t>
  </si>
  <si>
    <t>1326</t>
  </si>
  <si>
    <t>688588</t>
  </si>
  <si>
    <t>709454</t>
  </si>
  <si>
    <t>139189</t>
  </si>
  <si>
    <t>2086630</t>
  </si>
  <si>
    <t>1252705</t>
  </si>
  <si>
    <t>694736</t>
  </si>
  <si>
    <t>0.5653</t>
  </si>
  <si>
    <t>22028000028933180</t>
  </si>
  <si>
    <t>zcrm_51788000287340183</t>
  </si>
  <si>
    <t>2025-04-04 10:59:26</t>
  </si>
  <si>
    <t>Ms. Shanthi Menon</t>
  </si>
  <si>
    <t>791</t>
  </si>
  <si>
    <t>255201</t>
  </si>
  <si>
    <t>510402</t>
  </si>
  <si>
    <t>500192</t>
  </si>
  <si>
    <t>10210</t>
  </si>
  <si>
    <t>0.5658</t>
  </si>
  <si>
    <t>22028000029812728</t>
  </si>
  <si>
    <t>zcrm_51788000290122001</t>
  </si>
  <si>
    <t>2025-05-13 15:21:14</t>
  </si>
  <si>
    <t>Mrs. Namrata Bhowmick</t>
  </si>
  <si>
    <t>namratabhowmick@thehdfcschoolggn.com</t>
  </si>
  <si>
    <t>+917838108508</t>
  </si>
  <si>
    <t>Mrs. Anita Makkar</t>
  </si>
  <si>
    <t>principal@thehdfcschool.com</t>
  </si>
  <si>
    <t>Namrata Bhowmick</t>
  </si>
  <si>
    <t>2003, 868, 903</t>
  </si>
  <si>
    <t>1570, 1585, 3484</t>
  </si>
  <si>
    <t>2091, 2395, 6791</t>
  </si>
  <si>
    <t>241099, 249767, 297100</t>
  </si>
  <si>
    <t>0, 64739</t>
  </si>
  <si>
    <t>2025-06-28 00:00:00</t>
  </si>
  <si>
    <t>2025-11-06 00:00:00</t>
  </si>
  <si>
    <t>1188400, 964396, 999068</t>
  </si>
  <si>
    <t>291324, 407856, 466122</t>
  </si>
  <si>
    <t>591212, 657539, 673072</t>
  </si>
  <si>
    <t>0.129, 0.5432, 0.6075</t>
  </si>
  <si>
    <t>22028000029699196, 22028000029699356, 22028000029699488</t>
  </si>
  <si>
    <t>zcrm_51788000289842180, zcrm_51788000289842344, zcrm_51788000289842508</t>
  </si>
  <si>
    <t>2025-05-07 11:04:59, 2025-05-07 11:06:15, 2025-05-07 11:07:28</t>
  </si>
  <si>
    <t>Anila Panicker, Divya G</t>
  </si>
  <si>
    <t>anila@saandeepani.in, divya@saandeepani.in</t>
  </si>
  <si>
    <t>+919663047788, +919867990008</t>
  </si>
  <si>
    <t>The Tons Bridge</t>
  </si>
  <si>
    <t>729</t>
  </si>
  <si>
    <t>133232</t>
  </si>
  <si>
    <t>532928</t>
  </si>
  <si>
    <t>428135</t>
  </si>
  <si>
    <t>104793</t>
  </si>
  <si>
    <t>0.7195999999999999</t>
  </si>
  <si>
    <t>22028000028937172</t>
  </si>
  <si>
    <t>51788000002790831</t>
  </si>
  <si>
    <t>zcrm_51788000274774658</t>
  </si>
  <si>
    <t>2025-03-28 14:14:52</t>
  </si>
  <si>
    <t>Mr. Paurus Paurus</t>
  </si>
  <si>
    <t>info@thetonsbridge.com</t>
  </si>
  <si>
    <t>+919916115471</t>
  </si>
  <si>
    <t>Mr. Ajay Aggarwal</t>
  </si>
  <si>
    <t>+919760035515</t>
  </si>
  <si>
    <t>Tons confluence, Subharti Hospital Rd, Prem Nagar, Dehradun, Shahpur Santore, Uttarakhand 248001</t>
  </si>
  <si>
    <t>Tons Confluence</t>
  </si>
  <si>
    <t>Tons Confluence, Kotra Santoor Road, Dehradun</t>
  </si>
  <si>
    <t>942</t>
  </si>
  <si>
    <t>246819</t>
  </si>
  <si>
    <t>9872</t>
  </si>
  <si>
    <t>493638</t>
  </si>
  <si>
    <t>480744</t>
  </si>
  <si>
    <t>3022</t>
  </si>
  <si>
    <t>0.6637000000000001</t>
  </si>
  <si>
    <t>22028000030878432</t>
  </si>
  <si>
    <t>zcrm_51788000289788292</t>
  </si>
  <si>
    <t>2025-06-18 12:58:16</t>
  </si>
  <si>
    <t>kashmiraj@navrachana.edu.in</t>
  </si>
  <si>
    <t>+91937633930</t>
  </si>
  <si>
    <t>Ms. Anagha Ghasis</t>
  </si>
  <si>
    <t>cbse-coordinator@navrachana.ac.in</t>
  </si>
  <si>
    <t>+919913737432</t>
  </si>
  <si>
    <t>Vasna - Bhayali Main Rd, Bhayali,</t>
  </si>
  <si>
    <t>Vasna Bhayali Road</t>
  </si>
  <si>
    <t>Tula's International School</t>
  </si>
  <si>
    <t>2025-07-09 00:00:00</t>
  </si>
  <si>
    <t>190009</t>
  </si>
  <si>
    <t>186210</t>
  </si>
  <si>
    <t>22028000031092564</t>
  </si>
  <si>
    <t>51788000002790846</t>
  </si>
  <si>
    <t>zcrm_51788000277948290</t>
  </si>
  <si>
    <t>2025-06-28 09:48:50</t>
  </si>
  <si>
    <t>Mr. Raman Koushal</t>
  </si>
  <si>
    <t>info@tis.edu.in</t>
  </si>
  <si>
    <t>+919058284358</t>
  </si>
  <si>
    <t>67000</t>
  </si>
  <si>
    <t>248011</t>
  </si>
  <si>
    <t>Dhoolkot, P.O - Selaqui Chakrata Road, Dehradun 248011 Uttarakhand, India</t>
  </si>
  <si>
    <t>2025-04-29 00:00:00, 2025-10-29 00:00:00</t>
  </si>
  <si>
    <t>2000-01-01 00:00:00, 2025-05-15 00:00:00</t>
  </si>
  <si>
    <t>0, 40694</t>
  </si>
  <si>
    <t>2000-01-01 00:00:00, 2025-07-15 00:00:00</t>
  </si>
  <si>
    <t>0, 39497</t>
  </si>
  <si>
    <t>2000-01-01 00:00:00, 2025-09-15 00:00:00</t>
  </si>
  <si>
    <t>2026-02-11 00:00:00</t>
  </si>
  <si>
    <t>119688, 4400</t>
  </si>
  <si>
    <t>0, 120180.56</t>
  </si>
  <si>
    <t>-493, 4400</t>
  </si>
  <si>
    <t>22028000029657112, 22028000034282072</t>
  </si>
  <si>
    <t>zcrm_51788000289837001, zcrm_51788000299384003</t>
  </si>
  <si>
    <t>2025-05-06 19:03:31, 2025-11-03 11:54:31</t>
  </si>
  <si>
    <t>+917389949026, +919981996378</t>
  </si>
  <si>
    <t>Delhi Public School jagdalpur</t>
  </si>
  <si>
    <t>225011</t>
  </si>
  <si>
    <t>158000</t>
  </si>
  <si>
    <t>67011</t>
  </si>
  <si>
    <t>Jagdalpur</t>
  </si>
  <si>
    <t>22028000028012276</t>
  </si>
  <si>
    <t>51788000002790849</t>
  </si>
  <si>
    <t>zcrm_51788000277157694</t>
  </si>
  <si>
    <t>2025-04-14 10:41:40</t>
  </si>
  <si>
    <t>Mr. Santosh Tripathi</t>
  </si>
  <si>
    <t>principal@dpsjdp.com</t>
  </si>
  <si>
    <t>+919039396489</t>
  </si>
  <si>
    <t>info@dpsjagdalpur.in</t>
  </si>
  <si>
    <t>Mr. Santosh Kumar Tripathi</t>
  </si>
  <si>
    <t>66000</t>
  </si>
  <si>
    <t>Kalipur</t>
  </si>
  <si>
    <t>494001</t>
  </si>
  <si>
    <t>46733</t>
  </si>
  <si>
    <t>140200</t>
  </si>
  <si>
    <t>467333</t>
  </si>
  <si>
    <t>22028000025601468</t>
  </si>
  <si>
    <t>zcrm_51788000275764346</t>
  </si>
  <si>
    <t>2024-10-29 10:25:44</t>
  </si>
  <si>
    <t>Mr. Habib Khan</t>
  </si>
  <si>
    <t>principal@dpschhinwara.com</t>
  </si>
  <si>
    <t>1552</t>
  </si>
  <si>
    <t>339452</t>
  </si>
  <si>
    <t>100708.17</t>
  </si>
  <si>
    <t>1357808</t>
  </si>
  <si>
    <t>906377</t>
  </si>
  <si>
    <t>350723</t>
  </si>
  <si>
    <t>22028000029935104</t>
  </si>
  <si>
    <t>zcrm_51788000290403001</t>
  </si>
  <si>
    <t>2025-05-15 11:16:26</t>
  </si>
  <si>
    <t>Mrs Inderpal Kaur</t>
  </si>
  <si>
    <t>principal.sanskruti@gmail.com</t>
  </si>
  <si>
    <t>+919425760077</t>
  </si>
  <si>
    <t>Sanskruti An English Medium School</t>
  </si>
  <si>
    <t>Pathriya Jat</t>
  </si>
  <si>
    <t>Scholars Academy</t>
  </si>
  <si>
    <t>149199</t>
  </si>
  <si>
    <t>144811</t>
  </si>
  <si>
    <t>438821</t>
  </si>
  <si>
    <t>330052</t>
  </si>
  <si>
    <t>108769</t>
  </si>
  <si>
    <t>Shujalpur</t>
  </si>
  <si>
    <t>22028000028657360</t>
  </si>
  <si>
    <t>51788000002791081</t>
  </si>
  <si>
    <t>zcrm_51788000278925080</t>
  </si>
  <si>
    <t>2025-03-28 14:03:01</t>
  </si>
  <si>
    <t>Mrs. Geeta Deshmukh</t>
  </si>
  <si>
    <t>scholars.shujalpur@yahoo.com</t>
  </si>
  <si>
    <t>+919165076111</t>
  </si>
  <si>
    <t>scholars.sujalpur@yahoo.com</t>
  </si>
  <si>
    <t>Mr. Rahul Panikar</t>
  </si>
  <si>
    <t>scholarpublic12315@gmail.com</t>
  </si>
  <si>
    <t>+918770949036</t>
  </si>
  <si>
    <t>30250</t>
  </si>
  <si>
    <t>Jatashankar Road</t>
  </si>
  <si>
    <t>465333</t>
  </si>
  <si>
    <t>Pachma Bypass Road</t>
  </si>
  <si>
    <t>Shujalpur, Dist. Shajapur (M.P.)</t>
  </si>
  <si>
    <t>The Sobha Academy</t>
  </si>
  <si>
    <t>913</t>
  </si>
  <si>
    <t>1834</t>
  </si>
  <si>
    <t>777387</t>
  </si>
  <si>
    <t>583040</t>
  </si>
  <si>
    <t>2025-06-06 00:00:00</t>
  </si>
  <si>
    <t>1943467</t>
  </si>
  <si>
    <t>1133013</t>
  </si>
  <si>
    <t>810454</t>
  </si>
  <si>
    <t>0.47590000000000005</t>
  </si>
  <si>
    <t>Palakkad District</t>
  </si>
  <si>
    <t>Kerala</t>
  </si>
  <si>
    <t>22028000030760068</t>
  </si>
  <si>
    <t>51788000002791087</t>
  </si>
  <si>
    <t>zcrm_51788000291663576</t>
  </si>
  <si>
    <t>baskaran.p1_ei</t>
  </si>
  <si>
    <t>baskaran.p1@ei.study</t>
  </si>
  <si>
    <t>Baskaran p1</t>
  </si>
  <si>
    <t>2025-06-09 14:27:02</t>
  </si>
  <si>
    <t>Rajitha Rajeevan</t>
  </si>
  <si>
    <t>tsaprincipal@sject.in</t>
  </si>
  <si>
    <t>+919444389250</t>
  </si>
  <si>
    <t>director.education@skect.in</t>
  </si>
  <si>
    <t>tsaprincipal@skect.in</t>
  </si>
  <si>
    <t>14000</t>
  </si>
  <si>
    <t>Kuruvai Road</t>
  </si>
  <si>
    <t>678683</t>
  </si>
  <si>
    <t>Kuruvai Road,</t>
  </si>
  <si>
    <t>Panniyankara P.O. Vadakkenchery</t>
  </si>
  <si>
    <t>The Vedansh International School</t>
  </si>
  <si>
    <t>218880</t>
  </si>
  <si>
    <t>547200</t>
  </si>
  <si>
    <t>766080</t>
  </si>
  <si>
    <t>656640</t>
  </si>
  <si>
    <t>43530</t>
  </si>
  <si>
    <t>2188800</t>
  </si>
  <si>
    <t>2133013</t>
  </si>
  <si>
    <t>12257</t>
  </si>
  <si>
    <t>22028000026049712</t>
  </si>
  <si>
    <t>51788000002791295</t>
  </si>
  <si>
    <t>zcrm_51788000276311599</t>
  </si>
  <si>
    <t>2024-11-09 11:10:27</t>
  </si>
  <si>
    <t>Mrs. Rupal Jain</t>
  </si>
  <si>
    <t>jainrupal05@gmail.com</t>
  </si>
  <si>
    <t>+919522318115</t>
  </si>
  <si>
    <t>Mrs. Renu Mulay</t>
  </si>
  <si>
    <t>+918123456789</t>
  </si>
  <si>
    <t>Mrs. Udaya</t>
  </si>
  <si>
    <t>pro.vedansh@gmail.com</t>
  </si>
  <si>
    <t>Near Vidyapalace Colony, Airport Police Station, Chhota Bangarda Road</t>
  </si>
  <si>
    <t>452006</t>
  </si>
  <si>
    <t>BPLV02761D</t>
  </si>
  <si>
    <t>The Ramakrishna Vivekananad Vidya Mandir</t>
  </si>
  <si>
    <t>2025-01-15 00:00:00, 2025-03-18 00:00:00</t>
  </si>
  <si>
    <t>2025-01-31 00:00:00, 2025-03-18 00:00:00</t>
  </si>
  <si>
    <t>2025-03-18 00:00:00, 2025-04-15 00:00:00</t>
  </si>
  <si>
    <t>2025-03-18 00:00:00, 2025-08-20 00:00:00</t>
  </si>
  <si>
    <t>2000-01-01 00:00:00, 2025-03-18 00:00:00</t>
  </si>
  <si>
    <t>2025-03-17 00:00:00, 2025-03-18 00:00:00</t>
  </si>
  <si>
    <t>2025-03-18 00:00:00, 2025-05-01 00:00:00</t>
  </si>
  <si>
    <t>0, 605318</t>
  </si>
  <si>
    <t>0, 147000</t>
  </si>
  <si>
    <t>-147000, 605318</t>
  </si>
  <si>
    <t>2025-03-18 00:00:00, 2025-04-01 00:00:00</t>
  </si>
  <si>
    <t>2025-03-18 00:00:00, 2026-03-31 00:00:00</t>
  </si>
  <si>
    <t>Regular School: Active school with only revenue defined, Regular School: Active school with student count and rate per student defined</t>
  </si>
  <si>
    <t>22028000027373284, 33281932025</t>
  </si>
  <si>
    <t>51788000002791401</t>
  </si>
  <si>
    <t>zcrm_51788000282122347</t>
  </si>
  <si>
    <t>fayiez.ahmad_ei, maruf.shaikh@ei.study</t>
  </si>
  <si>
    <t>maruf.shaikh@ei.study, mitul.patel_ei1</t>
  </si>
  <si>
    <t>fayiez.ahmad@ei.study, maruf.shaikh@ei.study</t>
  </si>
  <si>
    <t>Fayiez ahmad, Maruf shaikh</t>
  </si>
  <si>
    <t>2025-03-18 00:00:00, 2025-03-18 16:08:27</t>
  </si>
  <si>
    <t>Mr. Sougata Karr</t>
  </si>
  <si>
    <t>info@therkvvm.org</t>
  </si>
  <si>
    <t>+916200411661</t>
  </si>
  <si>
    <t>dydirector@therkvvm.org</t>
  </si>
  <si>
    <t>Sougata Karr</t>
  </si>
  <si>
    <t>0, 7500</t>
  </si>
  <si>
    <t>Jasidih - Rohini Rd, Jasidih, Roydi, Jharkhand 81414</t>
  </si>
  <si>
    <t>814142</t>
  </si>
  <si>
    <t>Jasidih-Rohini Rd,Jasidih</t>
  </si>
  <si>
    <t>2025-08-13 00:00:00</t>
  </si>
  <si>
    <t>76644</t>
  </si>
  <si>
    <t>229932</t>
  </si>
  <si>
    <t>22028000032256328</t>
  </si>
  <si>
    <t>zcrm_51788000294943283</t>
  </si>
  <si>
    <t>2025-08-14 14:57:10</t>
  </si>
  <si>
    <t>Mr. Swami Divyasudhananda ji Maharaj</t>
  </si>
  <si>
    <t>Swami Divyasudhananda ji Maharaj</t>
  </si>
  <si>
    <t>Tiwari Chowk Rd, Ramakrishna Nagar, Deoghar, Jharkhand 814112</t>
  </si>
  <si>
    <t>195229, 81003</t>
  </si>
  <si>
    <t>2025-08-10 00:00:00, 2025-12-10 00:00:00</t>
  </si>
  <si>
    <t>16685, 8166</t>
  </si>
  <si>
    <t>162006, 390458</t>
  </si>
  <si>
    <t>180200, 73497</t>
  </si>
  <si>
    <t>193573, 80343</t>
  </si>
  <si>
    <t>22028000030714184, 22028000030714228</t>
  </si>
  <si>
    <t>zcrm_51788000291655581, zcrm_51788000291655748</t>
  </si>
  <si>
    <t>2025-06-05 14:48:39, 2025-06-05 14:49:25</t>
  </si>
  <si>
    <t>Maruf Shaikh, Mr. Maruf Shaikh</t>
  </si>
  <si>
    <t>Mr. Maruf Shaikh, Partha Sarathi Nanda</t>
  </si>
  <si>
    <t>kles_ank1@rediffmail.com, maruf.shaikh@ei.study</t>
  </si>
  <si>
    <t>+919016039311, +919620696402</t>
  </si>
  <si>
    <t>Ashok Sir, Mr. Maruf Shaikh</t>
  </si>
  <si>
    <t>112709, 271889</t>
  </si>
  <si>
    <t>10329, 21103</t>
  </si>
  <si>
    <t>225418, 543778</t>
  </si>
  <si>
    <t>227910, 92957</t>
  </si>
  <si>
    <t>122132, 294765</t>
  </si>
  <si>
    <t>0.7409, 0.875</t>
  </si>
  <si>
    <t>22028000030744032, 22028000030744076</t>
  </si>
  <si>
    <t>zcrm_51788000291692809, zcrm_51788000291698034</t>
  </si>
  <si>
    <t>2025-06-05 15:11:17, 2025-06-05 15:11:28</t>
  </si>
  <si>
    <t>Dr. Shubhangi More, Maruf Shaikh</t>
  </si>
  <si>
    <t>maruf.shaikh@ei.study, shubhangimore90@yahoo.co.in</t>
  </si>
  <si>
    <t>+917307252575, +919016039311</t>
  </si>
  <si>
    <t>Maruf Shaikh, Ms Kiran</t>
  </si>
  <si>
    <t>kle.dharwad@rediffmail.com, maruf.shaikh@ei.study</t>
  </si>
  <si>
    <t>121329, 292515</t>
  </si>
  <si>
    <t>12164, 24853</t>
  </si>
  <si>
    <t>242658, 585030</t>
  </si>
  <si>
    <t>109476, 268412</t>
  </si>
  <si>
    <t>121018, 291765</t>
  </si>
  <si>
    <t>22028000030714520, 22028000030714564</t>
  </si>
  <si>
    <t>zcrm_51788000291670100, zcrm_51788000291670325</t>
  </si>
  <si>
    <t>2025-06-05 15:13:29, 2025-06-05 15:15:25</t>
  </si>
  <si>
    <t>Maruf Shaikh, Mrs.Sapna.R.Lobo</t>
  </si>
  <si>
    <t>kleschoolhvr@gmail.com, maruf.shaikh@ei.study</t>
  </si>
  <si>
    <t>+919016039311, +919620815966</t>
  </si>
  <si>
    <t>Maruf Shaikh, Neelamma G Prasadimath</t>
  </si>
  <si>
    <t>220136, 91264</t>
  </si>
  <si>
    <t>17734, 8680</t>
  </si>
  <si>
    <t>182528, 440272</t>
  </si>
  <si>
    <t>191527, 78117</t>
  </si>
  <si>
    <t>231011, 95731</t>
  </si>
  <si>
    <t>22028000030714780, 22028000030714824</t>
  </si>
  <si>
    <t>zcrm_51788000291678456, zcrm_51788000291678678</t>
  </si>
  <si>
    <t>2025-06-05 15:19:54, 2025-06-05 15:20:12</t>
  </si>
  <si>
    <t>Mr. Maruf Shaik</t>
  </si>
  <si>
    <t>Maruf Shaikh, Varsha S Gaonkar</t>
  </si>
  <si>
    <t>maruf.shaikh@ei.study, varshagaonkar2009@gmail.com</t>
  </si>
  <si>
    <t>+917676536233, +919016039311</t>
  </si>
  <si>
    <t>Maruf Shaikh, Mr Abdul / Naveen Sir</t>
  </si>
  <si>
    <t>maruf.shaikh@ei.study, skleemssdt@yahoo.com</t>
  </si>
  <si>
    <t>140267</t>
  </si>
  <si>
    <t>280533</t>
  </si>
  <si>
    <t>31887</t>
  </si>
  <si>
    <t>561067</t>
  </si>
  <si>
    <t>308379</t>
  </si>
  <si>
    <t>220801</t>
  </si>
  <si>
    <t>0.5671</t>
  </si>
  <si>
    <t>22028000031116536</t>
  </si>
  <si>
    <t>zcrm_51788000292516001</t>
  </si>
  <si>
    <t>2025-06-28 09:28:47</t>
  </si>
  <si>
    <t>2025-04-22 00:00:00, 2025-07-09 00:00:00, 2025-07-22 00:00:00</t>
  </si>
  <si>
    <t>1549, 1550</t>
  </si>
  <si>
    <t>2025-07-12 00:00:00, 2025-07-30 00:00:00</t>
  </si>
  <si>
    <t>2000-01-01 00:00:00, 2025-05-01 00:00:00</t>
  </si>
  <si>
    <t>0, 16875, 31764, 3874</t>
  </si>
  <si>
    <t>0, 127056, 15496, 47683, 67500</t>
  </si>
  <si>
    <t>0, 180000, 25000, 3000</t>
  </si>
  <si>
    <t>-180000, 0, 102056, 12496, 47683, 67500</t>
  </si>
  <si>
    <t>0.4792, 0.7076, 0.7579, 0.795, 1</t>
  </si>
  <si>
    <t>0.4292, 0.6576000000000001, 0.7079000000000001, 0.745, 1</t>
  </si>
  <si>
    <t>2025-04-01 00:00:00, 2025-04-21 00:00:00, 2025-04-22 00:00:00</t>
  </si>
  <si>
    <t>22028000029501292, 22028000029501428, 22028000029501476, 22028000029501552, 22028000031427280, 22028000031706228</t>
  </si>
  <si>
    <t>zcrm_51788000289330700, zcrm_51788000289330873, zcrm_51788000289331198, zcrm_51788000289344002, zcrm_51788000293066003, zcrm_51788000293533004</t>
  </si>
  <si>
    <t>2025-04-23 18:02:10, 2025-04-23 18:02:38, 2025-04-23 18:03:15, 2025-04-23 18:03:29, 2025-07-16 12:47:22, 2025-07-23 13:53:26</t>
  </si>
  <si>
    <t>HS - 31</t>
  </si>
  <si>
    <t>1069</t>
  </si>
  <si>
    <t>79881</t>
  </si>
  <si>
    <t>77531</t>
  </si>
  <si>
    <t>2025-12-24 00:00:00</t>
  </si>
  <si>
    <t>234943</t>
  </si>
  <si>
    <t>193345</t>
  </si>
  <si>
    <t>41598</t>
  </si>
  <si>
    <t>22028000030145788</t>
  </si>
  <si>
    <t>zcrm_51788000290632001</t>
  </si>
  <si>
    <t>2025-05-19 18:46:30</t>
  </si>
  <si>
    <t>117228, 282538</t>
  </si>
  <si>
    <t>11868, 24249</t>
  </si>
  <si>
    <t>234456, 565076</t>
  </si>
  <si>
    <t>106816, 261890</t>
  </si>
  <si>
    <t>115772, 278937</t>
  </si>
  <si>
    <t>22028000030714268, 22028000030714312</t>
  </si>
  <si>
    <t>zcrm_51788000291655918, zcrm_51788000291661085</t>
  </si>
  <si>
    <t>2025-06-05 14:58:48, 2025-06-05 14:58:59</t>
  </si>
  <si>
    <t>Mr. Maruf Shaik, Mr. Maruf Shaikh</t>
  </si>
  <si>
    <t>Jagdish Hawaldar, Mr. Maruf Shaikh</t>
  </si>
  <si>
    <t>kleemsathani@rediffmail.com, maruf.shaikh@ei.study</t>
  </si>
  <si>
    <t>+917795005507, +919016039311</t>
  </si>
  <si>
    <t>Mr. Maruf Shaikh, Vilas Sir</t>
  </si>
  <si>
    <t>Takshashila International School</t>
  </si>
  <si>
    <t>120016</t>
  </si>
  <si>
    <t>2026-01-29 00:00:00</t>
  </si>
  <si>
    <t>480064</t>
  </si>
  <si>
    <t>346438</t>
  </si>
  <si>
    <t>133626</t>
  </si>
  <si>
    <t>Kosamba</t>
  </si>
  <si>
    <t>22028000028821296</t>
  </si>
  <si>
    <t>51788000002792490</t>
  </si>
  <si>
    <t>zcrm_51788000280892105</t>
  </si>
  <si>
    <t>2025-03-25 14:45:41</t>
  </si>
  <si>
    <t>Mr. Vijay sinh Chauhan</t>
  </si>
  <si>
    <t>tiskosamba@gmail.com</t>
  </si>
  <si>
    <t>+919979843649</t>
  </si>
  <si>
    <t>Mr.Vijay Sinh Chauhan</t>
  </si>
  <si>
    <t>Asha Chauhan</t>
  </si>
  <si>
    <t>+919427612047</t>
  </si>
  <si>
    <t>Kosamba Kim road, near, Kim River bridge, Kosamba, Gujarat</t>
  </si>
  <si>
    <t>394120</t>
  </si>
  <si>
    <t>Kosamba Kim Road,</t>
  </si>
  <si>
    <t>Kosamba Kim Road, Near Kim River Bridge</t>
  </si>
  <si>
    <t>107320</t>
  </si>
  <si>
    <t>214640</t>
  </si>
  <si>
    <t>188726.4</t>
  </si>
  <si>
    <t>25914</t>
  </si>
  <si>
    <t>22028000031113612</t>
  </si>
  <si>
    <t>zcrm_51788000290622020</t>
  </si>
  <si>
    <t>2025-06-30 11:34:10</t>
  </si>
  <si>
    <t>Reshma Deshpande</t>
  </si>
  <si>
    <t>+919765781118</t>
  </si>
  <si>
    <t>Gautami Pandey</t>
  </si>
  <si>
    <t>pandeygautami.kis@gmail.com</t>
  </si>
  <si>
    <t>35, Wadgaon Shinde Road, Lohegaon</t>
  </si>
  <si>
    <t>S. No. 35, Vadgaon Shinde Road</t>
  </si>
  <si>
    <t>1450</t>
  </si>
  <si>
    <t>1363609</t>
  </si>
  <si>
    <t>1323503</t>
  </si>
  <si>
    <t>357271</t>
  </si>
  <si>
    <t>2025-08-29 00:00:00</t>
  </si>
  <si>
    <t>4010615</t>
  </si>
  <si>
    <t>3638772</t>
  </si>
  <si>
    <t>14572</t>
  </si>
  <si>
    <t>0.5246</t>
  </si>
  <si>
    <t>22028000029699560</t>
  </si>
  <si>
    <t>zcrm_51788000289842001</t>
  </si>
  <si>
    <t>2025-06-10 10:33:58</t>
  </si>
  <si>
    <t>Mr.Louis Dias</t>
  </si>
  <si>
    <t>Ms.Deepali Y</t>
  </si>
  <si>
    <t>Vedaant Multipurpose School</t>
  </si>
  <si>
    <t>54458</t>
  </si>
  <si>
    <t>108916</t>
  </si>
  <si>
    <t>111367</t>
  </si>
  <si>
    <t>-2451</t>
  </si>
  <si>
    <t>Valsad</t>
  </si>
  <si>
    <t>22028000028435160</t>
  </si>
  <si>
    <t>51788000002792680</t>
  </si>
  <si>
    <t>zcrm_51788000280890287</t>
  </si>
  <si>
    <t>2025-03-06 12:51:31</t>
  </si>
  <si>
    <t>Mr. Hardik kumar Patel</t>
  </si>
  <si>
    <t>principal@vedaantschool.com</t>
  </si>
  <si>
    <t>+917284818384</t>
  </si>
  <si>
    <t>Info@vedaantschool.com</t>
  </si>
  <si>
    <t>Hardik patel</t>
  </si>
  <si>
    <t>hardik.patel@vedaantschool.com</t>
  </si>
  <si>
    <t>hirangi gandhi</t>
  </si>
  <si>
    <t>hirangi.gandhi@vedaantschool.com</t>
  </si>
  <si>
    <t>+917046510924</t>
  </si>
  <si>
    <t>Civil road</t>
  </si>
  <si>
    <t>396001</t>
  </si>
  <si>
    <t>Civil Hospital Road, Magod,Valsad</t>
  </si>
  <si>
    <t>BLM Sr. Secondary School</t>
  </si>
  <si>
    <t>1612</t>
  </si>
  <si>
    <t>48360</t>
  </si>
  <si>
    <t>193440</t>
  </si>
  <si>
    <t>144468</t>
  </si>
  <si>
    <t>48972</t>
  </si>
  <si>
    <t>0.38</t>
  </si>
  <si>
    <t>Haldwani</t>
  </si>
  <si>
    <t>22028000027815616</t>
  </si>
  <si>
    <t>51788000002792687</t>
  </si>
  <si>
    <t>zcrm_51788000276845045</t>
  </si>
  <si>
    <t>2025-02-11 11:52:15</t>
  </si>
  <si>
    <t>Mr. Saket Aggarwal</t>
  </si>
  <si>
    <t>saketagrawalestate@gmail.com</t>
  </si>
  <si>
    <t>+919837935333</t>
  </si>
  <si>
    <t>blma.principal@gmail.com</t>
  </si>
  <si>
    <t>Ms. Gayatri</t>
  </si>
  <si>
    <t>Padampur Dewaliya, Goraparow, Haldwani, Nainital, Uttarakhand-263139</t>
  </si>
  <si>
    <t>Padampur Devaliya, Mota Haldu, Nainital,</t>
  </si>
  <si>
    <t>160761, 387769</t>
  </si>
  <si>
    <t>14808, 30256</t>
  </si>
  <si>
    <t>321522, 775538</t>
  </si>
  <si>
    <t>133277, 326762</t>
  </si>
  <si>
    <t>173437, 418520</t>
  </si>
  <si>
    <t>22028000030744244, 22028000030799092</t>
  </si>
  <si>
    <t>zcrm_51788000291708001, zcrm_51788000291708226</t>
  </si>
  <si>
    <t>2025-06-05 15:09:05, 2025-06-09 10:25:42</t>
  </si>
  <si>
    <t>Maruf Shaikh, Mr. Manjunath Manvi</t>
  </si>
  <si>
    <t>klemrs123@gmail.com, maruf.shaikh@ei.study</t>
  </si>
  <si>
    <t>+919016039311, +919886186344</t>
  </si>
  <si>
    <t>Maruf Shaikh, Shilpa Pattar</t>
  </si>
  <si>
    <t>+918095602888, +919016039311</t>
  </si>
  <si>
    <t>611514</t>
  </si>
  <si>
    <t>599400</t>
  </si>
  <si>
    <t>12114</t>
  </si>
  <si>
    <t>22028000028371176</t>
  </si>
  <si>
    <t>zcrm_51788000285778001</t>
  </si>
  <si>
    <t>2025-03-05 10:34:08</t>
  </si>
  <si>
    <t>temw@rediffmail.com</t>
  </si>
  <si>
    <t>+919402832012</t>
  </si>
  <si>
    <t>G.Rio School,</t>
  </si>
  <si>
    <t>975</t>
  </si>
  <si>
    <t>12653</t>
  </si>
  <si>
    <t>25306</t>
  </si>
  <si>
    <t>0.6805</t>
  </si>
  <si>
    <t>22028000031574180</t>
  </si>
  <si>
    <t>zcrm_51788000293067862</t>
  </si>
  <si>
    <t>2025-08-30 12:46:02</t>
  </si>
  <si>
    <t>Mrs Jayashree Badrinath</t>
  </si>
  <si>
    <t>Mind Tree School, Kharar</t>
  </si>
  <si>
    <t>2025-10-11 00:00:00</t>
  </si>
  <si>
    <t>22028000033432064</t>
  </si>
  <si>
    <t>51788000002792854</t>
  </si>
  <si>
    <t>zcrm_51788000297518155</t>
  </si>
  <si>
    <t>2025-10-06 13:12:25</t>
  </si>
  <si>
    <t>Dr. Sanjay Kumar</t>
  </si>
  <si>
    <t>mindtreekharar@gmail.com</t>
  </si>
  <si>
    <t>+919888005253</t>
  </si>
  <si>
    <t>mindtreemohali@gmail.com</t>
  </si>
  <si>
    <t>Ms. Harveen Kaur</t>
  </si>
  <si>
    <t>+919417816112</t>
  </si>
  <si>
    <t>5800</t>
  </si>
  <si>
    <t>Mindtree, Kharar</t>
  </si>
  <si>
    <t>140413</t>
  </si>
  <si>
    <t>Kharar, Punjab 140413</t>
  </si>
  <si>
    <t>2025-03-17 00:00:00, 2025-06-13 00:00:00</t>
  </si>
  <si>
    <t>2025-03-21 00:00:00, 2025-08-08 00:00:00</t>
  </si>
  <si>
    <t>0, 127417</t>
  </si>
  <si>
    <t>0, 1503525</t>
  </si>
  <si>
    <t>0, 1376107</t>
  </si>
  <si>
    <t>0.2223, 1</t>
  </si>
  <si>
    <t>2025-04-02 00:00:00, 2025-06-09 00:00:00</t>
  </si>
  <si>
    <t>22028000028759428, 22028000030919052</t>
  </si>
  <si>
    <t>zcrm_51788000287178001, zcrm_51788000291749001</t>
  </si>
  <si>
    <t>2025-05-28 12:57:40, 2025-06-19 15:32:46</t>
  </si>
  <si>
    <t>Maruf Shaikh, Mrs. Vidisha Berry</t>
  </si>
  <si>
    <t>maruf.shaikh@ei.study, vidisha.berry@sns.edu.in</t>
  </si>
  <si>
    <t>+919016039311, +919650681785</t>
  </si>
  <si>
    <t>Deblina Chakraborty, Ms Deblina Chakraborty</t>
  </si>
  <si>
    <t>+919582151780, +919871661150</t>
  </si>
  <si>
    <t>Mrs. Vidisha Berry, Vaishali Khurana</t>
  </si>
  <si>
    <t>vaishali.khurana@sns.edu.in, vidisha.berry@sns.edu.in</t>
  </si>
  <si>
    <t>+919650681785, +919871661150</t>
  </si>
  <si>
    <t>Sector 82, Neharpar Faridabad, Faridabad</t>
  </si>
  <si>
    <t>Shraddha Children^s Academy</t>
  </si>
  <si>
    <t>22028000036021616</t>
  </si>
  <si>
    <t>51788000002793025</t>
  </si>
  <si>
    <t>zcrm_51788000303194470</t>
  </si>
  <si>
    <t>gayathiri.ahobalan_ei</t>
  </si>
  <si>
    <t>gayathiri.ahobalan@ei.study</t>
  </si>
  <si>
    <t>Gayathiri ahobalan</t>
  </si>
  <si>
    <t>2025-12-29 11:22:13</t>
  </si>
  <si>
    <t>Anitha Mrs</t>
  </si>
  <si>
    <t>academichead@shraddhaacademy.com</t>
  </si>
  <si>
    <t>+919677160738</t>
  </si>
  <si>
    <t># 1/10 A, ECR, Kottivakkam, Chennai, Tamil Nadu 600041</t>
  </si>
  <si>
    <t>165540</t>
  </si>
  <si>
    <t>48778</t>
  </si>
  <si>
    <t>662160</t>
  </si>
  <si>
    <t>601355</t>
  </si>
  <si>
    <t>12027</t>
  </si>
  <si>
    <t>22028000029640496</t>
  </si>
  <si>
    <t>zcrm_51788000289866001</t>
  </si>
  <si>
    <t>2025-05-02 10:26:46</t>
  </si>
  <si>
    <t>206</t>
  </si>
  <si>
    <t>527</t>
  </si>
  <si>
    <t>944</t>
  </si>
  <si>
    <t>1309</t>
  </si>
  <si>
    <t>1700764</t>
  </si>
  <si>
    <t>285879.62</t>
  </si>
  <si>
    <t>2025-12-16 00:00:00</t>
  </si>
  <si>
    <t>3401528</t>
  </si>
  <si>
    <t>2842801</t>
  </si>
  <si>
    <t>272847</t>
  </si>
  <si>
    <t>0.7854000000000001</t>
  </si>
  <si>
    <t>0.6354</t>
  </si>
  <si>
    <t>2025-05-28 00:00:00</t>
  </si>
  <si>
    <t>2026-05-27 00:00:00</t>
  </si>
  <si>
    <t>22028000028236264</t>
  </si>
  <si>
    <t>zcrm_51788000285150286</t>
  </si>
  <si>
    <t>2025-02-28 18:00:10</t>
  </si>
  <si>
    <t>+919824160623</t>
  </si>
  <si>
    <t>Ms. Manzala Attarwala</t>
  </si>
  <si>
    <t>manzala@stkabirschool.com</t>
  </si>
  <si>
    <t>+919558862160</t>
  </si>
  <si>
    <t>opp. Raneshwar Temple, Mudra Society, Saiyed Vasna</t>
  </si>
  <si>
    <t>AMNS International School</t>
  </si>
  <si>
    <t>2025-08-23 00:00:00, 2025-08-25 00:00:00</t>
  </si>
  <si>
    <t>2000-01-01 00:00:00, 2025-08-23 00:00:00</t>
  </si>
  <si>
    <t>2025-08-23 00:00:00, 2025-09-18 00:00:00</t>
  </si>
  <si>
    <t>2025-08-23 00:00:00, 2026-02-26 00:00:00</t>
  </si>
  <si>
    <t>0, 352000</t>
  </si>
  <si>
    <t>0, 548308</t>
  </si>
  <si>
    <t>-548308, 352000</t>
  </si>
  <si>
    <t>2025-08-01 00:00:00, 2025-08-23 00:00:00</t>
  </si>
  <si>
    <t>2025-08-23 00:00:00, 2026-03-31 00:00:00</t>
  </si>
  <si>
    <t>22028000032465056, 3433432025</t>
  </si>
  <si>
    <t>51788000002735079</t>
  </si>
  <si>
    <t>zcrm_51788000275708826</t>
  </si>
  <si>
    <t>devansh.desai_ei, maruf.shaikh@ei.study</t>
  </si>
  <si>
    <t>devansh.desai@ei.study, maruf.shaikh@ei.study</t>
  </si>
  <si>
    <t>Devansh desai, Maruf shaikh</t>
  </si>
  <si>
    <t>Devansh Desai, Devansh desai</t>
  </si>
  <si>
    <t>Devansh Desai</t>
  </si>
  <si>
    <t>2025-08-23 00:00:00, 2025-08-23 20:13:13</t>
  </si>
  <si>
    <t>Mrs. Sunita Mattoo</t>
  </si>
  <si>
    <t>desaidevansh2@gmail.com</t>
  </si>
  <si>
    <t>+919879100992</t>
  </si>
  <si>
    <t>school.accounts@edu.amns.in</t>
  </si>
  <si>
    <t>Sunita Matoo</t>
  </si>
  <si>
    <t>0, 64000</t>
  </si>
  <si>
    <t>AMNS Township</t>
  </si>
  <si>
    <t>394270</t>
  </si>
  <si>
    <t>AMNS Township, Hazira</t>
  </si>
  <si>
    <t>1371</t>
  </si>
  <si>
    <t>167256</t>
  </si>
  <si>
    <t>3345</t>
  </si>
  <si>
    <t>334512</t>
  </si>
  <si>
    <t>325134.9</t>
  </si>
  <si>
    <t>6032</t>
  </si>
  <si>
    <t>0.6083</t>
  </si>
  <si>
    <t>22028000029842392</t>
  </si>
  <si>
    <t>zcrm_51788000289928001</t>
  </si>
  <si>
    <t>2025-05-12 11:48:32</t>
  </si>
  <si>
    <t>2025-04-04 00:00:00, 2025-04-05 00:00:00</t>
  </si>
  <si>
    <t>157500, 166821, 420021</t>
  </si>
  <si>
    <t>157500, 389248, 420021</t>
  </si>
  <si>
    <t>2000-01-01 00:00:00, 2025-10-04 00:00:00</t>
  </si>
  <si>
    <t>0, 157500, 420021</t>
  </si>
  <si>
    <t>2000-01-01 00:00:00, 2025-12-06 00:00:00</t>
  </si>
  <si>
    <t>0, 152036</t>
  </si>
  <si>
    <t>2025-11-26 00:00:00, 2026-02-18 00:00:00</t>
  </si>
  <si>
    <t>1680084, 556069, 630000</t>
  </si>
  <si>
    <t>1114138, 505086, 551202</t>
  </si>
  <si>
    <t>-101053, 565946, 78798</t>
  </si>
  <si>
    <t>22028000027274108, 22028000027274204, 22028000027274252</t>
  </si>
  <si>
    <t>zcrm_51788000281305001, zcrm_51788000281306013, zcrm_51788000281306237</t>
  </si>
  <si>
    <t>2025-03-17 11:46:12, 2025-03-17 11:46:29, 2025-03-17 11:46:48</t>
  </si>
  <si>
    <t>Gulshan Kaur</t>
  </si>
  <si>
    <t>Anita Ranjhan</t>
  </si>
  <si>
    <t>anitavikasranjan@gmail.com, hmbvbpkl@gmail.com</t>
  </si>
  <si>
    <t>Sector 15</t>
  </si>
  <si>
    <t>Assam Heights Public School</t>
  </si>
  <si>
    <t>84676</t>
  </si>
  <si>
    <t>2025-12-22 00:00:00</t>
  </si>
  <si>
    <t>338704</t>
  </si>
  <si>
    <t>228323</t>
  </si>
  <si>
    <t>110381</t>
  </si>
  <si>
    <t>Makum Road, Tinsukia</t>
  </si>
  <si>
    <t>22028000028500300</t>
  </si>
  <si>
    <t>51788000002793659</t>
  </si>
  <si>
    <t>zcrm_51788000285395367</t>
  </si>
  <si>
    <t>sunny.brahma_ei</t>
  </si>
  <si>
    <t>sunny.brahma@ei.study</t>
  </si>
  <si>
    <t>Sunny brahma</t>
  </si>
  <si>
    <t>2025-03-27 12:50:30</t>
  </si>
  <si>
    <t>E Seenivasan</t>
  </si>
  <si>
    <t>contact@assamheightspublicschool.com</t>
  </si>
  <si>
    <t>+919480730289</t>
  </si>
  <si>
    <t>74000</t>
  </si>
  <si>
    <t>Thermal Gate</t>
  </si>
  <si>
    <t>786125</t>
  </si>
  <si>
    <t>Thermal Gate, Makum Road</t>
  </si>
  <si>
    <t>Makum Road, Near- Thermal Gate</t>
  </si>
  <si>
    <t>490064</t>
  </si>
  <si>
    <t>42756</t>
  </si>
  <si>
    <t>1960256</t>
  </si>
  <si>
    <t>835979</t>
  </si>
  <si>
    <t>1081521</t>
  </si>
  <si>
    <t>22028000028873348</t>
  </si>
  <si>
    <t>zcrm_51788000287552282</t>
  </si>
  <si>
    <t>2025-04-21 10:17:56</t>
  </si>
  <si>
    <t>Ms Animikha Roy</t>
  </si>
  <si>
    <t>802</t>
  </si>
  <si>
    <t>2000-01-01 00:00:00, 2025-04-15 00:00:00</t>
  </si>
  <si>
    <t>0, 47535</t>
  </si>
  <si>
    <t>165315, 95070</t>
  </si>
  <si>
    <t>0, 46611</t>
  </si>
  <si>
    <t>118704, 95070</t>
  </si>
  <si>
    <t>0.29, 0.465</t>
  </si>
  <si>
    <t>22028000027018228, 22028000027018352</t>
  </si>
  <si>
    <t>zcrm_51788000277074198, zcrm_51788000280546508</t>
  </si>
  <si>
    <t>2025-03-27 17:12:16, 2025-03-27 17:13:03</t>
  </si>
  <si>
    <t>Meena Karuppiah, Mrs Priya</t>
  </si>
  <si>
    <t>mahatmaab@mahatmaschools.com, meena.karuppiahmahatmaglobal@gmail.com</t>
  </si>
  <si>
    <t>+919789514163, +919843053682</t>
  </si>
  <si>
    <t>Meena Karuppiah, MeenaKarupaish</t>
  </si>
  <si>
    <t>meena.karuppiahmahatmaglobal@gmail.com</t>
  </si>
  <si>
    <t>Sivagangai Road</t>
  </si>
  <si>
    <t>544</t>
  </si>
  <si>
    <t>8549</t>
  </si>
  <si>
    <t>2025-05-29 00:00:00</t>
  </si>
  <si>
    <t>450846</t>
  </si>
  <si>
    <t>418884</t>
  </si>
  <si>
    <t>23413</t>
  </si>
  <si>
    <t>0.637</t>
  </si>
  <si>
    <t>22028000029497080</t>
  </si>
  <si>
    <t>zcrm_51788000289309019</t>
  </si>
  <si>
    <t>2025-04-24 17:47:12</t>
  </si>
  <si>
    <t>Teena Ma'am</t>
  </si>
  <si>
    <t>+919819771982</t>
  </si>
  <si>
    <t>105505</t>
  </si>
  <si>
    <t>211011</t>
  </si>
  <si>
    <t>422021</t>
  </si>
  <si>
    <t>206290</t>
  </si>
  <si>
    <t>215731</t>
  </si>
  <si>
    <t>22028000031038024</t>
  </si>
  <si>
    <t>zcrm_51788000292215001</t>
  </si>
  <si>
    <t>2025-07-02 11:04:58</t>
  </si>
  <si>
    <t>Mr Manish Yadav</t>
  </si>
  <si>
    <t>D-196/2</t>
  </si>
  <si>
    <t>Silver Point School</t>
  </si>
  <si>
    <t>Gargi</t>
  </si>
  <si>
    <t>134632</t>
  </si>
  <si>
    <t>538528</t>
  </si>
  <si>
    <t>377968.57</t>
  </si>
  <si>
    <t>160559</t>
  </si>
  <si>
    <t>22028000028005200</t>
  </si>
  <si>
    <t>51788000002794043</t>
  </si>
  <si>
    <t>zcrm_51788000232967531</t>
  </si>
  <si>
    <t>2025-04-02 16:10:28</t>
  </si>
  <si>
    <t>Sucharita Roy Chowdhury</t>
  </si>
  <si>
    <t>silverpointschool@gmail.com</t>
  </si>
  <si>
    <t>+919230070304</t>
  </si>
  <si>
    <t>42208</t>
  </si>
  <si>
    <t>31/1, NC Chowdhury Rd, Bosepukur, Kasba,</t>
  </si>
  <si>
    <t>97995</t>
  </si>
  <si>
    <t>195990</t>
  </si>
  <si>
    <t>0.4286</t>
  </si>
  <si>
    <t>0.3786</t>
  </si>
  <si>
    <t>22028000031189264</t>
  </si>
  <si>
    <t>zcrm_51788000292497757</t>
  </si>
  <si>
    <t>2025-06-27 13:40:38</t>
  </si>
  <si>
    <t>Ashish Kakwani</t>
  </si>
  <si>
    <t>Billabong High International School Rewa</t>
  </si>
  <si>
    <t>Umri Khaira Road</t>
  </si>
  <si>
    <t>2025-02-06 00:00:00, 2025-03-03 00:00:00, 2025-03-12 00:00:00</t>
  </si>
  <si>
    <t>1984, 2728, 2976</t>
  </si>
  <si>
    <t>2025-02-15 00:00:00, 2025-03-04 00:00:00, 2025-03-13 00:00:00</t>
  </si>
  <si>
    <t>2025-03-17 00:00:00, 2025-04-02 00:00:00</t>
  </si>
  <si>
    <t>1246650, 648703, 937418</t>
  </si>
  <si>
    <t>1246650, 635728, 893737</t>
  </si>
  <si>
    <t>0, 12975, 43681</t>
  </si>
  <si>
    <t>0.43320000000000003, 0.6103000000000001, 0.6233</t>
  </si>
  <si>
    <t>22028000027854468, 22028000028438068, 22028000028629912</t>
  </si>
  <si>
    <t>zcrm_51788000282296116, zcrm_51788000285874144, zcrm_51788000286865001</t>
  </si>
  <si>
    <t>2025-02-18 10:38:47, 2025-03-03 16:32:57, 2025-03-13 13:58:40</t>
  </si>
  <si>
    <t>MG Jacob</t>
  </si>
  <si>
    <t>Zero Point, Sungava,</t>
  </si>
  <si>
    <t>Lotus Valley School</t>
  </si>
  <si>
    <t>429</t>
  </si>
  <si>
    <t>209331</t>
  </si>
  <si>
    <t>837324</t>
  </si>
  <si>
    <t>354366</t>
  </si>
  <si>
    <t>472958</t>
  </si>
  <si>
    <t>0.7140000000000001</t>
  </si>
  <si>
    <t>22028000029588284</t>
  </si>
  <si>
    <t>51788000002794239</t>
  </si>
  <si>
    <t>zcrm_51788000282675170</t>
  </si>
  <si>
    <t>2025-05-08 13:36:26</t>
  </si>
  <si>
    <t>Mr. Vikas Acharya</t>
  </si>
  <si>
    <t>acharyavikas@yahoo.co.uk</t>
  </si>
  <si>
    <t>+919826031060</t>
  </si>
  <si>
    <t>Lvsmds@gmail.com</t>
  </si>
  <si>
    <t>Mr Vikas Acharya</t>
  </si>
  <si>
    <t>50550</t>
  </si>
  <si>
    <t>Survey No 8o7</t>
  </si>
  <si>
    <t>Survey No. 807, Bugaliya</t>
  </si>
  <si>
    <t>Survey No. 807, Bugaliya, Rewas Dewada Road</t>
  </si>
  <si>
    <t>55571</t>
  </si>
  <si>
    <t>129665</t>
  </si>
  <si>
    <t>181532</t>
  </si>
  <si>
    <t>3704</t>
  </si>
  <si>
    <t>22028000029044584</t>
  </si>
  <si>
    <t>zcrm_51788000287930180</t>
  </si>
  <si>
    <t>2025-05-10 13:48:40</t>
  </si>
  <si>
    <t>Rohini Mahajan</t>
  </si>
  <si>
    <t>rohini.m@verandak12.com</t>
  </si>
  <si>
    <t>+914445039476</t>
  </si>
  <si>
    <t>Chitra Sukumar</t>
  </si>
  <si>
    <t>deputyhos@bvminternational.org</t>
  </si>
  <si>
    <t>+919840674397</t>
  </si>
  <si>
    <t>Dikshant Global School</t>
  </si>
  <si>
    <t>418800</t>
  </si>
  <si>
    <t>218800</t>
  </si>
  <si>
    <t>Zirakpur</t>
  </si>
  <si>
    <t>22028000030609252</t>
  </si>
  <si>
    <t>51788000002794268</t>
  </si>
  <si>
    <t>zcrm_51788000291425244</t>
  </si>
  <si>
    <t>2025-06-10 17:10:29</t>
  </si>
  <si>
    <t>Ms. Sarika Sarin</t>
  </si>
  <si>
    <t>sarikasarin@dikshant.org</t>
  </si>
  <si>
    <t>+919779218000</t>
  </si>
  <si>
    <t>Garimadikshit@dikshant.org</t>
  </si>
  <si>
    <t>Ms. Swati Rai</t>
  </si>
  <si>
    <t>dikshantglobal@gmail.com</t>
  </si>
  <si>
    <t>Savitry Greens</t>
  </si>
  <si>
    <t>140603</t>
  </si>
  <si>
    <t>Savitry Greens, VIP Rd, Zirakpur, Punjab 140603</t>
  </si>
  <si>
    <t>2026-02-02 00:00:00</t>
  </si>
  <si>
    <t>561000</t>
  </si>
  <si>
    <t>426060</t>
  </si>
  <si>
    <t>134940</t>
  </si>
  <si>
    <t>22028000030336120</t>
  </si>
  <si>
    <t>zcrm_51788000290949260</t>
  </si>
  <si>
    <t>2025-05-23 18:05:21</t>
  </si>
  <si>
    <t>Panjokhra, Ambala</t>
  </si>
  <si>
    <t>1779</t>
  </si>
  <si>
    <t>197297</t>
  </si>
  <si>
    <t>8396</t>
  </si>
  <si>
    <t>394594</t>
  </si>
  <si>
    <t>411385</t>
  </si>
  <si>
    <t>-25187</t>
  </si>
  <si>
    <t>22028000030935300</t>
  </si>
  <si>
    <t>zcrm_51788000292105347</t>
  </si>
  <si>
    <t>2025-06-19 11:47:10</t>
  </si>
  <si>
    <t>Wisdom High International School (SMC)</t>
  </si>
  <si>
    <t>2025-05-28 00:00:00, 2025-06-16 00:00:00</t>
  </si>
  <si>
    <t>2025-05-28 00:00:00, 2025-06-15 00:00:00</t>
  </si>
  <si>
    <t>202984, 411816</t>
  </si>
  <si>
    <t>2025-06-30 00:00:00, 2025-10-31 00:00:00</t>
  </si>
  <si>
    <t>0, 82423</t>
  </si>
  <si>
    <t>2025-09-17 00:00:00</t>
  </si>
  <si>
    <t>405968, 823632</t>
  </si>
  <si>
    <t>0, 750735</t>
  </si>
  <si>
    <t>-9526, 405968</t>
  </si>
  <si>
    <t>0.3444, 0.6052000000000001</t>
  </si>
  <si>
    <t>2025-06-10 00:00:00, 2025-08-01 00:00:00</t>
  </si>
  <si>
    <t>2025-09-15 00:00:00, 2026-06-01 00:00:00</t>
  </si>
  <si>
    <t>22028000030549088, 22028000030956280</t>
  </si>
  <si>
    <t>zcrm_51788000291260163</t>
  </si>
  <si>
    <t>hakim.kanchwala_eiindia1, hardyal.deora_eiindia</t>
  </si>
  <si>
    <t>2025-06-07 12:11:42, 2025-06-28 14:07:00</t>
  </si>
  <si>
    <t>Shraddha Gaur</t>
  </si>
  <si>
    <t>+9189835555586, +919822000257</t>
  </si>
  <si>
    <t>Deepak Borle, Mr. Deepak Borle</t>
  </si>
  <si>
    <t>+9189835555586, +9198222000257</t>
  </si>
  <si>
    <t>Megha Chavan</t>
  </si>
  <si>
    <t>megha@whis.edu.in</t>
  </si>
  <si>
    <t>+918983555586, +919822000257</t>
  </si>
  <si>
    <t>Wisdom High International School, Serene Meadows</t>
  </si>
  <si>
    <t>2025-02-19 00:00:00, 2025-02-24 00:00:00</t>
  </si>
  <si>
    <t>1098</t>
  </si>
  <si>
    <t>2025-04-01 00:00:00, 2025-04-15 00:00:00</t>
  </si>
  <si>
    <t>249314, 282864</t>
  </si>
  <si>
    <t>0, 282864</t>
  </si>
  <si>
    <t>39041.25, 64485.57</t>
  </si>
  <si>
    <t>2025-04-29 00:00:00, 2025-05-20 00:00:00</t>
  </si>
  <si>
    <t>1131456, 498628</t>
  </si>
  <si>
    <t>1055703, 440457</t>
  </si>
  <si>
    <t>11267, 19130</t>
  </si>
  <si>
    <t>0.5683, 0.6862</t>
  </si>
  <si>
    <t>22028000028171056, 22028000028251424</t>
  </si>
  <si>
    <t>zcrm_51788000284556057, zcrm_51788000284805106</t>
  </si>
  <si>
    <t>2025-02-28 12:50:56, 2025-02-28 12:51:30</t>
  </si>
  <si>
    <t>info@cma1.in, principal@cma1.in</t>
  </si>
  <si>
    <t>+917862806558, +919227047920</t>
  </si>
  <si>
    <t>Ramjee Nagarajan</t>
  </si>
  <si>
    <t>Kondh Village</t>
  </si>
  <si>
    <t>Kondh Village, Ankleshwar - Valia Road, GJ SH 13, Gujarat Guardian Township</t>
  </si>
  <si>
    <t>135583</t>
  </si>
  <si>
    <t>542332</t>
  </si>
  <si>
    <t>398614</t>
  </si>
  <si>
    <t>143718</t>
  </si>
  <si>
    <t>22028000029815544</t>
  </si>
  <si>
    <t>zcrm_51788000289955003</t>
  </si>
  <si>
    <t>2025-05-12 14:41:42</t>
  </si>
  <si>
    <t>Ms. Manitee</t>
  </si>
  <si>
    <t>22028000036043196</t>
  </si>
  <si>
    <t>zcrm_51788000303478261</t>
  </si>
  <si>
    <t>2025-12-26 14:21:47</t>
  </si>
  <si>
    <t>250533</t>
  </si>
  <si>
    <t>2026-01-22 00:00:00</t>
  </si>
  <si>
    <t>501066</t>
  </si>
  <si>
    <t>513441.57</t>
  </si>
  <si>
    <t>-12376</t>
  </si>
  <si>
    <t>22028000031195392</t>
  </si>
  <si>
    <t>zcrm_51788000276460027</t>
  </si>
  <si>
    <t>2025-06-30 13:14:56</t>
  </si>
  <si>
    <t>jimilparikh@mahatmagandhischoo.org</t>
  </si>
  <si>
    <t>Zarna Relia</t>
  </si>
  <si>
    <t>jimil.parikh@gmail.com</t>
  </si>
  <si>
    <t>+918469977854</t>
  </si>
  <si>
    <t>Ujjawala Jhala</t>
  </si>
  <si>
    <t>+919978450760</t>
  </si>
  <si>
    <t>Opp. Ajmera Shastrinagar,</t>
  </si>
  <si>
    <t>Panchratna Park</t>
  </si>
  <si>
    <t>2025-04-12 00:00:00, 2025-04-29 00:00:00</t>
  </si>
  <si>
    <t>312750, 524993</t>
  </si>
  <si>
    <t>2025-08-15 00:00:00, 2025-10-15 00:00:00</t>
  </si>
  <si>
    <t>1049985, 312750</t>
  </si>
  <si>
    <t>0, 524993</t>
  </si>
  <si>
    <t>176639.82, 62550</t>
  </si>
  <si>
    <t>2025-06-23 00:00:00, 2025-07-02 00:00:00</t>
  </si>
  <si>
    <t>2025-09-15 00:00:00, 2026-02-09 00:00:00</t>
  </si>
  <si>
    <t>2099971, 625500</t>
  </si>
  <si>
    <t>1907710, 562948</t>
  </si>
  <si>
    <t>15621, 2</t>
  </si>
  <si>
    <t>0.3056, 0.5</t>
  </si>
  <si>
    <t>22028000029264212, 22028000029642672</t>
  </si>
  <si>
    <t>zcrm_51788000288332165, zcrm_51788000289403272</t>
  </si>
  <si>
    <t>2025-04-14 16:20:51, 2025-06-07 12:04:59</t>
  </si>
  <si>
    <t>Dr. P Sreenivasa Rao</t>
  </si>
  <si>
    <t>drsreenivas@vizag.silveroaks.co.in</t>
  </si>
  <si>
    <t>+917661978999, +917997998012</t>
  </si>
  <si>
    <t>+918374148910</t>
  </si>
  <si>
    <t>Mr. Eshwar</t>
  </si>
  <si>
    <t>senior.coordinator@vizag.silveroaks.co.in</t>
  </si>
  <si>
    <t>Beside Gitam Medical College</t>
  </si>
  <si>
    <t>25606, 32063</t>
  </si>
  <si>
    <t>512, 641</t>
  </si>
  <si>
    <t>102424, 128252</t>
  </si>
  <si>
    <t>25093, 31422</t>
  </si>
  <si>
    <t>76819, 96189</t>
  </si>
  <si>
    <t>22028000030497240, 22028000030497300</t>
  </si>
  <si>
    <t>zcrm_51788000290969234, zcrm_51788000291034177</t>
  </si>
  <si>
    <t>2025-06-09 11:30:29, 2025-06-09 14:08:51</t>
  </si>
  <si>
    <t>100b, Karaya Rd, Lower Range, Beck Bagan</t>
  </si>
  <si>
    <t>2025-04-23 00:00:00, 2025-05-02 00:00:00</t>
  </si>
  <si>
    <t>280908, 87222</t>
  </si>
  <si>
    <t>0, 87222</t>
  </si>
  <si>
    <t>0, 4868</t>
  </si>
  <si>
    <t>348888, 561816</t>
  </si>
  <si>
    <t>0, 325168</t>
  </si>
  <si>
    <t>231780, 348888</t>
  </si>
  <si>
    <t>0.1282, 0.5371</t>
  </si>
  <si>
    <t>2025-04-23 00:00:00, 2025-04-30 00:00:00</t>
  </si>
  <si>
    <t>22028000029518032, 22028000029795404</t>
  </si>
  <si>
    <t>zcrm_51788000289425001, zcrm_51788000289954162</t>
  </si>
  <si>
    <t>2025-04-23 13:05:59, 2025-05-02 18:50:38</t>
  </si>
  <si>
    <t>Ms. Sapna Dimri</t>
  </si>
  <si>
    <t>DLF</t>
  </si>
  <si>
    <t>112380</t>
  </si>
  <si>
    <t>115785</t>
  </si>
  <si>
    <t>340545</t>
  </si>
  <si>
    <t>212380</t>
  </si>
  <si>
    <t>128165</t>
  </si>
  <si>
    <t>22028000031198104</t>
  </si>
  <si>
    <t>zcrm_51788000292588191</t>
  </si>
  <si>
    <t>2025-07-11 17:25:19</t>
  </si>
  <si>
    <t>Mr. Rahul</t>
  </si>
  <si>
    <t>KODLIYA KHEDI ROAD</t>
  </si>
  <si>
    <t>In front of Abhayraj Ginning</t>
  </si>
  <si>
    <t>164698, 20045</t>
  </si>
  <si>
    <t>1646982, 200450</t>
  </si>
  <si>
    <t>1482283, 180405</t>
  </si>
  <si>
    <t>0.3077, 0.5</t>
  </si>
  <si>
    <t>22028000030375248, 22028000030375292</t>
  </si>
  <si>
    <t>zcrm_51788000291207145, zcrm_51788000291207312</t>
  </si>
  <si>
    <t>2025-05-30 19:59:38, 2025-05-30 19:59:58</t>
  </si>
  <si>
    <t>Dr. Jyothi Reddy</t>
  </si>
  <si>
    <t>Ms. Usha Ramaswamy</t>
  </si>
  <si>
    <t>vpseniorschool@tsushyderabad.com</t>
  </si>
  <si>
    <t>+919999088807</t>
  </si>
  <si>
    <t>56928</t>
  </si>
  <si>
    <t>569280</t>
  </si>
  <si>
    <t>512352</t>
  </si>
  <si>
    <t>22028000030653152</t>
  </si>
  <si>
    <t>zcrm_51788000291587001</t>
  </si>
  <si>
    <t>2025-07-12 13:53:13</t>
  </si>
  <si>
    <t>Ms. Ranjita Rao</t>
  </si>
  <si>
    <t>directoroperations@globaledgeschool.com</t>
  </si>
  <si>
    <t>I D M Public School</t>
  </si>
  <si>
    <t>0, 480</t>
  </si>
  <si>
    <t>0, 27244</t>
  </si>
  <si>
    <t>2025-04-09 00:00:00, 2025-06-10 00:00:00</t>
  </si>
  <si>
    <t>2000-01-01 00:00:00, 2025-08-18 00:00:00</t>
  </si>
  <si>
    <t>2000-01-01 00:00:00, 2025-11-18 00:00:00</t>
  </si>
  <si>
    <t>0, 108976</t>
  </si>
  <si>
    <t>0, 113113</t>
  </si>
  <si>
    <t>-4137, 0</t>
  </si>
  <si>
    <t>0.46659999999999996, 1</t>
  </si>
  <si>
    <t>Balangir</t>
  </si>
  <si>
    <t>22028000026547064, 22028000026547396</t>
  </si>
  <si>
    <t>51788000002795103</t>
  </si>
  <si>
    <t>zcrm_51788000276626323, zcrm_51788000278555316</t>
  </si>
  <si>
    <t>2025-03-03 14:24:01, 2025-03-03 14:25:04</t>
  </si>
  <si>
    <t>Mrs. Babita Mishra, Mrs.Babita Mishra</t>
  </si>
  <si>
    <t>idmpublicschool@gmail.com</t>
  </si>
  <si>
    <t>+918637291952</t>
  </si>
  <si>
    <t>Saroj Kumar Jena</t>
  </si>
  <si>
    <t>idmdefault1@gmail.com</t>
  </si>
  <si>
    <t>+918456084730</t>
  </si>
  <si>
    <t>6750</t>
  </si>
  <si>
    <t>Khujenpali, Bagbhadi,, Khujenpali, Bagbhadi, Balangir Odisha, PIN-767002</t>
  </si>
  <si>
    <t>767002</t>
  </si>
  <si>
    <t>Khujenpali, Bagbhadi, Khujenpali, Bagbhadi, Balangir Odisha, PIN-767002</t>
  </si>
  <si>
    <t>At- Bagbhadi,Po-Khujenpali Via Rajendra College, Balangir, Odisha, PIN-767002</t>
  </si>
  <si>
    <t>Bagbhadi,Po-Khujenpali Via Rajendra College, Balangir, Odisha, PIN-767002</t>
  </si>
  <si>
    <t>Rungta Public School</t>
  </si>
  <si>
    <t>1872</t>
  </si>
  <si>
    <t>197945</t>
  </si>
  <si>
    <t>192123</t>
  </si>
  <si>
    <t>582191</t>
  </si>
  <si>
    <t>0.28</t>
  </si>
  <si>
    <t>Bhilai</t>
  </si>
  <si>
    <t>22028000024261096</t>
  </si>
  <si>
    <t>51788000002795115</t>
  </si>
  <si>
    <t>zcrm_51788000272833808</t>
  </si>
  <si>
    <t>2024-08-21 17:54:15</t>
  </si>
  <si>
    <t>Mr. Jawahar Surisetti</t>
  </si>
  <si>
    <t>jawahar@rungtainternational.org</t>
  </si>
  <si>
    <t>+919229155515</t>
  </si>
  <si>
    <t>principal@rungtapublicschool.ac.in</t>
  </si>
  <si>
    <t>Kohka Road, Kurud, Bhilai</t>
  </si>
  <si>
    <t>490023</t>
  </si>
  <si>
    <t>Yuvabharathi Public School</t>
  </si>
  <si>
    <t>313313</t>
  </si>
  <si>
    <t>6266</t>
  </si>
  <si>
    <t>2025-10-23 00:00:00</t>
  </si>
  <si>
    <t>626626</t>
  </si>
  <si>
    <t>307045</t>
  </si>
  <si>
    <t>313315</t>
  </si>
  <si>
    <t>22028000031082896</t>
  </si>
  <si>
    <t>zcrm_51788000292353422</t>
  </si>
  <si>
    <t>2025-06-27 15:37:32</t>
  </si>
  <si>
    <t>Mrs. Geetha Jayachandran .</t>
  </si>
  <si>
    <t>+918220059603</t>
  </si>
  <si>
    <t>principal@yuvanharathi.in</t>
  </si>
  <si>
    <t>2025-04-28 00:00:00</t>
  </si>
  <si>
    <t>406947</t>
  </si>
  <si>
    <t>813894</t>
  </si>
  <si>
    <t>742318</t>
  </si>
  <si>
    <t>71576</t>
  </si>
  <si>
    <t>0.5659000000000001</t>
  </si>
  <si>
    <t>22028000029571696</t>
  </si>
  <si>
    <t>zcrm_51788000289578003</t>
  </si>
  <si>
    <t>2025-07-23 11:46:04</t>
  </si>
  <si>
    <t>Amruta Prabhu</t>
  </si>
  <si>
    <t>Nikita ma'am</t>
  </si>
  <si>
    <t>coordinator3.pune@thehdfcschool.com</t>
  </si>
  <si>
    <t>+918980047674</t>
  </si>
  <si>
    <t>Sr.No. 238-241 Planet IT, Adjacent to TCS (Behind Kalyan Jewellers)</t>
  </si>
  <si>
    <t>2025-03-12 00:00:00, 2025-03-13 00:00:00</t>
  </si>
  <si>
    <t>39505, 55998</t>
  </si>
  <si>
    <t>0, 23746</t>
  </si>
  <si>
    <t>111996, 79010</t>
  </si>
  <si>
    <t>0, 159702</t>
  </si>
  <si>
    <t>-71452, 79010</t>
  </si>
  <si>
    <t>0.1112, 0.5498</t>
  </si>
  <si>
    <t>22028000028662688, 22028000028662728</t>
  </si>
  <si>
    <t>zcrm_51788000286841001, zcrm_51788000286841176</t>
  </si>
  <si>
    <t>2025-06-13 11:04:35, 2025-06-13 11:04:47</t>
  </si>
  <si>
    <t>+919444973275</t>
  </si>
  <si>
    <t>Priya Dixit</t>
  </si>
  <si>
    <t>Shiny  Nivolya, Shiny Nivolya V</t>
  </si>
  <si>
    <t>ciec.ecr@akshararbol.edu.in</t>
  </si>
  <si>
    <t>+919900158825</t>
  </si>
  <si>
    <t>22028000031366912, 3537762025</t>
  </si>
  <si>
    <t>zcrm_51788000292907021</t>
  </si>
  <si>
    <t>2025-04-01 00:00:00, 2025-07-07 15:00:27</t>
  </si>
  <si>
    <t>Bindu Sehgal</t>
  </si>
  <si>
    <t>Ms. Malini K. Sengupta</t>
  </si>
  <si>
    <t>+919313975616</t>
  </si>
  <si>
    <t>Sector - C, Pocket -5</t>
  </si>
  <si>
    <t>St. Xavier's Higher Secondary School</t>
  </si>
  <si>
    <t>1645</t>
  </si>
  <si>
    <t>331468</t>
  </si>
  <si>
    <t>2025-09-03 00:00:00</t>
  </si>
  <si>
    <t>1325872</t>
  </si>
  <si>
    <t>1292610.07</t>
  </si>
  <si>
    <t>33262</t>
  </si>
  <si>
    <t>2025-02-01 00:00:00</t>
  </si>
  <si>
    <t>22028000026969616</t>
  </si>
  <si>
    <t>zcrm_51788000279375938</t>
  </si>
  <si>
    <t>2025-03-25 13:31:43</t>
  </si>
  <si>
    <t>Sr. Maria D’Silva</t>
  </si>
  <si>
    <t>Chandmari</t>
  </si>
  <si>
    <t>R C Road</t>
  </si>
  <si>
    <t>Sudharsanam Vidyaashram</t>
  </si>
  <si>
    <t>3325</t>
  </si>
  <si>
    <t>2025-06-07 00:00:00</t>
  </si>
  <si>
    <t>443010</t>
  </si>
  <si>
    <t>2025-12-07 00:00:00</t>
  </si>
  <si>
    <t>1772040</t>
  </si>
  <si>
    <t>1324439</t>
  </si>
  <si>
    <t>447601</t>
  </si>
  <si>
    <t>0.0501</t>
  </si>
  <si>
    <t>22028000030743388</t>
  </si>
  <si>
    <t>zcrm_51788000291728423</t>
  </si>
  <si>
    <t>2025-06-18 14:05:31</t>
  </si>
  <si>
    <t>+919940381123</t>
  </si>
  <si>
    <t>Mr. C. B. SANTHOSH KUMAR</t>
  </si>
  <si>
    <t>principal@svschool.ac.in</t>
  </si>
  <si>
    <t>59623, 94396</t>
  </si>
  <si>
    <t>0, 8000</t>
  </si>
  <si>
    <t>2025-07-31 00:00:00, 2026-01-29 00:00:00</t>
  </si>
  <si>
    <t>2025-10-29 00:00:00, 2026-01-29 00:00:00</t>
  </si>
  <si>
    <t>119246, 188792</t>
  </si>
  <si>
    <t>235757, 62551</t>
  </si>
  <si>
    <t>-54965, 56695</t>
  </si>
  <si>
    <t>0.1112, 0.5296</t>
  </si>
  <si>
    <t>22028000028774208, 22028000028774248</t>
  </si>
  <si>
    <t>zcrm_51788000287279001, zcrm_51788000287279174</t>
  </si>
  <si>
    <t>2025-06-13 11:06:33, 2025-06-13 11:07:22</t>
  </si>
  <si>
    <t>Mrs. Priya Dixit, Priya Dixit</t>
  </si>
  <si>
    <t>Priya T</t>
  </si>
  <si>
    <t>coordacademics.secondary@akshararbol.edu.in</t>
  </si>
  <si>
    <t>+919087304687</t>
  </si>
  <si>
    <t>Griffins International School</t>
  </si>
  <si>
    <t>710</t>
  </si>
  <si>
    <t>1089</t>
  </si>
  <si>
    <t>234738</t>
  </si>
  <si>
    <t>2025-03-23 00:00:00</t>
  </si>
  <si>
    <t>938952</t>
  </si>
  <si>
    <t>496640</t>
  </si>
  <si>
    <t>442312</t>
  </si>
  <si>
    <t>0.5265</t>
  </si>
  <si>
    <t>Kharagpur</t>
  </si>
  <si>
    <t>22028000027699724</t>
  </si>
  <si>
    <t>51788000002796127</t>
  </si>
  <si>
    <t>zcrm_51788000276367515</t>
  </si>
  <si>
    <t>2025-03-24 12:19:55</t>
  </si>
  <si>
    <t>Mr. Abishek Kumar Yadav</t>
  </si>
  <si>
    <t>chairman@griffins.edu.in</t>
  </si>
  <si>
    <t>+919933344736</t>
  </si>
  <si>
    <t>info@griffins.edu.in</t>
  </si>
  <si>
    <t>Nh-60, Mouza Khatranga, P.O. Khatranga, Kharagpur, West Bengal, India</t>
  </si>
  <si>
    <t>721301</t>
  </si>
  <si>
    <t>CALG08621E</t>
  </si>
  <si>
    <t>2025-06-17 00:00:00</t>
  </si>
  <si>
    <t>99630</t>
  </si>
  <si>
    <t>199260</t>
  </si>
  <si>
    <t>22028000031002260</t>
  </si>
  <si>
    <t>zcrm_51788000289449182</t>
  </si>
  <si>
    <t>2025-06-19 11:42:40</t>
  </si>
  <si>
    <t>Ms. Vijaya Lakshmi</t>
  </si>
  <si>
    <t>+917306304444</t>
  </si>
  <si>
    <t>Vijayalakshmi Ma'am</t>
  </si>
  <si>
    <t>vijayalakshmi@keystoneeducation.in</t>
  </si>
  <si>
    <t>+919396881089</t>
  </si>
  <si>
    <t>Ranga Sekhar</t>
  </si>
  <si>
    <t>head.curriculum@keystoneeducation.in</t>
  </si>
  <si>
    <t>+919866665541</t>
  </si>
  <si>
    <t>Survey 340, Keystone School Road</t>
  </si>
  <si>
    <t>Sy, 340</t>
  </si>
  <si>
    <t>1762</t>
  </si>
  <si>
    <t>2643</t>
  </si>
  <si>
    <t>155932</t>
  </si>
  <si>
    <t>153290</t>
  </si>
  <si>
    <t>0.4225</t>
  </si>
  <si>
    <t>0.3725</t>
  </si>
  <si>
    <t>22028000032234408</t>
  </si>
  <si>
    <t>zcrm_51788000294824197</t>
  </si>
  <si>
    <t>2025-08-23 12:16:17</t>
  </si>
  <si>
    <t>Ragesh Goradia</t>
  </si>
  <si>
    <t>ragesh@rkcrajkot.in</t>
  </si>
  <si>
    <t>+919825998198</t>
  </si>
  <si>
    <t>16800</t>
  </si>
  <si>
    <t>168000</t>
  </si>
  <si>
    <t>151200</t>
  </si>
  <si>
    <t>22028000031230172</t>
  </si>
  <si>
    <t>zcrm_51788000285596692</t>
  </si>
  <si>
    <t>2025-07-01 11:09:29</t>
  </si>
  <si>
    <t>Murtaza Madha</t>
  </si>
  <si>
    <t>95G/95K, Block No. 5/7, 1st &amp;</t>
  </si>
  <si>
    <t>Billabong High International School, Indore</t>
  </si>
  <si>
    <t>2966</t>
  </si>
  <si>
    <t>139999</t>
  </si>
  <si>
    <t>279998</t>
  </si>
  <si>
    <t>22028000028924684</t>
  </si>
  <si>
    <t>51788000002796503</t>
  </si>
  <si>
    <t>zcrm_51788000277709125</t>
  </si>
  <si>
    <t>manshu.poorvi_ei</t>
  </si>
  <si>
    <t>manshu.poorvi@ei.study</t>
  </si>
  <si>
    <t>Manshu poorvi</t>
  </si>
  <si>
    <t>Manshu Poorvi</t>
  </si>
  <si>
    <t>2025-04-09 10:51:32</t>
  </si>
  <si>
    <t>Prabhjot Anreja</t>
  </si>
  <si>
    <t>principal@billabongindore.com</t>
  </si>
  <si>
    <t>+919977400167</t>
  </si>
  <si>
    <t>info@billabonghighschoolindore.com</t>
  </si>
  <si>
    <t>Ms. Namita</t>
  </si>
  <si>
    <t>hr@billabongindore.com</t>
  </si>
  <si>
    <t>+919300950051</t>
  </si>
  <si>
    <t>Sanwer Road, near MIST College, behind Aurbindo Hospital, Limboda Gari</t>
  </si>
  <si>
    <t>453111</t>
  </si>
  <si>
    <t>Sanwer Road, near MIST College, behind Aurbindo Hospital,</t>
  </si>
  <si>
    <t>Near Mist College Behind Aurobindo Medical College Senwar Road</t>
  </si>
  <si>
    <t>22028000036043416</t>
  </si>
  <si>
    <t>51788000002796656</t>
  </si>
  <si>
    <t>zcrm_51788000303485144</t>
  </si>
  <si>
    <t>2025-12-26 14:53:52</t>
  </si>
  <si>
    <t>admissions.balewadi@globalindianschool.org</t>
  </si>
  <si>
    <t>MITUL</t>
  </si>
  <si>
    <t>Nande - Balewadi Rd</t>
  </si>
  <si>
    <t>Nande - Balewadi</t>
  </si>
  <si>
    <t>Lokmanya Tilak International School</t>
  </si>
  <si>
    <t>259187</t>
  </si>
  <si>
    <t>5336.12</t>
  </si>
  <si>
    <t>2026-02-20 00:00:00</t>
  </si>
  <si>
    <t>518374</t>
  </si>
  <si>
    <t>515486</t>
  </si>
  <si>
    <t>-2448</t>
  </si>
  <si>
    <t>0.6283</t>
  </si>
  <si>
    <t>2026-03-16 00:00:00</t>
  </si>
  <si>
    <t>22028000028375300</t>
  </si>
  <si>
    <t>51788000002796663</t>
  </si>
  <si>
    <t>zcrm_51788000258154111</t>
  </si>
  <si>
    <t>2025-03-01 14:34:58</t>
  </si>
  <si>
    <t>Mrs. Mrs.Ritu Kapur</t>
  </si>
  <si>
    <t>ltis.ltjss@gmail.com</t>
  </si>
  <si>
    <t>+919920743795</t>
  </si>
  <si>
    <t>Ritu Kapur</t>
  </si>
  <si>
    <t>Bindu</t>
  </si>
  <si>
    <t>chitkaras@rediffmail.com</t>
  </si>
  <si>
    <t>+919819866180</t>
  </si>
  <si>
    <t>Plot 93 to 99</t>
  </si>
  <si>
    <t>400709</t>
  </si>
  <si>
    <t>Plot 93 To 99,</t>
  </si>
  <si>
    <t>MUML11522A</t>
  </si>
  <si>
    <t>Plot 93 To 99, Sector 4, Koparkhairane</t>
  </si>
  <si>
    <t>Lopa/Sumit</t>
  </si>
  <si>
    <t>3050</t>
  </si>
  <si>
    <t>260061, 28198, 28798</t>
  </si>
  <si>
    <t>5460, 720, 744</t>
  </si>
  <si>
    <t>2025-07-21 00:00:00, 2025-10-29 00:00:00</t>
  </si>
  <si>
    <t>1040244, 112792, 115192</t>
  </si>
  <si>
    <t>55652, 574983, 62307</t>
  </si>
  <si>
    <t>459801, 52165, 56396</t>
  </si>
  <si>
    <t>0.077, 0.4667, 0.5001</t>
  </si>
  <si>
    <t>2025-04-16 00:00:00, 2025-04-21 00:00:00, 2025-04-30 00:00:00</t>
  </si>
  <si>
    <t>22028000029429352, 22028000029429520, 22028000029429572</t>
  </si>
  <si>
    <t>zcrm_51788000289153001, zcrm_51788000289153177, zcrm_51788000289153353</t>
  </si>
  <si>
    <t>2025-04-21 17:56:47, 2025-04-21 17:57:18, 2025-04-21 17:57:31</t>
  </si>
  <si>
    <t>Debashis Majumder, Mr. Debashis Majumder</t>
  </si>
  <si>
    <t>debashism@gmail.com</t>
  </si>
  <si>
    <t>+919830747008</t>
  </si>
  <si>
    <t>New town</t>
  </si>
  <si>
    <t>215, 802</t>
  </si>
  <si>
    <t>2026-02-09 00:00:00, 2026-02-10 00:00:00</t>
  </si>
  <si>
    <t>1351417, 664367, 90283</t>
  </si>
  <si>
    <t>1100000, 597930, 76819</t>
  </si>
  <si>
    <t>13464, 251417, 66437</t>
  </si>
  <si>
    <t>0.46259999999999996, 0.49950000000000006, 0.5508</t>
  </si>
  <si>
    <t>0.41259999999999997, 0.4495, 0.4508</t>
  </si>
  <si>
    <t>22028000031218364, 22028000031218400, 22028000034907224</t>
  </si>
  <si>
    <t>zcrm_51788000289811682, zcrm_51788000292614693</t>
  </si>
  <si>
    <t>2025-06-30 14:40:27, 2025-06-30 18:43:47, 2025-11-20 11:20:32</t>
  </si>
  <si>
    <t>C/o Bhalodia farm Taraghadi village,</t>
  </si>
  <si>
    <t>2025-03-05 00:00:00, 2025-07-19 00:00:00</t>
  </si>
  <si>
    <t>0, 303185, 521532</t>
  </si>
  <si>
    <t>2000-01-01 00:00:00, 2025-07-15 00:00:00, 2025-12-15 00:00:00</t>
  </si>
  <si>
    <t>0, 151593, 521532</t>
  </si>
  <si>
    <t>0, 151593</t>
  </si>
  <si>
    <t>0, 10431, 11545</t>
  </si>
  <si>
    <t>2025-03-21 00:00:00, 2026-01-05 00:00:00</t>
  </si>
  <si>
    <t>0, 1043064, 606371</t>
  </si>
  <si>
    <t>0, 511100, 669618</t>
  </si>
  <si>
    <t>-74792, 0, 521533</t>
  </si>
  <si>
    <t>0.5201, 0.5556, 1</t>
  </si>
  <si>
    <t>2025-03-15 00:00:00, 2025-04-01 00:00:00, 2025-07-01 00:00:00</t>
  </si>
  <si>
    <t>2026-03-14 00:00:00, 2026-03-15 00:00:00, 2026-03-31 00:00:00</t>
  </si>
  <si>
    <t>22028000028484200, 22028000028487816, 22028000031663216</t>
  </si>
  <si>
    <t>zcrm_51788000286024006, zcrm_51788000286025001, zcrm_51788000293612038</t>
  </si>
  <si>
    <t>2025-03-12 15:39:15, 2025-03-12 15:40:24, 2025-07-19 10:08:49</t>
  </si>
  <si>
    <t>Mr. Balabhadra Sahoo, Mr. Biju Thomas</t>
  </si>
  <si>
    <t>Accounts, Other</t>
  </si>
  <si>
    <t>balabhadra.sahoo@meruinternationalschool.com, viceprincipal@meruinternationalschool.com</t>
  </si>
  <si>
    <t>+919121000408, +919154663305</t>
  </si>
  <si>
    <t>Mr. Balabhadra Sahoo, Ms. Raksha Lapasya, Ms.Raksha Lapasya</t>
  </si>
  <si>
    <t>accountsmanager@meruinternationalschool.com, principal@meruinternationalschool.com</t>
  </si>
  <si>
    <t>+919100666095, +919121000408, +919618410003</t>
  </si>
  <si>
    <t>Mr. Bijo Thomas, Ms. Nidhi Singh, Prasanti</t>
  </si>
  <si>
    <t>nidhisingh@meruinternationalschool.com, prasanti.mv@meruinternationalschool.com, viceprincipal@meruinternationalschool.com</t>
  </si>
  <si>
    <t>+918121029792, +919154663305, +919959355547</t>
  </si>
  <si>
    <t>Sy. No. 97(P) &amp; 98, Adjacent to My Home Jewel, Madeenaguda</t>
  </si>
  <si>
    <t>0, 84109</t>
  </si>
  <si>
    <t>22320, 8460</t>
  </si>
  <si>
    <t>2025-09-29 00:00:00, 2025-12-30 00:00:00</t>
  </si>
  <si>
    <t>2025-12-30 00:00:00, 2026-01-28 00:00:00</t>
  </si>
  <si>
    <t>110400, 336436</t>
  </si>
  <si>
    <t>118140, 272875</t>
  </si>
  <si>
    <t>-16200, 41241</t>
  </si>
  <si>
    <t>0.555, 0.6</t>
  </si>
  <si>
    <t>22028000029406332, 22028000029695076</t>
  </si>
  <si>
    <t>zcrm_51788000288882382, zcrm_51788000289568541</t>
  </si>
  <si>
    <t>2025-04-21 10:06:58, 2025-05-15 11:06:53</t>
  </si>
  <si>
    <t>srprincipal@saiinternational.edu.in, srprincipal@saiinternational.org</t>
  </si>
  <si>
    <t>Soumyadipto Maitra</t>
  </si>
  <si>
    <t>dhm@sirs.edu.in</t>
  </si>
  <si>
    <t>+919051811602</t>
  </si>
  <si>
    <t>SAI Vihar, 1400 Ramdaspur,, SECUREWAYS LOGISTICS PRIVATE LIMITED (STUDENT GALLERY), Plot No : N / 33 &amp; 34, Chandka Industrial Estate, Near OTV office,</t>
  </si>
  <si>
    <t>SAI International Residential School SAI Vihar, 1400, Ramdaspur, Nuagaon, Godisahi,, SAI Vihar, 1400 Ramdaspur,</t>
  </si>
  <si>
    <t>SGS International School</t>
  </si>
  <si>
    <t>16274</t>
  </si>
  <si>
    <t>156229</t>
  </si>
  <si>
    <t>152975</t>
  </si>
  <si>
    <t>325478</t>
  </si>
  <si>
    <t>295478</t>
  </si>
  <si>
    <t>22028000026498976</t>
  </si>
  <si>
    <t>zcrm_51788000277321258</t>
  </si>
  <si>
    <t>2025-03-25 14:31:41</t>
  </si>
  <si>
    <t>Ms. Dewpha Mukherjee Patra</t>
  </si>
  <si>
    <t>2025-02-17 00:00:00, 2025-10-16 00:00:00</t>
  </si>
  <si>
    <t>0, 3200</t>
  </si>
  <si>
    <t>2000-01-01 00:00:00, 2025-04-05 00:00:00</t>
  </si>
  <si>
    <t>0, 283195</t>
  </si>
  <si>
    <t>0, 123977.83</t>
  </si>
  <si>
    <t>0, 1132780</t>
  </si>
  <si>
    <t>0, 1153883</t>
  </si>
  <si>
    <t>-145081, 0</t>
  </si>
  <si>
    <t>0.4587, 1</t>
  </si>
  <si>
    <t>2, 6</t>
  </si>
  <si>
    <t>22028000028092332, 22028000033967036</t>
  </si>
  <si>
    <t>zcrm_51788000284293074, zcrm_51788000298637003</t>
  </si>
  <si>
    <t>2025-02-24 17:40:18, 2025-10-17 09:44:43</t>
  </si>
  <si>
    <t>Dr Pampa Chaudhuri</t>
  </si>
  <si>
    <t>Abira Mishra</t>
  </si>
  <si>
    <t>principal.cbse@pictmodelschool.edu.in</t>
  </si>
  <si>
    <t>+919075094209</t>
  </si>
  <si>
    <t>Survey no 6&amp;7/54B, Mahalunge,Pune</t>
  </si>
  <si>
    <t>Mumbai Bypass Rd</t>
  </si>
  <si>
    <t>Jain Public School</t>
  </si>
  <si>
    <t>22028000036021656</t>
  </si>
  <si>
    <t>51788000002797664</t>
  </si>
  <si>
    <t>zcrm_51788000303205397</t>
  </si>
  <si>
    <t>2026-01-02 09:57:02</t>
  </si>
  <si>
    <t>Mr. Saravanan Thiyagaran</t>
  </si>
  <si>
    <t>jpschennai@gmail.com</t>
  </si>
  <si>
    <t>+919962254826</t>
  </si>
  <si>
    <t>info@jpschennai.org</t>
  </si>
  <si>
    <t>Thirumudivakkam</t>
  </si>
  <si>
    <t>600044</t>
  </si>
  <si>
    <t>Thirumudivakkam Main Road, Chrompet, Chennai</t>
  </si>
  <si>
    <t>Vega School, Sector 48, Gurugram</t>
  </si>
  <si>
    <t>67080</t>
  </si>
  <si>
    <t>22028000033585432</t>
  </si>
  <si>
    <t>zcrm_51788000298019162</t>
  </si>
  <si>
    <t>2025-10-15 18:39:01</t>
  </si>
  <si>
    <t>komal.sood@vega.edu.in</t>
  </si>
  <si>
    <t>+919818556994</t>
  </si>
  <si>
    <t>Sohna Road</t>
  </si>
  <si>
    <t>2025-04-24 00:00:00, 2025-05-02 00:00:00</t>
  </si>
  <si>
    <t>141239, 173964</t>
  </si>
  <si>
    <t>0, 14335</t>
  </si>
  <si>
    <t>564956, 695856</t>
  </si>
  <si>
    <t>0, 788679</t>
  </si>
  <si>
    <t>-238058, 695856</t>
  </si>
  <si>
    <t>0.1282, 0.5377000000000001</t>
  </si>
  <si>
    <t>2025-04-24 00:00:00, 2025-04-30 00:00:00</t>
  </si>
  <si>
    <t>22028000029537196, 22028000029795480</t>
  </si>
  <si>
    <t>zcrm_51788000289551177, zcrm_51788000289888352</t>
  </si>
  <si>
    <t>2025-04-24 16:49:15, 2025-05-02 18:50:17</t>
  </si>
  <si>
    <t>Ms. Sudha Sahay, Ms. Tanu Setia</t>
  </si>
  <si>
    <t>sudha.sahay@tsrs.org, tanu.setia@tsrs.org</t>
  </si>
  <si>
    <t>+919212117000, +919891369408</t>
  </si>
  <si>
    <t>Ms. Rabeena Singh, Ms. Sudha Sahay</t>
  </si>
  <si>
    <t>rabeena.singh@tsrs.org, sudha.sahay@tsrs.org</t>
  </si>
  <si>
    <t>The Shri Ram School, Sr. Aravali</t>
  </si>
  <si>
    <t>498338</t>
  </si>
  <si>
    <t>470400</t>
  </si>
  <si>
    <t>27938</t>
  </si>
  <si>
    <t>0.529</t>
  </si>
  <si>
    <t>22028000033782804</t>
  </si>
  <si>
    <t>zcrm_51788000298196625</t>
  </si>
  <si>
    <t>2025-10-16 12:16:31</t>
  </si>
  <si>
    <t>sonal.narang@anandniketan.org</t>
  </si>
  <si>
    <t>+919737047601</t>
  </si>
  <si>
    <t>648</t>
  </si>
  <si>
    <t>1574</t>
  </si>
  <si>
    <t>98523</t>
  </si>
  <si>
    <t>969368</t>
  </si>
  <si>
    <t>886708</t>
  </si>
  <si>
    <t>-15863</t>
  </si>
  <si>
    <t>0.7503</t>
  </si>
  <si>
    <t>0.5503</t>
  </si>
  <si>
    <t>22028000029236436</t>
  </si>
  <si>
    <t>zcrm_51788000288661042</t>
  </si>
  <si>
    <t>2025-04-23 12:20:01</t>
  </si>
  <si>
    <t>+919687277806</t>
  </si>
  <si>
    <t>Mr. Joginder</t>
  </si>
  <si>
    <t>+918672840499</t>
  </si>
  <si>
    <t>708</t>
  </si>
  <si>
    <t>2028</t>
  </si>
  <si>
    <t>91613</t>
  </si>
  <si>
    <t>-1537</t>
  </si>
  <si>
    <t>2025-04-18 00:00:00</t>
  </si>
  <si>
    <t>22028000029428572</t>
  </si>
  <si>
    <t>zcrm_51788000288911170</t>
  </si>
  <si>
    <t>2025-04-22 10:14:07</t>
  </si>
  <si>
    <t>Ms. Lakshmi Ganesh</t>
  </si>
  <si>
    <t>112017</t>
  </si>
  <si>
    <t>336051</t>
  </si>
  <si>
    <t>33834.62</t>
  </si>
  <si>
    <t>448068</t>
  </si>
  <si>
    <t>404912</t>
  </si>
  <si>
    <t>9321</t>
  </si>
  <si>
    <t>22028000031389064</t>
  </si>
  <si>
    <t>zcrm_51788000292962001</t>
  </si>
  <si>
    <t>2025-07-12 12:26:37</t>
  </si>
  <si>
    <t>739</t>
  </si>
  <si>
    <t>1320</t>
  </si>
  <si>
    <t>149324, 159490, 36960</t>
  </si>
  <si>
    <t>0, 33000</t>
  </si>
  <si>
    <t>2025-04-09 00:00:00, 2026-03-02 00:00:00</t>
  </si>
  <si>
    <t>147840, 597296, 637960</t>
  </si>
  <si>
    <t>33200, 379410, 634390</t>
  </si>
  <si>
    <t>-37094, 114640, 225550</t>
  </si>
  <si>
    <t>0.23620000000000002, 0.45, 0.493</t>
  </si>
  <si>
    <t>22028000028515368, 22028000028515420, 22028000028515468</t>
  </si>
  <si>
    <t>zcrm_51788000286168710, zcrm_51788000286200001, zcrm_51788000286200167</t>
  </si>
  <si>
    <t>2025-03-29 15:16:28, 2025-03-29 15:16:53, 2025-03-29 15:17:14</t>
  </si>
  <si>
    <t>+91919880412036</t>
  </si>
  <si>
    <t>Pratibha R Bhat</t>
  </si>
  <si>
    <t>pratibha.r.bhat@kumarans.org</t>
  </si>
  <si>
    <t>+919481470079</t>
  </si>
  <si>
    <t>2025-05-15 00:00:00, 2025-10-15 00:00:00</t>
  </si>
  <si>
    <t>142262, 185993, 61520</t>
  </si>
  <si>
    <t>2025-07-15 00:00:00, 2025-12-15 00:00:00</t>
  </si>
  <si>
    <t>0, 185993</t>
  </si>
  <si>
    <t>0, 7445</t>
  </si>
  <si>
    <t>2025-07-17 00:00:00, 2025-12-10 00:00:00</t>
  </si>
  <si>
    <t>123040, 284524, 743972</t>
  </si>
  <si>
    <t>142262, 552032, 61519</t>
  </si>
  <si>
    <t>142262, 184495, 61521</t>
  </si>
  <si>
    <t>0.23079999999999998, 0.4901, 0.6167</t>
  </si>
  <si>
    <t>2026-03-15 00:00:00</t>
  </si>
  <si>
    <t>22028000028914568, 22028000028914612, 22028000028914672</t>
  </si>
  <si>
    <t>zcrm_51788000287626083, zcrm_51788000287626265, zcrm_51788000287626423</t>
  </si>
  <si>
    <t>2025-04-16 17:41:47, 2025-04-16 17:42:00, 2025-04-16 17:42:08</t>
  </si>
  <si>
    <t>Ms. Swetha Reddy</t>
  </si>
  <si>
    <t>Ms. Lydia Christina, Ms. Lydia Chrstina</t>
  </si>
  <si>
    <t>principal@canaryschool.in</t>
  </si>
  <si>
    <t>+919000327443</t>
  </si>
  <si>
    <t>Dr. E Naveen Kumar</t>
  </si>
  <si>
    <t>Krushi Nagar Street, Beside Substation Road, Tiwari Nagar, Miyapur</t>
  </si>
  <si>
    <t>693</t>
  </si>
  <si>
    <t>30485</t>
  </si>
  <si>
    <t>0.5381</t>
  </si>
  <si>
    <t>22028000034846104</t>
  </si>
  <si>
    <t>zcrm_51788000300579223</t>
  </si>
  <si>
    <t>2025-11-19 10:41:14</t>
  </si>
  <si>
    <t>Mr. Amarnath Poola</t>
  </si>
  <si>
    <t>42842</t>
  </si>
  <si>
    <t>99964</t>
  </si>
  <si>
    <t>857</t>
  </si>
  <si>
    <t>142806</t>
  </si>
  <si>
    <t>41985</t>
  </si>
  <si>
    <t>0.36840000000000006</t>
  </si>
  <si>
    <t>22028000033397184</t>
  </si>
  <si>
    <t>zcrm_51788000297411001</t>
  </si>
  <si>
    <t>2025-09-26 12:45:19</t>
  </si>
  <si>
    <t>Ms. Neha Chheda</t>
  </si>
  <si>
    <t>+912222030410</t>
  </si>
  <si>
    <t>2025-06-07 00:00:00, 2026-02-06 00:00:00</t>
  </si>
  <si>
    <t>589</t>
  </si>
  <si>
    <t>2000-01-01 00:00:00, 2025-06-16 00:00:00</t>
  </si>
  <si>
    <t>0, 383094</t>
  </si>
  <si>
    <t>0, 371827</t>
  </si>
  <si>
    <t>1126748, 318060</t>
  </si>
  <si>
    <t>0, 309640</t>
  </si>
  <si>
    <t>318060, 817108</t>
  </si>
  <si>
    <t>0.5411, 0.7</t>
  </si>
  <si>
    <t>0.4911, 0.55</t>
  </si>
  <si>
    <t>2025-06-07 00:00:00, 2026-02-05 00:00:00</t>
  </si>
  <si>
    <t>22028000030775176, 22028000037049192</t>
  </si>
  <si>
    <t>zcrm_51788000291803071, zcrm_51788000306364001</t>
  </si>
  <si>
    <t>2025-06-07 16:50:06, 2026-02-06 17:48:34</t>
  </si>
  <si>
    <t>Dipen Chhotala, Mr. Dipen Chhotala</t>
  </si>
  <si>
    <t>Dipen Chhotala, Ms. Devyani</t>
  </si>
  <si>
    <t>dipen@gisgondal.com, principal@gisgondal.com</t>
  </si>
  <si>
    <t>+919512300351, +919512300368</t>
  </si>
  <si>
    <t>Ms. Rutvi, Paras Sharma</t>
  </si>
  <si>
    <t>headmistress@gisgondal.com, parassharma@gisgondal.com</t>
  </si>
  <si>
    <t>+919512300356, +919512300368</t>
  </si>
  <si>
    <t>1465</t>
  </si>
  <si>
    <t>2981</t>
  </si>
  <si>
    <t>395402</t>
  </si>
  <si>
    <t>383773</t>
  </si>
  <si>
    <t>20782.82</t>
  </si>
  <si>
    <t>1162948</t>
  </si>
  <si>
    <t>1163264</t>
  </si>
  <si>
    <t>-21099</t>
  </si>
  <si>
    <t>0.0231</t>
  </si>
  <si>
    <t>22028000029218248</t>
  </si>
  <si>
    <t>zcrm_51788000288673001</t>
  </si>
  <si>
    <t>2025-04-15 17:31:04</t>
  </si>
  <si>
    <t>Ms. Rekha Chari</t>
  </si>
  <si>
    <t>1713</t>
  </si>
  <si>
    <t>110482</t>
  </si>
  <si>
    <t>2026-01-09 00:00:00</t>
  </si>
  <si>
    <t>441928</t>
  </si>
  <si>
    <t>264835</t>
  </si>
  <si>
    <t>177093</t>
  </si>
  <si>
    <t>0.5106</t>
  </si>
  <si>
    <t>22028000030158236</t>
  </si>
  <si>
    <t>zcrm_51788000290420347</t>
  </si>
  <si>
    <t>2025-06-09 14:15:02</t>
  </si>
  <si>
    <t>svm.cbse.mds1314@gmail.com</t>
  </si>
  <si>
    <t>45929</t>
  </si>
  <si>
    <t>91858</t>
  </si>
  <si>
    <t>45010</t>
  </si>
  <si>
    <t>46848</t>
  </si>
  <si>
    <t>22028000033546120</t>
  </si>
  <si>
    <t>zcrm_51788000297800035</t>
  </si>
  <si>
    <t>2025-10-03 17:21:42</t>
  </si>
  <si>
    <t>+919067595936</t>
  </si>
  <si>
    <t>Vipin Kumar Yadav</t>
  </si>
  <si>
    <t>Vipinkumar.Yadav@svkm.ac.in</t>
  </si>
  <si>
    <t>+917498629732</t>
  </si>
  <si>
    <t>Near Priyadarshini Spinning Mill, Shirpur Chopda Road,</t>
  </si>
  <si>
    <t>Delhi Public School - Gautam Buddh Nagar</t>
  </si>
  <si>
    <t>223672</t>
  </si>
  <si>
    <t>447344</t>
  </si>
  <si>
    <t>894688</t>
  </si>
  <si>
    <t>876802</t>
  </si>
  <si>
    <t>17886</t>
  </si>
  <si>
    <t>22028000030099716</t>
  </si>
  <si>
    <t>51788000002799974</t>
  </si>
  <si>
    <t>zcrm_51788000286653904</t>
  </si>
  <si>
    <t>2025-05-23 18:22:26</t>
  </si>
  <si>
    <t>Ms. Supriti Chauhan</t>
  </si>
  <si>
    <t>principal@dps-gbn.org</t>
  </si>
  <si>
    <t>+919711225520</t>
  </si>
  <si>
    <t>info@dps-gbn.org</t>
  </si>
  <si>
    <t>Ms Sonia Saxena</t>
  </si>
  <si>
    <t>sonia.s520@dps-gbn.org</t>
  </si>
  <si>
    <t>+919910883089</t>
  </si>
  <si>
    <t>156000</t>
  </si>
  <si>
    <t>B-1, Sector-132, Noida-Greater Noida Expressway,</t>
  </si>
  <si>
    <t>B-1, Sector-132, Noida-Greater Noida Expressway, Gautam Buddh Nagar,</t>
  </si>
  <si>
    <t>2025-06-12 00:00:00, 2025-06-14 00:00:00</t>
  </si>
  <si>
    <t>696091, 83811</t>
  </si>
  <si>
    <t>138367.89, 8381</t>
  </si>
  <si>
    <t>2025-12-12 00:00:00, 2026-02-11 00:00:00</t>
  </si>
  <si>
    <t>1392182, 167622</t>
  </si>
  <si>
    <t>1245311, 150680</t>
  </si>
  <si>
    <t>8503, 8561</t>
  </si>
  <si>
    <t>0.44439999999999996, 0.7333</t>
  </si>
  <si>
    <t>2025-06-12 00:00:00, 2025-06-16 00:00:00</t>
  </si>
  <si>
    <t>22028000030865212, 22028000030962040</t>
  </si>
  <si>
    <t>zcrm_51788000292108651, zcrm_51788000292182001</t>
  </si>
  <si>
    <t>2025-06-14 14:19:50, 2025-06-14 14:20:06</t>
  </si>
  <si>
    <t>Rajaji Nagar, Bangaluru</t>
  </si>
  <si>
    <t>1170</t>
  </si>
  <si>
    <t>292500</t>
  </si>
  <si>
    <t>23534</t>
  </si>
  <si>
    <t>1170000</t>
  </si>
  <si>
    <t>1152023</t>
  </si>
  <si>
    <t>-5557</t>
  </si>
  <si>
    <t>22028000029984220</t>
  </si>
  <si>
    <t>zcrm_51788000290038010</t>
  </si>
  <si>
    <t>2025-05-13 12:02:54</t>
  </si>
  <si>
    <t>Rajat Behl</t>
  </si>
  <si>
    <t>Dr Subhash kumar</t>
  </si>
  <si>
    <t>+919604254646</t>
  </si>
  <si>
    <t>Gayatri Roy</t>
  </si>
  <si>
    <t>+919835362396</t>
  </si>
  <si>
    <t>835303</t>
  </si>
  <si>
    <t>Jajpur, Saparom, Itki RoadRanchi</t>
  </si>
  <si>
    <t>2025-01-29 00:00:00, 2025-03-17 00:00:00</t>
  </si>
  <si>
    <t>417</t>
  </si>
  <si>
    <t>976</t>
  </si>
  <si>
    <t>1835, 2754</t>
  </si>
  <si>
    <t>2025-04-20 00:00:00</t>
  </si>
  <si>
    <t>153954, 69068</t>
  </si>
  <si>
    <t>2025-05-14 00:00:00, 2025-12-18 00:00:00</t>
  </si>
  <si>
    <t>276272, 615816</t>
  </si>
  <si>
    <t>518782, 67685</t>
  </si>
  <si>
    <t>208587, 97034</t>
  </si>
  <si>
    <t>0.09720000000000001, 0.6992</t>
  </si>
  <si>
    <t>22028000027650432, 22028000028745056</t>
  </si>
  <si>
    <t>zcrm_51788000282956033, zcrm_51788000283214001</t>
  </si>
  <si>
    <t>2025-02-21 10:24:39, 2025-05-05 17:17:30</t>
  </si>
  <si>
    <t>Mawmita Dutta, Ms. Mawmita Dutta</t>
  </si>
  <si>
    <t>Ms Sumi Dowrah, Sumi Dowarah</t>
  </si>
  <si>
    <t>+919435149061, +919706846540</t>
  </si>
  <si>
    <t>Behind Padmadhar Chaliha Statue,</t>
  </si>
  <si>
    <t>170704</t>
  </si>
  <si>
    <t>165683</t>
  </si>
  <si>
    <t>39973</t>
  </si>
  <si>
    <t>502070</t>
  </si>
  <si>
    <t>356252</t>
  </si>
  <si>
    <t>105845</t>
  </si>
  <si>
    <t>0.507</t>
  </si>
  <si>
    <t>22028000025169016</t>
  </si>
  <si>
    <t>zcrm_51788000274692491</t>
  </si>
  <si>
    <t>2024-10-01 10:02:24</t>
  </si>
  <si>
    <t>+919453796033</t>
  </si>
  <si>
    <t>+919340711842</t>
  </si>
  <si>
    <t>1266</t>
  </si>
  <si>
    <t>197098, 62751</t>
  </si>
  <si>
    <t>251004, 788392</t>
  </si>
  <si>
    <t>218089, 591233.6</t>
  </si>
  <si>
    <t>197158, 32915</t>
  </si>
  <si>
    <t>0.4972, 0.585</t>
  </si>
  <si>
    <t>22028000028673056, 22028000028673240</t>
  </si>
  <si>
    <t>zcrm_51788000275310590, zcrm_51788000286985454</t>
  </si>
  <si>
    <t>2025-03-25 13:37:57, 2025-03-25 13:38:28</t>
  </si>
  <si>
    <t>Mr. Joydip Sah</t>
  </si>
  <si>
    <t>morningbellsacademy19@gmail.com</t>
  </si>
  <si>
    <t>+919883118648</t>
  </si>
  <si>
    <t>Debopriya Ma'am</t>
  </si>
  <si>
    <t>+918777817141, +919883118648</t>
  </si>
  <si>
    <t>Santhanam Vidhyalaya</t>
  </si>
  <si>
    <t>56610</t>
  </si>
  <si>
    <t>54945</t>
  </si>
  <si>
    <t>2236</t>
  </si>
  <si>
    <t>166500</t>
  </si>
  <si>
    <t>163904</t>
  </si>
  <si>
    <t>360</t>
  </si>
  <si>
    <t>22028000031354188</t>
  </si>
  <si>
    <t>51788000002800551</t>
  </si>
  <si>
    <t>zcrm_51788000269038640</t>
  </si>
  <si>
    <t>2025-07-14 12:04:29</t>
  </si>
  <si>
    <t>Padma G</t>
  </si>
  <si>
    <t>principalsv@santhanamcbse.ac.in</t>
  </si>
  <si>
    <t>+919345672761</t>
  </si>
  <si>
    <t>santhanamvidhyalaya@gmail.com</t>
  </si>
  <si>
    <t>Mrs Padmasrinivasan</t>
  </si>
  <si>
    <t>Mrs Sree Pallavi</t>
  </si>
  <si>
    <t>sreepallavi@santhanamcbse.ac.in</t>
  </si>
  <si>
    <t>+917013753602</t>
  </si>
  <si>
    <t>Vidyaganapathy Nagar,</t>
  </si>
  <si>
    <t>620008</t>
  </si>
  <si>
    <t>Vidyaganapathy Nagar, St.Antoniyar Kovil Street, EB Road,</t>
  </si>
  <si>
    <t>CHEL08061E</t>
  </si>
  <si>
    <t>St.Antoniyar Kovil Street, EB Road, Tirchirappalli -620 008</t>
  </si>
  <si>
    <t>Amneev Vision School , Etawah</t>
  </si>
  <si>
    <t>75036</t>
  </si>
  <si>
    <t>300144</t>
  </si>
  <si>
    <t>296178</t>
  </si>
  <si>
    <t>3966</t>
  </si>
  <si>
    <t>0.519</t>
  </si>
  <si>
    <t>22028000028975156</t>
  </si>
  <si>
    <t>51788000002800720</t>
  </si>
  <si>
    <t>zcrm_51788000286919578</t>
  </si>
  <si>
    <t>2025-03-29 15:37:39</t>
  </si>
  <si>
    <t>Mr. Vikas Yadav</t>
  </si>
  <si>
    <t>principal@mlzsetawah.edu.in</t>
  </si>
  <si>
    <t>+917017024449</t>
  </si>
  <si>
    <t>principalmlzsetawah@gmail.com</t>
  </si>
  <si>
    <t>59000</t>
  </si>
  <si>
    <t>Sai City (Udaypura) Farrukhabad Road NH92 Etawah</t>
  </si>
  <si>
    <t>Sai City, Udaypura, Farrukhabad Road (Nh-92), Etawah (U.P.)</t>
  </si>
  <si>
    <t>Thangam World School</t>
  </si>
  <si>
    <t>205790</t>
  </si>
  <si>
    <t>823160</t>
  </si>
  <si>
    <t>763200</t>
  </si>
  <si>
    <t>59960</t>
  </si>
  <si>
    <t>22028000028790452</t>
  </si>
  <si>
    <t>51788000002800764</t>
  </si>
  <si>
    <t>zcrm_51788000287218890</t>
  </si>
  <si>
    <t>2025-03-24 10:42:04</t>
  </si>
  <si>
    <t>Mrs. Deepa T .</t>
  </si>
  <si>
    <t>accademiccordinator@tws.com</t>
  </si>
  <si>
    <t>+919994390170</t>
  </si>
  <si>
    <t>academiccoordinator@tws.edu.in</t>
  </si>
  <si>
    <t>Mrs Moumitha</t>
  </si>
  <si>
    <t>Mrs Sujatha</t>
  </si>
  <si>
    <t>No:79,</t>
  </si>
  <si>
    <t>636103</t>
  </si>
  <si>
    <t>No:79,New Attur Bye-Pass, Ayotiyapattinam, Salem-636103</t>
  </si>
  <si>
    <t>New Attur Bye-Pass, Ayotiyapattinam, Salem-636103</t>
  </si>
  <si>
    <t>820</t>
  </si>
  <si>
    <t>262545</t>
  </si>
  <si>
    <t>43129.97</t>
  </si>
  <si>
    <t>2026-02-03 00:00:00</t>
  </si>
  <si>
    <t>1050180</t>
  </si>
  <si>
    <t>1063154</t>
  </si>
  <si>
    <t>-56104</t>
  </si>
  <si>
    <t>0.4536</t>
  </si>
  <si>
    <t>0.4036</t>
  </si>
  <si>
    <t>22028000029692108</t>
  </si>
  <si>
    <t>zcrm_51788000289848001</t>
  </si>
  <si>
    <t>2025-05-06 12:47:45</t>
  </si>
  <si>
    <t>Plot No. 58/1</t>
  </si>
  <si>
    <t>Plot No. 58/1, knowledge park-5,</t>
  </si>
  <si>
    <t>401391</t>
  </si>
  <si>
    <t>26948</t>
  </si>
  <si>
    <t>1605564</t>
  </si>
  <si>
    <t>1563007</t>
  </si>
  <si>
    <t>15609</t>
  </si>
  <si>
    <t>22028000029199180</t>
  </si>
  <si>
    <t>zcrm_51788000288647055</t>
  </si>
  <si>
    <t>2025-04-10 15:12:05</t>
  </si>
  <si>
    <t>Suparna Chatterjee</t>
  </si>
  <si>
    <t>Address: Block â FA</t>
  </si>
  <si>
    <t>Modi School, CBSE</t>
  </si>
  <si>
    <t>2025-05-13 00:00:00, 2025-08-20 00:00:00, 2025-09-01 00:00:00, 2025-09-05 00:00:00</t>
  </si>
  <si>
    <t>2500, 2503, 2504</t>
  </si>
  <si>
    <t>2000-01-01 00:00:00, 2025-05-20 00:00:00</t>
  </si>
  <si>
    <t>0, 191035</t>
  </si>
  <si>
    <t>2000-01-01 00:00:00, 2025-06-30 00:00:00</t>
  </si>
  <si>
    <t>0, 382070</t>
  </si>
  <si>
    <t>2000-01-01 00:00:00, 2025-08-30 00:00:00</t>
  </si>
  <si>
    <t>2025-06-01 00:00:00, 2025-12-04 00:00:00</t>
  </si>
  <si>
    <t>121112, 357045, 5908, 764140</t>
  </si>
  <si>
    <t>0, 121112, 5908.26, 668269</t>
  </si>
  <si>
    <t>0, 357045, 95871</t>
  </si>
  <si>
    <t>0.5083, 0.5529999999999999, 0.6555</t>
  </si>
  <si>
    <t>0.45299999999999996, 0.5083, 0.5555</t>
  </si>
  <si>
    <t>2026-03-31 00:00:00, 2026-05-30 00:00:00, 2026-05-31 00:00:00</t>
  </si>
  <si>
    <t>22028000030021208, 22028000032376040, 22028000032654668, 22028000032834052</t>
  </si>
  <si>
    <t>51788000002801371</t>
  </si>
  <si>
    <t>zcrm_51788000287217698</t>
  </si>
  <si>
    <t>2025-06-02 12:49:38, 2025-08-22 17:59:54, 2025-09-01 17:05:01, 2025-09-06 10:16:14</t>
  </si>
  <si>
    <t>Mr Dhaval Modi, Mr. Dhaval Modi, Nakul Swamy</t>
  </si>
  <si>
    <t>Other, Principal, School Owner</t>
  </si>
  <si>
    <t>dhaval.modi@modischools.edu.in, nakul.swamy@ei.study</t>
  </si>
  <si>
    <t>+919879518784, +919909603695</t>
  </si>
  <si>
    <t>dhaval.modi@modischools.edu.in</t>
  </si>
  <si>
    <t>Kavita Acharya, Nakul Swamy</t>
  </si>
  <si>
    <t>modischoolcbse@gmail.com, nakul.swamy@ei.study</t>
  </si>
  <si>
    <t>+9170690237574, +919879518784, +919909998390</t>
  </si>
  <si>
    <t>Kavita Acharya, Mr. Dhaval Modi, Nakul Swamy</t>
  </si>
  <si>
    <t>dhaval.modi@modischools.edu.in, modischoolcbse@gmail.com, nakul.swamy@ei.study</t>
  </si>
  <si>
    <t>+9170690237574, +919879518784, +919909603695</t>
  </si>
  <si>
    <t>At. Ishwariya Village</t>
  </si>
  <si>
    <t>Opp. Metoda GIDC</t>
  </si>
  <si>
    <t>Opp. Methoda GIDC, Kalawad Road, At. Ishwariya village, Ta. Padadhari</t>
  </si>
  <si>
    <t>274336</t>
  </si>
  <si>
    <t>0.5938</t>
  </si>
  <si>
    <t>0.4938</t>
  </si>
  <si>
    <t>22028000033814132</t>
  </si>
  <si>
    <t>zcrm_51788000298313217</t>
  </si>
  <si>
    <t>2025-11-03 16:26:31</t>
  </si>
  <si>
    <t>Mr. Niren Jani</t>
  </si>
  <si>
    <t>principal@innovativeinternationalschool.com</t>
  </si>
  <si>
    <t>+919909065065</t>
  </si>
  <si>
    <t>39308</t>
  </si>
  <si>
    <t>393075</t>
  </si>
  <si>
    <t>353767</t>
  </si>
  <si>
    <t>0.3823</t>
  </si>
  <si>
    <t>22028000027899496</t>
  </si>
  <si>
    <t>zcrm_51788000283809001</t>
  </si>
  <si>
    <t>2025-02-10 17:27:59</t>
  </si>
  <si>
    <t>Ranjeet Kumar Jha</t>
  </si>
  <si>
    <t>Dr Priya Shrivastava</t>
  </si>
  <si>
    <t>priyashrivastava@chan.christelhouseindia.org</t>
  </si>
  <si>
    <t>+917011460706</t>
  </si>
  <si>
    <t>Mr Ajay Kumar Nirmalkar</t>
  </si>
  <si>
    <t>eaedu@chan.christelhouseindia.org</t>
  </si>
  <si>
    <t>+918120336712</t>
  </si>
  <si>
    <t>187509, 77738</t>
  </si>
  <si>
    <t>15191, 7435</t>
  </si>
  <si>
    <t>155476, 375018</t>
  </si>
  <si>
    <t>164068, 66917</t>
  </si>
  <si>
    <t>195759, 81124</t>
  </si>
  <si>
    <t>22028000030714948, 22028000030714992</t>
  </si>
  <si>
    <t>zcrm_51788000291692356, zcrm_51788000291692581</t>
  </si>
  <si>
    <t>2025-06-05 15:16:32, 2025-06-05 15:16:45</t>
  </si>
  <si>
    <t>Maruf Shaikh, Roopali Kagi</t>
  </si>
  <si>
    <t>kleschoolbgm2@gmail.com, maruf.shaikh@ei.study</t>
  </si>
  <si>
    <t>+19016039311, +918073851200</t>
  </si>
  <si>
    <t>Maruf Shaikh, Ms Amruta</t>
  </si>
  <si>
    <t>The Green Acres Academy- Mulund</t>
  </si>
  <si>
    <t>22028000025812096</t>
  </si>
  <si>
    <t>51788000002801596</t>
  </si>
  <si>
    <t>zcrm_51788000276306786</t>
  </si>
  <si>
    <t>2024-10-30 18:09:40</t>
  </si>
  <si>
    <t>Ms. Nam Agrawal</t>
  </si>
  <si>
    <t>+919969949998</t>
  </si>
  <si>
    <t>mulund@tgaa.in</t>
  </si>
  <si>
    <t>Patricia Nair</t>
  </si>
  <si>
    <t>+919819938443</t>
  </si>
  <si>
    <t>10100</t>
  </si>
  <si>
    <t>Yogi Hills, Mulund West</t>
  </si>
  <si>
    <t>400080</t>
  </si>
  <si>
    <t>2102</t>
  </si>
  <si>
    <t>248017, 252487, 78469</t>
  </si>
  <si>
    <t>4707.75, 8491.75, 8952.380000000001</t>
  </si>
  <si>
    <t>2025-12-18 00:00:00</t>
  </si>
  <si>
    <t>1009948, 313876, 992068</t>
  </si>
  <si>
    <t>230699.25, 573651.2, 746065.4</t>
  </si>
  <si>
    <t>237511, 427344, 78469</t>
  </si>
  <si>
    <t>0.3111, 0.55, 0.5706</t>
  </si>
  <si>
    <t>0.2778, 0.55, 0.5706</t>
  </si>
  <si>
    <t>0.0333</t>
  </si>
  <si>
    <t>2025-04-01 00:00:00, 2025-07-01 00:00:00</t>
  </si>
  <si>
    <t>22028000031082640, 22028000031082716, 22028000031082768</t>
  </si>
  <si>
    <t>zcrm_51788000292497039, zcrm_51788000292497197, zcrm_51788000292497361</t>
  </si>
  <si>
    <t>2025-06-30 19:06:41, 2025-06-30 19:06:59, 2025-06-30 19:07:18</t>
  </si>
  <si>
    <t>Ms. Sarah Thomas</t>
  </si>
  <si>
    <t>+919820810279</t>
  </si>
  <si>
    <t>Ms. Sarah Thomas, Sarah Thomas</t>
  </si>
  <si>
    <t>Ms. Dias</t>
  </si>
  <si>
    <t>dorothy.dias@campionmumbai.org</t>
  </si>
  <si>
    <t>36015</t>
  </si>
  <si>
    <t>360145</t>
  </si>
  <si>
    <t>324130</t>
  </si>
  <si>
    <t>22028000030653184</t>
  </si>
  <si>
    <t>zcrm_51788000291587174</t>
  </si>
  <si>
    <t>2025-07-12 13:54:05</t>
  </si>
  <si>
    <t>Ms. Bharani P</t>
  </si>
  <si>
    <t>admin.vn@globaledgeschool.com</t>
  </si>
  <si>
    <t>+919642722233</t>
  </si>
  <si>
    <t>Sri National School</t>
  </si>
  <si>
    <t>42371</t>
  </si>
  <si>
    <t>127112</t>
  </si>
  <si>
    <t>423707</t>
  </si>
  <si>
    <t>140664</t>
  </si>
  <si>
    <t>283043</t>
  </si>
  <si>
    <t>Gobichettipalayam</t>
  </si>
  <si>
    <t>2026-05-29 00:00:00</t>
  </si>
  <si>
    <t>22028000026871088</t>
  </si>
  <si>
    <t>51788000002801983</t>
  </si>
  <si>
    <t>zcrm_51788000276955391</t>
  </si>
  <si>
    <t>2024-12-18 13:06:36</t>
  </si>
  <si>
    <t>Anupama Vishnu .</t>
  </si>
  <si>
    <t>snsgopi@gmail.com</t>
  </si>
  <si>
    <t>+919489203269</t>
  </si>
  <si>
    <t>snsgobi@gmail.com</t>
  </si>
  <si>
    <t>Ms Srividya</t>
  </si>
  <si>
    <t>Ms Shalini</t>
  </si>
  <si>
    <t>Opp to Meenakshi Amman Temple,</t>
  </si>
  <si>
    <t>638452</t>
  </si>
  <si>
    <t>Opp to Meenakshi Amman Temple, Vaikkal Road</t>
  </si>
  <si>
    <t>Vaikkal Road</t>
  </si>
  <si>
    <t>La Montessori School, Ner Chowk</t>
  </si>
  <si>
    <t>0, 1446</t>
  </si>
  <si>
    <t>0, 65775</t>
  </si>
  <si>
    <t>0, 263100</t>
  </si>
  <si>
    <t>0, 98000</t>
  </si>
  <si>
    <t>0, 165100</t>
  </si>
  <si>
    <t>Bhangrotu</t>
  </si>
  <si>
    <t>22028000029652496, 22028000035053112</t>
  </si>
  <si>
    <t>51788000002801989</t>
  </si>
  <si>
    <t>zcrm_51788000289537786</t>
  </si>
  <si>
    <t>2025-04-30 10:57:54, 2025-11-25 12:45:17</t>
  </si>
  <si>
    <t>LMS Rd, Bhangrotu,</t>
  </si>
  <si>
    <t>175021</t>
  </si>
  <si>
    <t>LMS Rd, Bhangrotu, Himachal Pradesh 175021</t>
  </si>
  <si>
    <t>La Montessori School, Dunkhra</t>
  </si>
  <si>
    <t>0, 1461</t>
  </si>
  <si>
    <t>0, 65025</t>
  </si>
  <si>
    <t>0, 260100</t>
  </si>
  <si>
    <t>22028000029652420, 22028000035053172</t>
  </si>
  <si>
    <t>51788000002801990</t>
  </si>
  <si>
    <t>zcrm_51788000289593039</t>
  </si>
  <si>
    <t>2025-04-30 10:59:32, 2025-11-25 12:42:28</t>
  </si>
  <si>
    <t>Dunkhra</t>
  </si>
  <si>
    <t>175105</t>
  </si>
  <si>
    <t>Dunkhra Kullu</t>
  </si>
  <si>
    <t>Jari Kullu Road</t>
  </si>
  <si>
    <t>49140</t>
  </si>
  <si>
    <t>22028000031841640</t>
  </si>
  <si>
    <t>zcrm_51788000292054235</t>
  </si>
  <si>
    <t>2025-08-01 11:20:55</t>
  </si>
  <si>
    <t>Dr. Shailaja .</t>
  </si>
  <si>
    <t>chhavimathur.kkb@ked.edu.in</t>
  </si>
  <si>
    <t>+919810621797</t>
  </si>
  <si>
    <t>92/1, Sarjapur Chandapura road, Muthanallur</t>
  </si>
  <si>
    <t>2025-03-08 00:00:00</t>
  </si>
  <si>
    <t>53535</t>
  </si>
  <si>
    <t>214140</t>
  </si>
  <si>
    <t>215640</t>
  </si>
  <si>
    <t>-1500</t>
  </si>
  <si>
    <t>0.7141</t>
  </si>
  <si>
    <t>22028000028564236</t>
  </si>
  <si>
    <t>zcrm_51788000257894775</t>
  </si>
  <si>
    <t>2025-03-12 15:43:53</t>
  </si>
  <si>
    <t>Rinkinpong Rd, Kalimpong, Kashmahal</t>
  </si>
  <si>
    <t>7080</t>
  </si>
  <si>
    <t>354015</t>
  </si>
  <si>
    <t>346935</t>
  </si>
  <si>
    <t>22028000030234528</t>
  </si>
  <si>
    <t>zcrm_51788000290926517</t>
  </si>
  <si>
    <t>2025-06-25 11:27:52</t>
  </si>
  <si>
    <t>Ms. Rakhee</t>
  </si>
  <si>
    <t>+918685080003</t>
  </si>
  <si>
    <t>763</t>
  </si>
  <si>
    <t>2226</t>
  </si>
  <si>
    <t>102038, 189180</t>
  </si>
  <si>
    <t>2025-07-15 00:00:00, 2025-07-20 00:00:00</t>
  </si>
  <si>
    <t>2025-10-15 00:00:00, 2025-10-20 00:00:00</t>
  </si>
  <si>
    <t>10204, 18918</t>
  </si>
  <si>
    <t>2025-10-16 00:00:00, 2026-02-23 00:00:00</t>
  </si>
  <si>
    <t>408152, 756720</t>
  </si>
  <si>
    <t>525246, 91834</t>
  </si>
  <si>
    <t>212556, 306114</t>
  </si>
  <si>
    <t>0.3641, 0.4914</t>
  </si>
  <si>
    <t>22028000028562440, 22028000028562492</t>
  </si>
  <si>
    <t>zcrm_51788000285653753, zcrm_51788000285653977</t>
  </si>
  <si>
    <t>2025-04-04 16:18:00, 2025-04-04 16:18:21</t>
  </si>
  <si>
    <t>director@theinfinityschool.org</t>
  </si>
  <si>
    <t>+919811812118</t>
  </si>
  <si>
    <t>Charu Johar</t>
  </si>
  <si>
    <t>charu.johar@theinfinityschool.org</t>
  </si>
  <si>
    <t>+919953200145</t>
  </si>
  <si>
    <t>Zubair Ahmed</t>
  </si>
  <si>
    <t>zubair.ahmed@theinfinityschool.org</t>
  </si>
  <si>
    <t>Infinity School</t>
  </si>
  <si>
    <t>KLE Society^s Basava Residential Girls School - Kengeri</t>
  </si>
  <si>
    <t>40424, 97505</t>
  </si>
  <si>
    <t>3982, 8136</t>
  </si>
  <si>
    <t>195010, 80848</t>
  </si>
  <si>
    <t>35839, 87869</t>
  </si>
  <si>
    <t>41027, 99005</t>
  </si>
  <si>
    <t>22028000030719520, 22028000030719560</t>
  </si>
  <si>
    <t>zcrm_51788000291719360, zcrm_51788000291719585</t>
  </si>
  <si>
    <t>2025-06-05 15:21:17, 2025-06-05 15:21:25</t>
  </si>
  <si>
    <t>+9189016039311, +919016039311</t>
  </si>
  <si>
    <t>Maruf Shaikh, Ms. LATHA MALLIKARJUN</t>
  </si>
  <si>
    <t>basavakle2021@gmail.com, maruf.shaikh@ei.study</t>
  </si>
  <si>
    <t>+919016039311, +919513731315</t>
  </si>
  <si>
    <t>Geethanjali Maam, Maruf Shaikh</t>
  </si>
  <si>
    <t>2025-03-26 00:00:00, 2025-05-23 00:00:00</t>
  </si>
  <si>
    <t>1385</t>
  </si>
  <si>
    <t>1872, 2350</t>
  </si>
  <si>
    <t>0, 16650, 38440, 76967</t>
  </si>
  <si>
    <t>2000-01-01 00:00:00, 2025-06-15 00:00:00</t>
  </si>
  <si>
    <t>153760, 2209, 307868, 66600</t>
  </si>
  <si>
    <t>0.6, 0.6224000000000001, 0.6931999999999999, 0.7432</t>
  </si>
  <si>
    <t>0.6, 0.6224000000000001, 0.6931999999999999</t>
  </si>
  <si>
    <t>2025-04-01 00:00:00, 2025-05-21 00:00:00</t>
  </si>
  <si>
    <t>22028000028916192, 22028000028916268, 22028000028916340, 22028000030339032</t>
  </si>
  <si>
    <t>zcrm_51788000287705141, zcrm_51788000287773033, zcrm_51788000287773266, zcrm_51788000291022001</t>
  </si>
  <si>
    <t>2025-04-03 11:53:35, 2025-04-03 11:54:48, 2025-04-05 17:57:42, 2025-05-23 17:56:37</t>
  </si>
  <si>
    <t>Mr. Mridul Batra</t>
  </si>
  <si>
    <t>Shahpur</t>
  </si>
  <si>
    <t>Global Indian International School, Hadapsar</t>
  </si>
  <si>
    <t>22028000036043452</t>
  </si>
  <si>
    <t>51788000002802720</t>
  </si>
  <si>
    <t>zcrm_51788000303485297</t>
  </si>
  <si>
    <t>2025-12-26 14:56:16</t>
  </si>
  <si>
    <t>principal.hadapsar@globalindianschool.org</t>
  </si>
  <si>
    <t>Bapusaheb</t>
  </si>
  <si>
    <t>Bapusaheb Tupe Rd</t>
  </si>
  <si>
    <t>2025-02-28 00:00:00, 2025-03-01 00:00:00</t>
  </si>
  <si>
    <t>2000-01-01 00:00:00, 2025-05-26 00:00:00</t>
  </si>
  <si>
    <t>0, 108011</t>
  </si>
  <si>
    <t>0, 324032</t>
  </si>
  <si>
    <t>2025-07-16 00:00:00, 2025-11-13 00:00:00</t>
  </si>
  <si>
    <t>115518, 432043</t>
  </si>
  <si>
    <t>100000, 154333</t>
  </si>
  <si>
    <t>15518, 277710</t>
  </si>
  <si>
    <t>0.3333, 0.5814</t>
  </si>
  <si>
    <t>0.2833, 0.4314</t>
  </si>
  <si>
    <t>22028000028340872, 22028000028373280</t>
  </si>
  <si>
    <t>zcrm_51788000285761344, zcrm_51788000285761513</t>
  </si>
  <si>
    <t>2025-03-03 10:51:18, 2025-03-03 10:51:39</t>
  </si>
  <si>
    <t>+917043370488</t>
  </si>
  <si>
    <t>Chirag Koshiya</t>
  </si>
  <si>
    <t>Springfields international school</t>
  </si>
  <si>
    <t>74814</t>
  </si>
  <si>
    <t>99752</t>
  </si>
  <si>
    <t>4987.34</t>
  </si>
  <si>
    <t>2026-02-27 00:00:00</t>
  </si>
  <si>
    <t>249380</t>
  </si>
  <si>
    <t>244390</t>
  </si>
  <si>
    <t>22028000028365328</t>
  </si>
  <si>
    <t>51788000002803187</t>
  </si>
  <si>
    <t>zcrm_51788000266630227</t>
  </si>
  <si>
    <t>2025-05-03 16:14:28</t>
  </si>
  <si>
    <t>Mrs. Kiranmai Kiranmai</t>
  </si>
  <si>
    <t>secondarycoordinator.sfi@springfieldsschool.com</t>
  </si>
  <si>
    <t>+918499900076</t>
  </si>
  <si>
    <t>principal_sfi@springfieldsschool.com</t>
  </si>
  <si>
    <t>JNS Kiranmai</t>
  </si>
  <si>
    <t>Near crimson engineering college</t>
  </si>
  <si>
    <t>500002</t>
  </si>
  <si>
    <t>Subhan Colony, Chandrayangutta</t>
  </si>
  <si>
    <t>HYDH04167C</t>
  </si>
  <si>
    <t>Subhan Colony, Chandrayangutta,</t>
  </si>
  <si>
    <t>1308, 1744</t>
  </si>
  <si>
    <t>516424, 70632, 831113</t>
  </si>
  <si>
    <t>2025-04-01 00:00:00, 2025-04-30 00:00:00</t>
  </si>
  <si>
    <t>57380, 7848, 92346</t>
  </si>
  <si>
    <t>10328, 1413, 15802</t>
  </si>
  <si>
    <t>573804, 78480, 923459</t>
  </si>
  <si>
    <t>506096, 69219, 916507</t>
  </si>
  <si>
    <t>-8850, 57380, 7848</t>
  </si>
  <si>
    <t>0.4825, 0.5083, 0.6729999999999999</t>
  </si>
  <si>
    <t>0.4325, 0.4583, 0.623</t>
  </si>
  <si>
    <t>22028000028755284, 22028000028755352, 22028000028755392</t>
  </si>
  <si>
    <t>zcrm_51788000284469035, zcrm_51788000286709001, zcrm_51788000286709164</t>
  </si>
  <si>
    <t>2025-03-20 16:11:46, 2025-03-20 16:12:24, 2025-03-20 16:12:53</t>
  </si>
  <si>
    <t>Mr. Ram Chand</t>
  </si>
  <si>
    <t>+919810163997</t>
  </si>
  <si>
    <t>Ms. Ruchika Sharma</t>
  </si>
  <si>
    <t>principal@pragyanschool.com</t>
  </si>
  <si>
    <t>Dr. Seema Sharma</t>
  </si>
  <si>
    <t>drseema@pragyanschool.com, seema1@pragyanschool.com</t>
  </si>
  <si>
    <t>+919910272118</t>
  </si>
  <si>
    <t>Block E, Chandila</t>
  </si>
  <si>
    <t>2025-03-26 00:00:00, 2025-04-07 00:00:00</t>
  </si>
  <si>
    <t>0, 1450, 1800, 900</t>
  </si>
  <si>
    <t>0, 436597, 72126, 80984</t>
  </si>
  <si>
    <t>2000-01-01 00:00:00, 2025-07-05 00:00:00</t>
  </si>
  <si>
    <t>2000-01-01 00:00:00, 2025-10-05 00:00:00</t>
  </si>
  <si>
    <t>0, 26626.96, 4360.38, 4781.5599999999995</t>
  </si>
  <si>
    <t>0, 1746388, 288504, 323936</t>
  </si>
  <si>
    <t>0, 2611363, 425773, 475819</t>
  </si>
  <si>
    <t>-141629, -156665, -891602, 0</t>
  </si>
  <si>
    <t>0.4424, 0.48560000000000003, 0.5001, 1</t>
  </si>
  <si>
    <t>22028000028924208, 22028000028924580, 22028000028924644, 22028000029163444</t>
  </si>
  <si>
    <t>zcrm_51788000287640019, zcrm_51788000287758003, zcrm_51788000287758293, zcrm_51788000288347001</t>
  </si>
  <si>
    <t>2025-03-28 16:19:09, 2025-03-28 16:21:25, 2025-04-01 16:40:27, 2025-04-08 12:09:12</t>
  </si>
  <si>
    <t>Sr. Nelia Mary</t>
  </si>
  <si>
    <t>Sr Nelia Mary, Sr. Nelia Mary</t>
  </si>
  <si>
    <t>Moumita Sengupta, Sr. Nelia Mary</t>
  </si>
  <si>
    <t>+919101680424, +919435330013</t>
  </si>
  <si>
    <t>789063</t>
  </si>
  <si>
    <t>808000</t>
  </si>
  <si>
    <t>-18937</t>
  </si>
  <si>
    <t>0.3592</t>
  </si>
  <si>
    <t>0.1592</t>
  </si>
  <si>
    <t>22028000029428608</t>
  </si>
  <si>
    <t>zcrm_51788000288060057</t>
  </si>
  <si>
    <t>2025-04-21 10:13:33</t>
  </si>
  <si>
    <t>Bindi Thomas</t>
  </si>
  <si>
    <t>+918000020033</t>
  </si>
  <si>
    <t>Westwood School</t>
  </si>
  <si>
    <t>377577</t>
  </si>
  <si>
    <t>15103.06</t>
  </si>
  <si>
    <t>755154</t>
  </si>
  <si>
    <t>740053</t>
  </si>
  <si>
    <t>22028000034725404</t>
  </si>
  <si>
    <t>zcrm_51788000300061025</t>
  </si>
  <si>
    <t>2025-11-14 11:21:05</t>
  </si>
  <si>
    <t>Ms. Hardeep Kaur</t>
  </si>
  <si>
    <t>Vijay Laxmi Pandit Marg</t>
  </si>
  <si>
    <t>Dropped</t>
  </si>
  <si>
    <t>2025-04-22 00:00:00, 2025-04-28 00:00:00</t>
  </si>
  <si>
    <t>0, 126195, 201560, 286647, 69738</t>
  </si>
  <si>
    <t>0, 100000</t>
  </si>
  <si>
    <t>2025-07-02 00:00:00, 2026-02-26 00:00:00</t>
  </si>
  <si>
    <t>0, 1146588, 278952, 504780, 806240</t>
  </si>
  <si>
    <t>0, 15000, 27000, 55000, 7000, 903000</t>
  </si>
  <si>
    <t>-15000, -7000, 143588, 251952, 504780, 751240</t>
  </si>
  <si>
    <t>0.4792, 0.7076, 0.7579, 0.7979999999999999, 1</t>
  </si>
  <si>
    <t>0.4292, 0.6576000000000001, 0.698, 0.7079000000000001, 1</t>
  </si>
  <si>
    <t>2025-04-01 00:00:00, 2025-04-20 00:00:00, 2025-04-21 00:00:00</t>
  </si>
  <si>
    <t>22028000029501700, 22028000029501772, 22028000029501872, 22028000029501960, 22028000029510008, 22028000029592440</t>
  </si>
  <si>
    <t>zcrm_51788000288633367, zcrm_51788000289166001, zcrm_51788000289166165, zcrm_51788000289166326, zcrm_51788000289166490, zcrm_51788000289556714</t>
  </si>
  <si>
    <t>2025-04-23 17:43:12, 2025-04-23 17:43:32, 2025-04-23 17:43:46, 2025-04-23 17:44:12, 2025-04-30 10:23:47, 2025-06-28 14:27:23</t>
  </si>
  <si>
    <t>Dr. Mrignaini Ma'am, Dr. Seema Jerath</t>
  </si>
  <si>
    <t>mrignaini@dlps.co.in, seemajerath@dlfps.com</t>
  </si>
  <si>
    <t>+919810396027, +919818166400</t>
  </si>
  <si>
    <t>Dr. Seema Jarath, Dr. Seema Jerath</t>
  </si>
  <si>
    <t>seemajerath@dlfps.com, seemajerath@dlps.com</t>
  </si>
  <si>
    <t>Sector 2</t>
  </si>
  <si>
    <t>2025-03-05 00:00:00, 2025-11-13 00:00:00, 2025-11-25 00:00:00</t>
  </si>
  <si>
    <t>1464</t>
  </si>
  <si>
    <t>2025-04-20 00:00:00, 2025-11-15 00:00:00, 2025-11-25 00:00:00</t>
  </si>
  <si>
    <t>59088, 61854, 76860</t>
  </si>
  <si>
    <t>2025-06-20 00:00:00, 2025-11-25 00:00:00, 2025-11-27 00:00:00</t>
  </si>
  <si>
    <t>2025-09-20 00:00:00, 2025-11-30 00:00:00, 2025-12-10 00:00:00</t>
  </si>
  <si>
    <t>2025-12-20 00:00:00, 2025-12-30 00:00:00</t>
  </si>
  <si>
    <t>2025-03-05 00:00:00, 2026-02-16 00:00:00</t>
  </si>
  <si>
    <t>236352, 247416, 307440</t>
  </si>
  <si>
    <t>1000, 188994, 200000</t>
  </si>
  <si>
    <t>306440, 36352, 58422</t>
  </si>
  <si>
    <t>0.39, 0.5277000000000001</t>
  </si>
  <si>
    <t>22028000028486348, 22028000034725280, 22028000035069200</t>
  </si>
  <si>
    <t>zcrm_51788000284996010</t>
  </si>
  <si>
    <t>2025-03-06 18:01:28, 2025-11-18 15:47:36, 2025-11-28 18:35:25</t>
  </si>
  <si>
    <t>Ms. Jayoti Chakraborty</t>
  </si>
  <si>
    <t>Millennium.moradabad@gmail.com, millennium.moradabad@gmail.com</t>
  </si>
  <si>
    <t>+917439041558, +919837193555</t>
  </si>
  <si>
    <t>14 km Milestone, Delhi</t>
  </si>
  <si>
    <t>Jindal world School</t>
  </si>
  <si>
    <t>588827</t>
  </si>
  <si>
    <t>67507</t>
  </si>
  <si>
    <t>1177654</t>
  </si>
  <si>
    <t>967558</t>
  </si>
  <si>
    <t>142589</t>
  </si>
  <si>
    <t>Sakti</t>
  </si>
  <si>
    <t>22028000027016920</t>
  </si>
  <si>
    <t>51788000002804353</t>
  </si>
  <si>
    <t>zcrm_51788000280457393</t>
  </si>
  <si>
    <t>2025-01-02 12:53:30</t>
  </si>
  <si>
    <t>Mr. Rishabh Agrawal</t>
  </si>
  <si>
    <t>r@jindalworld.in</t>
  </si>
  <si>
    <t>+917000318257</t>
  </si>
  <si>
    <t>Jindalworldschool@gmail.com</t>
  </si>
  <si>
    <t>Venkat</t>
  </si>
  <si>
    <t>principal@jindalworld.in</t>
  </si>
  <si>
    <t>+919848883048</t>
  </si>
  <si>
    <t>Govinda</t>
  </si>
  <si>
    <t>govinda@jindalworld.in</t>
  </si>
  <si>
    <t>+917981715180</t>
  </si>
  <si>
    <t>Plot. No.18, Korba Road, Kanchanpur, Sakti, Harethi, Chhattisgarh P.O.-495689</t>
  </si>
  <si>
    <t>495689</t>
  </si>
  <si>
    <t>JBPS13482A</t>
  </si>
  <si>
    <t>Dalmia Public School</t>
  </si>
  <si>
    <t>192605</t>
  </si>
  <si>
    <t>3605</t>
  </si>
  <si>
    <t>0.4857</t>
  </si>
  <si>
    <t>Veraval</t>
  </si>
  <si>
    <t>22028000031209544</t>
  </si>
  <si>
    <t>51788000002736056</t>
  </si>
  <si>
    <t>zcrm_51788000255789706</t>
  </si>
  <si>
    <t>2025-07-01 10:10:42</t>
  </si>
  <si>
    <t>Usha Sureshkumar</t>
  </si>
  <si>
    <t>dalps@rediffmail.com</t>
  </si>
  <si>
    <t>+919099099494</t>
  </si>
  <si>
    <t>Veraval-Prashnavada-Kodinar Rd</t>
  </si>
  <si>
    <t>362275</t>
  </si>
  <si>
    <t>GHCL Campus,</t>
  </si>
  <si>
    <t>GHCL Campus, Veraval-Prashnavada-Kodinar Rd, Sanjay Nagar, AT: Sutrapada</t>
  </si>
  <si>
    <t>Aditya Birla Public School- Rayagada</t>
  </si>
  <si>
    <t>227579</t>
  </si>
  <si>
    <t>8942</t>
  </si>
  <si>
    <t>910316</t>
  </si>
  <si>
    <t>883092</t>
  </si>
  <si>
    <t>18282</t>
  </si>
  <si>
    <t>0.5428999999999999</t>
  </si>
  <si>
    <t>Rayagada</t>
  </si>
  <si>
    <t>22028000028907372</t>
  </si>
  <si>
    <t>51788000002805202</t>
  </si>
  <si>
    <t>zcrm_51788000273116804</t>
  </si>
  <si>
    <t>2025-04-16 09:48:39</t>
  </si>
  <si>
    <t>Ms. Rinku Banerjee</t>
  </si>
  <si>
    <t>rinku.banerjee@adityabirla.com</t>
  </si>
  <si>
    <t>+917752021035</t>
  </si>
  <si>
    <t>KUCHEIPADAR</t>
  </si>
  <si>
    <t>765015</t>
  </si>
  <si>
    <t>Osapada</t>
  </si>
  <si>
    <t>BBNU01029A</t>
  </si>
  <si>
    <t>690</t>
  </si>
  <si>
    <t>1625, 1733</t>
  </si>
  <si>
    <t>2025-04-25 00:00:00, 2025-04-29 00:00:00</t>
  </si>
  <si>
    <t>139344, 184153, 24398</t>
  </si>
  <si>
    <t>2025-06-29 00:00:00, 2025-07-23 00:00:00</t>
  </si>
  <si>
    <t>139344, 184153, 23681</t>
  </si>
  <si>
    <t>2025-08-30 00:00:00, 2025-10-23 00:00:00</t>
  </si>
  <si>
    <t>2000-01-01 00:00:00, 2025-12-24 00:00:00</t>
  </si>
  <si>
    <t>0, 139344, 184153</t>
  </si>
  <si>
    <t>0, 16406.03, 22286.54</t>
  </si>
  <si>
    <t>557376, 71760, 736612</t>
  </si>
  <si>
    <t>0, 350680, 555943</t>
  </si>
  <si>
    <t>158382, 190290, 71760</t>
  </si>
  <si>
    <t>0.375, 0.5047999999999999, 0.54</t>
  </si>
  <si>
    <t>2025-03-31 00:00:00, 2025-04-01 00:00:00</t>
  </si>
  <si>
    <t>22028000028858608, 22028000028858688, 22028000028858736</t>
  </si>
  <si>
    <t>zcrm_51788000287632060, zcrm_51788000287632216, zcrm_51788000287632375</t>
  </si>
  <si>
    <t>2025-04-09 17:47:43, 2025-04-11 09:38:02, 2025-04-11 09:38:18</t>
  </si>
  <si>
    <t>Nayantara Roy</t>
  </si>
  <si>
    <t>118000, 157500</t>
  </si>
  <si>
    <t>236000, 315000</t>
  </si>
  <si>
    <t>0, 157500</t>
  </si>
  <si>
    <t>157500, 236000</t>
  </si>
  <si>
    <t>22028000031219312, 22028000031219368</t>
  </si>
  <si>
    <t>zcrm_51788000292682580, zcrm_51788000292682744</t>
  </si>
  <si>
    <t>2025-07-11 10:57:43, 2025-07-11 10:58:03</t>
  </si>
  <si>
    <t>286057</t>
  </si>
  <si>
    <t>11442.36</t>
  </si>
  <si>
    <t>572114</t>
  </si>
  <si>
    <t>560676</t>
  </si>
  <si>
    <t>-4</t>
  </si>
  <si>
    <t>22028000028530348</t>
  </si>
  <si>
    <t>zcrm_51788000285538165</t>
  </si>
  <si>
    <t>2025-03-27 11:18:05</t>
  </si>
  <si>
    <t>Arti Sharma</t>
  </si>
  <si>
    <t>Himgiri Goods Pvt. Ltd c/o Delhi Public School Lava Nagpur pre-primary Branch,</t>
  </si>
  <si>
    <t>Delhi Public School- Nashik, Behind Maharashtra University Of Health Sciences,</t>
  </si>
  <si>
    <t>2155</t>
  </si>
  <si>
    <t>165912</t>
  </si>
  <si>
    <t>663648</t>
  </si>
  <si>
    <t>22028000029194552</t>
  </si>
  <si>
    <t>zcrm_51788000288627001</t>
  </si>
  <si>
    <t>2025-05-23 18:16:16</t>
  </si>
  <si>
    <t>Ms. Reshma</t>
  </si>
  <si>
    <t>+919464881738</t>
  </si>
  <si>
    <t>Golden Gates Vidhyashram</t>
  </si>
  <si>
    <t>1102</t>
  </si>
  <si>
    <t>103027</t>
  </si>
  <si>
    <t>412108</t>
  </si>
  <si>
    <t>335001</t>
  </si>
  <si>
    <t>77107</t>
  </si>
  <si>
    <t>0.6389</t>
  </si>
  <si>
    <t>22028000029574120</t>
  </si>
  <si>
    <t>51788000002810458</t>
  </si>
  <si>
    <t>zcrm_51788000269125020</t>
  </si>
  <si>
    <t>2025-05-06 14:36:00</t>
  </si>
  <si>
    <t>Angayarkanni R</t>
  </si>
  <si>
    <t>GOLGENGATES@GMAIL.COM</t>
  </si>
  <si>
    <t>+919965558132</t>
  </si>
  <si>
    <t>ggvidhyashram@gmail.com</t>
  </si>
  <si>
    <t>Pavith</t>
  </si>
  <si>
    <t>principal@goldengatesvidhyashram.com</t>
  </si>
  <si>
    <t>+918884736424</t>
  </si>
  <si>
    <t>Perambalur</t>
  </si>
  <si>
    <t>621212</t>
  </si>
  <si>
    <t>PERAMBALUR</t>
  </si>
  <si>
    <t>Venkatesapuram, Trichy Main Road.</t>
  </si>
  <si>
    <t>112025</t>
  </si>
  <si>
    <t>224050</t>
  </si>
  <si>
    <t>112050</t>
  </si>
  <si>
    <t>Arsikere</t>
  </si>
  <si>
    <t>22028000029169624</t>
  </si>
  <si>
    <t>zcrm_51788000280029942</t>
  </si>
  <si>
    <t>2025-04-09 10:50:51</t>
  </si>
  <si>
    <t>Near Gavimutt, Byragondanahalli, B.H Road, Banavara - Arsikere Taluk</t>
  </si>
  <si>
    <t>Gyanjyoti Kanchanben Rasiklal Vidyalaya</t>
  </si>
  <si>
    <t>43387</t>
  </si>
  <si>
    <t>173548</t>
  </si>
  <si>
    <t>147235.62</t>
  </si>
  <si>
    <t>26312</t>
  </si>
  <si>
    <t>Khariar Road,Dist Nuapada</t>
  </si>
  <si>
    <t>22028000028989244</t>
  </si>
  <si>
    <t>51788000002811027</t>
  </si>
  <si>
    <t>zcrm_51788000287985595</t>
  </si>
  <si>
    <t>Saumya Gupta</t>
  </si>
  <si>
    <t>2025-05-16 14:00:15</t>
  </si>
  <si>
    <t>Mrs. Aarti Dholakia</t>
  </si>
  <si>
    <t>gkrvidyalaya@gmail.com</t>
  </si>
  <si>
    <t>+917077090999</t>
  </si>
  <si>
    <t>Bhubaneshwari</t>
  </si>
  <si>
    <t>+918093370950</t>
  </si>
  <si>
    <t>43000</t>
  </si>
  <si>
    <t>LD para road,Bartanshil</t>
  </si>
  <si>
    <t>766104</t>
  </si>
  <si>
    <t>LD Para Road,Bartanshil</t>
  </si>
  <si>
    <t>Khariar Road, Dist. Nuapada</t>
  </si>
  <si>
    <t>22028000031125152</t>
  </si>
  <si>
    <t>zcrm_51788000292477745</t>
  </si>
  <si>
    <t>2025-06-25 11:39:52</t>
  </si>
  <si>
    <t>Him Academy Public School, Vikas Nagar</t>
  </si>
  <si>
    <t>1440, 1800</t>
  </si>
  <si>
    <t>47960, 53263</t>
  </si>
  <si>
    <t>188842, 85263</t>
  </si>
  <si>
    <t>133223, 242106</t>
  </si>
  <si>
    <t>4316, 6819</t>
  </si>
  <si>
    <t>2025-05-19 00:00:00, 2025-11-24 00:00:00</t>
  </si>
  <si>
    <t>266446, 484211</t>
  </si>
  <si>
    <t>111505, 656446</t>
  </si>
  <si>
    <t>-179054, 150625</t>
  </si>
  <si>
    <t>0.5885, 0.5909</t>
  </si>
  <si>
    <t>Salasi</t>
  </si>
  <si>
    <t>22028000026495356, 22028000026495416</t>
  </si>
  <si>
    <t>51788000002811251</t>
  </si>
  <si>
    <t>zcrm_51788000277297080, zcrm_51788000277336742</t>
  </si>
  <si>
    <t>2024-12-03 14:52:47, 2024-12-03 14:54:18</t>
  </si>
  <si>
    <t>Mr. Pankaj Lakhanpal, Pankaj Lakhanpal</t>
  </si>
  <si>
    <t>director@himacademy.com</t>
  </si>
  <si>
    <t>+919418000448</t>
  </si>
  <si>
    <t>hapsvn@himacademy.com</t>
  </si>
  <si>
    <t>Himanshu Sharma</t>
  </si>
  <si>
    <t>+919418000449</t>
  </si>
  <si>
    <t>Vikas Nagar, Hamirpur, Himachal Pradesh 177001</t>
  </si>
  <si>
    <t>177001</t>
  </si>
  <si>
    <t>Hind Zinc Vidyalaya</t>
  </si>
  <si>
    <t>1799</t>
  </si>
  <si>
    <t>99845</t>
  </si>
  <si>
    <t>399380</t>
  </si>
  <si>
    <t>334380</t>
  </si>
  <si>
    <t>0.486</t>
  </si>
  <si>
    <t>Sundargarh</t>
  </si>
  <si>
    <t>2026-03-19 00:00:00</t>
  </si>
  <si>
    <t>22028000026953308</t>
  </si>
  <si>
    <t>51788000002811262</t>
  </si>
  <si>
    <t>zcrm_51788000273289429</t>
  </si>
  <si>
    <t>2024-12-21 14:31:32</t>
  </si>
  <si>
    <t>Mrs. Girija Nandini Sahay</t>
  </si>
  <si>
    <t>gnsahay1947@gmail.com</t>
  </si>
  <si>
    <t>+919437221097</t>
  </si>
  <si>
    <t>hindzincvidyalaya@gmail.com</t>
  </si>
  <si>
    <t>Girija N Sahay</t>
  </si>
  <si>
    <t>Jyotimayi Pandey</t>
  </si>
  <si>
    <t>+919937326900</t>
  </si>
  <si>
    <t>PO Zinc Nagar</t>
  </si>
  <si>
    <t>770072</t>
  </si>
  <si>
    <t>At/P.O-Zinc Nagar Sargipali</t>
  </si>
  <si>
    <t>2025-04-21 00:00:00, 2025-06-11 00:00:00, 2025-08-11 00:00:00</t>
  </si>
  <si>
    <t>897</t>
  </si>
  <si>
    <t>3814</t>
  </si>
  <si>
    <t>2025-05-09 00:00:00, 2025-06-16 00:00:00, 2025-08-13 00:00:00</t>
  </si>
  <si>
    <t>109574, 1242062, 218892</t>
  </si>
  <si>
    <t>2025-07-09 00:00:00, 2025-09-15 00:00:00, 2025-11-15 00:00:00</t>
  </si>
  <si>
    <t>0, 219148</t>
  </si>
  <si>
    <t>3710, 42714, 7206</t>
  </si>
  <si>
    <t>2025-04-22 00:00:00, 2025-06-13 00:00:00, 2025-08-21 00:00:00</t>
  </si>
  <si>
    <t>2025-11-28 00:00:00, 2025-12-17 00:00:00, 2026-01-21 00:00:00</t>
  </si>
  <si>
    <t>2484124, 437784, 438296</t>
  </si>
  <si>
    <t>2477415, 371767, 516440</t>
  </si>
  <si>
    <t>-36005, -82366, 59323</t>
  </si>
  <si>
    <t>0.3077, 0.375, 0.49</t>
  </si>
  <si>
    <t>2025-06-01 00:00:00, 2025-06-15 00:00:00</t>
  </si>
  <si>
    <t>2025-08-31 00:00:00, 2026-03-31 00:00:00, 2026-07-14 00:00:00</t>
  </si>
  <si>
    <t>22028000029467448, 22028000030861288, 22028000032176436</t>
  </si>
  <si>
    <t>zcrm_51788000289093735, zcrm_51788000289352450, zcrm_51788000292045197</t>
  </si>
  <si>
    <t>2025-04-24 11:46:00, 2025-06-18 08:59:27, 2025-08-23 13:06:29</t>
  </si>
  <si>
    <t>Mr. Tiwari, Mr. Vikas Dalal, V. Tiwari</t>
  </si>
  <si>
    <t>vht51113@gmail.com, viceprincipal@holywritschool.in</t>
  </si>
  <si>
    <t>+919423657698, +919594551113</t>
  </si>
  <si>
    <t>Mr Vinod Tiwari, Mr. Vikas Dalal, V. Tiwari</t>
  </si>
  <si>
    <t>Mr Vinod Tiwari, Mr. Vikas Dalal, Vikas</t>
  </si>
  <si>
    <t>Badlapur, near Barvi Dam, Pimploli,</t>
  </si>
  <si>
    <t>1220, 610, 953</t>
  </si>
  <si>
    <t>173428, 22113, 247304, 527032</t>
  </si>
  <si>
    <t>10050, 18171, 4181, 884</t>
  </si>
  <si>
    <t>2025-06-21 00:00:00, 2025-07-03 00:00:00</t>
  </si>
  <si>
    <t>2108128, 693712, 88452, 989216</t>
  </si>
  <si>
    <t>1053870.77, 343303.44, 43342.34, 492485.81</t>
  </si>
  <si>
    <t>1036086, 346228, 44226, 486680</t>
  </si>
  <si>
    <t>0.6335000000000001, 0.6464, 0.6515000000000001, 0.6611</t>
  </si>
  <si>
    <t>22028000029063516, 22028000029063568, 22028000029063628, 22028000029063688</t>
  </si>
  <si>
    <t>zcrm_51788000288185087, zcrm_51788000288185113, zcrm_51788000288185142, zcrm_51788000288185168</t>
  </si>
  <si>
    <t>2025-04-08 09:56:37, 2025-04-08 09:56:58, 2025-04-08 09:57:09, 2025-04-08 09:57:19</t>
  </si>
  <si>
    <t>Mr. Fr. P. George Thomas</t>
  </si>
  <si>
    <t>Dr Sangeeta Datta, Dr. Sangeeta Dutta</t>
  </si>
  <si>
    <t>academicdirector@sfsguwahati.ac.in</t>
  </si>
  <si>
    <t>+919435546294</t>
  </si>
  <si>
    <t>Udyan Vihar, NSFS Provincialate,</t>
  </si>
  <si>
    <t>Kavyapta Global School</t>
  </si>
  <si>
    <t>471</t>
  </si>
  <si>
    <t>1914</t>
  </si>
  <si>
    <t>185593</t>
  </si>
  <si>
    <t>10752.2</t>
  </si>
  <si>
    <t>742372</t>
  </si>
  <si>
    <t>741606</t>
  </si>
  <si>
    <t>-9986</t>
  </si>
  <si>
    <t>0.6862999999999999</t>
  </si>
  <si>
    <t>22028000027945336</t>
  </si>
  <si>
    <t>zcrm_51788000283876727</t>
  </si>
  <si>
    <t>2025-03-25 16:01:04</t>
  </si>
  <si>
    <t>Mr. Akshay Aggarwal</t>
  </si>
  <si>
    <t>akshayagrawal18@gmail.com</t>
  </si>
  <si>
    <t>Chandil, pin</t>
  </si>
  <si>
    <t>Pardih Chowk, Mango</t>
  </si>
  <si>
    <t>Ridge School</t>
  </si>
  <si>
    <t>113250</t>
  </si>
  <si>
    <t>226500</t>
  </si>
  <si>
    <t>Kurnool</t>
  </si>
  <si>
    <t>22028000035872376</t>
  </si>
  <si>
    <t>51788000002818142</t>
  </si>
  <si>
    <t>zcrm_51788000297638551</t>
  </si>
  <si>
    <t>mayank.nalluri_ei</t>
  </si>
  <si>
    <t>mayank.nalluri@ei.study</t>
  </si>
  <si>
    <t>Mayank nalluri</t>
  </si>
  <si>
    <t>Mayank Nalluri</t>
  </si>
  <si>
    <t>2025-12-23 19:47:27</t>
  </si>
  <si>
    <t>Mr. Gopinath Guduri</t>
  </si>
  <si>
    <t>principal@ridgeschools.org</t>
  </si>
  <si>
    <t>+917799660044</t>
  </si>
  <si>
    <t>info@ridgeschools.org</t>
  </si>
  <si>
    <t>Rajkamal A</t>
  </si>
  <si>
    <t>+917989530235</t>
  </si>
  <si>
    <t>P2X9+V9Q, Jaganatha Gattu Temple Road</t>
  </si>
  <si>
    <t>518218</t>
  </si>
  <si>
    <t>Satyanarayan Academy</t>
  </si>
  <si>
    <t>1767</t>
  </si>
  <si>
    <t>30923</t>
  </si>
  <si>
    <t>123692</t>
  </si>
  <si>
    <t>108692</t>
  </si>
  <si>
    <t>0.07</t>
  </si>
  <si>
    <t>Bankura</t>
  </si>
  <si>
    <t>22028000033280304</t>
  </si>
  <si>
    <t>51788000156298854</t>
  </si>
  <si>
    <t>zcrm_51788000297147073</t>
  </si>
  <si>
    <t>2025-10-09 10:18:45</t>
  </si>
  <si>
    <t>Mrs. Mallika Dutta</t>
  </si>
  <si>
    <t>snacademy1993@gmail.com</t>
  </si>
  <si>
    <t>+919732063785</t>
  </si>
  <si>
    <t>info@satyanarayanacademy.in</t>
  </si>
  <si>
    <t>Mallika Datta</t>
  </si>
  <si>
    <t>+919647973422</t>
  </si>
  <si>
    <t>Ramkrishna Nagar Sibarampur</t>
  </si>
  <si>
    <t>722101</t>
  </si>
  <si>
    <t>RAMKRISHNA NAGAR SIBARAMPUR, Narrah, West Bengal 722155</t>
  </si>
  <si>
    <t>Ramkrishna Nagar, Vill - Sibarampur, P.O.- Narrah,</t>
  </si>
  <si>
    <t>Scholars Abode School</t>
  </si>
  <si>
    <t>87660</t>
  </si>
  <si>
    <t>175320</t>
  </si>
  <si>
    <t>0.513</t>
  </si>
  <si>
    <t>22028000028504564</t>
  </si>
  <si>
    <t>51788000002819685</t>
  </si>
  <si>
    <t>zcrm_51788000272960715</t>
  </si>
  <si>
    <t>2025-03-19 11:39:40</t>
  </si>
  <si>
    <t>Mr. Rana Rahul Singh</t>
  </si>
  <si>
    <t>md@scholarsabode.info</t>
  </si>
  <si>
    <t>+918083998003</t>
  </si>
  <si>
    <t>Mrs. Smriti Rawat</t>
  </si>
  <si>
    <t>smritimeeta@gmail.com</t>
  </si>
  <si>
    <t>+919810158554</t>
  </si>
  <si>
    <t>Ashiana Road</t>
  </si>
  <si>
    <t>800025</t>
  </si>
  <si>
    <t>Kautilya Nagar, Patna</t>
  </si>
  <si>
    <t>Ashiana - Digha Rd Behind friends colony, Sankar Colony, Kautilya Nagar, Patna</t>
  </si>
  <si>
    <t>Seven Star Senior Secondary Public School</t>
  </si>
  <si>
    <t>126522</t>
  </si>
  <si>
    <t>506088</t>
  </si>
  <si>
    <t>281088</t>
  </si>
  <si>
    <t>Hamirpur</t>
  </si>
  <si>
    <t>22028000028135720</t>
  </si>
  <si>
    <t>51788000002819887</t>
  </si>
  <si>
    <t>zcrm_51788000277595818</t>
  </si>
  <si>
    <t>2025-02-28 12:26:51</t>
  </si>
  <si>
    <t>Mrs. Sonal Kanwar</t>
  </si>
  <si>
    <t>sevenstar.internationalschool@gmail.com</t>
  </si>
  <si>
    <t>+919418381181</t>
  </si>
  <si>
    <t>Sonal Kanwar</t>
  </si>
  <si>
    <t>Santosh Banyal</t>
  </si>
  <si>
    <t>santosh1banyal@gmail.com</t>
  </si>
  <si>
    <t>+918219589739</t>
  </si>
  <si>
    <t>Una Hamirpur Road Bani</t>
  </si>
  <si>
    <t>174304</t>
  </si>
  <si>
    <t>Bani, Hamirpur SH-32, Una - Jahu - Ner Chowk Rd</t>
  </si>
  <si>
    <t>V P O Bani Teh Barsar Distt Hamirpur (Himachal Pradesh)</t>
  </si>
  <si>
    <t>Shri A.B. Patil English School, Sangli</t>
  </si>
  <si>
    <t>1551</t>
  </si>
  <si>
    <t>155526</t>
  </si>
  <si>
    <t>150952</t>
  </si>
  <si>
    <t>457430</t>
  </si>
  <si>
    <t>328416</t>
  </si>
  <si>
    <t>129014</t>
  </si>
  <si>
    <t>0.4257</t>
  </si>
  <si>
    <t>Kolhapur</t>
  </si>
  <si>
    <t>22028000030549256</t>
  </si>
  <si>
    <t>51788000002820509</t>
  </si>
  <si>
    <t>zcrm_51788000281415313</t>
  </si>
  <si>
    <t>2025-06-19 13:55:09</t>
  </si>
  <si>
    <t>Suraj Pawar</t>
  </si>
  <si>
    <t>shriabpes@gmail.com</t>
  </si>
  <si>
    <t>+918747854858</t>
  </si>
  <si>
    <t>ShriA.B.PatilEnglishSchool3997396@gmail.com</t>
  </si>
  <si>
    <t>Manjushri Kale</t>
  </si>
  <si>
    <t>+919423661321</t>
  </si>
  <si>
    <t>Shri. A. B. Patil English School Dhamani - Kolhapur Road,</t>
  </si>
  <si>
    <t>416416</t>
  </si>
  <si>
    <t>Shri A B Patil English Medium School</t>
  </si>
  <si>
    <t>KLPS06780E</t>
  </si>
  <si>
    <t>Inam Dhamni Kolhapur Road, Sangli</t>
  </si>
  <si>
    <t>11548, 4949</t>
  </si>
  <si>
    <t>14847, 34644</t>
  </si>
  <si>
    <t>395.95, 934.87</t>
  </si>
  <si>
    <t>2025-09-16 00:00:00</t>
  </si>
  <si>
    <t>19796, 46192</t>
  </si>
  <si>
    <t>19401, 45806</t>
  </si>
  <si>
    <t>-1, -549</t>
  </si>
  <si>
    <t>22028000031234084, 22028000031234128</t>
  </si>
  <si>
    <t>zcrm_51788000292682112, zcrm_51788000292682424</t>
  </si>
  <si>
    <t>2025-07-04 14:40:21, 2025-07-04 15:01:36</t>
  </si>
  <si>
    <t>Ei CARES, Ei CARES,Ei Mindspark</t>
  </si>
  <si>
    <t>773, 925</t>
  </si>
  <si>
    <t>1346</t>
  </si>
  <si>
    <t>186800, 869577</t>
  </si>
  <si>
    <t>18680, 195545.31</t>
  </si>
  <si>
    <t>2025-07-01 00:00:00, 2026-02-23 00:00:00</t>
  </si>
  <si>
    <t>1739154, 373600</t>
  </si>
  <si>
    <t>168120, 1759904</t>
  </si>
  <si>
    <t>-216295, 186800</t>
  </si>
  <si>
    <t>0.5587, 0.6575</t>
  </si>
  <si>
    <t>22028000029493508, 22028000029493576</t>
  </si>
  <si>
    <t>zcrm_51788000289404001, zcrm_51788000289404162</t>
  </si>
  <si>
    <t>2025-05-02 15:21:43, 2025-05-02 15:22:34</t>
  </si>
  <si>
    <t>principal@st-michaelsacademy.com</t>
  </si>
  <si>
    <t>+919944553257</t>
  </si>
  <si>
    <t>Takshila</t>
  </si>
  <si>
    <t>2025-03-07 00:00:00, 2025-04-28 00:00:00</t>
  </si>
  <si>
    <t>1686, 460</t>
  </si>
  <si>
    <t>2000-01-01 00:00:00, 2025-04-30 00:00:00</t>
  </si>
  <si>
    <t>0, 73344</t>
  </si>
  <si>
    <t>2025-02-19 00:00:00, 2025-05-02 00:00:00</t>
  </si>
  <si>
    <t>2025-05-02 00:00:00, 2025-09-01 00:00:00</t>
  </si>
  <si>
    <t>11500, 293376</t>
  </si>
  <si>
    <t>100000, 11270</t>
  </si>
  <si>
    <t>193376, 230</t>
  </si>
  <si>
    <t>0.46619999999999995, 0.4889</t>
  </si>
  <si>
    <t>Bijni</t>
  </si>
  <si>
    <t>22028000028534136, 22028000029627252</t>
  </si>
  <si>
    <t>51788000002824133</t>
  </si>
  <si>
    <t>zcrm_51788000285818639, zcrm_51788000289499780</t>
  </si>
  <si>
    <t>2025-03-19 11:14:13, 2025-05-05 11:21:16</t>
  </si>
  <si>
    <t>Mrs. Shailja Kashyap, Ms. Shailja Kashyap</t>
  </si>
  <si>
    <t>takshilamandimail@gmail.com</t>
  </si>
  <si>
    <t>+917018501861</t>
  </si>
  <si>
    <t>takshila_intl@yahoo.com</t>
  </si>
  <si>
    <t>Mrs. Shailja Kashyap, Ms Shailja Kashyap</t>
  </si>
  <si>
    <t>village Taryandi</t>
  </si>
  <si>
    <t>175001</t>
  </si>
  <si>
    <t>Village Tariandi Po Bijni</t>
  </si>
  <si>
    <t>28463</t>
  </si>
  <si>
    <t>113852</t>
  </si>
  <si>
    <t>23852</t>
  </si>
  <si>
    <t>22028000028979208</t>
  </si>
  <si>
    <t>zcrm_51788000288026028</t>
  </si>
  <si>
    <t>2025-04-03 10:32:35</t>
  </si>
  <si>
    <t>Mr. Jayadevan Vinod</t>
  </si>
  <si>
    <t>+919348139869</t>
  </si>
  <si>
    <t>Jayadevan Vinod</t>
  </si>
  <si>
    <t>Pragyan Dash</t>
  </si>
  <si>
    <t>alledash.1986@gmail.com</t>
  </si>
  <si>
    <t>+919853337106</t>
  </si>
  <si>
    <t>K.C Mukherjee Road Near Durga Mandir</t>
  </si>
  <si>
    <t>Cox colony</t>
  </si>
  <si>
    <t>457</t>
  </si>
  <si>
    <t>141455</t>
  </si>
  <si>
    <t>565820</t>
  </si>
  <si>
    <t>275000</t>
  </si>
  <si>
    <t>290820</t>
  </si>
  <si>
    <t>0.6956</t>
  </si>
  <si>
    <t>22028000030336184</t>
  </si>
  <si>
    <t>zcrm_51788000291164019</t>
  </si>
  <si>
    <t>2025-05-23 17:48:29</t>
  </si>
  <si>
    <t>Ms. Navneet</t>
  </si>
  <si>
    <t>navneet.kaur@theskyschool.com</t>
  </si>
  <si>
    <t>+917837477439</t>
  </si>
  <si>
    <t>502</t>
  </si>
  <si>
    <t>169594</t>
  </si>
  <si>
    <t>6783.75</t>
  </si>
  <si>
    <t>339188</t>
  </si>
  <si>
    <t>332404</t>
  </si>
  <si>
    <t>0.665</t>
  </si>
  <si>
    <t>22028000029347840</t>
  </si>
  <si>
    <t>zcrm_51788000288967226</t>
  </si>
  <si>
    <t>2025-04-18 10:29:09</t>
  </si>
  <si>
    <t>Thavasi Moni</t>
  </si>
  <si>
    <t>+919047969668</t>
  </si>
  <si>
    <t>Thavasimoni</t>
  </si>
  <si>
    <t>vidyapeetam82@vidyapeetam.ac.in</t>
  </si>
  <si>
    <t>Malathi</t>
  </si>
  <si>
    <t>+919047689795</t>
  </si>
  <si>
    <t>Krishnavaram</t>
  </si>
  <si>
    <t>Viswabharathi Wisewoods (Em) High School</t>
  </si>
  <si>
    <t>2025-02-08 00:00:00</t>
  </si>
  <si>
    <t>367983</t>
  </si>
  <si>
    <t>2025-08-22 00:00:00</t>
  </si>
  <si>
    <t>379134</t>
  </si>
  <si>
    <t>1115100</t>
  </si>
  <si>
    <t>367500</t>
  </si>
  <si>
    <t>747600</t>
  </si>
  <si>
    <t>0.7</t>
  </si>
  <si>
    <t>Vijaywada</t>
  </si>
  <si>
    <t>22028000027884284</t>
  </si>
  <si>
    <t>51788000002825776</t>
  </si>
  <si>
    <t>zcrm_51788000283599361</t>
  </si>
  <si>
    <t>bhaskararao.kureddy_ei</t>
  </si>
  <si>
    <t>bhaskararao.kureddy@ei.study</t>
  </si>
  <si>
    <t>Bhaskararao kureddy</t>
  </si>
  <si>
    <t>Bhaskararao Kureddy</t>
  </si>
  <si>
    <t>2025-02-18 12:28:54</t>
  </si>
  <si>
    <t>Mrs. Sunitha Kodalii</t>
  </si>
  <si>
    <t>sanchin97@gmail.com</t>
  </si>
  <si>
    <t>+918662334434</t>
  </si>
  <si>
    <t>contact@wisewoods.org</t>
  </si>
  <si>
    <t>sunita madam</t>
  </si>
  <si>
    <t>principal@wisewoods.org</t>
  </si>
  <si>
    <t>+918674259490</t>
  </si>
  <si>
    <t>Pavan Kumar</t>
  </si>
  <si>
    <t>+918099802620</t>
  </si>
  <si>
    <t>Vijayawada - Gudivada Road</t>
  </si>
  <si>
    <t>521263</t>
  </si>
  <si>
    <t>Gudivada - VIjayawada Road</t>
  </si>
  <si>
    <t>Vijawada</t>
  </si>
  <si>
    <t>Viswabharathi Wise Woods (Em) High School, Vijayawada-Gudivada Road, Vanapamula Village, Pedparapudi Mandal, Krishna District.</t>
  </si>
  <si>
    <t>22028000036043532</t>
  </si>
  <si>
    <t>51788000002825985</t>
  </si>
  <si>
    <t>zcrm_51788000303485450</t>
  </si>
  <si>
    <t>2025-12-26 15:08:13</t>
  </si>
  <si>
    <t>wisbhl@wittykidsindia.com</t>
  </si>
  <si>
    <t>311001</t>
  </si>
  <si>
    <t>Ahead Sukhadiya Stadium Opp. Sameliya Phatakvillage Atun</t>
  </si>
  <si>
    <t>22028000036043568</t>
  </si>
  <si>
    <t>51788000002825990</t>
  </si>
  <si>
    <t>zcrm_51788000303491044</t>
  </si>
  <si>
    <t>2025-12-26 15:16:38</t>
  </si>
  <si>
    <t>313001</t>
  </si>
  <si>
    <t>Nathdwara Road, Opp. Sukher Thana, Udaipur, Rajasthan 313001</t>
  </si>
  <si>
    <t>22028000036043604</t>
  </si>
  <si>
    <t>51788000002825993</t>
  </si>
  <si>
    <t>zcrm_51788000303491259</t>
  </si>
  <si>
    <t>2025-12-26 15:32:35</t>
  </si>
  <si>
    <t>wiscw@wittykidsindia.com</t>
  </si>
  <si>
    <t>mitul</t>
  </si>
  <si>
    <t>400092</t>
  </si>
  <si>
    <t>Padma Nagar,Next to Garden Grove Complex-Phase 1, Chikoowadi, Borivali (W),</t>
  </si>
  <si>
    <t>89700</t>
  </si>
  <si>
    <t>358800</t>
  </si>
  <si>
    <t>248300</t>
  </si>
  <si>
    <t>110500</t>
  </si>
  <si>
    <t>22028000030131384</t>
  </si>
  <si>
    <t>zcrm_51788000290816001</t>
  </si>
  <si>
    <t>2025-06-06 17:27:13</t>
  </si>
  <si>
    <t>Mr. Vinod Kanere</t>
  </si>
  <si>
    <t>prempis@gmail.com</t>
  </si>
  <si>
    <t>2025-04-09 00:00:00, 2025-04-10 00:00:00</t>
  </si>
  <si>
    <t>1352</t>
  </si>
  <si>
    <t>2025-04-10 00:00:00, 2025-07-10 00:00:00</t>
  </si>
  <si>
    <t>138918, 96540</t>
  </si>
  <si>
    <t>2025-07-10 00:00:00, 2025-12-31 00:00:00</t>
  </si>
  <si>
    <t>138918, 225259</t>
  </si>
  <si>
    <t>2000-01-01 00:00:00, 2025-10-10 00:00:00</t>
  </si>
  <si>
    <t>0, 138918</t>
  </si>
  <si>
    <t>10403.05, 931</t>
  </si>
  <si>
    <t>2025-05-20 00:00:00, 2025-07-25 00:00:00</t>
  </si>
  <si>
    <t>2025-07-25 00:00:00, 2026-02-21 00:00:00</t>
  </si>
  <si>
    <t>321799, 555672</t>
  </si>
  <si>
    <t>858474, 94609</t>
  </si>
  <si>
    <t>-313205, 226259</t>
  </si>
  <si>
    <t>0.48, 0.5666</t>
  </si>
  <si>
    <t>22028000029187872, 22028000029197248</t>
  </si>
  <si>
    <t>zcrm_51788000288513225, zcrm_51788000288522001</t>
  </si>
  <si>
    <t>2025-05-10 11:20:58, 2025-05-10 11:21:44</t>
  </si>
  <si>
    <t>Supreet Kaur Rajpal</t>
  </si>
  <si>
    <t>principal.khandagiri@mothers.edu.in</t>
  </si>
  <si>
    <t>+919438486499</t>
  </si>
  <si>
    <t>Mayuri Joshi, Sajitha Shresh</t>
  </si>
  <si>
    <t>+918085282481, +919438792009</t>
  </si>
  <si>
    <t>Plot No-802- P/6,</t>
  </si>
  <si>
    <t>Motilal Talera English Medium School, Pune</t>
  </si>
  <si>
    <t>41998</t>
  </si>
  <si>
    <t>0.745</t>
  </si>
  <si>
    <t>22028000035604120</t>
  </si>
  <si>
    <t>51788000002804814</t>
  </si>
  <si>
    <t>zcrm_51788000244395290</t>
  </si>
  <si>
    <t>2025-12-13 13:59:45</t>
  </si>
  <si>
    <t>Seema Shadbar</t>
  </si>
  <si>
    <t>cesmtems2015@gmail.com</t>
  </si>
  <si>
    <t>+919970066691</t>
  </si>
  <si>
    <t>Jyoti Chapakanade</t>
  </si>
  <si>
    <t>+918805560010</t>
  </si>
  <si>
    <t>Plot No 2, Sant Nagar</t>
  </si>
  <si>
    <t>Plot No. 2, opp. Traffic Park, Sant Nagar, Sector Number 4, Moshi, Pimpri-Chinchwad, Maharashtra 411070</t>
  </si>
  <si>
    <t>963</t>
  </si>
  <si>
    <t>225451</t>
  </si>
  <si>
    <t>901804</t>
  </si>
  <si>
    <t>0.7633</t>
  </si>
  <si>
    <t>22028000029555280</t>
  </si>
  <si>
    <t>zcrm_51788000289575024</t>
  </si>
  <si>
    <t>2025-05-14 13:44:14</t>
  </si>
  <si>
    <t>Ms. Reshmi Mukherjee</t>
  </si>
  <si>
    <t>+913325767107</t>
  </si>
  <si>
    <t>Mrs. Manisha Kumar</t>
  </si>
  <si>
    <t>+919432141833</t>
  </si>
  <si>
    <t>Richmondd Convent School</t>
  </si>
  <si>
    <t>148411</t>
  </si>
  <si>
    <t>593644</t>
  </si>
  <si>
    <t>22028000027513076</t>
  </si>
  <si>
    <t>zcrm_51788000278899075</t>
  </si>
  <si>
    <t>vikrant.behal_ei</t>
  </si>
  <si>
    <t>vikrant.behal@ei.study</t>
  </si>
  <si>
    <t>Vikrant behal</t>
  </si>
  <si>
    <t>2025-04-21 17:40:11</t>
  </si>
  <si>
    <t>Mr. Amarjit Singh</t>
  </si>
  <si>
    <t>Jeewan Jyoti</t>
  </si>
  <si>
    <t>Dharam Singh Nagar</t>
  </si>
  <si>
    <t>Apeejay School, Bhubaneswar</t>
  </si>
  <si>
    <t>0, 400500</t>
  </si>
  <si>
    <t>0, 716885, 801000</t>
  </si>
  <si>
    <t>0, 757638</t>
  </si>
  <si>
    <t>0, 43362, 716885</t>
  </si>
  <si>
    <t>22028000033681116, 22028000033682456, 22028000033682812</t>
  </si>
  <si>
    <t>51788000002826775</t>
  </si>
  <si>
    <t>zcrm_51788000297922955, zcrm_51788000297924914, zcrm_51788000297967580</t>
  </si>
  <si>
    <t>2025-10-08 14:14:30, 2025-10-08 14:14:44, 2025-10-08 14:15:00</t>
  </si>
  <si>
    <t>Ms. Moonmoon Ghosh</t>
  </si>
  <si>
    <t>vp.bbsr@apeejayschool.com</t>
  </si>
  <si>
    <t>Laxmibati Das</t>
  </si>
  <si>
    <t>+919437880926</t>
  </si>
  <si>
    <t>Ghatikia Road, Ghatikia</t>
  </si>
  <si>
    <t>751003</t>
  </si>
  <si>
    <t>Ghatikia Road, Ghatikia,</t>
  </si>
  <si>
    <t>Ghatikia Road, Ghatikia, Near Durga Mandap</t>
  </si>
  <si>
    <t>244400</t>
  </si>
  <si>
    <t>93925</t>
  </si>
  <si>
    <t>150475</t>
  </si>
  <si>
    <t>22028000026328100</t>
  </si>
  <si>
    <t>zcrm_51788000277867910</t>
  </si>
  <si>
    <t>2024-12-12 10:03:00</t>
  </si>
  <si>
    <t>Priyadarshani School and Junior college Moshi</t>
  </si>
  <si>
    <t>22028000029458264</t>
  </si>
  <si>
    <t>zcrm_51788000288967569</t>
  </si>
  <si>
    <t>2025-05-13 16:37:56</t>
  </si>
  <si>
    <t>M Asha Reddy</t>
  </si>
  <si>
    <t>Asha Reddy</t>
  </si>
  <si>
    <t>+9198906133333</t>
  </si>
  <si>
    <t>Priyadarshani school C/o Sanvi Enterprises</t>
  </si>
  <si>
    <t>22028000036043640</t>
  </si>
  <si>
    <t>51788000007807167</t>
  </si>
  <si>
    <t>zcrm_51788000303491415</t>
  </si>
  <si>
    <t>2025-12-26 15:35:57</t>
  </si>
  <si>
    <t>principal.bannerghatta@globalindianschool.org</t>
  </si>
  <si>
    <t>Bannerghatta Main Rd, Gollahalli, Bannerughatta, Bengaluru, Karnataka 560083, India</t>
  </si>
  <si>
    <t>177450</t>
  </si>
  <si>
    <t>709800</t>
  </si>
  <si>
    <t>158301</t>
  </si>
  <si>
    <t>551499</t>
  </si>
  <si>
    <t>22028000029183464</t>
  </si>
  <si>
    <t>zcrm_51788000288177001</t>
  </si>
  <si>
    <t>2025-04-28 11:03:44</t>
  </si>
  <si>
    <t>Mr Sanjeev</t>
  </si>
  <si>
    <t>cisp.principal@gmail.com</t>
  </si>
  <si>
    <t>+919418044344</t>
  </si>
  <si>
    <t>Ms. Swati</t>
  </si>
  <si>
    <t>+918219237659</t>
  </si>
  <si>
    <t>The Oriental School</t>
  </si>
  <si>
    <t>774</t>
  </si>
  <si>
    <t>1726</t>
  </si>
  <si>
    <t>273413</t>
  </si>
  <si>
    <t>20439</t>
  </si>
  <si>
    <t>1093652</t>
  </si>
  <si>
    <t>634346</t>
  </si>
  <si>
    <t>438867</t>
  </si>
  <si>
    <t>0.6078</t>
  </si>
  <si>
    <t>0.5578</t>
  </si>
  <si>
    <t>22028000028006360</t>
  </si>
  <si>
    <t>51788000007807566</t>
  </si>
  <si>
    <t>zcrm_51788000277469812</t>
  </si>
  <si>
    <t>2025-02-24 15:21:25</t>
  </si>
  <si>
    <t>Ms. Swapna Aphale</t>
  </si>
  <si>
    <t>principal@theorientalschool.com</t>
  </si>
  <si>
    <t>+918859222849</t>
  </si>
  <si>
    <t>school@oriental.ac.in</t>
  </si>
  <si>
    <t>Ms Swapna A Phale</t>
  </si>
  <si>
    <t>principaltos@oriental.ac.in</t>
  </si>
  <si>
    <t>41100</t>
  </si>
  <si>
    <t>Raisen road</t>
  </si>
  <si>
    <t>462022</t>
  </si>
  <si>
    <t>Raisen Road</t>
  </si>
  <si>
    <t>BPLD01072B</t>
  </si>
  <si>
    <t>Opp. Patel Nagar, Raisen Road</t>
  </si>
  <si>
    <t>Vyasanagar Public School</t>
  </si>
  <si>
    <t>111766</t>
  </si>
  <si>
    <t>447064</t>
  </si>
  <si>
    <t>353217</t>
  </si>
  <si>
    <t>93847</t>
  </si>
  <si>
    <t>0.6884999999999999</t>
  </si>
  <si>
    <t>Jajpur Road</t>
  </si>
  <si>
    <t>22028000026049664</t>
  </si>
  <si>
    <t>51788000007807650</t>
  </si>
  <si>
    <t>zcrm_51788000273848336</t>
  </si>
  <si>
    <t>2024-11-12 13:56:50</t>
  </si>
  <si>
    <t>Mrs. Debasmita Sahu</t>
  </si>
  <si>
    <t>debasmitasahu02@gmail.com</t>
  </si>
  <si>
    <t>+919937969593</t>
  </si>
  <si>
    <t>info.vyasanagarps@gmail.com</t>
  </si>
  <si>
    <t>Ms. Debasmita Sahu</t>
  </si>
  <si>
    <t>Mr. Debashis Panda</t>
  </si>
  <si>
    <t>vyasanagarps@gmail.com</t>
  </si>
  <si>
    <t>+919777273050</t>
  </si>
  <si>
    <t>37350</t>
  </si>
  <si>
    <t>Chorda (Vyasa Nagar), Jajpur Road, Dist:-Jajpur State:- Odisha</t>
  </si>
  <si>
    <t>755019</t>
  </si>
  <si>
    <t>Delhi Public School, Rajpura</t>
  </si>
  <si>
    <t>Rajpura</t>
  </si>
  <si>
    <t>22028000029936116</t>
  </si>
  <si>
    <t>51788000007807991</t>
  </si>
  <si>
    <t>zcrm_51788000290313053</t>
  </si>
  <si>
    <t>2025-05-19 11:10:29</t>
  </si>
  <si>
    <t>Ms. Gunmeet Bindra</t>
  </si>
  <si>
    <t>gunmeetb@gmail.com</t>
  </si>
  <si>
    <t>+919897577711</t>
  </si>
  <si>
    <t>info@dpsrajpura.com</t>
  </si>
  <si>
    <t>Ms. Geetika Chandra</t>
  </si>
  <si>
    <t>+917771098104</t>
  </si>
  <si>
    <t>Mr. Vishal mehta</t>
  </si>
  <si>
    <t>+919877719457</t>
  </si>
  <si>
    <t>Vill. Kalo Majra, Chandigarh, Road, behind Chitkara University, Rajpura, Punjab 140401</t>
  </si>
  <si>
    <t>140401</t>
  </si>
  <si>
    <t>2025-03-22 00:00:00, 2025-04-01 00:00:00</t>
  </si>
  <si>
    <t>469438, 542318</t>
  </si>
  <si>
    <t>2025-05-01 00:00:00, 2025-08-01 00:00:00</t>
  </si>
  <si>
    <t>232422, 469438</t>
  </si>
  <si>
    <t>0, 469438</t>
  </si>
  <si>
    <t>0, 18112</t>
  </si>
  <si>
    <t>2025-07-09 00:00:00, 2025-10-16 00:00:00</t>
  </si>
  <si>
    <t>2025-10-16 00:00:00, 2026-01-12 00:00:00</t>
  </si>
  <si>
    <t>1877752, 774740</t>
  </si>
  <si>
    <t>1951174, 548440</t>
  </si>
  <si>
    <t>-91534, 226300</t>
  </si>
  <si>
    <t>22028000028741868, 22028000028741908</t>
  </si>
  <si>
    <t>zcrm_51788000286773090, zcrm_51788000286773452</t>
  </si>
  <si>
    <t>2025-03-18 17:00:49, 2025-03-18 17:01:03</t>
  </si>
  <si>
    <t>Shishukunj International School Noth Campus</t>
  </si>
  <si>
    <t>268197</t>
  </si>
  <si>
    <t>2025-09-06 00:00:00</t>
  </si>
  <si>
    <t>260309</t>
  </si>
  <si>
    <t>13513</t>
  </si>
  <si>
    <t>788815</t>
  </si>
  <si>
    <t>783768</t>
  </si>
  <si>
    <t>-8466</t>
  </si>
  <si>
    <t>0.32789999999999997</t>
  </si>
  <si>
    <t>22028000030717392</t>
  </si>
  <si>
    <t>zcrm_51788000291731032</t>
  </si>
  <si>
    <t>2025-06-05 12:37:06</t>
  </si>
  <si>
    <t>Ms. Meenakshi Myer</t>
  </si>
  <si>
    <t>meenakshimyer@inventureacademy.com</t>
  </si>
  <si>
    <t>+919448936679</t>
  </si>
  <si>
    <t>365547</t>
  </si>
  <si>
    <t>14622</t>
  </si>
  <si>
    <t>731094</t>
  </si>
  <si>
    <t>716548</t>
  </si>
  <si>
    <t>-76</t>
  </si>
  <si>
    <t>0.7116</t>
  </si>
  <si>
    <t>0.6616</t>
  </si>
  <si>
    <t>22028000031019040</t>
  </si>
  <si>
    <t>zcrm_51788000289810546</t>
  </si>
  <si>
    <t>2025-06-19 13:50:08</t>
  </si>
  <si>
    <t>Dr.. Archana Mishra</t>
  </si>
  <si>
    <t>Sports Complex, near Sama, Raghuvir Nagar,</t>
  </si>
  <si>
    <t>Near Sama Sports Complex,</t>
  </si>
  <si>
    <t>Manas International Play and Primary School</t>
  </si>
  <si>
    <t>254</t>
  </si>
  <si>
    <t>57603</t>
  </si>
  <si>
    <t>52603</t>
  </si>
  <si>
    <t>0.95</t>
  </si>
  <si>
    <t>Dhanbad</t>
  </si>
  <si>
    <t>2026-01-01 00:00:00</t>
  </si>
  <si>
    <t>22028000035817252</t>
  </si>
  <si>
    <t>51788000007808432</t>
  </si>
  <si>
    <t>zcrm_51788000302620172</t>
  </si>
  <si>
    <t>2025-12-19 15:57:29</t>
  </si>
  <si>
    <t>Mr. Rakesh Kumar Sinha</t>
  </si>
  <si>
    <t>rakesh2402@gmail.com</t>
  </si>
  <si>
    <t>+918002648452</t>
  </si>
  <si>
    <t>Seema Sinha</t>
  </si>
  <si>
    <t>4200</t>
  </si>
  <si>
    <t>MIG Plot 81 Housing colony Rd housing, Sardar Patel Nagar Dhanbad</t>
  </si>
  <si>
    <t>826001</t>
  </si>
  <si>
    <t>Babudih Opp Om Residency</t>
  </si>
  <si>
    <t>St. Joseph's Convent</t>
  </si>
  <si>
    <t>281385</t>
  </si>
  <si>
    <t>90256.16</t>
  </si>
  <si>
    <t>1125540</t>
  </si>
  <si>
    <t>1065551</t>
  </si>
  <si>
    <t>-30267</t>
  </si>
  <si>
    <t>0.493</t>
  </si>
  <si>
    <t>Chandannagar</t>
  </si>
  <si>
    <t>22028000026874616</t>
  </si>
  <si>
    <t>51788000002736282</t>
  </si>
  <si>
    <t>zcrm_51788000276330824</t>
  </si>
  <si>
    <t>2025-04-02 16:14:38</t>
  </si>
  <si>
    <t>Ms. Sister Anna Maria</t>
  </si>
  <si>
    <t>stjoseph_1861@yahoo.co.in</t>
  </si>
  <si>
    <t>+919674675057</t>
  </si>
  <si>
    <t>20332</t>
  </si>
  <si>
    <t>Strand Road, Hooghly District, ,Chandannagar,West Bengal - 712136,Chandannagar,West Bengal - 712136</t>
  </si>
  <si>
    <t>712136</t>
  </si>
  <si>
    <t>CALS13884D</t>
  </si>
  <si>
    <t>2025-04-22 00:00:00, 2025-05-02 00:00:00</t>
  </si>
  <si>
    <t>390</t>
  </si>
  <si>
    <t>1549</t>
  </si>
  <si>
    <t>0, 1585, 1589</t>
  </si>
  <si>
    <t>2025-05-01 00:00:00, 2025-05-03 00:00:00, 2025-05-05 00:00:00</t>
  </si>
  <si>
    <t>0, 15000, 28277, 3874, 4677, 8882</t>
  </si>
  <si>
    <t>2025-07-01 00:00:00, 2025-08-01 00:00:00</t>
  </si>
  <si>
    <t>0, 113108, 15496, 18708, 35528, 60000</t>
  </si>
  <si>
    <t>0, 10000, 122000, 3000</t>
  </si>
  <si>
    <t>-10000, -156504, 113108, 18708, 35528, 57000</t>
  </si>
  <si>
    <t>0.4792, 0.7579, 0.7915000000000001, 0.8268000000000001, 1</t>
  </si>
  <si>
    <t>0.4292, 0.7079000000000001, 0.7415, 0.7768, 1</t>
  </si>
  <si>
    <t>2025-04-21 00:00:00, 2025-05-01 00:00:00</t>
  </si>
  <si>
    <t>22028000029510132, 22028000029510208, 22028000029510268, 22028000029510320, 22028000029765376, 22028000029795776</t>
  </si>
  <si>
    <t>zcrm_51788000289330001, zcrm_51788000289330179, zcrm_51788000289330343, zcrm_51788000289330507, zcrm_51788000289945003, zcrm_51788000289945167</t>
  </si>
  <si>
    <t>2025-04-23 17:52:55, 2025-04-23 17:53:13, 2025-04-23 17:53:28, 2025-04-23 17:53:42, 2025-05-03 16:47:52, 2025-05-03 16:48:23</t>
  </si>
  <si>
    <t>Dr. Seema Jerath</t>
  </si>
  <si>
    <t>seema.jerath@dlps.co.in, seemajerath@dlfps.com</t>
  </si>
  <si>
    <t>sector 2</t>
  </si>
  <si>
    <t>2025-03-26 00:00:00, 2025-04-04 00:00:00, 2025-04-28 00:00:00, 2026-02-24 00:00:00</t>
  </si>
  <si>
    <t>2025-03-31 00:00:00, 2025-04-04 00:00:00, 2025-04-30 00:00:00, 2025-12-31 00:00:00</t>
  </si>
  <si>
    <t>22028000028912088, 22028000029082252, 22028000029619152, 22028000037495208, 22028000037495256</t>
  </si>
  <si>
    <t>zcrm_51788000286869001, zcrm_51788000288170001, zcrm_51788000289670198, zcrm_51788000307292642, zcrm_51788000307292800</t>
  </si>
  <si>
    <t>2025-03-26 19:47:46, 2025-04-04 09:52:27, 2025-04-29 09:35:23, 2026-02-25 13:45:07, 2026-02-25 13:45:18</t>
  </si>
  <si>
    <t>Mr. Parminder Singh</t>
  </si>
  <si>
    <t>+919810646129</t>
  </si>
  <si>
    <t>827</t>
  </si>
  <si>
    <t>162845</t>
  </si>
  <si>
    <t>2025-11-16 00:00:00</t>
  </si>
  <si>
    <t>379971</t>
  </si>
  <si>
    <t>54237.32</t>
  </si>
  <si>
    <t>542816</t>
  </si>
  <si>
    <t>488139.42000000004</t>
  </si>
  <si>
    <t>0.4497</t>
  </si>
  <si>
    <t>22028000033175132</t>
  </si>
  <si>
    <t>zcrm_51788000296257014</t>
  </si>
  <si>
    <t>2025-09-17 18:13:25</t>
  </si>
  <si>
    <t>Mr. Dhirendra Harbola</t>
  </si>
  <si>
    <t>+919106252328</t>
  </si>
  <si>
    <t>Ril Township</t>
  </si>
  <si>
    <t>Bellwether International School</t>
  </si>
  <si>
    <t>1355</t>
  </si>
  <si>
    <t>295852</t>
  </si>
  <si>
    <t>591704</t>
  </si>
  <si>
    <t>550000</t>
  </si>
  <si>
    <t>41704</t>
  </si>
  <si>
    <t>0.5558</t>
  </si>
  <si>
    <t>Tanuku</t>
  </si>
  <si>
    <t>22028000025838040</t>
  </si>
  <si>
    <t>51788000017060661</t>
  </si>
  <si>
    <t>zcrm_51788000274852075</t>
  </si>
  <si>
    <t>2024-11-07 15:04:35</t>
  </si>
  <si>
    <t>Mrs. ASHMITHA Ashmitha</t>
  </si>
  <si>
    <t>principal@bwis.edu.in</t>
  </si>
  <si>
    <t>+919989975577</t>
  </si>
  <si>
    <t>info@bellwetherinternationaltnk.com</t>
  </si>
  <si>
    <t>Mrs.Ashmitha</t>
  </si>
  <si>
    <t>Kommavaram Road Tanuku</t>
  </si>
  <si>
    <t>534211</t>
  </si>
  <si>
    <t>Don Bosco School Kalyani</t>
  </si>
  <si>
    <t>54941</t>
  </si>
  <si>
    <t>219764</t>
  </si>
  <si>
    <t>107685</t>
  </si>
  <si>
    <t>112079</t>
  </si>
  <si>
    <t>kalyani</t>
  </si>
  <si>
    <t>22028000029182104</t>
  </si>
  <si>
    <t>51788000025390748</t>
  </si>
  <si>
    <t>zcrm_51788000283480356</t>
  </si>
  <si>
    <t>2025-04-10 15:13:37</t>
  </si>
  <si>
    <t>Father K.V. Mathew</t>
  </si>
  <si>
    <t>dbskalyani@gmail.com</t>
  </si>
  <si>
    <t>+919674464775</t>
  </si>
  <si>
    <t>Address Anandanagar P. O, Nadia Dist, West Bengal 741245</t>
  </si>
  <si>
    <t>741245</t>
  </si>
  <si>
    <t>Anandanagar P.O, Nadia Dist,</t>
  </si>
  <si>
    <t>115431</t>
  </si>
  <si>
    <t>461724</t>
  </si>
  <si>
    <t>212530</t>
  </si>
  <si>
    <t>249194</t>
  </si>
  <si>
    <t>22028000029085080</t>
  </si>
  <si>
    <t>zcrm_51788000288169138</t>
  </si>
  <si>
    <t>2025-05-03 08:45:35</t>
  </si>
  <si>
    <t>Mrs. Shraddha Agarwal</t>
  </si>
  <si>
    <t>+918585858154</t>
  </si>
  <si>
    <t>Madhupur, Holding number 10504</t>
  </si>
  <si>
    <t>2025-05-08 00:00:00, 2025-05-14 00:00:00</t>
  </si>
  <si>
    <t>1150, 1431</t>
  </si>
  <si>
    <t>2025-05-15 00:00:00, 2025-05-20 00:00:00</t>
  </si>
  <si>
    <t>338121, 981707</t>
  </si>
  <si>
    <t>327871, 958771</t>
  </si>
  <si>
    <t>10250, 22936</t>
  </si>
  <si>
    <t>0.3778, 0.3947</t>
  </si>
  <si>
    <t>2025-05-08 00:00:00, 2025-05-12 00:00:00</t>
  </si>
  <si>
    <t>22028000029933648, 22028000030055136</t>
  </si>
  <si>
    <t>zcrm_51788000289586400, zcrm_51788000290636001</t>
  </si>
  <si>
    <t>2025-06-10 15:32:40, 2025-06-10 15:45:21</t>
  </si>
  <si>
    <t>+9198640228962</t>
  </si>
  <si>
    <t>Gugh</t>
  </si>
  <si>
    <t>2025-06-15 00:00:00, 2025-07-01 00:00:00</t>
  </si>
  <si>
    <t>272642, 464405</t>
  </si>
  <si>
    <t>2025-08-01 00:00:00, 2025-09-01 00:00:00</t>
  </si>
  <si>
    <t>1857619, 636164</t>
  </si>
  <si>
    <t>0, 2322024</t>
  </si>
  <si>
    <t>17941, 78809</t>
  </si>
  <si>
    <t>2025-07-02 00:00:00, 2025-09-29 00:00:00</t>
  </si>
  <si>
    <t>2025-09-29 00:00:00, 2025-12-22 00:00:00</t>
  </si>
  <si>
    <t>4644048, 908806</t>
  </si>
  <si>
    <t>4570924, 879140</t>
  </si>
  <si>
    <t>-5685, 11725</t>
  </si>
  <si>
    <t>0.42310000000000003, 0.7617</t>
  </si>
  <si>
    <t>22028000030616176, 22028000030616308</t>
  </si>
  <si>
    <t>zcrm_51788000291559001, zcrm_51788000291559165</t>
  </si>
  <si>
    <t>2025-06-05 12:33:52, 2025-06-05 12:34:10</t>
  </si>
  <si>
    <t>1250, 1550</t>
  </si>
  <si>
    <t>146642, 300404</t>
  </si>
  <si>
    <t>142329, 291568</t>
  </si>
  <si>
    <t>2933, 9260</t>
  </si>
  <si>
    <t>431300, 883540</t>
  </si>
  <si>
    <t>223388, 374074</t>
  </si>
  <si>
    <t>204979, 500206</t>
  </si>
  <si>
    <t>0.3589, 0.42590000000000006</t>
  </si>
  <si>
    <t>22028000031984152, 22028000031984208</t>
  </si>
  <si>
    <t>zcrm_51788000294233001, zcrm_51788000294233226</t>
  </si>
  <si>
    <t>2025-09-20 16:25:23, 2025-09-20 16:28:02</t>
  </si>
  <si>
    <t>Ms. Sapna Katoch</t>
  </si>
  <si>
    <t>principal@stkabir.co.in</t>
  </si>
  <si>
    <t>+918146329608</t>
  </si>
  <si>
    <t>Ms. Payal Bedi</t>
  </si>
  <si>
    <t>ed.adv@stkabir.co.in</t>
  </si>
  <si>
    <t>+919855708724</t>
  </si>
  <si>
    <t>22028000036043232</t>
  </si>
  <si>
    <t>51788000002736669</t>
  </si>
  <si>
    <t>zcrm_51788000303478417</t>
  </si>
  <si>
    <t>2025-12-26 14:26:14</t>
  </si>
  <si>
    <t>wis@wittykidsindia.com</t>
  </si>
  <si>
    <t>400064</t>
  </si>
  <si>
    <t>Pawan Baug road, off S.V. road, near Chincholi signal, Malad (W),</t>
  </si>
  <si>
    <t>414</t>
  </si>
  <si>
    <t>601228</t>
  </si>
  <si>
    <t>400819</t>
  </si>
  <si>
    <t>1002047</t>
  </si>
  <si>
    <t>2047</t>
  </si>
  <si>
    <t>0.8273999999999999</t>
  </si>
  <si>
    <t>22028000028797336</t>
  </si>
  <si>
    <t>zcrm_51788000277151537</t>
  </si>
  <si>
    <t>2025-03-22 15:39:37</t>
  </si>
  <si>
    <t>principal.nvnjamnagar@gmail.com</t>
  </si>
  <si>
    <t>+919099067950</t>
  </si>
  <si>
    <t>2470</t>
  </si>
  <si>
    <t>1570</t>
  </si>
  <si>
    <t>2025-04-28 00:00:00, 2025-04-29 00:00:00</t>
  </si>
  <si>
    <t>147778, 156233</t>
  </si>
  <si>
    <t>50095.62, 62492.26</t>
  </si>
  <si>
    <t>591112, 624932</t>
  </si>
  <si>
    <t>541019, 562436</t>
  </si>
  <si>
    <t>-3, 4</t>
  </si>
  <si>
    <t>0.4853, 0.4854</t>
  </si>
  <si>
    <t>22028000029485280, 22028000029485332</t>
  </si>
  <si>
    <t>zcrm_51788000288909298, zcrm_51788000288909327</t>
  </si>
  <si>
    <t>2025-04-23 10:46:18, 2025-04-23 10:46:42</t>
  </si>
  <si>
    <t>Apunsha Kath</t>
  </si>
  <si>
    <t>+919615852022</t>
  </si>
  <si>
    <t>N.H. 29,</t>
  </si>
  <si>
    <t>Vimala Convent School</t>
  </si>
  <si>
    <t>2025-02-24 00:00:00, 2026-01-06 00:00:00</t>
  </si>
  <si>
    <t>0, 1049</t>
  </si>
  <si>
    <t>2000-01-01 00:00:00, 2025-06-09 00:00:00</t>
  </si>
  <si>
    <t>0, 109925</t>
  </si>
  <si>
    <t>2000-01-01 00:00:00, 2025-08-11 00:00:00</t>
  </si>
  <si>
    <t>2000-01-01 00:00:00, 2025-10-13 00:00:00</t>
  </si>
  <si>
    <t>2000-01-01 00:00:00, 2025-12-08 00:00:00</t>
  </si>
  <si>
    <t>0, 439700</t>
  </si>
  <si>
    <t>0, 317770.79</t>
  </si>
  <si>
    <t>0, 121929</t>
  </si>
  <si>
    <t>0.523, 1</t>
  </si>
  <si>
    <t>Bhawanipatna</t>
  </si>
  <si>
    <t>22028000028259236, 22028000036206552</t>
  </si>
  <si>
    <t>51788000002736939</t>
  </si>
  <si>
    <t>zcrm_51788000273584176, zcrm_51788000303417295</t>
  </si>
  <si>
    <t>2025-03-20 15:46:29, 2026-01-06 12:23:28</t>
  </si>
  <si>
    <t>Mr. Maruf Shaikh, Sr. Jainee Joseph</t>
  </si>
  <si>
    <t>maruf.shaikh@ei.study, vimalaconventschool1976@gmail.com</t>
  </si>
  <si>
    <t>+918160731829, +919692666934</t>
  </si>
  <si>
    <t>vimalaconventschool@yahoo.com</t>
  </si>
  <si>
    <t>Sr. Jean Joseph</t>
  </si>
  <si>
    <t>vimalaconventschool1976@gmail.com</t>
  </si>
  <si>
    <t>+919692666934</t>
  </si>
  <si>
    <t>2700</t>
  </si>
  <si>
    <t>766001</t>
  </si>
  <si>
    <t>Bhawanipatna, Kalahandi</t>
  </si>
  <si>
    <t>The Blossom Sunderbhai Thackersey English High School</t>
  </si>
  <si>
    <t>22028000032613704</t>
  </si>
  <si>
    <t>51788000002737136</t>
  </si>
  <si>
    <t>zcrm_51788000295800473</t>
  </si>
  <si>
    <t>2025-09-06 10:26:29</t>
  </si>
  <si>
    <t>Mrs. Geeta Pillai</t>
  </si>
  <si>
    <t>blossomshighschool@yahoo.co.in</t>
  </si>
  <si>
    <t>+919820584978</t>
  </si>
  <si>
    <t>TheBlossomSunderbhaiThackerseyEnglishHighSchool_463877@gmail.com</t>
  </si>
  <si>
    <t>Queens Rd, New Marine Lines, Marine Lines, Mumbai, Maharashtra 400020</t>
  </si>
  <si>
    <t>MUMS39098D</t>
  </si>
  <si>
    <t>2/2A Nathibai Thackersey Road,Opposite Queens Road, New Marine Lines,</t>
  </si>
  <si>
    <t>St. Anthony^S School</t>
  </si>
  <si>
    <t>65799</t>
  </si>
  <si>
    <t>131598</t>
  </si>
  <si>
    <t>59219</t>
  </si>
  <si>
    <t>72379</t>
  </si>
  <si>
    <t>0.8201</t>
  </si>
  <si>
    <t>Kurseong</t>
  </si>
  <si>
    <t>22028000030723464</t>
  </si>
  <si>
    <t>51788000002731089</t>
  </si>
  <si>
    <t>zcrm_51788000283276579</t>
  </si>
  <si>
    <t>2025-06-16 17:43:13</t>
  </si>
  <si>
    <t>Mr. Chetan Tewari</t>
  </si>
  <si>
    <t>ctewari05@gmail.com</t>
  </si>
  <si>
    <t>+919734744055</t>
  </si>
  <si>
    <t>anthonyschool_kur@yahoo.com</t>
  </si>
  <si>
    <t>Giddha Pahar, Kurseong</t>
  </si>
  <si>
    <t>734203</t>
  </si>
  <si>
    <t>Giddha Pahar, Dist. Darjeeling,Kurseong,West Bengal - 734203</t>
  </si>
  <si>
    <t>307881</t>
  </si>
  <si>
    <t>718390</t>
  </si>
  <si>
    <t>6138</t>
  </si>
  <si>
    <t>1026271</t>
  </si>
  <si>
    <t>1006390</t>
  </si>
  <si>
    <t>13743</t>
  </si>
  <si>
    <t>22028000029260384</t>
  </si>
  <si>
    <t>zcrm_51788000288691001</t>
  </si>
  <si>
    <t>2025-04-17 09:56:58</t>
  </si>
  <si>
    <t>Ms. Preetha</t>
  </si>
  <si>
    <t>2025-04-19 00:00:00, 2025-07-14 00:00:00, 2026-01-09 00:00:00</t>
  </si>
  <si>
    <t>Ei ASSET,Ei CARES,Ei Mindspark, Ei CARES, Ei Mindspark</t>
  </si>
  <si>
    <t>749</t>
  </si>
  <si>
    <t>0, 929</t>
  </si>
  <si>
    <t>0, 2181</t>
  </si>
  <si>
    <t>2025-04-30 00:00:00, 2025-07-14 00:00:00, 2025-12-31 00:00:00</t>
  </si>
  <si>
    <t>0, 2902199</t>
  </si>
  <si>
    <t>0, 2902707</t>
  </si>
  <si>
    <t>-508, 0</t>
  </si>
  <si>
    <t>0.6425, 1</t>
  </si>
  <si>
    <t>22028000029428500, 22028000031568120, 22028000036291412</t>
  </si>
  <si>
    <t>zcrm_51788000288911001, zcrm_51788000293278073, zcrm_51788000304374162</t>
  </si>
  <si>
    <t>aruna_ei, jasper.jessie_ei</t>
  </si>
  <si>
    <t>aruna@ei.study, jasper.jessie@ei.study</t>
  </si>
  <si>
    <t>Aruna, Jasper jessie</t>
  </si>
  <si>
    <t>2025-04-22 10:15:33, 2025-07-14 11:33:51, 2026-01-09 14:56:59</t>
  </si>
  <si>
    <t>Maruf Shaikh, Mr. Maruf Shaikh, Mr. Sarvesh Srinivasan</t>
  </si>
  <si>
    <t>Admin, Other, School Owner</t>
  </si>
  <si>
    <t>+919016039311, +919341981458, +919448852144</t>
  </si>
  <si>
    <t>Maruf Shaikh, Mr. Maruf Shaikh, Ms. Lakshmi Ganesh</t>
  </si>
  <si>
    <t>+919016039311, +919341981458, +919741255422</t>
  </si>
  <si>
    <t>Elpro International School, Chinchwad</t>
  </si>
  <si>
    <t>2025-11-08 00:00:00</t>
  </si>
  <si>
    <t>25896</t>
  </si>
  <si>
    <t>1294802</t>
  </si>
  <si>
    <t>1268906</t>
  </si>
  <si>
    <t>0.5211</t>
  </si>
  <si>
    <t>22028000034603756</t>
  </si>
  <si>
    <t>51788000087374567</t>
  </si>
  <si>
    <t>zcrm_51788000278691789</t>
  </si>
  <si>
    <t>2025-11-18 17:53:42</t>
  </si>
  <si>
    <t>Mr. Sunil Khandelwal</t>
  </si>
  <si>
    <t>khandelwal@elpro.co.in</t>
  </si>
  <si>
    <t>+918897280510</t>
  </si>
  <si>
    <t>admissions@elproschools.edu.in</t>
  </si>
  <si>
    <t>Dr. Pallavi Mukherjee</t>
  </si>
  <si>
    <t>pallavi.m@elproschools.edu.in</t>
  </si>
  <si>
    <t>+919665066619</t>
  </si>
  <si>
    <t>Ritu Gambhir</t>
  </si>
  <si>
    <t>ritu.gambhir@elproschools.edu.in</t>
  </si>
  <si>
    <t>120300</t>
  </si>
  <si>
    <t>NEXSTEP ACTIVITY LLP, C/O Elpro International School</t>
  </si>
  <si>
    <t>411033</t>
  </si>
  <si>
    <t>Elpro International School, Elpro Compound,</t>
  </si>
  <si>
    <t>CALN08268B</t>
  </si>
  <si>
    <t>Pimpri-Chinchwad Link Road, Chincwad</t>
  </si>
  <si>
    <t>Pimpri-Chinchwad Link Road,</t>
  </si>
  <si>
    <t>Tanya, Chaitanya</t>
  </si>
  <si>
    <t>22028000030817088</t>
  </si>
  <si>
    <t>zcrm_51788000291709129</t>
  </si>
  <si>
    <t>tanya.brooks_ei</t>
  </si>
  <si>
    <t>tanya.brooks@ei.study</t>
  </si>
  <si>
    <t>Tanya brooks</t>
  </si>
  <si>
    <t>2025-06-10 11:25:30</t>
  </si>
  <si>
    <t>Ms. Vandana Pamecha</t>
  </si>
  <si>
    <t>C/o Alpha beta school</t>
  </si>
  <si>
    <t>155081</t>
  </si>
  <si>
    <t>620324</t>
  </si>
  <si>
    <t>736458</t>
  </si>
  <si>
    <t>-156134</t>
  </si>
  <si>
    <t>0.1751</t>
  </si>
  <si>
    <t>22028000028483000</t>
  </si>
  <si>
    <t>zcrm_51788000286092262</t>
  </si>
  <si>
    <t>2025-03-29 14:57:04</t>
  </si>
  <si>
    <t>73581</t>
  </si>
  <si>
    <t>46500</t>
  </si>
  <si>
    <t>294324</t>
  </si>
  <si>
    <t>246997</t>
  </si>
  <si>
    <t>22028000028515308</t>
  </si>
  <si>
    <t>zcrm_51788000286168514</t>
  </si>
  <si>
    <t>2025-03-29 15:03:44</t>
  </si>
  <si>
    <t>Sheela Sujith Kalmadi</t>
  </si>
  <si>
    <t>sheela.sujith@kumarans.org</t>
  </si>
  <si>
    <t>+919845533897</t>
  </si>
  <si>
    <t>204100</t>
  </si>
  <si>
    <t>0.5434</t>
  </si>
  <si>
    <t>22028000033234120</t>
  </si>
  <si>
    <t>zcrm_51788000296782035</t>
  </si>
  <si>
    <t>2025-09-22 13:58:43</t>
  </si>
  <si>
    <t>Ms. Paromita Bagchi</t>
  </si>
  <si>
    <t>48A, PWD Rd,</t>
  </si>
  <si>
    <t>SES Gurukul, Pune</t>
  </si>
  <si>
    <t>199857</t>
  </si>
  <si>
    <t>399714</t>
  </si>
  <si>
    <t>167792</t>
  </si>
  <si>
    <t>231922</t>
  </si>
  <si>
    <t>0.5404</t>
  </si>
  <si>
    <t>22028000029426196</t>
  </si>
  <si>
    <t>zcrm_51788000288738132</t>
  </si>
  <si>
    <t>ratan.mishra_ei</t>
  </si>
  <si>
    <t>ratan.mishra@ei.study</t>
  </si>
  <si>
    <t>Ratan mishra</t>
  </si>
  <si>
    <t>2025-06-04 17:16:25</t>
  </si>
  <si>
    <t>Mrs. Maneesha Joshi</t>
  </si>
  <si>
    <t>Sinchan nagar</t>
  </si>
  <si>
    <t>26,</t>
  </si>
  <si>
    <t>Himali Boarding School</t>
  </si>
  <si>
    <t>72095</t>
  </si>
  <si>
    <t>2025-10-25 00:00:00</t>
  </si>
  <si>
    <t>144190</t>
  </si>
  <si>
    <t>2026-01-15 00:00:00</t>
  </si>
  <si>
    <t>22028000031005232</t>
  </si>
  <si>
    <t>51788000002731070</t>
  </si>
  <si>
    <t>zcrm_51788000255318249</t>
  </si>
  <si>
    <t>2025-07-05 13:38:45</t>
  </si>
  <si>
    <t>Mr. Robindra Subba</t>
  </si>
  <si>
    <t>himalischool@gmail.com</t>
  </si>
  <si>
    <t>+919733004589</t>
  </si>
  <si>
    <t>Himali boarding School</t>
  </si>
  <si>
    <t>Dumaram, P.O. Kurseong, Dist. Darjeeling.</t>
  </si>
  <si>
    <t>Dumaram, P.O. Kurseong, Dist. Darjeeling. Kurseong</t>
  </si>
  <si>
    <t>Sondara Gurukul</t>
  </si>
  <si>
    <t>3057</t>
  </si>
  <si>
    <t>468959</t>
  </si>
  <si>
    <t>461509</t>
  </si>
  <si>
    <t>7450</t>
  </si>
  <si>
    <t>0.499</t>
  </si>
  <si>
    <t>SSC</t>
  </si>
  <si>
    <t>Beed</t>
  </si>
  <si>
    <t>22028000026812696</t>
  </si>
  <si>
    <t>51788000168700839</t>
  </si>
  <si>
    <t>zcrm_51788000278385163</t>
  </si>
  <si>
    <t>2024-12-17 16:55:36</t>
  </si>
  <si>
    <t>Ashwin Bhondve</t>
  </si>
  <si>
    <t>ashwin@sondara.in</t>
  </si>
  <si>
    <t>+918888802621</t>
  </si>
  <si>
    <t>reachus@sondara.in</t>
  </si>
  <si>
    <t>39000</t>
  </si>
  <si>
    <t>Sondara Gurukulam, Domri</t>
  </si>
  <si>
    <t>414204</t>
  </si>
  <si>
    <t>Domri, Tal - Patoda</t>
  </si>
  <si>
    <t>317442</t>
  </si>
  <si>
    <t>308308</t>
  </si>
  <si>
    <t>9134</t>
  </si>
  <si>
    <t>0.5704</t>
  </si>
  <si>
    <t>0.4204</t>
  </si>
  <si>
    <t>22028000034913272</t>
  </si>
  <si>
    <t>zcrm_51788000300904001</t>
  </si>
  <si>
    <t>2025-12-01 11:25:17</t>
  </si>
  <si>
    <t>Kalyan Takkillapati</t>
  </si>
  <si>
    <t>kalyan.takkillapati@adaniinternational.edu.in</t>
  </si>
  <si>
    <t>+917416512408</t>
  </si>
  <si>
    <t>Pratibha Bhattacharya</t>
  </si>
  <si>
    <t>pratibha.bhattacharya@adaniinternational.edu.in</t>
  </si>
  <si>
    <t>+919867672075</t>
  </si>
  <si>
    <t>Shantigram, Vaishnodevi Circle</t>
  </si>
  <si>
    <t>793</t>
  </si>
  <si>
    <t>190809</t>
  </si>
  <si>
    <t>7632.17</t>
  </si>
  <si>
    <t>381618</t>
  </si>
  <si>
    <t>373983</t>
  </si>
  <si>
    <t>22028000031157084</t>
  </si>
  <si>
    <t>zcrm_51788000292525007</t>
  </si>
  <si>
    <t>2025-07-18 15:20:08</t>
  </si>
  <si>
    <t>Rohit Srivatsava</t>
  </si>
  <si>
    <t>rohit@thehdfcschoolblr.com</t>
  </si>
  <si>
    <t>nisha@thehdfcschool.com</t>
  </si>
  <si>
    <t>+916366228152</t>
  </si>
  <si>
    <t>2025-06-25 00:00:00, 2025-08-07 00:00:00</t>
  </si>
  <si>
    <t>0, Both Rounds</t>
  </si>
  <si>
    <t>22028000031133104, 22028000031133136, 22028000032081352</t>
  </si>
  <si>
    <t>zcrm_51788000292473013, zcrm_51788000292503694, zcrm_51788000294517005</t>
  </si>
  <si>
    <t>2025-06-28 12:22:22, 2025-06-28 12:22:36, 2025-08-07 19:19:18</t>
  </si>
  <si>
    <t>+918160731829, +919016039311</t>
  </si>
  <si>
    <t>Mr. Maruf Shaik, Revathi K</t>
  </si>
  <si>
    <t>Charityschoolssrgvvk@gmail.com, maruf.shaikh@ei.study</t>
  </si>
  <si>
    <t>+918160731829, +919148038365</t>
  </si>
  <si>
    <t>Mahendran, Mr. Maruf Shaik</t>
  </si>
  <si>
    <t>mahendran.srgvvk@gmail.com, maruf.shaikh@ei.study</t>
  </si>
  <si>
    <t>+918160731829, +918943321610</t>
  </si>
  <si>
    <t>JP Nagar</t>
  </si>
  <si>
    <t>1145</t>
  </si>
  <si>
    <t>595885</t>
  </si>
  <si>
    <t>23835</t>
  </si>
  <si>
    <t>1191770</t>
  </si>
  <si>
    <t>1167937</t>
  </si>
  <si>
    <t>0.4375</t>
  </si>
  <si>
    <t>22028000031201192</t>
  </si>
  <si>
    <t>zcrm_51788000291161164</t>
  </si>
  <si>
    <t>2025-07-07 18:45:29</t>
  </si>
  <si>
    <t>Dabolim</t>
  </si>
  <si>
    <t>Airport Road</t>
  </si>
  <si>
    <t>Vaishali, Chaitanya</t>
  </si>
  <si>
    <t>2025-05-21 00:00:00, 2025-09-24 00:00:00</t>
  </si>
  <si>
    <t>2025-05-22 00:00:00, 2025-09-24 00:00:00</t>
  </si>
  <si>
    <t>Firozabad, Jaipur</t>
  </si>
  <si>
    <t>2025-05-20 00:00:00, 2025-09-09 00:00:00</t>
  </si>
  <si>
    <t>22028000030276388, 22028000033344428</t>
  </si>
  <si>
    <t>zcrm_51788000290929003, zcrm_51788000296345001</t>
  </si>
  <si>
    <t>2025-05-21 13:17:39, 2025-11-13 15:52:00</t>
  </si>
  <si>
    <t>Ms. Mala Rastogi</t>
  </si>
  <si>
    <t>malarastogi86@gmail.com</t>
  </si>
  <si>
    <t>+447734050366</t>
  </si>
  <si>
    <t>+447734050366, +919837921521</t>
  </si>
  <si>
    <t>Vimukti DDGIC</t>
  </si>
  <si>
    <t>2025-06-07 00:00:00, 2025-07-07 00:00:00</t>
  </si>
  <si>
    <t>100, 600</t>
  </si>
  <si>
    <t>0, 265985</t>
  </si>
  <si>
    <t>51100, 531970, 65400</t>
  </si>
  <si>
    <t>0, 269134</t>
  </si>
  <si>
    <t>262836, 51100, 65400</t>
  </si>
  <si>
    <t>0.4167, 0.5, 0.75</t>
  </si>
  <si>
    <t>22028000030772284, 22028000030772360, 22028000031409180</t>
  </si>
  <si>
    <t>zcrm_51788000291840032, zcrm_51788000291840194, zcrm_51788000291840356</t>
  </si>
  <si>
    <t>2025-06-13 15:53:13, 2025-06-13 15:53:23, 2025-07-18 18:28:06</t>
  </si>
  <si>
    <t>Mr. Ganesh Kumar Tirubelli</t>
  </si>
  <si>
    <t>head-operations@thepremiaacademy.com</t>
  </si>
  <si>
    <t>+919000162755</t>
  </si>
  <si>
    <t>+919912226690</t>
  </si>
  <si>
    <t>Ms. Monica Arora</t>
  </si>
  <si>
    <t>Pillar Number 102, 501, Road, Karwan Sahu,</t>
  </si>
  <si>
    <t>K.S.N. SENIOR SECONDARY SCHOOL</t>
  </si>
  <si>
    <t>2025-04-25 00:00:00, 2025-04-26 00:00:00</t>
  </si>
  <si>
    <t>921</t>
  </si>
  <si>
    <t>147755, 31590</t>
  </si>
  <si>
    <t>344763, 73710</t>
  </si>
  <si>
    <t>10692, 49252</t>
  </si>
  <si>
    <t>105300, 492518</t>
  </si>
  <si>
    <t>443266, 96228</t>
  </si>
  <si>
    <t>-1620, 0</t>
  </si>
  <si>
    <t>0.1, 0.4414</t>
  </si>
  <si>
    <t>22028000029561324, 22028000029590064</t>
  </si>
  <si>
    <t>zcrm_51788000289557189, zcrm_51788000289557350</t>
  </si>
  <si>
    <t>2025-04-30 16:59:40, 2025-04-30 17:00:05</t>
  </si>
  <si>
    <t>Mrs. Prabha Prakash</t>
  </si>
  <si>
    <t>+914442602549</t>
  </si>
  <si>
    <t>Mrs Soya C K</t>
  </si>
  <si>
    <t>sckganit@gmail.com</t>
  </si>
  <si>
    <t>22028000031408008, 50148952025</t>
  </si>
  <si>
    <t>zcrm_51788000292729676</t>
  </si>
  <si>
    <t>2025-04-01 00:00:00, 2025-07-07 15:01:01</t>
  </si>
  <si>
    <t>Ms. Kanika Govi</t>
  </si>
  <si>
    <t>Ms. Deepika Sachdev</t>
  </si>
  <si>
    <t>+919873256286</t>
  </si>
  <si>
    <t>Sector-24, Phase III</t>
  </si>
  <si>
    <t>2025-03-24 00:00:00, 2025-08-11 00:00:00</t>
  </si>
  <si>
    <t>2246</t>
  </si>
  <si>
    <t>2000-01-01 00:00:00, 2025-08-17 00:00:00</t>
  </si>
  <si>
    <t>0, 122550</t>
  </si>
  <si>
    <t>2000-01-01 00:00:00, 2025-11-01 00:00:00</t>
  </si>
  <si>
    <t>2000-01-01 00:00:00, 2025-12-20 00:00:00</t>
  </si>
  <si>
    <t>0, 43682</t>
  </si>
  <si>
    <t>2025-03-25 00:00:00, 2026-01-05 00:00:00</t>
  </si>
  <si>
    <t>2025-10-13 00:00:00, 2026-01-05 00:00:00</t>
  </si>
  <si>
    <t>436817, 490200</t>
  </si>
  <si>
    <t>168206, 585935</t>
  </si>
  <si>
    <t>-192800, 321994</t>
  </si>
  <si>
    <t>0.42590000000000006, 0.5584</t>
  </si>
  <si>
    <t>0.2759, 0.5084000000000001</t>
  </si>
  <si>
    <t>2025-04-01 00:00:00, 2025-08-13 00:00:00</t>
  </si>
  <si>
    <t>2026-03-31 00:00:00, 2026-08-17 00:00:00</t>
  </si>
  <si>
    <t>22028000028859176, 22028000032176172</t>
  </si>
  <si>
    <t>zcrm_51788000287644001, zcrm_51788000294494504</t>
  </si>
  <si>
    <t>2025-04-02 14:40:09, 2025-08-11 19:16:08</t>
  </si>
  <si>
    <t>2026-01-24 00:00:00</t>
  </si>
  <si>
    <t>562042</t>
  </si>
  <si>
    <t>429000</t>
  </si>
  <si>
    <t>133042</t>
  </si>
  <si>
    <t>0.4827</t>
  </si>
  <si>
    <t>0.33270000000000005</t>
  </si>
  <si>
    <t>22028000029457376</t>
  </si>
  <si>
    <t>zcrm_51788000288905289</t>
  </si>
  <si>
    <t>2025-04-23 12:29:38</t>
  </si>
  <si>
    <t>Amish Desai</t>
  </si>
  <si>
    <t>+919904805821</t>
  </si>
  <si>
    <t>Bhakti Ganatra</t>
  </si>
  <si>
    <t>353638</t>
  </si>
  <si>
    <t>412578</t>
  </si>
  <si>
    <t>1178794</t>
  </si>
  <si>
    <t>1155553</t>
  </si>
  <si>
    <t>23241</t>
  </si>
  <si>
    <t>0.4118</t>
  </si>
  <si>
    <t>0.3618</t>
  </si>
  <si>
    <t>2026-04-18 00:00:00</t>
  </si>
  <si>
    <t>22028000029012328</t>
  </si>
  <si>
    <t>zcrm_51788000282179150</t>
  </si>
  <si>
    <t>2025-05-17 12:40:28</t>
  </si>
  <si>
    <t>Ms. Suma H R</t>
  </si>
  <si>
    <t>principalnisbbk@gmail.com</t>
  </si>
  <si>
    <t>Ms. Suma</t>
  </si>
  <si>
    <t>Ms. Niti</t>
  </si>
  <si>
    <t>9th mile stone, Hesargatta Main Road,</t>
  </si>
  <si>
    <t>KnowledgeGram International School</t>
  </si>
  <si>
    <t>21240</t>
  </si>
  <si>
    <t>42480</t>
  </si>
  <si>
    <t>22028000033266196</t>
  </si>
  <si>
    <t>51788000210352095</t>
  </si>
  <si>
    <t>zcrm_51788000268668311</t>
  </si>
  <si>
    <t>2025-09-25 14:38:31</t>
  </si>
  <si>
    <t>Mrs. Radhika Kizhakkumkara</t>
  </si>
  <si>
    <t>kgispatna@gmail.com</t>
  </si>
  <si>
    <t>+919386312680</t>
  </si>
  <si>
    <t>38500</t>
  </si>
  <si>
    <t>Nandlal Chapra</t>
  </si>
  <si>
    <t>800016</t>
  </si>
  <si>
    <t>Bypass KnowledgeGram Marg</t>
  </si>
  <si>
    <t>1831</t>
  </si>
  <si>
    <t>238148</t>
  </si>
  <si>
    <t>119074</t>
  </si>
  <si>
    <t>476296</t>
  </si>
  <si>
    <t>336971</t>
  </si>
  <si>
    <t>139325</t>
  </si>
  <si>
    <t>22028000029200108</t>
  </si>
  <si>
    <t>zcrm_51788000287453079</t>
  </si>
  <si>
    <t>Fagun saraiya</t>
  </si>
  <si>
    <t>2025-04-10 00:54:44</t>
  </si>
  <si>
    <t>principaldirector@amrutavahininido.org</t>
  </si>
  <si>
    <t>+919022691836</t>
  </si>
  <si>
    <t>rajnirupwate.anis@gmail.com</t>
  </si>
  <si>
    <t>Gate no. 44, Gunjalwadi Road,</t>
  </si>
  <si>
    <t>22751</t>
  </si>
  <si>
    <t>22028000031278736</t>
  </si>
  <si>
    <t>zcrm_51788000292612359</t>
  </si>
  <si>
    <t>2025-07-03 17:23:42</t>
  </si>
  <si>
    <t>Priyadarshani School &amp; Jr College, Priyadarshani School &amp; Jr College, Indrayaninagar</t>
  </si>
  <si>
    <t>0, 310</t>
  </si>
  <si>
    <t>0, 446566</t>
  </si>
  <si>
    <t>0, 893132</t>
  </si>
  <si>
    <t>0, 446710</t>
  </si>
  <si>
    <t>0, 446422</t>
  </si>
  <si>
    <t>0.7934, 1</t>
  </si>
  <si>
    <t>22028000029555384, 22028000029555504</t>
  </si>
  <si>
    <t>zcrm_51788000266770859, zcrm_51788000288934873</t>
  </si>
  <si>
    <t>2025-05-13 17:02:05, 2025-05-14 11:11:31</t>
  </si>
  <si>
    <t>Sagar Singh</t>
  </si>
  <si>
    <t>pgosm05@gmail.com, saggysingh555@gmail.com</t>
  </si>
  <si>
    <t>+9186000400007, +918600040007</t>
  </si>
  <si>
    <t>Gayatri Jadhav</t>
  </si>
  <si>
    <t>Kirti Bhujbal</t>
  </si>
  <si>
    <t>+919561331188</t>
  </si>
  <si>
    <t>Priyadarshani school &amp; Jr. College,</t>
  </si>
  <si>
    <t>Priyadarshani school &amp; Jr. College, C/o Sanvi Enterprises</t>
  </si>
  <si>
    <t>Priyadarshani School, Bhosari</t>
  </si>
  <si>
    <t>72482</t>
  </si>
  <si>
    <t>144964</t>
  </si>
  <si>
    <t>145274</t>
  </si>
  <si>
    <t>-310</t>
  </si>
  <si>
    <t>0.7935</t>
  </si>
  <si>
    <t>22028000029555424</t>
  </si>
  <si>
    <t>51788000221815610</t>
  </si>
  <si>
    <t>zcrm_51788000266765705</t>
  </si>
  <si>
    <t>2025-05-12 13:46:42</t>
  </si>
  <si>
    <t>Shilpi Shukla</t>
  </si>
  <si>
    <t>cbse.principalpriyadarshani@gmail.com</t>
  </si>
  <si>
    <t>+917722034733</t>
  </si>
  <si>
    <t>shilpi.shukla@priyadarshanischools.org</t>
  </si>
  <si>
    <t>411039</t>
  </si>
  <si>
    <t>Priyadarshani School</t>
  </si>
  <si>
    <t>Priyadarshani school, Dighi road, Bhosari, Pune-411039</t>
  </si>
  <si>
    <t>Dighi Road</t>
  </si>
  <si>
    <t>128162</t>
  </si>
  <si>
    <t>22028000029016328</t>
  </si>
  <si>
    <t>zcrm_51788000288019041</t>
  </si>
  <si>
    <t>2025-04-16 14:37:45</t>
  </si>
  <si>
    <t>Monalisa ma'am</t>
  </si>
  <si>
    <t>as.bh@myggis.org</t>
  </si>
  <si>
    <t>+917978113467</t>
  </si>
  <si>
    <t>DSK Ranwara Rd, Patil Nagar,</t>
  </si>
  <si>
    <t>2025-07-10 00:00:00, 2025-07-11 00:00:00</t>
  </si>
  <si>
    <t>327, 394</t>
  </si>
  <si>
    <t>2025-07-07 00:00:00, 2025-10-09 00:00:00</t>
  </si>
  <si>
    <t>40200, 645157</t>
  </si>
  <si>
    <t>40200, 645156</t>
  </si>
  <si>
    <t>0.25, 0.7371</t>
  </si>
  <si>
    <t>22028000031423592, 22028000031465104</t>
  </si>
  <si>
    <t>zcrm_51788000293178041, zcrm_51788000293178199</t>
  </si>
  <si>
    <t>2025-07-15 14:51:37, 2025-07-15 14:52:00</t>
  </si>
  <si>
    <t>Madhura Phadke, Mrs. Madhura Phadke</t>
  </si>
  <si>
    <t>sudarshan.kulkarni@amnaikschool.in, sudarshan@amnaikschool.in</t>
  </si>
  <si>
    <t>+919820117011</t>
  </si>
  <si>
    <t>22028000031366684, 50161872025</t>
  </si>
  <si>
    <t>zcrm_51788000292887032</t>
  </si>
  <si>
    <t>2025-04-01 00:00:00, 2025-07-07 14:58:43</t>
  </si>
  <si>
    <t>Ms. Mr DS Yadav</t>
  </si>
  <si>
    <t>+919910288811</t>
  </si>
  <si>
    <t>D. S. Yadav</t>
  </si>
  <si>
    <t>+919013525500</t>
  </si>
  <si>
    <t>DPS, Knowledge Park -V Plot No 224 &amp; 228 Knowledge Park-V, a (west) U.P. Pin: 201306</t>
  </si>
  <si>
    <t>101700</t>
  </si>
  <si>
    <t>2025-07-13 00:00:00</t>
  </si>
  <si>
    <t>203400</t>
  </si>
  <si>
    <t>22028000030961112</t>
  </si>
  <si>
    <t>zcrm_51788000280760381</t>
  </si>
  <si>
    <t>2025-06-17 10:03:43</t>
  </si>
  <si>
    <t>Seth Anandram Jaipuria School, Greater Noida</t>
  </si>
  <si>
    <t>69300</t>
  </si>
  <si>
    <t>80850</t>
  </si>
  <si>
    <t>231000</t>
  </si>
  <si>
    <t>236400</t>
  </si>
  <si>
    <t>-5400</t>
  </si>
  <si>
    <t>22028000029407352</t>
  </si>
  <si>
    <t>51788000235312240</t>
  </si>
  <si>
    <t>zcrm_51788000280385201</t>
  </si>
  <si>
    <t>2025-04-25 11:49:01</t>
  </si>
  <si>
    <t>Mrs. Shweta Mishra</t>
  </si>
  <si>
    <t>principal.gnoida@jaipuria.school</t>
  </si>
  <si>
    <t>+919818151425</t>
  </si>
  <si>
    <t>admission.gnoida@jaipuria.school</t>
  </si>
  <si>
    <t>Ms Ritu Mittal</t>
  </si>
  <si>
    <t>hm@jaipuriaschoolsgnoida.com</t>
  </si>
  <si>
    <t>+919899917234</t>
  </si>
  <si>
    <t>77000</t>
  </si>
  <si>
    <t>Plot no 2A</t>
  </si>
  <si>
    <t>Plot no 2A knowledge park V, Greater NOIDA West</t>
  </si>
  <si>
    <t>356, 600</t>
  </si>
  <si>
    <t>20448, 74880, 9504</t>
  </si>
  <si>
    <t>131040, 16632, 35784</t>
  </si>
  <si>
    <t>1872, 7488, 835</t>
  </si>
  <si>
    <t>2025-07-01 00:00:00, 2026-01-06 00:00:00</t>
  </si>
  <si>
    <t>127800, 468000, 59400</t>
  </si>
  <si>
    <t>16839, 351222, 7507</t>
  </si>
  <si>
    <t>109089, 109290, 51058</t>
  </si>
  <si>
    <t>0.5, 0.6, 0.625</t>
  </si>
  <si>
    <t>22028000028785456, 22028000028785504, 22028000028785580</t>
  </si>
  <si>
    <t>zcrm_51788000287297001, zcrm_51788000287297162, zcrm_51788000287297323</t>
  </si>
  <si>
    <t>2025-04-09 12:18:11, 2025-04-09 12:18:43, 2025-04-09 12:19:02</t>
  </si>
  <si>
    <t>Mr. Aji Kumar</t>
  </si>
  <si>
    <t>principal@mayoorschooljaipur.org</t>
  </si>
  <si>
    <t>+918192942216</t>
  </si>
  <si>
    <t>Ms. Babusha Mittal</t>
  </si>
  <si>
    <t>babusha.mittal@mayoorschooljaipur.org</t>
  </si>
  <si>
    <t>+918868985535</t>
  </si>
  <si>
    <t>Mayoor School</t>
  </si>
  <si>
    <t>ITS1, IT Park Rd, Sitapura Industrial Area</t>
  </si>
  <si>
    <t>Him Academy Public School - Hira Nagar</t>
  </si>
  <si>
    <t>136104, 176404</t>
  </si>
  <si>
    <t>5222, 6028</t>
  </si>
  <si>
    <t>2025-05-17 00:00:00, 2025-11-24 00:00:00</t>
  </si>
  <si>
    <t>272208, 352808</t>
  </si>
  <si>
    <t>155882, 543620</t>
  </si>
  <si>
    <t>-196840, 111104</t>
  </si>
  <si>
    <t>22028000026502152, 22028000026502216</t>
  </si>
  <si>
    <t>51788000236558468</t>
  </si>
  <si>
    <t>zcrm_51788000277300928, zcrm_51788000277307871</t>
  </si>
  <si>
    <t>Gaurav Mehta</t>
  </si>
  <si>
    <t>2024-12-03 09:44:09, 2024-12-03 09:44:27</t>
  </si>
  <si>
    <t>Mr. Pankaj Lakhanpal</t>
  </si>
  <si>
    <t>hapshn@himacademy.com</t>
  </si>
  <si>
    <t>Dr. Himanshu</t>
  </si>
  <si>
    <t>himanshuaaryan@gmail.com</t>
  </si>
  <si>
    <t>+918418000448, +919418000449</t>
  </si>
  <si>
    <t>Mrs. Pooja</t>
  </si>
  <si>
    <t>haps.hn@himacademy.com, hapshn@himacademy.com</t>
  </si>
  <si>
    <t>+919418673277</t>
  </si>
  <si>
    <t>13500</t>
  </si>
  <si>
    <t>Hira Nagar, Ward No. 1</t>
  </si>
  <si>
    <t>SBOA Global School</t>
  </si>
  <si>
    <t>255110</t>
  </si>
  <si>
    <t>21159.55</t>
  </si>
  <si>
    <t>510220</t>
  </si>
  <si>
    <t>458122</t>
  </si>
  <si>
    <t>30938</t>
  </si>
  <si>
    <t>0.5477000000000001</t>
  </si>
  <si>
    <t>22028000030486760</t>
  </si>
  <si>
    <t>51788000241452060</t>
  </si>
  <si>
    <t>zcrm_51788000257686671</t>
  </si>
  <si>
    <t>2025-06-26 10:00:46</t>
  </si>
  <si>
    <t>Mrs. R Suraja</t>
  </si>
  <si>
    <t>sboaglobal@gmail.com</t>
  </si>
  <si>
    <t>+919566161903</t>
  </si>
  <si>
    <t>principal.sboaglobal@gmail.com</t>
  </si>
  <si>
    <t>R Suraja</t>
  </si>
  <si>
    <t>R 15/1, 6th St, F Block, C-Sector, Anna Nagar West Extension, Chennai, Tamil Nadu 600101</t>
  </si>
  <si>
    <t>600101</t>
  </si>
  <si>
    <t>MUMS86170A</t>
  </si>
  <si>
    <t>R 15/1, 6th st, F block C sector Anna Nagar</t>
  </si>
  <si>
    <t>SPK Jain Futuristic Academy</t>
  </si>
  <si>
    <t>107717</t>
  </si>
  <si>
    <t>104549</t>
  </si>
  <si>
    <t>14396</t>
  </si>
  <si>
    <t>316815</t>
  </si>
  <si>
    <t>209236</t>
  </si>
  <si>
    <t>93183</t>
  </si>
  <si>
    <t>22028000028790948</t>
  </si>
  <si>
    <t>51788000242641572</t>
  </si>
  <si>
    <t>zcrm_51788000276397533</t>
  </si>
  <si>
    <t>2025-04-04 13:50:56</t>
  </si>
  <si>
    <t>Dr. Dr Jayeeta Ganguly</t>
  </si>
  <si>
    <t>jayeeta@jainfuturisticacademy.com</t>
  </si>
  <si>
    <t>+919535649684</t>
  </si>
  <si>
    <t>info@jfaedu.com</t>
  </si>
  <si>
    <t>Plot No. IIA/14, Action Area II, Street No 374, Newtown</t>
  </si>
  <si>
    <t>CALS60543A</t>
  </si>
  <si>
    <t>Shri Rama Bharti Public School - Nahra Nahri</t>
  </si>
  <si>
    <t>0, 200859</t>
  </si>
  <si>
    <t>1374892, 605880</t>
  </si>
  <si>
    <t>0, 1753993</t>
  </si>
  <si>
    <t>-579960, 605880</t>
  </si>
  <si>
    <t>22028000028636344, 22028000028636380</t>
  </si>
  <si>
    <t>zcrm_51788000286933412, zcrm_51788000286933634</t>
  </si>
  <si>
    <t>2025-04-04 17:18:18, 2025-04-04 17:18:53</t>
  </si>
  <si>
    <t>Nahara Nahari Road</t>
  </si>
  <si>
    <t>299565</t>
  </si>
  <si>
    <t>59914</t>
  </si>
  <si>
    <t>599130</t>
  </si>
  <si>
    <t>539220.15</t>
  </si>
  <si>
    <t>0.5001</t>
  </si>
  <si>
    <t>22028000030944736</t>
  </si>
  <si>
    <t>zcrm_51788000292159162</t>
  </si>
  <si>
    <t>2025-06-28 18:26:03</t>
  </si>
  <si>
    <t>Nehru Outer Ring Road, Sangareddy, Ameenpur Mandal</t>
  </si>
  <si>
    <t>Sy no. 88 &amp; 89, Wadakpally Village</t>
  </si>
  <si>
    <t>655168</t>
  </si>
  <si>
    <t>327584</t>
  </si>
  <si>
    <t>22379</t>
  </si>
  <si>
    <t>2026-01-05 00:00:00</t>
  </si>
  <si>
    <t>1310336</t>
  </si>
  <si>
    <t>1297956</t>
  </si>
  <si>
    <t>-9999</t>
  </si>
  <si>
    <t>0.5556</t>
  </si>
  <si>
    <t>2026-03-14 00:00:00</t>
  </si>
  <si>
    <t>22028000028484264</t>
  </si>
  <si>
    <t>zcrm_51788000286025167</t>
  </si>
  <si>
    <t>2025-03-12 15:38:03</t>
  </si>
  <si>
    <t>Mr. Balabhadra Sahoo</t>
  </si>
  <si>
    <t>balabhadra.sahoo@meruinternationalschool.com</t>
  </si>
  <si>
    <t>Prasanti</t>
  </si>
  <si>
    <t>Sy. No. 97(P) &amp; 98, Adjacent to My Home Jewel; Miyapur</t>
  </si>
  <si>
    <t>Shiv Nadar School</t>
  </si>
  <si>
    <t>22028000030919236, 22028000036924192</t>
  </si>
  <si>
    <t>zcrm_51788000292130506</t>
  </si>
  <si>
    <t>2025-06-19 15:31:53, 2026-02-03 09:33:00</t>
  </si>
  <si>
    <t>DLF Phase 1,</t>
  </si>
  <si>
    <t>151993, 208397</t>
  </si>
  <si>
    <t>208397, 75996</t>
  </si>
  <si>
    <t>0, 75996</t>
  </si>
  <si>
    <t>4168, 4664</t>
  </si>
  <si>
    <t>2025-03-21 00:00:00, 2026-01-03 00:00:00</t>
  </si>
  <si>
    <t>303985, 416794</t>
  </si>
  <si>
    <t>204229, 270523</t>
  </si>
  <si>
    <t>208397, 28798</t>
  </si>
  <si>
    <t>0.5201, 0.5556</t>
  </si>
  <si>
    <t>2025-03-15 00:00:00, 2025-04-01 00:00:00</t>
  </si>
  <si>
    <t>2026-03-14 00:00:00, 2026-03-15 00:00:00</t>
  </si>
  <si>
    <t>22028000028484308, 22028000028487244</t>
  </si>
  <si>
    <t>zcrm_51788000286025207, zcrm_51788000286028016</t>
  </si>
  <si>
    <t>2025-03-12 15:34:26, 2025-03-12 15:34:47</t>
  </si>
  <si>
    <t>Mr. Balabhadra Sahoo, Ramesh T R</t>
  </si>
  <si>
    <t>accountsmanager@meruinternationalschool.com, ramesh.tr@meruinternationalschool.com</t>
  </si>
  <si>
    <t>+918121040328, +919121000408</t>
  </si>
  <si>
    <t>Prasanti, Prasanti M V</t>
  </si>
  <si>
    <t>78015</t>
  </si>
  <si>
    <t>312060</t>
  </si>
  <si>
    <t>315514</t>
  </si>
  <si>
    <t>-3454</t>
  </si>
  <si>
    <t>0.6238</t>
  </si>
  <si>
    <t>Khorda</t>
  </si>
  <si>
    <t>2026-04-27 00:00:00</t>
  </si>
  <si>
    <t>22028000029695144</t>
  </si>
  <si>
    <t>zcrm_51788000289568861</t>
  </si>
  <si>
    <t>2025-05-06 11:03:35</t>
  </si>
  <si>
    <t>+919040939392</t>
  </si>
  <si>
    <t>Pravasini Jena</t>
  </si>
  <si>
    <t>Aryavart Ancient Academy Plot no-684, Haladipada, Arjunpur,</t>
  </si>
  <si>
    <t>267404</t>
  </si>
  <si>
    <t>8618.62</t>
  </si>
  <si>
    <t>1069616</t>
  </si>
  <si>
    <t>422308</t>
  </si>
  <si>
    <t>638689</t>
  </si>
  <si>
    <t>22028000027998136</t>
  </si>
  <si>
    <t>zcrm_51788000284193328</t>
  </si>
  <si>
    <t>2025-02-17 10:18:20</t>
  </si>
  <si>
    <t>Subrat Kr. Sarangi</t>
  </si>
  <si>
    <t>+917327016985</t>
  </si>
  <si>
    <t>Pragnya Pattnaik</t>
  </si>
  <si>
    <t>academic-admin-coordinator.ogs@odmegroup.org</t>
  </si>
  <si>
    <t>+918984322660</t>
  </si>
  <si>
    <t>2025-12-27 00:00:00</t>
  </si>
  <si>
    <t>22028000036042548</t>
  </si>
  <si>
    <t>51788000252210679</t>
  </si>
  <si>
    <t>zcrm_51788000303487102</t>
  </si>
  <si>
    <t>2025-12-26 14:59:26</t>
  </si>
  <si>
    <t>admissions.nagpur@globalindianschool.org</t>
  </si>
  <si>
    <t>110000</t>
  </si>
  <si>
    <t>Near Canara Bank,</t>
  </si>
  <si>
    <t>Near Canara Bank, Khadgaon Road, Post Office Lawa</t>
  </si>
  <si>
    <t>39626</t>
  </si>
  <si>
    <t>38461</t>
  </si>
  <si>
    <t>116548</t>
  </si>
  <si>
    <t>39621</t>
  </si>
  <si>
    <t>76927</t>
  </si>
  <si>
    <t>22028000030145712</t>
  </si>
  <si>
    <t>zcrm_51788000290632227</t>
  </si>
  <si>
    <t>2025-05-19 18:44:53</t>
  </si>
  <si>
    <t>173991</t>
  </si>
  <si>
    <t>695964</t>
  </si>
  <si>
    <t>459903</t>
  </si>
  <si>
    <t>236061</t>
  </si>
  <si>
    <t>22028000028880228</t>
  </si>
  <si>
    <t>zcrm_51788000287756064</t>
  </si>
  <si>
    <t>2025-03-25 17:16:48</t>
  </si>
  <si>
    <t>236340</t>
  </si>
  <si>
    <t>75855</t>
  </si>
  <si>
    <t>160485</t>
  </si>
  <si>
    <t>22028000033585492</t>
  </si>
  <si>
    <t>zcrm_51788000298019001</t>
  </si>
  <si>
    <t>2025-10-15 18:44:37</t>
  </si>
  <si>
    <t>Near Toll Plaza</t>
  </si>
  <si>
    <t>78156</t>
  </si>
  <si>
    <t>75857</t>
  </si>
  <si>
    <t>2583</t>
  </si>
  <si>
    <t>229870</t>
  </si>
  <si>
    <t>149808</t>
  </si>
  <si>
    <t>77479</t>
  </si>
  <si>
    <t>22028000030717216</t>
  </si>
  <si>
    <t>zcrm_51788000291728042</t>
  </si>
  <si>
    <t>2025-06-05 12:24:24</t>
  </si>
  <si>
    <t>Ms. Preet Benjamin Aarons</t>
  </si>
  <si>
    <t>preet@inventureacademy.com</t>
  </si>
  <si>
    <t>+918022440900</t>
  </si>
  <si>
    <t>Prestige Jindal City, Anchepalya, Bengaluru, Karnataka 560073</t>
  </si>
  <si>
    <t>22028000031408052, 50173832025</t>
  </si>
  <si>
    <t>zcrm_51788000292711625</t>
  </si>
  <si>
    <t>2025-04-01 00:00:00, 2025-07-07 15:01:12</t>
  </si>
  <si>
    <t>Ms. Ms Vibha Singh</t>
  </si>
  <si>
    <t>+911204669100</t>
  </si>
  <si>
    <t>mail@dps122noida.com</t>
  </si>
  <si>
    <t>Kokil Gaur</t>
  </si>
  <si>
    <t>+918368005016</t>
  </si>
  <si>
    <t>2314</t>
  </si>
  <si>
    <t>2025-01-06 00:00:00</t>
  </si>
  <si>
    <t>204805</t>
  </si>
  <si>
    <t>3783.45</t>
  </si>
  <si>
    <t>819220</t>
  </si>
  <si>
    <t>543602.11</t>
  </si>
  <si>
    <t>271834</t>
  </si>
  <si>
    <t>0.5449</t>
  </si>
  <si>
    <t>22028000026496184</t>
  </si>
  <si>
    <t>zcrm_51788000275288524</t>
  </si>
  <si>
    <t>2025-03-25 14:24:00</t>
  </si>
  <si>
    <t>Delhi Public School Hinjawadi Pune</t>
  </si>
  <si>
    <t>64513</t>
  </si>
  <si>
    <t>2581</t>
  </si>
  <si>
    <t>129026</t>
  </si>
  <si>
    <t>126447</t>
  </si>
  <si>
    <t>Nagpur,</t>
  </si>
  <si>
    <t>22028000028530308</t>
  </si>
  <si>
    <t>51788000256063035</t>
  </si>
  <si>
    <t>zcrm_51788000285831373</t>
  </si>
  <si>
    <t>2025-03-27 11:13:07</t>
  </si>
  <si>
    <t>Mrs. Jaya Parekh</t>
  </si>
  <si>
    <t>dean@dpshinjawadi.com</t>
  </si>
  <si>
    <t>160000</t>
  </si>
  <si>
    <t>Himgiri Goods Pvt Limited, C/O DPS Lava Nagpur Pre-primary Branch,</t>
  </si>
  <si>
    <t>Survey No 24</t>
  </si>
  <si>
    <t>412115</t>
  </si>
  <si>
    <t>Civil Lines, Opp. Collector Office,</t>
  </si>
  <si>
    <t>343471</t>
  </si>
  <si>
    <t>193471</t>
  </si>
  <si>
    <t>22028000029466136</t>
  </si>
  <si>
    <t>zcrm_51788000278662986</t>
  </si>
  <si>
    <t>2025-04-23 11:39:32</t>
  </si>
  <si>
    <t>2025-06-28 00:00:00, 2026-02-27 00:00:00</t>
  </si>
  <si>
    <t>658, 900</t>
  </si>
  <si>
    <t>1673</t>
  </si>
  <si>
    <t>2000-01-01 00:00:00, 2025-07-25 00:00:00</t>
  </si>
  <si>
    <t>0, 93798</t>
  </si>
  <si>
    <t>2000-01-01 00:00:00, 2025-08-25 00:00:00</t>
  </si>
  <si>
    <t>187596, 4500</t>
  </si>
  <si>
    <t>0, 85547</t>
  </si>
  <si>
    <t>102049, 4500</t>
  </si>
  <si>
    <t>0.25, 0.4515</t>
  </si>
  <si>
    <t>0.25, 0.40149999999999997</t>
  </si>
  <si>
    <t>2025-06-01 00:00:00, 2025-07-15 00:00:00</t>
  </si>
  <si>
    <t>2026-05-31 00:00:00, 2026-07-14 00:00:00</t>
  </si>
  <si>
    <t>22028000031187484, 22028000037564788</t>
  </si>
  <si>
    <t>zcrm_51788000280928438</t>
  </si>
  <si>
    <t>2025-06-28 18:32:06, 2026-02-27 15:44:13</t>
  </si>
  <si>
    <t>mehulb.saraswati@gmail.com, muliyagaurav@gmail.com</t>
  </si>
  <si>
    <t>+919099056791, +919227800714</t>
  </si>
  <si>
    <t>Khushboo Patel, Khushboo Patle</t>
  </si>
  <si>
    <t>mehulb.saraswati@gmai.com, mehulb.saraswati@gmail.com</t>
  </si>
  <si>
    <t>C/o Shri JMP Primary School, Care of- Shri JMP Primary School</t>
  </si>
  <si>
    <t>Thamarai^s</t>
  </si>
  <si>
    <t>112726</t>
  </si>
  <si>
    <t>225452</t>
  </si>
  <si>
    <t>110795</t>
  </si>
  <si>
    <t>114657</t>
  </si>
  <si>
    <t>22028000031152040</t>
  </si>
  <si>
    <t>zcrm_51788000292404136</t>
  </si>
  <si>
    <t>2025-06-28 13:29:13</t>
  </si>
  <si>
    <t>Mrs. JAYASHREE BADRINATH .</t>
  </si>
  <si>
    <t>66630</t>
  </si>
  <si>
    <t>266520</t>
  </si>
  <si>
    <t>22028000029820976</t>
  </si>
  <si>
    <t>2025-05-14 15:10:21</t>
  </si>
  <si>
    <t>Mr. Satyamoorthy Mr</t>
  </si>
  <si>
    <t>Jacqulaine</t>
  </si>
  <si>
    <t>swamimatricschool@gmail.com</t>
  </si>
  <si>
    <t>+919488600891</t>
  </si>
  <si>
    <t>HOSUR road</t>
  </si>
  <si>
    <t>2025-02-11 00:00:00, 2025-08-31 00:00:00</t>
  </si>
  <si>
    <t>2025-02-11 00:00:00, 2025-09-01 00:00:00</t>
  </si>
  <si>
    <t>2025-02-21 00:00:00, 2025-09-06 00:00:00</t>
  </si>
  <si>
    <t>198264, 3000</t>
  </si>
  <si>
    <t>194903, 3000</t>
  </si>
  <si>
    <t>0, 3361</t>
  </si>
  <si>
    <t>0.5, 0.5083</t>
  </si>
  <si>
    <t>0.4583, 0.5</t>
  </si>
  <si>
    <t>2025-02-17 00:00:00, 2025-09-07 00:00:00</t>
  </si>
  <si>
    <t>2025-03-15 00:00:00, 2026-03-31 00:00:00</t>
  </si>
  <si>
    <t>22028000027951176, 22028000032654240</t>
  </si>
  <si>
    <t>zcrm_51788000283958441, zcrm_51788000292752280</t>
  </si>
  <si>
    <t>2025-02-24 12:48:08, 2025-09-02 15:06:28</t>
  </si>
  <si>
    <t>Mr. Akshat Tewari, Mr. Akshat Tewari.</t>
  </si>
  <si>
    <t>head.senior@khaitanworld.com</t>
  </si>
  <si>
    <t>+919899423107</t>
  </si>
  <si>
    <t>At 05 KM Stone, Opp ITC Ltd</t>
  </si>
  <si>
    <t>40405</t>
  </si>
  <si>
    <t>121216</t>
  </si>
  <si>
    <t>1770</t>
  </si>
  <si>
    <t>404053</t>
  </si>
  <si>
    <t>349356</t>
  </si>
  <si>
    <t>52927</t>
  </si>
  <si>
    <t>22028000028315552</t>
  </si>
  <si>
    <t>zcrm_51788000285499123</t>
  </si>
  <si>
    <t>2025-03-27 11:07:11</t>
  </si>
  <si>
    <t>Mrs Mohana</t>
  </si>
  <si>
    <t>Mr Santhosh</t>
  </si>
  <si>
    <t>Cedar Valley International School</t>
  </si>
  <si>
    <t>2001</t>
  </si>
  <si>
    <t>274551</t>
  </si>
  <si>
    <t>266476</t>
  </si>
  <si>
    <t>807503</t>
  </si>
  <si>
    <t>407503</t>
  </si>
  <si>
    <t>0.6065</t>
  </si>
  <si>
    <t>2026-06-01 00:00:00</t>
  </si>
  <si>
    <t>22028000029820848</t>
  </si>
  <si>
    <t>51788000265807020</t>
  </si>
  <si>
    <t>zcrm_51788000283626135</t>
  </si>
  <si>
    <t>2025-05-08 16:34:38</t>
  </si>
  <si>
    <t>Mrs. Parvathi Reddy</t>
  </si>
  <si>
    <t>Parvathi Reddy</t>
  </si>
  <si>
    <t>bhagyasri</t>
  </si>
  <si>
    <t>bhagyasri-mathematics@cedarvaleyinternationalschool.in</t>
  </si>
  <si>
    <t>+918296687388</t>
  </si>
  <si>
    <t>115000</t>
  </si>
  <si>
    <t>Near, Mamatha Hospital Rd, Ramachandra Nagar</t>
  </si>
  <si>
    <t>Near Mamatha Hospital Road , Ramchandra Nagar</t>
  </si>
  <si>
    <t>1201</t>
  </si>
  <si>
    <t>42328</t>
  </si>
  <si>
    <t>169312</t>
  </si>
  <si>
    <t>124443</t>
  </si>
  <si>
    <t>0.368</t>
  </si>
  <si>
    <t>22028000031772260</t>
  </si>
  <si>
    <t>zcrm_51788000292638300</t>
  </si>
  <si>
    <t>kishlay.bhojwani_ei</t>
  </si>
  <si>
    <t>kishlay.bhojwani@ei.study</t>
  </si>
  <si>
    <t>Kishlay bhojwani</t>
  </si>
  <si>
    <t>2025-07-24 14:41:33</t>
  </si>
  <si>
    <t>Plot no. 1, Burhani park</t>
  </si>
  <si>
    <t>Bohra bagichi</t>
  </si>
  <si>
    <t>801</t>
  </si>
  <si>
    <t>18824, 225011, 23101</t>
  </si>
  <si>
    <t>225011, 23101, 37647</t>
  </si>
  <si>
    <t>0, 225011, 23101</t>
  </si>
  <si>
    <t>1198, 594, 6963</t>
  </si>
  <si>
    <t>2025-10-29 00:00:00, 2026-01-22 00:00:00</t>
  </si>
  <si>
    <t>75295, 900044, 92404</t>
  </si>
  <si>
    <t>74097, 743703, 80109</t>
  </si>
  <si>
    <t>0, 11701, 149378</t>
  </si>
  <si>
    <t>0.07690000000000001, 0.466, 0.5</t>
  </si>
  <si>
    <t>2025-04-21 00:00:00, 2025-04-28 00:00:00</t>
  </si>
  <si>
    <t>2026-03-30 00:00:00, 2026-03-31 00:00:00</t>
  </si>
  <si>
    <t>22028000029431744, 22028000029431792, 22028000029431840</t>
  </si>
  <si>
    <t>zcrm_51788000289079396, zcrm_51788000289092172, zcrm_51788000289097239</t>
  </si>
  <si>
    <t>2025-04-21 10:49:33, 2025-04-21 10:50:06, 2025-04-21 10:50:33</t>
  </si>
  <si>
    <t>Debasish Majumdar, Mr. Debasish Majumdar</t>
  </si>
  <si>
    <t>Mother Theresa Memorial School</t>
  </si>
  <si>
    <t>878</t>
  </si>
  <si>
    <t>1522</t>
  </si>
  <si>
    <t>109806</t>
  </si>
  <si>
    <t>183011</t>
  </si>
  <si>
    <t>219613</t>
  </si>
  <si>
    <t>732043</t>
  </si>
  <si>
    <t>709180</t>
  </si>
  <si>
    <t>22863</t>
  </si>
  <si>
    <t>0.4146</t>
  </si>
  <si>
    <t>0.36460000000000004</t>
  </si>
  <si>
    <t>22028000025207576</t>
  </si>
  <si>
    <t>51788000266782013</t>
  </si>
  <si>
    <t>zcrm_51788000274200345</t>
  </si>
  <si>
    <t>2024-10-11 11:48:30</t>
  </si>
  <si>
    <t>Ms. Karnika Srinivas</t>
  </si>
  <si>
    <t>karnikasrinivas@gmail.com</t>
  </si>
  <si>
    <t>+917019770593</t>
  </si>
  <si>
    <t>info@mtms.edu.in</t>
  </si>
  <si>
    <t>Preethi</t>
  </si>
  <si>
    <t>principal@mtms.edu.in</t>
  </si>
  <si>
    <t>+917406087324</t>
  </si>
  <si>
    <t>Varanasi, Maragondanahalli Main Road, Near Anandapura Circle</t>
  </si>
  <si>
    <t>445578</t>
  </si>
  <si>
    <t>222789</t>
  </si>
  <si>
    <t>7102</t>
  </si>
  <si>
    <t>2026-01-03 00:00:00</t>
  </si>
  <si>
    <t>891156</t>
  </si>
  <si>
    <t>411976</t>
  </si>
  <si>
    <t>472078</t>
  </si>
  <si>
    <t>22028000028484412</t>
  </si>
  <si>
    <t>zcrm_51788000286025373</t>
  </si>
  <si>
    <t>2025-03-12 15:36:25</t>
  </si>
  <si>
    <t>Saraswati Vidya Mandir Senior Secondary School</t>
  </si>
  <si>
    <t>2025-05-08 00:00:00, 2025-07-28 00:00:00</t>
  </si>
  <si>
    <t>2000-01-01 00:00:00, 2025-07-28 00:00:00</t>
  </si>
  <si>
    <t>0, 125898</t>
  </si>
  <si>
    <t>2000-01-01 00:00:00, 2025-11-19 00:00:00</t>
  </si>
  <si>
    <t>2000-01-01 00:00:00, 2025-12-29 00:00:00</t>
  </si>
  <si>
    <t>0, 12857</t>
  </si>
  <si>
    <t>0, 503592</t>
  </si>
  <si>
    <t>0, 204360</t>
  </si>
  <si>
    <t>0, 286375</t>
  </si>
  <si>
    <t>0.5106, 1</t>
  </si>
  <si>
    <t>2025-05-01 00:00:00, 2025-07-28 00:00:00</t>
  </si>
  <si>
    <t>2025-07-05 00:00:00, 2026-05-18 00:00:00</t>
  </si>
  <si>
    <t>22028000029945308, 22028000031824960</t>
  </si>
  <si>
    <t>51788000267309301</t>
  </si>
  <si>
    <t>zcrm_51788000282660210, zcrm_51788000290420001</t>
  </si>
  <si>
    <t>sanjay.rai_eiindia1, shruti.chauhan_ei</t>
  </si>
  <si>
    <t>sanjay.rai@ei.study, shruti.chauhan@ei.study</t>
  </si>
  <si>
    <t>Sanjay rai, Shruti chauhan</t>
  </si>
  <si>
    <t>2025-05-13 11:35:34, 2025-07-28 15:19:05</t>
  </si>
  <si>
    <t>svm.cbse.mds1314@gmail.com, svm.cbse.mds314@gmail.com</t>
  </si>
  <si>
    <t>Dr Saroj Prasad, Saroj Prasad</t>
  </si>
  <si>
    <t>+919425922001, +919425989245</t>
  </si>
  <si>
    <t>4350</t>
  </si>
  <si>
    <t>Sanjeet Marg</t>
  </si>
  <si>
    <t>Ranjit Nagar</t>
  </si>
  <si>
    <t>BPLB04155E</t>
  </si>
  <si>
    <t>Priyadarshani Pune Police Public School</t>
  </si>
  <si>
    <t>22028000029555460</t>
  </si>
  <si>
    <t>51788000266596457</t>
  </si>
  <si>
    <t>zcrm_51788000288949639</t>
  </si>
  <si>
    <t>2025-05-13 16:34:21</t>
  </si>
  <si>
    <t>Savita Singh</t>
  </si>
  <si>
    <t>savitasingh.coordinator@priyadarshanischools.org</t>
  </si>
  <si>
    <t>+917888028771</t>
  </si>
  <si>
    <t>74900</t>
  </si>
  <si>
    <t>Sanvi Enterprises</t>
  </si>
  <si>
    <t>411005</t>
  </si>
  <si>
    <t>Priyadarshani Pune Police Public School, Police Headquarters opposite Rahul Theatre shivaji Nagar</t>
  </si>
  <si>
    <t>Opposite Rahul Theatre</t>
  </si>
  <si>
    <t>Shivajinagar</t>
  </si>
  <si>
    <t>417537</t>
  </si>
  <si>
    <t>410460</t>
  </si>
  <si>
    <t>7077</t>
  </si>
  <si>
    <t>22028000030030168</t>
  </si>
  <si>
    <t>zcrm_51788000289623703</t>
  </si>
  <si>
    <t>2025-05-16 15:03:11</t>
  </si>
  <si>
    <t>+918028488857</t>
  </si>
  <si>
    <t>Geetha Diksht</t>
  </si>
  <si>
    <t>#8/C, Hoysala Circle, Near New Police Quarters,</t>
  </si>
  <si>
    <t>KAMALANIKETAN MONTESSORI SCHOOL</t>
  </si>
  <si>
    <t>265201</t>
  </si>
  <si>
    <t>4764</t>
  </si>
  <si>
    <t>530402</t>
  </si>
  <si>
    <t>260436</t>
  </si>
  <si>
    <t>265202</t>
  </si>
  <si>
    <t>22028000028662644</t>
  </si>
  <si>
    <t>51788000268367003</t>
  </si>
  <si>
    <t>zcrm_51788000287020001</t>
  </si>
  <si>
    <t>2025-03-27 16:14:33</t>
  </si>
  <si>
    <t>Mala Sivakumar</t>
  </si>
  <si>
    <t>Bhuvaneswari Ganesh Rathinam</t>
  </si>
  <si>
    <t>2025-03-19 00:00:00, 2025-10-16 00:00:00</t>
  </si>
  <si>
    <t>0, 1731</t>
  </si>
  <si>
    <t>2000-01-01 00:00:00, 2025-03-19 00:00:00</t>
  </si>
  <si>
    <t>0, 653339</t>
  </si>
  <si>
    <t>2000-01-01 00:00:00, 2025-08-19 00:00:00</t>
  </si>
  <si>
    <t>0, 131490</t>
  </si>
  <si>
    <t>0, 1306678</t>
  </si>
  <si>
    <t>0, 1183409</t>
  </si>
  <si>
    <t>-8221, 0</t>
  </si>
  <si>
    <t>0.0385, 1</t>
  </si>
  <si>
    <t>4, 6</t>
  </si>
  <si>
    <t>2026-03-09 00:00:00, 2026-03-31 00:00:00</t>
  </si>
  <si>
    <t>22028000028788512, 22028000033928292</t>
  </si>
  <si>
    <t>zcrm_51788000287260818, zcrm_51788000298523384</t>
  </si>
  <si>
    <t>2025-03-26 17:36:49, 2025-10-17 09:40:20</t>
  </si>
  <si>
    <t>Dr. Sonal Parmar, Sonal Parmar</t>
  </si>
  <si>
    <t>principal@cathedral-school.com, principal@cathedral-school.org</t>
  </si>
  <si>
    <t>+911234567890, +919768614433</t>
  </si>
  <si>
    <t>Sagar Tamhankar, Sonal Parmar</t>
  </si>
  <si>
    <t>principal@cathedral-school.org, s.tamhankar@cathedralschool.com</t>
  </si>
  <si>
    <t>390802</t>
  </si>
  <si>
    <t>0.5756</t>
  </si>
  <si>
    <t>0.4756</t>
  </si>
  <si>
    <t>2026-07-31 00:00:00</t>
  </si>
  <si>
    <t>22028000031832464</t>
  </si>
  <si>
    <t>51788000268911018</t>
  </si>
  <si>
    <t>zcrm_51788000269411442</t>
  </si>
  <si>
    <t>2025-07-30 16:38:57</t>
  </si>
  <si>
    <t>Mrs. Paanchali Das Guptha</t>
  </si>
  <si>
    <t>principal.lbnagar@birlaopenminds.com</t>
  </si>
  <si>
    <t>+919100094360</t>
  </si>
  <si>
    <t>Rose Mary</t>
  </si>
  <si>
    <t>rose.math@bomis-lbnagar.com</t>
  </si>
  <si>
    <t>+918885303379</t>
  </si>
  <si>
    <t>Schola Enterprises</t>
  </si>
  <si>
    <t>500082</t>
  </si>
  <si>
    <t>Sahara Rd, Behind Kamineni Hospitals</t>
  </si>
  <si>
    <t>500068</t>
  </si>
  <si>
    <t>6-3-1085/703, Rajbhavan Road, Somajiguda, Khairtabad, Hyderabad</t>
  </si>
  <si>
    <t>( Birla Open Minds International School ) Sahara road , behind kamineni hospitals, Mansoorabad, L. B nagar</t>
  </si>
  <si>
    <t>135115</t>
  </si>
  <si>
    <t>0.6247</t>
  </si>
  <si>
    <t>0.5747</t>
  </si>
  <si>
    <t>22028000031090876</t>
  </si>
  <si>
    <t>zcrm_51788000292401264</t>
  </si>
  <si>
    <t>2025-06-28 11:24:19</t>
  </si>
  <si>
    <t>+919909998142</t>
  </si>
  <si>
    <t>Nr. Balmukund Society,</t>
  </si>
  <si>
    <t>The Galaxy School - Wadi,</t>
  </si>
  <si>
    <t>78366</t>
  </si>
  <si>
    <t>22028000031090912</t>
  </si>
  <si>
    <t>zcrm_51788000292432174</t>
  </si>
  <si>
    <t>2025-06-28 11:28:59</t>
  </si>
  <si>
    <t>3/9 Corner, Gayatri Nagar,</t>
  </si>
  <si>
    <t>121604</t>
  </si>
  <si>
    <t>22028000031090944</t>
  </si>
  <si>
    <t>zcrm_51788000292433191</t>
  </si>
  <si>
    <t>2025-06-28 11:27:18</t>
  </si>
  <si>
    <t>Opp. HJ Steel,</t>
  </si>
  <si>
    <t>Apeejay School, Haldia</t>
  </si>
  <si>
    <t>2025-10-06 00:00:00, 2025-12-13 00:00:00</t>
  </si>
  <si>
    <t>2025-10-10 00:00:00, 2025-12-30 00:00:00</t>
  </si>
  <si>
    <t>0, 85050</t>
  </si>
  <si>
    <t>0, 170100</t>
  </si>
  <si>
    <t>0, 164934</t>
  </si>
  <si>
    <t>0, 5166</t>
  </si>
  <si>
    <t>0.4, 1</t>
  </si>
  <si>
    <t>2025-10-01 00:00:00, 2026-01-01 00:00:00</t>
  </si>
  <si>
    <t>22028000033681064, 22028000033681624, 22028000035656556</t>
  </si>
  <si>
    <t>51788000269957596</t>
  </si>
  <si>
    <t>zcrm_51788000296712697, zcrm_51788000297273495, zcrm_51788000302438201</t>
  </si>
  <si>
    <t>2025-10-08 14:44:53, 2025-10-08 14:46:14, 2025-12-16 10:29:21</t>
  </si>
  <si>
    <t>Moonmoon Ghosh, Mr. Darryl Bloud</t>
  </si>
  <si>
    <t>darrylbloud@apeejaygroup.com, moonmoonghosh@apeejaygroup.com</t>
  </si>
  <si>
    <t>+919330992015, +919831096385</t>
  </si>
  <si>
    <t>sonali.bhowmik@apeejayschool.com</t>
  </si>
  <si>
    <t>Sonali Bhowmik</t>
  </si>
  <si>
    <t>+917001287134</t>
  </si>
  <si>
    <t>Piyali Das, Sonali Bhowmik</t>
  </si>
  <si>
    <t>easchoolceo@apeejaygroup.com, sonali.bhowmik@apeejayschool.com</t>
  </si>
  <si>
    <t>+916289161381, +917001287134</t>
  </si>
  <si>
    <t>53000</t>
  </si>
  <si>
    <t>City Center, Balughata Rd</t>
  </si>
  <si>
    <t>721602</t>
  </si>
  <si>
    <t>374</t>
  </si>
  <si>
    <t>951</t>
  </si>
  <si>
    <t>501608</t>
  </si>
  <si>
    <t>2006432</t>
  </si>
  <si>
    <t>217653.39</t>
  </si>
  <si>
    <t>1788779</t>
  </si>
  <si>
    <t>0.8441</t>
  </si>
  <si>
    <t>Bethesda</t>
  </si>
  <si>
    <t>Marryland</t>
  </si>
  <si>
    <t>22028000029848088</t>
  </si>
  <si>
    <t>zcrm_51788000289971035</t>
  </si>
  <si>
    <t>2025-05-14 18:45:50</t>
  </si>
  <si>
    <t>Edu Girls School</t>
  </si>
  <si>
    <t>20814</t>
  </si>
  <si>
    <t>1542</t>
  </si>
  <si>
    <t>16497</t>
  </si>
  <si>
    <t>158850</t>
  </si>
  <si>
    <t>148473</t>
  </si>
  <si>
    <t>-6120</t>
  </si>
  <si>
    <t>22028000031094616</t>
  </si>
  <si>
    <t>zcrm_51788000292458526</t>
  </si>
  <si>
    <t>2025-06-28 10:54:35</t>
  </si>
  <si>
    <t>Mr.Ismail Baggia</t>
  </si>
  <si>
    <t>ismail.baggia@aarthuniversalschool.org</t>
  </si>
  <si>
    <t>+918460127217</t>
  </si>
  <si>
    <t>Block no 148</t>
  </si>
  <si>
    <t>Block 148,</t>
  </si>
  <si>
    <t>22028000029123096</t>
  </si>
  <si>
    <t>zcrm_51788000288332490</t>
  </si>
  <si>
    <t>2025-04-05 14:56:31</t>
  </si>
  <si>
    <t>Vaseema</t>
  </si>
  <si>
    <t>Vaseem_mirza@yahoo.co.in</t>
  </si>
  <si>
    <t>20/4/206, Arbon Ki Masjid Rd, Zohra Colony</t>
  </si>
  <si>
    <t>22028000030338244</t>
  </si>
  <si>
    <t>zcrm_51788000291111025</t>
  </si>
  <si>
    <t>2025-05-24 13:41:45</t>
  </si>
  <si>
    <t>IEM Public School Ashram Building</t>
  </si>
  <si>
    <t>220511, 50663, 73531</t>
  </si>
  <si>
    <t>101327, 220511, 73531</t>
  </si>
  <si>
    <t>0, 220511, 73531</t>
  </si>
  <si>
    <t>3026, 3072, 3951</t>
  </si>
  <si>
    <t>202653, 294124, 882044</t>
  </si>
  <si>
    <t>199580, 295581, 668245</t>
  </si>
  <si>
    <t>-4483, 1, 209848</t>
  </si>
  <si>
    <t>0.375, 0.466, 0.5</t>
  </si>
  <si>
    <t>2025-04-21 00:00:00, 2025-04-30 00:00:00</t>
  </si>
  <si>
    <t>22028000029449016, 22028000029449092, 22028000029449140</t>
  </si>
  <si>
    <t>51788000271321347</t>
  </si>
  <si>
    <t>zcrm_51788000289068265, zcrm_51788000289096834, zcrm_51788000289109247</t>
  </si>
  <si>
    <t>2025-04-21 10:59:38, 2025-04-21 11:00:06, 2025-04-21 11:00:30</t>
  </si>
  <si>
    <t>Sector V</t>
  </si>
  <si>
    <t>Ashram Building, GN 34/2, Sector V,</t>
  </si>
  <si>
    <t>22028000030919372</t>
  </si>
  <si>
    <t>zcrm_51788000292135048</t>
  </si>
  <si>
    <t>2025-06-19 15:31:05</t>
  </si>
  <si>
    <t>22028000030919420</t>
  </si>
  <si>
    <t>zcrm_51788000292135221</t>
  </si>
  <si>
    <t>2025-06-19 15:30:50</t>
  </si>
  <si>
    <t>Shiv Nadar School (IB)</t>
  </si>
  <si>
    <t>22028000030919096</t>
  </si>
  <si>
    <t>zcrm_51788000291830001</t>
  </si>
  <si>
    <t>2025-06-19 15:32:34</t>
  </si>
  <si>
    <t>Ms Deblina Chakraborty</t>
  </si>
  <si>
    <t>+919871661150</t>
  </si>
  <si>
    <t>Vaishali Khurana</t>
  </si>
  <si>
    <t>vaishali.khurana@sns.edu.in</t>
  </si>
  <si>
    <t>Sector 82,</t>
  </si>
  <si>
    <t>22028000030919144</t>
  </si>
  <si>
    <t>zcrm_51788000292130145</t>
  </si>
  <si>
    <t>2025-06-19 15:32:25</t>
  </si>
  <si>
    <t>22028000030919280</t>
  </si>
  <si>
    <t>zcrm_51788000292130679</t>
  </si>
  <si>
    <t>2025-06-19 15:31:33</t>
  </si>
  <si>
    <t>Mr Sameer Arora</t>
  </si>
  <si>
    <t>+919999288284</t>
  </si>
  <si>
    <t>Meenu Ohlyan</t>
  </si>
  <si>
    <t>meenu.ohlyan@sns.edu.in</t>
  </si>
  <si>
    <t>Pahari Road, Block E, DLF Phase 1, Sector 26A</t>
  </si>
  <si>
    <t>1020</t>
  </si>
  <si>
    <t>769530</t>
  </si>
  <si>
    <t>1539060</t>
  </si>
  <si>
    <t>0.4632</t>
  </si>
  <si>
    <t>22028000030896080</t>
  </si>
  <si>
    <t>zcrm_51788000292135382</t>
  </si>
  <si>
    <t>2025-06-19 11:16:23</t>
  </si>
  <si>
    <t>Tamanna Kapur</t>
  </si>
  <si>
    <t>tamanna.kapur@sns.edu.in</t>
  </si>
  <si>
    <t>+919810840004</t>
  </si>
  <si>
    <t>Anju Wal</t>
  </si>
  <si>
    <t>+919582668940</t>
  </si>
  <si>
    <t>Tamanna Kapoor</t>
  </si>
  <si>
    <t>Shiv Nadar School - Head Office IInd floor, Plot No: A-5,</t>
  </si>
  <si>
    <t>2025-04-29 00:00:00, 2025-05-30 00:00:00</t>
  </si>
  <si>
    <t>126248, 75750</t>
  </si>
  <si>
    <t>2025-07-15 00:00:00, 2025-08-15 00:00:00</t>
  </si>
  <si>
    <t>252497, 75750</t>
  </si>
  <si>
    <t>0, 126248</t>
  </si>
  <si>
    <t>151500, 504993</t>
  </si>
  <si>
    <t>0.5, 0.6528</t>
  </si>
  <si>
    <t>22028000029642716, 22028000030616128</t>
  </si>
  <si>
    <t>zcrm_51788000289403001, zcrm_51788000291323099</t>
  </si>
  <si>
    <t>2025-06-17 11:32:40, 2025-06-17 11:37:03</t>
  </si>
  <si>
    <t>+917799735999, +918977706192</t>
  </si>
  <si>
    <t>Kommadi Village, Visakhapatnam</t>
  </si>
  <si>
    <t>Kommadi Village,</t>
  </si>
  <si>
    <t>2025-09-07 00:00:00</t>
  </si>
  <si>
    <t>22028000032851060</t>
  </si>
  <si>
    <t>zcrm_51788000296163001</t>
  </si>
  <si>
    <t>2025-09-06 10:21:14</t>
  </si>
  <si>
    <t>The TVS School, MAdurai</t>
  </si>
  <si>
    <t>SNS Gurugram</t>
  </si>
  <si>
    <t>2025-08-18 00:00:00, 2026-02-05 00:00:00</t>
  </si>
  <si>
    <t>1020, 550</t>
  </si>
  <si>
    <t>2000-01-01 00:00:00, 2025-07-07 00:00:00</t>
  </si>
  <si>
    <t>0, 265179</t>
  </si>
  <si>
    <t>530358, 83608</t>
  </si>
  <si>
    <t>0, 238661</t>
  </si>
  <si>
    <t>291697, 83608</t>
  </si>
  <si>
    <t>0.4632, 0.6333</t>
  </si>
  <si>
    <t>2025-06-01 00:00:00, 2025-07-01 00:00:00</t>
  </si>
  <si>
    <t>22028000032322100, 22028000037030140</t>
  </si>
  <si>
    <t>51788000272870001</t>
  </si>
  <si>
    <t>zcrm_51788000295050164</t>
  </si>
  <si>
    <t>2025-08-20 18:05:36, 2026-02-12 17:24:36</t>
  </si>
  <si>
    <t>Maruf Shaikh, Piyush Guglani</t>
  </si>
  <si>
    <t>maruf.shaikh@ei.study, piyush.guglani@sns.edu.in</t>
  </si>
  <si>
    <t>+917838813311, +919016039311</t>
  </si>
  <si>
    <t>Maruf Shaikh, Mr. Sameer Arora</t>
  </si>
  <si>
    <t>maruf.shaikh@ei.study, sameer.arora@sns.edu.in</t>
  </si>
  <si>
    <t>Maruf Shaikh, Mr. Piyush Guglani</t>
  </si>
  <si>
    <t>SNS Noida</t>
  </si>
  <si>
    <t>270279</t>
  </si>
  <si>
    <t>27028</t>
  </si>
  <si>
    <t>540558</t>
  </si>
  <si>
    <t>243250</t>
  </si>
  <si>
    <t>270280</t>
  </si>
  <si>
    <t>22028000032322208</t>
  </si>
  <si>
    <t>51788000272870042</t>
  </si>
  <si>
    <t>zcrm_51788000295050003</t>
  </si>
  <si>
    <t>2025-08-20 18:04:49</t>
  </si>
  <si>
    <t>Plot No -SS -1,</t>
  </si>
  <si>
    <t>Plot No -SS -1, Sector -168, Expressway</t>
  </si>
  <si>
    <t>SNS Faridabad</t>
  </si>
  <si>
    <t>232542</t>
  </si>
  <si>
    <t>23254</t>
  </si>
  <si>
    <t>465084</t>
  </si>
  <si>
    <t>209287</t>
  </si>
  <si>
    <t>232543</t>
  </si>
  <si>
    <t>22028000032322152</t>
  </si>
  <si>
    <t>51788000272870083</t>
  </si>
  <si>
    <t>zcrm_51788000295050325</t>
  </si>
  <si>
    <t>2025-08-20 18:05:15</t>
  </si>
  <si>
    <t>Sector 82, Naharpar, Greater Faridabad</t>
  </si>
  <si>
    <t>St Joseph's Convent School, Laghata</t>
  </si>
  <si>
    <t>167374</t>
  </si>
  <si>
    <t>334748</t>
  </si>
  <si>
    <t>158199</t>
  </si>
  <si>
    <t>176549</t>
  </si>
  <si>
    <t>0.71</t>
  </si>
  <si>
    <t>Labpur</t>
  </si>
  <si>
    <t>22028000033423124</t>
  </si>
  <si>
    <t>51788000272852013</t>
  </si>
  <si>
    <t>zcrm_51788000273842069</t>
  </si>
  <si>
    <t>2025-09-29 14:08:06</t>
  </si>
  <si>
    <t>Sister Dibya Anshumala Kachhuwa</t>
  </si>
  <si>
    <t>laghatasjc@gmail.com</t>
  </si>
  <si>
    <t>+917462098956</t>
  </si>
  <si>
    <t>info@stjosephlaghata.org</t>
  </si>
  <si>
    <t>laghataconvent@gmail.com</t>
  </si>
  <si>
    <t>aghataconvent@gmail.com</t>
  </si>
  <si>
    <t>Laghata, Sarparajpur, West Bengal 731303</t>
  </si>
  <si>
    <t>731303</t>
  </si>
  <si>
    <t>￼ Contact Nurturing Minds Home   Contact   Laghata, Labpur, BirbhumWest Bengal, India.Pin - 731303.</t>
  </si>
  <si>
    <t>Contact  Address Laghata, Labpur, Birbhum</t>
  </si>
  <si>
    <t>22028000031366960, 50182332025</t>
  </si>
  <si>
    <t>zcrm_51788000292898007</t>
  </si>
  <si>
    <t>2025-04-01 00:00:00, 2025-07-07 15:00:46</t>
  </si>
  <si>
    <t>+919312231599</t>
  </si>
  <si>
    <t>dpsnprincipal@gmail.com</t>
  </si>
  <si>
    <t>Ms. Vani Datta</t>
  </si>
  <si>
    <t>22028000031366728, 50182342025</t>
  </si>
  <si>
    <t>zcrm_51788000292911052</t>
  </si>
  <si>
    <t>2025-04-01 00:00:00, 2025-07-07 14:59:04</t>
  </si>
  <si>
    <t>Mr. H. S. Vashishta</t>
  </si>
  <si>
    <t>+919819842711</t>
  </si>
  <si>
    <t>Bharati Mathur</t>
  </si>
  <si>
    <t>Palm Beach Marg</t>
  </si>
  <si>
    <t>Palm Beach Road</t>
  </si>
  <si>
    <t>Delhi Public School Society</t>
  </si>
  <si>
    <t>1935429</t>
  </si>
  <si>
    <t>3483773</t>
  </si>
  <si>
    <t>2322515</t>
  </si>
  <si>
    <t>774268</t>
  </si>
  <si>
    <t>7741717</t>
  </si>
  <si>
    <t>6968411</t>
  </si>
  <si>
    <t>-962</t>
  </si>
  <si>
    <t>0.6504000000000001</t>
  </si>
  <si>
    <t>0.6004</t>
  </si>
  <si>
    <t>22028000031408504</t>
  </si>
  <si>
    <t>51788000273227001</t>
  </si>
  <si>
    <t>zcrm_51788000293023241</t>
  </si>
  <si>
    <t>2025-07-08 15:53:29</t>
  </si>
  <si>
    <t>Ms. Sunita Tanwar</t>
  </si>
  <si>
    <t>+919818643444</t>
  </si>
  <si>
    <t>secretary@dpsfamiily.org</t>
  </si>
  <si>
    <t>Sunita Tanwar</t>
  </si>
  <si>
    <t>seretary@dpsfamily.org</t>
  </si>
  <si>
    <t>F-Block, East of Kailash</t>
  </si>
  <si>
    <t>St Christopher Mission School</t>
  </si>
  <si>
    <t>39975</t>
  </si>
  <si>
    <t>179888</t>
  </si>
  <si>
    <t>399751</t>
  </si>
  <si>
    <t>369751</t>
  </si>
  <si>
    <t>Asansol</t>
  </si>
  <si>
    <t>22028000024402612</t>
  </si>
  <si>
    <t>51788000273209037</t>
  </si>
  <si>
    <t>zcrm_51788000273205402</t>
  </si>
  <si>
    <t>2024-09-03 10:34:30</t>
  </si>
  <si>
    <t>Mr. Christopher Gomes</t>
  </si>
  <si>
    <t>ck_gomes@yahoo.co.in</t>
  </si>
  <si>
    <t>Ashok Kumar Rana</t>
  </si>
  <si>
    <t>scms28896@gmail.com</t>
  </si>
  <si>
    <t>+918436007209</t>
  </si>
  <si>
    <t>Sailendra Prasad</t>
  </si>
  <si>
    <t>+918906960550</t>
  </si>
  <si>
    <t>Radhanagar Hatia,Sunderchak</t>
  </si>
  <si>
    <t>713360</t>
  </si>
  <si>
    <t>St Joseph's Convent School Katwa</t>
  </si>
  <si>
    <t>1439</t>
  </si>
  <si>
    <t>216549</t>
  </si>
  <si>
    <t>866196</t>
  </si>
  <si>
    <t>879599</t>
  </si>
  <si>
    <t>-13403</t>
  </si>
  <si>
    <t>Katwa</t>
  </si>
  <si>
    <t>West bengal</t>
  </si>
  <si>
    <t>22028000026816368</t>
  </si>
  <si>
    <t>51788000272935579</t>
  </si>
  <si>
    <t>zcrm_51788000279828147</t>
  </si>
  <si>
    <t>2025-02-06 16:56:08</t>
  </si>
  <si>
    <t>Shyamolima Sharma</t>
  </si>
  <si>
    <t>simisharma141281@gmail.com</t>
  </si>
  <si>
    <t>+917076132298</t>
  </si>
  <si>
    <t>stjosephskatwa@yahoo.in</t>
  </si>
  <si>
    <t>SH6, Purba Bardhaman</t>
  </si>
  <si>
    <t>713130</t>
  </si>
  <si>
    <t>Nanagar, P.O. Koshigram, Katwa, Dist. Burdwan, West Bengal 713 150</t>
  </si>
  <si>
    <t>The Magnet Public School</t>
  </si>
  <si>
    <t>2024-10-27 00:00:00</t>
  </si>
  <si>
    <t>53767</t>
  </si>
  <si>
    <t>76810</t>
  </si>
  <si>
    <t>126737</t>
  </si>
  <si>
    <t>384051</t>
  </si>
  <si>
    <t>334051</t>
  </si>
  <si>
    <t>22028000025798152</t>
  </si>
  <si>
    <t>51788000274173411</t>
  </si>
  <si>
    <t>zcrm_51788000274825946</t>
  </si>
  <si>
    <t>2024-11-06 18:01:05</t>
  </si>
  <si>
    <t>Mr. Arun Chauhan</t>
  </si>
  <si>
    <t>themagnethamirpur2014@gmail.com</t>
  </si>
  <si>
    <t>+919418048300</t>
  </si>
  <si>
    <t>Arun Chauhan</t>
  </si>
  <si>
    <t>37500</t>
  </si>
  <si>
    <t>Anthony Claret School</t>
  </si>
  <si>
    <t>227302</t>
  </si>
  <si>
    <t>909208</t>
  </si>
  <si>
    <t>0.7629</t>
  </si>
  <si>
    <t>22028000035847632</t>
  </si>
  <si>
    <t>51788000274852534</t>
  </si>
  <si>
    <t>zcrm_51788000277465717</t>
  </si>
  <si>
    <t>nebu.abraham_ei</t>
  </si>
  <si>
    <t>nebu.abraham@ei.study</t>
  </si>
  <si>
    <t>Nebu abraham</t>
  </si>
  <si>
    <t>2025-12-18 12:43:01</t>
  </si>
  <si>
    <t>Mr. Fr.Thomas M</t>
  </si>
  <si>
    <t>+919553300050</t>
  </si>
  <si>
    <t>principal@acschool.edu.in</t>
  </si>
  <si>
    <t>Mr. Fr. Thomas M</t>
  </si>
  <si>
    <t>Ms Bindhu</t>
  </si>
  <si>
    <t>+918861442948</t>
  </si>
  <si>
    <t>Mes Ring Road Sharadamba nagar jalahalli</t>
  </si>
  <si>
    <t>560013</t>
  </si>
  <si>
    <t>MES Ring Rd, Jalahalli Village, Jalahalli Karnataka</t>
  </si>
  <si>
    <t>22028000029081204</t>
  </si>
  <si>
    <t>zcrm_51788000288218033</t>
  </si>
  <si>
    <t>2025-04-04 16:21:48</t>
  </si>
  <si>
    <t>Alpha beta</t>
  </si>
  <si>
    <t>T B Desai Family Public Charitable Trust</t>
  </si>
  <si>
    <t>559944</t>
  </si>
  <si>
    <t>1119888</t>
  </si>
  <si>
    <t>966864</t>
  </si>
  <si>
    <t>153024</t>
  </si>
  <si>
    <t>22028000025374116</t>
  </si>
  <si>
    <t>51788000275393039</t>
  </si>
  <si>
    <t>zcrm_51788000275318983</t>
  </si>
  <si>
    <t>2024-10-23 11:34:09</t>
  </si>
  <si>
    <t>Jehangir</t>
  </si>
  <si>
    <t>jehangir.hilloona@acresfoundation.org</t>
  </si>
  <si>
    <t>+919833808335</t>
  </si>
  <si>
    <t>Surendranath</t>
  </si>
  <si>
    <t>7500</t>
  </si>
  <si>
    <t>411-A-2, Hemu Kalani Marg, Chembur</t>
  </si>
  <si>
    <t>MUMT18610E</t>
  </si>
  <si>
    <t>1297</t>
  </si>
  <si>
    <t>4399</t>
  </si>
  <si>
    <t>146623</t>
  </si>
  <si>
    <t>120673</t>
  </si>
  <si>
    <t>25950</t>
  </si>
  <si>
    <t>0.135</t>
  </si>
  <si>
    <t>0.085</t>
  </si>
  <si>
    <t>2026-07-24 00:00:00</t>
  </si>
  <si>
    <t>22028000031765592</t>
  </si>
  <si>
    <t>zcrm_51788000287577153</t>
  </si>
  <si>
    <t>2025-07-24 16:47:37</t>
  </si>
  <si>
    <t>Prakash Chauhan</t>
  </si>
  <si>
    <t>chuhanprakashr@gmail.com</t>
  </si>
  <si>
    <t>richa.vedant01@gmail.com</t>
  </si>
  <si>
    <t>Behind Madhav Baug 5,</t>
  </si>
  <si>
    <t>100125</t>
  </si>
  <si>
    <t>20026</t>
  </si>
  <si>
    <t>200250</t>
  </si>
  <si>
    <t>180224</t>
  </si>
  <si>
    <t>22028000031077104</t>
  </si>
  <si>
    <t>zcrm_51788000292118352</t>
  </si>
  <si>
    <t>2025-06-30 12:28:32</t>
  </si>
  <si>
    <t>Bowrampet,</t>
  </si>
  <si>
    <t>Sri Ramakrushna Vidya Mandir</t>
  </si>
  <si>
    <t>53100</t>
  </si>
  <si>
    <t>13100</t>
  </si>
  <si>
    <t>Koraput</t>
  </si>
  <si>
    <t>22028000032595156</t>
  </si>
  <si>
    <t>51788000276324919</t>
  </si>
  <si>
    <t>zcrm_51788000276450120</t>
  </si>
  <si>
    <t>2025-10-06 12:52:01</t>
  </si>
  <si>
    <t>Mrs. Tapaswini Mohapatra</t>
  </si>
  <si>
    <t>srkvmkoraput@gmail.com</t>
  </si>
  <si>
    <t>+919437280001</t>
  </si>
  <si>
    <t>Mrs. Uma Kumari Sahu</t>
  </si>
  <si>
    <t>+919437168272</t>
  </si>
  <si>
    <t>2750</t>
  </si>
  <si>
    <t>KV Koraput Road</t>
  </si>
  <si>
    <t>764020</t>
  </si>
  <si>
    <t>Sri Ramakrishna Vidyapitha</t>
  </si>
  <si>
    <t>KV Koraput Road, Pujariput</t>
  </si>
  <si>
    <t>The Green Acres Academy, Kalyan</t>
  </si>
  <si>
    <t>22028000025812140</t>
  </si>
  <si>
    <t>51788000276427026</t>
  </si>
  <si>
    <t>zcrm_51788000276430068</t>
  </si>
  <si>
    <t>2024-10-30 17:55:03</t>
  </si>
  <si>
    <t>Ms. Bonny Mehta</t>
  </si>
  <si>
    <t>+918069135100</t>
  </si>
  <si>
    <t>kalyan@tgaa.in</t>
  </si>
  <si>
    <t>Janice Dass</t>
  </si>
  <si>
    <t>+919769818068</t>
  </si>
  <si>
    <t>7100</t>
  </si>
  <si>
    <t>748J+86Q Landmark, KDMC Water Tank, Road, near MANGESHI CITY, Kolivali, Khadakpada</t>
  </si>
  <si>
    <t>421301</t>
  </si>
  <si>
    <t>NLK Academy, Bhawanipur, Mandhana</t>
  </si>
  <si>
    <t>270600</t>
  </si>
  <si>
    <t>87780</t>
  </si>
  <si>
    <t>2026-01-27 00:00:00</t>
  </si>
  <si>
    <t>1082400</t>
  </si>
  <si>
    <t>1030590</t>
  </si>
  <si>
    <t>-35970</t>
  </si>
  <si>
    <t>Kanpur</t>
  </si>
  <si>
    <t>22028000026704480</t>
  </si>
  <si>
    <t>51788000277187032</t>
  </si>
  <si>
    <t>zcrm_51788000277161446</t>
  </si>
  <si>
    <t>2024-12-20 14:27:49</t>
  </si>
  <si>
    <t>Mr. Santosh Mishra</t>
  </si>
  <si>
    <t>skmis2002@gmail.com</t>
  </si>
  <si>
    <t>+918707260284</t>
  </si>
  <si>
    <t>60500</t>
  </si>
  <si>
    <t>Administrative Office, 8/215, Arya Nagar,</t>
  </si>
  <si>
    <t>208012</t>
  </si>
  <si>
    <t>111/333, Ashok Nagar, Harsh Nagar</t>
  </si>
  <si>
    <t>KNPK01672G</t>
  </si>
  <si>
    <t>KRS Krishnamal Ramasubbaiyer school</t>
  </si>
  <si>
    <t>2024-12-21 00:00:00</t>
  </si>
  <si>
    <t>1007</t>
  </si>
  <si>
    <t>154151</t>
  </si>
  <si>
    <t>52254</t>
  </si>
  <si>
    <t>616604</t>
  </si>
  <si>
    <t>558639</t>
  </si>
  <si>
    <t>5711</t>
  </si>
  <si>
    <t>0.67</t>
  </si>
  <si>
    <t>22028000026992328</t>
  </si>
  <si>
    <t>51788000276890361</t>
  </si>
  <si>
    <t>zcrm_51788000277391014</t>
  </si>
  <si>
    <t>2025-04-16 13:14:17</t>
  </si>
  <si>
    <t>Mrs Suryaprapha</t>
  </si>
  <si>
    <t>krs_cbse@krs.edu.in</t>
  </si>
  <si>
    <t>+919877761917</t>
  </si>
  <si>
    <t>Suryaprabha</t>
  </si>
  <si>
    <t>+919677761914</t>
  </si>
  <si>
    <t>T.V.R Nagar</t>
  </si>
  <si>
    <t>625022</t>
  </si>
  <si>
    <t>Madura NH</t>
  </si>
  <si>
    <t>Khannur Vidyaniketan School</t>
  </si>
  <si>
    <t>1031</t>
  </si>
  <si>
    <t>27211</t>
  </si>
  <si>
    <t>308389</t>
  </si>
  <si>
    <t>290248</t>
  </si>
  <si>
    <t>281178</t>
  </si>
  <si>
    <t>2024-11-23 00:00:00</t>
  </si>
  <si>
    <t>907026</t>
  </si>
  <si>
    <t>428401</t>
  </si>
  <si>
    <t>478625</t>
  </si>
  <si>
    <t>0.7979</t>
  </si>
  <si>
    <t>Ranebennur</t>
  </si>
  <si>
    <t>22028000026878416</t>
  </si>
  <si>
    <t>51788000273667267</t>
  </si>
  <si>
    <t>zcrm_51788000277865690</t>
  </si>
  <si>
    <t>2024-12-18 17:00:30</t>
  </si>
  <si>
    <t>Mr. Maneesh .</t>
  </si>
  <si>
    <t>khannurwhatsapp@gmail.com</t>
  </si>
  <si>
    <t>+919844152600</t>
  </si>
  <si>
    <t>4590@cbseshiksha.in</t>
  </si>
  <si>
    <t>Hunasikatti Road</t>
  </si>
  <si>
    <t>581115</t>
  </si>
  <si>
    <t>Ranee</t>
  </si>
  <si>
    <t>Hunasikatti road</t>
  </si>
  <si>
    <t>Holy Angels School, Holy Angels' School</t>
  </si>
  <si>
    <t>2024-12-09 00:00:00, 2025-03-19 00:00:00</t>
  </si>
  <si>
    <t>540, 749</t>
  </si>
  <si>
    <t>2025-01-10 00:00:00, 2025-03-24 00:00:00</t>
  </si>
  <si>
    <t>144097, 20521</t>
  </si>
  <si>
    <t>0, 32924</t>
  </si>
  <si>
    <t>288194, 41042</t>
  </si>
  <si>
    <t>0, 296306</t>
  </si>
  <si>
    <t>-41036, 41042</t>
  </si>
  <si>
    <t>0.5846, 0.589</t>
  </si>
  <si>
    <t>2025-03-17 00:00:00, 2025-03-24 00:00:00</t>
  </si>
  <si>
    <t>22028000026749152, 22028000028784584</t>
  </si>
  <si>
    <t>51788000276869534</t>
  </si>
  <si>
    <t>zcrm_51788000276861932, zcrm_51788000287258503</t>
  </si>
  <si>
    <t>2024-12-31 14:34:12, 2025-03-21 17:02:04</t>
  </si>
  <si>
    <t>Fr. Arockia Alex, Mr. Fr. Arockia Alex</t>
  </si>
  <si>
    <t>holyangelshgrdn@gmail.com</t>
  </si>
  <si>
    <t>+917589259659, +918130201178</t>
  </si>
  <si>
    <t>Fr. Arockia Alex</t>
  </si>
  <si>
    <t>alexarockia20@gmail.com, holyangelshgrdn@gmail.com</t>
  </si>
  <si>
    <t>+917589259659</t>
  </si>
  <si>
    <t>B-Block, Shalimar Garden Extension 2, Sahibabad</t>
  </si>
  <si>
    <t>B-Block Shalimar Garden Extension 2 Sahibabad, B-Block, Shalimar Garden Extension 2, Sahibabad</t>
  </si>
  <si>
    <t>B-Block Shalimar Garden Extension 2 Sahibabad</t>
  </si>
  <si>
    <t>Swami Matriculation Higher Secondary School</t>
  </si>
  <si>
    <t>839</t>
  </si>
  <si>
    <t>106593</t>
  </si>
  <si>
    <t>1225822</t>
  </si>
  <si>
    <t>1332415</t>
  </si>
  <si>
    <t>2664830</t>
  </si>
  <si>
    <t>246593</t>
  </si>
  <si>
    <t>2418237</t>
  </si>
  <si>
    <t>0.725</t>
  </si>
  <si>
    <t>22028000026450516</t>
  </si>
  <si>
    <t>51788000277965749</t>
  </si>
  <si>
    <t>zcrm_51788000277965763</t>
  </si>
  <si>
    <t>2024-11-28 11:00:53</t>
  </si>
  <si>
    <t>Satyamoorthy Mr</t>
  </si>
  <si>
    <t>swamimatric@gmail.com</t>
  </si>
  <si>
    <t>S Mythili</t>
  </si>
  <si>
    <t>+917373004424</t>
  </si>
  <si>
    <t>keelapaluvur</t>
  </si>
  <si>
    <t>621707</t>
  </si>
  <si>
    <t>TANJORE ROAD</t>
  </si>
  <si>
    <t>Mahatma Global Gatway Cambridge International Education</t>
  </si>
  <si>
    <t>57610</t>
  </si>
  <si>
    <t>115220</t>
  </si>
  <si>
    <t>44010</t>
  </si>
  <si>
    <t>71210</t>
  </si>
  <si>
    <t>22028000028194408</t>
  </si>
  <si>
    <t>51788000279009152</t>
  </si>
  <si>
    <t>zcrm_51788000278984507</t>
  </si>
  <si>
    <t>2025-07-14 13:59:19</t>
  </si>
  <si>
    <t>Mrs Priya Murali</t>
  </si>
  <si>
    <t>mahatmacambridge17@gmail.com</t>
  </si>
  <si>
    <t>+919786300075</t>
  </si>
  <si>
    <t>Priya Murali</t>
  </si>
  <si>
    <t>+919916584437</t>
  </si>
  <si>
    <t>Bharani</t>
  </si>
  <si>
    <t>+917010526505</t>
  </si>
  <si>
    <t>Gopalakrishnan Guruvasal</t>
  </si>
  <si>
    <t>The Heritage School Rampurhat</t>
  </si>
  <si>
    <t>Lopa/Pooja</t>
  </si>
  <si>
    <t>2024-12-16 00:00:00, 2025-03-25 00:00:00, 2025-07-11 00:00:00, 2025-08-26 00:00:00, 2025-10-17 00:00:00</t>
  </si>
  <si>
    <t>0, 720</t>
  </si>
  <si>
    <t>1220</t>
  </si>
  <si>
    <t>2025-08-26 00:00:00, 2025-10-17 00:00:00</t>
  </si>
  <si>
    <t>2000-01-01 00:00:00, 2025-04-02 00:00:00, 2025-07-20 00:00:00</t>
  </si>
  <si>
    <t>0, 126072, 79204, 89460</t>
  </si>
  <si>
    <t>2000-01-01 00:00:00, 2025-07-02 00:00:00, 2025-09-01 00:00:00</t>
  </si>
  <si>
    <t>0, 122364, 79204, 89460</t>
  </si>
  <si>
    <t>2000-01-01 00:00:00, 2025-09-02 00:00:00, 2025-11-01 00:00:00, 2025-11-02 00:00:00</t>
  </si>
  <si>
    <t>2000-01-01 00:00:00, 2025-12-01 00:00:00, 2025-12-02 00:00:00</t>
  </si>
  <si>
    <t>0, 79204, 89460</t>
  </si>
  <si>
    <t>2024-12-17 00:00:00, 2025-03-25 00:00:00, 2025-07-12 00:00:00</t>
  </si>
  <si>
    <t>2025-12-12 00:00:00, 2025-12-31 00:00:00</t>
  </si>
  <si>
    <t>0, 316816, 357840, 370800</t>
  </si>
  <si>
    <t>0, 311897, 364760, 99640</t>
  </si>
  <si>
    <t>0, 258200, 4919, 6040</t>
  </si>
  <si>
    <t>0.6, 0.76, 1</t>
  </si>
  <si>
    <t>Rampurhat</t>
  </si>
  <si>
    <t>2025-04-01 00:00:00, 2025-04-08 00:00:00, 2025-07-11 00:00:00</t>
  </si>
  <si>
    <t>22028000026870520, 22028000028893300, 22028000031465172, 22028000032492504, 22028000034013056</t>
  </si>
  <si>
    <t>51788000273685207</t>
  </si>
  <si>
    <t>zcrm_51788000275385577, zcrm_51788000287696539, zcrm_51788000293142605, zcrm_51788000295549376, zcrm_51788000298622519</t>
  </si>
  <si>
    <t>mayukh.chowdhury_ei1, rudra.mishra_ei</t>
  </si>
  <si>
    <t>mayukh.chowdhury@ei.study, rudra.mishra@ei.study</t>
  </si>
  <si>
    <t>Mayukh chowdhury, Rudra mishra</t>
  </si>
  <si>
    <t>2024-12-18 14:12:51, 2025-03-26 14:23:10, 2025-07-15 11:44:20, 2025-08-29 09:28:28, 2025-10-17 16:48:00</t>
  </si>
  <si>
    <t>Mr. Swarnendu Chatterjee, Mr. Swarnendu Chattopadhyay</t>
  </si>
  <si>
    <t>director.theheritageschool@gmail.com, maruf.shaikh@ei.study, office.theheritageschool@gmail.com</t>
  </si>
  <si>
    <t>+918926613423, +919932799631</t>
  </si>
  <si>
    <t>info@theheritageschool.org.in</t>
  </si>
  <si>
    <t>Mr. Swarnendu Chatterjee, Mr. Swarnendu Chattopadhyay, Swarnendu Chatterjee</t>
  </si>
  <si>
    <t>director.theheritageschool@gmail.com, info@theheritageschool.org.in, maruf.shaikh@ei.study, office.theheritageschool@gmail.com</t>
  </si>
  <si>
    <t>+916296991600, +918926613423, +919932799631</t>
  </si>
  <si>
    <t>Bithika Pally, Kharun, RampurhatBirbhum, West BengalIndia, PIN – 731224</t>
  </si>
  <si>
    <t>731224</t>
  </si>
  <si>
    <t>Bithika Pally, Kharun, Rampurhat, Rampurhut, West Bengal 731233</t>
  </si>
  <si>
    <t>157611</t>
  </si>
  <si>
    <t>463561</t>
  </si>
  <si>
    <t>514600</t>
  </si>
  <si>
    <t>-58366</t>
  </si>
  <si>
    <t>22028000026815616</t>
  </si>
  <si>
    <t>2024-12-17 12:28:34</t>
  </si>
  <si>
    <t>Sandesh</t>
  </si>
  <si>
    <t>Nandha Gokulam Life School</t>
  </si>
  <si>
    <t>1234</t>
  </si>
  <si>
    <t>2789</t>
  </si>
  <si>
    <t>108611</t>
  </si>
  <si>
    <t>190069</t>
  </si>
  <si>
    <t>15640.7</t>
  </si>
  <si>
    <t>2025-10-18 00:00:00</t>
  </si>
  <si>
    <t>678818</t>
  </si>
  <si>
    <t>422183</t>
  </si>
  <si>
    <t>240994</t>
  </si>
  <si>
    <t>Sri Potti Sriramulu Nellore District</t>
  </si>
  <si>
    <t>22028000031219480</t>
  </si>
  <si>
    <t>51788000277836187</t>
  </si>
  <si>
    <t>zcrm_51788000279458467</t>
  </si>
  <si>
    <t>2025-07-12 13:42:09</t>
  </si>
  <si>
    <t>Mrs. Nisha Bhakar</t>
  </si>
  <si>
    <t>nisha@vishwasamudra.in</t>
  </si>
  <si>
    <t>+9188001017131</t>
  </si>
  <si>
    <t>info@nglifeschool.com</t>
  </si>
  <si>
    <t>Nisha Bhakar</t>
  </si>
  <si>
    <t>+917337584441</t>
  </si>
  <si>
    <t>Chandrakala Dabas</t>
  </si>
  <si>
    <t>viceprincipal@nglifeschool.com</t>
  </si>
  <si>
    <t>+917568875889</t>
  </si>
  <si>
    <t>Nandha Gokulam Life School, Edagali Village , Venkatachalam Mandal,</t>
  </si>
  <si>
    <t>524321</t>
  </si>
  <si>
    <t>Nandha Gokulam Life School, Edagali Village</t>
  </si>
  <si>
    <t>Nandha Gokulam Life School, Edagali Village, Venkatachalam Mandal,</t>
  </si>
  <si>
    <t>Gurukul Global School</t>
  </si>
  <si>
    <t>2025-03-27 00:00:00, 2025-03-29 00:00:00</t>
  </si>
  <si>
    <t>104990, 118051</t>
  </si>
  <si>
    <t>2025-07-10 00:00:00, 2025-09-30 00:00:00</t>
  </si>
  <si>
    <t>104990, 121628</t>
  </si>
  <si>
    <t>2025-10-10 00:00:00, 2025-12-31 00:00:00</t>
  </si>
  <si>
    <t>0, 104990</t>
  </si>
  <si>
    <t>10424, 11805</t>
  </si>
  <si>
    <t>2025-03-29 00:00:00, 2025-10-16 00:00:00</t>
  </si>
  <si>
    <t>357730, 419960</t>
  </si>
  <si>
    <t>200286, 93816</t>
  </si>
  <si>
    <t>145639, 315720</t>
  </si>
  <si>
    <t>0.6667000000000001, 0.6931999999999999</t>
  </si>
  <si>
    <t>22028000028935148, 22028000028976736</t>
  </si>
  <si>
    <t>51788000279436202</t>
  </si>
  <si>
    <t>zcrm_51788000283151803, zcrm_51788000287687706</t>
  </si>
  <si>
    <t>2025-03-29 20:17:47, 2025-03-29 20:18:05</t>
  </si>
  <si>
    <t>Mrs. Urvashi Gurukul Global School, Mrs. Urvashi NA</t>
  </si>
  <si>
    <t>principal@gurukulglobalschool.co.in</t>
  </si>
  <si>
    <t>+919878617880</t>
  </si>
  <si>
    <t>info@gurukulglobalschool.co.in</t>
  </si>
  <si>
    <t>Ms, Urvashi, Urvashi Kakkar</t>
  </si>
  <si>
    <t>Principal@gurukulglonbal.com, sajan.thareja@ei.study</t>
  </si>
  <si>
    <t>+919650101001, +919878617880</t>
  </si>
  <si>
    <t>7000</t>
  </si>
  <si>
    <t>gurukul Global School, CHandigarh</t>
  </si>
  <si>
    <t>160101</t>
  </si>
  <si>
    <t>gurukul global school chandigarh</t>
  </si>
  <si>
    <t>Adarsh Nagar, Sector 13,</t>
  </si>
  <si>
    <t>AADHAV PUBLIC SCHOOL</t>
  </si>
  <si>
    <t>2025-03-05 00:00:00, 2025-03-07 00:00:00</t>
  </si>
  <si>
    <t>848</t>
  </si>
  <si>
    <t>44306, 54407</t>
  </si>
  <si>
    <t>2025-08-13 00:00:00, 2025-08-20 00:00:00</t>
  </si>
  <si>
    <t>44306, 52807</t>
  </si>
  <si>
    <t>2025-10-15 00:00:00, 2025-10-22 00:00:00</t>
  </si>
  <si>
    <t>2000-01-01 00:00:00, 2025-12-17 00:00:00</t>
  </si>
  <si>
    <t>0, 44306</t>
  </si>
  <si>
    <t>160021, 177224</t>
  </si>
  <si>
    <t>135021, 152224</t>
  </si>
  <si>
    <t>0.5555, 0.7222</t>
  </si>
  <si>
    <t>22028000028487124, 22028000028564064</t>
  </si>
  <si>
    <t>51788000276398141</t>
  </si>
  <si>
    <t>zcrm_51788000277684280, zcrm_51788000280235349</t>
  </si>
  <si>
    <t>2025-06-18 13:51:45, 2025-06-18 13:52:02</t>
  </si>
  <si>
    <t>CHITRA KALA S, MRS Chitra kala</t>
  </si>
  <si>
    <t>admisions.aadhavpublic@gamil.com, admission@aadhav.com</t>
  </si>
  <si>
    <t>+914328299075, +919842418571</t>
  </si>
  <si>
    <t>admisions.aadhavpublic@gamil.com</t>
  </si>
  <si>
    <t>Mrs Chitra kala, Mrs Chitrakala</t>
  </si>
  <si>
    <t>+919842418571, +91984241871</t>
  </si>
  <si>
    <t>Thuraiyur-Chennai Bypass Road</t>
  </si>
  <si>
    <t>PERAMBALUR, thuraiyur chennai bypass road</t>
  </si>
  <si>
    <t>2025-07-27 00:00:00</t>
  </si>
  <si>
    <t>22028000031835216</t>
  </si>
  <si>
    <t>zcrm_51788000293829003</t>
  </si>
  <si>
    <t>2025-07-28 12:43:45</t>
  </si>
  <si>
    <t>Vidyakunj International School, Shajapur</t>
  </si>
  <si>
    <t>69997</t>
  </si>
  <si>
    <t>279988</t>
  </si>
  <si>
    <t>87998.15</t>
  </si>
  <si>
    <t>191990</t>
  </si>
  <si>
    <t>Shajapur</t>
  </si>
  <si>
    <t>22028000031477456</t>
  </si>
  <si>
    <t>51788000280598673</t>
  </si>
  <si>
    <t>zcrm_51788000293110783</t>
  </si>
  <si>
    <t>2025-07-12 22:26:47</t>
  </si>
  <si>
    <t>Rajesh Patidar</t>
  </si>
  <si>
    <t>vidyakunj.sjpr@gmail.com</t>
  </si>
  <si>
    <t>+917648900400</t>
  </si>
  <si>
    <t>Nitika Patidar</t>
  </si>
  <si>
    <t>+917648800400</t>
  </si>
  <si>
    <t>Rishabh Tiwari</t>
  </si>
  <si>
    <t>+919794966655</t>
  </si>
  <si>
    <t>84 Pandukhora Road,</t>
  </si>
  <si>
    <t>465001</t>
  </si>
  <si>
    <t>Lalghati</t>
  </si>
  <si>
    <t>84 Pandukhora Road, Lalghati, Shajapur</t>
  </si>
  <si>
    <t>GRD International School</t>
  </si>
  <si>
    <t>100625</t>
  </si>
  <si>
    <t>402500</t>
  </si>
  <si>
    <t>142575</t>
  </si>
  <si>
    <t>259925</t>
  </si>
  <si>
    <t>0.54</t>
  </si>
  <si>
    <t>Rudrapur</t>
  </si>
  <si>
    <t>22028000027097204</t>
  </si>
  <si>
    <t>51788000280748020</t>
  </si>
  <si>
    <t>zcrm_51788000280880699</t>
  </si>
  <si>
    <t>2025-01-02 13:51:29</t>
  </si>
  <si>
    <t>Mr. Satnam Singh Chawla</t>
  </si>
  <si>
    <t>grdinternationalschool@gmail.com</t>
  </si>
  <si>
    <t>+916395925570</t>
  </si>
  <si>
    <t>Satnam Singh Chawla</t>
  </si>
  <si>
    <t>satnamchawla4@gmail.com</t>
  </si>
  <si>
    <t>+919837793225</t>
  </si>
  <si>
    <t>10 Km. Mile Stone, NH-74, Rudrapur-Gadarpur Road, Dhoulpur, Rudrapur,Udham Singh Nagar Uttarakhand,India 263153</t>
  </si>
  <si>
    <t>263153</t>
  </si>
  <si>
    <t>Gadarpur</t>
  </si>
  <si>
    <t>Jss Shri Manjunatheshwara Central School (Cbse)</t>
  </si>
  <si>
    <t>116698</t>
  </si>
  <si>
    <t>130843</t>
  </si>
  <si>
    <t>353630</t>
  </si>
  <si>
    <t>164000</t>
  </si>
  <si>
    <t>189630</t>
  </si>
  <si>
    <t>2026-06-10 00:00:00</t>
  </si>
  <si>
    <t>22028000030238124</t>
  </si>
  <si>
    <t>51788000280700141</t>
  </si>
  <si>
    <t>zcrm_51788000290765286</t>
  </si>
  <si>
    <t>2025-06-09 14:17:09</t>
  </si>
  <si>
    <t>Mrs. Rajani Patil</t>
  </si>
  <si>
    <t>jss.smcs.hubli@gmail.com</t>
  </si>
  <si>
    <t>+918762474991</t>
  </si>
  <si>
    <t>411000</t>
  </si>
  <si>
    <t>Shivalik road</t>
  </si>
  <si>
    <t>580032</t>
  </si>
  <si>
    <t>Gangubai Hangal Gurukul Road</t>
  </si>
  <si>
    <t>Unakal</t>
  </si>
  <si>
    <t>Shivalli road</t>
  </si>
  <si>
    <t>Vidhya Vishwalaya</t>
  </si>
  <si>
    <t>2025-03-08 00:00:00, 2025-11-07 00:00:00</t>
  </si>
  <si>
    <t>Ei ASSET,Ei CARES, Ei CARES</t>
  </si>
  <si>
    <t>663</t>
  </si>
  <si>
    <t>1437, 584</t>
  </si>
  <si>
    <t>2000-01-01 00:00:00, 2025-03-10 00:00:00</t>
  </si>
  <si>
    <t>0, 26669</t>
  </si>
  <si>
    <t>2000-01-01 00:00:00, 2025-07-10 00:00:00</t>
  </si>
  <si>
    <t>0, 80006</t>
  </si>
  <si>
    <t>21597, 266687</t>
  </si>
  <si>
    <t>0, 49801</t>
  </si>
  <si>
    <t>21597, 216886</t>
  </si>
  <si>
    <t>0.4474, 0.5058</t>
  </si>
  <si>
    <t>0.39740000000000003, 0.5058</t>
  </si>
  <si>
    <t>22028000028552368, 22028000034558084</t>
  </si>
  <si>
    <t>51788000281702080</t>
  </si>
  <si>
    <t>zcrm_51788000282260875, zcrm_51788000299644254</t>
  </si>
  <si>
    <t>2025-05-12 12:51:10, 2025-11-13 12:27:52</t>
  </si>
  <si>
    <t>Mr. Hari Karthikeyan .</t>
  </si>
  <si>
    <t>principalcbse@svectschools.com</t>
  </si>
  <si>
    <t>+919047365657</t>
  </si>
  <si>
    <t>Mr. Hari Karthikeyan ., Saranya Balakrishnan</t>
  </si>
  <si>
    <t>+919047365657, +919952890677</t>
  </si>
  <si>
    <t>51/1A,Pilchinampalayam,Samathur PO,</t>
  </si>
  <si>
    <t>642123</t>
  </si>
  <si>
    <t>Pollachi,</t>
  </si>
  <si>
    <t>Bodoland Pioneer Public School</t>
  </si>
  <si>
    <t>1037</t>
  </si>
  <si>
    <t>66712</t>
  </si>
  <si>
    <t>133424</t>
  </si>
  <si>
    <t>123424</t>
  </si>
  <si>
    <t>Kokrajhar</t>
  </si>
  <si>
    <t>22028000033231344</t>
  </si>
  <si>
    <t>51788000279007466</t>
  </si>
  <si>
    <t>zcrm_51788000283364153</t>
  </si>
  <si>
    <t>2025-09-20 13:07:50</t>
  </si>
  <si>
    <t>Sandip Dutta</t>
  </si>
  <si>
    <t>bppskokrajhar20@gmail.com</t>
  </si>
  <si>
    <t>+919954804726</t>
  </si>
  <si>
    <t>Bodoland Pioneer Public School, Shyamgaon</t>
  </si>
  <si>
    <t>783370</t>
  </si>
  <si>
    <t>Amguri</t>
  </si>
  <si>
    <t>Shyamgaon</t>
  </si>
  <si>
    <t>Shivpuri Public School</t>
  </si>
  <si>
    <t>81010</t>
  </si>
  <si>
    <t>129616</t>
  </si>
  <si>
    <t>113414</t>
  </si>
  <si>
    <t>324040</t>
  </si>
  <si>
    <t>189624</t>
  </si>
  <si>
    <t>134416</t>
  </si>
  <si>
    <t>0.6570999999999999</t>
  </si>
  <si>
    <t>MP</t>
  </si>
  <si>
    <t>22028000028657436</t>
  </si>
  <si>
    <t>51788000283335092</t>
  </si>
  <si>
    <t>zcrm_51788000285733246</t>
  </si>
  <si>
    <t>2025-03-13 17:46:59</t>
  </si>
  <si>
    <t>Ashok Thakur</t>
  </si>
  <si>
    <t>shivpurpublicschool@gmail.com</t>
  </si>
  <si>
    <t>+919425418222</t>
  </si>
  <si>
    <t>shivpuripublicschool@gmail.com</t>
  </si>
  <si>
    <t>Mrs. Kirti Gala</t>
  </si>
  <si>
    <t>+919981024747</t>
  </si>
  <si>
    <t>Miss Palak Shivhare</t>
  </si>
  <si>
    <t>+919399208817</t>
  </si>
  <si>
    <t>Fatehpur Road, Shivpuri, Madhya Pradesh 473551</t>
  </si>
  <si>
    <t>473551</t>
  </si>
  <si>
    <t>Fatehpur Road</t>
  </si>
  <si>
    <t>RSK International</t>
  </si>
  <si>
    <t>2025-02-26 00:00:00, 2025-03-01 00:00:00</t>
  </si>
  <si>
    <t>2000-01-01 00:00:00, 2025-07-04 00:00:00</t>
  </si>
  <si>
    <t>0, 57671</t>
  </si>
  <si>
    <t>2000-01-01 00:00:00, 2025-10-07 00:00:00</t>
  </si>
  <si>
    <t>0, 55975</t>
  </si>
  <si>
    <t>2025-02-26 00:00:00</t>
  </si>
  <si>
    <t>169621, 434056</t>
  </si>
  <si>
    <t>369184, 64872</t>
  </si>
  <si>
    <t>104749, 64872</t>
  </si>
  <si>
    <t>Thuraiyur</t>
  </si>
  <si>
    <t>22028000028317136, 22028000028371332</t>
  </si>
  <si>
    <t>51788000283480639</t>
  </si>
  <si>
    <t>zcrm_51788000285324593, zcrm_51788000285538021</t>
  </si>
  <si>
    <t>2025-02-28 17:00:08, 2025-03-17 08:05:47</t>
  </si>
  <si>
    <t>Mr karthikeyan</t>
  </si>
  <si>
    <t>RSK.CBSE@GMAIL.COM</t>
  </si>
  <si>
    <t>+919944099988</t>
  </si>
  <si>
    <t>Banumathi</t>
  </si>
  <si>
    <t>rskcbseschool@gamil.com, rskcbseschool@gmail.com</t>
  </si>
  <si>
    <t>+919500602333</t>
  </si>
  <si>
    <t>rskcbseschool@gmail.com</t>
  </si>
  <si>
    <t>620056, 621002</t>
  </si>
  <si>
    <t>2/165 Thuraiyur</t>
  </si>
  <si>
    <t>2/165 thuraiyur to uppliyapuram main road</t>
  </si>
  <si>
    <t>Paras English Medium and Kishor Excellency school</t>
  </si>
  <si>
    <t>232531</t>
  </si>
  <si>
    <t>465062</t>
  </si>
  <si>
    <t>431435</t>
  </si>
  <si>
    <t>11627</t>
  </si>
  <si>
    <t>Bardoli</t>
  </si>
  <si>
    <t>22028000028787280</t>
  </si>
  <si>
    <t>51788000284988377</t>
  </si>
  <si>
    <t>zcrm_51788000287235825</t>
  </si>
  <si>
    <t>2025-03-24 11:23:29</t>
  </si>
  <si>
    <t>Dr. Monika Patel</t>
  </si>
  <si>
    <t>paraskishorschool@gmail.com</t>
  </si>
  <si>
    <t>+919710355555</t>
  </si>
  <si>
    <t>Dr.Monika Patel</t>
  </si>
  <si>
    <t>monikachandelpatel@gmail.com</t>
  </si>
  <si>
    <t>+919726379334</t>
  </si>
  <si>
    <t>Nisha Mistry</t>
  </si>
  <si>
    <t>+918141234296</t>
  </si>
  <si>
    <t>Mahatma Gandhi Road, Ramnagar, Bardoli</t>
  </si>
  <si>
    <t>394601</t>
  </si>
  <si>
    <t>SRTJ05677A</t>
  </si>
  <si>
    <t>Mahatma Gandhi Road, Bardoli</t>
  </si>
  <si>
    <t>SOWDAMBIKA MOUNT LITERA ZEE SCHOOL</t>
  </si>
  <si>
    <t>210642</t>
  </si>
  <si>
    <t>842568</t>
  </si>
  <si>
    <t>631926</t>
  </si>
  <si>
    <t>0.6884</t>
  </si>
  <si>
    <t>TN</t>
  </si>
  <si>
    <t>22028000028315208</t>
  </si>
  <si>
    <t>51788000272632703</t>
  </si>
  <si>
    <t>zcrm_51788000274623026</t>
  </si>
  <si>
    <t>2025-02-28 17:29:09</t>
  </si>
  <si>
    <t>Academic head Mrs.Sivakami</t>
  </si>
  <si>
    <t>zeeschooltrichy@sowdambikaa.edu.in</t>
  </si>
  <si>
    <t>+917338823543</t>
  </si>
  <si>
    <t>Mrs Shivagami</t>
  </si>
  <si>
    <t>zeeschooltrichy@sowdambika.edu.in</t>
  </si>
  <si>
    <t>Mrs shivagami</t>
  </si>
  <si>
    <t>Vayalur road,MM Nagar</t>
  </si>
  <si>
    <t>MM NAGAR ,VAYALUR ROAD,TRICHY</t>
  </si>
  <si>
    <t>Retavaikal</t>
  </si>
  <si>
    <t>St Mary's (Cambridge Board)</t>
  </si>
  <si>
    <t>35889</t>
  </si>
  <si>
    <t>6251</t>
  </si>
  <si>
    <t>143556</t>
  </si>
  <si>
    <t>67521</t>
  </si>
  <si>
    <t>69784</t>
  </si>
  <si>
    <t>0.1139</t>
  </si>
  <si>
    <t>22028000028349464</t>
  </si>
  <si>
    <t>51788000285652001</t>
  </si>
  <si>
    <t>zcrm_51788000285652194</t>
  </si>
  <si>
    <t>2025-03-21 08:16:37</t>
  </si>
  <si>
    <t>yohanalphanso30@stmarysicse.com</t>
  </si>
  <si>
    <t>Nesbit Rd, Byculla Railway Colony, Tadwadi, Mazgaon, Mumbai, Maharashtra 400010</t>
  </si>
  <si>
    <t>Nesbit Rd, Byculla Railway Colony, Tadwadi, Mazgaon</t>
  </si>
  <si>
    <t>Nesbit Rd, Byculla Railway Colony, Tadwadi, Mazgaon.</t>
  </si>
  <si>
    <t>Sishya School Hosur</t>
  </si>
  <si>
    <t>1242</t>
  </si>
  <si>
    <t>1987</t>
  </si>
  <si>
    <t>2526</t>
  </si>
  <si>
    <t>301156</t>
  </si>
  <si>
    <t>1204624</t>
  </si>
  <si>
    <t>0.1721</t>
  </si>
  <si>
    <t>22028000036268868</t>
  </si>
  <si>
    <t>51788000285864005</t>
  </si>
  <si>
    <t>zcrm_51788000304374001</t>
  </si>
  <si>
    <t>2026-02-16 12:52:09</t>
  </si>
  <si>
    <t>Mahadevan</t>
  </si>
  <si>
    <t>mahadevanramalingam@gmail.com</t>
  </si>
  <si>
    <t>+919894480743</t>
  </si>
  <si>
    <t>Fathima Central Senior Secondary School</t>
  </si>
  <si>
    <t>80810</t>
  </si>
  <si>
    <t>161620</t>
  </si>
  <si>
    <t>80800</t>
  </si>
  <si>
    <t>80820</t>
  </si>
  <si>
    <t>22028000029065632</t>
  </si>
  <si>
    <t>51788000285818179</t>
  </si>
  <si>
    <t>zcrm_51788000286828323</t>
  </si>
  <si>
    <t>2025-04-23 11:16:28</t>
  </si>
  <si>
    <t>Mrs. Naaz Parwar</t>
  </si>
  <si>
    <t>contact@fathimaschool.com</t>
  </si>
  <si>
    <t>+919884074712</t>
  </si>
  <si>
    <t>Mrs. Shalika</t>
  </si>
  <si>
    <t>+919444331260</t>
  </si>
  <si>
    <t>4, Police Ln, Industrial Area, Saidapet</t>
  </si>
  <si>
    <t>600015</t>
  </si>
  <si>
    <t>4, Police Line, Industrial Area, Saidapet</t>
  </si>
  <si>
    <t>KMGIS School</t>
  </si>
  <si>
    <t>2120</t>
  </si>
  <si>
    <t>65055</t>
  </si>
  <si>
    <t>130110</t>
  </si>
  <si>
    <t>0.583</t>
  </si>
  <si>
    <t>22028000029385044</t>
  </si>
  <si>
    <t>51788000287130024</t>
  </si>
  <si>
    <t>zcrm_51788000287071285</t>
  </si>
  <si>
    <t>2025-05-28 17:40:36</t>
  </si>
  <si>
    <t>Ms. Madhvi Joshi</t>
  </si>
  <si>
    <t>madhavi.joshi@oshwaleducationtrust.org</t>
  </si>
  <si>
    <t>+916357861453</t>
  </si>
  <si>
    <t>info.kmgisicse@oshwaleducationtrust.org</t>
  </si>
  <si>
    <t>46000</t>
  </si>
  <si>
    <t>Shri B.K.Shah Education Complex,</t>
  </si>
  <si>
    <t>Gokul Nagar</t>
  </si>
  <si>
    <t>SBS Model High School</t>
  </si>
  <si>
    <t>88392</t>
  </si>
  <si>
    <t>2025-10-29 00:00:00</t>
  </si>
  <si>
    <t>353568</t>
  </si>
  <si>
    <t>347680</t>
  </si>
  <si>
    <t>5888</t>
  </si>
  <si>
    <t>Hoshiarpur</t>
  </si>
  <si>
    <t>22028000028789060</t>
  </si>
  <si>
    <t>51788000274709063</t>
  </si>
  <si>
    <t>zcrm_51788000287239673</t>
  </si>
  <si>
    <t>2025-03-27 15:45:31</t>
  </si>
  <si>
    <t>Surinder Kaur Bains</t>
  </si>
  <si>
    <t>sbsnschool@yahoo.com</t>
  </si>
  <si>
    <t>+919914402051</t>
  </si>
  <si>
    <t>Jaspreet Kaur</t>
  </si>
  <si>
    <t>+919882477113</t>
  </si>
  <si>
    <t>39700</t>
  </si>
  <si>
    <t>Nangal Road</t>
  </si>
  <si>
    <t>144527</t>
  </si>
  <si>
    <t>Sadarpur, Teh. Garhshankar</t>
  </si>
  <si>
    <t>Modi School, Gujarati Medium</t>
  </si>
  <si>
    <t>187347</t>
  </si>
  <si>
    <t>374695</t>
  </si>
  <si>
    <t>749389</t>
  </si>
  <si>
    <t>670231.15</t>
  </si>
  <si>
    <t>79158</t>
  </si>
  <si>
    <t>0.5083</t>
  </si>
  <si>
    <t>22028000030021164</t>
  </si>
  <si>
    <t>51788000287263526</t>
  </si>
  <si>
    <t>zcrm_51788000287310223</t>
  </si>
  <si>
    <t>2025-06-02 12:49:59</t>
  </si>
  <si>
    <t>Mr. Dhaval Modi</t>
  </si>
  <si>
    <t>+919909603695</t>
  </si>
  <si>
    <t>Amit Meghpara</t>
  </si>
  <si>
    <t>principal.dayschool@modischool.edu.in</t>
  </si>
  <si>
    <t>+9170690237574</t>
  </si>
  <si>
    <t>At village Ishwariya</t>
  </si>
  <si>
    <t>At Village Ishwariya, Taluka Padadhari</t>
  </si>
  <si>
    <t>Ishwariya</t>
  </si>
  <si>
    <t>St. Mary's High School</t>
  </si>
  <si>
    <t>Sumit</t>
  </si>
  <si>
    <t>21751</t>
  </si>
  <si>
    <t>33061</t>
  </si>
  <si>
    <t>32191</t>
  </si>
  <si>
    <t>87003</t>
  </si>
  <si>
    <t>83000</t>
  </si>
  <si>
    <t>4003</t>
  </si>
  <si>
    <t>0.5652</t>
  </si>
  <si>
    <t>22028000028814308</t>
  </si>
  <si>
    <t>51788000287456620</t>
  </si>
  <si>
    <t>zcrm_51788000287498412</t>
  </si>
  <si>
    <t>2025-04-03 13:31:33</t>
  </si>
  <si>
    <t>Mr. Bhomi John</t>
  </si>
  <si>
    <t>bhomi.john@gmail.com</t>
  </si>
  <si>
    <t>+918002193272</t>
  </si>
  <si>
    <t>Bhagawati Nagar Chowk</t>
  </si>
  <si>
    <t>800026</t>
  </si>
  <si>
    <t>Mahatma Gandhi Nagar Chitragupta Nagar Patna Near TV Tower Rd</t>
  </si>
  <si>
    <t>Chandigarh Baptist Senior Secondary School</t>
  </si>
  <si>
    <t>279036, 69764</t>
  </si>
  <si>
    <t>23255, 93012</t>
  </si>
  <si>
    <t>38055, 6976</t>
  </si>
  <si>
    <t>2025-03-26 00:00:00, 2025-12-03 00:00:00</t>
  </si>
  <si>
    <t>372048, 93019</t>
  </si>
  <si>
    <t>342494, 62787</t>
  </si>
  <si>
    <t>-8501, 23256</t>
  </si>
  <si>
    <t>0.44439999999999996, 0.6666</t>
  </si>
  <si>
    <t>22028000028911360, 22028000028911404</t>
  </si>
  <si>
    <t>51788000277644811</t>
  </si>
  <si>
    <t>zcrm_51788000286907929, zcrm_51788000287688490</t>
  </si>
  <si>
    <t>2025-03-26 17:25:04, 2025-03-26 17:25:22</t>
  </si>
  <si>
    <t>Mr. Arun John Masih</t>
  </si>
  <si>
    <t>arun@chdbaptist.com</t>
  </si>
  <si>
    <t>+919915130000</t>
  </si>
  <si>
    <t>Mr Arun John Masih</t>
  </si>
  <si>
    <t>Ms Jaspreet</t>
  </si>
  <si>
    <t>+919877051903</t>
  </si>
  <si>
    <t>160047</t>
  </si>
  <si>
    <t>PTLN11041C</t>
  </si>
  <si>
    <t>Sector 45D, 45D, Sector 45</t>
  </si>
  <si>
    <t>ARMY PUBLIC SCHOOL, Dhrangadhra</t>
  </si>
  <si>
    <t>148688</t>
  </si>
  <si>
    <t>297376</t>
  </si>
  <si>
    <t>146160</t>
  </si>
  <si>
    <t>151216</t>
  </si>
  <si>
    <t>MILLITARY AREA</t>
  </si>
  <si>
    <t>22028000028982408</t>
  </si>
  <si>
    <t>51788000287941115</t>
  </si>
  <si>
    <t>zcrm_51788000287900563</t>
  </si>
  <si>
    <t>2025-04-17 18:49:37</t>
  </si>
  <si>
    <t>Mrs. Asmita Anand</t>
  </si>
  <si>
    <t>apsdhangadha@gmail.com</t>
  </si>
  <si>
    <t>apsdhrangadhra@gmail.com</t>
  </si>
  <si>
    <t>+918421696484</t>
  </si>
  <si>
    <t>363310</t>
  </si>
  <si>
    <t>Millitary Area</t>
  </si>
  <si>
    <t>Holy Mary Academy</t>
  </si>
  <si>
    <t>55016</t>
  </si>
  <si>
    <t>83624</t>
  </si>
  <si>
    <t>81424</t>
  </si>
  <si>
    <t>220064</t>
  </si>
  <si>
    <t>157103</t>
  </si>
  <si>
    <t>62961</t>
  </si>
  <si>
    <t>0.5216</t>
  </si>
  <si>
    <t>Barh</t>
  </si>
  <si>
    <t>22028000028944476</t>
  </si>
  <si>
    <t>51788000288020023</t>
  </si>
  <si>
    <t>zcrm_51788000287969368</t>
  </si>
  <si>
    <t>2025-03-29 11:57:20</t>
  </si>
  <si>
    <t>Paul Joseph</t>
  </si>
  <si>
    <t>malamelpaul@gmail.com</t>
  </si>
  <si>
    <t>+918298461002</t>
  </si>
  <si>
    <t>Binay Shankar Singh</t>
  </si>
  <si>
    <t>singhbinayshanker900@gmail.com</t>
  </si>
  <si>
    <t>+919006343609</t>
  </si>
  <si>
    <t>Shubham Kumar</t>
  </si>
  <si>
    <t>shubham391613@gmail.com</t>
  </si>
  <si>
    <t>+918757765696</t>
  </si>
  <si>
    <t>Congress Maidan</t>
  </si>
  <si>
    <t>803213</t>
  </si>
  <si>
    <t>In front of Suleman Dargah</t>
  </si>
  <si>
    <t>Lotus Petal Sr. Sec. School</t>
  </si>
  <si>
    <t>62553</t>
  </si>
  <si>
    <t>625530</t>
  </si>
  <si>
    <t>562977</t>
  </si>
  <si>
    <t>0.275</t>
  </si>
  <si>
    <t>Sec 31, Tehsil Sohna, Gurgaon,</t>
  </si>
  <si>
    <t>22028000029405132</t>
  </si>
  <si>
    <t>51788000288613002</t>
  </si>
  <si>
    <t>zcrm_51788000289049204</t>
  </si>
  <si>
    <t>2025-04-22 10:01:39</t>
  </si>
  <si>
    <t>Mr. Kushal Raj Chakravorty</t>
  </si>
  <si>
    <t>kushal@lotuspetalfoundation.org</t>
  </si>
  <si>
    <t>+918053881929</t>
  </si>
  <si>
    <t>ankan.m@lotuspetalfoundation.org</t>
  </si>
  <si>
    <t>Ms. Ruchira Verma</t>
  </si>
  <si>
    <t>ruchira.v@lotuspetalfoundation.org</t>
  </si>
  <si>
    <t>+919220500157</t>
  </si>
  <si>
    <t>Ms. Ankan Radha Majumder</t>
  </si>
  <si>
    <t>Khasra No. 12/2 Dhunela Berka Road, Village Dhunela, Sec 31, Tehsil Sohna, Gurgaon, Pin - 122103</t>
  </si>
  <si>
    <t>122103</t>
  </si>
  <si>
    <t>Khasra No. 12/2,</t>
  </si>
  <si>
    <t>Khasra No. 12/2 Dhunela Berka Road, Village Dhunela,</t>
  </si>
  <si>
    <t>GG International School, Tathawade</t>
  </si>
  <si>
    <t>29695</t>
  </si>
  <si>
    <t>59390</t>
  </si>
  <si>
    <t>44390</t>
  </si>
  <si>
    <t>Pimpri Chinchwad</t>
  </si>
  <si>
    <t>22028000030068092</t>
  </si>
  <si>
    <t>51788000288556718</t>
  </si>
  <si>
    <t>zcrm_51788000289729722</t>
  </si>
  <si>
    <t>2025-06-24 15:03:24</t>
  </si>
  <si>
    <t>Mrs. Latika Thakur</t>
  </si>
  <si>
    <t>hm.tathawade@myggis.org</t>
  </si>
  <si>
    <t>+919923009442</t>
  </si>
  <si>
    <t>Newale wasti</t>
  </si>
  <si>
    <t>GGIS Tathawade</t>
  </si>
  <si>
    <t>Newale Wasti, Tathawade, Dattwadi, Pimpri-Chinchwad, Maharashtra 411033</t>
  </si>
  <si>
    <t>Goldengates global school</t>
  </si>
  <si>
    <t>52001</t>
  </si>
  <si>
    <t>208004</t>
  </si>
  <si>
    <t>88970</t>
  </si>
  <si>
    <t>119034</t>
  </si>
  <si>
    <t>22028000029573408</t>
  </si>
  <si>
    <t>51788000288942139</t>
  </si>
  <si>
    <t>zcrm_51788000288854969</t>
  </si>
  <si>
    <t>2025-05-06 14:37:44</t>
  </si>
  <si>
    <t>Mr Ravichandran</t>
  </si>
  <si>
    <t>media.gggs@gmail.com</t>
  </si>
  <si>
    <t>+919092570080</t>
  </si>
  <si>
    <t>Harish</t>
  </si>
  <si>
    <t>media.ggs@gmail.com</t>
  </si>
  <si>
    <t>+919600866443</t>
  </si>
  <si>
    <t>621704</t>
  </si>
  <si>
    <t>ARIYALUR</t>
  </si>
  <si>
    <t>TAMILNADU</t>
  </si>
  <si>
    <t>VOC STREET</t>
  </si>
  <si>
    <t>Young Ladies High School</t>
  </si>
  <si>
    <t>28052</t>
  </si>
  <si>
    <t>56103</t>
  </si>
  <si>
    <t>112207</t>
  </si>
  <si>
    <t>96005.4</t>
  </si>
  <si>
    <t>16202</t>
  </si>
  <si>
    <t>22028000030772764</t>
  </si>
  <si>
    <t>51788000288974021</t>
  </si>
  <si>
    <t>zcrm_51788000288944160</t>
  </si>
  <si>
    <t>2025-07-01 13:58:36</t>
  </si>
  <si>
    <t>Mrs. T Graceline</t>
  </si>
  <si>
    <t>principal@youngladiesschool.org</t>
  </si>
  <si>
    <t>+919869422287</t>
  </si>
  <si>
    <t>Mrs T Graceline</t>
  </si>
  <si>
    <t>Prescot Rd, Azad Maidan, Fort, Mumbai, Maharashtra 400001</t>
  </si>
  <si>
    <t>1493</t>
  </si>
  <si>
    <t>634297</t>
  </si>
  <si>
    <t>2025-10-21 00:00:00</t>
  </si>
  <si>
    <t>2537188</t>
  </si>
  <si>
    <t>2349000</t>
  </si>
  <si>
    <t>-36812</t>
  </si>
  <si>
    <t>22028000029015244</t>
  </si>
  <si>
    <t>zcrm_51788000288066001</t>
  </si>
  <si>
    <t>2025-04-03 12:22:53</t>
  </si>
  <si>
    <t>principal@bhisbhopal.edu.in</t>
  </si>
  <si>
    <t>+917697972582</t>
  </si>
  <si>
    <t>Ms. Rashmi Pillai</t>
  </si>
  <si>
    <t>rashmi2@bhisbhopal.edu.in</t>
  </si>
  <si>
    <t>+916264597491</t>
  </si>
  <si>
    <t>Bhadbhada, Neelbad, Bhopal,</t>
  </si>
  <si>
    <t>Presidency School, Banashankari</t>
  </si>
  <si>
    <t>77724</t>
  </si>
  <si>
    <t>75438</t>
  </si>
  <si>
    <t>228600</t>
  </si>
  <si>
    <t>22028000029695660</t>
  </si>
  <si>
    <t>51788000289134885</t>
  </si>
  <si>
    <t>zcrm_51788000289077354</t>
  </si>
  <si>
    <t>2025-07-10 16:35:27</t>
  </si>
  <si>
    <t>Mr. Abhishek Bagchi</t>
  </si>
  <si>
    <t>principal-bsk@presidency.edu.in</t>
  </si>
  <si>
    <t>+919830818311</t>
  </si>
  <si>
    <t>Ms. Naushin Amina</t>
  </si>
  <si>
    <t>nausheen-jpn@presidency.edu.in</t>
  </si>
  <si>
    <t>+919916313857</t>
  </si>
  <si>
    <t>80600</t>
  </si>
  <si>
    <t>#01/A, 2nd Block Layout</t>
  </si>
  <si>
    <t>560098</t>
  </si>
  <si>
    <t>#01/A, 2nd Block Layout,</t>
  </si>
  <si>
    <t>Raja Rajeshwari Nagar Post,</t>
  </si>
  <si>
    <t>St. Anthony’s School (Girls)</t>
  </si>
  <si>
    <t>76188</t>
  </si>
  <si>
    <t>22028000030769196</t>
  </si>
  <si>
    <t>51788000289259046</t>
  </si>
  <si>
    <t>zcrm_51788000289338435</t>
  </si>
  <si>
    <t>2025-06-24 12:53:32</t>
  </si>
  <si>
    <t>Mrs. Bobby Tewari</t>
  </si>
  <si>
    <t>+919832548253</t>
  </si>
  <si>
    <t>anthonyschool_ku@gmail.com</t>
  </si>
  <si>
    <t>Giddha Pahar</t>
  </si>
  <si>
    <t>Hill Cart Road</t>
  </si>
  <si>
    <t>28000</t>
  </si>
  <si>
    <t>MEGA International School</t>
  </si>
  <si>
    <t>67770</t>
  </si>
  <si>
    <t>90360</t>
  </si>
  <si>
    <t>225900</t>
  </si>
  <si>
    <t>219887</t>
  </si>
  <si>
    <t>6013</t>
  </si>
  <si>
    <t>2026-04-10 00:00:00</t>
  </si>
  <si>
    <t>22028000029984044</t>
  </si>
  <si>
    <t>51788000288982320</t>
  </si>
  <si>
    <t>zcrm_51788000288982332</t>
  </si>
  <si>
    <t>2025-05-15 14:45:33</t>
  </si>
  <si>
    <t>Dr. Ritu Chauhan</t>
  </si>
  <si>
    <t>principal@megaschool.net</t>
  </si>
  <si>
    <t>+916366905315</t>
  </si>
  <si>
    <t>info@megaschool.net</t>
  </si>
  <si>
    <t>Ms. Santosh</t>
  </si>
  <si>
    <t>santosh@megaschool.net</t>
  </si>
  <si>
    <t>+919606023920</t>
  </si>
  <si>
    <t>172000</t>
  </si>
  <si>
    <t>Sy. No 4, 131, Lakshmisagar Road, Near Chandapura Flyover, Electronic City, Bengaluru - 560081</t>
  </si>
  <si>
    <t>560081</t>
  </si>
  <si>
    <t>Electronic City, Bengaluru - 560081</t>
  </si>
  <si>
    <t>Santipur Public School</t>
  </si>
  <si>
    <t>2025-06-12 00:00:00, 2025-08-05 00:00:00</t>
  </si>
  <si>
    <t>0, 774</t>
  </si>
  <si>
    <t>2000-01-01 00:00:00, 2025-06-12 00:00:00</t>
  </si>
  <si>
    <t>0, 42400</t>
  </si>
  <si>
    <t>0, 59360</t>
  </si>
  <si>
    <t>0, 67840</t>
  </si>
  <si>
    <t>0, 169600</t>
  </si>
  <si>
    <t>0, 170050</t>
  </si>
  <si>
    <t>-450, 0</t>
  </si>
  <si>
    <t>0.5, 1</t>
  </si>
  <si>
    <t>Santipur</t>
  </si>
  <si>
    <t>2026-04-12 00:00:00</t>
  </si>
  <si>
    <t>22028000030862248, 22028000032051068</t>
  </si>
  <si>
    <t>51788000290438357</t>
  </si>
  <si>
    <t>zcrm_51788000292066413, zcrm_51788000294362267</t>
  </si>
  <si>
    <t>2025-06-13 12:32:57, 2025-08-05 15:29:02</t>
  </si>
  <si>
    <t>Mrs. Riya Banerjee</t>
  </si>
  <si>
    <t>maruf.shaikh@ei.study, santipurpublicschool@gmail.com</t>
  </si>
  <si>
    <t>+918961315117</t>
  </si>
  <si>
    <t>santipurpublicschool@gmail.com</t>
  </si>
  <si>
    <t>. Riya Banerjee, Mrs. Riya Banerjee</t>
  </si>
  <si>
    <t>Vill-Babla Dakshinpara, P.S- Santipur, Dist-Nadia</t>
  </si>
  <si>
    <t>741404</t>
  </si>
  <si>
    <t>Anubhav School</t>
  </si>
  <si>
    <t>846</t>
  </si>
  <si>
    <t>2151</t>
  </si>
  <si>
    <t>30458</t>
  </si>
  <si>
    <t>27919</t>
  </si>
  <si>
    <t>2539</t>
  </si>
  <si>
    <t>0.295</t>
  </si>
  <si>
    <t>22028000031089720</t>
  </si>
  <si>
    <t>51788000290920052</t>
  </si>
  <si>
    <t>zcrm_51788000290864872</t>
  </si>
  <si>
    <t>2025-06-28 11:13:21</t>
  </si>
  <si>
    <t>Ms. Vaishali Shah</t>
  </si>
  <si>
    <t>vaish.sh@gmail.com</t>
  </si>
  <si>
    <t>+919825411425</t>
  </si>
  <si>
    <t>info@anubhavschool.in</t>
  </si>
  <si>
    <t>Nisha Ganatra</t>
  </si>
  <si>
    <t>nganatra81@gmail.com</t>
  </si>
  <si>
    <t>+919879497965</t>
  </si>
  <si>
    <t>Moti Devati</t>
  </si>
  <si>
    <t>382110</t>
  </si>
  <si>
    <t>Kolaat Gam</t>
  </si>
  <si>
    <t>CNMS</t>
  </si>
  <si>
    <t>926886</t>
  </si>
  <si>
    <t>0.6579</t>
  </si>
  <si>
    <t>22028000031861044</t>
  </si>
  <si>
    <t>51788000290955023</t>
  </si>
  <si>
    <t>zcrm_51788000290995443</t>
  </si>
  <si>
    <t>2025-08-01 22:54:54</t>
  </si>
  <si>
    <t>Mrs. Hazra Surve</t>
  </si>
  <si>
    <t>hazra.surve@cnms.ac.in</t>
  </si>
  <si>
    <t>+919819040275</t>
  </si>
  <si>
    <t>cnmschool@gmail.com</t>
  </si>
  <si>
    <t>Hazra Surve</t>
  </si>
  <si>
    <t>Dadabhai Road, Navpada, Irla, Vile Parle West, Mumbai, Maharashtra 400056</t>
  </si>
  <si>
    <t>400056</t>
  </si>
  <si>
    <t>Sunflower Vedic School</t>
  </si>
  <si>
    <t>2025-05-27 00:00:00, 2025-10-27 00:00:00, 2025-11-07 00:00:00</t>
  </si>
  <si>
    <t>1331, 256, 588</t>
  </si>
  <si>
    <t>1691</t>
  </si>
  <si>
    <t>2025-10-31 00:00:00, 2025-11-14 00:00:00</t>
  </si>
  <si>
    <t>2000-01-01 00:00:00, 2025-05-30 00:00:00</t>
  </si>
  <si>
    <t>0, 249087</t>
  </si>
  <si>
    <t>0, 207573</t>
  </si>
  <si>
    <t>0, 166058</t>
  </si>
  <si>
    <t>0, 4949</t>
  </si>
  <si>
    <t>2025-06-10 00:00:00, 2025-11-25 00:00:00, 2026-01-28 00:00:00</t>
  </si>
  <si>
    <t>2025-11-25 00:00:00, 2026-01-28 00:00:00</t>
  </si>
  <si>
    <t>21747, 49985, 830291</t>
  </si>
  <si>
    <t>21747, 49985, 790180</t>
  </si>
  <si>
    <t>0, 35162</t>
  </si>
  <si>
    <t>0.4456, 0.48829999999999996, 0.7822</t>
  </si>
  <si>
    <t>22028000030533336, 22028000034153544, 22028000034545356</t>
  </si>
  <si>
    <t>51788000278468148</t>
  </si>
  <si>
    <t>zcrm_51788000290501317, zcrm_51788000299996120</t>
  </si>
  <si>
    <t>2025-06-11 12:59:38, 2025-11-11 16:42:10, 2025-12-29 20:35:03</t>
  </si>
  <si>
    <t>Kalpana Pasara, Mrs. Kalpana Pasara</t>
  </si>
  <si>
    <t>principal.sunflowervedic@gmail.com</t>
  </si>
  <si>
    <t>+919963381320</t>
  </si>
  <si>
    <t>Kalpana Pasara</t>
  </si>
  <si>
    <t>Surya Vikas Devar Yamjal, Kompally-Medchal Road</t>
  </si>
  <si>
    <t>500078</t>
  </si>
  <si>
    <t>Surya Vikas Devar Yamjal Kompally-Medchal Road</t>
  </si>
  <si>
    <t>Sunflower Vedic School Surya Vikas Devar Yamjal Kompally-Medchal Road</t>
  </si>
  <si>
    <t>Kothakota Pupils High School Shadnagar</t>
  </si>
  <si>
    <t>2025-11-07 00:00:00</t>
  </si>
  <si>
    <t>54764</t>
  </si>
  <si>
    <t>-45236</t>
  </si>
  <si>
    <t>0.622</t>
  </si>
  <si>
    <t>0.522</t>
  </si>
  <si>
    <t>Kothakota</t>
  </si>
  <si>
    <t>22028000031090504</t>
  </si>
  <si>
    <t>51788000291579058</t>
  </si>
  <si>
    <t>zcrm_51788000292170475</t>
  </si>
  <si>
    <t>2025-06-25 17:04:08</t>
  </si>
  <si>
    <t>Mr. Chandrahas Reddy</t>
  </si>
  <si>
    <t>chandureddy@kkps.edu.in</t>
  </si>
  <si>
    <t>+919908155333</t>
  </si>
  <si>
    <t>Chandrahas Reddy</t>
  </si>
  <si>
    <t>H.No: 23 - 62/1 Kothakota</t>
  </si>
  <si>
    <t>509381</t>
  </si>
  <si>
    <t>Swami Janaki Das Vidyapith</t>
  </si>
  <si>
    <t>2025-06-13 00:00:00, 2025-10-24 00:00:00</t>
  </si>
  <si>
    <t>0, 637</t>
  </si>
  <si>
    <t>2025-10-24 00:00:00</t>
  </si>
  <si>
    <t>2000-01-01 00:00:00, 2025-06-13 00:00:00</t>
  </si>
  <si>
    <t>0, 23728</t>
  </si>
  <si>
    <t>2000-01-01 00:00:00, 2025-10-30 00:00:00</t>
  </si>
  <si>
    <t>2000-01-01 00:00:00, 2025-12-30 00:00:00</t>
  </si>
  <si>
    <t>0, 94912</t>
  </si>
  <si>
    <t>0, 40000</t>
  </si>
  <si>
    <t>0, 54912</t>
  </si>
  <si>
    <t>0.818, 1</t>
  </si>
  <si>
    <t>22028000030861792, 22028000034144148</t>
  </si>
  <si>
    <t>51788000291762156</t>
  </si>
  <si>
    <t>zcrm_51788000292077826, zcrm_51788000298845168</t>
  </si>
  <si>
    <t>2025-06-16 11:43:02, 2025-10-28 10:30:43</t>
  </si>
  <si>
    <t>Mr. Amal Biswas</t>
  </si>
  <si>
    <t>maruf.shaikh@ei.study, swamijanakidas@gmail.com</t>
  </si>
  <si>
    <t>+919735166696</t>
  </si>
  <si>
    <t>info@swamijanakidasvidyapith.com</t>
  </si>
  <si>
    <t>Vill- Natungram,P.O.- Patuli Dist.- Purba Bardhaman P.S- Purbasthali,Pin-713512,W.B</t>
  </si>
  <si>
    <t>713512</t>
  </si>
  <si>
    <t>Vill- Natungram,P.O.- PatuliDist.- Purba BardhamanP.S- Purbasthali,Pin-713512,W.B</t>
  </si>
  <si>
    <t>Shemford Futuristic School, Dhatrigram</t>
  </si>
  <si>
    <t>1108</t>
  </si>
  <si>
    <t>53134</t>
  </si>
  <si>
    <t>51571</t>
  </si>
  <si>
    <t>156276</t>
  </si>
  <si>
    <t>0.5895</t>
  </si>
  <si>
    <t>Kalna</t>
  </si>
  <si>
    <t>22028000030960620</t>
  </si>
  <si>
    <t>51788000292196114</t>
  </si>
  <si>
    <t>zcrm_51788000292134652</t>
  </si>
  <si>
    <t>2025-06-20 14:29:51</t>
  </si>
  <si>
    <t>Mr. Ujjal Saha</t>
  </si>
  <si>
    <t>ujjal.saha925@gmail.com</t>
  </si>
  <si>
    <t>+919475585698</t>
  </si>
  <si>
    <t>dhatrigram@shemford.com</t>
  </si>
  <si>
    <t>VILL- SARGORIA, PO-ATGHORIA,PS-KALNA, DIST-PURBA BARDHAMAN, PIN-713405</t>
  </si>
  <si>
    <t>713405</t>
  </si>
  <si>
    <t>VILL- SARGORIA, PO-ATGHORIA,PS-KALNA, DIST-PURBA BARDHAMAN, PIN-71340</t>
  </si>
  <si>
    <t>St. Mary's Convent School, Mariam Nagar</t>
  </si>
  <si>
    <t>170104</t>
  </si>
  <si>
    <t>6804</t>
  </si>
  <si>
    <t>340208</t>
  </si>
  <si>
    <t>333403</t>
  </si>
  <si>
    <t>0.5909</t>
  </si>
  <si>
    <t>22028000031358108</t>
  </si>
  <si>
    <t>51788000292180583</t>
  </si>
  <si>
    <t>zcrm_51788000292134951</t>
  </si>
  <si>
    <t>2025-07-07 19:05:10</t>
  </si>
  <si>
    <t>Ms. Sr Leena Kaitharath</t>
  </si>
  <si>
    <t>stmaryconventschool8@gmail.com</t>
  </si>
  <si>
    <t>+917500470604</t>
  </si>
  <si>
    <t>leenakaitharath@gmail.com</t>
  </si>
  <si>
    <t>Ms Seema D'souza</t>
  </si>
  <si>
    <t>stmarysexaminationsschool@gmail.com</t>
  </si>
  <si>
    <t>+919818572640</t>
  </si>
  <si>
    <t>Marium Nagar, Sewa Nagar, Ghaziabad, Uttar Pradesh</t>
  </si>
  <si>
    <t>201003</t>
  </si>
  <si>
    <t>MRTC00866F</t>
  </si>
  <si>
    <t>Marium Nagar, Sewa Nagar, Ghaziabad, Opposite Christ University</t>
  </si>
  <si>
    <t>Kothakota Pupils High School</t>
  </si>
  <si>
    <t>Mandal Wanaparthy District</t>
  </si>
  <si>
    <t>22028000031090460</t>
  </si>
  <si>
    <t>51788000292234164</t>
  </si>
  <si>
    <t>zcrm_51788000292333324</t>
  </si>
  <si>
    <t>2025-06-25 17:04:29</t>
  </si>
  <si>
    <t>293999</t>
  </si>
  <si>
    <t>193999</t>
  </si>
  <si>
    <t>22028000031090412</t>
  </si>
  <si>
    <t>51788000292234225</t>
  </si>
  <si>
    <t>zcrm_51788000292322433</t>
  </si>
  <si>
    <t>2025-06-25 17:04:51</t>
  </si>
  <si>
    <t>+9199081155333</t>
  </si>
  <si>
    <t>S N Kansagra School - Full Day</t>
  </si>
  <si>
    <t>2025-06-30 00:00:00, 2025-07-15 00:00:00, 2026-01-18 00:00:00</t>
  </si>
  <si>
    <t>342, 860</t>
  </si>
  <si>
    <t>1396</t>
  </si>
  <si>
    <t>2171</t>
  </si>
  <si>
    <t>174568, 263751, 750669, 9243</t>
  </si>
  <si>
    <t>0, 200000, 667376</t>
  </si>
  <si>
    <t>174568, 63751, 83293, 9243</t>
  </si>
  <si>
    <t>0.4081, 0.46259999999999996, 0.5474, 0.5647</t>
  </si>
  <si>
    <t>22028000031218680, 22028000031218728, 22028000031604196, 22028000036478008</t>
  </si>
  <si>
    <t>51788000292492001</t>
  </si>
  <si>
    <t>zcrm_51788000292419452, zcrm_51788000292623414, zcrm_51788000292672050</t>
  </si>
  <si>
    <t>2025-06-30 15:20:51, 2025-06-30 19:35:26, 2025-07-16 10:26:17, 2026-01-23 10:36:23</t>
  </si>
  <si>
    <t>University Road,</t>
  </si>
  <si>
    <t>University Road, Opposite Akashwani Quarter, Panchayat Nagar,</t>
  </si>
  <si>
    <t>Fun Learn Day Boarding School</t>
  </si>
  <si>
    <t>Lopamudra Das, Chaitanya</t>
  </si>
  <si>
    <t>2025-08-06 00:00:00, 2025-08-26 00:00:00, 2025-11-28 00:00:00</t>
  </si>
  <si>
    <t>0, 411, 414</t>
  </si>
  <si>
    <t>359, 368</t>
  </si>
  <si>
    <t>1046, 1054</t>
  </si>
  <si>
    <t>2025-08-08 00:00:00, 2025-08-29 00:00:00, 2025-12-01 00:00:00</t>
  </si>
  <si>
    <t>0, 28877, 32019</t>
  </si>
  <si>
    <t>0.8273, 0.8286, 1</t>
  </si>
  <si>
    <t>2025-04-09 00:00:00, 2025-08-04 00:00:00</t>
  </si>
  <si>
    <t>2026-03-31 00:00:00, 2026-08-03 00:00:00</t>
  </si>
  <si>
    <t>22028000032105128, 22028000032531312, 22028000035181172</t>
  </si>
  <si>
    <t>51788000293572641</t>
  </si>
  <si>
    <t>zcrm_51788000294391001, zcrm_51788000301305007</t>
  </si>
  <si>
    <t>2025-08-08 14:53:41, 2025-09-01 14:39:58, 2025-11-28 16:04:13</t>
  </si>
  <si>
    <t>Ms. Udita Chakraborty</t>
  </si>
  <si>
    <t>maruf.shaikh@ei.study, uditac@gmail.com</t>
  </si>
  <si>
    <t>+919830041828</t>
  </si>
  <si>
    <t>funlearndayboardingschool@gmail.com</t>
  </si>
  <si>
    <t>uditac@gmail.com</t>
  </si>
  <si>
    <t>700024</t>
  </si>
  <si>
    <t>N77/1, Paharpur Road</t>
  </si>
  <si>
    <t>Army Public School, Jaisalmer</t>
  </si>
  <si>
    <t>43190</t>
  </si>
  <si>
    <t>172760</t>
  </si>
  <si>
    <t>Jaisalmer</t>
  </si>
  <si>
    <t>22028000032201128</t>
  </si>
  <si>
    <t>51788000293823510</t>
  </si>
  <si>
    <t>zcrm_51788000294331883</t>
  </si>
  <si>
    <t>2025-08-12 10:11:45</t>
  </si>
  <si>
    <t>Mr. Himanshu Seth</t>
  </si>
  <si>
    <t>+919461314296</t>
  </si>
  <si>
    <t>principalapsjsm@gmail.com</t>
  </si>
  <si>
    <t>apsjaisalmer@awes.edu.in</t>
  </si>
  <si>
    <t>3100</t>
  </si>
  <si>
    <t>HQ 12 Rapid</t>
  </si>
  <si>
    <t>908412</t>
  </si>
  <si>
    <t>Fun Learn Day Boarding School ( Edu Girls)</t>
  </si>
  <si>
    <t>2025-08-06 00:00:00, 2025-09-26 00:00:00</t>
  </si>
  <si>
    <t>2025-08-07 00:00:00, 2025-09-26 00:00:00</t>
  </si>
  <si>
    <t>22028000032105232, 22028000033446056</t>
  </si>
  <si>
    <t>51788000294391177</t>
  </si>
  <si>
    <t>zcrm_51788000294391231, zcrm_51788000297582162</t>
  </si>
  <si>
    <t>2025-08-18 14:58:11, 2025-09-27 11:45:20</t>
  </si>
  <si>
    <t>Maruf Shaikh, Udita Chakraborty</t>
  </si>
  <si>
    <t>+918160731829, +919830041828</t>
  </si>
  <si>
    <t>Harvest Spring Leaf School</t>
  </si>
  <si>
    <t>1638</t>
  </si>
  <si>
    <t>122850</t>
  </si>
  <si>
    <t>22028000033330384</t>
  </si>
  <si>
    <t>51788000295381007</t>
  </si>
  <si>
    <t>zcrm_51788000295487044</t>
  </si>
  <si>
    <t>2025-09-27 16:25:48</t>
  </si>
  <si>
    <t>Nagaraju</t>
  </si>
  <si>
    <t>7-300, Near Rajiv Gruhakalpa</t>
  </si>
  <si>
    <t>507003</t>
  </si>
  <si>
    <t>7-300, Near Rajiv Gruhakalpa, Near Rajiv Gruhakalpa</t>
  </si>
  <si>
    <t>SVKM School, Dhule</t>
  </si>
  <si>
    <t>381631</t>
  </si>
  <si>
    <t>373998</t>
  </si>
  <si>
    <t>7633</t>
  </si>
  <si>
    <t>Dhule</t>
  </si>
  <si>
    <t>22028000032754180</t>
  </si>
  <si>
    <t>51788000295813056</t>
  </si>
  <si>
    <t>zcrm_51788000295755212</t>
  </si>
  <si>
    <t>2025-09-23 18:23:58</t>
  </si>
  <si>
    <t>Ms. Sunanda Menon</t>
  </si>
  <si>
    <t>Sunanda.menon@svkm.ac.in</t>
  </si>
  <si>
    <t>+919587611868</t>
  </si>
  <si>
    <t>sunanda.menon@svkm.ac.in</t>
  </si>
  <si>
    <t>Mumbai - Agra Hwy, beside Gurudwara, Samta Nagar, Dhule, Maharashtra 424001</t>
  </si>
  <si>
    <t>424001</t>
  </si>
  <si>
    <t>NSKS20929G</t>
  </si>
  <si>
    <t>SVKM SCHOOL, DHULE,Beside Gurudwara, Mumbai – Agra Road,Dhule, Tal. Dist.Dhule, Pin Code : 424001</t>
  </si>
  <si>
    <t>Kittu Rani Chennamma Residential School(U)(Sc),Telagarahalli</t>
  </si>
  <si>
    <t>22028000036109084</t>
  </si>
  <si>
    <t>51788000295992506</t>
  </si>
  <si>
    <t>zcrm_51788000298154355</t>
  </si>
  <si>
    <t>2025-12-30 10:20:36</t>
  </si>
  <si>
    <t>Ramanna M D</t>
  </si>
  <si>
    <t>kreiskrcrs387@gmail.com</t>
  </si>
  <si>
    <t>+919113230925</t>
  </si>
  <si>
    <t>TELAGARAHALLI taluk,ANEKAL</t>
  </si>
  <si>
    <t>TELAGARAHALLI taluk,ANEKAL BENGALURU URBAN</t>
  </si>
  <si>
    <t>Kittu Rani Chennamma Residential School(Sc),Channaraypatna</t>
  </si>
  <si>
    <t>22028000033771196</t>
  </si>
  <si>
    <t>51788000295992560</t>
  </si>
  <si>
    <t>zcrm_51788000298279001</t>
  </si>
  <si>
    <t>2025-11-05 10:52:50</t>
  </si>
  <si>
    <t>CHANNARAYPATNA taluk,DEVANAHALLI,</t>
  </si>
  <si>
    <t>562129</t>
  </si>
  <si>
    <t>CHANNARAYPATNA taluk,DEVANAHALLI, BENGALURU RURAL</t>
  </si>
  <si>
    <t>Kittu Rani Chennamma Residential School(Sc),Thyamagundalu</t>
  </si>
  <si>
    <t>22028000033771288</t>
  </si>
  <si>
    <t>51788000295992614</t>
  </si>
  <si>
    <t>zcrm_51788000298279162</t>
  </si>
  <si>
    <t>2025-11-05 10:52:29</t>
  </si>
  <si>
    <t>THYAMAGUNDALU taluk,NELAMANGALA,</t>
  </si>
  <si>
    <t>562132</t>
  </si>
  <si>
    <t>THYAMAGUNDALU taluk,NELAMANGALA, BENGALURU RURAL</t>
  </si>
  <si>
    <t>Dr.B.R.Ambedkar Girl'S Residential School(Sc),Madhure</t>
  </si>
  <si>
    <t>22028000036109048</t>
  </si>
  <si>
    <t>51788000295992449</t>
  </si>
  <si>
    <t>zcrm_51788000298154194</t>
  </si>
  <si>
    <t>2025-12-30 10:20:45</t>
  </si>
  <si>
    <t>MANJULA EDIGARA</t>
  </si>
  <si>
    <t>kreisdbrars710@gmail.com</t>
  </si>
  <si>
    <t>+919980032046</t>
  </si>
  <si>
    <t>MADHURE,DODDABALLAPURA taluk</t>
  </si>
  <si>
    <t>561204</t>
  </si>
  <si>
    <t>MADHURE,DODDABALLAPURA taluk BENGALURU RURAL</t>
  </si>
  <si>
    <t>13680</t>
  </si>
  <si>
    <t>684000</t>
  </si>
  <si>
    <t>670320</t>
  </si>
  <si>
    <t>22028000031198488</t>
  </si>
  <si>
    <t>zcrm_51788000292534001</t>
  </si>
  <si>
    <t>2025-07-04 17:40:20</t>
  </si>
  <si>
    <t>Ms. Shalini Nambiar</t>
  </si>
  <si>
    <t>directorprincipal_sajsvg@jaipuria.edu.in</t>
  </si>
  <si>
    <t>+919891491645</t>
  </si>
  <si>
    <t>Sector 14C</t>
  </si>
  <si>
    <t>784503</t>
  </si>
  <si>
    <t>392252</t>
  </si>
  <si>
    <t>69016</t>
  </si>
  <si>
    <t>1961258</t>
  </si>
  <si>
    <t>1432969</t>
  </si>
  <si>
    <t>459273</t>
  </si>
  <si>
    <t>0.705</t>
  </si>
  <si>
    <t>0.605</t>
  </si>
  <si>
    <t>22028000028644080</t>
  </si>
  <si>
    <t>zcrm_51788000278085458</t>
  </si>
  <si>
    <t>2025-03-12 16:18:08</t>
  </si>
  <si>
    <t>Mr. Gaurav Bedi</t>
  </si>
  <si>
    <t>+919650194474</t>
  </si>
  <si>
    <t>Mr Gaurav Bedi</t>
  </si>
  <si>
    <t>Ms Maninder Kaur</t>
  </si>
  <si>
    <t>maninder@gurukultheschool.com</t>
  </si>
  <si>
    <t>+919910955850</t>
  </si>
  <si>
    <t>Nh-24, Hapur Bye Pass Road, Near Dasna Crossing,</t>
  </si>
  <si>
    <t>The Vega School</t>
  </si>
  <si>
    <t>22028000034128032</t>
  </si>
  <si>
    <t>51788000297250001</t>
  </si>
  <si>
    <t>zcrm_51788000298019323</t>
  </si>
  <si>
    <t>2025-12-01 17:15:47</t>
  </si>
  <si>
    <t>Near Toll Plaza, NH-8, Kherki Daula</t>
  </si>
  <si>
    <t>Edu Girls KREIS</t>
  </si>
  <si>
    <t>433</t>
  </si>
  <si>
    <t>722</t>
  </si>
  <si>
    <t>490699</t>
  </si>
  <si>
    <t>476267</t>
  </si>
  <si>
    <t>1443233</t>
  </si>
  <si>
    <t>0.8195999999999999</t>
  </si>
  <si>
    <t>22028000033726376</t>
  </si>
  <si>
    <t>51788000298120001</t>
  </si>
  <si>
    <t>zcrm_51788000298154033</t>
  </si>
  <si>
    <t>2025-11-05 10:53:51</t>
  </si>
  <si>
    <t>info@edugirls.org</t>
  </si>
  <si>
    <t>Vision Coaching Classes, Baner</t>
  </si>
  <si>
    <t>2025-11-05 00:00:00</t>
  </si>
  <si>
    <t>22028000034504148</t>
  </si>
  <si>
    <t>51788000299088001</t>
  </si>
  <si>
    <t>zcrm_51788000299699526</t>
  </si>
  <si>
    <t>2025-11-06 17:54:51</t>
  </si>
  <si>
    <t>Rajesh Wakchoure</t>
  </si>
  <si>
    <t>rwakchaure40@gmail.com</t>
  </si>
  <si>
    <t>+918788987928</t>
  </si>
  <si>
    <t>visioncoachingbaner@gmail.com</t>
  </si>
  <si>
    <t>rwakchoure40@gmail.com</t>
  </si>
  <si>
    <t>40300</t>
  </si>
  <si>
    <t>Ajinkya Park, Avanika Building, Ajinkya Park, Pan Card Club Road, Near Sterling Towers, Pune, Maharashtra 411069</t>
  </si>
  <si>
    <t>411069</t>
  </si>
  <si>
    <t>Ajinkya Park, Avanika building, Ajinkya park, Pan Card Club Rd, near STERLING TOWERS, Pune, Maharashtra 411069</t>
  </si>
  <si>
    <t>PAN Card Club Road, Baner</t>
  </si>
  <si>
    <t>St. Agnes Loreto Day School</t>
  </si>
  <si>
    <t>487822</t>
  </si>
  <si>
    <t>477456</t>
  </si>
  <si>
    <t>10366</t>
  </si>
  <si>
    <t>0.6133</t>
  </si>
  <si>
    <t>ISC</t>
  </si>
  <si>
    <t>22028000035064124</t>
  </si>
  <si>
    <t>51788000299454136</t>
  </si>
  <si>
    <t>zcrm_51788000299454150</t>
  </si>
  <si>
    <t>2025-11-26 09:37:00</t>
  </si>
  <si>
    <t>Ms. Debra Bunny</t>
  </si>
  <si>
    <t>+918400085245</t>
  </si>
  <si>
    <t>loretoagnes@gmail.com</t>
  </si>
  <si>
    <t>St Agnes Loreto Day School</t>
  </si>
  <si>
    <t>33, Station Road</t>
  </si>
  <si>
    <t>Elpro International School, Hinjewadi</t>
  </si>
  <si>
    <t>3894</t>
  </si>
  <si>
    <t>194721</t>
  </si>
  <si>
    <t>190827</t>
  </si>
  <si>
    <t>22028000034603708</t>
  </si>
  <si>
    <t>51788000300010001</t>
  </si>
  <si>
    <t>zcrm_51788000300030643</t>
  </si>
  <si>
    <t>2025-11-18 17:50:06</t>
  </si>
  <si>
    <t>principal.hinjewadi@elproschools.edu.in</t>
  </si>
  <si>
    <t>+919850885102</t>
  </si>
  <si>
    <t>Mrinal Waikar</t>
  </si>
  <si>
    <t>mrinal.waikar@elproschools.edu.in</t>
  </si>
  <si>
    <t>Elpro International School, Rajiv Gandhi Infotech Park</t>
  </si>
  <si>
    <t>411057</t>
  </si>
  <si>
    <t>Chinchwadgaon</t>
  </si>
  <si>
    <t>Phase 1, Hinjewadi</t>
  </si>
  <si>
    <t>Innovative International Day School</t>
  </si>
  <si>
    <t>69518</t>
  </si>
  <si>
    <t>139036</t>
  </si>
  <si>
    <t>93250</t>
  </si>
  <si>
    <t>45786</t>
  </si>
  <si>
    <t>0.8332999999999999</t>
  </si>
  <si>
    <t>22028000035040092</t>
  </si>
  <si>
    <t>51788000300063020</t>
  </si>
  <si>
    <t>zcrm_51788000299994557</t>
  </si>
  <si>
    <t>2025-11-28 18:43:23</t>
  </si>
  <si>
    <t>Mrs. Niren Jani</t>
  </si>
  <si>
    <t>nkjani9392@gmail.com</t>
  </si>
  <si>
    <t>+919879748585</t>
  </si>
  <si>
    <t>connect@innovativeinternationalschool.com</t>
  </si>
  <si>
    <t>Sakina Lakdawala</t>
  </si>
  <si>
    <t>+919333307307</t>
  </si>
  <si>
    <t>At. Ishwariya</t>
  </si>
  <si>
    <t>At Ishwariya</t>
  </si>
  <si>
    <t>Near Hill View Road, Kalawad Road</t>
  </si>
  <si>
    <t>PEP School V2</t>
  </si>
  <si>
    <t>2025-11-27 00:00:00, 2025-12-26 00:00:00</t>
  </si>
  <si>
    <t>0, 81000</t>
  </si>
  <si>
    <t>0, 79380</t>
  </si>
  <si>
    <t>0, 1620</t>
  </si>
  <si>
    <t>Montessori</t>
  </si>
  <si>
    <t>22028000035129376, 22028000036044020</t>
  </si>
  <si>
    <t>51788000301224422</t>
  </si>
  <si>
    <t>zcrm_51788000301204091</t>
  </si>
  <si>
    <t>2025-12-01 11:12:32, 2025-12-26 17:44:29</t>
  </si>
  <si>
    <t>Mr. Rahul, Mr. Rahul Raghavan</t>
  </si>
  <si>
    <t>maruf.shaikh@ei.study, rahul@pepschoolv2.com</t>
  </si>
  <si>
    <t>+91919500027466, +919500027466</t>
  </si>
  <si>
    <t>rahul@pepschoolv2.com</t>
  </si>
  <si>
    <t>+919500027466</t>
  </si>
  <si>
    <t>LNR Avenue, Opposite KLM Mall, 27th Main Road, HSR Layout Sector II, Bangalore</t>
  </si>
  <si>
    <t>HSR Layout Sector II, Bangalore</t>
  </si>
  <si>
    <t>Manas International School</t>
  </si>
  <si>
    <t>33901</t>
  </si>
  <si>
    <t>28901</t>
  </si>
  <si>
    <t>22028000035817220</t>
  </si>
  <si>
    <t>51788000302484973</t>
  </si>
  <si>
    <t>zcrm_51788000302512963</t>
  </si>
  <si>
    <t>2025-12-19 15:57:43</t>
  </si>
  <si>
    <t>Mr. Rakesh Kumar</t>
  </si>
  <si>
    <t>+917782927179</t>
  </si>
  <si>
    <t>seema Sinha</t>
  </si>
  <si>
    <t>Babudih Opp Om Residency, Jharudih</t>
  </si>
  <si>
    <t>828130</t>
  </si>
  <si>
    <t>Babudih</t>
  </si>
  <si>
    <t>Vikaasa Jubilee School</t>
  </si>
  <si>
    <t>22028000036042376</t>
  </si>
  <si>
    <t>51788000303480157</t>
  </si>
  <si>
    <t>zcrm_51788000303480264</t>
  </si>
  <si>
    <t>2025-12-26 15:01:33</t>
  </si>
  <si>
    <t>20/27, 7th St, Lourdhu Nagar, K.Pudur</t>
  </si>
  <si>
    <t>Vikaasa Progressive school</t>
  </si>
  <si>
    <t>22028000036042412</t>
  </si>
  <si>
    <t>51788000303480106</t>
  </si>
  <si>
    <t>zcrm_51788000303480417</t>
  </si>
  <si>
    <t>2025-12-26 15:01:09</t>
  </si>
  <si>
    <t>Kodimangalam</t>
  </si>
  <si>
    <t>Vikaasa Heritage School</t>
  </si>
  <si>
    <t>22028000036042444</t>
  </si>
  <si>
    <t>51788000303480055</t>
  </si>
  <si>
    <t>zcrm_51788000303480570</t>
  </si>
  <si>
    <t>2025-12-26 15:00:55</t>
  </si>
  <si>
    <t>Kochi-Madurai-Tondi Point Rd, Ponnagaram, Arappalayam</t>
  </si>
  <si>
    <t>Vikaasa Public school</t>
  </si>
  <si>
    <t>22028000036042480</t>
  </si>
  <si>
    <t>51788000303480001</t>
  </si>
  <si>
    <t>zcrm_51788000303480723</t>
  </si>
  <si>
    <t>2025-12-26 15:00:40</t>
  </si>
  <si>
    <t>Mellur, K.K. Nagar,</t>
  </si>
  <si>
    <t>Fravashi International Academy</t>
  </si>
  <si>
    <t>73728</t>
  </si>
  <si>
    <t>147455</t>
  </si>
  <si>
    <t>29470</t>
  </si>
  <si>
    <t>294911</t>
  </si>
  <si>
    <t>265230</t>
  </si>
  <si>
    <t>211</t>
  </si>
  <si>
    <t>22028000027984704</t>
  </si>
  <si>
    <t>51788000002738086</t>
  </si>
  <si>
    <t>zcrm_51788000282973009</t>
  </si>
  <si>
    <t>2025-02-18 15:35:52</t>
  </si>
  <si>
    <t>Mrs. Jasveen Kaur</t>
  </si>
  <si>
    <t>jasveen.kaur@fia.edu.in</t>
  </si>
  <si>
    <t>+919673999836</t>
  </si>
  <si>
    <t>enquiry@fia.edu.in</t>
  </si>
  <si>
    <t>Dr. Manju Surendran</t>
  </si>
  <si>
    <t>Jasveen Kaur</t>
  </si>
  <si>
    <t>Gangapur - Dugaon Road, Dugaon, Village, Nashik, Maharashtra 422203</t>
  </si>
  <si>
    <t>422003</t>
  </si>
  <si>
    <t>NSKR00418F</t>
  </si>
  <si>
    <t>Adjacent To Gangapur Dam Rest House, Gangapur-Dugaon Road, Dugoan Village,</t>
  </si>
  <si>
    <t>Ei ASSET,Ei CARES,Ei Mindspark, Ei ASSET,Ei Mindspark</t>
  </si>
  <si>
    <t>533, 889</t>
  </si>
  <si>
    <t>1403</t>
  </si>
  <si>
    <t>1712, 1849</t>
  </si>
  <si>
    <t>255732, 348463</t>
  </si>
  <si>
    <t>127297.12, 75691.02</t>
  </si>
  <si>
    <t>1022928, 1393852</t>
  </si>
  <si>
    <t>1264120, 947259</t>
  </si>
  <si>
    <t>-22, 2435</t>
  </si>
  <si>
    <t>0.39409999999999995, 0.7193999999999999</t>
  </si>
  <si>
    <t>22028000031018256, 22028000031036232</t>
  </si>
  <si>
    <t>zcrm_51788000292137218, zcrm_51788000292285001</t>
  </si>
  <si>
    <t>2025-06-19 11:39:17, 2025-06-19 11:40:49</t>
  </si>
  <si>
    <t>174285</t>
  </si>
  <si>
    <t>6971.34</t>
  </si>
  <si>
    <t>348570</t>
  </si>
  <si>
    <t>341596</t>
  </si>
  <si>
    <t>22028000028530392</t>
  </si>
  <si>
    <t>zcrm_51788000285489071</t>
  </si>
  <si>
    <t>2025-03-27 11:15:27</t>
  </si>
  <si>
    <t>Delhi Public School, Lava</t>
  </si>
  <si>
    <t>247273, 324975</t>
  </si>
  <si>
    <t>30062, 6384</t>
  </si>
  <si>
    <t>2025-06-20 00:00:00, 2025-06-25 00:00:00</t>
  </si>
  <si>
    <t>2025-09-20 00:00:00, 2025-11-14 00:00:00</t>
  </si>
  <si>
    <t>1299900, 989092</t>
  </si>
  <si>
    <t>615623, 710184</t>
  </si>
  <si>
    <t>248846, 677893</t>
  </si>
  <si>
    <t>0.125, 0.4167</t>
  </si>
  <si>
    <t>22028000030850344, 22028000030850396</t>
  </si>
  <si>
    <t>zcrm_51788000292017003, zcrm_51788000292017186</t>
  </si>
  <si>
    <t>2025-06-13 10:57:02, 2025-06-13 10:57:22</t>
  </si>
  <si>
    <t>Megha Gupta</t>
  </si>
  <si>
    <t>megha.gupta@vidyavalley.com</t>
  </si>
  <si>
    <t>+919881401189</t>
  </si>
  <si>
    <t>Vidya Valley School Road Sus Village, 21, Vidya Valley School Rd,</t>
  </si>
  <si>
    <t>815087</t>
  </si>
  <si>
    <t>163019</t>
  </si>
  <si>
    <t>1630174</t>
  </si>
  <si>
    <t>1467165.77</t>
  </si>
  <si>
    <t>-11</t>
  </si>
  <si>
    <t>22028000030944692</t>
  </si>
  <si>
    <t>zcrm_51788000292159001</t>
  </si>
  <si>
    <t>2025-07-19 12:47:19</t>
  </si>
  <si>
    <t>Mrs. Seetha Murty</t>
  </si>
  <si>
    <t>Saupin^s School</t>
  </si>
  <si>
    <t>2025-01-19 00:00:00</t>
  </si>
  <si>
    <t>1295</t>
  </si>
  <si>
    <t>337240</t>
  </si>
  <si>
    <t>786894</t>
  </si>
  <si>
    <t>112413.47</t>
  </si>
  <si>
    <t>1124134</t>
  </si>
  <si>
    <t>1011714</t>
  </si>
  <si>
    <t>0.47490000000000004</t>
  </si>
  <si>
    <t>22028000027429672</t>
  </si>
  <si>
    <t>zcrm_51788000281853001</t>
  </si>
  <si>
    <t>2025-02-08 10:40:26</t>
  </si>
  <si>
    <t>Neena Tiwari</t>
  </si>
  <si>
    <t>tiwarineena@gmail.com</t>
  </si>
  <si>
    <t>+919815986323</t>
  </si>
  <si>
    <t>Ms. Sudesh Chaudhary</t>
  </si>
  <si>
    <t>Plot No. 14</t>
  </si>
  <si>
    <t>254884</t>
  </si>
  <si>
    <t>50976</t>
  </si>
  <si>
    <t>509768</t>
  </si>
  <si>
    <t>458792</t>
  </si>
  <si>
    <t>22028000031113656</t>
  </si>
  <si>
    <t>zcrm_51788000292143138</t>
  </si>
  <si>
    <t>2025-07-17 12:32:06</t>
  </si>
  <si>
    <t>Anjali Kulkarni</t>
  </si>
  <si>
    <t>anjali.kulkarni@kaveri.edu.in</t>
  </si>
  <si>
    <t>+919766375161</t>
  </si>
  <si>
    <t>Smita Vanarse</t>
  </si>
  <si>
    <t>smita.vanarse@kaveri.edu.in</t>
  </si>
  <si>
    <t>+919890582044</t>
  </si>
  <si>
    <t>S. No. 36, Plot no. 3, Ganesh Nagar Rd</t>
  </si>
  <si>
    <t>233117</t>
  </si>
  <si>
    <t>23311.66</t>
  </si>
  <si>
    <t>932468</t>
  </si>
  <si>
    <t>624651</t>
  </si>
  <si>
    <t>284505</t>
  </si>
  <si>
    <t>22028000028758440</t>
  </si>
  <si>
    <t>zcrm_51788000287166001</t>
  </si>
  <si>
    <t>2025-03-18 17:11:28</t>
  </si>
  <si>
    <t>puja_seth@vivekanandpnj.com</t>
  </si>
  <si>
    <t>HMT Township</t>
  </si>
  <si>
    <t>St. vivekanand millennium School</t>
  </si>
  <si>
    <t>Dikshant International School</t>
  </si>
  <si>
    <t>179100</t>
  </si>
  <si>
    <t>358200</t>
  </si>
  <si>
    <t>443340</t>
  </si>
  <si>
    <t>-94140</t>
  </si>
  <si>
    <t>22028000030609188</t>
  </si>
  <si>
    <t>51788000002738506</t>
  </si>
  <si>
    <t>zcrm_51788000291389217</t>
  </si>
  <si>
    <t>2025-06-10 17:12:52</t>
  </si>
  <si>
    <t>NH-22, Zirakpur-Panchkula Kalka Highway, Opp. Hotel Marc Royale,</t>
  </si>
  <si>
    <t>140604</t>
  </si>
  <si>
    <t>The Lawrence School</t>
  </si>
  <si>
    <t>1163</t>
  </si>
  <si>
    <t>124464</t>
  </si>
  <si>
    <t>497854</t>
  </si>
  <si>
    <t>622318</t>
  </si>
  <si>
    <t>22028000030336052</t>
  </si>
  <si>
    <t>zcrm_51788000291019001</t>
  </si>
  <si>
    <t>2025-06-23 09:40:54</t>
  </si>
  <si>
    <t>Himmat S. Dhillon</t>
  </si>
  <si>
    <t>District Solan</t>
  </si>
  <si>
    <t>Cambridge School_Noida</t>
  </si>
  <si>
    <t>133592</t>
  </si>
  <si>
    <t>2480</t>
  </si>
  <si>
    <t>267184</t>
  </si>
  <si>
    <t>121512</t>
  </si>
  <si>
    <t>143192</t>
  </si>
  <si>
    <t>22028000035099040</t>
  </si>
  <si>
    <t>zcrm_51788000301270001</t>
  </si>
  <si>
    <t>2025-11-26 16:26:15</t>
  </si>
  <si>
    <t>Ms. Surbhi Bhargava</t>
  </si>
  <si>
    <t>principal.csn@cambridgeschool.edu.in</t>
  </si>
  <si>
    <t>Sector 27</t>
  </si>
  <si>
    <t>185189</t>
  </si>
  <si>
    <t>3703.76</t>
  </si>
  <si>
    <t>2026-01-02 00:00:00</t>
  </si>
  <si>
    <t>370378</t>
  </si>
  <si>
    <t>181092</t>
  </si>
  <si>
    <t>185582</t>
  </si>
  <si>
    <t>22028000034656168</t>
  </si>
  <si>
    <t>zcrm_51788000300061067</t>
  </si>
  <si>
    <t>2025-11-11 15:15:12</t>
  </si>
  <si>
    <t>principal.csgn@cambridgeschool.edu.in</t>
  </si>
  <si>
    <t>KPV</t>
  </si>
  <si>
    <t>I - B, Institutional Area</t>
  </si>
  <si>
    <t>120838, 150886</t>
  </si>
  <si>
    <t>2048, 9467</t>
  </si>
  <si>
    <t>2025-05-08 00:00:00, 2025-12-03 00:00:00</t>
  </si>
  <si>
    <t>483352, 603544</t>
  </si>
  <si>
    <t>118790, 521978</t>
  </si>
  <si>
    <t>-48093, 482706</t>
  </si>
  <si>
    <t>0.1282, 0.5384</t>
  </si>
  <si>
    <t>2026-04-15 00:00:00, 2026-04-20 00:00:00</t>
  </si>
  <si>
    <t>22028000029530860, 22028000029795628</t>
  </si>
  <si>
    <t>zcrm_51788000289551001, zcrm_51788000289888194</t>
  </si>
  <si>
    <t>2025-04-24 16:51:44, 2025-05-02 18:49:37</t>
  </si>
  <si>
    <t>Ms. Ripple Sethi</t>
  </si>
  <si>
    <t>ripple.sethi@tsrs.org, senior.school@tsrs.org</t>
  </si>
  <si>
    <t>Presidency School, Bangalore South</t>
  </si>
  <si>
    <t>168300</t>
  </si>
  <si>
    <t>163350</t>
  </si>
  <si>
    <t>495000</t>
  </si>
  <si>
    <t>22028000029695520</t>
  </si>
  <si>
    <t>51788000002738880</t>
  </si>
  <si>
    <t>zcrm_51788000289091068</t>
  </si>
  <si>
    <t>2025-07-10 16:31:48</t>
  </si>
  <si>
    <t>Mrs. Bhuvaneshwari J</t>
  </si>
  <si>
    <t>presidency_bilekahalli@yahoo.com</t>
  </si>
  <si>
    <t>Ms. Bhuvaneshwari J</t>
  </si>
  <si>
    <t>principal-blk@presidency.edu.in</t>
  </si>
  <si>
    <t>+919590920316</t>
  </si>
  <si>
    <t>Ms. Ashwini</t>
  </si>
  <si>
    <t>ashwiniammu@presidency.edu.in</t>
  </si>
  <si>
    <t>+919620688826</t>
  </si>
  <si>
    <t>80/2, Bilekahalli</t>
  </si>
  <si>
    <t>560076</t>
  </si>
  <si>
    <t>Off. Bannergatta Road</t>
  </si>
  <si>
    <t>101486, 395480</t>
  </si>
  <si>
    <t>138805, 30709</t>
  </si>
  <si>
    <t>1581920, 405944</t>
  </si>
  <si>
    <t>1499108, 365351</t>
  </si>
  <si>
    <t>-55993, 9884</t>
  </si>
  <si>
    <t>0.2223, 0.5334</t>
  </si>
  <si>
    <t>22028000028599124, 22028000028599172</t>
  </si>
  <si>
    <t>zcrm_51788000285653259, zcrm_51788000285653489</t>
  </si>
  <si>
    <t>2025-04-04 17:21:53, 2025-04-04 17:23:24</t>
  </si>
  <si>
    <t>Mr rohit Gupta</t>
  </si>
  <si>
    <t>gupta18rohit@yahoo.co.in</t>
  </si>
  <si>
    <t>Dr Amita Saxena</t>
  </si>
  <si>
    <t>Shweta Khanna</t>
  </si>
  <si>
    <t>Sec 6</t>
  </si>
  <si>
    <t>Wisdom High International School (GOC)</t>
  </si>
  <si>
    <t>2025-05-28 00:00:00, 2025-07-08 00:00:00</t>
  </si>
  <si>
    <t>2025-05-28 00:00:00, 2025-07-01 00:00:00</t>
  </si>
  <si>
    <t>123395, 74349</t>
  </si>
  <si>
    <t>2025-06-30 00:00:00, 2025-10-30 00:00:00</t>
  </si>
  <si>
    <t>0, 12339</t>
  </si>
  <si>
    <t>2025-06-21 00:00:00, 2025-08-29 00:00:00</t>
  </si>
  <si>
    <t>148698, 246790</t>
  </si>
  <si>
    <t>111055, 138240</t>
  </si>
  <si>
    <t>10458, 123396</t>
  </si>
  <si>
    <t>2025-08-15 00:00:00, 2026-06-30 00:00:00</t>
  </si>
  <si>
    <t>22028000030549032, 22028000031425212</t>
  </si>
  <si>
    <t>zcrm_51788000291267162</t>
  </si>
  <si>
    <t>2025-06-07 12:12:53, 2025-07-15 17:03:28</t>
  </si>
  <si>
    <t>+9189835555586, +918983555586</t>
  </si>
  <si>
    <t>Ankit Gupta, Ankit Pandey</t>
  </si>
  <si>
    <t>ankitp@whis.edu.in</t>
  </si>
  <si>
    <t>+918788078234</t>
  </si>
  <si>
    <t>Wisdom High International School, Behind JIT, Govardhan,</t>
  </si>
  <si>
    <t>96823</t>
  </si>
  <si>
    <t>225921</t>
  </si>
  <si>
    <t>9637</t>
  </si>
  <si>
    <t>322744</t>
  </si>
  <si>
    <t>86732</t>
  </si>
  <si>
    <t>226375</t>
  </si>
  <si>
    <t>0.49829999999999997</t>
  </si>
  <si>
    <t>22028000027429748</t>
  </si>
  <si>
    <t>zcrm_51788000281853313</t>
  </si>
  <si>
    <t>2025-02-08 10:43:30</t>
  </si>
  <si>
    <t>Ms. Goldie</t>
  </si>
  <si>
    <t>+919855033844</t>
  </si>
  <si>
    <t>Plot 16</t>
  </si>
  <si>
    <t>2025-01-30 00:00:00</t>
  </si>
  <si>
    <t>3619</t>
  </si>
  <si>
    <t>1195749, 161166, 359947</t>
  </si>
  <si>
    <t>1195749, 161166, 355546</t>
  </si>
  <si>
    <t>0, 4401</t>
  </si>
  <si>
    <t>0.2977, 0.441, 0.4481</t>
  </si>
  <si>
    <t>0.1977, 0.341, 0.3481</t>
  </si>
  <si>
    <t>2025-03-07 00:00:00, 2025-03-10 00:00:00, 2025-03-20 00:00:00</t>
  </si>
  <si>
    <t>2026-03-07 00:00:00, 2026-03-20 00:00:00, 2026-03-31 00:00:00</t>
  </si>
  <si>
    <t>22028000027677144, 22028000027691048, 22028000027691084</t>
  </si>
  <si>
    <t>zcrm_51788000283214330, zcrm_51788000283214508, zcrm_51788000283214808</t>
  </si>
  <si>
    <t>2025-02-20 17:46:24, 2025-02-20 17:48:22, 2025-02-20 17:49:24</t>
  </si>
  <si>
    <t>Ms. Yuly Vizotha</t>
  </si>
  <si>
    <t>Ms. Yuly Vizotha, Yuly Vizotha</t>
  </si>
  <si>
    <t>Jamal, Ms. Yuly Vizotha, Yuly Vizotha</t>
  </si>
  <si>
    <t>+919436005558, +919436010468</t>
  </si>
  <si>
    <t>H.No. 46,</t>
  </si>
  <si>
    <t>104990</t>
  </si>
  <si>
    <t>244976</t>
  </si>
  <si>
    <t>10499</t>
  </si>
  <si>
    <t>2026-03-04 00:00:00</t>
  </si>
  <si>
    <t>349966</t>
  </si>
  <si>
    <t>307322</t>
  </si>
  <si>
    <t>32145</t>
  </si>
  <si>
    <t>22028000029235352</t>
  </si>
  <si>
    <t>zcrm_51788000288644001</t>
  </si>
  <si>
    <t>2025-04-23 10:59:24</t>
  </si>
  <si>
    <t>Mrs.Durga Chandrasekar</t>
  </si>
  <si>
    <t>+917358091555</t>
  </si>
  <si>
    <t>33282</t>
  </si>
  <si>
    <t>332820</t>
  </si>
  <si>
    <t>299538</t>
  </si>
  <si>
    <t>22028000031760396</t>
  </si>
  <si>
    <t>zcrm_51788000293717037</t>
  </si>
  <si>
    <t>2025-07-28 12:34:43</t>
  </si>
  <si>
    <t>Ms. Yakshi Gulati</t>
  </si>
  <si>
    <t>principal@rohini.theheritageschool.in</t>
  </si>
  <si>
    <t>Little^s Pre Primary &amp; Primary School</t>
  </si>
  <si>
    <t>27540</t>
  </si>
  <si>
    <t>26730</t>
  </si>
  <si>
    <t>22028000028482076</t>
  </si>
  <si>
    <t>zcrm_51788000284998476</t>
  </si>
  <si>
    <t>2025-03-12 10:59:02</t>
  </si>
  <si>
    <t>Tanuja Jaju</t>
  </si>
  <si>
    <t>Fatorda</t>
  </si>
  <si>
    <t>Murida</t>
  </si>
  <si>
    <t>3987</t>
  </si>
  <si>
    <t>11960</t>
  </si>
  <si>
    <t>318</t>
  </si>
  <si>
    <t>15947</t>
  </si>
  <si>
    <t>15627</t>
  </si>
  <si>
    <t>22028000031234252</t>
  </si>
  <si>
    <t>zcrm_51788000292478644</t>
  </si>
  <si>
    <t>2025-07-04 15:18:26</t>
  </si>
  <si>
    <t>#17 2Nd Main Road,</t>
  </si>
  <si>
    <t>39316</t>
  </si>
  <si>
    <t>38160</t>
  </si>
  <si>
    <t>115636</t>
  </si>
  <si>
    <t>77476</t>
  </si>
  <si>
    <t>0.34450000000000003</t>
  </si>
  <si>
    <t>22028000031423848</t>
  </si>
  <si>
    <t>zcrm_51788000293078049</t>
  </si>
  <si>
    <t>2025-07-21 20:54:26</t>
  </si>
  <si>
    <t>Datala Rd, Ramnagar, Chandrapur,</t>
  </si>
  <si>
    <t>105202</t>
  </si>
  <si>
    <t>21040</t>
  </si>
  <si>
    <t>2025-11-29 00:00:00</t>
  </si>
  <si>
    <t>210404</t>
  </si>
  <si>
    <t>189362</t>
  </si>
  <si>
    <t>22028000031113568</t>
  </si>
  <si>
    <t>zcrm_51788000292239003</t>
  </si>
  <si>
    <t>2025-07-12 13:11:54</t>
  </si>
  <si>
    <t>Minal Keskar</t>
  </si>
  <si>
    <t>minal.keskar@kaveri.edu.in</t>
  </si>
  <si>
    <t>+919689765826</t>
  </si>
  <si>
    <t>Gate No. 147/8, 147/9 and 147/10, Park Marina Road</t>
  </si>
  <si>
    <t>34425</t>
  </si>
  <si>
    <t>345000</t>
  </si>
  <si>
    <t>309825</t>
  </si>
  <si>
    <t>22028000030587348</t>
  </si>
  <si>
    <t>zcrm_51788000291406078</t>
  </si>
  <si>
    <t>2025-07-28 17:38:23</t>
  </si>
  <si>
    <t>Mrs. Ritu Bajaj</t>
  </si>
  <si>
    <t>Ms. Bhupinder Gogia</t>
  </si>
  <si>
    <t>somschool2004@satpaulmittalschool.org</t>
  </si>
  <si>
    <t>+919914138276</t>
  </si>
  <si>
    <t>Phase 2 Urban Estate</t>
  </si>
  <si>
    <t>Our Lady Of The Snows High School</t>
  </si>
  <si>
    <t>1296</t>
  </si>
  <si>
    <t>217796</t>
  </si>
  <si>
    <t>8728</t>
  </si>
  <si>
    <t>871184</t>
  </si>
  <si>
    <t>855352</t>
  </si>
  <si>
    <t>7104</t>
  </si>
  <si>
    <t>0.5490999999999999</t>
  </si>
  <si>
    <t>22028000029121376</t>
  </si>
  <si>
    <t>51788000002739966</t>
  </si>
  <si>
    <t>zcrm_51788000288269525</t>
  </si>
  <si>
    <t>2025-04-05 14:31:42</t>
  </si>
  <si>
    <t>Fr Antony Solomon</t>
  </si>
  <si>
    <t>principalolskullu@gmail.com</t>
  </si>
  <si>
    <t>+917018350073</t>
  </si>
  <si>
    <t>davismj@rediffmail.com</t>
  </si>
  <si>
    <t>Antony Solomon</t>
  </si>
  <si>
    <t>Dhalpur</t>
  </si>
  <si>
    <t>Forest Office Dhalpur</t>
  </si>
  <si>
    <t>PTLO11002F</t>
  </si>
  <si>
    <t>Kullu-175 101</t>
  </si>
  <si>
    <t>14598</t>
  </si>
  <si>
    <t>87589</t>
  </si>
  <si>
    <t>189776</t>
  </si>
  <si>
    <t>291963</t>
  </si>
  <si>
    <t>227250</t>
  </si>
  <si>
    <t>64713</t>
  </si>
  <si>
    <t>22028000026447380</t>
  </si>
  <si>
    <t>zcrm_51788000275688405</t>
  </si>
  <si>
    <t>2024-11-28 11:39:53</t>
  </si>
  <si>
    <t>St. Michael^s School For Girls</t>
  </si>
  <si>
    <t>2024-12-30 00:00:00, 2025-03-25 00:00:00</t>
  </si>
  <si>
    <t>2049</t>
  </si>
  <si>
    <t>2025-04-02 00:00:00, 2025-06-01 00:00:00</t>
  </si>
  <si>
    <t>262340, 31200</t>
  </si>
  <si>
    <t>2025-07-02 00:00:00, 2025-07-15 00:00:00</t>
  </si>
  <si>
    <t>2000-01-01 00:00:00, 2025-10-02 00:00:00</t>
  </si>
  <si>
    <t>0, 262340</t>
  </si>
  <si>
    <t>0, 9064</t>
  </si>
  <si>
    <t>2025-05-28 00:00:00, 2025-07-14 00:00:00</t>
  </si>
  <si>
    <t>2025-07-14 00:00:00, 2025-12-23 00:00:00</t>
  </si>
  <si>
    <t>1049360, 62400</t>
  </si>
  <si>
    <t>30908, 820521</t>
  </si>
  <si>
    <t>219775, 31492</t>
  </si>
  <si>
    <t>0, 0.3284</t>
  </si>
  <si>
    <t>0.3284</t>
  </si>
  <si>
    <t>22028000027096388, 22028000028858552</t>
  </si>
  <si>
    <t>zcrm_51788000280854279, zcrm_51788000287521001</t>
  </si>
  <si>
    <t>2025-03-13 10:31:23, 2025-04-04 11:40:34</t>
  </si>
  <si>
    <t>Mrs. Sangeetha Chakravarthy</t>
  </si>
  <si>
    <t>sangeethachak@gmail.com, smsgirls2014@gmail.com</t>
  </si>
  <si>
    <t>ST. MICHAEL'S BOARDING SCHOOL FOR GIRLS</t>
  </si>
  <si>
    <t>176620, 441398</t>
  </si>
  <si>
    <t>18293, 37375</t>
  </si>
  <si>
    <t>353240, 882796</t>
  </si>
  <si>
    <t>164634, 403648</t>
  </si>
  <si>
    <t>170313, 441773</t>
  </si>
  <si>
    <t>22028000030714352, 22028000030714396</t>
  </si>
  <si>
    <t>zcrm_51788000291661313, zcrm_51788000291661480</t>
  </si>
  <si>
    <t>2025-06-05 15:02:01, 2025-06-05 15:02:08</t>
  </si>
  <si>
    <t>Dipti Ingley, Maruf Shaikh</t>
  </si>
  <si>
    <t>klesisbgm@yahoo.co.in, maruf.shaikh@ei.study</t>
  </si>
  <si>
    <t>+919016039311, +919902449723</t>
  </si>
  <si>
    <t>Maruf Shaikh, Raana Memon</t>
  </si>
  <si>
    <t>+917738601941, +919016039311</t>
  </si>
  <si>
    <t>2025-04-01 00:00:00, 2025-04-04 00:00:00, 2025-11-28 00:00:00</t>
  </si>
  <si>
    <t>1226</t>
  </si>
  <si>
    <t>0, 260688, 486118</t>
  </si>
  <si>
    <t>0, 1458355, 782064</t>
  </si>
  <si>
    <t>0, 20864.760000000002, 47736</t>
  </si>
  <si>
    <t>2025-04-16 00:00:00, 2025-07-01 00:00:00</t>
  </si>
  <si>
    <t>2025-12-05 00:00:00, 2026-01-29 00:00:00</t>
  </si>
  <si>
    <t>0, 1042752, 1944473</t>
  </si>
  <si>
    <t>0, 1022364, 1905934</t>
  </si>
  <si>
    <t>-477, -9197, 0</t>
  </si>
  <si>
    <t>0.4509, 0.68, 1</t>
  </si>
  <si>
    <t>2025-04-01 00:00:00, 2025-11-28 00:00:00</t>
  </si>
  <si>
    <t>22028000029027624, 22028000029107072, 22028000035176668</t>
  </si>
  <si>
    <t>zcrm_51788000288165012, zcrm_51788000288191001, zcrm_51788000301562001</t>
  </si>
  <si>
    <t>2025-04-10 17:34:12, 2025-04-10 17:34:59, 2025-11-29 13:12:57</t>
  </si>
  <si>
    <t>Mr. Maruf Shaikh, Ms. Sonali Gandhi</t>
  </si>
  <si>
    <t>+919016039311, +919820625156</t>
  </si>
  <si>
    <t>Ms. Sonali Gandhi, sonali gandhi</t>
  </si>
  <si>
    <t>Ms. Pamela Jacob, sonali gandhi</t>
  </si>
  <si>
    <t>hm.secondary@jns.ac.in, maruf.shaikh@ei.study</t>
  </si>
  <si>
    <t>+919016039311, +919820403447</t>
  </si>
  <si>
    <t>230589</t>
  </si>
  <si>
    <t>4612</t>
  </si>
  <si>
    <t>461178</t>
  </si>
  <si>
    <t>225978</t>
  </si>
  <si>
    <t>230588</t>
  </si>
  <si>
    <t>0.5846</t>
  </si>
  <si>
    <t>0.5346</t>
  </si>
  <si>
    <t>22028000028850432</t>
  </si>
  <si>
    <t>zcrm_51788000287464019</t>
  </si>
  <si>
    <t>2025-04-07 15:55:12</t>
  </si>
  <si>
    <t>Ms. Janki Suthar</t>
  </si>
  <si>
    <t>jankisuthar@amritvidyalaya.org</t>
  </si>
  <si>
    <t>+919104664524</t>
  </si>
  <si>
    <t>Kalol-Malav Road,</t>
  </si>
  <si>
    <t>LT. Atul Katarya Memorial School</t>
  </si>
  <si>
    <t>135018</t>
  </si>
  <si>
    <t>10758</t>
  </si>
  <si>
    <t>540072</t>
  </si>
  <si>
    <t>527214</t>
  </si>
  <si>
    <t>0.48840000000000006</t>
  </si>
  <si>
    <t>22028000028472088</t>
  </si>
  <si>
    <t>51788000002740360</t>
  </si>
  <si>
    <t>zcrm_51788000261601473</t>
  </si>
  <si>
    <t>2025-03-24 18:31:07</t>
  </si>
  <si>
    <t>Mrs. Mukti Suhag</t>
  </si>
  <si>
    <t>akmsggn@rediffmail.com</t>
  </si>
  <si>
    <t>+919312832112</t>
  </si>
  <si>
    <t>Mr. Mathew</t>
  </si>
  <si>
    <t>askmggn@rediffmail.com</t>
  </si>
  <si>
    <t>+919953839723</t>
  </si>
  <si>
    <t>102400</t>
  </si>
  <si>
    <t>LT. Atul Katarya Marg</t>
  </si>
  <si>
    <t>RTKL00907E</t>
  </si>
  <si>
    <t>Near Sheetla Mata Parisar, Gurugram, Haryana</t>
  </si>
  <si>
    <t>Lt Atul Katarya Marg, Near Sheetla Mata Parisar, Gurugram, Haryana</t>
  </si>
  <si>
    <t>676</t>
  </si>
  <si>
    <t>696071</t>
  </si>
  <si>
    <t>717164</t>
  </si>
  <si>
    <t>140531</t>
  </si>
  <si>
    <t>2109306</t>
  </si>
  <si>
    <t>1264775</t>
  </si>
  <si>
    <t>704000</t>
  </si>
  <si>
    <t>0.5655</t>
  </si>
  <si>
    <t>22028000028933108</t>
  </si>
  <si>
    <t>zcrm_51788000287625001</t>
  </si>
  <si>
    <t>2025-04-04 16:40:13</t>
  </si>
  <si>
    <t>Mrs. Shanthi Menon</t>
  </si>
  <si>
    <t>1568</t>
  </si>
  <si>
    <t>138363</t>
  </si>
  <si>
    <t>134294</t>
  </si>
  <si>
    <t>5547</t>
  </si>
  <si>
    <t>406951</t>
  </si>
  <si>
    <t>271757</t>
  </si>
  <si>
    <t>129647</t>
  </si>
  <si>
    <t>0.48619999999999997</t>
  </si>
  <si>
    <t>22028000030976000</t>
  </si>
  <si>
    <t>zcrm_51788000292035383</t>
  </si>
  <si>
    <t>2025-06-18 10:53:15</t>
  </si>
  <si>
    <t>+919435477077</t>
  </si>
  <si>
    <t>Samata Bhattacharjee</t>
  </si>
  <si>
    <t>samatabhatt@gmail.com</t>
  </si>
  <si>
    <t>+919435703366</t>
  </si>
  <si>
    <t>Disari Public School</t>
  </si>
  <si>
    <t>2025-05-05 00:00:00, 2025-06-13 00:00:00</t>
  </si>
  <si>
    <t>38332, 51013</t>
  </si>
  <si>
    <t>42511, 67081</t>
  </si>
  <si>
    <t>19166, 34009</t>
  </si>
  <si>
    <t>2025-05-22 00:00:00, 2025-09-23 00:00:00</t>
  </si>
  <si>
    <t>2025-09-23 00:00:00, 2025-12-15 00:00:00</t>
  </si>
  <si>
    <t>170044, 191660</t>
  </si>
  <si>
    <t>152103, 156426</t>
  </si>
  <si>
    <t>17941, 35234</t>
  </si>
  <si>
    <t>0.693, 0.8332999999999999</t>
  </si>
  <si>
    <t>2025-05-05 00:00:00, 2025-06-18 00:00:00</t>
  </si>
  <si>
    <t>22028000029856272, 22028000030903056</t>
  </si>
  <si>
    <t>51788000002741521</t>
  </si>
  <si>
    <t>zcrm_51788000276366532, zcrm_51788000292082675</t>
  </si>
  <si>
    <t>2025-05-24 09:53:21, 2025-06-23 10:42:26</t>
  </si>
  <si>
    <t>Mr. Anup Prasad</t>
  </si>
  <si>
    <t>disaripschool@hotmail.com</t>
  </si>
  <si>
    <t>+917003238860</t>
  </si>
  <si>
    <t>disaripschool.office@gmail.com</t>
  </si>
  <si>
    <t>36700</t>
  </si>
  <si>
    <t>Disari Global Village, Kumarpur, Bhawanipur, East Medinipur</t>
  </si>
  <si>
    <t>721654</t>
  </si>
  <si>
    <t>611</t>
  </si>
  <si>
    <t>149196</t>
  </si>
  <si>
    <t>447587</t>
  </si>
  <si>
    <t>44726.68</t>
  </si>
  <si>
    <t>596783</t>
  </si>
  <si>
    <t>402539.94</t>
  </si>
  <si>
    <t>149516</t>
  </si>
  <si>
    <t>0.6544</t>
  </si>
  <si>
    <t>22028000031389116</t>
  </si>
  <si>
    <t>zcrm_51788000292962162</t>
  </si>
  <si>
    <t>2025-07-16 16:53:51</t>
  </si>
  <si>
    <t>617</t>
  </si>
  <si>
    <t>116533</t>
  </si>
  <si>
    <t>349598</t>
  </si>
  <si>
    <t>34913</t>
  </si>
  <si>
    <t>466131</t>
  </si>
  <si>
    <t>419521</t>
  </si>
  <si>
    <t>11697</t>
  </si>
  <si>
    <t>0.6531</t>
  </si>
  <si>
    <t>22028000031278988</t>
  </si>
  <si>
    <t>zcrm_51788000292612685</t>
  </si>
  <si>
    <t>2025-07-23 08:15:25</t>
  </si>
  <si>
    <t>Dr. Anuradha Sridhar</t>
  </si>
  <si>
    <t>anuradh.sridhar@avmschools.ac.in</t>
  </si>
  <si>
    <t>+912261013900</t>
  </si>
  <si>
    <t>684959</t>
  </si>
  <si>
    <t>664813</t>
  </si>
  <si>
    <t>133350.16</t>
  </si>
  <si>
    <t>2014585</t>
  </si>
  <si>
    <t>1799399</t>
  </si>
  <si>
    <t>81836</t>
  </si>
  <si>
    <t>0.6478</t>
  </si>
  <si>
    <t>22028000030723760</t>
  </si>
  <si>
    <t>zcrm_51788000291320001</t>
  </si>
  <si>
    <t>2025-06-06 11:54:39</t>
  </si>
  <si>
    <t>Ms. Sunanda</t>
  </si>
  <si>
    <t>sunandam13@gmail.com</t>
  </si>
  <si>
    <t>+919866648906</t>
  </si>
  <si>
    <t>2-32, Nizampet Rd, Jai Bharat Nagar, Hyder Nagar, Nagarjuna Homes</t>
  </si>
  <si>
    <t>124691, 300765</t>
  </si>
  <si>
    <t>12397, 25330</t>
  </si>
  <si>
    <t>249382, 601530</t>
  </si>
  <si>
    <t>111576, 273560</t>
  </si>
  <si>
    <t>125409, 302640</t>
  </si>
  <si>
    <t>22028000030744284, 22028000030744328</t>
  </si>
  <si>
    <t>zcrm_51788000291708454, zcrm_51788000291708679</t>
  </si>
  <si>
    <t>2025-06-05 15:06:45, 2025-06-05 15:06:58</t>
  </si>
  <si>
    <t>Maruf Shaikh, Maruf Sharmistha Roy</t>
  </si>
  <si>
    <t>maruf.shaikh@ei.study, principal@kleschool.edu.in</t>
  </si>
  <si>
    <t>+919016039311, +919886068234</t>
  </si>
  <si>
    <t>Maruf Shaikh, Preeti Mudaliar</t>
  </si>
  <si>
    <t>kleis.rajajinagar@kleschool.edu.in, maruf.shaikh@ei.study</t>
  </si>
  <si>
    <t>96211</t>
  </si>
  <si>
    <t>31163</t>
  </si>
  <si>
    <t>384844</t>
  </si>
  <si>
    <t>319299</t>
  </si>
  <si>
    <t>34382</t>
  </si>
  <si>
    <t>22028000029030784</t>
  </si>
  <si>
    <t>zcrm_51788000288030326</t>
  </si>
  <si>
    <t>2025-04-05 18:03:26</t>
  </si>
  <si>
    <t>DR. ANUPAMA MISHRA</t>
  </si>
  <si>
    <t>Central Jail</t>
  </si>
  <si>
    <t>2025-04-01 00:00:00, 2025-07-24 00:00:00</t>
  </si>
  <si>
    <t>2025-07-26 00:00:00</t>
  </si>
  <si>
    <t>2000-01-01 00:00:00, 2025-04-02 00:00:00</t>
  </si>
  <si>
    <t>0, 53058</t>
  </si>
  <si>
    <t>0, 16978</t>
  </si>
  <si>
    <t>212232, 5659</t>
  </si>
  <si>
    <t>0, 220720</t>
  </si>
  <si>
    <t>-25466, 5659</t>
  </si>
  <si>
    <t>22028000029030908, 22028000031765236</t>
  </si>
  <si>
    <t>zcrm_51788000288171001, zcrm_51788000293843001</t>
  </si>
  <si>
    <t>2025-04-09 17:33:16, 2025-07-24 15:15:06</t>
  </si>
  <si>
    <t>Ms. Perveen Quaiser, Ms. Praveen Quaiser</t>
  </si>
  <si>
    <t>lht@sunbeamschool.com, principal.lahartara@sunbeamschools.com</t>
  </si>
  <si>
    <t>+919721452310, +919721452500</t>
  </si>
  <si>
    <t>New Lahartara</t>
  </si>
  <si>
    <t>Cambridge School_Srinivaspuri</t>
  </si>
  <si>
    <t>301981</t>
  </si>
  <si>
    <t>6039.61</t>
  </si>
  <si>
    <t>603962</t>
  </si>
  <si>
    <t>295941</t>
  </si>
  <si>
    <t>0.47159999999999996</t>
  </si>
  <si>
    <t>22028000034656112</t>
  </si>
  <si>
    <t>zcrm_51788000300228544</t>
  </si>
  <si>
    <t>2025-11-11 15:11:24</t>
  </si>
  <si>
    <t>Ms. Madhavi Goaswami</t>
  </si>
  <si>
    <t>Srinivaspuri</t>
  </si>
  <si>
    <t>Birla Public School</t>
  </si>
  <si>
    <t>320949</t>
  </si>
  <si>
    <t>311509</t>
  </si>
  <si>
    <t>27199</t>
  </si>
  <si>
    <t>943967</t>
  </si>
  <si>
    <t>293750</t>
  </si>
  <si>
    <t>623018</t>
  </si>
  <si>
    <t>Pilani</t>
  </si>
  <si>
    <t>22028000031663168</t>
  </si>
  <si>
    <t>51788000002744203</t>
  </si>
  <si>
    <t>zcrm_51788000292623560</t>
  </si>
  <si>
    <t>Bhavyadeep Singh</t>
  </si>
  <si>
    <t>2025-07-18 17:35:31</t>
  </si>
  <si>
    <t>Ms. Kajal Marwaha</t>
  </si>
  <si>
    <t>+919667200762</t>
  </si>
  <si>
    <t>contactus@bet.org.in</t>
  </si>
  <si>
    <t>723000</t>
  </si>
  <si>
    <t>Nayako Ka Mohalla,</t>
  </si>
  <si>
    <t>333031</t>
  </si>
  <si>
    <t>Vidya Niketan Pilani, District Jhunjhunu</t>
  </si>
  <si>
    <t>2600</t>
  </si>
  <si>
    <t>197600</t>
  </si>
  <si>
    <t>177840</t>
  </si>
  <si>
    <t>19760</t>
  </si>
  <si>
    <t>22028000031197392</t>
  </si>
  <si>
    <t>zcrm_51788000287973261</t>
  </si>
  <si>
    <t>2025-06-30 12:42:10</t>
  </si>
  <si>
    <t>Mrs. Kavita Pandya</t>
  </si>
  <si>
    <t>+919727260433</t>
  </si>
  <si>
    <t>Madhuvrund Society, nr. Saumil Apartment, nr. Water Tank, Ghatlodiya,</t>
  </si>
  <si>
    <t>Near Madhuvan Water Tank</t>
  </si>
  <si>
    <t>2025-03-22 00:00:00, 2025-03-24 00:00:00</t>
  </si>
  <si>
    <t>250</t>
  </si>
  <si>
    <t>0, 755093</t>
  </si>
  <si>
    <t>2025-09-19 00:00:00, 2025-11-21 00:00:00</t>
  </si>
  <si>
    <t>194789, 3020372</t>
  </si>
  <si>
    <t>190000, 2213395.02</t>
  </si>
  <si>
    <t>4789, 806977</t>
  </si>
  <si>
    <t>0.65, 0.8332999999999999</t>
  </si>
  <si>
    <t>22028000028817536, 22028000028872104</t>
  </si>
  <si>
    <t>zcrm_51788000287482003, zcrm_51788000287482239</t>
  </si>
  <si>
    <t>2025-03-25 17:26:17, 2025-03-25 17:26:49</t>
  </si>
  <si>
    <t>principal.sps@southpoint.edu.in</t>
  </si>
  <si>
    <t>Mrs Seema Goswami</t>
  </si>
  <si>
    <t>Kalka Public School</t>
  </si>
  <si>
    <t>510</t>
  </si>
  <si>
    <t>250016</t>
  </si>
  <si>
    <t>0.6639</t>
  </si>
  <si>
    <t>0.5639</t>
  </si>
  <si>
    <t>22028000029187384</t>
  </si>
  <si>
    <t>51788000002745960</t>
  </si>
  <si>
    <t>zcrm_51788000288573106</t>
  </si>
  <si>
    <t>2025-04-17 09:45:29</t>
  </si>
  <si>
    <t>Dr. Anju Mehrotra</t>
  </si>
  <si>
    <t>kalkagroup.delhi@gmail.com</t>
  </si>
  <si>
    <t>+919811611025</t>
  </si>
  <si>
    <t>Alaknanda, Kalkaji, Delhi, Delhi</t>
  </si>
  <si>
    <t>2025-03-22 00:00:00, 2025-05-08 00:00:00</t>
  </si>
  <si>
    <t>0, 2797</t>
  </si>
  <si>
    <t>2000-01-01 00:00:00, 2025-04-04 00:00:00</t>
  </si>
  <si>
    <t>0, 53624</t>
  </si>
  <si>
    <t>0, 6327.33</t>
  </si>
  <si>
    <t>0, 214496</t>
  </si>
  <si>
    <t>0, 223607.94</t>
  </si>
  <si>
    <t>-15439, 0</t>
  </si>
  <si>
    <t>0.0834, 1</t>
  </si>
  <si>
    <t>22028000028816320, 22028000029937396</t>
  </si>
  <si>
    <t>zcrm_51788000287504069, zcrm_51788000290419005</t>
  </si>
  <si>
    <t>2025-04-14 15:35:25, 2025-05-13 16:41:54</t>
  </si>
  <si>
    <t>Kavneet Khullar</t>
  </si>
  <si>
    <t>+919830115422, +919903755400</t>
  </si>
  <si>
    <t>reenasgh@yahoo.com</t>
  </si>
  <si>
    <t>J.B. Petit High School</t>
  </si>
  <si>
    <t>162064</t>
  </si>
  <si>
    <t>160920</t>
  </si>
  <si>
    <t>0.1689</t>
  </si>
  <si>
    <t>22028000029354228</t>
  </si>
  <si>
    <t>51788000002731818</t>
  </si>
  <si>
    <t>zcrm_51788000288714096</t>
  </si>
  <si>
    <t>2025-04-29 15:42:19</t>
  </si>
  <si>
    <t>Mrs. Chaterji Chaterji</t>
  </si>
  <si>
    <t>primarysupervisor@jbpetithighschool.com</t>
  </si>
  <si>
    <t>+919833826616</t>
  </si>
  <si>
    <t>admin@jbpetithighschool.com</t>
  </si>
  <si>
    <t>Friyana Pardiwalla</t>
  </si>
  <si>
    <t>Mrs. Chaterji</t>
  </si>
  <si>
    <t>5, Maharshi Dadhichi Marg, Fort, Mumbai-400001, Maharashtra, INDIA</t>
  </si>
  <si>
    <t>5, Maharshi Dadhichi Marg, Fort,</t>
  </si>
  <si>
    <t>2025-04-08 00:00:00, 2025-04-09 00:00:00</t>
  </si>
  <si>
    <t>1840</t>
  </si>
  <si>
    <t>1559</t>
  </si>
  <si>
    <t>146284, 218042</t>
  </si>
  <si>
    <t>341330, 508766</t>
  </si>
  <si>
    <t>487614, 726808</t>
  </si>
  <si>
    <t>466016, 604960</t>
  </si>
  <si>
    <t>121848, 21598</t>
  </si>
  <si>
    <t>0.2923, 0.4889</t>
  </si>
  <si>
    <t>22028000029178868, 22028000029187504</t>
  </si>
  <si>
    <t>zcrm_51788000288547024, zcrm_51788000288612014</t>
  </si>
  <si>
    <t>2025-04-16 17:45:37, 2025-04-16 17:45:51</t>
  </si>
  <si>
    <t>Ms. Priya Mehta</t>
  </si>
  <si>
    <t>Dr. Sonali, Ms. Sonali</t>
  </si>
  <si>
    <t>lahs.primary@littleangels-sion.in</t>
  </si>
  <si>
    <t>2025-03-28 00:00:00, 2025-04-01 00:00:00</t>
  </si>
  <si>
    <t>450, 747</t>
  </si>
  <si>
    <t>2025-03-29 00:00:00, 2025-04-02 00:00:00</t>
  </si>
  <si>
    <t>35560, 383484</t>
  </si>
  <si>
    <t>0, 85643</t>
  </si>
  <si>
    <t>71120, 766968</t>
  </si>
  <si>
    <t>0, 769457</t>
  </si>
  <si>
    <t>-88132, 71120</t>
  </si>
  <si>
    <t>0.589, 0.7954000000000001</t>
  </si>
  <si>
    <t>0.489, 0.7954000000000001</t>
  </si>
  <si>
    <t>2025-04-01 00:00:00, 2025-04-07 00:00:00</t>
  </si>
  <si>
    <t>22028000028979444, 22028000029048064</t>
  </si>
  <si>
    <t>zcrm_51788000287956977, zcrm_51788000288008011</t>
  </si>
  <si>
    <t>2025-04-08 15:59:12, 2025-04-08 15:59:39</t>
  </si>
  <si>
    <t>Mr. Fr.Rijo John, Mr. Rijo John</t>
  </si>
  <si>
    <t>Fr Rijo John, Fr.Rijo John</t>
  </si>
  <si>
    <t>Sec - 3, Rajinder Nagar,</t>
  </si>
  <si>
    <t>Firayalal Public School</t>
  </si>
  <si>
    <t>2026</t>
  </si>
  <si>
    <t>IN-2022004386</t>
  </si>
  <si>
    <t>177891</t>
  </si>
  <si>
    <t>2026-07-01 00:00:00</t>
  </si>
  <si>
    <t>2026-10-01 00:00:00</t>
  </si>
  <si>
    <t>2026-12-30 00:00:00</t>
  </si>
  <si>
    <t>2027-03-31 00:00:00</t>
  </si>
  <si>
    <t>22028000037452244</t>
  </si>
  <si>
    <t>51788000002747236</t>
  </si>
  <si>
    <t>zcrm_51788000261538033</t>
  </si>
  <si>
    <t>2026-03-02 14:02:04</t>
  </si>
  <si>
    <t>Haneet Kaur</t>
  </si>
  <si>
    <t>viceprincipal@firayalalpublicschool.edu.in</t>
  </si>
  <si>
    <t>+919334487466</t>
  </si>
  <si>
    <t>info@firayalalpublicschool.com</t>
  </si>
  <si>
    <t>Doel Roy</t>
  </si>
  <si>
    <t>doel.roy@firayalalpubicschool.edu.in</t>
  </si>
  <si>
    <t>+919934700662</t>
  </si>
  <si>
    <t>834001</t>
  </si>
  <si>
    <t>5, Mahatma Gandhi Main Rd, near Over Bridge, New Garden, Kanka, Ranchi, Jharkhand 834001</t>
  </si>
  <si>
    <t>5 Main Road Near Railway Bridge Ranchi Jharkhand</t>
  </si>
  <si>
    <t>Sai Grace Academy International</t>
  </si>
  <si>
    <t>IN-2022004127</t>
  </si>
  <si>
    <t>1199</t>
  </si>
  <si>
    <t>77951</t>
  </si>
  <si>
    <t>2026-09-30 00:00:00</t>
  </si>
  <si>
    <t>2026-12-31 00:00:00</t>
  </si>
  <si>
    <t>0.385</t>
  </si>
  <si>
    <t>22028000035545252</t>
  </si>
  <si>
    <t>51788000002748409</t>
  </si>
  <si>
    <t>zcrm_51788000281119042</t>
  </si>
  <si>
    <t>2026-01-28 13:15:14</t>
  </si>
  <si>
    <t>Mr. Samarjeet Singh</t>
  </si>
  <si>
    <t>info@saigraceacademy.com</t>
  </si>
  <si>
    <t>+919997570003</t>
  </si>
  <si>
    <t>Near Shiv Mandir, Raipur Rd, Raipur, Dehradun, Uttrakhand - 248001</t>
  </si>
  <si>
    <t>0.43329999999999996</t>
  </si>
  <si>
    <t>IN-2022004236</t>
  </si>
  <si>
    <t>177759</t>
  </si>
  <si>
    <t>22028000036436964</t>
  </si>
  <si>
    <t>zcrm_51788000294344324</t>
  </si>
  <si>
    <t>2026-02-02 11:01:21</t>
  </si>
  <si>
    <t>Mr. S. K. Singh</t>
  </si>
  <si>
    <t>purnima.chatterji@gmail.com</t>
  </si>
  <si>
    <t>Ms. Ranjana Jangra</t>
  </si>
  <si>
    <t>JKG International School</t>
  </si>
  <si>
    <t>2025-12-13 00:00:00</t>
  </si>
  <si>
    <t>IN-2022004136</t>
  </si>
  <si>
    <t>136993</t>
  </si>
  <si>
    <t>2026-12-01 00:00:00</t>
  </si>
  <si>
    <t>2025-12-17 00:00:00</t>
  </si>
  <si>
    <t>0.6067</t>
  </si>
  <si>
    <t>22028000035655180</t>
  </si>
  <si>
    <t>51788000002751273</t>
  </si>
  <si>
    <t>zcrm_51788000302088940</t>
  </si>
  <si>
    <t>2025-12-18 15:09:50</t>
  </si>
  <si>
    <t>Mr. Varun Gaur</t>
  </si>
  <si>
    <t>varunjkg@gmail.com</t>
  </si>
  <si>
    <t>+919958161212</t>
  </si>
  <si>
    <t>jkginternational@ymail.com</t>
  </si>
  <si>
    <t>Ms Nidhi Gaur</t>
  </si>
  <si>
    <t>nidhijkg@gmail.com</t>
  </si>
  <si>
    <t>+918826070001</t>
  </si>
  <si>
    <t>Plot Number-13, J9W9+G9P JKG INTERNATIONAL SCHOOL, 14, Vijay Laxmi Pandit Marg, opposite Swarn Jayanti Park, Shakti Khand 2, Indirapuram, Ghaziabad, Uttar Pradesh 201014</t>
  </si>
  <si>
    <t>201014</t>
  </si>
  <si>
    <t>zcrm_51788000307221117</t>
  </si>
  <si>
    <t>Mrs. Suprabha Menon</t>
  </si>
  <si>
    <t>2025-11-22 00:00:00</t>
  </si>
  <si>
    <t>IN-2022004092</t>
  </si>
  <si>
    <t>45006</t>
  </si>
  <si>
    <t>2026-07-30 00:00:00</t>
  </si>
  <si>
    <t>2026-10-30 00:00:00</t>
  </si>
  <si>
    <t>22028000034996060</t>
  </si>
  <si>
    <t>zcrm_51788000299704641</t>
  </si>
  <si>
    <t>2025-11-22 16:35:57</t>
  </si>
  <si>
    <t>IN-2022004308, IN-2022004321</t>
  </si>
  <si>
    <t>2026-06-25 00:00:00</t>
  </si>
  <si>
    <t>2000-01-01 00:00:00, 2026-04-20 00:00:00</t>
  </si>
  <si>
    <t>0, 72204</t>
  </si>
  <si>
    <t>2000-01-01 00:00:00, 2026-07-20 00:00:00</t>
  </si>
  <si>
    <t>2000-01-01 00:00:00, 2026-10-20 00:00:00</t>
  </si>
  <si>
    <t>2000-01-01 00:00:00, 2026-12-31 00:00:00</t>
  </si>
  <si>
    <t>0.5832999999999999, 0.7569</t>
  </si>
  <si>
    <t>22028000037096880, 22028000037110712</t>
  </si>
  <si>
    <t>zcrm_51788000306364354, zcrm_51788000306450001</t>
  </si>
  <si>
    <t>2026-02-24 17:20:17, 2026-02-24 17:20:38</t>
  </si>
  <si>
    <t>srprincipal@saiinternational.org</t>
  </si>
  <si>
    <t>Prakash Sahoo, Rashmi Pandey</t>
  </si>
  <si>
    <t>principalprimary@saiinternational.edu.in, principalsecondary@saiinternational.edu.in</t>
  </si>
  <si>
    <t>+919040000820, +919910573303</t>
  </si>
  <si>
    <t>SECUREWAYS LOGISTICS PRIVATE LIMITED (STUDENT GALLERY) Plot No : N / 33 &amp; 34, Chandka Industrial Estate, Near OTV office,</t>
  </si>
  <si>
    <t>SAI INTERNATIONAL SCHOOL,PLOT NO-5A, Chandaka I.E, INFOCITY ROAD, PATIA,</t>
  </si>
  <si>
    <t>IN-2022004347, IN-2022004348</t>
  </si>
  <si>
    <t>184209, 392200</t>
  </si>
  <si>
    <t>0.46840000000000004, 0.47</t>
  </si>
  <si>
    <t>22028000037256436, 22028000037256488</t>
  </si>
  <si>
    <t>zcrm_51788000306825117, zcrm_51788000306825283</t>
  </si>
  <si>
    <t>2026-02-17 14:29:26, 2026-02-17 14:31:13</t>
  </si>
  <si>
    <t>+919082930486, +919623185617</t>
  </si>
  <si>
    <t>IN-2022004406</t>
  </si>
  <si>
    <t>75505</t>
  </si>
  <si>
    <t>2026-09-01 00:00:00</t>
  </si>
  <si>
    <t>0.4742</t>
  </si>
  <si>
    <t>22028000037488508</t>
  </si>
  <si>
    <t>zcrm_51788000307222254</t>
  </si>
  <si>
    <t>2026-02-25 15:51:27</t>
  </si>
  <si>
    <t>khilesh.patidar13134@gmail.com</t>
  </si>
  <si>
    <t>2026-02-26 00:00:00</t>
  </si>
  <si>
    <t>IN-2022004431, IN-2022004432</t>
  </si>
  <si>
    <t>2000-01-01 00:00:00, 2026-04-01 00:00:00</t>
  </si>
  <si>
    <t>0, 867905</t>
  </si>
  <si>
    <t>2000-01-01 00:00:00, 2026-06-30 00:00:00</t>
  </si>
  <si>
    <t>2000-01-01 00:00:00, 2026-09-30 00:00:00</t>
  </si>
  <si>
    <t>0.4722, 0.579</t>
  </si>
  <si>
    <t>Joka</t>
  </si>
  <si>
    <t>2026-04-01 00:00:00, 2026-05-01 00:00:00</t>
  </si>
  <si>
    <t>2027-02-28 00:00:00, 2027-03-31 00:00:00</t>
  </si>
  <si>
    <t>22028000037553184, 22028000037553232</t>
  </si>
  <si>
    <t>zcrm_51788000307436281, zcrm_51788000307436312</t>
  </si>
  <si>
    <t>2026-03-02 10:50:40, 2026-03-02 10:50:58</t>
  </si>
  <si>
    <t>rector@vms.edu.in</t>
  </si>
  <si>
    <t>Vivekananda Mission School Joka, Kolkata</t>
  </si>
  <si>
    <t>IN-2022004407</t>
  </si>
  <si>
    <t>2026-03-10 00:00:00</t>
  </si>
  <si>
    <t>141397</t>
  </si>
  <si>
    <t>2026-07-10 00:00:00</t>
  </si>
  <si>
    <t>209267</t>
  </si>
  <si>
    <t>2026-08-10 00:00:00</t>
  </si>
  <si>
    <t>214923</t>
  </si>
  <si>
    <t>2026-04-06 00:00:00</t>
  </si>
  <si>
    <t>22028000037499052</t>
  </si>
  <si>
    <t>zcrm_51788000307184099</t>
  </si>
  <si>
    <t>2026-03-07 18:03:25</t>
  </si>
  <si>
    <t>jskolkata1864@gmail.com</t>
  </si>
  <si>
    <t>IN-2022004328</t>
  </si>
  <si>
    <t>225570</t>
  </si>
  <si>
    <t>22028000037160192</t>
  </si>
  <si>
    <t>zcrm_51788000306445112</t>
  </si>
  <si>
    <t>2026-02-19 15:39:14</t>
  </si>
  <si>
    <t>Deepshikha Jain</t>
  </si>
  <si>
    <t>IN-2022004400, IN-2022004401</t>
  </si>
  <si>
    <t>22028000037484716, 22028000037484760</t>
  </si>
  <si>
    <t>zcrm_51788000307292320, zcrm_51788000307292481</t>
  </si>
  <si>
    <t>2026-02-27 12:53:55, 2026-02-27 12:54:10</t>
  </si>
  <si>
    <t>2026-05-01 00:00:00</t>
  </si>
  <si>
    <t>2027-05-31 00:00:00</t>
  </si>
  <si>
    <t>Ravi Tangadagi</t>
  </si>
  <si>
    <t>IN-2022004276</t>
  </si>
  <si>
    <t>44725.32</t>
  </si>
  <si>
    <t>447253</t>
  </si>
  <si>
    <t>402527</t>
  </si>
  <si>
    <t>0.49060000000000004</t>
  </si>
  <si>
    <t>22028000036846156</t>
  </si>
  <si>
    <t>zcrm_51788000305308172</t>
  </si>
  <si>
    <t>2026-01-30 12:29:59</t>
  </si>
  <si>
    <t>Amit Sams</t>
  </si>
  <si>
    <t>+919845742265</t>
  </si>
  <si>
    <t>Ms. Nandini Lakshmanan</t>
  </si>
  <si>
    <t>nlakshman@christelhouseindia.org</t>
  </si>
  <si>
    <t>Mr. Amit Sams</t>
  </si>
  <si>
    <t>2026-12-15 00:00:00</t>
  </si>
  <si>
    <t>Vidya Vihar Residential School</t>
  </si>
  <si>
    <t>IN-2022003922</t>
  </si>
  <si>
    <t>1019</t>
  </si>
  <si>
    <t>288230</t>
  </si>
  <si>
    <t>2026-07-15 00:00:00</t>
  </si>
  <si>
    <t>279752</t>
  </si>
  <si>
    <t>2026-10-15 00:00:00</t>
  </si>
  <si>
    <t>0.6659999999999999</t>
  </si>
  <si>
    <t>Purnea</t>
  </si>
  <si>
    <t>22028000033285560</t>
  </si>
  <si>
    <t>51788000002763568</t>
  </si>
  <si>
    <t>zcrm_51788000296213289</t>
  </si>
  <si>
    <t>2025-12-03 17:52:12</t>
  </si>
  <si>
    <t>Rajesh Mishra</t>
  </si>
  <si>
    <t>vidyavihar@gmail.com</t>
  </si>
  <si>
    <t>+919934681888</t>
  </si>
  <si>
    <t>Mr. Rajesh Mishra</t>
  </si>
  <si>
    <t>854301</t>
  </si>
  <si>
    <t>At &amp; Po - Parora,</t>
  </si>
  <si>
    <t>Vivekananda Mission School, Haldia</t>
  </si>
  <si>
    <t>IN-2022004277</t>
  </si>
  <si>
    <t>2026-04-05 00:00:00</t>
  </si>
  <si>
    <t>75004</t>
  </si>
  <si>
    <t>2026-07-05 00:00:00</t>
  </si>
  <si>
    <t>2026-10-05 00:00:00</t>
  </si>
  <si>
    <t>2026-12-05 00:00:00</t>
  </si>
  <si>
    <t>22028000036843336</t>
  </si>
  <si>
    <t>zcrm_51788000305769128</t>
  </si>
  <si>
    <t>2026-02-02 10:56:23</t>
  </si>
  <si>
    <t>IN-2022004421</t>
  </si>
  <si>
    <t>387503</t>
  </si>
  <si>
    <t>22028000037526376</t>
  </si>
  <si>
    <t>zcrm_51788000307411003</t>
  </si>
  <si>
    <t>2026-03-02 15:46:59</t>
  </si>
  <si>
    <t>IN-2022004107, IN-2022004108</t>
  </si>
  <si>
    <t>2026-04-15 00:00:00</t>
  </si>
  <si>
    <t>408871, 541509</t>
  </si>
  <si>
    <t>2026-11-16 00:00:00, 2026-12-15 00:00:00</t>
  </si>
  <si>
    <t>0.1739, 0.31170000000000003</t>
  </si>
  <si>
    <t>0.12390000000000001, 0.26170000000000004</t>
  </si>
  <si>
    <t>22028000035130228, 22028000035130408</t>
  </si>
  <si>
    <t>zcrm_51788000301448003, zcrm_51788000301448167</t>
  </si>
  <si>
    <t>2025-12-02 09:18:55, 2025-12-02 09:19:20</t>
  </si>
  <si>
    <t>Dr Avinash Pandey, Dr Awinash Pandey</t>
  </si>
  <si>
    <t>+919754944903, +919977238880</t>
  </si>
  <si>
    <t>Dr Awinash Pandey, Vinod Kumar</t>
  </si>
  <si>
    <t>principal@nhgoel.com, vinod.kumar@nhgoel.com</t>
  </si>
  <si>
    <t>IN-2022004237</t>
  </si>
  <si>
    <t>2026-07-06 00:00:00</t>
  </si>
  <si>
    <t>29775</t>
  </si>
  <si>
    <t>2026-11-20 00:00:00</t>
  </si>
  <si>
    <t>133988</t>
  </si>
  <si>
    <t>2026-12-21 00:00:00</t>
  </si>
  <si>
    <t>22028000036437428</t>
  </si>
  <si>
    <t>zcrm_51788000304463881</t>
  </si>
  <si>
    <t>2026-03-06 16:04:31</t>
  </si>
  <si>
    <t>IN-2022004342</t>
  </si>
  <si>
    <t>338494</t>
  </si>
  <si>
    <t>22028000037255200</t>
  </si>
  <si>
    <t>zcrm_51788000306828001</t>
  </si>
  <si>
    <t>2026-02-19 12:43:11</t>
  </si>
  <si>
    <t>IN-2022004066</t>
  </si>
  <si>
    <t>118589</t>
  </si>
  <si>
    <t>-10000</t>
  </si>
  <si>
    <t>0.5359</t>
  </si>
  <si>
    <t>22028000034731216</t>
  </si>
  <si>
    <t>zcrm_51788000300466068</t>
  </si>
  <si>
    <t>2025-12-29 14:25:34</t>
  </si>
  <si>
    <t>IN-2022004419</t>
  </si>
  <si>
    <t>356524</t>
  </si>
  <si>
    <t>2026-09-15 00:00:00</t>
  </si>
  <si>
    <t>0.3611</t>
  </si>
  <si>
    <t>22028000037493564</t>
  </si>
  <si>
    <t>zcrm_51788000307401025</t>
  </si>
  <si>
    <t>2026-02-27 11:49:40</t>
  </si>
  <si>
    <t>Ms. Rupika Nath</t>
  </si>
  <si>
    <t>+919883656780</t>
  </si>
  <si>
    <t>Manav Rachna International School</t>
  </si>
  <si>
    <t>IN-2022004206</t>
  </si>
  <si>
    <t>219900</t>
  </si>
  <si>
    <t>22028000036276248</t>
  </si>
  <si>
    <t>51788000002773873</t>
  </si>
  <si>
    <t>zcrm_51788000290807030</t>
  </si>
  <si>
    <t>2026-01-24 15:10:34</t>
  </si>
  <si>
    <t>Ms. Sangeeta Kapoor</t>
  </si>
  <si>
    <t>principal.mris46@mris.edu.in</t>
  </si>
  <si>
    <t>+919289859101</t>
  </si>
  <si>
    <t>info.mris46@mris.edu.in</t>
  </si>
  <si>
    <t>Ms. Karuna Jha</t>
  </si>
  <si>
    <t>hm_middle.mris46@mris.edu.in</t>
  </si>
  <si>
    <t>+919971844551</t>
  </si>
  <si>
    <t>103000</t>
  </si>
  <si>
    <t>Block F, Sector 46, ,Gurgaon,Haryana - 122002</t>
  </si>
  <si>
    <t>Nr. Greenwood City, Block F, Sector 46, ,Gurgaon,Haryana - 122002</t>
  </si>
  <si>
    <t>IN-2022004408</t>
  </si>
  <si>
    <t>824</t>
  </si>
  <si>
    <t>0.384</t>
  </si>
  <si>
    <t>22028000037526044</t>
  </si>
  <si>
    <t>zcrm_51788000307222033</t>
  </si>
  <si>
    <t>2026-03-02 15:50:13</t>
  </si>
  <si>
    <t>2027-04-01 00:00:00</t>
  </si>
  <si>
    <t>Krishna Public School, Dunda</t>
  </si>
  <si>
    <t>351563</t>
  </si>
  <si>
    <t>218751</t>
  </si>
  <si>
    <t>210938</t>
  </si>
  <si>
    <t>51788000002775258</t>
  </si>
  <si>
    <t>zcrm_51788000277075306</t>
  </si>
  <si>
    <t>Ashutosh Tripathi</t>
  </si>
  <si>
    <t>ashutosh.kps@gmail.com</t>
  </si>
  <si>
    <t>+919425552052</t>
  </si>
  <si>
    <t>Mrs. Priyanka Tripathi</t>
  </si>
  <si>
    <t>priyanka.kps@gmail.com</t>
  </si>
  <si>
    <t>+919425244078</t>
  </si>
  <si>
    <t>Mrs. Arpita Majumdar</t>
  </si>
  <si>
    <t>arpita@kpstulsi.com</t>
  </si>
  <si>
    <t>+917024134123</t>
  </si>
  <si>
    <t>Kamal vihar</t>
  </si>
  <si>
    <t>JBPK01108C</t>
  </si>
  <si>
    <t>Dunda</t>
  </si>
  <si>
    <t>Kamal Vihar, Devpuri - Dunda Road</t>
  </si>
  <si>
    <t>387, 600</t>
  </si>
  <si>
    <t>1311</t>
  </si>
  <si>
    <t>2026-10-10 00:00:00</t>
  </si>
  <si>
    <t>2026-12-10 00:00:00</t>
  </si>
  <si>
    <t>ANURADHA KUANR</t>
  </si>
  <si>
    <t>kuanr.anuradha@gmail.com</t>
  </si>
  <si>
    <t>+916370519274</t>
  </si>
  <si>
    <t>IN-2022004330</t>
  </si>
  <si>
    <t>167170</t>
  </si>
  <si>
    <t>0.5770000000000001</t>
  </si>
  <si>
    <t>22028000037152544</t>
  </si>
  <si>
    <t>zcrm_51788000306388001</t>
  </si>
  <si>
    <t>2026-02-23 15:23:29</t>
  </si>
  <si>
    <t>Anjali Mittal</t>
  </si>
  <si>
    <t>Tanu Nagar</t>
  </si>
  <si>
    <t>tanu.nagar@kaushalyaworldschool.com</t>
  </si>
  <si>
    <t>+919560188894</t>
  </si>
  <si>
    <t>2025-10-06 00:00:00, 2026-02-22 00:00:00</t>
  </si>
  <si>
    <t>IN-2022003988, IN-2022003994, IN-2022004391</t>
  </si>
  <si>
    <t>0, 2288</t>
  </si>
  <si>
    <t>2026-04-02 00:00:00</t>
  </si>
  <si>
    <t>2000-01-01 00:00:00, 2026-04-02 00:00:00, 2026-10-15 00:00:00</t>
  </si>
  <si>
    <t>0, 288900, 510326</t>
  </si>
  <si>
    <t>2000-01-01 00:00:00, 2026-07-02 00:00:00, 2026-12-15 00:00:00</t>
  </si>
  <si>
    <t>2000-01-01 00:00:00, 2026-10-02 00:00:00</t>
  </si>
  <si>
    <t>0, 510326</t>
  </si>
  <si>
    <t>2000-01-01 00:00:00, 2026-12-30 00:00:00</t>
  </si>
  <si>
    <t>0.25, 0.4, 1</t>
  </si>
  <si>
    <t>22028000033683252, 22028000033683792, 22028000037445416</t>
  </si>
  <si>
    <t>zcrm_51788000297005214, zcrm_51788000297260830, zcrm_51788000307135401</t>
  </si>
  <si>
    <t>2025-10-08 14:35:35, 2025-10-08 14:35:54, 2026-02-23 17:30:14</t>
  </si>
  <si>
    <t>IN-2022003984, IN-2022003991, IN-2022004392</t>
  </si>
  <si>
    <t>0, 220950, 372619</t>
  </si>
  <si>
    <t>0, 372619</t>
  </si>
  <si>
    <t>22028000033682424, 22028000033683672, 22028000037445460</t>
  </si>
  <si>
    <t>zcrm_51788000296662871, zcrm_51788000297242497, zcrm_51788000307142363</t>
  </si>
  <si>
    <t>2025-10-08 13:07:02, 2025-10-08 13:56:14, 2026-02-23 17:30:45</t>
  </si>
  <si>
    <t>Gopal's Garden High School</t>
  </si>
  <si>
    <t>IN-2022004262, IN-2022004263</t>
  </si>
  <si>
    <t>640</t>
  </si>
  <si>
    <t>394780, 71526</t>
  </si>
  <si>
    <t>2026-08-31 00:00:00</t>
  </si>
  <si>
    <t>1184341, 214577</t>
  </si>
  <si>
    <t>361324, 64373</t>
  </si>
  <si>
    <t>0.2223, 0.5733</t>
  </si>
  <si>
    <t>22028000036716152, 22028000036716192</t>
  </si>
  <si>
    <t>zcrm_51788000305505041, zcrm_51788000305505204</t>
  </si>
  <si>
    <t>2026-03-05 23:44:19, 2026-03-05 23:45:13</t>
  </si>
  <si>
    <t>Mr.Shashank</t>
  </si>
  <si>
    <t>The Home School</t>
  </si>
  <si>
    <t>51788000002728840</t>
  </si>
  <si>
    <t>zcrm_51788000298918055</t>
  </si>
  <si>
    <t>Ms. Ratna Durga Priyanka</t>
  </si>
  <si>
    <t>principal@thehomeschool.in</t>
  </si>
  <si>
    <t>+918088078403</t>
  </si>
  <si>
    <t>principal@thehomeschoolbangalore.com</t>
  </si>
  <si>
    <t>#4, Hara Layout, Opp. Shoba Apartments, Thalaghattapura Post,</t>
  </si>
  <si>
    <t>No 4, U M Kaval, Thalaghattapura, Kanakapura Road,Opposite To Shobha Apartments, Bangalore, Bengaluru, Karnataka</t>
  </si>
  <si>
    <t>2025-11-15 00:00:00, 2025-11-20 00:00:00</t>
  </si>
  <si>
    <t>IN-2022004074, IN-2022004089</t>
  </si>
  <si>
    <t>2025-11-16 00:00:00, 2025-11-19 00:00:00</t>
  </si>
  <si>
    <t>146137, 146376</t>
  </si>
  <si>
    <t>2026-05-15 00:00:00, 2026-06-15 00:00:00</t>
  </si>
  <si>
    <t>2026-08-15 00:00:00, 2026-09-15 00:00:00</t>
  </si>
  <si>
    <t>0, 237900</t>
  </si>
  <si>
    <t>-91524, 146137</t>
  </si>
  <si>
    <t>0.5905, 0.6666</t>
  </si>
  <si>
    <t>22028000034754240, 22028000034910296</t>
  </si>
  <si>
    <t>zcrm_51788000277952187, zcrm_51788000300739066</t>
  </si>
  <si>
    <t>2025-11-24 18:08:30, 2025-11-24 18:08:55</t>
  </si>
  <si>
    <t>Mr. Harinivas ., Mr. Mr Harinivas .</t>
  </si>
  <si>
    <t>2026-02-20 00:00:00, 2026-02-24 00:00:00</t>
  </si>
  <si>
    <t>IN-2022004376, IN-2022004416</t>
  </si>
  <si>
    <t>1185</t>
  </si>
  <si>
    <t>2805</t>
  </si>
  <si>
    <t>2000-01-01 00:00:00, 2026-02-28 00:00:00</t>
  </si>
  <si>
    <t>2000-01-01 00:00:00, 2026-07-31 00:00:00</t>
  </si>
  <si>
    <t>2000-01-01 00:00:00, 2026-11-30 00:00:00</t>
  </si>
  <si>
    <t>0.0806, 0.40700000000000003</t>
  </si>
  <si>
    <t>0.0806, 0.257</t>
  </si>
  <si>
    <t>22028000037403392, 22028000037529204</t>
  </si>
  <si>
    <t>zcrm_51788000307178164, zcrm_51788000307397001</t>
  </si>
  <si>
    <t>2026-02-25 13:37:42, 2026-02-25 13:37:56</t>
  </si>
  <si>
    <t>Sunbeam School , Ballia</t>
  </si>
  <si>
    <t>IN-2022004044</t>
  </si>
  <si>
    <t>2026-04-25 00:00:00</t>
  </si>
  <si>
    <t>180024</t>
  </si>
  <si>
    <t>2026-07-25 00:00:00</t>
  </si>
  <si>
    <t>2026-10-25 00:00:00</t>
  </si>
  <si>
    <t>2026-12-25 00:00:00</t>
  </si>
  <si>
    <t>Ballia</t>
  </si>
  <si>
    <t>22028000034539224</t>
  </si>
  <si>
    <t>51788000002787765</t>
  </si>
  <si>
    <t>zcrm_51788000299930210</t>
  </si>
  <si>
    <t>2025-11-07 17:52:40</t>
  </si>
  <si>
    <t>Mrs. Arpita Singh</t>
  </si>
  <si>
    <t>principalsunbeamballia@gmail.com</t>
  </si>
  <si>
    <t>+917755005905</t>
  </si>
  <si>
    <t>sunbeamballia2131962@gmail.com</t>
  </si>
  <si>
    <t>59700</t>
  </si>
  <si>
    <t>Village Agarsanda, Garwar Road, Post Office Ballia</t>
  </si>
  <si>
    <t>277001</t>
  </si>
  <si>
    <t>Near Hanuman Temple, Agarsanda, Ballia</t>
  </si>
  <si>
    <t>Burdwan Model School</t>
  </si>
  <si>
    <t>IN-2022004316</t>
  </si>
  <si>
    <t>86411</t>
  </si>
  <si>
    <t>Burdwan</t>
  </si>
  <si>
    <t>22028000037134124</t>
  </si>
  <si>
    <t>51788000002787812</t>
  </si>
  <si>
    <t>zcrm_51788000306421073</t>
  </si>
  <si>
    <t>2026-02-12 11:48:27</t>
  </si>
  <si>
    <t>Mr. Bipin Bihari Singh</t>
  </si>
  <si>
    <t>oaer.bms@gmail.com</t>
  </si>
  <si>
    <t>+918373049058</t>
  </si>
  <si>
    <t>info@burdwanmodelschool.ac.in</t>
  </si>
  <si>
    <t>Bardhaman Katwa Rd, Dewandighi, Mirzapur, West Bengal 713407</t>
  </si>
  <si>
    <t>713102</t>
  </si>
  <si>
    <t>Mirzapur (Dewandighi), Katwa Road, ,Burdwan,West Bengal - 713102</t>
  </si>
  <si>
    <t>IN-2022004256</t>
  </si>
  <si>
    <t>572988</t>
  </si>
  <si>
    <t>22028000036541216</t>
  </si>
  <si>
    <t>zcrm_51788000305271033</t>
  </si>
  <si>
    <t>2026-01-24 14:42:17</t>
  </si>
  <si>
    <t>Preeti Sharma</t>
  </si>
  <si>
    <t>Pragya Singh</t>
  </si>
  <si>
    <t>Ies Public School</t>
  </si>
  <si>
    <t>IN-2022004337</t>
  </si>
  <si>
    <t>91880</t>
  </si>
  <si>
    <t>2026-07-14 00:00:00</t>
  </si>
  <si>
    <t>2026-10-20 00:00:00</t>
  </si>
  <si>
    <t>2026-12-14 00:00:00</t>
  </si>
  <si>
    <t>22028000037190376</t>
  </si>
  <si>
    <t>51788000002788167</t>
  </si>
  <si>
    <t>zcrm_51788000254509314</t>
  </si>
  <si>
    <t>2026-02-16 12:43:19</t>
  </si>
  <si>
    <t>Mr Shushil Dwivedi</t>
  </si>
  <si>
    <t>principalt@iespublicschool.ac.in</t>
  </si>
  <si>
    <t>+917974333548</t>
  </si>
  <si>
    <t>principal@iespublicschool.ac.in</t>
  </si>
  <si>
    <t>36300</t>
  </si>
  <si>
    <t>Kalikheda</t>
  </si>
  <si>
    <t>Kalkheda</t>
  </si>
  <si>
    <t>Kalkheda, Ratibad Main Road</t>
  </si>
  <si>
    <t>IN-2022004258, IN-2022004259, IN-2022004260</t>
  </si>
  <si>
    <t>0, 1725</t>
  </si>
  <si>
    <t>2000-01-01 00:00:00, 2026-04-15 00:00:00</t>
  </si>
  <si>
    <t>0, 170098, 483812</t>
  </si>
  <si>
    <t>2000-01-01 00:00:00, 2026-10-01 00:00:00</t>
  </si>
  <si>
    <t>0.0922, 0.3077, 1</t>
  </si>
  <si>
    <t>2027-03-31 00:00:00, 2027-04-30 00:00:00</t>
  </si>
  <si>
    <t>22028000036533148, 22028000036573120, 22028000036589052</t>
  </si>
  <si>
    <t>zcrm_51788000304629194, zcrm_51788000305360001, zcrm_51788000305360164</t>
  </si>
  <si>
    <t>2026-02-03 11:49:22, 2026-02-03 11:49:37, 2026-02-03 11:49:53</t>
  </si>
  <si>
    <t>Mrs. Samaira Tandon</t>
  </si>
  <si>
    <t>+917358600553</t>
  </si>
  <si>
    <t>principal.srschool@sirmuthaschool.edu.in</t>
  </si>
  <si>
    <t>Mrs Shonali</t>
  </si>
  <si>
    <t>admin@sirmuthaschool.edu.in, info@sirmuthaschool.edu.in</t>
  </si>
  <si>
    <t>IN-2022004139</t>
  </si>
  <si>
    <t>2026-03-20 00:00:00</t>
  </si>
  <si>
    <t>219761</t>
  </si>
  <si>
    <t>2026-07-20 00:00:00</t>
  </si>
  <si>
    <t>2026-12-20 00:00:00</t>
  </si>
  <si>
    <t>0.5626</t>
  </si>
  <si>
    <t>2027-02-28 00:00:00</t>
  </si>
  <si>
    <t>22028000035790464</t>
  </si>
  <si>
    <t>zcrm_51788000302530333</t>
  </si>
  <si>
    <t>2026-02-20 10:43:51</t>
  </si>
  <si>
    <t>Ms. Kiran Bharti Sahoo</t>
  </si>
  <si>
    <t>bharti.kiran3106@gmail.com</t>
  </si>
  <si>
    <t>+918763206211</t>
  </si>
  <si>
    <t>Kamal Lochan Sahoo</t>
  </si>
  <si>
    <t>kamal.chem1999@gmail.com</t>
  </si>
  <si>
    <t>+917008764012</t>
  </si>
  <si>
    <t>St. Karen's Primary School</t>
  </si>
  <si>
    <t>IN-2022004358</t>
  </si>
  <si>
    <t>113734</t>
  </si>
  <si>
    <t>2026-10-31 00:00:00</t>
  </si>
  <si>
    <t>-18000</t>
  </si>
  <si>
    <t>22028000037343248</t>
  </si>
  <si>
    <t>51788000002789220</t>
  </si>
  <si>
    <t>zcrm_51788000305934144</t>
  </si>
  <si>
    <t>Srabani Mukherjee</t>
  </si>
  <si>
    <t>2026-03-03 10:36:36</t>
  </si>
  <si>
    <t>L.B. Galstaun</t>
  </si>
  <si>
    <t>stkarensprimary@gmail.com</t>
  </si>
  <si>
    <t>+919631105730</t>
  </si>
  <si>
    <t>Mrs. L.B. Galstaun</t>
  </si>
  <si>
    <t>142/D</t>
  </si>
  <si>
    <t>800001</t>
  </si>
  <si>
    <t>Mount Columbus School</t>
  </si>
  <si>
    <t>IN-2022004114</t>
  </si>
  <si>
    <t>1086</t>
  </si>
  <si>
    <t>320647</t>
  </si>
  <si>
    <t>0.6441</t>
  </si>
  <si>
    <t>0.5941</t>
  </si>
  <si>
    <t>22028000035210200</t>
  </si>
  <si>
    <t>51788000002789253</t>
  </si>
  <si>
    <t>zcrm_51788000296722365</t>
  </si>
  <si>
    <t>2025-12-19 17:20:52</t>
  </si>
  <si>
    <t>Ms. Aditi Roy</t>
  </si>
  <si>
    <t>principal@mountcolumbus.in</t>
  </si>
  <si>
    <t>+918800988502</t>
  </si>
  <si>
    <t>Principal@mountcolumbus.com</t>
  </si>
  <si>
    <t>C-Block,Dakshinpuri, Delhi, Delhi</t>
  </si>
  <si>
    <t>110062</t>
  </si>
  <si>
    <t>IN-2022004239</t>
  </si>
  <si>
    <t>148500</t>
  </si>
  <si>
    <t>22028000036442560</t>
  </si>
  <si>
    <t>zcrm_51788000302449371</t>
  </si>
  <si>
    <t>2026-01-24 14:38:01</t>
  </si>
  <si>
    <t>Ms. Sabreena Talwar</t>
  </si>
  <si>
    <t>Ms. Manu Vijayan</t>
  </si>
  <si>
    <t>manu.mriscw@mris.edu.in</t>
  </si>
  <si>
    <t>+919899150234</t>
  </si>
  <si>
    <t>IN-2022004272</t>
  </si>
  <si>
    <t>588</t>
  </si>
  <si>
    <t>1746</t>
  </si>
  <si>
    <t>1496782</t>
  </si>
  <si>
    <t>0.6077</t>
  </si>
  <si>
    <t>22028000036784304</t>
  </si>
  <si>
    <t>zcrm_51788000305609035</t>
  </si>
  <si>
    <t>2026-02-02 10:41:10</t>
  </si>
  <si>
    <t>Mr. Daniel Prasad</t>
  </si>
  <si>
    <t>daniel.prasad@pasbokaro.com</t>
  </si>
  <si>
    <t>2025-12-24 00:00:00, 2025-12-26 00:00:00</t>
  </si>
  <si>
    <t>IN-2022004164, IN-2022004165, IN-2022004167, IN-2022004168</t>
  </si>
  <si>
    <t>760, 826</t>
  </si>
  <si>
    <t>241488, 33642, 36665, 37827</t>
  </si>
  <si>
    <t>0.5329999999999999, 0.6667000000000001, 0.851, 0.9224</t>
  </si>
  <si>
    <t>22028000036016800, 22028000036016852, 22028000036016976, 22028000036040064</t>
  </si>
  <si>
    <t>zcrm_51788000303365001, zcrm_51788000303442032, zcrm_51788000303442193, zcrm_51788000303442357</t>
  </si>
  <si>
    <t>2025-12-30 14:06:34, 2025-12-30 14:06:52, 2025-12-30 14:07:51, 2025-12-30 14:08:14</t>
  </si>
  <si>
    <t>IN-2022004418</t>
  </si>
  <si>
    <t>41890</t>
  </si>
  <si>
    <t>2026-11-30 00:00:00</t>
  </si>
  <si>
    <t>40658</t>
  </si>
  <si>
    <t>22028000037540248</t>
  </si>
  <si>
    <t>zcrm_51788000307412164</t>
  </si>
  <si>
    <t>2026-03-10 11:57:00</t>
  </si>
  <si>
    <t>dpsbnk@gmail.com</t>
  </si>
  <si>
    <t>+917389949026</t>
  </si>
  <si>
    <t>Sanjoy Ghosh</t>
  </si>
  <si>
    <t>sanjoy.ghosh88@gmail.com</t>
  </si>
  <si>
    <t>IN-2022004128</t>
  </si>
  <si>
    <t>1175</t>
  </si>
  <si>
    <t>2026-05-20 00:00:00</t>
  </si>
  <si>
    <t>92788</t>
  </si>
  <si>
    <t>2026-08-20 00:00:00</t>
  </si>
  <si>
    <t>0.3649</t>
  </si>
  <si>
    <t>0.31489999999999996</t>
  </si>
  <si>
    <t>22028000035560288</t>
  </si>
  <si>
    <t>2026-02-09 17:13:28</t>
  </si>
  <si>
    <t>K Danteswar Rao</t>
  </si>
  <si>
    <t>dps.jdp@gmail.com</t>
  </si>
  <si>
    <t>+917587822592</t>
  </si>
  <si>
    <t>IN-2022004226</t>
  </si>
  <si>
    <t>1553</t>
  </si>
  <si>
    <t>2026-07-28 00:00:00</t>
  </si>
  <si>
    <t>364873</t>
  </si>
  <si>
    <t>2026-09-28 00:00:00</t>
  </si>
  <si>
    <t>2026-11-28 00:00:00</t>
  </si>
  <si>
    <t>2026-12-28 00:00:00</t>
  </si>
  <si>
    <t>22028000036395648</t>
  </si>
  <si>
    <t>zcrm_51788000304610157</t>
  </si>
  <si>
    <t>2026-01-20 18:30:48</t>
  </si>
  <si>
    <t>IN-2022004151</t>
  </si>
  <si>
    <t>153874</t>
  </si>
  <si>
    <t>2026-08-11 00:00:00</t>
  </si>
  <si>
    <t>149349</t>
  </si>
  <si>
    <t>2026-12-03 00:00:00</t>
  </si>
  <si>
    <t>153875</t>
  </si>
  <si>
    <t>22028000035836548</t>
  </si>
  <si>
    <t>zcrm_51788000302726103</t>
  </si>
  <si>
    <t>2025-12-17 16:13:37</t>
  </si>
  <si>
    <t>geetadeshmukh71@gmail.com</t>
  </si>
  <si>
    <t>Mr. Nem Kumar Jain</t>
  </si>
  <si>
    <t>+919425428603</t>
  </si>
  <si>
    <t>IN-2022004160</t>
  </si>
  <si>
    <t>681720</t>
  </si>
  <si>
    <t>2026-09-08 00:00:00</t>
  </si>
  <si>
    <t>795340</t>
  </si>
  <si>
    <t>2026-12-08 00:00:00</t>
  </si>
  <si>
    <t>668086</t>
  </si>
  <si>
    <t>13634</t>
  </si>
  <si>
    <t>22028000035931312</t>
  </si>
  <si>
    <t>zcrm_51788000261012729</t>
  </si>
  <si>
    <t>2025-12-30 12:40:11</t>
  </si>
  <si>
    <t>Mr. Rupal Jain</t>
  </si>
  <si>
    <t>Mrs. Renu  Muley</t>
  </si>
  <si>
    <t>Mrs. Wrena Lokhande</t>
  </si>
  <si>
    <t>+919425784555</t>
  </si>
  <si>
    <t>Chota Bangarda</t>
  </si>
  <si>
    <t>Chota Bangrada</t>
  </si>
  <si>
    <t>IN-2022004454</t>
  </si>
  <si>
    <t>183775</t>
  </si>
  <si>
    <t>22028000037572328</t>
  </si>
  <si>
    <t>zcrm_51788000302493316</t>
  </si>
  <si>
    <t>atufa.nagori_ei</t>
  </si>
  <si>
    <t>atufa.nagori@ei.study</t>
  </si>
  <si>
    <t>Atufa nagori</t>
  </si>
  <si>
    <t>2026-03-10 09:56:30</t>
  </si>
  <si>
    <t>Mr. Vijay Sinh Chauhan</t>
  </si>
  <si>
    <t>2026-02-14 00:00:00</t>
  </si>
  <si>
    <t>IN-2022004339</t>
  </si>
  <si>
    <t>0.1795</t>
  </si>
  <si>
    <t>22028000037262152</t>
  </si>
  <si>
    <t>zcrm_51788000306701017</t>
  </si>
  <si>
    <t>2026-02-21 11:00:37</t>
  </si>
  <si>
    <t>IN-2022004124</t>
  </si>
  <si>
    <t>764</t>
  </si>
  <si>
    <t>56413</t>
  </si>
  <si>
    <t>225651</t>
  </si>
  <si>
    <t>141032</t>
  </si>
  <si>
    <t>119568</t>
  </si>
  <si>
    <t>0.608</t>
  </si>
  <si>
    <t>22028000035493556</t>
  </si>
  <si>
    <t>zcrm_51788000302098198</t>
  </si>
  <si>
    <t>2025-12-26 11:26:58</t>
  </si>
  <si>
    <t>info@shraddhaacademy.com</t>
  </si>
  <si>
    <t>Padmaja Mani</t>
  </si>
  <si>
    <t>+919150027273</t>
  </si>
  <si>
    <t>3433432026.00, IN-2022003878</t>
  </si>
  <si>
    <t>0, 748000</t>
  </si>
  <si>
    <t>2025-08-23 00:00:00, 2027-03-31 00:00:00</t>
  </si>
  <si>
    <t>22028000032465092, 3433432026</t>
  </si>
  <si>
    <t>zcrm_51788000292585239</t>
  </si>
  <si>
    <t>2025-08-23 00:00:00, 2025-08-23 20:13:29</t>
  </si>
  <si>
    <t>Ms. Sunita Matoo</t>
  </si>
  <si>
    <t>+919099617900</t>
  </si>
  <si>
    <t>Aster Public School-Noida Extension</t>
  </si>
  <si>
    <t>IN-2022004225</t>
  </si>
  <si>
    <t>699008</t>
  </si>
  <si>
    <t>59240</t>
  </si>
  <si>
    <t>639792</t>
  </si>
  <si>
    <t>-24</t>
  </si>
  <si>
    <t>22028000036378360</t>
  </si>
  <si>
    <t>51788000002793880</t>
  </si>
  <si>
    <t>zcrm_51788000295624169</t>
  </si>
  <si>
    <t>2026-01-23 13:56:00</t>
  </si>
  <si>
    <t>rachna.shukla@asterinstitutions.com</t>
  </si>
  <si>
    <t>Dr Sharbari Banerjee</t>
  </si>
  <si>
    <t>sharbari.banerjee@asterinstutions.com</t>
  </si>
  <si>
    <t>+919818211108</t>
  </si>
  <si>
    <t>Ms Rachna Shukla</t>
  </si>
  <si>
    <t>+919899602803</t>
  </si>
  <si>
    <t>Hs 1- 3, Noida Extension, Sector 86,</t>
  </si>
  <si>
    <t>Connaissance Edu Service Pvt. Ltd.</t>
  </si>
  <si>
    <t>2025-12-21 00:00:00</t>
  </si>
  <si>
    <t>IN-2022004159</t>
  </si>
  <si>
    <t>1742</t>
  </si>
  <si>
    <t>339242</t>
  </si>
  <si>
    <t>0.5501</t>
  </si>
  <si>
    <t>Tughlakabad</t>
  </si>
  <si>
    <t>22028000035928064</t>
  </si>
  <si>
    <t>51788000002794046</t>
  </si>
  <si>
    <t>zcrm_51788000295305514</t>
  </si>
  <si>
    <t>2026-02-17 14:57:24</t>
  </si>
  <si>
    <t>Ms. Susan Kaur</t>
  </si>
  <si>
    <t>susan.kaur@homertongrammar.com</t>
  </si>
  <si>
    <t>+919811416506</t>
  </si>
  <si>
    <t>Ms Rashi Taneja</t>
  </si>
  <si>
    <t>rashi.taneja@homertongrammar.com</t>
  </si>
  <si>
    <t>+919999250482</t>
  </si>
  <si>
    <t>B1/H3 GF Mathura Road,</t>
  </si>
  <si>
    <t>110044</t>
  </si>
  <si>
    <t>DELC24801A</t>
  </si>
  <si>
    <t>IN-2022004245</t>
  </si>
  <si>
    <t>2002</t>
  </si>
  <si>
    <t>105105</t>
  </si>
  <si>
    <t>2026-09-21 00:00:00</t>
  </si>
  <si>
    <t>0.545</t>
  </si>
  <si>
    <t>22028000036500032</t>
  </si>
  <si>
    <t>zcrm_51788000304983184</t>
  </si>
  <si>
    <t>2026-02-09 14:21:43</t>
  </si>
  <si>
    <t>Mr Ashish</t>
  </si>
  <si>
    <t>principalbhis@gmail.com</t>
  </si>
  <si>
    <t>+917389891000</t>
  </si>
  <si>
    <t>IN-2022004213</t>
  </si>
  <si>
    <t>2666</t>
  </si>
  <si>
    <t>2026-02-15 00:00:00</t>
  </si>
  <si>
    <t>54850</t>
  </si>
  <si>
    <t>2829096</t>
  </si>
  <si>
    <t>2687669</t>
  </si>
  <si>
    <t>86577</t>
  </si>
  <si>
    <t>0.5669</t>
  </si>
  <si>
    <t>2027-01-31 00:00:00</t>
  </si>
  <si>
    <t>22028000036301660</t>
  </si>
  <si>
    <t>zcrm_51788000304477059</t>
  </si>
  <si>
    <t>2026-01-14 13:42:40</t>
  </si>
  <si>
    <t>PRG World School</t>
  </si>
  <si>
    <t>IN-2022004417</t>
  </si>
  <si>
    <t>64313</t>
  </si>
  <si>
    <t>22028000037540056</t>
  </si>
  <si>
    <t>51788000002794095</t>
  </si>
  <si>
    <t>zcrm_51788000297530899</t>
  </si>
  <si>
    <t>2026-02-27 10:22:08</t>
  </si>
  <si>
    <t>Mrs. Ritu Chaturvedi</t>
  </si>
  <si>
    <t>principal@prgworldschool.com</t>
  </si>
  <si>
    <t>+918875555199</t>
  </si>
  <si>
    <t>info@prgworldschool.edu.in</t>
  </si>
  <si>
    <t>51500</t>
  </si>
  <si>
    <t>Ajmer Rd, Satya Colony,</t>
  </si>
  <si>
    <t>302019</t>
  </si>
  <si>
    <t>Tagore Nagar, Ajmer Road</t>
  </si>
  <si>
    <t>IN-2022004344</t>
  </si>
  <si>
    <t>189544</t>
  </si>
  <si>
    <t>568631</t>
  </si>
  <si>
    <t>22028000037268168</t>
  </si>
  <si>
    <t>zcrm_51788000306737196</t>
  </si>
  <si>
    <t>2026-03-05 23:52:31</t>
  </si>
  <si>
    <t>Ms. Shraddha Gaur</t>
  </si>
  <si>
    <t>IN-2022004240</t>
  </si>
  <si>
    <t>93600</t>
  </si>
  <si>
    <t>84240</t>
  </si>
  <si>
    <t>9360</t>
  </si>
  <si>
    <t>22028000036442600</t>
  </si>
  <si>
    <t>51788000002794681</t>
  </si>
  <si>
    <t>zcrm_51788000302449117</t>
  </si>
  <si>
    <t>2026-01-24 14:37:43</t>
  </si>
  <si>
    <t>Ms. Nindiya Saket</t>
  </si>
  <si>
    <t>directorprincipal.mrisnoida@mris.edu.in</t>
  </si>
  <si>
    <t>+919818251551</t>
  </si>
  <si>
    <t>Ms. Ruchi Kanwar</t>
  </si>
  <si>
    <t>ruchi.mrisnoida@mris.edu.in</t>
  </si>
  <si>
    <t>+919313166631</t>
  </si>
  <si>
    <t>D-196, Sector 51, Noida, Uttar Pradesh 201316</t>
  </si>
  <si>
    <t>201316</t>
  </si>
  <si>
    <t>D-196, Sector-51,</t>
  </si>
  <si>
    <t>Sant Atulanand Residential Academy (SARA)</t>
  </si>
  <si>
    <t>IN-2022004047</t>
  </si>
  <si>
    <t>284268</t>
  </si>
  <si>
    <t>22028000034558324</t>
  </si>
  <si>
    <t>51788000002794708</t>
  </si>
  <si>
    <t>zcrm_51788000299994097</t>
  </si>
  <si>
    <t>2025-12-06 08:54:43</t>
  </si>
  <si>
    <t>Mr. Avinash Pandey</t>
  </si>
  <si>
    <t>atulanandacademy@gmail.com</t>
  </si>
  <si>
    <t>+918009361616</t>
  </si>
  <si>
    <t>55500</t>
  </si>
  <si>
    <t>Village Holapur, Parmanandpur Rd, Pargana, Shivpur,</t>
  </si>
  <si>
    <t>221003</t>
  </si>
  <si>
    <t>Village Holapur, Parmanandpur Rd, Pargana,</t>
  </si>
  <si>
    <t>IN-2022004125</t>
  </si>
  <si>
    <t>333292</t>
  </si>
  <si>
    <t>2026-11-16 00:00:00</t>
  </si>
  <si>
    <t>0.3654</t>
  </si>
  <si>
    <t>2027-01-29 00:00:00</t>
  </si>
  <si>
    <t>22028000035421656</t>
  </si>
  <si>
    <t>zcrm_51788000302139392</t>
  </si>
  <si>
    <t>2025-12-08 15:32:00</t>
  </si>
  <si>
    <t>Ms. SR. METHILINA M SANGMA</t>
  </si>
  <si>
    <t>SAINTXAVIERSHSS@GMAIL.COM</t>
  </si>
  <si>
    <t>SR.METHILINA M SANGMA</t>
  </si>
  <si>
    <t>IN-2022004265</t>
  </si>
  <si>
    <t>316345</t>
  </si>
  <si>
    <t>307041</t>
  </si>
  <si>
    <t>22028000036722512</t>
  </si>
  <si>
    <t>zcrm_51788000305544310</t>
  </si>
  <si>
    <t>2026-02-02 10:54:59</t>
  </si>
  <si>
    <t>Abishek Kumar Yadav</t>
  </si>
  <si>
    <t>Pradip kumar Sanyal</t>
  </si>
  <si>
    <t>principal@griffins.edu.in</t>
  </si>
  <si>
    <t>+919749599814</t>
  </si>
  <si>
    <t>IN-2022004310, IN-2022004323</t>
  </si>
  <si>
    <t>1420</t>
  </si>
  <si>
    <t>0, 95485</t>
  </si>
  <si>
    <t>0.5347, 0.5832999999999999</t>
  </si>
  <si>
    <t>22028000037096972, 22028000037110812</t>
  </si>
  <si>
    <t>zcrm_51788000306364710, zcrm_51788000306450610</t>
  </si>
  <si>
    <t>2026-02-24 17:19:57, 2026-02-24 17:20:27</t>
  </si>
  <si>
    <t>SECUREWAYS LOGISTICS PRIVATE LIMITED (STUDENT GALLERY), Plot No : N / 33 &amp; 34, Chandka Industrial Estate, Near OTV office,</t>
  </si>
  <si>
    <t>SAI International Residential School SAI Vihar, 1400, Ramdaspur, Nuagaon, Godisahi,</t>
  </si>
  <si>
    <t>IN-2022004274, IN-2022004275</t>
  </si>
  <si>
    <t>2026-04-25 00:00:00, 2026-06-25 00:00:00</t>
  </si>
  <si>
    <t>14214, 9878</t>
  </si>
  <si>
    <t>2026-07-25 00:00:00, 2026-10-25 00:00:00</t>
  </si>
  <si>
    <t>127927, 69147</t>
  </si>
  <si>
    <t>2026-09-25 00:00:00, 2026-12-30 00:00:00</t>
  </si>
  <si>
    <t>19756, 71071</t>
  </si>
  <si>
    <t>2000-01-01 00:00:00, 2026-12-25 00:00:00</t>
  </si>
  <si>
    <t>0, 71071</t>
  </si>
  <si>
    <t>0.6534, 0.6611</t>
  </si>
  <si>
    <t>22028000036845068, 22028000036845116</t>
  </si>
  <si>
    <t>zcrm_51788000305609227, zcrm_51788000305609255</t>
  </si>
  <si>
    <t>2026-02-05 14:55:10, 2026-02-05 14:55:28</t>
  </si>
  <si>
    <t>Mrs. Dewpha Mukherjee Patra</t>
  </si>
  <si>
    <t>Krishna Public School, Tulssi</t>
  </si>
  <si>
    <t>IN-2022004490</t>
  </si>
  <si>
    <t>246590</t>
  </si>
  <si>
    <t>232499</t>
  </si>
  <si>
    <t>225454</t>
  </si>
  <si>
    <t>22028000037754520</t>
  </si>
  <si>
    <t>51788000002797490</t>
  </si>
  <si>
    <t>zcrm_51788000306668214</t>
  </si>
  <si>
    <t>2026-03-09 12:53:37</t>
  </si>
  <si>
    <t>Mrs. Shakti Nair</t>
  </si>
  <si>
    <t>shaktinair@kpstulsi.com</t>
  </si>
  <si>
    <t>+919630252070</t>
  </si>
  <si>
    <t>Near CRPF camp</t>
  </si>
  <si>
    <t>492101</t>
  </si>
  <si>
    <t>JBPK02484G</t>
  </si>
  <si>
    <t>Tulsi, P.O Mandirhausad</t>
  </si>
  <si>
    <t>IN-2022004273</t>
  </si>
  <si>
    <t>1778</t>
  </si>
  <si>
    <t>103024.95</t>
  </si>
  <si>
    <t>1030249</t>
  </si>
  <si>
    <t>927224</t>
  </si>
  <si>
    <t>0.6443000000000001</t>
  </si>
  <si>
    <t>22028000036789228</t>
  </si>
  <si>
    <t>zcrm_51788000305653025</t>
  </si>
  <si>
    <t>2026-01-29 15:58:52</t>
  </si>
  <si>
    <t>Ms. Beena Rajpriya</t>
  </si>
  <si>
    <t>+919998343244</t>
  </si>
  <si>
    <t>Prestige Public School</t>
  </si>
  <si>
    <t>IN-2022004200</t>
  </si>
  <si>
    <t>124742</t>
  </si>
  <si>
    <t>2026-08-15 00:00:00</t>
  </si>
  <si>
    <t>145532</t>
  </si>
  <si>
    <t>112268</t>
  </si>
  <si>
    <t>12474</t>
  </si>
  <si>
    <t>0.49229999999999996</t>
  </si>
  <si>
    <t>22028000036114312</t>
  </si>
  <si>
    <t>51788000002799726</t>
  </si>
  <si>
    <t>zcrm_51788000289911304</t>
  </si>
  <si>
    <t>2026-01-22 18:19:18</t>
  </si>
  <si>
    <t>Mr. Rajesh Kumar Sharma</t>
  </si>
  <si>
    <t>principal@prestigeschool.org</t>
  </si>
  <si>
    <t>+918462817793</t>
  </si>
  <si>
    <t>info@prestigeschool.org</t>
  </si>
  <si>
    <t>Mr. Saorabh Srivastava</t>
  </si>
  <si>
    <t>+917314016666</t>
  </si>
  <si>
    <t>Prestige Vihar, Sch. No. 74-C, Sector D Vijay Nagar, Indore</t>
  </si>
  <si>
    <t>452010</t>
  </si>
  <si>
    <t>Prestige Vihar, Sch. No. 74-C, Sector D, Vijay Nagar,</t>
  </si>
  <si>
    <t>IN-2022004161, IN-2022004163</t>
  </si>
  <si>
    <t>1097</t>
  </si>
  <si>
    <t>1693, 2755</t>
  </si>
  <si>
    <t>188667, 66633</t>
  </si>
  <si>
    <t>0.4583, 0.667</t>
  </si>
  <si>
    <t>22028000035955712, 22028000035955848</t>
  </si>
  <si>
    <t>zcrm_51788000303172019, zcrm_51788000303261001</t>
  </si>
  <si>
    <t>2025-12-24 11:22:08, 2025-12-24 11:24:05</t>
  </si>
  <si>
    <t>Hridoy Goswami</t>
  </si>
  <si>
    <t>hridoy.goswami@gmail.com</t>
  </si>
  <si>
    <t>+918812865922</t>
  </si>
  <si>
    <t>IN-2022004280</t>
  </si>
  <si>
    <t>819</t>
  </si>
  <si>
    <t>400546</t>
  </si>
  <si>
    <t>0.45399999999999996</t>
  </si>
  <si>
    <t>0.354</t>
  </si>
  <si>
    <t>22028000036885272</t>
  </si>
  <si>
    <t>zcrm_51788000305806059</t>
  </si>
  <si>
    <t>2026-02-12 10:08:09</t>
  </si>
  <si>
    <t>Jishi Kaur</t>
  </si>
  <si>
    <t>jishijeet.kaur@tmsnoidaextension.com</t>
  </si>
  <si>
    <t>+919650608048</t>
  </si>
  <si>
    <t>Angels Valley School, Rajpura</t>
  </si>
  <si>
    <t>IN-2022004359</t>
  </si>
  <si>
    <t>460</t>
  </si>
  <si>
    <t>225545</t>
  </si>
  <si>
    <t>-50000</t>
  </si>
  <si>
    <t>0.6459</t>
  </si>
  <si>
    <t>0.5959</t>
  </si>
  <si>
    <t>22028000037348064</t>
  </si>
  <si>
    <t>51788000002801186</t>
  </si>
  <si>
    <t>zcrm_51788000299707645</t>
  </si>
  <si>
    <t>2026-03-09 16:11:12</t>
  </si>
  <si>
    <t>Mrs. Neeru Mehta</t>
  </si>
  <si>
    <t>angelsvalleyrajpura@gmail.com</t>
  </si>
  <si>
    <t>+919872633742</t>
  </si>
  <si>
    <t>Pabri Damanhari Rajpura Rd, Rajpura, Punjab 140401</t>
  </si>
  <si>
    <t>IN-2022004394</t>
  </si>
  <si>
    <t>396652</t>
  </si>
  <si>
    <t>22028000037445848</t>
  </si>
  <si>
    <t>zcrm_51788000307276031</t>
  </si>
  <si>
    <t>2026-03-02 11:39:02</t>
  </si>
  <si>
    <t>Priya Shrivastava</t>
  </si>
  <si>
    <t>Ajay Nirmalkar</t>
  </si>
  <si>
    <t>2026-08-01 00:00:00</t>
  </si>
  <si>
    <t>2025-11-18 00:00:00, 2025-11-19 00:00:00</t>
  </si>
  <si>
    <t>IN-2022004081, IN-2022004082, IN-2022004083</t>
  </si>
  <si>
    <t>1610, 1840, 2000</t>
  </si>
  <si>
    <t>19999, 21333, 24839</t>
  </si>
  <si>
    <t>2026-06-15 00:00:00</t>
  </si>
  <si>
    <t>0.4743, 0.54, 0.7143</t>
  </si>
  <si>
    <t>22028000034886184, 22028000034886260, 22028000034886336</t>
  </si>
  <si>
    <t>zcrm_51788000300601033, zcrm_51788000300601238, zcrm_51788000300601405</t>
  </si>
  <si>
    <t>2025-11-25 15:25:54, 2025-11-25 15:26:14, 2025-11-25 15:26:45</t>
  </si>
  <si>
    <t>Anupam Lama</t>
  </si>
  <si>
    <t>St. Paul's English Medium School</t>
  </si>
  <si>
    <t>IN-2022004194</t>
  </si>
  <si>
    <t>17940</t>
  </si>
  <si>
    <t>Barpeta</t>
  </si>
  <si>
    <t>22028000036045728</t>
  </si>
  <si>
    <t>51788000002802780</t>
  </si>
  <si>
    <t>zcrm_51788000290478240</t>
  </si>
  <si>
    <t>2026-02-19 10:10:15</t>
  </si>
  <si>
    <t>Mr. Sunil Kujur</t>
  </si>
  <si>
    <t>sunilkujurstp@gmail.com</t>
  </si>
  <si>
    <t>+919954360206</t>
  </si>
  <si>
    <t>sunilkujur21@yahoo.in</t>
  </si>
  <si>
    <t>Sundaridia</t>
  </si>
  <si>
    <t>781314</t>
  </si>
  <si>
    <t>781301</t>
  </si>
  <si>
    <t>IN-2022004478, IN-2022004482, IN-2022004483</t>
  </si>
  <si>
    <t>1650, 2154</t>
  </si>
  <si>
    <t>191682, 244141, 29698</t>
  </si>
  <si>
    <t>0.4825, 0.5083, 0.5417000000000001</t>
  </si>
  <si>
    <t>0.4325, 0.4583, 0.4917</t>
  </si>
  <si>
    <t>22028000037708504, 22028000037708692, 22028000037708776</t>
  </si>
  <si>
    <t>zcrm_51788000307759001, zcrm_51788000307759173, zcrm_51788000308039003</t>
  </si>
  <si>
    <t>2026-03-07 16:14:48, 2026-03-07 16:15:08, 2026-03-07 16:15:30</t>
  </si>
  <si>
    <t>+919810163997, +919891959399, +919910272118</t>
  </si>
  <si>
    <t>Dr. Seema Sharma, Ms. Neha Chaudhary</t>
  </si>
  <si>
    <t>neha.choudhary@pragyanschool.com, seema1@pragyanschool.com</t>
  </si>
  <si>
    <t>+917903081048, +919891959399, +919910272118</t>
  </si>
  <si>
    <t>2026-02-19 00:00:00, 2026-02-20 00:00:00</t>
  </si>
  <si>
    <t>IN-2022004370, IN-2022004371, IN-2022004372, IN-2022004374</t>
  </si>
  <si>
    <t>0, 1475, 1825, 925</t>
  </si>
  <si>
    <t>2000-01-01 00:00:00, 2026-04-13 00:00:00</t>
  </si>
  <si>
    <t>0, 455313, 68587, 80924</t>
  </si>
  <si>
    <t>2000-01-01 00:00:00, 2026-07-13 00:00:00</t>
  </si>
  <si>
    <t>2000-01-01 00:00:00, 2026-10-12 00:00:00</t>
  </si>
  <si>
    <t>0.43270000000000003, 0.47859999999999997, 0.48619999999999997, 1</t>
  </si>
  <si>
    <t>22028000037400540, 22028000037400600, 22028000037400652, 22028000037418040</t>
  </si>
  <si>
    <t>zcrm_51788000306380001, zcrm_51788000307075025, zcrm_51788000307075211, zcrm_51788000307075397</t>
  </si>
  <si>
    <t>2026-02-20 14:52:29, 2026-02-20 14:53:36, 2026-02-20 14:54:10, 2026-02-20 15:01:48</t>
  </si>
  <si>
    <t>IN-2022004476</t>
  </si>
  <si>
    <t>2026-03-23 00:00:00</t>
  </si>
  <si>
    <t>22028000037715824</t>
  </si>
  <si>
    <t>zcrm_51788000307957512</t>
  </si>
  <si>
    <t>2026-03-07 09:57:10</t>
  </si>
  <si>
    <t>zcrm_51788000304297705</t>
  </si>
  <si>
    <t>Mrs. Usha Sureshkumar</t>
  </si>
  <si>
    <t>Kunskapsskolan, Lucknow</t>
  </si>
  <si>
    <t>IN-2022004281</t>
  </si>
  <si>
    <t>117000</t>
  </si>
  <si>
    <t>22028000036920108</t>
  </si>
  <si>
    <t>51788000002813276</t>
  </si>
  <si>
    <t>zcrm_51788000305762636</t>
  </si>
  <si>
    <t>2026-02-21 23:05:11</t>
  </si>
  <si>
    <t>Mrs. Madhulika Agarwal</t>
  </si>
  <si>
    <t>Principal.kkl@ked.edu.in</t>
  </si>
  <si>
    <t>+917887094040</t>
  </si>
  <si>
    <t>principal.kkl@ked.edu.in</t>
  </si>
  <si>
    <t>Mrs Bhawna</t>
  </si>
  <si>
    <t>Bhawna.kkl@ked.edu.in</t>
  </si>
  <si>
    <t>+918317087629</t>
  </si>
  <si>
    <t>Opp Medanta hospital</t>
  </si>
  <si>
    <t>226002</t>
  </si>
  <si>
    <t>Sector-A, Pocket-1, Ansal Sushant Golf City, Shaheed Path Road, Arya Rd, Lucknow, Uttar Pradesh 226002</t>
  </si>
  <si>
    <t>Sector-A, Pocket-1 Ansal Sushant Golf Cityshaheed Path Road</t>
  </si>
  <si>
    <t>IN-2022004242</t>
  </si>
  <si>
    <t>46800</t>
  </si>
  <si>
    <t>22028000036442684</t>
  </si>
  <si>
    <t>51788000002814455</t>
  </si>
  <si>
    <t>zcrm_51788000302400859</t>
  </si>
  <si>
    <t>2026-01-24 14:37:05</t>
  </si>
  <si>
    <t>Ms. Monika Kathuria</t>
  </si>
  <si>
    <t>principal.mris21@mris.edu.in</t>
  </si>
  <si>
    <t>+918527990321</t>
  </si>
  <si>
    <t>Ms.Meenu</t>
  </si>
  <si>
    <t>veena.accounts@mriu.edu.in</t>
  </si>
  <si>
    <t>+919871132257</t>
  </si>
  <si>
    <t>Sec21-C Faridabad</t>
  </si>
  <si>
    <t>121001</t>
  </si>
  <si>
    <t>Sector 21C</t>
  </si>
  <si>
    <t>IN-2022004241</t>
  </si>
  <si>
    <t>177300</t>
  </si>
  <si>
    <t>22028000036442644</t>
  </si>
  <si>
    <t>51788000002814456</t>
  </si>
  <si>
    <t>zcrm_51788000302470022</t>
  </si>
  <si>
    <t>2026-01-24 14:37:27</t>
  </si>
  <si>
    <t>Ms. Mamta Wadhwa</t>
  </si>
  <si>
    <t>directorprincipal.mris14@mris.edu.in</t>
  </si>
  <si>
    <t>+919871776784</t>
  </si>
  <si>
    <t>counsellor.mris14@mris.edu.in</t>
  </si>
  <si>
    <t>Ms. Shaveta Bhatia</t>
  </si>
  <si>
    <t>shaveta.mris14@mris.edu.in</t>
  </si>
  <si>
    <t>+919971340003</t>
  </si>
  <si>
    <t>715, Chaudhary Charan Singh Marg, Sector 14, Faridabad, Haryana 121007</t>
  </si>
  <si>
    <t>121007</t>
  </si>
  <si>
    <t>IN-2022004238</t>
  </si>
  <si>
    <t>51900</t>
  </si>
  <si>
    <t>22028000036442516</t>
  </si>
  <si>
    <t>51788000002814457</t>
  </si>
  <si>
    <t>zcrm_51788000302369927</t>
  </si>
  <si>
    <t>2026-01-24 14:36:45</t>
  </si>
  <si>
    <t>Ms. Deepika Chaudhary</t>
  </si>
  <si>
    <t>principal.mris51@mris.edu.in</t>
  </si>
  <si>
    <t>+918800495692</t>
  </si>
  <si>
    <t>info.mris51@mris.edu.in</t>
  </si>
  <si>
    <t>Ms. Vinci Garg</t>
  </si>
  <si>
    <t>vinci.mris51@mris.edu.in</t>
  </si>
  <si>
    <t>+919990490240</t>
  </si>
  <si>
    <t>13000</t>
  </si>
  <si>
    <t>C Block, Nirvana Central Rd, Pocket C, Mayfield Garden, Sector 51, Gurugram, Haryana 122018</t>
  </si>
  <si>
    <t>122008</t>
  </si>
  <si>
    <t>2026-02-05 00:00:00, 2026-02-06 00:00:00</t>
  </si>
  <si>
    <t>IN-2022004295, IN-2022004296, IN-2022004297, IN-2022004299</t>
  </si>
  <si>
    <t>1244, 622, 972</t>
  </si>
  <si>
    <t>177611, 207790, 25350, 598639</t>
  </si>
  <si>
    <t>2026-07-13 00:00:00</t>
  </si>
  <si>
    <t>2026-10-12 00:00:00</t>
  </si>
  <si>
    <t>0.6262, 0.6445000000000001, 0.6464, 0.6544</t>
  </si>
  <si>
    <t>2026-03-16 00:00:00, 2026-04-01 00:00:00</t>
  </si>
  <si>
    <t>22028000037020384, 22028000037028672, 22028000037028736, 22028000037028796</t>
  </si>
  <si>
    <t>zcrm_51788000306200073, zcrm_51788000306200104, zcrm_51788000306200132, zcrm_51788000306200163</t>
  </si>
  <si>
    <t>2026-02-06 16:10:46, 2026-02-06 16:11:10, 2026-02-06 16:11:33, 2026-02-06 16:11:50</t>
  </si>
  <si>
    <t>FR. MELVIN PK, Fr Melvin PK, Fr. Melvin PK, Mr. Fr. George PK</t>
  </si>
  <si>
    <t>FRMELVIN.VP@sfsguwahati.ac.in, principal@sfsguwahati.ac.in</t>
  </si>
  <si>
    <t>ADREENA BORA, Adreena Bora</t>
  </si>
  <si>
    <t>Mother Mary's School</t>
  </si>
  <si>
    <t>IN-2022004197</t>
  </si>
  <si>
    <t>549</t>
  </si>
  <si>
    <t>476</t>
  </si>
  <si>
    <t>307780</t>
  </si>
  <si>
    <t>157780</t>
  </si>
  <si>
    <t>0.6339</t>
  </si>
  <si>
    <t>22028000036088232</t>
  </si>
  <si>
    <t>51788000002815295</t>
  </si>
  <si>
    <t>zcrm_51788000302444266</t>
  </si>
  <si>
    <t>2026-01-13 12:10:55</t>
  </si>
  <si>
    <t>Mrs. Manisha Joshi</t>
  </si>
  <si>
    <t>manisha_joshi@mothermarys.school</t>
  </si>
  <si>
    <t>+919811563166</t>
  </si>
  <si>
    <t>mothermarysmv@gmail.com</t>
  </si>
  <si>
    <t>110091</t>
  </si>
  <si>
    <t>Sahkarita Marg,Mayur Vihar, Delhi, Delhi</t>
  </si>
  <si>
    <t>IN-2022004320</t>
  </si>
  <si>
    <t>1916</t>
  </si>
  <si>
    <t>219024</t>
  </si>
  <si>
    <t>212582</t>
  </si>
  <si>
    <t>0.6233</t>
  </si>
  <si>
    <t>22028000037110660</t>
  </si>
  <si>
    <t>zcrm_51788000306364176</t>
  </si>
  <si>
    <t>2026-02-12 10:50:48</t>
  </si>
  <si>
    <t>Kabita Agrawal</t>
  </si>
  <si>
    <t>+919263888888</t>
  </si>
  <si>
    <t>Akshay Agrawal</t>
  </si>
  <si>
    <t>Shastra School</t>
  </si>
  <si>
    <t>IN-2022004254</t>
  </si>
  <si>
    <t>1516</t>
  </si>
  <si>
    <t>94005</t>
  </si>
  <si>
    <t>Mahabubnagar</t>
  </si>
  <si>
    <t>2027-03-01 00:00:00</t>
  </si>
  <si>
    <t>22028000036515060</t>
  </si>
  <si>
    <t>51788000002820105</t>
  </si>
  <si>
    <t>zcrm_51788000305162014</t>
  </si>
  <si>
    <t>2026-02-06 20:30:05</t>
  </si>
  <si>
    <t>Mr. Naresh Gubba</t>
  </si>
  <si>
    <t>shastraschool.9@gmail.com</t>
  </si>
  <si>
    <t>+919160937489</t>
  </si>
  <si>
    <t>info@shastraschool.co.in</t>
  </si>
  <si>
    <t>Naresh Gubba</t>
  </si>
  <si>
    <t>Veldanda, Mandal</t>
  </si>
  <si>
    <t>509360</t>
  </si>
  <si>
    <t>Kotra X Road, Kotra (Vill), Veldanda (Mdl), Mahabubnagar (Dist), Telangana</t>
  </si>
  <si>
    <t>The New Green Field Public Academy</t>
  </si>
  <si>
    <t>IN-2022004461</t>
  </si>
  <si>
    <t>208251</t>
  </si>
  <si>
    <t>2026-08-17 00:00:00</t>
  </si>
  <si>
    <t>2026-11-25 00:00:00</t>
  </si>
  <si>
    <t>178501</t>
  </si>
  <si>
    <t>0.5640999999999999</t>
  </si>
  <si>
    <t>22028000037621104</t>
  </si>
  <si>
    <t>51788000002824587</t>
  </si>
  <si>
    <t>zcrm_51788000257170419</t>
  </si>
  <si>
    <t>2026-03-06 16:53:24</t>
  </si>
  <si>
    <t>Mr. Raunak Mittal</t>
  </si>
  <si>
    <t>raunakmittal@newgreenfield.in</t>
  </si>
  <si>
    <t>+919826098740</t>
  </si>
  <si>
    <t>info@newgreenfield.in</t>
  </si>
  <si>
    <t>Mrs. Runzun Goyal</t>
  </si>
  <si>
    <t>runzungoyal@newgreenfield.in</t>
  </si>
  <si>
    <t>+919926100161</t>
  </si>
  <si>
    <t>Mrs. Indra Mittal</t>
  </si>
  <si>
    <t>+917312559177</t>
  </si>
  <si>
    <t>Scheme No.-94, Sec. -B</t>
  </si>
  <si>
    <t>Scheme No. 94, sector - B,</t>
  </si>
  <si>
    <t>Scheme No.-94, Sec. -Bring Road (Near Bombay Hospital)</t>
  </si>
  <si>
    <t>2025-12-20 00:00:00, 2025-12-21 00:00:00</t>
  </si>
  <si>
    <t>IN-2022004157, IN-2022004158</t>
  </si>
  <si>
    <t>1446</t>
  </si>
  <si>
    <t>2026-04-10 00:00:00, 2026-07-06 00:00:00</t>
  </si>
  <si>
    <t>101416, 163714</t>
  </si>
  <si>
    <t>2026-07-10 00:00:00, 2026-12-31 00:00:00</t>
  </si>
  <si>
    <t>163714, 236636</t>
  </si>
  <si>
    <t>2000-01-01 00:00:00, 2026-10-10 00:00:00</t>
  </si>
  <si>
    <t>0, 163714</t>
  </si>
  <si>
    <t>0.444, 0.5334</t>
  </si>
  <si>
    <t>22028000035892396, 22028000035909228</t>
  </si>
  <si>
    <t>zcrm_51788000303062009, zcrm_51788000303062185</t>
  </si>
  <si>
    <t>2026-01-07 23:57:39, 2026-01-07 23:59:11</t>
  </si>
  <si>
    <t>+917608000321, +919438486499</t>
  </si>
  <si>
    <t>Mayuri Joshi</t>
  </si>
  <si>
    <t>mayuri.joshi@mothers.edu.in</t>
  </si>
  <si>
    <t>+919438792009</t>
  </si>
  <si>
    <t>2025-10-06 00:00:00, 2026-02-21 00:00:00</t>
  </si>
  <si>
    <t>IN-2022003982, IN-2022003989, IN-2022004385</t>
  </si>
  <si>
    <t>0, 400050, 722961</t>
  </si>
  <si>
    <t>0, 722961</t>
  </si>
  <si>
    <t>22028000033682084, 22028000033683588, 22028000037458252</t>
  </si>
  <si>
    <t>zcrm_51788000297908708, zcrm_51788000297966666, zcrm_51788000307142611</t>
  </si>
  <si>
    <t>2025-10-08 14:14:17, 2025-10-08 14:15:13, 2026-02-23 17:29:41</t>
  </si>
  <si>
    <t>Darryl Bloud, Ms. Moonmoon Ghosh</t>
  </si>
  <si>
    <t>+919437880926, +919831096385</t>
  </si>
  <si>
    <t>Laxmibati Das, Piyali Das</t>
  </si>
  <si>
    <t>easchoolceo@apeejaygroup.com, vp.bbsr@apeejayschool.com</t>
  </si>
  <si>
    <t>+916289161381, +919437880926</t>
  </si>
  <si>
    <t>IN-2022004249</t>
  </si>
  <si>
    <t>148393</t>
  </si>
  <si>
    <t>144029</t>
  </si>
  <si>
    <t>0.6672</t>
  </si>
  <si>
    <t>22028000036460788</t>
  </si>
  <si>
    <t>zcrm_51788000302688278</t>
  </si>
  <si>
    <t>2026-01-30 12:44:09</t>
  </si>
  <si>
    <t>Dr. Debasmita Sahu</t>
  </si>
  <si>
    <t>+91933797511</t>
  </si>
  <si>
    <t>Chorda</t>
  </si>
  <si>
    <t>IN-2022004247</t>
  </si>
  <si>
    <t>360071</t>
  </si>
  <si>
    <t>0.527</t>
  </si>
  <si>
    <t>22028000036489264</t>
  </si>
  <si>
    <t>zcrm_51788000297325723</t>
  </si>
  <si>
    <t>2026-02-02 10:58:48</t>
  </si>
  <si>
    <t>Sister Anna Maria</t>
  </si>
  <si>
    <t>2026-01-22 00:00:00, 2026-02-20 00:00:00</t>
  </si>
  <si>
    <t>IN-2022004255, IN-2022004378, IN-2022004379, IN-2022004380</t>
  </si>
  <si>
    <t>1200, 148, 652, 958</t>
  </si>
  <si>
    <t>522, 925</t>
  </si>
  <si>
    <t>2026-01-29 00:00:00, 2026-04-02 00:00:00, 2026-04-06 00:00:00</t>
  </si>
  <si>
    <t>2000-01-01 00:00:00, 2026-04-02 00:00:00</t>
  </si>
  <si>
    <t>0, 319464</t>
  </si>
  <si>
    <t>2000-01-01 00:00:00, 2026-05-04 00:00:00</t>
  </si>
  <si>
    <t>0, 79866</t>
  </si>
  <si>
    <t>0.3333, 0.361, 0.5051, 0.565</t>
  </si>
  <si>
    <t>2026-02-02 00:00:00, 2026-02-16 00:00:00, 2026-03-09 00:00:00, 2026-03-16 00:00:00</t>
  </si>
  <si>
    <t>22028000036515172, 22028000037418488, 22028000037418544, 22028000037418640</t>
  </si>
  <si>
    <t>zcrm_51788000305007007, zcrm_51788000307075583, zcrm_51788000307098020, zcrm_51788000307098277</t>
  </si>
  <si>
    <t>2026-02-03 10:31:47, 2026-02-27 14:47:44, 2026-02-27 14:47:57, 2026-02-27 14:48:22</t>
  </si>
  <si>
    <t>Gargi Das</t>
  </si>
  <si>
    <t>2026-02-10 00:00:00, 2026-02-17 00:00:00</t>
  </si>
  <si>
    <t>IN-2022004318, IN-2022004351, IN-2022004352</t>
  </si>
  <si>
    <t>1811, 906</t>
  </si>
  <si>
    <t>130383, 197183, 65228</t>
  </si>
  <si>
    <t>0.4339, 0.4341, 0.49670000000000003</t>
  </si>
  <si>
    <t>2026-03-09 00:00:00, 2026-04-01 00:00:00</t>
  </si>
  <si>
    <t>22028000037117856, 22028000037303100, 22028000037303160</t>
  </si>
  <si>
    <t>zcrm_51788000306391040, zcrm_51788000306391068, zcrm_51788000306391099</t>
  </si>
  <si>
    <t>2026-02-18 11:04:19, 2026-02-18 11:04:50, 2026-02-18 11:05:40</t>
  </si>
  <si>
    <t>zcrm_51788000295495020</t>
  </si>
  <si>
    <t>IN-2022004051</t>
  </si>
  <si>
    <t>647401</t>
  </si>
  <si>
    <t>22028000034603664</t>
  </si>
  <si>
    <t>zcrm_51788000299996701</t>
  </si>
  <si>
    <t>2025-11-18 17:53:59</t>
  </si>
  <si>
    <t>+918879280510</t>
  </si>
  <si>
    <t>Ritu.gambhir@elproschools.edu.in</t>
  </si>
  <si>
    <t>Genesis international School</t>
  </si>
  <si>
    <t>IN-2022004329</t>
  </si>
  <si>
    <t>177021</t>
  </si>
  <si>
    <t>Jaspur</t>
  </si>
  <si>
    <t>22028000037163064</t>
  </si>
  <si>
    <t>51788000183128754</t>
  </si>
  <si>
    <t>zcrm_51788000306481548</t>
  </si>
  <si>
    <t>Devbrat Singh</t>
  </si>
  <si>
    <t>2026-02-16 11:33:45</t>
  </si>
  <si>
    <t>Mr. Kuldeep Singh</t>
  </si>
  <si>
    <t>genesisinternationalschool@gmail.com</t>
  </si>
  <si>
    <t>+918650856687</t>
  </si>
  <si>
    <t>genesisintjaspur@gmail.com</t>
  </si>
  <si>
    <t>Main Road N.H.74</t>
  </si>
  <si>
    <t>244712</t>
  </si>
  <si>
    <t>Opp satsang bhavan</t>
  </si>
  <si>
    <t>IN-2022004343</t>
  </si>
  <si>
    <t>22028000037268124</t>
  </si>
  <si>
    <t>zcrm_51788000306737001</t>
  </si>
  <si>
    <t>2026-02-19 11:46:26</t>
  </si>
  <si>
    <t>Madhura Phadke</t>
  </si>
  <si>
    <t>IN-2022004278</t>
  </si>
  <si>
    <t>3219</t>
  </si>
  <si>
    <t>0.3669</t>
  </si>
  <si>
    <t>22028000036851456</t>
  </si>
  <si>
    <t>zcrm_51788000301897040</t>
  </si>
  <si>
    <t>nishu.rani_ei</t>
  </si>
  <si>
    <t>nishu.rani@ei.study</t>
  </si>
  <si>
    <t>Nishu rani</t>
  </si>
  <si>
    <t>2026-01-31 11:01:58</t>
  </si>
  <si>
    <t>Dr. Joyeeta Ganguly</t>
  </si>
  <si>
    <t>principal@jainfuturisticacademy.com</t>
  </si>
  <si>
    <t>IN-2022004398, IN-2022004399</t>
  </si>
  <si>
    <t>22028000037484636, 22028000037484680</t>
  </si>
  <si>
    <t>zcrm_51788000307292001, zcrm_51788000307292159</t>
  </si>
  <si>
    <t>2026-02-27 13:01:59, 2026-02-27 13:02:17</t>
  </si>
  <si>
    <t>info.nn@srbps.com</t>
  </si>
  <si>
    <t>IN-2022004285</t>
  </si>
  <si>
    <t>2026-05-11 00:00:00</t>
  </si>
  <si>
    <t>88092</t>
  </si>
  <si>
    <t>2026-11-09 00:00:00</t>
  </si>
  <si>
    <t>0.6112</t>
  </si>
  <si>
    <t>22028000036903152</t>
  </si>
  <si>
    <t>zcrm_51788000305810007</t>
  </si>
  <si>
    <t>2026-02-04 10:46:37</t>
  </si>
  <si>
    <t>+919777680830</t>
  </si>
  <si>
    <t>IN-2022004453</t>
  </si>
  <si>
    <t>227989</t>
  </si>
  <si>
    <t>22028000037576972</t>
  </si>
  <si>
    <t>zcrm_51788000307436610</t>
  </si>
  <si>
    <t>2026-03-02 10:49:48</t>
  </si>
  <si>
    <t>IN-2022004121</t>
  </si>
  <si>
    <t>1445</t>
  </si>
  <si>
    <t>122838</t>
  </si>
  <si>
    <t>0.5871</t>
  </si>
  <si>
    <t>22028000035421476</t>
  </si>
  <si>
    <t>zcrm_51788000301939098</t>
  </si>
  <si>
    <t>2025-12-09 16:05:01</t>
  </si>
  <si>
    <t>2025-12-13 00:00:00, 2026-02-22 00:00:00</t>
  </si>
  <si>
    <t>IN-2022004133, IN-2022004134, IN-2022004390</t>
  </si>
  <si>
    <t>0, 208585, 95850</t>
  </si>
  <si>
    <t>0, 208585</t>
  </si>
  <si>
    <t>22028000035656228, 22028000035656520, 22028000037445376</t>
  </si>
  <si>
    <t>zcrm_51788000302345711, zcrm_51788000302396541, zcrm_51788000307158288</t>
  </si>
  <si>
    <t>2025-12-16 10:29:37, 2025-12-16 10:31:02, 2026-02-23 17:30:03</t>
  </si>
  <si>
    <t>Darryl Bloud, Mr. Darryl Bloud</t>
  </si>
  <si>
    <t>darrylbloud@apeejaygroup.com</t>
  </si>
  <si>
    <t>+919330992015</t>
  </si>
  <si>
    <t>sonali.bhowmik@apeejaygroup.com, sonali.bhowmik@apeejayschool.com</t>
  </si>
  <si>
    <t>IN-2022003947</t>
  </si>
  <si>
    <t>1602</t>
  </si>
  <si>
    <t>183787</t>
  </si>
  <si>
    <t>0.424</t>
  </si>
  <si>
    <t>22028000033423444</t>
  </si>
  <si>
    <t>zcrm_51788000297509678</t>
  </si>
  <si>
    <t>2025-09-29 14:08:33</t>
  </si>
  <si>
    <t>Mr. Sister Dibya Anshumala</t>
  </si>
  <si>
    <t>Sister Dibya Anshumala</t>
  </si>
  <si>
    <t>IN-2022003880</t>
  </si>
  <si>
    <t>157645</t>
  </si>
  <si>
    <t>2026-05-02 00:00:00</t>
  </si>
  <si>
    <t>2026-08-02 00:00:00</t>
  </si>
  <si>
    <t>2026-12-02 00:00:00</t>
  </si>
  <si>
    <t>0.508</t>
  </si>
  <si>
    <t>22028000032529528</t>
  </si>
  <si>
    <t>zcrm_51788000295552478</t>
  </si>
  <si>
    <t>2026-01-30 12:07:24</t>
  </si>
  <si>
    <t>+919046111651</t>
  </si>
  <si>
    <t>Radhanagar Hatia, Near, Chinakuri, West Bengal</t>
  </si>
  <si>
    <t>Radhanagar Hatia</t>
  </si>
  <si>
    <t>St. Joseph's English Medium School, Katwa</t>
  </si>
  <si>
    <t>IN-2022004346</t>
  </si>
  <si>
    <t>229632</t>
  </si>
  <si>
    <t>0.4512</t>
  </si>
  <si>
    <t>22028000037268304</t>
  </si>
  <si>
    <t>zcrm_51788000306760064</t>
  </si>
  <si>
    <t>2026-02-17 10:22:45</t>
  </si>
  <si>
    <t>Fr.M Irudaya Joseph</t>
  </si>
  <si>
    <t>secretarykatwa@gmail.com</t>
  </si>
  <si>
    <t>IN-2022004250</t>
  </si>
  <si>
    <t>1961</t>
  </si>
  <si>
    <t>250079</t>
  </si>
  <si>
    <t>2026-11-01 00:00:00</t>
  </si>
  <si>
    <t>0.7198</t>
  </si>
  <si>
    <t>22028000036478632</t>
  </si>
  <si>
    <t>zcrm_51788000304968281</t>
  </si>
  <si>
    <t>2026-01-27 11:15:46</t>
  </si>
  <si>
    <t>Rev. Fr. Thomas Manakuzhiyil</t>
  </si>
  <si>
    <t>principal@gmail.com</t>
  </si>
  <si>
    <t>+918023452133</t>
  </si>
  <si>
    <t>Ms Chandralekha</t>
  </si>
  <si>
    <t>info@acschool.edu.in</t>
  </si>
  <si>
    <t>+917483390732</t>
  </si>
  <si>
    <t>IN-2022004205</t>
  </si>
  <si>
    <t>601944</t>
  </si>
  <si>
    <t>2026-07-07 00:00:00</t>
  </si>
  <si>
    <t>60194.4</t>
  </si>
  <si>
    <t>541750</t>
  </si>
  <si>
    <t>0.2834</t>
  </si>
  <si>
    <t>22028000036283040</t>
  </si>
  <si>
    <t>zcrm_51788000296648319</t>
  </si>
  <si>
    <t>2026-02-03 17:26:53</t>
  </si>
  <si>
    <t>Mr. Shailesh Suvarna</t>
  </si>
  <si>
    <t>shailesh.suvarna@acresfoundation.org</t>
  </si>
  <si>
    <t>+919870792953</t>
  </si>
  <si>
    <t>Jehangir Hilloona</t>
  </si>
  <si>
    <t>+919833808385</t>
  </si>
  <si>
    <t>411-2/A</t>
  </si>
  <si>
    <t>2025-07-01 00:00:00, 2026-07-01 00:00:00</t>
  </si>
  <si>
    <t>2026-09-01 00:00:00, 2026-10-01 00:00:00</t>
  </si>
  <si>
    <t>directortheheritageschool@gmail.com</t>
  </si>
  <si>
    <t>+919932799631</t>
  </si>
  <si>
    <t>IN-2022004041</t>
  </si>
  <si>
    <t>1706</t>
  </si>
  <si>
    <t>42235</t>
  </si>
  <si>
    <t>2026-08-30 00:00:00</t>
  </si>
  <si>
    <t>0.4954</t>
  </si>
  <si>
    <t>22028000034506624</t>
  </si>
  <si>
    <t>zcrm_51788000299707183</t>
  </si>
  <si>
    <t>2025-11-13 12:29:04</t>
  </si>
  <si>
    <t>+919600105758</t>
  </si>
  <si>
    <t>Hari Karthikeyan</t>
  </si>
  <si>
    <t>Aster Public School-KP1</t>
  </si>
  <si>
    <t>IN-2022004227</t>
  </si>
  <si>
    <t>36450</t>
  </si>
  <si>
    <t>22028000036378576</t>
  </si>
  <si>
    <t>51788000281790786</t>
  </si>
  <si>
    <t>zcrm_51788000281924161</t>
  </si>
  <si>
    <t>2026-03-05 15:37:28</t>
  </si>
  <si>
    <t>Ms Anita Singh</t>
  </si>
  <si>
    <t>principal.kp1@asterinstitutions.com</t>
  </si>
  <si>
    <t>+918826988512</t>
  </si>
  <si>
    <t>Ms Rajni Rai</t>
  </si>
  <si>
    <t>+919810901199</t>
  </si>
  <si>
    <t>Knowledge Park -1</t>
  </si>
  <si>
    <t>201310</t>
  </si>
  <si>
    <t>IN-2022004220</t>
  </si>
  <si>
    <t>122415</t>
  </si>
  <si>
    <t>2026-08-18 00:00:00</t>
  </si>
  <si>
    <t>118815</t>
  </si>
  <si>
    <t>22028000036372260</t>
  </si>
  <si>
    <t>zcrm_51788000304554086</t>
  </si>
  <si>
    <t>2026-02-17 09:59:42</t>
  </si>
  <si>
    <t>Mrs.  Kirti Gala</t>
  </si>
  <si>
    <t>Mrs. Vanshika Mishra</t>
  </si>
  <si>
    <t>+919340090857</t>
  </si>
  <si>
    <t>D Y Patil International School</t>
  </si>
  <si>
    <t>IN-2022004203</t>
  </si>
  <si>
    <t>721</t>
  </si>
  <si>
    <t>158369</t>
  </si>
  <si>
    <t>3167.38</t>
  </si>
  <si>
    <t>2026-01-17 00:00:00</t>
  </si>
  <si>
    <t>155202</t>
  </si>
  <si>
    <t>0.445</t>
  </si>
  <si>
    <t>Kangra</t>
  </si>
  <si>
    <t>22028000036204408</t>
  </si>
  <si>
    <t>51788000283461185</t>
  </si>
  <si>
    <t>zcrm_51788000300939653</t>
  </si>
  <si>
    <t>2026-02-04 12:14:37</t>
  </si>
  <si>
    <t>Mr. Arun Martin Chauhan</t>
  </si>
  <si>
    <t>dypisk@gmail.com</t>
  </si>
  <si>
    <t>+919870450069</t>
  </si>
  <si>
    <t>dypatilkangra@gmail.com</t>
  </si>
  <si>
    <t>Arun Martin Chauhan</t>
  </si>
  <si>
    <t>+917807080536</t>
  </si>
  <si>
    <t>Thanpuri</t>
  </si>
  <si>
    <t>176001</t>
  </si>
  <si>
    <t>Near 53 Miles</t>
  </si>
  <si>
    <t>PTLP17185A</t>
  </si>
  <si>
    <t>Thanpuri, Nagrota Bagwan</t>
  </si>
  <si>
    <t>IN-2022004426</t>
  </si>
  <si>
    <t>3643</t>
  </si>
  <si>
    <t>2316</t>
  </si>
  <si>
    <t>52828</t>
  </si>
  <si>
    <t>0.24100000000000002</t>
  </si>
  <si>
    <t>22028000037490868</t>
  </si>
  <si>
    <t>zcrm_51788000307472264</t>
  </si>
  <si>
    <t>2026-03-09 08:20:00</t>
  </si>
  <si>
    <t>Father Yohan Alphanso</t>
  </si>
  <si>
    <t>Sandra</t>
  </si>
  <si>
    <t>schoolsupport@stmarysinternational.com</t>
  </si>
  <si>
    <t>+919819067938</t>
  </si>
  <si>
    <t>Sardar Balwant Singh Dhondy Marg</t>
  </si>
  <si>
    <t>IN-2022004209</t>
  </si>
  <si>
    <t>778</t>
  </si>
  <si>
    <t>26251</t>
  </si>
  <si>
    <t>39901</t>
  </si>
  <si>
    <t>38851</t>
  </si>
  <si>
    <t>0.5634</t>
  </si>
  <si>
    <t>22028000036279400</t>
  </si>
  <si>
    <t>zcrm_51788000302490250</t>
  </si>
  <si>
    <t>2026-01-29 14:47:28</t>
  </si>
  <si>
    <t>IN-2022004118</t>
  </si>
  <si>
    <t>1210</t>
  </si>
  <si>
    <t>97691</t>
  </si>
  <si>
    <t>0.474</t>
  </si>
  <si>
    <t>22028000035307452</t>
  </si>
  <si>
    <t>zcrm_51788000301728047</t>
  </si>
  <si>
    <t>2025-12-03 17:57:11</t>
  </si>
  <si>
    <t>IN-2022004269, IN-2022004270</t>
  </si>
  <si>
    <t>1481</t>
  </si>
  <si>
    <t>158844, 209956</t>
  </si>
  <si>
    <t>0.5052, 0.5084000000000001</t>
  </si>
  <si>
    <t>2027-04-30 00:00:00</t>
  </si>
  <si>
    <t>22028000036758200, 22028000036758248</t>
  </si>
  <si>
    <t>zcrm_51788000299447049, zcrm_51788000299485224</t>
  </si>
  <si>
    <t>2026-02-05 12:20:35, 2026-02-05 14:34:02</t>
  </si>
  <si>
    <t>Mrs. Kalpana Pasara</t>
  </si>
  <si>
    <t>Usha Kiran</t>
  </si>
  <si>
    <t>sunflowervedicschool@gmail.com</t>
  </si>
  <si>
    <t>+919908198624</t>
  </si>
  <si>
    <t>IN-2022003883</t>
  </si>
  <si>
    <t>115009</t>
  </si>
  <si>
    <t>0.525</t>
  </si>
  <si>
    <t>22028000032579416</t>
  </si>
  <si>
    <t>zcrm_51788000295526755</t>
  </si>
  <si>
    <t>2025-11-03 10:13:54</t>
  </si>
  <si>
    <t>Swamijanakidas@gmail.com</t>
  </si>
  <si>
    <t>swamijanakidasvidyapith@gmail.com</t>
  </si>
  <si>
    <t>ujjalsbco123@gmail.com</t>
  </si>
  <si>
    <t>+919647703070</t>
  </si>
  <si>
    <t>Delhi Public School, Bijnor</t>
  </si>
  <si>
    <t>IN-2022003895</t>
  </si>
  <si>
    <t>134875</t>
  </si>
  <si>
    <t>2026-06-20 00:00:00</t>
  </si>
  <si>
    <t>2026-09-20 00:00:00</t>
  </si>
  <si>
    <t>Bijnor</t>
  </si>
  <si>
    <t>22028000032734368</t>
  </si>
  <si>
    <t>51788000295367004</t>
  </si>
  <si>
    <t>zcrm_51788000295415007</t>
  </si>
  <si>
    <t>2025-09-09 15:28:15</t>
  </si>
  <si>
    <t>Mr. Devansh Agarwal</t>
  </si>
  <si>
    <t>delhipublicschool.bijnor@gmail.com</t>
  </si>
  <si>
    <t>+919673137125</t>
  </si>
  <si>
    <t>Kiratpur Road, 4 km from Shakti Chowk, Uttar Pradesh</t>
  </si>
  <si>
    <t>246701</t>
  </si>
  <si>
    <t>IN-2022004460</t>
  </si>
  <si>
    <t>638311</t>
  </si>
  <si>
    <t>319155</t>
  </si>
  <si>
    <t>22028000037568396</t>
  </si>
  <si>
    <t>zcrm_51788000307291167</t>
  </si>
  <si>
    <t>2026-03-09 16:17:49</t>
  </si>
  <si>
    <t>+919311963593</t>
  </si>
  <si>
    <t>Ms. Maninder Kaur</t>
  </si>
  <si>
    <t>St Paul's school Rampurhat</t>
  </si>
  <si>
    <t>IN-2022004005</t>
  </si>
  <si>
    <t>1318</t>
  </si>
  <si>
    <t>113314</t>
  </si>
  <si>
    <t>0.512</t>
  </si>
  <si>
    <t>22028000033820360</t>
  </si>
  <si>
    <t>51788000273655287</t>
  </si>
  <si>
    <t>zcrm_51788000273764881</t>
  </si>
  <si>
    <t>2025-10-23 12:33:03</t>
  </si>
  <si>
    <t>P.Prashanth</t>
  </si>
  <si>
    <t>paulpras@gmail.com</t>
  </si>
  <si>
    <t>+918250654212</t>
  </si>
  <si>
    <t>principal@stpaulschoolrph.com</t>
  </si>
  <si>
    <t>ST PAUL'S SCHOOL,VIDYA DANGA, KHARBONA,P.O., RAMPURHAT,BIRBHUM, W.B. PIN:731224</t>
  </si>
  <si>
    <t>G R International Public School</t>
  </si>
  <si>
    <t>IN-2022004013</t>
  </si>
  <si>
    <t>90496</t>
  </si>
  <si>
    <t>87834</t>
  </si>
  <si>
    <t>22028000034076432</t>
  </si>
  <si>
    <t>51788000298250207</t>
  </si>
  <si>
    <t>zcrm_51788000298695260</t>
  </si>
  <si>
    <t>2025-11-24 14:57:18</t>
  </si>
  <si>
    <t>Rekha P R</t>
  </si>
  <si>
    <t>princpalgrips20@gmail.com</t>
  </si>
  <si>
    <t>+919019854659</t>
  </si>
  <si>
    <t>principalgrips20@gmail.com</t>
  </si>
  <si>
    <t>Dodderi Village</t>
  </si>
  <si>
    <t>562130</t>
  </si>
  <si>
    <t>Dodderi village</t>
  </si>
  <si>
    <t>Tavarekere Hobli</t>
  </si>
  <si>
    <t>Yashasvi International School</t>
  </si>
  <si>
    <t>IN-2022004106</t>
  </si>
  <si>
    <t>28748</t>
  </si>
  <si>
    <t>64683</t>
  </si>
  <si>
    <t>50309</t>
  </si>
  <si>
    <t>18748</t>
  </si>
  <si>
    <t>0.4048</t>
  </si>
  <si>
    <t>22028000035100292</t>
  </si>
  <si>
    <t>51788000298957105</t>
  </si>
  <si>
    <t>zcrm_51788000300942561</t>
  </si>
  <si>
    <t>2025-12-31 12:12:12</t>
  </si>
  <si>
    <t>Ms. Dr.Uma Srinivas</t>
  </si>
  <si>
    <t>yisschool@gmail.com</t>
  </si>
  <si>
    <t>+919686468182</t>
  </si>
  <si>
    <t>99600</t>
  </si>
  <si>
    <t>Thalagatapura</t>
  </si>
  <si>
    <t>Thalagattapura</t>
  </si>
  <si>
    <t>Kanakapura Main Road</t>
  </si>
  <si>
    <t>IN-2022004035</t>
  </si>
  <si>
    <t>2593</t>
  </si>
  <si>
    <t>149825</t>
  </si>
  <si>
    <t>162311</t>
  </si>
  <si>
    <t>0.15</t>
  </si>
  <si>
    <t>22028000034488196</t>
  </si>
  <si>
    <t>zcrm_51788000299097015</t>
  </si>
  <si>
    <t>2025-11-06 17:55:14</t>
  </si>
  <si>
    <t>Rajesh Wakchaure</t>
  </si>
  <si>
    <t>IN-2022004096</t>
  </si>
  <si>
    <t>173773</t>
  </si>
  <si>
    <t>22028000035040048</t>
  </si>
  <si>
    <t>2025-11-28 18:43:45</t>
  </si>
  <si>
    <t>Mr Niren Jani</t>
  </si>
  <si>
    <t>IN-2022004129</t>
  </si>
  <si>
    <t>479976</t>
  </si>
  <si>
    <t>471841</t>
  </si>
  <si>
    <t>8135</t>
  </si>
  <si>
    <t>22028000035590168</t>
  </si>
  <si>
    <t>2025-12-30 15:58:51</t>
  </si>
  <si>
    <t>Mr. Rahul Raghavan</t>
  </si>
  <si>
    <t>Fortuna Shine School</t>
  </si>
  <si>
    <t>IN-2022004130, IN-2022004131</t>
  </si>
  <si>
    <t>1698</t>
  </si>
  <si>
    <t>1187</t>
  </si>
  <si>
    <t>63656, 94532</t>
  </si>
  <si>
    <t>0.515, 0.611</t>
  </si>
  <si>
    <t>22028000035563624, 22028000035563688</t>
  </si>
  <si>
    <t>51788000301605050</t>
  </si>
  <si>
    <t>zcrm_51788000301862239, zcrm_51788000302245997</t>
  </si>
  <si>
    <t>2025-12-19 17:10:30, 2025-12-19 17:10:53</t>
  </si>
  <si>
    <t>Mr. Sanjeev Kumar Gupta, Sanjeev Kumar Gupta</t>
  </si>
  <si>
    <t>purneaeducationaltrust@gmail.com</t>
  </si>
  <si>
    <t>+917004888534</t>
  </si>
  <si>
    <t>Mr. Krishna Mishra, Mr. Vinay Krishna Mishra</t>
  </si>
  <si>
    <t>+919304252733</t>
  </si>
  <si>
    <t>Ram Nagar Near Ufrail Chowk</t>
  </si>
  <si>
    <t>854303</t>
  </si>
  <si>
    <t>Ram Nagar</t>
  </si>
  <si>
    <t>Trinity Public School</t>
  </si>
  <si>
    <t>IN-2022004459</t>
  </si>
  <si>
    <t>105026</t>
  </si>
  <si>
    <t>22028000037578840</t>
  </si>
  <si>
    <t>51788000301632746</t>
  </si>
  <si>
    <t>zcrm_51788000307521661</t>
  </si>
  <si>
    <t>2026-03-02 11:49:58</t>
  </si>
  <si>
    <t>Ms. Tahseen Mahmood</t>
  </si>
  <si>
    <t>principal@trinitypublicschool.org</t>
  </si>
  <si>
    <t>+916289679457</t>
  </si>
  <si>
    <t>info@trinitypublicschool.org</t>
  </si>
  <si>
    <t>Dangadighila, Boro Bagan, Rahara, West Bengal-700119</t>
  </si>
  <si>
    <t>700119</t>
  </si>
  <si>
    <t>Dangadighila, Boro Bagan, Rahara, West Bengal-700119.</t>
  </si>
  <si>
    <t>The Mindcraft School</t>
  </si>
  <si>
    <t>51788000302379617</t>
  </si>
  <si>
    <t>zcrm_51788000306294651</t>
  </si>
  <si>
    <t>Mrs. Nirali Dagli</t>
  </si>
  <si>
    <t>desaidevansh2@gmail.com, info@themindcraftschool.com</t>
  </si>
  <si>
    <t>+919879058003</t>
  </si>
  <si>
    <t>info@themindcraftschool.com</t>
  </si>
  <si>
    <t>Mrs. Nirali Dagli, Nirali Dagli</t>
  </si>
  <si>
    <t>120003</t>
  </si>
  <si>
    <t>Patiya Road, Nr. La Season Restaurant &amp; Banquet</t>
  </si>
  <si>
    <t>Pasodara Patiya Road</t>
  </si>
  <si>
    <t>Patiya Road, Nr. La Season Restaurant &amp; Banquet, Kamrej, Pasodara</t>
  </si>
  <si>
    <t>Stratton World School</t>
  </si>
  <si>
    <t>IN-2022004149, IN-2022004150</t>
  </si>
  <si>
    <t>104988, 25071</t>
  </si>
  <si>
    <t>71, 79988</t>
  </si>
  <si>
    <t>0.4429, 0.46159999999999995</t>
  </si>
  <si>
    <t>Kashipur</t>
  </si>
  <si>
    <t>22028000035835460, 22028000035835512</t>
  </si>
  <si>
    <t>51788000302748002</t>
  </si>
  <si>
    <t>zcrm_51788000279476991</t>
  </si>
  <si>
    <t>2026-01-28 12:55:31, 2026-01-28 12:55:52</t>
  </si>
  <si>
    <t>Mr. Gurdayal Singh Saini, Ms. Harpreet Kaur</t>
  </si>
  <si>
    <t>Strattonworldschool@gmail.com</t>
  </si>
  <si>
    <t>+919720601111</t>
  </si>
  <si>
    <t>Mrs. Harpreet Kaur</t>
  </si>
  <si>
    <t>+917351145000</t>
  </si>
  <si>
    <t>Ramnagar Rd, Garhi inderjit, Pratappur, Kashipur, Uttarakhand 244713</t>
  </si>
  <si>
    <t>244713</t>
  </si>
  <si>
    <t>Ramnagar Road, Garhi Inderjit, Pratappur, Uttarakhand</t>
  </si>
  <si>
    <t>Brainz Edu World School, Meerut</t>
  </si>
  <si>
    <t>IN-2022004266</t>
  </si>
  <si>
    <t>112555</t>
  </si>
  <si>
    <t>103016</t>
  </si>
  <si>
    <t>9539</t>
  </si>
  <si>
    <t>0.6426999999999999</t>
  </si>
  <si>
    <t>22028000036747052</t>
  </si>
  <si>
    <t>51788000303154092</t>
  </si>
  <si>
    <t>zcrm_51788000276978309</t>
  </si>
  <si>
    <t>2026-01-29 10:35:12</t>
  </si>
  <si>
    <t>Mrs. Vibha Rajeev Goyal</t>
  </si>
  <si>
    <t>taarini@brainzeduworld.com</t>
  </si>
  <si>
    <t>+919837001449</t>
  </si>
  <si>
    <t>contact@brainzeduworld.com</t>
  </si>
  <si>
    <t>Brainz Edu World School, Kila Road, Meerut, Uttar Pradesh</t>
  </si>
  <si>
    <t>250001</t>
  </si>
  <si>
    <t>Red Rose Convent School</t>
  </si>
  <si>
    <t>IN-2022004228, IN-2022004229</t>
  </si>
  <si>
    <t>0, 950</t>
  </si>
  <si>
    <t>2000-01-01 00:00:00, 2026-01-16 00:00:00</t>
  </si>
  <si>
    <t>0, 178197</t>
  </si>
  <si>
    <t>0.6887000000000001, 1</t>
  </si>
  <si>
    <t>22028000036433040, 22028000036433076</t>
  </si>
  <si>
    <t>51788000303796021</t>
  </si>
  <si>
    <t>zcrm_51788000303953896, zcrm_51788000304732117</t>
  </si>
  <si>
    <t>2026-01-28 13:04:47, 2026-01-28 13:04:59</t>
  </si>
  <si>
    <t>Mr. Sandeep Singh</t>
  </si>
  <si>
    <t>rrcs193@yahoo.com</t>
  </si>
  <si>
    <t>+919410169193</t>
  </si>
  <si>
    <t>Red Rose Road, Barakhera</t>
  </si>
  <si>
    <t>263152</t>
  </si>
  <si>
    <t>Red Rose Rd, Gadarpur, Uttarakhand 263152</t>
  </si>
  <si>
    <t>Barakhera</t>
  </si>
  <si>
    <t>Vissanji Academy</t>
  </si>
  <si>
    <t>2026-08-03 00:00:00</t>
  </si>
  <si>
    <t>51788000303644390</t>
  </si>
  <si>
    <t>zcrm_51788000304937956</t>
  </si>
  <si>
    <t>shailaja.shah_ei</t>
  </si>
  <si>
    <t>shailaja.shah@ei.study</t>
  </si>
  <si>
    <t>Shailaja shah</t>
  </si>
  <si>
    <t>Kalpana Patange</t>
  </si>
  <si>
    <t>principal@vissanjiacademy.com</t>
  </si>
  <si>
    <t>info@vissanjiacademy.com</t>
  </si>
  <si>
    <t>Mrs. Kalpana Patange</t>
  </si>
  <si>
    <t>52500</t>
  </si>
  <si>
    <t>Old Nagardas Road, Andheri East, Mumbai - 400069</t>
  </si>
  <si>
    <t>437996</t>
  </si>
  <si>
    <t>The Ultimate AI Quiz</t>
  </si>
  <si>
    <t>IN-2022004210</t>
  </si>
  <si>
    <t>22028000036297196</t>
  </si>
  <si>
    <t>51788000304392007</t>
  </si>
  <si>
    <t>zcrm_51788000304392095</t>
  </si>
  <si>
    <t>2026-01-09 12:20:34</t>
  </si>
  <si>
    <t>Aditya Singhania</t>
  </si>
  <si>
    <t>aditya.singhania@ei.study</t>
  </si>
  <si>
    <t>+918017712562</t>
  </si>
  <si>
    <t>Aditya</t>
  </si>
  <si>
    <t>+91918017712562</t>
  </si>
  <si>
    <t>St. Mary's School (English Medium)</t>
  </si>
  <si>
    <t>IN-2022004219</t>
  </si>
  <si>
    <t>270014</t>
  </si>
  <si>
    <t>Buxar</t>
  </si>
  <si>
    <t>22028000036371300</t>
  </si>
  <si>
    <t>51788000304494517</t>
  </si>
  <si>
    <t>zcrm_51788000280022058</t>
  </si>
  <si>
    <t>2026-01-23 13:47:21</t>
  </si>
  <si>
    <t>Fr. Dominic Amalan</t>
  </si>
  <si>
    <t>do.amalan@gmail.com</t>
  </si>
  <si>
    <t>+919204113205</t>
  </si>
  <si>
    <t>Naya Bazar</t>
  </si>
  <si>
    <t>802101</t>
  </si>
  <si>
    <t>Near Govt ITI</t>
  </si>
  <si>
    <t>Delhi Public School, Vikasnagar</t>
  </si>
  <si>
    <t>2026-02-03 00:00:00, 2026-02-04 00:00:00</t>
  </si>
  <si>
    <t>IN-2022004287, IN-2022004288, IN-2022004290</t>
  </si>
  <si>
    <t>1397</t>
  </si>
  <si>
    <t>2000-01-01 00:00:00, 2026-02-04 00:00:00</t>
  </si>
  <si>
    <t>0, 77189, 81020</t>
  </si>
  <si>
    <t>68040, 77189, 81020</t>
  </si>
  <si>
    <t>37236, 69469, 72918</t>
  </si>
  <si>
    <t>30804, 7720, 8102</t>
  </si>
  <si>
    <t>0.46, 0.5746, 0.6666</t>
  </si>
  <si>
    <t>22028000036982420, 22028000036982468, 22028000037005052</t>
  </si>
  <si>
    <t>51788000304606021</t>
  </si>
  <si>
    <t>zcrm_51788000304550949, zcrm_51788000306020702, zcrm_51788000306060416</t>
  </si>
  <si>
    <t>2026-02-06 14:59:24, 2026-02-06 15:01:08, 2026-02-06 15:01:39</t>
  </si>
  <si>
    <t>Mr. Soneya Kumar, Mrs. Soneya Kumar, Soneya Kumar</t>
  </si>
  <si>
    <t>principal@dpsvikasnagar.com</t>
  </si>
  <si>
    <t>+919520876909</t>
  </si>
  <si>
    <t>Mrs. Soneya Kumar, Ms. Soneya Kumar</t>
  </si>
  <si>
    <t>Vikasnagar</t>
  </si>
  <si>
    <t>248197</t>
  </si>
  <si>
    <t>Vill. Khushalpur, Opp. Radha Swami Satsang Bhawan Chakrata Road</t>
  </si>
  <si>
    <t>Karnavati International School-CBSE</t>
  </si>
  <si>
    <t>51788000306157420</t>
  </si>
  <si>
    <t>zcrm_51788000306168379</t>
  </si>
  <si>
    <t>Beena Thakkar</t>
  </si>
  <si>
    <t>Shop No.14, Sagar Apartment Street, 6, Kalavad Rd,</t>
  </si>
  <si>
    <t>Kalavad Road</t>
  </si>
  <si>
    <t>150 Feet Ring Road, Opp. ADB Hotel</t>
  </si>
  <si>
    <t>Vasantiben and Chandubhai Patel English School</t>
  </si>
  <si>
    <t>IN-2022004314</t>
  </si>
  <si>
    <t>540036</t>
  </si>
  <si>
    <t>0.5714</t>
  </si>
  <si>
    <t>Anand</t>
  </si>
  <si>
    <t>22028000037095272</t>
  </si>
  <si>
    <t>51788000304770288</t>
  </si>
  <si>
    <t>zcrm_51788000304770300</t>
  </si>
  <si>
    <t>2026-02-25 19:39:04</t>
  </si>
  <si>
    <t>Salma Paleja</t>
  </si>
  <si>
    <t>vandcpatelenglishschool@gmail.com</t>
  </si>
  <si>
    <t>+919979137684</t>
  </si>
  <si>
    <t>52000</t>
  </si>
  <si>
    <t>Anand - Vidyanagar Road,</t>
  </si>
  <si>
    <t>388120</t>
  </si>
  <si>
    <t>Anand - Vidyanagar Rd,</t>
  </si>
  <si>
    <t>Opposite Manish Creations, Ambawadi, Ketivadi, Vallabh Vidyanagar</t>
  </si>
  <si>
    <t>IN-2022004268</t>
  </si>
  <si>
    <t>170069</t>
  </si>
  <si>
    <t>0.46009999999999995</t>
  </si>
  <si>
    <t>22028000036752152</t>
  </si>
  <si>
    <t>zcrm_51788000305519182</t>
  </si>
  <si>
    <t>2026-02-10 18:12:40</t>
  </si>
  <si>
    <t>Manju Surendran</t>
  </si>
  <si>
    <t>dir.academics@fia.edu.in</t>
  </si>
  <si>
    <t>Jasveer Kaur</t>
  </si>
  <si>
    <t>IN-2022004365</t>
  </si>
  <si>
    <t>657</t>
  </si>
  <si>
    <t>249774</t>
  </si>
  <si>
    <t>0.5618</t>
  </si>
  <si>
    <t>0.4618</t>
  </si>
  <si>
    <t>22028000037347480</t>
  </si>
  <si>
    <t>zcrm_51788000306991145</t>
  </si>
  <si>
    <t>2026-02-26 09:22:59</t>
  </si>
  <si>
    <t>St. Karen's High School</t>
  </si>
  <si>
    <t>IN-2022004354</t>
  </si>
  <si>
    <t>148554</t>
  </si>
  <si>
    <t>22028000037343048</t>
  </si>
  <si>
    <t>51788000002731270</t>
  </si>
  <si>
    <t>zcrm_51788000274349252</t>
  </si>
  <si>
    <t>2026-03-03 10:37:00</t>
  </si>
  <si>
    <t>Mrs. Seema Singh</t>
  </si>
  <si>
    <t>contact@stkarenshighschool.com</t>
  </si>
  <si>
    <t>+919934649202</t>
  </si>
  <si>
    <t>Gola Road</t>
  </si>
  <si>
    <t>801305</t>
  </si>
  <si>
    <t>Shashwat Vihar</t>
  </si>
  <si>
    <t>IN-2022004361, IN-2022004362</t>
  </si>
  <si>
    <t>112993, 395480</t>
  </si>
  <si>
    <t>0.2223, 0.4667</t>
  </si>
  <si>
    <t>22028000037350096, 22028000037350148</t>
  </si>
  <si>
    <t>zcrm_51788000306697164, zcrm_51788000306697327</t>
  </si>
  <si>
    <t>2026-02-23 15:27:54, 2026-02-23 15:28:14</t>
  </si>
  <si>
    <t>Mr. Rohit Gupta</t>
  </si>
  <si>
    <t>gupta18rohit@yahoo.co.in, principal.dwk@jminternationalschool.com</t>
  </si>
  <si>
    <t>2026-09-10 00:00:00</t>
  </si>
  <si>
    <t>IN-2022004345</t>
  </si>
  <si>
    <t>68475</t>
  </si>
  <si>
    <t>205425</t>
  </si>
  <si>
    <t>22028000037268208</t>
  </si>
  <si>
    <t>zcrm_51788000306737356</t>
  </si>
  <si>
    <t>2026-03-05 23:51:54</t>
  </si>
  <si>
    <t>Ms. Megha Chavan</t>
  </si>
  <si>
    <t>+919822000257</t>
  </si>
  <si>
    <t>IN-2022004331, IN-2022004332, IN-2022004334</t>
  </si>
  <si>
    <t>2026-02-20 00:00:00, 2026-02-23 00:00:00</t>
  </si>
  <si>
    <t>1153044, 154691, 385092</t>
  </si>
  <si>
    <t>0.3593, 0.3667, 0.441</t>
  </si>
  <si>
    <t>0.2593, 0.2667, 0.341</t>
  </si>
  <si>
    <t>2026-02-16 00:00:00, 2026-02-23 00:00:00, 2026-03-02 00:00:00</t>
  </si>
  <si>
    <t>22028000037184392, 22028000037184424, 22028000037184756</t>
  </si>
  <si>
    <t>zcrm_51788000306558170, zcrm_51788000306558356, zcrm_51788000306558606</t>
  </si>
  <si>
    <t>2026-02-17 11:45:57, 2026-02-17 11:46:47, 2026-02-17 11:47:06</t>
  </si>
  <si>
    <t>395009</t>
  </si>
  <si>
    <t>2026-07-02 00:00:00</t>
  </si>
  <si>
    <t>2026-10-02 00:00:00</t>
  </si>
  <si>
    <t>lions calcutta greater vidya mandir school</t>
  </si>
  <si>
    <t>IN-2022004293</t>
  </si>
  <si>
    <t>1260</t>
  </si>
  <si>
    <t>22028000036994488</t>
  </si>
  <si>
    <t>51788000002745009</t>
  </si>
  <si>
    <t>zcrm_51788000306160249</t>
  </si>
  <si>
    <t>2026-02-23 16:00:40</t>
  </si>
  <si>
    <t>Ms. Kakoli Ghosh</t>
  </si>
  <si>
    <t>lcgvm2012@gmail.com</t>
  </si>
  <si>
    <t>+919830982838</t>
  </si>
  <si>
    <t>28750</t>
  </si>
  <si>
    <t>Chowhati Battola Bazar,</t>
  </si>
  <si>
    <t>700149</t>
  </si>
  <si>
    <t>Chowhati Battola Bazar, Rajpur,</t>
  </si>
  <si>
    <t>IN-2022004438</t>
  </si>
  <si>
    <t>2881</t>
  </si>
  <si>
    <t>39950</t>
  </si>
  <si>
    <t>2026-07-27 00:00:00</t>
  </si>
  <si>
    <t>0.0556</t>
  </si>
  <si>
    <t>22028000037578204</t>
  </si>
  <si>
    <t>zcrm_51788000307527183</t>
  </si>
  <si>
    <t>2026-02-27 17:56:27</t>
  </si>
  <si>
    <t>aksharschool@yahoo.com</t>
  </si>
  <si>
    <t>Mrs.Reena Ghosh</t>
  </si>
  <si>
    <t>TBD</t>
  </si>
  <si>
    <t>Retained</t>
  </si>
  <si>
    <t>S No</t>
  </si>
  <si>
    <t>School No.</t>
  </si>
  <si>
    <t>Products</t>
  </si>
  <si>
    <t>Revenue</t>
  </si>
  <si>
    <t>Reasons</t>
  </si>
  <si>
    <t>Financial Reasons/School is moving to traditional assessments</t>
  </si>
  <si>
    <t>The school could not make the teachers adapt to the program.Teachers felt it as a burden</t>
  </si>
  <si>
    <t>There was an expectation mismatch regarding the reports.School expected physical reports</t>
  </si>
  <si>
    <t>Internal Reasons not disclosed</t>
  </si>
  <si>
    <t>Internal Reasons</t>
  </si>
  <si>
    <t>Parents objected on paying for CARES</t>
  </si>
  <si>
    <t>Partial drop of Mindspark and ASSET. The management wants the teachers to feel the value of Mindspark</t>
  </si>
  <si>
    <t>Ei CARES/Ei Mindspark</t>
  </si>
  <si>
    <t>Partial drop of CARES. Expected more hand holding.</t>
  </si>
  <si>
    <t>Dropped after 1 cycle.Didn't like the questions</t>
  </si>
  <si>
    <t>Infrastructure challenge. The school didn't have enough computers in the school to allocate periods for Mindspark which resulted in low usage. The HM was also not in favor.</t>
  </si>
  <si>
    <t>Principal(new)shared concerns that teachers are currently unable to effectively translate the product features, tools, and benefits into classroom practice.</t>
  </si>
  <si>
    <t>Chandigarh Baptist School</t>
  </si>
  <si>
    <t>The school has mailed for termination but not giving a meeting</t>
  </si>
  <si>
    <t>SBS Model High School, Hoshiarpur</t>
  </si>
  <si>
    <t>Budget Cuts in the school</t>
  </si>
  <si>
    <t>Retention</t>
  </si>
  <si>
    <t>Merged with Doon Girls</t>
  </si>
  <si>
    <t>Implementation purpose</t>
  </si>
  <si>
    <t>5017918</t>
  </si>
  <si>
    <t>IN-2022002407</t>
  </si>
  <si>
    <t>API Sync Error</t>
  </si>
  <si>
    <t/>
  </si>
  <si>
    <t>zcrm_51788000272583158</t>
  </si>
  <si>
    <t>Total</t>
  </si>
  <si>
    <t>No. of Schools</t>
  </si>
  <si>
    <t>Dropped Schools</t>
  </si>
  <si>
    <t>Revenue(in Lakhs)</t>
  </si>
  <si>
    <t>ASSET</t>
  </si>
  <si>
    <t>CARES</t>
  </si>
  <si>
    <t>Mindspark</t>
  </si>
  <si>
    <t>Product</t>
  </si>
  <si>
    <t>No of Schools</t>
  </si>
  <si>
    <t>% of Schools</t>
  </si>
  <si>
    <t xml:space="preserve">Vimukti Sanstha </t>
  </si>
  <si>
    <t>Dropped/Retained</t>
  </si>
  <si>
    <t>St. Karen's Montessori School</t>
  </si>
  <si>
    <t>IN-2022004355</t>
  </si>
  <si>
    <t>58267</t>
  </si>
  <si>
    <t>22028000037343100</t>
  </si>
  <si>
    <t>51788000002757280</t>
  </si>
  <si>
    <t>zcrm_51788000305951076</t>
  </si>
  <si>
    <t>2026-03-11 14:18:28</t>
  </si>
  <si>
    <t>stkarensmontessorischools@gmail.com</t>
  </si>
  <si>
    <t>E.galstaun@gmail.com</t>
  </si>
  <si>
    <t>Bailey Road</t>
  </si>
  <si>
    <t>800014</t>
  </si>
  <si>
    <t>14139.68</t>
  </si>
  <si>
    <t>127257</t>
  </si>
  <si>
    <t>provvrs@gmail.com</t>
  </si>
  <si>
    <t>IN-2022004488</t>
  </si>
  <si>
    <t>2113</t>
  </si>
  <si>
    <t>127807</t>
  </si>
  <si>
    <t>0.3073</t>
  </si>
  <si>
    <t>0.2073</t>
  </si>
  <si>
    <t>22028000037760268</t>
  </si>
  <si>
    <t>zcrm_51788000308168001</t>
  </si>
  <si>
    <t>2026-03-12 10:53:22</t>
  </si>
  <si>
    <t>Ms Deepa Avashia</t>
  </si>
  <si>
    <t>Ms Ritu Agrawal</t>
  </si>
  <si>
    <t>CHER20915G</t>
  </si>
  <si>
    <t>Mount Carmel School, Baghmugalia</t>
  </si>
  <si>
    <t>2026-03-08 00:00:00</t>
  </si>
  <si>
    <t>IN-2022004492</t>
  </si>
  <si>
    <t>497419</t>
  </si>
  <si>
    <t>22028000037775552</t>
  </si>
  <si>
    <t>51788000002773852</t>
  </si>
  <si>
    <t>zcrm_51788000308109263</t>
  </si>
  <si>
    <t>2026-03-11 12:39:57</t>
  </si>
  <si>
    <t>Dr. Sister Archana</t>
  </si>
  <si>
    <t>principal@mountcarmelbpl.com</t>
  </si>
  <si>
    <t>+919406680751</t>
  </si>
  <si>
    <t>pmountcarmel@yahoo.com</t>
  </si>
  <si>
    <t>Sister Archana</t>
  </si>
  <si>
    <t>56300</t>
  </si>
  <si>
    <t>Sarvodaya Hills,</t>
  </si>
  <si>
    <t>BAGHMUGALIA</t>
  </si>
  <si>
    <t>IN-2022004473</t>
  </si>
  <si>
    <t>356801</t>
  </si>
  <si>
    <t>713601</t>
  </si>
  <si>
    <t>594668</t>
  </si>
  <si>
    <t>0.4815</t>
  </si>
  <si>
    <t>22028000037683644</t>
  </si>
  <si>
    <t>zcrm_51788000307957022</t>
  </si>
  <si>
    <t>2026-03-11 17:18:50</t>
  </si>
  <si>
    <t>Ms. Subarna Chatterjee</t>
  </si>
  <si>
    <t>IN-2022004479</t>
  </si>
  <si>
    <t>146091</t>
  </si>
  <si>
    <t>0.484</t>
  </si>
  <si>
    <t>22028000037680272</t>
  </si>
  <si>
    <t>zcrm_51788000307361598</t>
  </si>
  <si>
    <t>bhavishya.bansal1_ei</t>
  </si>
  <si>
    <t>bhavishya.bansal1@ei.study</t>
  </si>
  <si>
    <t>Bhavishya bansal1</t>
  </si>
  <si>
    <t>2026-03-13 15:21:29</t>
  </si>
  <si>
    <t>principal@cisk.co.in</t>
  </si>
  <si>
    <t>+919805094250</t>
  </si>
  <si>
    <t>Sakshi Bisht</t>
  </si>
  <si>
    <t>7085.15</t>
  </si>
  <si>
    <t>347173</t>
  </si>
  <si>
    <t>-2695</t>
  </si>
  <si>
    <t>2026-03-11 00:00:00</t>
  </si>
  <si>
    <t>IN-2022004512</t>
  </si>
  <si>
    <t>583</t>
  </si>
  <si>
    <t>583773</t>
  </si>
  <si>
    <t>22028000037825292</t>
  </si>
  <si>
    <t>zcrm_51788000308264214</t>
  </si>
  <si>
    <t>2026-03-12 11:34:03</t>
  </si>
  <si>
    <t>Ms. Mitali Biswas</t>
  </si>
  <si>
    <t>+919844014007</t>
  </si>
  <si>
    <t>Kerala Public School</t>
  </si>
  <si>
    <t>IN-2022004514</t>
  </si>
  <si>
    <t>249000</t>
  </si>
  <si>
    <t>2026-03-12 00:00:00</t>
  </si>
  <si>
    <t>22028000037824144</t>
  </si>
  <si>
    <t>51788000002788977</t>
  </si>
  <si>
    <t>zcrm_51788000308245585</t>
  </si>
  <si>
    <t>2026-03-13 14:34:10</t>
  </si>
  <si>
    <t>Mr. Sharat Chandran</t>
  </si>
  <si>
    <t>kpsgamharia@yahoo.co.in</t>
  </si>
  <si>
    <t>+919431133895</t>
  </si>
  <si>
    <t>rashmi8439_jsr@rediffmail.com</t>
  </si>
  <si>
    <t>Rashmi Sinha</t>
  </si>
  <si>
    <t>+919431526104</t>
  </si>
  <si>
    <t>832108</t>
  </si>
  <si>
    <t>Tata Kandra Main rd</t>
  </si>
  <si>
    <t>Main Road, Saraikela-Kharsawa, Gamharia, Jamshedpur, Jharkhand 832108</t>
  </si>
  <si>
    <t>IN-2022004493</t>
  </si>
  <si>
    <t>1437</t>
  </si>
  <si>
    <t>0.6437999999999999</t>
  </si>
  <si>
    <t>0.5438000000000001</t>
  </si>
  <si>
    <t>2027-03-15 00:00:00</t>
  </si>
  <si>
    <t>22028000037764320</t>
  </si>
  <si>
    <t>zcrm_51788000307087028</t>
  </si>
  <si>
    <t>2026-03-11 16:28:16</t>
  </si>
  <si>
    <t>Rajani Mondal</t>
  </si>
  <si>
    <t>+917407003604</t>
  </si>
  <si>
    <t>zcrm_51788000307223428</t>
  </si>
  <si>
    <t>Mrs. Kashmira Jaiswal</t>
  </si>
  <si>
    <t>IN-2022004402</t>
  </si>
  <si>
    <t>514</t>
  </si>
  <si>
    <t>446</t>
  </si>
  <si>
    <t>257627</t>
  </si>
  <si>
    <t>2026-10-26 00:00:00</t>
  </si>
  <si>
    <t>0.657</t>
  </si>
  <si>
    <t>0.607</t>
  </si>
  <si>
    <t>22028000037487160</t>
  </si>
  <si>
    <t>zcrm_51788000306209023</t>
  </si>
  <si>
    <t>2026-03-11 12:13:25</t>
  </si>
  <si>
    <t>Vikas Acharya</t>
  </si>
  <si>
    <t>4955</t>
  </si>
  <si>
    <t>242799</t>
  </si>
  <si>
    <t>-1164</t>
  </si>
  <si>
    <t>St. Karen's Secondary School</t>
  </si>
  <si>
    <t>IN-2022004356</t>
  </si>
  <si>
    <t>157478</t>
  </si>
  <si>
    <t>22028000037343148</t>
  </si>
  <si>
    <t>51788000002822749</t>
  </si>
  <si>
    <t>zcrm_51788000305930267</t>
  </si>
  <si>
    <t>2026-03-10 12:32:51</t>
  </si>
  <si>
    <t>Marykutty Thomas</t>
  </si>
  <si>
    <t>contact@stkarenssecondaryschool.com</t>
  </si>
  <si>
    <t>+919031018771</t>
  </si>
  <si>
    <t>Khagaul Road</t>
  </si>
  <si>
    <t>801105</t>
  </si>
  <si>
    <t>Kahgaul Road</t>
  </si>
  <si>
    <t>Danapur Patna Bihar</t>
  </si>
  <si>
    <t>IN-2022004524</t>
  </si>
  <si>
    <t>416</t>
  </si>
  <si>
    <t>600173</t>
  </si>
  <si>
    <t>400115</t>
  </si>
  <si>
    <t>0.8267</t>
  </si>
  <si>
    <t>0.7767000000000001</t>
  </si>
  <si>
    <t>22028000037879104</t>
  </si>
  <si>
    <t>zcrm_51788000308168167</t>
  </si>
  <si>
    <t>2026-03-12 13:08:35</t>
  </si>
  <si>
    <t>+919557855361</t>
  </si>
  <si>
    <t>principal.nvn.essar@gmail.com</t>
  </si>
  <si>
    <t>2025-08-29 00:00:00, 2025-12-01 00:00:00</t>
  </si>
  <si>
    <t>IN-2022003886, IN-2022004115</t>
  </si>
  <si>
    <t>2025-09-03 00:00:00, 2025-12-01 00:00:00</t>
  </si>
  <si>
    <t>0, 6220</t>
  </si>
  <si>
    <t>0, 311014</t>
  </si>
  <si>
    <t>0, 304794</t>
  </si>
  <si>
    <t>0.2616, 1</t>
  </si>
  <si>
    <t>2026-01-08 00:00:00, 2026-04-01 00:00:00</t>
  </si>
  <si>
    <t>2026-02-11 00:00:00, 2027-03-31 00:00:00</t>
  </si>
  <si>
    <t>Pilot School: Zero Revenue / Free offering for School/s, Regular School: Active school with student count and rate per student defined</t>
  </si>
  <si>
    <t>22028000032613412, 22028000035272080</t>
  </si>
  <si>
    <t>2025-09-06 10:27:31, 2025-12-29 14:55:25</t>
  </si>
  <si>
    <t>2026-10-22 00:00:00</t>
  </si>
  <si>
    <t>2026-12-22 00:00:00</t>
  </si>
  <si>
    <t>IN-2022004027, IN-2022004028</t>
  </si>
  <si>
    <t>1556</t>
  </si>
  <si>
    <t>135457, 77789</t>
  </si>
  <si>
    <t>2026-06-30 00:00:00, 2026-07-01 00:00:00</t>
  </si>
  <si>
    <t>2026-09-01 00:00:00, 2026-10-31 00:00:00</t>
  </si>
  <si>
    <t>2026-12-01 00:00:00, 2026-12-31 00:00:00</t>
  </si>
  <si>
    <t>0.565, 0.65</t>
  </si>
  <si>
    <t>22028000034356332, 22028000034356524</t>
  </si>
  <si>
    <t>zcrm_51788000299419662, zcrm_51788000299456686</t>
  </si>
  <si>
    <t>2025-11-11 10:33:20, 2026-03-11 12:03:09</t>
  </si>
  <si>
    <t>2025-11-08 00:00:00, 2025-11-18 00:00:00</t>
  </si>
  <si>
    <t>IN-2022004050, IN-2022004078</t>
  </si>
  <si>
    <t>2000-01-01 00:00:00, 2026-08-01 00:00:00</t>
  </si>
  <si>
    <t>0, 97361</t>
  </si>
  <si>
    <t>0.5211, 1</t>
  </si>
  <si>
    <t>2025-11-17 00:00:00, 2026-06-01 00:00:00</t>
  </si>
  <si>
    <t>2026-03-31 00:00:00, 2027-03-31 00:00:00</t>
  </si>
  <si>
    <t>22028000034603608, 22028000034851072</t>
  </si>
  <si>
    <t>zcrm_51788000296638644, zcrm_51788000300545521</t>
  </si>
  <si>
    <t>2025-11-18 16:04:10, 2025-11-18 17:50:23</t>
  </si>
  <si>
    <t>Mr. Sunil Khandelwal, Srivalli Jayanthi</t>
  </si>
  <si>
    <t>khandelwal@elpro.co.in, principal.hinjewadi@elproschools.edu.in</t>
  </si>
  <si>
    <t>+918879280510, +919850885102</t>
  </si>
  <si>
    <t>Dr. Pallavi Mukherjee, Pallavi Mukherjee</t>
  </si>
  <si>
    <t>+918754476636, +919850885102</t>
  </si>
  <si>
    <t>Mrinal Waikar, Srivalli Jayanthi</t>
  </si>
  <si>
    <t>mrinal.waikar@elproschools.edu.in, srivalli.jayanti@elproschools.edu.in</t>
  </si>
  <si>
    <t>IN-2022004518</t>
  </si>
  <si>
    <t>57600</t>
  </si>
  <si>
    <t>Nawabganj, Noapara</t>
  </si>
  <si>
    <t>22028000037822704</t>
  </si>
  <si>
    <t>51788000305875195</t>
  </si>
  <si>
    <t>zcrm_51788000306780959</t>
  </si>
  <si>
    <t>2026-03-13 12:13:41</t>
  </si>
  <si>
    <t>Rahul Singh</t>
  </si>
  <si>
    <t>rahul365in@gmail.com</t>
  </si>
  <si>
    <t>+919007967004</t>
  </si>
  <si>
    <t>epsichhapur@gmail.com</t>
  </si>
  <si>
    <t>Arindam Bose</t>
  </si>
  <si>
    <t>2, Brick Field Road, Sreebhumi, Ichapur, P.O, Nawabganj, Noapara</t>
  </si>
  <si>
    <t>743144</t>
  </si>
  <si>
    <t>2, Brick Field Road, Sreebhumi, Ichapur</t>
  </si>
  <si>
    <t>Ichapur</t>
  </si>
  <si>
    <t>2, Brick Field Road, Sreebhumi</t>
  </si>
  <si>
    <t>Prayash Vidya Mandir - Jajpur</t>
  </si>
  <si>
    <t>IN-2022004494</t>
  </si>
  <si>
    <t>2026-04-03 00:00:00</t>
  </si>
  <si>
    <t>135034</t>
  </si>
  <si>
    <t>2026-07-03 00:00:00</t>
  </si>
  <si>
    <t>Jajpur</t>
  </si>
  <si>
    <t>22028000037751772</t>
  </si>
  <si>
    <t>51788000307291001</t>
  </si>
  <si>
    <t>zcrm_51788000308114967</t>
  </si>
  <si>
    <t>2026-03-13 13:01:05</t>
  </si>
  <si>
    <t>Mr. Abhay Kumar Rath</t>
  </si>
  <si>
    <t>vidyamandirprayash@gmail.com</t>
  </si>
  <si>
    <t>+919938442540</t>
  </si>
  <si>
    <t>info@pvmodisha.in</t>
  </si>
  <si>
    <t>Tandara</t>
  </si>
  <si>
    <t>755015</t>
  </si>
  <si>
    <t>IN-2022004464</t>
  </si>
  <si>
    <t>1123</t>
  </si>
  <si>
    <t>2558</t>
  </si>
  <si>
    <t>1561</t>
  </si>
  <si>
    <t>634215</t>
  </si>
  <si>
    <t>0.48829999999999996</t>
  </si>
  <si>
    <t>22028000037622292</t>
  </si>
  <si>
    <t>zcrm_51788000307508037</t>
  </si>
  <si>
    <t>2026-03-11 11:59:30</t>
  </si>
  <si>
    <t>+918553486065</t>
  </si>
  <si>
    <t>Ms. Geeta Viswanathan</t>
  </si>
  <si>
    <t>geeta.viswanathan@sishugriha.in</t>
  </si>
  <si>
    <t>2027-03-01 00:00:00, 2027-03-31 00:00:00</t>
  </si>
  <si>
    <t>St. Karen's Collegiate School</t>
  </si>
  <si>
    <t>IN-2022004357</t>
  </si>
  <si>
    <t>70165</t>
  </si>
  <si>
    <t>22028000037343200</t>
  </si>
  <si>
    <t>51788000002741104</t>
  </si>
  <si>
    <t>zcrm_51788000305938230</t>
  </si>
  <si>
    <t>2026-03-10 12:32:28</t>
  </si>
  <si>
    <t>Manisha Lall</t>
  </si>
  <si>
    <t>stkarenscollegiateschool@gmail.com</t>
  </si>
  <si>
    <t>+917542967666</t>
  </si>
  <si>
    <t>Mrs. Manisha Lall</t>
  </si>
  <si>
    <t>Jaitipur</t>
  </si>
  <si>
    <t>801109</t>
  </si>
  <si>
    <t>Bihta</t>
  </si>
  <si>
    <t>2116</t>
  </si>
  <si>
    <t>1793</t>
  </si>
  <si>
    <t>166939, 257048</t>
  </si>
  <si>
    <t>389523, 599778</t>
  </si>
  <si>
    <t>0.1863, 0.41229999999999994</t>
  </si>
  <si>
    <t>+919769991959</t>
  </si>
  <si>
    <t>2026-03-17 00:00:00</t>
  </si>
  <si>
    <t>IN-2022004552, IN-2022004553</t>
  </si>
  <si>
    <t>2627</t>
  </si>
  <si>
    <t>1023117, 431900</t>
  </si>
  <si>
    <t>0.4833, 0.6</t>
  </si>
  <si>
    <t>22028000037978440, 22028000037978520</t>
  </si>
  <si>
    <t>zcrm_51788000308742429, zcrm_51788000308742607</t>
  </si>
  <si>
    <t>2026-03-23 17:31:05, 2026-03-23 17:31:33</t>
  </si>
  <si>
    <t>Ms Basundhara Bhattacharya, Ms Subhasree Mallick</t>
  </si>
  <si>
    <t>coordinator.mid@mbwa.org.in, hod.maths.jr@mbwa.org.in</t>
  </si>
  <si>
    <t>+918276812989, +919903595193</t>
  </si>
  <si>
    <t>IN-2022004630, IN-2022004631, IN-2022004632</t>
  </si>
  <si>
    <t>2000-01-01 00:00:00, 2026-03-30 00:00:00</t>
  </si>
  <si>
    <t>0, 968075</t>
  </si>
  <si>
    <t>2000-01-01 00:00:00, 2026-08-03 00:00:00</t>
  </si>
  <si>
    <t>0.41009999999999996, 0.5</t>
  </si>
  <si>
    <t>22028000038080248, 22028000038080292, 22028000038080336</t>
  </si>
  <si>
    <t>zcrm_51788000308818515, zcrm_51788000308818675</t>
  </si>
  <si>
    <t>2026-03-24 10:11:46, 2026-03-24 10:12:08, 2026-03-26 10:52:06</t>
  </si>
  <si>
    <t>2026-03-10 00:00:00, 2026-03-13 00:00:00</t>
  </si>
  <si>
    <t>IN-2022004511, IN-2022004539</t>
  </si>
  <si>
    <t>2026-03-10 00:00:00, 2026-03-12 00:00:00</t>
  </si>
  <si>
    <t>2027-03-10 00:00:00, 2027-03-31 00:00:00</t>
  </si>
  <si>
    <t>22028000037820132, 22028000037898688</t>
  </si>
  <si>
    <t>zcrm_51788000308271167, zcrm_51788000308369163</t>
  </si>
  <si>
    <t>2026-03-14 11:06:41, 2026-03-14 11:07:01</t>
  </si>
  <si>
    <t>Maruf, Mrs. S Ganguly</t>
  </si>
  <si>
    <t>Maruf Shaikh, Ms. Bindi Bhatia</t>
  </si>
  <si>
    <t>b.bhatia@cathedral-school.com, maruf.shaikh@ei.study</t>
  </si>
  <si>
    <t>+919016039311, +919821325320</t>
  </si>
  <si>
    <t>IN-2022004549</t>
  </si>
  <si>
    <t>869</t>
  </si>
  <si>
    <t>1490</t>
  </si>
  <si>
    <t>1312059</t>
  </si>
  <si>
    <t>0.5117</t>
  </si>
  <si>
    <t>22028000037963260</t>
  </si>
  <si>
    <t>zcrm_51788000308531300</t>
  </si>
  <si>
    <t>2026-03-24 16:26:28</t>
  </si>
  <si>
    <t>IN-2022004547</t>
  </si>
  <si>
    <t>267763</t>
  </si>
  <si>
    <t>22028000037905916</t>
  </si>
  <si>
    <t>zcrm_51788000308645027</t>
  </si>
  <si>
    <t>2026-03-25 15:28:14</t>
  </si>
  <si>
    <t>Mohammed Hasim</t>
  </si>
  <si>
    <t>mohammed.hasim@suncity.sunbeamschools.com</t>
  </si>
  <si>
    <t>+918318259695</t>
  </si>
  <si>
    <t>33456, 7153</t>
  </si>
  <si>
    <t>IN-2022004388</t>
  </si>
  <si>
    <t>221430</t>
  </si>
  <si>
    <t>22028000037461200</t>
  </si>
  <si>
    <t>zcrm_51788000303969422</t>
  </si>
  <si>
    <t>2026-03-20 10:32:26</t>
  </si>
  <si>
    <t>Poornima Menon</t>
  </si>
  <si>
    <t>+919825312234</t>
  </si>
  <si>
    <t>IN-2022004434</t>
  </si>
  <si>
    <t>184779</t>
  </si>
  <si>
    <t>22028000037552064</t>
  </si>
  <si>
    <t>zcrm_51788000307424656</t>
  </si>
  <si>
    <t>2026-03-26 12:26:18</t>
  </si>
  <si>
    <t>Mr. Sakthi A</t>
  </si>
  <si>
    <t>+919047447000</t>
  </si>
  <si>
    <t>Mary Shanthi</t>
  </si>
  <si>
    <t>alagu1956@gmail.com</t>
  </si>
  <si>
    <t>+919442344714</t>
  </si>
  <si>
    <t>Tanjore</t>
  </si>
  <si>
    <t>175318</t>
  </si>
  <si>
    <t>BBNG01325C</t>
  </si>
  <si>
    <t>2026-03-26 00:00:00</t>
  </si>
  <si>
    <t>IN-2022004510</t>
  </si>
  <si>
    <t>705</t>
  </si>
  <si>
    <t>259737</t>
  </si>
  <si>
    <t>0.5301</t>
  </si>
  <si>
    <t>22028000037811580</t>
  </si>
  <si>
    <t>zcrm_51788000308153645</t>
  </si>
  <si>
    <t>2026-03-19 16:37:37</t>
  </si>
  <si>
    <t>Namratabhowmick@thehdfcschoolggn.com</t>
  </si>
  <si>
    <t>2026-02-26 00:00:00, 2026-03-14 00:00:00</t>
  </si>
  <si>
    <t>IN-2022004435, IN-2022004436, IN-2022004542</t>
  </si>
  <si>
    <t>300, 600</t>
  </si>
  <si>
    <t>2026-04-01 00:00:00, 2026-04-15 00:00:00</t>
  </si>
  <si>
    <t>125250, 27124, 36110</t>
  </si>
  <si>
    <t>2026-08-17 00:00:00, 2026-08-25 00:00:00</t>
  </si>
  <si>
    <t>121566, 26326, 35048</t>
  </si>
  <si>
    <t>2026-12-21 00:00:00, 2026-12-22 00:00:00</t>
  </si>
  <si>
    <t>0.5714, 0.6667000000000001, 0.7693000000000001</t>
  </si>
  <si>
    <t>22028000037551512, 22028000037551556, 22028000037909632</t>
  </si>
  <si>
    <t>zcrm_51788000306959779, zcrm_51788000307438124, zcrm_51788000308589413</t>
  </si>
  <si>
    <t>2026-03-14 16:16:58, 2026-03-14 16:17:24, 2026-03-14 16:17:41</t>
  </si>
  <si>
    <t>Director@therkvvm.org</t>
  </si>
  <si>
    <t>Mr. Sougata Karr, Settu V</t>
  </si>
  <si>
    <t>Director@therkvvm.org, principal@therkvvm.org</t>
  </si>
  <si>
    <t>+916200411661, +917061174683</t>
  </si>
  <si>
    <t>2026-03-17 00:00:00, 2026-03-20 00:00:00</t>
  </si>
  <si>
    <t>IN-2022004554, IN-2022004555, IN-2022004556, IN-2022004557, IN-2022004603</t>
  </si>
  <si>
    <t>498</t>
  </si>
  <si>
    <t>1404, 1549</t>
  </si>
  <si>
    <t>0, 16307, 21562, 37187, 6316</t>
  </si>
  <si>
    <t>2026-07-01 00:00:00, 2026-09-01 00:00:00</t>
  </si>
  <si>
    <t>2000-01-01 00:00:00, 2026-12-15 00:00:00, 2026-12-31 00:00:00</t>
  </si>
  <si>
    <t>0.4792, 0.7076, 0.7579, 0.7736, 1</t>
  </si>
  <si>
    <t>0.4292, 0.6576000000000001, 0.7079000000000001, 0.7236, 1</t>
  </si>
  <si>
    <t>22028000037982084, 22028000037982124, 22028000037982176, 22028000037982248, 22028000038014276</t>
  </si>
  <si>
    <t>zcrm_51788000308650825, zcrm_51788000308650988, zcrm_51788000308654154, zcrm_51788000308654320, zcrm_51788000308654486</t>
  </si>
  <si>
    <t>2026-03-24 15:27:18, 2026-03-24 15:27:46, 2026-03-24 15:28:04, 2026-03-24 15:28:23, 2026-03-24 15:28:41</t>
  </si>
  <si>
    <t>Dr. Mrignaini Ma'am, Ms. Ruchi Jain</t>
  </si>
  <si>
    <t>Ruchi.Jain@dlws.edu.in, mrignaini@dlps.co.in</t>
  </si>
  <si>
    <t>+917042859222, +919810396027, +919873792056</t>
  </si>
  <si>
    <t>Dr. Mrignaini Ma'am, Ms. Priya Gupta</t>
  </si>
  <si>
    <t>Priya.gupta@dlws.edu.in, mrignaini@dlps.co.in, priya.gupta@dlws.edu.in</t>
  </si>
  <si>
    <t>+919810396027, +919873792056</t>
  </si>
  <si>
    <t>IN-2022004562</t>
  </si>
  <si>
    <t>73336</t>
  </si>
  <si>
    <t>Tinsukia</t>
  </si>
  <si>
    <t>22028000037896936</t>
  </si>
  <si>
    <t>zcrm_51788000308776432</t>
  </si>
  <si>
    <t>2026-03-19 10:20:33</t>
  </si>
  <si>
    <t>Kavita Agarwal</t>
  </si>
  <si>
    <t>+919435707318</t>
  </si>
  <si>
    <t>2026-03-13 00:00:00</t>
  </si>
  <si>
    <t>IN-2022004532</t>
  </si>
  <si>
    <t>378405</t>
  </si>
  <si>
    <t>0.5074000000000001</t>
  </si>
  <si>
    <t>0.3574</t>
  </si>
  <si>
    <t>22028000037908612</t>
  </si>
  <si>
    <t>zcrm_51788000308464355</t>
  </si>
  <si>
    <t>2026-03-19 11:53:40</t>
  </si>
  <si>
    <t>2026-03-21 00:00:00</t>
  </si>
  <si>
    <t>IN-2022004614</t>
  </si>
  <si>
    <t>949</t>
  </si>
  <si>
    <t>2026-05-15 00:00:00</t>
  </si>
  <si>
    <t>341048</t>
  </si>
  <si>
    <t>0.36719999999999997</t>
  </si>
  <si>
    <t>22028000038030296</t>
  </si>
  <si>
    <t>zcrm_51788000309036026</t>
  </si>
  <si>
    <t>manavi.khandelwal_ei</t>
  </si>
  <si>
    <t>manavi.khandelwal@ei.study</t>
  </si>
  <si>
    <t>Manavi khandelwal</t>
  </si>
  <si>
    <t>2026-03-27 18:20:09</t>
  </si>
  <si>
    <t>Mrs. Lydia Christina Simpson</t>
  </si>
  <si>
    <t>39665.2</t>
  </si>
  <si>
    <t>356986</t>
  </si>
  <si>
    <t>IN-2022004506, IN-2022004507</t>
  </si>
  <si>
    <t>2337</t>
  </si>
  <si>
    <t>123131, 252953</t>
  </si>
  <si>
    <t>2026-07-15 00:00:00, 2026-07-20 00:00:00</t>
  </si>
  <si>
    <t>2026-10-15 00:00:00, 2026-10-20 00:00:00</t>
  </si>
  <si>
    <t>0.2043, 0.4661</t>
  </si>
  <si>
    <t>22028000037811244, 22028000037811308</t>
  </si>
  <si>
    <t>zcrm_51788000308153316, zcrm_51788000308153479</t>
  </si>
  <si>
    <t>2026-03-14 13:22:58, 2026-03-14 13:23:37</t>
  </si>
  <si>
    <t>+918130607900</t>
  </si>
  <si>
    <t>Sakshi Shahi</t>
  </si>
  <si>
    <t>sakshi.shahi@theinfinityschool.org</t>
  </si>
  <si>
    <t>+918860622539</t>
  </si>
  <si>
    <t>919074</t>
  </si>
  <si>
    <t>IN-2022004608, IN-2022004609, IN-2022004610, IN-2022004611, IN-2022004612</t>
  </si>
  <si>
    <t>1550, 1609</t>
  </si>
  <si>
    <t>0, 123587, 185622, 397891, 72837</t>
  </si>
  <si>
    <t>2000-01-01 00:00:00, 2026-07-01 00:00:00</t>
  </si>
  <si>
    <t>0.4792, 0.7076, 0.7084, 0.7579, 1</t>
  </si>
  <si>
    <t>0.4292, 0.6084, 0.6576000000000001, 0.7079000000000001, 1</t>
  </si>
  <si>
    <t>22028000038014580, 22028000038014668, 22028000038014752, 22028000038014788, 22028000038014836</t>
  </si>
  <si>
    <t>zcrm_51788000308474001, zcrm_51788000308474164, zcrm_51788000308474493, zcrm_51788000308650001, zcrm_51788000309030168</t>
  </si>
  <si>
    <t>2026-03-24 14:39:34, 2026-03-24 14:39:55, 2026-03-24 14:40:13, 2026-03-24 14:41:01, 2026-03-24 14:41:47</t>
  </si>
  <si>
    <t>seemajerath@dlfps.com</t>
  </si>
  <si>
    <t>Ms. Chhavi Kumar</t>
  </si>
  <si>
    <t>IN-2022004559</t>
  </si>
  <si>
    <t>153610</t>
  </si>
  <si>
    <t>0.6954</t>
  </si>
  <si>
    <t>0.5954</t>
  </si>
  <si>
    <t>22028000037904744</t>
  </si>
  <si>
    <t>zcrm_51788000308820003</t>
  </si>
  <si>
    <t>2026-03-21 10:01:04</t>
  </si>
  <si>
    <t>Sarita Goyal</t>
  </si>
  <si>
    <t>sarita.goyal@theskyschool.com</t>
  </si>
  <si>
    <t>+919417374124</t>
  </si>
  <si>
    <t>2026-03-20 00:00:00, 2026-03-27 00:00:00</t>
  </si>
  <si>
    <t>IN-2022004594, IN-2022004670</t>
  </si>
  <si>
    <t>673</t>
  </si>
  <si>
    <t>1925</t>
  </si>
  <si>
    <t>194680, 487983</t>
  </si>
  <si>
    <t>0.5513, 0.645</t>
  </si>
  <si>
    <t>2026-03-20 00:00:00, 2026-04-01 00:00:00</t>
  </si>
  <si>
    <t>22028000038027468, 22028000038247336</t>
  </si>
  <si>
    <t>zcrm_51788000308916321, zcrm_51788000309417240</t>
  </si>
  <si>
    <t>2026-03-27 18:00:52, 2026-03-27 18:01:17</t>
  </si>
  <si>
    <t>alita.singh@shishukunj.in</t>
  </si>
  <si>
    <t>IN-2022004474</t>
  </si>
  <si>
    <t>138423</t>
  </si>
  <si>
    <t>0.2606</t>
  </si>
  <si>
    <t>22028000037683696</t>
  </si>
  <si>
    <t>zcrm_51788000307957180</t>
  </si>
  <si>
    <t>2026-03-18 14:51:16</t>
  </si>
  <si>
    <t>IN-2022004604, IN-2022004605, IN-2022004606, IN-2022004607</t>
  </si>
  <si>
    <t>0, 12621, 22969, 39123</t>
  </si>
  <si>
    <t>0.4792, 0.7579, 0.7679, 1</t>
  </si>
  <si>
    <t>0.4292, 0.7079000000000001, 0.7179000000000001, 1</t>
  </si>
  <si>
    <t>22028000038014348, 22028000038014424, 22028000038014456, 22028000038014508</t>
  </si>
  <si>
    <t>zcrm_51788000308650167, zcrm_51788000308650333, zcrm_51788000308650662, zcrm_51788000309030005</t>
  </si>
  <si>
    <t>2026-03-24 14:51:43, 2026-03-24 14:52:05, 2026-03-24 14:52:25, 2026-03-24 14:52:42</t>
  </si>
  <si>
    <t>2026-03-18 00:00:00</t>
  </si>
  <si>
    <t>IN-2022004571</t>
  </si>
  <si>
    <t>311976</t>
  </si>
  <si>
    <t>727944</t>
  </si>
  <si>
    <t>22028000037983456</t>
  </si>
  <si>
    <t>zcrm_51788000308818327</t>
  </si>
  <si>
    <t>2026-03-18 17:28:00</t>
  </si>
  <si>
    <t>IN-2022004527</t>
  </si>
  <si>
    <t>65010</t>
  </si>
  <si>
    <t>2026-08-25 00:00:00</t>
  </si>
  <si>
    <t>195030</t>
  </si>
  <si>
    <t>22028000037869148</t>
  </si>
  <si>
    <t>zcrm_51788000307363590</t>
  </si>
  <si>
    <t>2026-03-20 15:43:25</t>
  </si>
  <si>
    <t>IN-2022004595, IN-2022004596, IN-2022004597</t>
  </si>
  <si>
    <t>200, 600</t>
  </si>
  <si>
    <t>23040, 4320, 92160</t>
  </si>
  <si>
    <t>161280, 40320, 7560</t>
  </si>
  <si>
    <t>22028000038016452, 22028000038016504, 22028000038016576</t>
  </si>
  <si>
    <t>zcrm_51788000309025022, zcrm_51788000309025177, zcrm_51788000309025338</t>
  </si>
  <si>
    <t>2026-03-24 15:50:22, 2026-03-24 15:50:43, 2026-03-24 15:51:10</t>
  </si>
  <si>
    <t>Mr. Naman Khandoi</t>
  </si>
  <si>
    <t>director@mayoorschooljaipur.org</t>
  </si>
  <si>
    <t>+917742925909</t>
  </si>
  <si>
    <t>Ms. Dixita</t>
  </si>
  <si>
    <t>+919461339591</t>
  </si>
  <si>
    <t>IN-2022004475</t>
  </si>
  <si>
    <t>88511</t>
  </si>
  <si>
    <t>22028000037683744</t>
  </si>
  <si>
    <t>zcrm_51788000307957346</t>
  </si>
  <si>
    <t>2026-03-18 14:50:44</t>
  </si>
  <si>
    <t>IN-2022004548</t>
  </si>
  <si>
    <t>2695</t>
  </si>
  <si>
    <t>22028000037964160</t>
  </si>
  <si>
    <t>zcrm_51788000308600829</t>
  </si>
  <si>
    <t>2026-03-20 11:22:45</t>
  </si>
  <si>
    <t>Mr. MJ Thomas</t>
  </si>
  <si>
    <t>MJ Thomas</t>
  </si>
  <si>
    <t>Holy Angels School, Shalimar Garden</t>
  </si>
  <si>
    <t>IN-2022004638</t>
  </si>
  <si>
    <t>713</t>
  </si>
  <si>
    <t>22028000038122068</t>
  </si>
  <si>
    <t>zcrm_51788000309130603</t>
  </si>
  <si>
    <t>2026-03-24 13:00:20</t>
  </si>
  <si>
    <t>Mr. Fr. Arockia Alex</t>
  </si>
  <si>
    <t>Ms Nishi</t>
  </si>
  <si>
    <t>+919971926868</t>
  </si>
  <si>
    <t>IN-2022004058, IN-2022004059, IN-2022004060, IN-2022004061</t>
  </si>
  <si>
    <t>1440, 720</t>
  </si>
  <si>
    <t>10979, 190510, 199406, 33750</t>
  </si>
  <si>
    <t>0.5987, 0.6, 0.687, 0.75</t>
  </si>
  <si>
    <t>22028000034672176, 22028000034672236, 22028000034672312, 22028000034672384</t>
  </si>
  <si>
    <t>zcrm_51788000300155541, zcrm_51788000300159464, zcrm_51788000300203526, zcrm_51788000300213474</t>
  </si>
  <si>
    <t>2026-01-30 12:22:35, 2026-01-30 12:23:09, 2026-01-30 12:23:29, 2026-03-14 10:58:33</t>
  </si>
  <si>
    <t>Mr. Swarnendu Chatterjee, Swarnendu Chatterjee</t>
  </si>
  <si>
    <t>2026-03-10 00:00:00, 2026-03-16 00:00:00</t>
  </si>
  <si>
    <t>IN-2022004505, IN-2022004551</t>
  </si>
  <si>
    <t>0, 1511</t>
  </si>
  <si>
    <t>2000-01-01 00:00:00, 2026-04-22 00:00:00</t>
  </si>
  <si>
    <t>0, 623108</t>
  </si>
  <si>
    <t>2000-01-01 00:00:00, 2026-07-22 00:00:00</t>
  </si>
  <si>
    <t>2000-01-01 00:00:00, 2026-10-22 00:00:00</t>
  </si>
  <si>
    <t>2000-01-01 00:00:00, 2026-12-22 00:00:00</t>
  </si>
  <si>
    <t>0.6114999999999999, 1</t>
  </si>
  <si>
    <t>0.5115, 1</t>
  </si>
  <si>
    <t>2026-03-30 00:00:00, 2026-04-01 00:00:00</t>
  </si>
  <si>
    <t>22028000037809160, 22028000037941396</t>
  </si>
  <si>
    <t>zcrm_51788000308257001, zcrm_51788000308531134</t>
  </si>
  <si>
    <t>educationalinitiativesprivat, fagun.saraiya_eiindia1</t>
  </si>
  <si>
    <t>2026-03-13 15:08:54, 2026-03-21 10:06:12</t>
  </si>
  <si>
    <t>principal@bhisbhopal.edu.in, sk156825@rediffmail.com</t>
  </si>
  <si>
    <t>Dr. Rashmi Pillai, Mr Ashish Agarwal</t>
  </si>
  <si>
    <t>principal@bhisbhopal.edu.in, rashmi2@bhisbhopal.edu.in</t>
  </si>
  <si>
    <t>+916264597491, +917697972852</t>
  </si>
  <si>
    <t>Project RISE</t>
  </si>
  <si>
    <t>Shiksha</t>
  </si>
  <si>
    <t>IN-2022004529</t>
  </si>
  <si>
    <t>26401</t>
  </si>
  <si>
    <t>22028000037909172</t>
  </si>
  <si>
    <t>51788000292499069</t>
  </si>
  <si>
    <t>zcrm_51788000308370009</t>
  </si>
  <si>
    <t>2026-03-12 17:03:25</t>
  </si>
  <si>
    <t>bindu@ei.study</t>
  </si>
  <si>
    <t>Sapna Shah</t>
  </si>
  <si>
    <t>sapna1.shah@akanksha.org</t>
  </si>
  <si>
    <t>+919821112090</t>
  </si>
  <si>
    <t>Project RISE C/0 The Akanksha Foundation</t>
  </si>
  <si>
    <t>411001</t>
  </si>
  <si>
    <t>New Thermax Building, Old Bombay Pune Highway Road, next to Sai Chambers, Wakadewadi, Shivajinagar</t>
  </si>
  <si>
    <t>Ane No. C, Ragvilas Society</t>
  </si>
  <si>
    <t>2026-03-06 00:00:00, 2026-03-17 00:00:00</t>
  </si>
  <si>
    <t>1153045, 167502.62, 385092</t>
  </si>
  <si>
    <t>-1, -12812, 0</t>
  </si>
  <si>
    <t>IN-2022004558</t>
  </si>
  <si>
    <t>22028000037961856</t>
  </si>
  <si>
    <t>zcrm_51788000308477026</t>
  </si>
  <si>
    <t>2026-03-20 14:29:05</t>
  </si>
  <si>
    <t>Mrs. Shalini Sharma</t>
  </si>
  <si>
    <t>shalini.sharma@rohini.theheritageschool.in</t>
  </si>
  <si>
    <t>+919891016738</t>
  </si>
  <si>
    <t>Mrs. Yakshi Gulati</t>
  </si>
  <si>
    <t>Mrs. Taruna Khanna</t>
  </si>
  <si>
    <t>thsexam23@rohini.theheritageschool.in</t>
  </si>
  <si>
    <t>+919654037875</t>
  </si>
  <si>
    <t>2025-11-27 00:00:00, 2026-03-14 00:00:00</t>
  </si>
  <si>
    <t>IN-2022004109, IN-2022004543, IN-2022004544</t>
  </si>
  <si>
    <t>2080</t>
  </si>
  <si>
    <t>2152</t>
  </si>
  <si>
    <t>2026-04-01 00:00:00, 2026-06-30 00:00:00</t>
  </si>
  <si>
    <t>152966, 36400, 81115</t>
  </si>
  <si>
    <t>2026-07-01 00:00:00, 2026-08-31 00:00:00</t>
  </si>
  <si>
    <t>0, 152966, 81115</t>
  </si>
  <si>
    <t>0, 0.2948, 0.5273</t>
  </si>
  <si>
    <t>0.2948, 0.5273</t>
  </si>
  <si>
    <t>2026-04-01 00:00:00, 2026-05-31 00:00:00</t>
  </si>
  <si>
    <t>22028000035139372, 22028000037906976, 22028000037941036</t>
  </si>
  <si>
    <t>zcrm_51788000301439053, zcrm_51788000308478001, zcrm_51788000308478170</t>
  </si>
  <si>
    <t>2026-03-18 11:28:03, 2026-03-18 11:28:29, 2026-03-18 12:21:24</t>
  </si>
  <si>
    <t>Mr. Sandeep, Mrs. Sangeetha Chakravarthy</t>
  </si>
  <si>
    <t>+919733946333, +919800055590</t>
  </si>
  <si>
    <t>IN-2022004546</t>
  </si>
  <si>
    <t>95630</t>
  </si>
  <si>
    <t>22028000037905856</t>
  </si>
  <si>
    <t>zcrm_51788000308654652</t>
  </si>
  <si>
    <t>2026-03-24 16:05:50</t>
  </si>
  <si>
    <t>Dr. Anupama Mishra</t>
  </si>
  <si>
    <t>+919721452409</t>
  </si>
  <si>
    <t>Mr. Alok Kumar</t>
  </si>
  <si>
    <t>alok.sunbeamvaruna@gmail.com</t>
  </si>
  <si>
    <t>IN-2022004615</t>
  </si>
  <si>
    <t>752</t>
  </si>
  <si>
    <t>401367</t>
  </si>
  <si>
    <t>0.5891</t>
  </si>
  <si>
    <t>0.4891</t>
  </si>
  <si>
    <t>22028000038055324</t>
  </si>
  <si>
    <t>zcrm_51788000308875001</t>
  </si>
  <si>
    <t>2026-03-21 16:29:14</t>
  </si>
  <si>
    <t>Fr Rijo John</t>
  </si>
  <si>
    <t>Fr. Rijo John</t>
  </si>
  <si>
    <t>Mr Paveen</t>
  </si>
  <si>
    <t>holyangels201005@gmail.com</t>
  </si>
  <si>
    <t>+919818622227</t>
  </si>
  <si>
    <t>Offering 2025</t>
  </si>
  <si>
    <t>Offering 2026</t>
  </si>
  <si>
    <t>Total Rev-2026</t>
  </si>
  <si>
    <t>ASSET Rev-2026</t>
  </si>
  <si>
    <t>CARES Rev 2026</t>
  </si>
  <si>
    <t>MS Rev 2026</t>
  </si>
  <si>
    <t xml:space="preserve">Total </t>
  </si>
  <si>
    <t>School Count</t>
  </si>
  <si>
    <t>MS</t>
  </si>
  <si>
    <t>IN-2022004599</t>
  </si>
  <si>
    <t>2682</t>
  </si>
  <si>
    <t>0.5734</t>
  </si>
  <si>
    <t>22028000038012816</t>
  </si>
  <si>
    <t>zcrm_51788000308943145</t>
  </si>
  <si>
    <t>2026-04-02 12:32:38</t>
  </si>
  <si>
    <t>Dr. Chhalamayi Chhalamayi Reddy</t>
  </si>
  <si>
    <t>147891</t>
  </si>
  <si>
    <t>IN-2022004699, IN-2022004701</t>
  </si>
  <si>
    <t>150</t>
  </si>
  <si>
    <t>172755, 37500</t>
  </si>
  <si>
    <t>112500, 518265</t>
  </si>
  <si>
    <t>150000, 691020</t>
  </si>
  <si>
    <t>0.9</t>
  </si>
  <si>
    <t>0, 0.9</t>
  </si>
  <si>
    <t>22028000038213704, 22028000038213756</t>
  </si>
  <si>
    <t>2026-04-03 11:51:25, 2026-04-03 11:51:46</t>
  </si>
  <si>
    <t>IN-2022004714</t>
  </si>
  <si>
    <t>411</t>
  </si>
  <si>
    <t>1392</t>
  </si>
  <si>
    <t>212981</t>
  </si>
  <si>
    <t>0.7263</t>
  </si>
  <si>
    <t>0.6263000000000001</t>
  </si>
  <si>
    <t>22028000038295352</t>
  </si>
  <si>
    <t>zcrm_51788000309644026</t>
  </si>
  <si>
    <t>2026-03-31 19:58:19</t>
  </si>
  <si>
    <t>IN-2022004593, IN-2022004669</t>
  </si>
  <si>
    <t>328626, 824638</t>
  </si>
  <si>
    <t>0.5666, 0.63</t>
  </si>
  <si>
    <t>22028000038027404, 22028000038247288</t>
  </si>
  <si>
    <t>zcrm_51788000308916650, zcrm_51788000309417077</t>
  </si>
  <si>
    <t>2026-03-28 11:00:40, 2026-03-28 11:00:58</t>
  </si>
  <si>
    <t>alita.singh@shishukunj.in, lalita.singh@shishukunj.in</t>
  </si>
  <si>
    <t>IN-2022004752</t>
  </si>
  <si>
    <t>395924</t>
  </si>
  <si>
    <t>384279</t>
  </si>
  <si>
    <t>0.551</t>
  </si>
  <si>
    <t>22028000038478152</t>
  </si>
  <si>
    <t>zcrm_51788000309714001</t>
  </si>
  <si>
    <t>2026-04-02 12:34:30</t>
  </si>
  <si>
    <t>Vidya Bhawan Public School</t>
  </si>
  <si>
    <t>IN-2022004673</t>
  </si>
  <si>
    <t>22028000038264292</t>
  </si>
  <si>
    <t>51788000002760764</t>
  </si>
  <si>
    <t>zcrm_51788000309136091</t>
  </si>
  <si>
    <t>Diksha Jain</t>
  </si>
  <si>
    <t>2026-03-30 18:18:40</t>
  </si>
  <si>
    <t>Mr. Krishna Chandra Purohit</t>
  </si>
  <si>
    <t>+919024809925</t>
  </si>
  <si>
    <t>VidyaBhawanPublicSchool_1740931@gmail.com</t>
  </si>
  <si>
    <t>principalvbps@vidyabhawan.in</t>
  </si>
  <si>
    <t>61500</t>
  </si>
  <si>
    <t>Dr. Mohan Sinha Mehta Marg,</t>
  </si>
  <si>
    <t>Dr Mohan Sinha Mehta Marg Fatehpura Udaipur Rajasthan</t>
  </si>
  <si>
    <t>IN-2022004691</t>
  </si>
  <si>
    <t>2026-06-02 00:00:00</t>
  </si>
  <si>
    <t>417195</t>
  </si>
  <si>
    <t>22028000038264796</t>
  </si>
  <si>
    <t>zcrm_51788000309429503</t>
  </si>
  <si>
    <t>2026-04-02 16:10:15</t>
  </si>
  <si>
    <t>Kanchana Mala S H</t>
  </si>
  <si>
    <t>principal@vidya-mandir.edu.in</t>
  </si>
  <si>
    <t>+919445797794</t>
  </si>
  <si>
    <t>vmm@vidya-mandir.edu.in</t>
  </si>
  <si>
    <t>principal@vidya-mandir.edu</t>
  </si>
  <si>
    <t>Lakshmi</t>
  </si>
  <si>
    <t>vidyamandiracct@gmail.com</t>
  </si>
  <si>
    <t>1650126, 696060</t>
  </si>
  <si>
    <t>Udgam School for Children - Morning Shift</t>
  </si>
  <si>
    <t>IN-2022004778, IN-2022004779</t>
  </si>
  <si>
    <t>22028000038499836, 22028000038499860</t>
  </si>
  <si>
    <t>51788000002728409</t>
  </si>
  <si>
    <t>zcrm_51788000309813311</t>
  </si>
  <si>
    <t>2026-04-03 11:06:54, 2026-04-03 11:07:04</t>
  </si>
  <si>
    <t>Mrs. Sharmistha Sinha</t>
  </si>
  <si>
    <t>+919898049024</t>
  </si>
  <si>
    <t>info@udgamschool.com</t>
  </si>
  <si>
    <t>Sharmistha Sinha</t>
  </si>
  <si>
    <t>sharmistha@udgamschool.com</t>
  </si>
  <si>
    <t>85400</t>
  </si>
  <si>
    <t>opp. Sardar Patel Institute, Patel Society, Jai Ambe Nagar, Thaltej</t>
  </si>
  <si>
    <t>Opp. Sardar Patel Institute</t>
  </si>
  <si>
    <t>263230</t>
  </si>
  <si>
    <t>Rose Manor International School</t>
  </si>
  <si>
    <t>2026-03-11 00:00:00, 2026-03-12 00:00:00</t>
  </si>
  <si>
    <t>IN-2022004520, IN-2022004526</t>
  </si>
  <si>
    <t>2118</t>
  </si>
  <si>
    <t>2026-03-16 00:00:00, 2026-03-23 00:00:00</t>
  </si>
  <si>
    <t>112488, 75594</t>
  </si>
  <si>
    <t>2026-05-01 00:00:00, 2026-09-01 00:00:00</t>
  </si>
  <si>
    <t>112488, 226781</t>
  </si>
  <si>
    <t>0, 224976</t>
  </si>
  <si>
    <t>102955, 75000</t>
  </si>
  <si>
    <t>594, 9533</t>
  </si>
  <si>
    <t>0.3539, 0.5834</t>
  </si>
  <si>
    <t>2027-04-14 00:00:00, 2027-04-19 00:00:00</t>
  </si>
  <si>
    <t>22028000037825896, 22028000037870360</t>
  </si>
  <si>
    <t>51788000002732906</t>
  </si>
  <si>
    <t>zcrm_51788000306968710, zcrm_51788000308335117</t>
  </si>
  <si>
    <t>2026-03-25 13:05:50, 2026-03-25 13:09:34</t>
  </si>
  <si>
    <t>Kim</t>
  </si>
  <si>
    <t>rosemanor_school@yahoo.co.in, school@rmis.edu.in</t>
  </si>
  <si>
    <t>+919833417272</t>
  </si>
  <si>
    <t>info@rosemanorinternational.com</t>
  </si>
  <si>
    <t>Dr Sheela Philip, Dr Sheela Phillip</t>
  </si>
  <si>
    <t>rosemanor_school@yahoo.co.in</t>
  </si>
  <si>
    <t>+919821253255</t>
  </si>
  <si>
    <t>84500</t>
  </si>
  <si>
    <t>Central Avenue, Santacruz West, Mumbai, Maharashtra</t>
  </si>
  <si>
    <t>400054</t>
  </si>
  <si>
    <t>IN-2022004598</t>
  </si>
  <si>
    <t>97345</t>
  </si>
  <si>
    <t>94482</t>
  </si>
  <si>
    <t>22028000038017404</t>
  </si>
  <si>
    <t>zcrm_51788000309032001</t>
  </si>
  <si>
    <t>2026-03-31 11:26:22</t>
  </si>
  <si>
    <t>2026-03-25 00:00:00</t>
  </si>
  <si>
    <t>IN-2022004649, IN-2022004650</t>
  </si>
  <si>
    <t>1196</t>
  </si>
  <si>
    <t>158292, 298116</t>
  </si>
  <si>
    <t>22028000038206076, 22028000038206148</t>
  </si>
  <si>
    <t>zcrm_51788000308916979, zcrm_51788000308939149</t>
  </si>
  <si>
    <t>2026-04-06 09:04:04, 2026-04-06 09:04:29</t>
  </si>
  <si>
    <t>Joy Raitani, Mr. Joy Raitani</t>
  </si>
  <si>
    <t>gkdgps@gmail.com, joyraitani@gmail.com</t>
  </si>
  <si>
    <t>Asia English School</t>
  </si>
  <si>
    <t>IN-2022004721, IN-2022004722, IN-2022004724, IN-2022004725</t>
  </si>
  <si>
    <t>2673, 818</t>
  </si>
  <si>
    <t>2026-04-27 00:00:00, 2026-04-28 00:00:00</t>
  </si>
  <si>
    <t>0.54, 0.5824, 0.6854</t>
  </si>
  <si>
    <t>0, 0.44, 0.5324, 0.5854</t>
  </si>
  <si>
    <t>22028000038295868, 22028000038295912, 22028000038295972, 22028000038327008</t>
  </si>
  <si>
    <t>zcrm_51788000309616172, zcrm_51788000309616335, zcrm_51788000309616501</t>
  </si>
  <si>
    <t>2026-03-31 15:28:03, 2026-03-31 15:28:19, 2026-03-31 15:28:36, 2026-03-31 15:28:50</t>
  </si>
  <si>
    <t>Mr. Francis</t>
  </si>
  <si>
    <t>francis@asiaenglishschool.org</t>
  </si>
  <si>
    <t>Mr. Vivek Nair</t>
  </si>
  <si>
    <t>410250, 968075</t>
  </si>
  <si>
    <t>68536</t>
  </si>
  <si>
    <t>50053</t>
  </si>
  <si>
    <t>IN-2022004718</t>
  </si>
  <si>
    <t>121098</t>
  </si>
  <si>
    <t>117536</t>
  </si>
  <si>
    <t>0.6231</t>
  </si>
  <si>
    <t>0.5731</t>
  </si>
  <si>
    <t>22028000038295832</t>
  </si>
  <si>
    <t>zcrm_51788000309644195</t>
  </si>
  <si>
    <t>2026-04-01 15:31:05</t>
  </si>
  <si>
    <t>Vivek Yadav</t>
  </si>
  <si>
    <t>vkyadav@dma1.in</t>
  </si>
  <si>
    <t>+919958331433</t>
  </si>
  <si>
    <t>2199</t>
  </si>
  <si>
    <t>107751</t>
  </si>
  <si>
    <t>109950</t>
  </si>
  <si>
    <t>RTKN02379G</t>
  </si>
  <si>
    <t>391222</t>
  </si>
  <si>
    <t>IN-2022004702, IN-2022004703, IN-2022004704</t>
  </si>
  <si>
    <t>472</t>
  </si>
  <si>
    <t>109847, 63132, 99284</t>
  </si>
  <si>
    <t>106616, 61275, 96364</t>
  </si>
  <si>
    <t>0.6855, 0.8332999999999999</t>
  </si>
  <si>
    <t>0, 0.6355, 0.7833</t>
  </si>
  <si>
    <t>22028000038257768, 22028000038257824, 22028000038257872</t>
  </si>
  <si>
    <t>zcrm_51788000309401001, zcrm_51788000309616001</t>
  </si>
  <si>
    <t>2026-03-31 19:00:55, 2026-03-31 19:01:12, 2026-03-31 19:01:31</t>
  </si>
  <si>
    <t>Ms. Nivedita, Ms. Nivedita Ma'am</t>
  </si>
  <si>
    <t>Ms. Priyanka Modi</t>
  </si>
  <si>
    <t>IN-2022004633</t>
  </si>
  <si>
    <t>22028000038083400</t>
  </si>
  <si>
    <t>2026-03-24 09:28:07</t>
  </si>
  <si>
    <t>0, 331773</t>
  </si>
  <si>
    <t>0, 40846</t>
  </si>
  <si>
    <t>Vrajbhoomi International School</t>
  </si>
  <si>
    <t>IN-2022004671, IN-2022004672</t>
  </si>
  <si>
    <t>138940, 28125</t>
  </si>
  <si>
    <t>22028000038266116, 22028000038266172</t>
  </si>
  <si>
    <t>51788000002733928</t>
  </si>
  <si>
    <t>zcrm_51788000307439767</t>
  </si>
  <si>
    <t>2026-04-03 11:54:37, 2026-04-03 11:54:53</t>
  </si>
  <si>
    <t>Ms. Dharmika Punjani</t>
  </si>
  <si>
    <t>nakul.dorai@gmail.com</t>
  </si>
  <si>
    <t>+919099044832</t>
  </si>
  <si>
    <t>principal@vrajbhoomi.org</t>
  </si>
  <si>
    <t>Dharmika Punjani</t>
  </si>
  <si>
    <t>punjanidharmika@gmail.com</t>
  </si>
  <si>
    <t>20300</t>
  </si>
  <si>
    <t>NH8, Near Bal Amul, Mogar,Anand,</t>
  </si>
  <si>
    <t>388340</t>
  </si>
  <si>
    <t>IN-2022004754</t>
  </si>
  <si>
    <t>493760</t>
  </si>
  <si>
    <t>0.4353</t>
  </si>
  <si>
    <t>22028000038511048</t>
  </si>
  <si>
    <t>zcrm_51788000309425007</t>
  </si>
  <si>
    <t>2026-04-06 16:52:05</t>
  </si>
  <si>
    <t>Lisa Soju</t>
  </si>
  <si>
    <t>IN-2022004491</t>
  </si>
  <si>
    <t>81596</t>
  </si>
  <si>
    <t>61596</t>
  </si>
  <si>
    <t>22028000037752112</t>
  </si>
  <si>
    <t>zcrm_51788000307357956</t>
  </si>
  <si>
    <t>2026-04-01 17:40:08</t>
  </si>
  <si>
    <t>Karishma Sarkar</t>
  </si>
  <si>
    <t>Mukul Sarkar</t>
  </si>
  <si>
    <t>Pallavi Baruah</t>
  </si>
  <si>
    <t>+918638909616</t>
  </si>
  <si>
    <t>Pub Gitanagar</t>
  </si>
  <si>
    <t>Mother Teressa Road</t>
  </si>
  <si>
    <t>The Millennium School Surat</t>
  </si>
  <si>
    <t>IN-2022004739, IN-2022004740</t>
  </si>
  <si>
    <t>670</t>
  </si>
  <si>
    <t>231503, 51854</t>
  </si>
  <si>
    <t>2026-06-26 00:00:00</t>
  </si>
  <si>
    <t>0.5533</t>
  </si>
  <si>
    <t>0, 0.5533</t>
  </si>
  <si>
    <t>22028000038323908, 22028000038323960</t>
  </si>
  <si>
    <t>51788000002786606</t>
  </si>
  <si>
    <t>zcrm_51788000287010152</t>
  </si>
  <si>
    <t>2026-04-03 11:28:34, 2026-04-03 11:28:55</t>
  </si>
  <si>
    <t>Mrs. Monica Khurana</t>
  </si>
  <si>
    <t>+919099907456</t>
  </si>
  <si>
    <t>principal@themillenniumschoolsurat.org</t>
  </si>
  <si>
    <t>Monica Khurana</t>
  </si>
  <si>
    <t>principal@tmssurat.org</t>
  </si>
  <si>
    <t>Mayuri Bhalara, Mayuri bhalara</t>
  </si>
  <si>
    <t>info@tmssurat.org</t>
  </si>
  <si>
    <t>+919925715660</t>
  </si>
  <si>
    <t>Plot no 369,Dandi Road</t>
  </si>
  <si>
    <t>Plot no 369,Dandi Road,Narthan,Surat</t>
  </si>
  <si>
    <t>2026-03-09 00:00:00, 2026-03-23 00:00:00</t>
  </si>
  <si>
    <t>IN-2022004495, IN-2022004496, IN-2022004624, IN-2022004625, IN-2022004626, IN-2022004627</t>
  </si>
  <si>
    <t>240, 480</t>
  </si>
  <si>
    <t>1331, 2662</t>
  </si>
  <si>
    <t>2026-04-13 00:00:00</t>
  </si>
  <si>
    <t>2000-01-01 00:00:00, 2026-04-01 00:00:00, 2026-11-02 00:00:00</t>
  </si>
  <si>
    <t>0, 111360, 16680, 420915, 63601</t>
  </si>
  <si>
    <t>2000-01-01 00:00:00, 2026-07-01 00:00:00, 2026-12-21 00:00:00</t>
  </si>
  <si>
    <t>0, 420915, 63601</t>
  </si>
  <si>
    <t>2000-01-01 00:00:00, 2026-12-01 00:00:00</t>
  </si>
  <si>
    <t>0.1275, 0.5638000000000001, 0.68, 0.84</t>
  </si>
  <si>
    <t>0.1275, 0.5638000000000001, 0.68, 0.79</t>
  </si>
  <si>
    <t>22028000037754660, 22028000037754712, 22028000038080084, 22028000038080124, 22028000038080168, 22028000038080212</t>
  </si>
  <si>
    <t>zcrm_51788000307486009, zcrm_51788000308042140, zcrm_51788000308818001, zcrm_51788000308818164</t>
  </si>
  <si>
    <t>2026-03-30 17:06:34, 2026-03-30 17:06:49, 2026-03-30 17:07:05, 2026-03-30 17:07:12, 2026-03-30 17:07:29, 2026-03-30 17:07:48</t>
  </si>
  <si>
    <t>Sharmila Bakshi</t>
  </si>
  <si>
    <t>sharmilab@vasantvalley.edu.in</t>
  </si>
  <si>
    <t>+919810664288</t>
  </si>
  <si>
    <t>Manisha Negi</t>
  </si>
  <si>
    <t>manishan@vasantvalley.edu.in</t>
  </si>
  <si>
    <t>+918826554370</t>
  </si>
  <si>
    <t>71411</t>
  </si>
  <si>
    <t>IN-2022004711</t>
  </si>
  <si>
    <t>184149</t>
  </si>
  <si>
    <t>22028000038298296</t>
  </si>
  <si>
    <t>zcrm_51788000309556676</t>
  </si>
  <si>
    <t>2026-03-31 16:39:31</t>
  </si>
  <si>
    <t>Mr. M. Arif Saify</t>
  </si>
  <si>
    <t>M. A. Saify</t>
  </si>
  <si>
    <t>Mr. Jagan</t>
  </si>
  <si>
    <t>+919914937079</t>
  </si>
  <si>
    <t>-49000</t>
  </si>
  <si>
    <t>115318</t>
  </si>
  <si>
    <t>27174.5</t>
  </si>
  <si>
    <t>293472</t>
  </si>
  <si>
    <t>DELS13533C</t>
  </si>
  <si>
    <t>Zebar School for Children - Morning Shift</t>
  </si>
  <si>
    <t>IN-2022004782, IN-2022004783</t>
  </si>
  <si>
    <t>22028000038499920, 22028000038499944</t>
  </si>
  <si>
    <t>51788000002789413</t>
  </si>
  <si>
    <t>zcrm_51788000309772333</t>
  </si>
  <si>
    <t>2026-04-03 11:15:11, 2026-04-03 11:15:24</t>
  </si>
  <si>
    <t>Mili Bhattacharya</t>
  </si>
  <si>
    <t>+919427069070</t>
  </si>
  <si>
    <t>info@zebarschool.com</t>
  </si>
  <si>
    <t>mili@zebarschool.com</t>
  </si>
  <si>
    <t>85300</t>
  </si>
  <si>
    <t>Opp Suyog Apartment, B/H Copper Stone, Thaltej Shilaj Road</t>
  </si>
  <si>
    <t>380059</t>
  </si>
  <si>
    <t>B/H Copper Stone, Opp. Suyog Apartments</t>
  </si>
  <si>
    <t>IN-2022004749, IN-2022004750</t>
  </si>
  <si>
    <t>215994, 80342</t>
  </si>
  <si>
    <t>241026, 647983</t>
  </si>
  <si>
    <t>0.5321</t>
  </si>
  <si>
    <t>0, 0.4321</t>
  </si>
  <si>
    <t>22028000038384020, 22028000038384048</t>
  </si>
  <si>
    <t>zcrm_51788000309616692</t>
  </si>
  <si>
    <t>2026-04-06 08:58:20, 2026-04-06 08:58:32</t>
  </si>
  <si>
    <t>72765</t>
  </si>
  <si>
    <t>75735</t>
  </si>
  <si>
    <t>713589</t>
  </si>
  <si>
    <t>IN-2022004668</t>
  </si>
  <si>
    <t>149948</t>
  </si>
  <si>
    <t>22028000038231660</t>
  </si>
  <si>
    <t>zcrm_51788000309404024</t>
  </si>
  <si>
    <t>2026-04-02 17:15:18</t>
  </si>
  <si>
    <t>Ms. Mousumi Bhattacharya</t>
  </si>
  <si>
    <t>principal.bhagwanpur@sunbeamschool.com</t>
  </si>
  <si>
    <t>+919721452104</t>
  </si>
  <si>
    <t>Mr. Arvind</t>
  </si>
  <si>
    <t>supdt.bgn@gmail.com</t>
  </si>
  <si>
    <t>2025-08-23 00:00:00, 2026-05-01 00:00:00</t>
  </si>
  <si>
    <t>2027-03-29 00:00:00</t>
  </si>
  <si>
    <t>128626</t>
  </si>
  <si>
    <t>63626</t>
  </si>
  <si>
    <t>IN-2022004660, IN-2022004661, IN-2022004662</t>
  </si>
  <si>
    <t>0, 2749, 3523</t>
  </si>
  <si>
    <t>0, 204360, 247381</t>
  </si>
  <si>
    <t>0.2934, 0.4, 1</t>
  </si>
  <si>
    <t>22028000038256284, 22028000038256368, 22028000038256420</t>
  </si>
  <si>
    <t>zcrm_51788000307379443, zcrm_51788000307379786, zcrm_51788000307379947</t>
  </si>
  <si>
    <t>2026-04-01 16:58:50, 2026-04-01 16:59:32, 2026-04-01 17:00:34</t>
  </si>
  <si>
    <t>The Academy School</t>
  </si>
  <si>
    <t>IN-2022004439</t>
  </si>
  <si>
    <t>2084</t>
  </si>
  <si>
    <t>49529</t>
  </si>
  <si>
    <t>445757</t>
  </si>
  <si>
    <t>0.4855</t>
  </si>
  <si>
    <t>22028000037564408</t>
  </si>
  <si>
    <t>51788000002798311</t>
  </si>
  <si>
    <t>zcrm_51788000306764617</t>
  </si>
  <si>
    <t>2026-03-18 12:53:17</t>
  </si>
  <si>
    <t>Indira Ramchandran</t>
  </si>
  <si>
    <t>admission@tas.edu.in</t>
  </si>
  <si>
    <t>+919767405239</t>
  </si>
  <si>
    <t>office@tas.edu.in</t>
  </si>
  <si>
    <t>principal@tas.edu.in</t>
  </si>
  <si>
    <t>+918799972661</t>
  </si>
  <si>
    <t>Harneet Kaur</t>
  </si>
  <si>
    <t>Sr. No. 31, 32, Aundh - Ravet BRTS Rd,</t>
  </si>
  <si>
    <t>Sr. No. 31, Dange Chowk, 32, Aundh - Ravet BRTS Rd, Ram Nagar, Tathawade,</t>
  </si>
  <si>
    <t>Baps Swaminarayan Vidyamandir,Adajan</t>
  </si>
  <si>
    <t>IN-2022004736, IN-2022004737</t>
  </si>
  <si>
    <t>2026-05-06 00:00:00</t>
  </si>
  <si>
    <t>127759, 27390</t>
  </si>
  <si>
    <t>0, 0.5333</t>
  </si>
  <si>
    <t>22028000038323812, 22028000038323864</t>
  </si>
  <si>
    <t>51788000002799365</t>
  </si>
  <si>
    <t>zcrm_51788000297347032</t>
  </si>
  <si>
    <t>2026-04-03 11:34:10, 2026-04-03 11:34:23</t>
  </si>
  <si>
    <t>Mr. Akshay Surti</t>
  </si>
  <si>
    <t>+917069062152</t>
  </si>
  <si>
    <t>info.svmsurat@baps.edu.in</t>
  </si>
  <si>
    <t>Akshay Surti</t>
  </si>
  <si>
    <t>+919909223800</t>
  </si>
  <si>
    <t>Virendra Patel</t>
  </si>
  <si>
    <t>+919998817418</t>
  </si>
  <si>
    <t>Behind BAPS Swaminarayan Mandir</t>
  </si>
  <si>
    <t>BAPS Swaminarayan Mandir Campus, Nr, Sardar Bridge, Adajan</t>
  </si>
  <si>
    <t>12940</t>
  </si>
  <si>
    <t>P P Savani Cambridge International School</t>
  </si>
  <si>
    <t>IN-2022004741, IN-2022004742</t>
  </si>
  <si>
    <t>0, 0.5666</t>
  </si>
  <si>
    <t>22028000038323996, 22028000038330040</t>
  </si>
  <si>
    <t>51788000002735898</t>
  </si>
  <si>
    <t>zcrm_51788000274529245</t>
  </si>
  <si>
    <t>2026-04-03 11:26:16, 2026-04-03 11:26:28</t>
  </si>
  <si>
    <t>Mrs. Anjali Verma</t>
  </si>
  <si>
    <t>+919409260200</t>
  </si>
  <si>
    <t>Ppsavani_cvsinfo@yahoo.co.in</t>
  </si>
  <si>
    <t>Anjali Verma</t>
  </si>
  <si>
    <t>principal@ppscis.org.in</t>
  </si>
  <si>
    <t>153500</t>
  </si>
  <si>
    <t>Mota Varachha Abrama Road</t>
  </si>
  <si>
    <t>394150</t>
  </si>
  <si>
    <t>Mota Varachcha</t>
  </si>
  <si>
    <t>Eklavya Global School</t>
  </si>
  <si>
    <t>IN-2022004684, IN-2022004686</t>
  </si>
  <si>
    <t>14108, 42300</t>
  </si>
  <si>
    <t>2026-06-01 00:00:00, 2026-06-30 00:00:00</t>
  </si>
  <si>
    <t>126900, 42324</t>
  </si>
  <si>
    <t>0, 0.7</t>
  </si>
  <si>
    <t>22028000038270152, 22028000038270228</t>
  </si>
  <si>
    <t>51788000002795679</t>
  </si>
  <si>
    <t>zcrm_51788000255127654</t>
  </si>
  <si>
    <t>2026-04-03 11:12:31, 2026-04-03 11:12:45</t>
  </si>
  <si>
    <t>Chetan Shah</t>
  </si>
  <si>
    <t>info@eklavyaglobal.org</t>
  </si>
  <si>
    <t>cscdshah@gmail.com, muliyagaurav@gmail.com</t>
  </si>
  <si>
    <t>+919099056791, +919825072055</t>
  </si>
  <si>
    <t>Junagadh- Khamdhrol</t>
  </si>
  <si>
    <t>362001</t>
  </si>
  <si>
    <t>Bypass Road,Near KhamdhrolChokdi,</t>
  </si>
  <si>
    <t>Near Khamdhrol Chowkdi, Bypass Road, JunagadhPin Code	362001</t>
  </si>
  <si>
    <t>22932</t>
  </si>
  <si>
    <t>23868</t>
  </si>
  <si>
    <t>86877</t>
  </si>
  <si>
    <t>90423</t>
  </si>
  <si>
    <t>1038</t>
  </si>
  <si>
    <t>50862</t>
  </si>
  <si>
    <t>RTKM05564G</t>
  </si>
  <si>
    <t>44005</t>
  </si>
  <si>
    <t>Pallavi Internationl School, Keesara</t>
  </si>
  <si>
    <t>IN-2022004504</t>
  </si>
  <si>
    <t>266414</t>
  </si>
  <si>
    <t>5328.27</t>
  </si>
  <si>
    <t>261086</t>
  </si>
  <si>
    <t>2027-03-09 00:00:00</t>
  </si>
  <si>
    <t>22028000037771688</t>
  </si>
  <si>
    <t>51788000002827008</t>
  </si>
  <si>
    <t>zcrm_51788000308098818</t>
  </si>
  <si>
    <t>2026-03-28 10:29:46</t>
  </si>
  <si>
    <t>Mrs. Srilatha</t>
  </si>
  <si>
    <t>principal_keesara@pallavimodelschools.org</t>
  </si>
  <si>
    <t>+917660002456</t>
  </si>
  <si>
    <t>admissions_keesara@pallavimodelschools.org</t>
  </si>
  <si>
    <t>Mrs. Srilatha Channapragada</t>
  </si>
  <si>
    <t>Plot No :4-98, Ahmedguda, Keesara Mandal</t>
  </si>
  <si>
    <t>500083</t>
  </si>
  <si>
    <t>HYDP09152D</t>
  </si>
  <si>
    <t>98, Ahmedguda</t>
  </si>
  <si>
    <t>138393</t>
  </si>
  <si>
    <t>2026-07-21 00:00:00</t>
  </si>
  <si>
    <t>101999, 299052, 319464, 332417</t>
  </si>
  <si>
    <t>IN-2022004712, IN-2022004713</t>
  </si>
  <si>
    <t>1669, 2068</t>
  </si>
  <si>
    <t>137709, 290624</t>
  </si>
  <si>
    <t>0.358, 0.409</t>
  </si>
  <si>
    <t>0.34, 0.359</t>
  </si>
  <si>
    <t>0.018000000000000002, 0.05</t>
  </si>
  <si>
    <t>22028000038254792, 22028000038254840</t>
  </si>
  <si>
    <t>zcrm_51788000309649009, zcrm_51788000309649181</t>
  </si>
  <si>
    <t>2026-03-31 13:53:47, 2026-03-31 13:54:08</t>
  </si>
  <si>
    <t>Sapna Katoch</t>
  </si>
  <si>
    <t>katoch.sapna@gmail.com</t>
  </si>
  <si>
    <t>+919805443885</t>
  </si>
  <si>
    <t>Payal Bedi</t>
  </si>
  <si>
    <t>The Orchid School, Pune</t>
  </si>
  <si>
    <t>IN-2022004471</t>
  </si>
  <si>
    <t>74088</t>
  </si>
  <si>
    <t>22028000037671180</t>
  </si>
  <si>
    <t>51788000002736955</t>
  </si>
  <si>
    <t>zcrm_51788000307534417</t>
  </si>
  <si>
    <t>2026-03-26 14:34:17</t>
  </si>
  <si>
    <t>Sonali Khambete</t>
  </si>
  <si>
    <t>sonalikhambete@theorchidschool.org</t>
  </si>
  <si>
    <t>+919623450881</t>
  </si>
  <si>
    <t>namratamajhail@theorchidschool.org</t>
  </si>
  <si>
    <t>Namrata Majhail</t>
  </si>
  <si>
    <t>+919923434646</t>
  </si>
  <si>
    <t>THE ORCHID SCHOOL,S.NO.80/01/2/1 BANER,MAHALUNGE ROAD MAHARASHTRA,PUNE, 411045</t>
  </si>
  <si>
    <t>S. No. 80/01/2/1</t>
  </si>
  <si>
    <t>Baner Mhalunge Road,</t>
  </si>
  <si>
    <t>Udgam School for Children - Noon Shift</t>
  </si>
  <si>
    <t>IN-2022004780, IN-2022004781</t>
  </si>
  <si>
    <t>22028000038499876, 22028000038499900</t>
  </si>
  <si>
    <t>51788000119728833</t>
  </si>
  <si>
    <t>zcrm_51788000309787372</t>
  </si>
  <si>
    <t>2026-04-03 11:06:23, 2026-04-03 11:06:45</t>
  </si>
  <si>
    <t>Mrs. Dhanya Ramachandran</t>
  </si>
  <si>
    <t>+919427320830</t>
  </si>
  <si>
    <t>Dhanya Ramachandran</t>
  </si>
  <si>
    <t>dhanya@udgamschool.com</t>
  </si>
  <si>
    <t>1882</t>
  </si>
  <si>
    <t>IN-2022004663, IN-2022004664</t>
  </si>
  <si>
    <t>156593, 52245</t>
  </si>
  <si>
    <t>121905, 365383</t>
  </si>
  <si>
    <t>0.1, 0.4412</t>
  </si>
  <si>
    <t>22028000038264052, 22028000038264092</t>
  </si>
  <si>
    <t>zcrm_51788000309429001, zcrm_51788000309429168</t>
  </si>
  <si>
    <t>2026-04-01 12:30:57, 2026-04-01 12:31:18</t>
  </si>
  <si>
    <t>Mrs Prabha Prakash, Mrs. Prabha Prakash</t>
  </si>
  <si>
    <t>Soya C K</t>
  </si>
  <si>
    <t>Shree Gattu Vidyalaya, CBSE</t>
  </si>
  <si>
    <t>IN-2022004733, IN-2022004734</t>
  </si>
  <si>
    <t>22028000038323724, 22028000038323768</t>
  </si>
  <si>
    <t>51788000198603065</t>
  </si>
  <si>
    <t>zcrm_51788000297514714</t>
  </si>
  <si>
    <t>2026-04-03 11:30:49, 2026-04-03 11:30:58</t>
  </si>
  <si>
    <t>Ms. Michelle Ganeshani</t>
  </si>
  <si>
    <t>+917046278000</t>
  </si>
  <si>
    <t>campusdirectorsgv@gmail.com</t>
  </si>
  <si>
    <t>+918849304334</t>
  </si>
  <si>
    <t>Suchita Roy</t>
  </si>
  <si>
    <t>+918758547261</t>
  </si>
  <si>
    <t>26500</t>
  </si>
  <si>
    <t>Gattu School Road</t>
  </si>
  <si>
    <t>393002</t>
  </si>
  <si>
    <t>Plot no. 910</t>
  </si>
  <si>
    <t>IN-2022004760</t>
  </si>
  <si>
    <t>132791</t>
  </si>
  <si>
    <t>22028000038511336</t>
  </si>
  <si>
    <t>zcrm_51788000309828001</t>
  </si>
  <si>
    <t>2026-04-02 16:06:40</t>
  </si>
  <si>
    <t>principaldirector@amrutvahininido.org</t>
  </si>
  <si>
    <t>rajni.rupwate@amrutvahininido.org</t>
  </si>
  <si>
    <t>1477305, 623160</t>
  </si>
  <si>
    <t>310182</t>
  </si>
  <si>
    <t>10979, 190510, 33750, 398812</t>
  </si>
  <si>
    <t>New Life International School</t>
  </si>
  <si>
    <t>IN-2022004682, IN-2022004683</t>
  </si>
  <si>
    <t>22028000038255292, 22028000038255340</t>
  </si>
  <si>
    <t>51788000286620168</t>
  </si>
  <si>
    <t>zcrm_51788000303953181</t>
  </si>
  <si>
    <t>nikita.darvesh_ei</t>
  </si>
  <si>
    <t>nikita.darvesh@ei.study</t>
  </si>
  <si>
    <t>Nikita darvesh</t>
  </si>
  <si>
    <t>2026-04-03 11:40:08, 2026-04-03 11:40:16</t>
  </si>
  <si>
    <t>Johnson Joseph</t>
  </si>
  <si>
    <t>+919137766930</t>
  </si>
  <si>
    <t>inquiry@nlischool.com</t>
  </si>
  <si>
    <t>principal@nlischool.com</t>
  </si>
  <si>
    <t>51003</t>
  </si>
  <si>
    <t>Near Airforce Selection Board 3</t>
  </si>
  <si>
    <t>382024</t>
  </si>
  <si>
    <t>Near Airforce Selection Board 3, Kolavada Road, Sector 25,</t>
  </si>
  <si>
    <t>Kolavada Road</t>
  </si>
  <si>
    <t>Saraswati Vidhyamandir School, Jamnagar</t>
  </si>
  <si>
    <t>IN-2022004698, IN-2022004700</t>
  </si>
  <si>
    <t>17813, 77192</t>
  </si>
  <si>
    <t>231575, 53438</t>
  </si>
  <si>
    <t>22028000038270448, 22028000038270504</t>
  </si>
  <si>
    <t>51788000266301652</t>
  </si>
  <si>
    <t>zcrm_51788000307220360</t>
  </si>
  <si>
    <t>2026-04-03 11:32:07, 2026-04-03 11:32:27</t>
  </si>
  <si>
    <t>Mr. Hemang Parekh</t>
  </si>
  <si>
    <t>+919427979095</t>
  </si>
  <si>
    <t>hemangparekh7@gmail.com</t>
  </si>
  <si>
    <t>anandabawa.svmschool@gmail.com</t>
  </si>
  <si>
    <t>Limda lane</t>
  </si>
  <si>
    <t>361005</t>
  </si>
  <si>
    <t>Andabava trust, Jamnagar</t>
  </si>
  <si>
    <t>32691</t>
  </si>
  <si>
    <t>Vidya Bhawan Society</t>
  </si>
  <si>
    <t>IN-2022004640</t>
  </si>
  <si>
    <t>97440</t>
  </si>
  <si>
    <t>153120</t>
  </si>
  <si>
    <t>348000</t>
  </si>
  <si>
    <t>194880</t>
  </si>
  <si>
    <t>22028000038147168</t>
  </si>
  <si>
    <t>51788000293397004</t>
  </si>
  <si>
    <t>zcrm_51788000309101083</t>
  </si>
  <si>
    <t>2026-03-30 12:36:55</t>
  </si>
  <si>
    <t>Mr. Shailendra Singh</t>
  </si>
  <si>
    <t>vbs@vidyabhawan.in</t>
  </si>
  <si>
    <t>+918875028633</t>
  </si>
  <si>
    <t>Dr. Mohan Sinha Mehta Marg, Fatehpura, Udaipur-313004, Rajasthan, India</t>
  </si>
  <si>
    <t>313004</t>
  </si>
  <si>
    <t>IN-2022004753</t>
  </si>
  <si>
    <t>2026-08-05 00:00:00</t>
  </si>
  <si>
    <t>2026-10-29 00:00:00</t>
  </si>
  <si>
    <t>22028000038496024</t>
  </si>
  <si>
    <t>zcrm_51788000309734034</t>
  </si>
  <si>
    <t>2026-04-06 17:25:20</t>
  </si>
  <si>
    <t>IN-2022004748</t>
  </si>
  <si>
    <t>567082</t>
  </si>
  <si>
    <t>22028000038354060</t>
  </si>
  <si>
    <t>zcrm_51788000309611282</t>
  </si>
  <si>
    <t>2026-04-02 14:29:06</t>
  </si>
  <si>
    <t>gzb.jaipuria54205@jaipuria.edu.in</t>
  </si>
  <si>
    <t>Ms. Renu Agrawal</t>
  </si>
  <si>
    <t>renu.aggarwal_sajsvg@jaipuria.edu.in</t>
  </si>
  <si>
    <t>63314</t>
  </si>
  <si>
    <t>347546</t>
  </si>
  <si>
    <t>197546</t>
  </si>
  <si>
    <t>53656, 84532</t>
  </si>
  <si>
    <t>100026</t>
  </si>
  <si>
    <t>2026-02-10 00:00:00, 2026-03-31 00:00:00</t>
  </si>
  <si>
    <t>IN-2022004325, IN-2022004745, IN-2022004746</t>
  </si>
  <si>
    <t>2026-03-09 00:00:00, 2026-03-15 00:00:00</t>
  </si>
  <si>
    <t>0, 212411, 42000</t>
  </si>
  <si>
    <t>0, 106200</t>
  </si>
  <si>
    <t>0, 106211, 42000</t>
  </si>
  <si>
    <t>0.44, 0.528</t>
  </si>
  <si>
    <t>0, 0.44, 0.528</t>
  </si>
  <si>
    <t>22028000037111416, 22028000038330172, 22028000038330216</t>
  </si>
  <si>
    <t>2026-03-10 09:50:52, 2026-04-03 12:17:31, 2026-04-03 12:17:50</t>
  </si>
  <si>
    <t>Manas International School.</t>
  </si>
  <si>
    <t>+918130253741</t>
  </si>
  <si>
    <t>IN-2022004652, IN-2022004653</t>
  </si>
  <si>
    <t>52380, 58194</t>
  </si>
  <si>
    <t>471420, 58194</t>
  </si>
  <si>
    <t>0, 0.4</t>
  </si>
  <si>
    <t>2027-03-05 00:00:00</t>
  </si>
  <si>
    <t>22028000038215060, 22028000038215100</t>
  </si>
  <si>
    <t>2026-03-26 10:50:03, 2026-03-27 15:57:03</t>
  </si>
  <si>
    <t>info@vissanjiacademy.com, info@vissanjiacademy.org</t>
  </si>
  <si>
    <t>Linet, Mrs. Linet D'silva</t>
  </si>
  <si>
    <t>+919619847817</t>
  </si>
  <si>
    <t>St.Teresa's School Bolpur</t>
  </si>
  <si>
    <t>IN-2022004427</t>
  </si>
  <si>
    <t>77175</t>
  </si>
  <si>
    <t>2026-10-03 00:00:00</t>
  </si>
  <si>
    <t>67175</t>
  </si>
  <si>
    <t>0.5557</t>
  </si>
  <si>
    <t>Bolpur</t>
  </si>
  <si>
    <t>22028000037495844</t>
  </si>
  <si>
    <t>51788000272845007</t>
  </si>
  <si>
    <t>zcrm_51788000273828093</t>
  </si>
  <si>
    <t>2026-04-01 14:14:34</t>
  </si>
  <si>
    <t>Sister Anjali</t>
  </si>
  <si>
    <t>anjalictc2016@gmail.com</t>
  </si>
  <si>
    <t>+917366001655</t>
  </si>
  <si>
    <t>stteresabolpur@yahoo.in</t>
  </si>
  <si>
    <t>21600</t>
  </si>
  <si>
    <t>Makarampur, Paruldanga</t>
  </si>
  <si>
    <t>731235</t>
  </si>
  <si>
    <t>K.E. Carmel School, Suri</t>
  </si>
  <si>
    <t>2026-02-09 00:00:00, 2026-03-11 00:00:00</t>
  </si>
  <si>
    <t>IN-2022004311, IN-2022004516</t>
  </si>
  <si>
    <t>1321, 1420</t>
  </si>
  <si>
    <t>2026-04-10 00:00:00, 2026-04-30 00:00:00</t>
  </si>
  <si>
    <t>12425, 69347</t>
  </si>
  <si>
    <t>2026-07-10 00:00:00, 2026-07-31 00:00:00</t>
  </si>
  <si>
    <t>2026-10-10 00:00:00, 2026-10-31 00:00:00</t>
  </si>
  <si>
    <t>2026-12-30 00:00:00, 2026-12-31 00:00:00</t>
  </si>
  <si>
    <t>0.6225999999999999, 0.645</t>
  </si>
  <si>
    <t>Suri</t>
  </si>
  <si>
    <t>22028000037097472, 22028000037817416</t>
  </si>
  <si>
    <t>51788000304959341</t>
  </si>
  <si>
    <t>zcrm_51788000306295645, zcrm_51788000308075761</t>
  </si>
  <si>
    <t>2026-03-20 17:00:33, 2026-03-20 17:01:00</t>
  </si>
  <si>
    <t>Father Varghese T CMI, Mr. Father Varghese T CMI</t>
  </si>
  <si>
    <t>kecarmelsuri@gmail.com</t>
  </si>
  <si>
    <t>+917431096077, +917679820957</t>
  </si>
  <si>
    <t>Fr, Varghese Thomas CMI, Mr. Father Varghese T CMI</t>
  </si>
  <si>
    <t>Vill Pathra P 3, Nagari</t>
  </si>
  <si>
    <t>731126</t>
  </si>
  <si>
    <t>Vill Pathra P 3, Suri PO Nagari, Dist-Birbhum,- Birbhum, West Bengal, India, 731126</t>
  </si>
  <si>
    <t>IN-2022004678, IN-2022004685</t>
  </si>
  <si>
    <t>0, 22500</t>
  </si>
  <si>
    <t>22028000038270052, 22028000038270188</t>
  </si>
  <si>
    <t>2026-04-03 11:20:02, 2026-04-03 11:20:16</t>
  </si>
  <si>
    <t>+91909956791</t>
  </si>
  <si>
    <t>+91909956791, +919126051260</t>
  </si>
  <si>
    <t>St. Joseph’s International School, Sirsa</t>
  </si>
  <si>
    <t>IN-2022004340</t>
  </si>
  <si>
    <t>40968</t>
  </si>
  <si>
    <t>Sirsa</t>
  </si>
  <si>
    <t>22028000037275336</t>
  </si>
  <si>
    <t>51788000306736340</t>
  </si>
  <si>
    <t>zcrm_51788000306785197</t>
  </si>
  <si>
    <t>2026-04-04 15:20:25</t>
  </si>
  <si>
    <t>Mr. Aditya Maan</t>
  </si>
  <si>
    <t>info@sjis.in</t>
  </si>
  <si>
    <t>+919254044555</t>
  </si>
  <si>
    <t>Ms. Ritu Anchal</t>
  </si>
  <si>
    <t>ritu.anchal@sjis.in</t>
  </si>
  <si>
    <t>+918198900022</t>
  </si>
  <si>
    <t>125055</t>
  </si>
  <si>
    <t>St. Joseph School, Hisar</t>
  </si>
  <si>
    <t>Rania Road, Near Tarkeshwar Dham, Sirsa, Haryana 125055</t>
  </si>
  <si>
    <t>115034</t>
  </si>
  <si>
    <t>Wisdom School</t>
  </si>
  <si>
    <t>2026-03-06 00:00:00, 2026-03-27 00:00:00</t>
  </si>
  <si>
    <t>IN-2022004486, IN-2022004687, IN-2022004688</t>
  </si>
  <si>
    <t>2026-02-26 00:00:00, 2026-04-01 00:00:00</t>
  </si>
  <si>
    <t>13538, 169692, 67690</t>
  </si>
  <si>
    <t>2026-06-01 00:00:00, 2026-10-15 00:00:00</t>
  </si>
  <si>
    <t>191355, 203069, 40613</t>
  </si>
  <si>
    <t>0.7222, 0.9</t>
  </si>
  <si>
    <t>0, 0.7222, 0.9</t>
  </si>
  <si>
    <t>22028000037720592, 22028000038270284, 22028000038270324</t>
  </si>
  <si>
    <t>51788000308044030</t>
  </si>
  <si>
    <t>zcrm_51788000297516085, zcrm_51788000307526710</t>
  </si>
  <si>
    <t>2026-03-14 10:48:03, 2026-04-03 12:08:46, 2026-04-03 12:09:01</t>
  </si>
  <si>
    <t>Mr. Satyajit Jadeja</t>
  </si>
  <si>
    <t>muliyagaurav@gmail.com, seekingconsultancy@gmail.com</t>
  </si>
  <si>
    <t>+919099056791, +919978789407</t>
  </si>
  <si>
    <t>satyajeet@mywisdomschool.com</t>
  </si>
  <si>
    <t>Mr. Satyajit Jadeja, Satyajeet Jadeja</t>
  </si>
  <si>
    <t>muliyagaurav@gmail.com, satyajeet@mywisdomschool.com</t>
  </si>
  <si>
    <t>+919978789407</t>
  </si>
  <si>
    <t>34000</t>
  </si>
  <si>
    <t>Br Kotecha Chawk</t>
  </si>
  <si>
    <t>1st Floor</t>
  </si>
  <si>
    <t>1st Floor, Saurashtra High-school Campus, Kotecha Circle</t>
  </si>
  <si>
    <t>BAPS Swaminarayan Vidyamandir,Valsad</t>
  </si>
  <si>
    <t>2026-03-18 00:00:00, 2026-03-19 00:00:00</t>
  </si>
  <si>
    <t>IN-2022004573, IN-2022004583</t>
  </si>
  <si>
    <t>2026-05-05 00:00:00</t>
  </si>
  <si>
    <t>186914, 40046</t>
  </si>
  <si>
    <t>22028000037982960, 22028000038008088</t>
  </si>
  <si>
    <t>51788000308097384</t>
  </si>
  <si>
    <t>zcrm_51788000308792641</t>
  </si>
  <si>
    <t>2026-04-03 12:11:23, 2026-04-03 12:11:53</t>
  </si>
  <si>
    <t>Mr. Mansinh Thakor</t>
  </si>
  <si>
    <t>bapsvm@yahoo.co.in</t>
  </si>
  <si>
    <t>+919998992822</t>
  </si>
  <si>
    <t>48003</t>
  </si>
  <si>
    <t>Dharanagar-Abrama</t>
  </si>
  <si>
    <t>Dharanagar Society</t>
  </si>
  <si>
    <t>Dharanagar-Abrama Road</t>
  </si>
  <si>
    <t>Pallavi International School, Bachupally</t>
  </si>
  <si>
    <t>IN-2022004503</t>
  </si>
  <si>
    <t>381019</t>
  </si>
  <si>
    <t>7620</t>
  </si>
  <si>
    <t>373398</t>
  </si>
  <si>
    <t>22028000037771648</t>
  </si>
  <si>
    <t>51788000308137218</t>
  </si>
  <si>
    <t>zcrm_51788000308076599</t>
  </si>
  <si>
    <t>2026-03-19 16:00:31</t>
  </si>
  <si>
    <t>Mrs. Sudeshna Mairal</t>
  </si>
  <si>
    <t>principal_bachupally@pallavimodelschools.org</t>
  </si>
  <si>
    <t>+917670907776</t>
  </si>
  <si>
    <t>admissions_bachupally@pallavimodelschools.org</t>
  </si>
  <si>
    <t>Praneeth Nagar Road, Survey Numbers: 72/E/2, 77, 73/EE/2, 71/A, 79/AA/A, and 79/A</t>
  </si>
  <si>
    <t>500043</t>
  </si>
  <si>
    <t>Zebar School for Children - Noon Shift</t>
  </si>
  <si>
    <t>IN-2022004776, IN-2022004777</t>
  </si>
  <si>
    <t>22028000038499792, 22028000038499816</t>
  </si>
  <si>
    <t>51788000308327070</t>
  </si>
  <si>
    <t>zcrm_51788000309813422</t>
  </si>
  <si>
    <t>2026-04-03 11:22:16, 2026-04-03 11:22:28</t>
  </si>
  <si>
    <t>Mrs. Mili Bhattacharya</t>
  </si>
  <si>
    <t>Mili Bhattacharya, Mrs. Mili Bhattacharya</t>
  </si>
  <si>
    <t>85210</t>
  </si>
  <si>
    <t>B/H Copper Stone, Opp. Suyog Apartment</t>
  </si>
  <si>
    <t>Edison G Agoram</t>
  </si>
  <si>
    <t>IN-2022004567, IN-2022004572</t>
  </si>
  <si>
    <t>903</t>
  </si>
  <si>
    <t>1018</t>
  </si>
  <si>
    <t>49657, 99055</t>
  </si>
  <si>
    <t>100000, 50000</t>
  </si>
  <si>
    <t>-343, -945</t>
  </si>
  <si>
    <t>0.537, 0.6665000000000001</t>
  </si>
  <si>
    <t>Chidambaram</t>
  </si>
  <si>
    <t>22028000037998288, 22028000037998340</t>
  </si>
  <si>
    <t>51788000299348695</t>
  </si>
  <si>
    <t>zcrm_51788000302620361, zcrm_51788000308760486</t>
  </si>
  <si>
    <t>2026-03-23 11:18:19, 2026-03-23 11:18:46</t>
  </si>
  <si>
    <t>MRS shammi ratna</t>
  </si>
  <si>
    <t>egams@hotmail.com</t>
  </si>
  <si>
    <t>+919842231693</t>
  </si>
  <si>
    <t>Kalyani.S, Kalyani.s</t>
  </si>
  <si>
    <t>egams@hotmail.com, egams@hotmil.com</t>
  </si>
  <si>
    <t>+919443230693</t>
  </si>
  <si>
    <t>Manalur</t>
  </si>
  <si>
    <t>608602</t>
  </si>
  <si>
    <t>Keerapalayam</t>
  </si>
  <si>
    <t>St. Joseph's International School, Hisar</t>
  </si>
  <si>
    <t>IN-2022004586</t>
  </si>
  <si>
    <t>115754</t>
  </si>
  <si>
    <t>22028000038015216</t>
  </si>
  <si>
    <t>51788000308845128</t>
  </si>
  <si>
    <t>zcrm_51788000308809927</t>
  </si>
  <si>
    <t>2026-04-04 11:22:06</t>
  </si>
  <si>
    <t>Mr. Anil maan</t>
  </si>
  <si>
    <t>+919813100018</t>
  </si>
  <si>
    <t>inf@sjis.in</t>
  </si>
  <si>
    <t>St. Joseph's International School</t>
  </si>
  <si>
    <t>125001</t>
  </si>
  <si>
    <t>Hisar-Sirsa Road, Hisar</t>
  </si>
  <si>
    <t>Lakshaya School</t>
  </si>
  <si>
    <t>IN-2022004679, IN-2022004681</t>
  </si>
  <si>
    <t>23667, 5138</t>
  </si>
  <si>
    <t>15413, 71002</t>
  </si>
  <si>
    <t>22028000038255204, 22028000038255260</t>
  </si>
  <si>
    <t>51788000302368629</t>
  </si>
  <si>
    <t>zcrm_51788000308792309</t>
  </si>
  <si>
    <t>2026-04-03 15:25:51, 2026-04-03 15:26:17</t>
  </si>
  <si>
    <t>Ms. Neha Agrawal</t>
  </si>
  <si>
    <t>info@lakshayaschool.com</t>
  </si>
  <si>
    <t>+919925171261</t>
  </si>
  <si>
    <t>Opp. Applewoods Township</t>
  </si>
  <si>
    <t>Sardar patel road</t>
  </si>
  <si>
    <t>Sardar patel</t>
  </si>
  <si>
    <t>Vidya Bhawan Senior Secondary School</t>
  </si>
  <si>
    <t>IN-2022004674</t>
  </si>
  <si>
    <t>RBSE</t>
  </si>
  <si>
    <t>22028000038264328</t>
  </si>
  <si>
    <t>51788000309138127</t>
  </si>
  <si>
    <t>zcrm_51788000309128175</t>
  </si>
  <si>
    <t>2026-03-30 18:16:42</t>
  </si>
  <si>
    <t>Mrs. Vijay Shree Yadav</t>
  </si>
  <si>
    <t>+917878990663</t>
  </si>
  <si>
    <t>principalvbsss@vidyabhawan.in</t>
  </si>
  <si>
    <t>Dewali, Panchwati</t>
  </si>
  <si>
    <t>Dewali,</t>
  </si>
  <si>
    <t>Dr. Mohan Sinha Mehta Marg, Fatehpura</t>
  </si>
  <si>
    <t>Vidya Bhawan Senior Secondary School Ramgiri</t>
  </si>
  <si>
    <t>IN-2022004675</t>
  </si>
  <si>
    <t>22028000038264388</t>
  </si>
  <si>
    <t>51788000309138426</t>
  </si>
  <si>
    <t>zcrm_51788000309100995</t>
  </si>
  <si>
    <t>2026-03-30 18:14:41</t>
  </si>
  <si>
    <t>Ms. Neha Yadav</t>
  </si>
  <si>
    <t>+917742285628</t>
  </si>
  <si>
    <t>vbbsudr@gmail.com</t>
  </si>
  <si>
    <t>neha.yadav@vidyabhawan.in</t>
  </si>
  <si>
    <t>Badgaon,</t>
  </si>
  <si>
    <t>313011</t>
  </si>
  <si>
    <t>Badgaon</t>
  </si>
  <si>
    <t>Ramgiri</t>
  </si>
  <si>
    <t>M.A.M Exel Public School</t>
  </si>
  <si>
    <t>IN-2022004706</t>
  </si>
  <si>
    <t>58502</t>
  </si>
  <si>
    <t>0.29410000000000003</t>
  </si>
  <si>
    <t>22028000038251444</t>
  </si>
  <si>
    <t>51788000309634015</t>
  </si>
  <si>
    <t>zcrm_51788000309579301</t>
  </si>
  <si>
    <t>2026-04-03 15:10:37</t>
  </si>
  <si>
    <t>Mrs. Nirmala Devi M</t>
  </si>
  <si>
    <t>mamexelpublicschool@gmail.com</t>
  </si>
  <si>
    <t>+918015720366</t>
  </si>
  <si>
    <t>info@mamexel.com</t>
  </si>
  <si>
    <t>Guruvareddiyur,</t>
  </si>
  <si>
    <t>638504</t>
  </si>
  <si>
    <t>Erode (Dt)</t>
  </si>
  <si>
    <t>IN-2022004676</t>
  </si>
  <si>
    <t>65793</t>
  </si>
  <si>
    <t>22028000038231840</t>
  </si>
  <si>
    <t>zcrm_51788000309404190</t>
  </si>
  <si>
    <t>2026-03-31 10:26:18</t>
  </si>
  <si>
    <t>Ms. Perveen Quaiser</t>
  </si>
  <si>
    <t>principal.lahartara@sunbeamschools.com</t>
  </si>
  <si>
    <t>+919889553596</t>
  </si>
  <si>
    <t>Mr. Sanjeev Mishra</t>
  </si>
  <si>
    <t>150300</t>
  </si>
  <si>
    <t>2026-New Schools</t>
  </si>
  <si>
    <t>2026-All Schools</t>
  </si>
  <si>
    <t>2026-Retention Schools</t>
  </si>
  <si>
    <t>2025-Dropped school</t>
  </si>
  <si>
    <t>Retention Schools</t>
  </si>
  <si>
    <t>Academic Research</t>
  </si>
  <si>
    <t>Monitoring and Data Mgt</t>
  </si>
  <si>
    <t>Z1</t>
  </si>
  <si>
    <t>Z2</t>
  </si>
  <si>
    <t>Preeti</t>
  </si>
  <si>
    <t>Z3</t>
  </si>
  <si>
    <t>Nisha</t>
  </si>
  <si>
    <t>Z5</t>
  </si>
  <si>
    <t>Z6</t>
  </si>
  <si>
    <t>ACAD</t>
  </si>
  <si>
    <t>Ratna</t>
  </si>
  <si>
    <t>Vijeta</t>
  </si>
  <si>
    <t>New &amp; 1-Year Schools</t>
  </si>
  <si>
    <t>No of People</t>
  </si>
  <si>
    <t>Aruna(LAC), Nitya</t>
  </si>
  <si>
    <t xml:space="preserve">Ishita(LAC)
XXX
</t>
  </si>
  <si>
    <t>Delhi &amp; NCR
Rajasthan
UP &amp; Uttarnchal</t>
  </si>
  <si>
    <t xml:space="preserve">Gujarat
</t>
  </si>
  <si>
    <t xml:space="preserve">Maharastra
MP
</t>
  </si>
  <si>
    <t>TN
AP &amp;TS 
Kerala</t>
  </si>
  <si>
    <t>Apoora</t>
  </si>
  <si>
    <t xml:space="preserve">
Pooja
Anushka
</t>
  </si>
  <si>
    <t xml:space="preserve">
Saloni
XXX
</t>
  </si>
  <si>
    <t xml:space="preserve">
Vineet
Ashwin</t>
  </si>
  <si>
    <t xml:space="preserve">
Sumit
Sumit(OD)</t>
  </si>
  <si>
    <t>Tanya(Group), Manavi
Himani</t>
  </si>
  <si>
    <t xml:space="preserve">Bhavishya(LAC)
Sudhi
</t>
  </si>
  <si>
    <t>Samarth,
Phavindra Reddy</t>
  </si>
  <si>
    <t>Gargi
XXX</t>
  </si>
  <si>
    <t>Hetal
XXX</t>
  </si>
  <si>
    <t>Punjab
Hariyana
HP</t>
  </si>
  <si>
    <t>Shalinder(H)
Aarti
Vaishali
Selvi Garg
YYY</t>
  </si>
  <si>
    <t>2026-School type</t>
  </si>
  <si>
    <t>New Schools</t>
  </si>
  <si>
    <t>1-year schools</t>
  </si>
  <si>
    <t>IN-2022004913</t>
  </si>
  <si>
    <t>2026-05-10 00:00:00</t>
  </si>
  <si>
    <t>22028000038863396</t>
  </si>
  <si>
    <t>zcrm_51788000309863683</t>
  </si>
  <si>
    <t>nithya.menon_ei</t>
  </si>
  <si>
    <t>nithya.menon@ei.study</t>
  </si>
  <si>
    <t>Nithya menon</t>
  </si>
  <si>
    <t>2026-04-15 15:36:53</t>
  </si>
  <si>
    <t>MR. P. I. PATIL</t>
  </si>
  <si>
    <t>klesstatenipani@gmail.com</t>
  </si>
  <si>
    <t>+918338220860</t>
  </si>
  <si>
    <t>2026-02-18 00:00:00, 2026-04-08 00:00:00</t>
  </si>
  <si>
    <t>IN-2022004363, IN-2022004826</t>
  </si>
  <si>
    <t>2026-10-31 00:00:00, 2026-12-31 00:00:00</t>
  </si>
  <si>
    <t>0.25, 0.6315999999999999</t>
  </si>
  <si>
    <t>22028000037351152, 22028000038717160</t>
  </si>
  <si>
    <t>zcrm_51788000306973001, zcrm_51788000310209019</t>
  </si>
  <si>
    <t>2026-02-25 19:33:07, 2026-04-13 11:04:55</t>
  </si>
  <si>
    <t>IN-2022004823</t>
  </si>
  <si>
    <t>429300</t>
  </si>
  <si>
    <t>22028000038705024</t>
  </si>
  <si>
    <t>zcrm_51788000310196033</t>
  </si>
  <si>
    <t>2026-04-08 18:51:14</t>
  </si>
  <si>
    <t>nisha@rishikulvidyapeeth.edu.in</t>
  </si>
  <si>
    <t>+919416524444</t>
  </si>
  <si>
    <t>0, 841951</t>
  </si>
  <si>
    <t>-691951, 691020</t>
  </si>
  <si>
    <t>IN-2022004904</t>
  </si>
  <si>
    <t>22028000038863160</t>
  </si>
  <si>
    <t>zcrm_51788000309858177</t>
  </si>
  <si>
    <t>2026-04-15 15:38:50</t>
  </si>
  <si>
    <t>Dr.Sheetal Tiwari</t>
  </si>
  <si>
    <t>klesakharesheetal@gmail.com</t>
  </si>
  <si>
    <t>+919886760767</t>
  </si>
  <si>
    <t>IN-2022004908</t>
  </si>
  <si>
    <t>22028000038863264</t>
  </si>
  <si>
    <t>zcrm_51788000309858847</t>
  </si>
  <si>
    <t>2026-04-15 15:51:16</t>
  </si>
  <si>
    <t>Jagdish S Marali</t>
  </si>
  <si>
    <t>kleschool.man@yahoo.com</t>
  </si>
  <si>
    <t>+918362335055</t>
  </si>
  <si>
    <t>IN-2022004914</t>
  </si>
  <si>
    <t>22028000038863424</t>
  </si>
  <si>
    <t>zcrm_51788000309863849</t>
  </si>
  <si>
    <t>2026-04-15 15:46:39</t>
  </si>
  <si>
    <t>Mrs. KALPANA CHACHADI</t>
  </si>
  <si>
    <t>+918372232615</t>
  </si>
  <si>
    <t>IN-2022004912</t>
  </si>
  <si>
    <t>22028000038863368</t>
  </si>
  <si>
    <t>zcrm_51788000309863517</t>
  </si>
  <si>
    <t>2026-04-15 15:40:23</t>
  </si>
  <si>
    <t>SMT. NANDA CHUNAMARI</t>
  </si>
  <si>
    <t>+918332229504</t>
  </si>
  <si>
    <t>2026-04-08 00:00:00</t>
  </si>
  <si>
    <t>IN-2022004836</t>
  </si>
  <si>
    <t>106805</t>
  </si>
  <si>
    <t>22028000038743076</t>
  </si>
  <si>
    <t>zcrm_51788000310196190</t>
  </si>
  <si>
    <t>2026-04-09 16:16:02</t>
  </si>
  <si>
    <t>Meenakshi Zarabi</t>
  </si>
  <si>
    <t>IN-2022004821</t>
  </si>
  <si>
    <t>2847</t>
  </si>
  <si>
    <t>686069</t>
  </si>
  <si>
    <t>2026-09-25 00:00:00</t>
  </si>
  <si>
    <t>0.067</t>
  </si>
  <si>
    <t>2026-04-09 00:00:00</t>
  </si>
  <si>
    <t>22028000038668172</t>
  </si>
  <si>
    <t>zcrm_51788000310122001</t>
  </si>
  <si>
    <t>2026-04-09 10:16:06</t>
  </si>
  <si>
    <t>mindspark@mhsforgirls.edu.in</t>
  </si>
  <si>
    <t>Devi Sushila Khedia DAV Public School,</t>
  </si>
  <si>
    <t>IN-2022004791</t>
  </si>
  <si>
    <t>67517</t>
  </si>
  <si>
    <t>Purulia</t>
  </si>
  <si>
    <t>22028000038615112</t>
  </si>
  <si>
    <t>51788000002762399</t>
  </si>
  <si>
    <t>zcrm_51788000307138833</t>
  </si>
  <si>
    <t>2026-04-09 11:03:23</t>
  </si>
  <si>
    <t>Mr. Jayanta Biswas</t>
  </si>
  <si>
    <t>dskdav.2011@gmail.com</t>
  </si>
  <si>
    <t>+917488075998</t>
  </si>
  <si>
    <t>Jayanta Biswas</t>
  </si>
  <si>
    <t>skdav.2011@gmail.com</t>
  </si>
  <si>
    <t>DSK DAV PUBLIC SCHOOL, PURULIA WILCOX ROAD, SIMOLIA,PURULIA, WEST BENGAL - 723102</t>
  </si>
  <si>
    <t>723101</t>
  </si>
  <si>
    <t>Belguma Police Line Road, Chakda, P.O. Kotluim, ,Purulia,West Bengal - 723101</t>
  </si>
  <si>
    <t>IN-2022004537, IN-2022004538</t>
  </si>
  <si>
    <t>0, 208790</t>
  </si>
  <si>
    <t>2000-01-01 00:00:00, 2026-07-10 00:00:00</t>
  </si>
  <si>
    <t>0.33340000000000003, 1</t>
  </si>
  <si>
    <t>22028000037906368, 22028000037906668</t>
  </si>
  <si>
    <t>zcrm_51788000308255055, zcrm_51788000308478361</t>
  </si>
  <si>
    <t>2026-04-09 10:07:54, 2026-04-09 10:08:21</t>
  </si>
  <si>
    <t>IN-2022004786</t>
  </si>
  <si>
    <t>2466</t>
  </si>
  <si>
    <t>724597</t>
  </si>
  <si>
    <t>0.1917</t>
  </si>
  <si>
    <t>22028000038606156</t>
  </si>
  <si>
    <t>zcrm_51788000309943001</t>
  </si>
  <si>
    <t>2026-04-10 19:54:32</t>
  </si>
  <si>
    <t>D A V Model School ,Durgapur</t>
  </si>
  <si>
    <t>IN-2022004787</t>
  </si>
  <si>
    <t>306677</t>
  </si>
  <si>
    <t>-20000</t>
  </si>
  <si>
    <t>Durgapur</t>
  </si>
  <si>
    <t>22028000038615024</t>
  </si>
  <si>
    <t>51788000002771251</t>
  </si>
  <si>
    <t>zcrm_51788000309884007</t>
  </si>
  <si>
    <t>2026-04-09 10:59:07</t>
  </si>
  <si>
    <t>Mrs. Papiya Mukherjee</t>
  </si>
  <si>
    <t>dav@davmodeldurgapur.com</t>
  </si>
  <si>
    <t>+919434711616</t>
  </si>
  <si>
    <t>papiya_m@rediffmail.com</t>
  </si>
  <si>
    <t>Papiya Mukherjee</t>
  </si>
  <si>
    <t>DAV MODEL SCHOOL, DURGAPURJ.M. SENGUPTA ROAD, B-ZONE,DURGAPUR, PASCHIM BARDHAMAN,WEST BENGAL</t>
  </si>
  <si>
    <t>713205</t>
  </si>
  <si>
    <t>JM Sengupta Rd, B-Zone, Durgapur, West Bengal 713205</t>
  </si>
  <si>
    <t>J N Sengupta Road Durgapur Distt Burdwan West Bengal</t>
  </si>
  <si>
    <t>D A V Public School , Asansol</t>
  </si>
  <si>
    <t>IN-2022004789</t>
  </si>
  <si>
    <t>202251</t>
  </si>
  <si>
    <t>22028000038615068</t>
  </si>
  <si>
    <t>51788000002771255</t>
  </si>
  <si>
    <t>zcrm_51788000305310669</t>
  </si>
  <si>
    <t>2026-04-09 11:04:57</t>
  </si>
  <si>
    <t>Mr. D R Mahanty</t>
  </si>
  <si>
    <t>dav.asnl@gmail.com</t>
  </si>
  <si>
    <t>+919434133949</t>
  </si>
  <si>
    <t>D R Mahanty</t>
  </si>
  <si>
    <t>av.asnl@gmail.com</t>
  </si>
  <si>
    <t>BESIDE DISTRICT MAGISTRATE OFFICE, LIONS CLUB ROAD, PO- R.K MISSION, PS-ASANSOL (N) DT : PASCHIM BURDWAN , PIN : 713305</t>
  </si>
  <si>
    <t>713305</t>
  </si>
  <si>
    <t>BESIDE DISTRICT MAGISTRATE OFFICE, LIONS CLUB ROAD, PO- R.K MISSION, PS-ASANSOL (N) DT : PASCHIM BURDWAN , PIN : 713305</t>
  </si>
  <si>
    <t>Kanyapur Asansol Burdwan West Bengal</t>
  </si>
  <si>
    <t>IN-2022004906</t>
  </si>
  <si>
    <t>22028000038863212</t>
  </si>
  <si>
    <t>zcrm_51788000309858512</t>
  </si>
  <si>
    <t>2026-04-15 15:52:23</t>
  </si>
  <si>
    <t>Prasad S Dongaonkar</t>
  </si>
  <si>
    <t>principal@kleschool.com</t>
  </si>
  <si>
    <t>+918023188899</t>
  </si>
  <si>
    <t>IN-2022004915</t>
  </si>
  <si>
    <t>22028000038863448</t>
  </si>
  <si>
    <t>zcrm_51788000309865015</t>
  </si>
  <si>
    <t>2026-04-15 15:32:34</t>
  </si>
  <si>
    <t>Ms. Asha K Martin</t>
  </si>
  <si>
    <t>+917619607993</t>
  </si>
  <si>
    <t>0, 83531</t>
  </si>
  <si>
    <t>-55406, 138940</t>
  </si>
  <si>
    <t>0, 290000</t>
  </si>
  <si>
    <t>-58497, 51854</t>
  </si>
  <si>
    <t>0, 357481</t>
  </si>
  <si>
    <t>357481, 567629</t>
  </si>
  <si>
    <t>DAV Public School, Barrackpore</t>
  </si>
  <si>
    <t>IN-2022004795</t>
  </si>
  <si>
    <t>101126</t>
  </si>
  <si>
    <t>Barrackpore</t>
  </si>
  <si>
    <t>22028000038615200</t>
  </si>
  <si>
    <t>51788000002788619</t>
  </si>
  <si>
    <t>zcrm_51788000307125664</t>
  </si>
  <si>
    <t>2026-04-09 11:01:54</t>
  </si>
  <si>
    <t>Ms. Jeeta Bhattacharya</t>
  </si>
  <si>
    <t>principal.bkpdav@gmail.com</t>
  </si>
  <si>
    <t>+918276004875</t>
  </si>
  <si>
    <t>davbkp@yahoo.co.in</t>
  </si>
  <si>
    <t>Jeeta Bhattacharya</t>
  </si>
  <si>
    <t>D.A.V. PUBLIC SCHOOL, BARRACKPOREKALYANI EXPRESSWAY,  RUIYA,PATULIA, KOLKATA - 700119</t>
  </si>
  <si>
    <t>Park Rd, Cantonment, Barrackpore, West Bengal</t>
  </si>
  <si>
    <t>D A V Public School Midnapore</t>
  </si>
  <si>
    <t>IN-2022004792</t>
  </si>
  <si>
    <t>171643</t>
  </si>
  <si>
    <t>Midnapore</t>
  </si>
  <si>
    <t>22028000038615136</t>
  </si>
  <si>
    <t>51788000002734720</t>
  </si>
  <si>
    <t>zcrm_51788000308105016</t>
  </si>
  <si>
    <t>2026-04-09 11:04:03</t>
  </si>
  <si>
    <t>Mr. NK Goutam</t>
  </si>
  <si>
    <t>info@davmidnapore.org</t>
  </si>
  <si>
    <t>+919732326097</t>
  </si>
  <si>
    <t>dav_midnapur@rediffmail.com</t>
  </si>
  <si>
    <t>NK Goutam</t>
  </si>
  <si>
    <t>nfo@davmidnapore.org</t>
  </si>
  <si>
    <t>Daak Bunglow Road Midnapore West Bengal,Midnapur,West Bengal - 721101</t>
  </si>
  <si>
    <t>721101</t>
  </si>
  <si>
    <t>DAV PUBLIC SCHOOL, MIDNAPUR Daak Bunglow Road, Midnapur,District Paschim Midnapur, West Bengal.</t>
  </si>
  <si>
    <t>0, 92144</t>
  </si>
  <si>
    <t>IN-2022004909</t>
  </si>
  <si>
    <t>22028000038863292</t>
  </si>
  <si>
    <t>zcrm_51788000309863013</t>
  </si>
  <si>
    <t>2026-04-15 15:28:53</t>
  </si>
  <si>
    <t>Partha Sarathi Nanda</t>
  </si>
  <si>
    <t>+917892966009</t>
  </si>
  <si>
    <t>IN-2022004910</t>
  </si>
  <si>
    <t>22028000038863320</t>
  </si>
  <si>
    <t>zcrm_51788000309863179</t>
  </si>
  <si>
    <t>2026-04-15 15:45:41</t>
  </si>
  <si>
    <t>Dr. Shubhangi More</t>
  </si>
  <si>
    <t>shubhangimore90@yahoo.co.in</t>
  </si>
  <si>
    <t>+917899540019</t>
  </si>
  <si>
    <t>IN-2022004919</t>
  </si>
  <si>
    <t>22028000038863552</t>
  </si>
  <si>
    <t>zcrm_51788000309865682</t>
  </si>
  <si>
    <t>2026-04-15 15:48:30</t>
  </si>
  <si>
    <t>Mrs.Sapna.R.Lobo</t>
  </si>
  <si>
    <t>kleschoolhvr@gmail.com</t>
  </si>
  <si>
    <t>+918375236915</t>
  </si>
  <si>
    <t>IN-2022004911</t>
  </si>
  <si>
    <t>22028000038863344</t>
  </si>
  <si>
    <t>zcrm_51788000309863345</t>
  </si>
  <si>
    <t>2026-04-15 15:56:07</t>
  </si>
  <si>
    <t>Varsha S Gaonkar</t>
  </si>
  <si>
    <t>varshagaonkar2009@gmail.com</t>
  </si>
  <si>
    <t>+918088775819</t>
  </si>
  <si>
    <t>IN-2022004916</t>
  </si>
  <si>
    <t>22028000038863472</t>
  </si>
  <si>
    <t>zcrm_51788000309865181</t>
  </si>
  <si>
    <t>2026-04-15 15:31:15</t>
  </si>
  <si>
    <t>Jagdish Hawaldar</t>
  </si>
  <si>
    <t>kleemsathani@rediffmail.com</t>
  </si>
  <si>
    <t>+918762156746</t>
  </si>
  <si>
    <t>IN-2022004903</t>
  </si>
  <si>
    <t>2026-04-14 00:00:00</t>
  </si>
  <si>
    <t>22028000038863132</t>
  </si>
  <si>
    <t>zcrm_51788000309858011</t>
  </si>
  <si>
    <t>2026-04-15 15:37:56</t>
  </si>
  <si>
    <t>Mr. Manjunath Manvi</t>
  </si>
  <si>
    <t>+919886186344</t>
  </si>
  <si>
    <t>IN-2022004665</t>
  </si>
  <si>
    <t>1508</t>
  </si>
  <si>
    <t>84445</t>
  </si>
  <si>
    <t>0.4415</t>
  </si>
  <si>
    <t>22028000038257188</t>
  </si>
  <si>
    <t>zcrm_51788000309445011</t>
  </si>
  <si>
    <t>2026-04-08 17:34:23</t>
  </si>
  <si>
    <t>+919804693046</t>
  </si>
  <si>
    <t>IN-2022004693, IN-2022004694, IN-2022004695</t>
  </si>
  <si>
    <t>139518, 159075, 412146</t>
  </si>
  <si>
    <t>0.5125, 0.6, 0.6333</t>
  </si>
  <si>
    <t>22028000038278124, 22028000038278172, 22028000038278404</t>
  </si>
  <si>
    <t>zcrm_51788000309556007, zcrm_51788000309556228, zcrm_51788000309556452</t>
  </si>
  <si>
    <t>2026-04-08 19:05:55, 2026-04-08 19:06:30, 2026-04-08 19:07:05</t>
  </si>
  <si>
    <t>Ms. Anita Ranjan</t>
  </si>
  <si>
    <t>hmbvbpkl@gmail.com</t>
  </si>
  <si>
    <t>IN-2022004824</t>
  </si>
  <si>
    <t>72129</t>
  </si>
  <si>
    <t>22028000038719096</t>
  </si>
  <si>
    <t>zcrm_51788000294729518</t>
  </si>
  <si>
    <t>2026-04-09 10:36:04</t>
  </si>
  <si>
    <t>Mrs. Sucharita Roy Chowdhury</t>
  </si>
  <si>
    <t>+919903099993</t>
  </si>
  <si>
    <t>5750</t>
  </si>
  <si>
    <t>333492</t>
  </si>
  <si>
    <t>IN-2022004751</t>
  </si>
  <si>
    <t>152394</t>
  </si>
  <si>
    <t>0.5268</t>
  </si>
  <si>
    <t>22028000038379024</t>
  </si>
  <si>
    <t>zcrm_51788000309649550</t>
  </si>
  <si>
    <t>2026-04-09 11:43:05</t>
  </si>
  <si>
    <t>Manjari Tejpal</t>
  </si>
  <si>
    <t>Manitee Arora</t>
  </si>
  <si>
    <t>IN-2022004817, IN-2022004818</t>
  </si>
  <si>
    <t>38633, 66879</t>
  </si>
  <si>
    <t>0.0223, 0.49</t>
  </si>
  <si>
    <t>22028000038689044, 22028000038689064</t>
  </si>
  <si>
    <t>zcrm_51788000309966001, zcrm_51788000309968074</t>
  </si>
  <si>
    <t>2026-04-09 15:06:15, 2026-04-09 15:06:32</t>
  </si>
  <si>
    <t>Meera Ramanathan</t>
  </si>
  <si>
    <t>principal.ecr@akshararbol.edu.in</t>
  </si>
  <si>
    <t>Shiny</t>
  </si>
  <si>
    <t>IN-2022004819, IN-2022004820</t>
  </si>
  <si>
    <t>137276, 78459</t>
  </si>
  <si>
    <t>0.0223, 0.48719999999999997</t>
  </si>
  <si>
    <t>22028000038689088, 22028000038689112</t>
  </si>
  <si>
    <t>zcrm_51788000309968240, zcrm_51788000309968403</t>
  </si>
  <si>
    <t>2026-04-09 15:03:01, 2026-04-09 15:03:13</t>
  </si>
  <si>
    <t>Akila Srinivas</t>
  </si>
  <si>
    <t>principal.tng@akshararbol.edu.in</t>
  </si>
  <si>
    <t>Syed Muzammil</t>
  </si>
  <si>
    <t>ciec.tng@akshararbol.edu.in</t>
  </si>
  <si>
    <t>IN-2022004715</t>
  </si>
  <si>
    <t>1538</t>
  </si>
  <si>
    <t>455953</t>
  </si>
  <si>
    <t>0.496</t>
  </si>
  <si>
    <t>22028000038271552</t>
  </si>
  <si>
    <t>zcrm_51788000309618330</t>
  </si>
  <si>
    <t>2026-04-09 09:59:34</t>
  </si>
  <si>
    <t>Balabhadra Sahoo</t>
  </si>
  <si>
    <t>0, 20436, 24738.1</t>
  </si>
  <si>
    <t>0, 183924, 222642</t>
  </si>
  <si>
    <t>99058</t>
  </si>
  <si>
    <t>175545</t>
  </si>
  <si>
    <t>IN-2022004918</t>
  </si>
  <si>
    <t>22028000038863528</t>
  </si>
  <si>
    <t>zcrm_51788000309865513</t>
  </si>
  <si>
    <t>2026-04-15 15:49:36</t>
  </si>
  <si>
    <t>Roopali Kagi</t>
  </si>
  <si>
    <t>+918312404053</t>
  </si>
  <si>
    <t>IN-2022004767, IN-2022004768, IN-2022004769</t>
  </si>
  <si>
    <t>775</t>
  </si>
  <si>
    <t>116195, 217350, 75180</t>
  </si>
  <si>
    <t>0.2361, 0.4375, 0.4833</t>
  </si>
  <si>
    <t>22028000038507384, 22028000038507412, 22028000038507436</t>
  </si>
  <si>
    <t>zcrm_51788000309826005, zcrm_51788000309826168, zcrm_51788000309826336</t>
  </si>
  <si>
    <t>2026-04-13 15:57:29, 2026-04-13 15:57:47, 2026-04-13 16:51:02</t>
  </si>
  <si>
    <t>Sarah Thomas</t>
  </si>
  <si>
    <t>sarah.thomas@campionschool.edu.in</t>
  </si>
  <si>
    <t>KLE Society's Basava Residential Girls School - Kengeri</t>
  </si>
  <si>
    <t>IN-2022004917</t>
  </si>
  <si>
    <t>22028000038863500</t>
  </si>
  <si>
    <t>zcrm_51788000309865347</t>
  </si>
  <si>
    <t>2026-04-15 15:53:54</t>
  </si>
  <si>
    <t>Ms. LATHA MALLIKARJUN</t>
  </si>
  <si>
    <t>+91919513731315</t>
  </si>
  <si>
    <t>172513.94, 220471, 26728.06</t>
  </si>
  <si>
    <t>19168, 23670, 2970</t>
  </si>
  <si>
    <t>0, 74111</t>
  </si>
  <si>
    <t>IN-2022004719</t>
  </si>
  <si>
    <t>1322</t>
  </si>
  <si>
    <t>504656</t>
  </si>
  <si>
    <t>50466</t>
  </si>
  <si>
    <t>454190</t>
  </si>
  <si>
    <t>0.7775</t>
  </si>
  <si>
    <t>0.7275</t>
  </si>
  <si>
    <t>22028000038321016</t>
  </si>
  <si>
    <t>2026-04-08 18:45:18</t>
  </si>
  <si>
    <t>Mr. Venkat</t>
  </si>
  <si>
    <t>Mr. Govinda</t>
  </si>
  <si>
    <t>2026-01-27 00:00:00, 2026-04-13 00:00:00</t>
  </si>
  <si>
    <t>IN-2022004267, IN-2022004885</t>
  </si>
  <si>
    <t>0, 1600</t>
  </si>
  <si>
    <t>0, 203200</t>
  </si>
  <si>
    <t>0.3846, 1</t>
  </si>
  <si>
    <t>22028000036752112, 22028000038811040</t>
  </si>
  <si>
    <t>2026-01-28 17:10:02, 2026-04-14 01:05:25</t>
  </si>
  <si>
    <t>dalps@rediffmail.com, muliyagaurav@gmail.com</t>
  </si>
  <si>
    <t>dalps@rediffmail.com, ushasureshkumar@ghcl.co.in</t>
  </si>
  <si>
    <t>0, 56400</t>
  </si>
  <si>
    <t>-14100, 14108</t>
  </si>
  <si>
    <t>IN-2022004835</t>
  </si>
  <si>
    <t>2026-05-22 00:00:00</t>
  </si>
  <si>
    <t>41578</t>
  </si>
  <si>
    <t>2026-08-22 00:00:00</t>
  </si>
  <si>
    <t>22028000038704528</t>
  </si>
  <si>
    <t>zcrm_51788000303380985</t>
  </si>
  <si>
    <t>2026-04-09 10:34:53</t>
  </si>
  <si>
    <t>M.Bhubaneswari</t>
  </si>
  <si>
    <t>+917377116066</t>
  </si>
  <si>
    <t>Bikash Pattanaik</t>
  </si>
  <si>
    <t>+917381054055</t>
  </si>
  <si>
    <t>IN-2022004613</t>
  </si>
  <si>
    <t>661</t>
  </si>
  <si>
    <t>1720</t>
  </si>
  <si>
    <t>289249</t>
  </si>
  <si>
    <t>2026-06-22 00:00:00</t>
  </si>
  <si>
    <t>0.6178</t>
  </si>
  <si>
    <t>0.5678</t>
  </si>
  <si>
    <t>22028000038064232</t>
  </si>
  <si>
    <t>zcrm_51788000307148991</t>
  </si>
  <si>
    <t>2026-04-14 12:58:52</t>
  </si>
  <si>
    <t>principal@theorientalschool.ac.in</t>
  </si>
  <si>
    <t>prinicipal@oriental.ac.in</t>
  </si>
  <si>
    <t>0, 2039.98, 6389.28, 6648.33</t>
  </si>
  <si>
    <t>293070.96, 313074.84, 325768.29, 99958.91</t>
  </si>
  <si>
    <t>0, 5981</t>
  </si>
  <si>
    <t>SHLS00760E</t>
  </si>
  <si>
    <t>2026-01-20 00:00:00, 2026-04-08 00:00:00</t>
  </si>
  <si>
    <t>IN-2022004246, IN-2022004833, IN-2022004834</t>
  </si>
  <si>
    <t>774, 910</t>
  </si>
  <si>
    <t>2026-01-26 00:00:00, 2026-04-13 00:00:00</t>
  </si>
  <si>
    <t>0, 121947, 432143</t>
  </si>
  <si>
    <t>0.3933, 0.48369999999999996</t>
  </si>
  <si>
    <t>0, 0.3933, 0.4337</t>
  </si>
  <si>
    <t>2026-02-01 00:00:00, 2026-04-01 00:00:00</t>
  </si>
  <si>
    <t>2027-01-31 00:00:00, 2027-03-31 00:00:00</t>
  </si>
  <si>
    <t>22028000036470544, 22028000038735196, 22028000038735224</t>
  </si>
  <si>
    <t>zcrm_51788000305022001, zcrm_51788000310217007</t>
  </si>
  <si>
    <t>2026-01-28 16:01:25, 2026-04-13 10:00:53, 2026-04-13 10:01:20</t>
  </si>
  <si>
    <t>bharatmavadia@baps.edu.in, bharatmavadia@bps.edu.in</t>
  </si>
  <si>
    <t>0, 65700</t>
  </si>
  <si>
    <t>IN-2022004716</t>
  </si>
  <si>
    <t>342161</t>
  </si>
  <si>
    <t>22028000038271600</t>
  </si>
  <si>
    <t>zcrm_51788000309618496</t>
  </si>
  <si>
    <t>2026-04-09 09:59:43</t>
  </si>
  <si>
    <t>IN-2022004770</t>
  </si>
  <si>
    <t>86404</t>
  </si>
  <si>
    <t>22028000038514168</t>
  </si>
  <si>
    <t>zcrm_51788000309848023</t>
  </si>
  <si>
    <t>2026-04-09 09:56:27</t>
  </si>
  <si>
    <t>2026-03-31 00:00:00, 2026-04-12 00:00:00</t>
  </si>
  <si>
    <t>IN-2022004717, IN-2022004880</t>
  </si>
  <si>
    <t>2026-04-15 00:00:00, 2026-06-15 00:00:00</t>
  </si>
  <si>
    <t>241932</t>
  </si>
  <si>
    <t>2026-07-15 00:00:00, 2026-09-15 00:00:00</t>
  </si>
  <si>
    <t>2026-10-15 00:00:00, 2026-11-16 00:00:00</t>
  </si>
  <si>
    <t>0, 241932</t>
  </si>
  <si>
    <t>22028000038271932, 22028000038773068</t>
  </si>
  <si>
    <t>zcrm_51788000309618164</t>
  </si>
  <si>
    <t>2026-04-09 09:54:31, 2026-04-13 16:00:45</t>
  </si>
  <si>
    <t>Balabhadra Sahoo, Mr. Balabhadra Sahoo</t>
  </si>
  <si>
    <t>26000</t>
  </si>
  <si>
    <t>204632</t>
  </si>
  <si>
    <t>BLRS13802F</t>
  </si>
  <si>
    <t>IN-2022004497</t>
  </si>
  <si>
    <t>132766</t>
  </si>
  <si>
    <t>22028000037764552</t>
  </si>
  <si>
    <t>zcrm_51788000308069873</t>
  </si>
  <si>
    <t>2026-04-13 10:41:30</t>
  </si>
  <si>
    <t>Mrs. Suryaprapha</t>
  </si>
  <si>
    <t>Suryaprapha</t>
  </si>
  <si>
    <t>1893</t>
  </si>
  <si>
    <t>Mrs. Chandrakala Dabas</t>
  </si>
  <si>
    <t>viceprinicipal@nglifeschool.com</t>
  </si>
  <si>
    <t>Nalanda Vidyalaya</t>
  </si>
  <si>
    <t>2026-04-11 00:00:00</t>
  </si>
  <si>
    <t>0, 200000</t>
  </si>
  <si>
    <t>51788000280523600</t>
  </si>
  <si>
    <t>Mr. Kartik Panchotiya</t>
  </si>
  <si>
    <t>kartik@nalanda.ac.in</t>
  </si>
  <si>
    <t>+919687620224</t>
  </si>
  <si>
    <t>naice@gmail.com</t>
  </si>
  <si>
    <t>Kartik Panchotiya</t>
  </si>
  <si>
    <t>Ravapar Village</t>
  </si>
  <si>
    <t>"Talent land" nr. Shivdham society, vimalnagar main road, b/h pushkardham,</t>
  </si>
  <si>
    <t>Morbi - Rajkot Highway, Virpar,</t>
  </si>
  <si>
    <t>63723</t>
  </si>
  <si>
    <t>27273</t>
  </si>
  <si>
    <t>IN-2022004814</t>
  </si>
  <si>
    <t>199026</t>
  </si>
  <si>
    <t>22028000038631176</t>
  </si>
  <si>
    <t>zcrm_51788000308591377</t>
  </si>
  <si>
    <t>2026-04-09 09:46:04</t>
  </si>
  <si>
    <t>Mrs Banumathi</t>
  </si>
  <si>
    <t>rskcbseschool@gail.com</t>
  </si>
  <si>
    <t>621002</t>
  </si>
  <si>
    <t>IN-2022004735, IN-2022004738</t>
  </si>
  <si>
    <t>67630, 9429</t>
  </si>
  <si>
    <t>-67630, -9429</t>
  </si>
  <si>
    <t>0.13140000000000002, 0.3833</t>
  </si>
  <si>
    <t>22028000038310656, 22028000038310688</t>
  </si>
  <si>
    <t>zcrm_51788000299292900, zcrm_51788000309549851</t>
  </si>
  <si>
    <t>2026-04-14 15:23:47, 2026-04-14 15:23:58</t>
  </si>
  <si>
    <t>Mrs. Nisha Ganatra, Nisha Ganatra</t>
  </si>
  <si>
    <t>nisha@anubhavschool.in</t>
  </si>
  <si>
    <t>admin@anubhavschool.in</t>
  </si>
  <si>
    <t>R.L.J.D.M.C. D.A.V. Public School, Raniganj</t>
  </si>
  <si>
    <t>IN-2022004790</t>
  </si>
  <si>
    <t>138335</t>
  </si>
  <si>
    <t>Raniganj</t>
  </si>
  <si>
    <t>22028000038615092</t>
  </si>
  <si>
    <t>51788000297272861</t>
  </si>
  <si>
    <t>zcrm_51788000307103116</t>
  </si>
  <si>
    <t>2026-04-09 11:04:33</t>
  </si>
  <si>
    <t>Mrs. Mondira Dey</t>
  </si>
  <si>
    <t>principal@rljdmcdavpsraniganj.org</t>
  </si>
  <si>
    <t>+917501626622</t>
  </si>
  <si>
    <t>rljdmcdps@gmail.com</t>
  </si>
  <si>
    <t>Mondira Dey</t>
  </si>
  <si>
    <t>Lions Eye Hospital Road, P.O.- Raniganj</t>
  </si>
  <si>
    <t>713347</t>
  </si>
  <si>
    <t>RANIGANJ LIONS J.D.M.CHANANI,D.A.V PUBLIC SCHOOL Lions Eye Hospital Road P.O.- Raniganj Paschim Barddhaman, WEST BENGAL - 713347,</t>
  </si>
  <si>
    <t>DAV Model School,KSTP, Asansol</t>
  </si>
  <si>
    <t>IN-2022004788</t>
  </si>
  <si>
    <t>133233</t>
  </si>
  <si>
    <t>22028000038615048</t>
  </si>
  <si>
    <t>51788000297262828</t>
  </si>
  <si>
    <t>zcrm_51788000307151274</t>
  </si>
  <si>
    <t>2026-04-09 11:00:29</t>
  </si>
  <si>
    <t>Mr. Prabuddha Ghosh</t>
  </si>
  <si>
    <t>principal@davmodelasansol.com</t>
  </si>
  <si>
    <t>+919733370993</t>
  </si>
  <si>
    <t>rincipal@davmodelasansol.com</t>
  </si>
  <si>
    <t>Dr. B. C. Roy Road, KSTP,District - Paschim Bardhaman,Asansol</t>
  </si>
  <si>
    <t>DAV MODEL SCHOOL, KSTP, ASANSOL Dr. B. C. Roy Road, KSTP,District - Paschim Bardhaman,Asansol - 713305, West Bengal</t>
  </si>
  <si>
    <t>Dr. B. C. Roy Road, KSTP, District - Paschim Bardhaman, Asansol</t>
  </si>
  <si>
    <t>312136</t>
  </si>
  <si>
    <t>162136</t>
  </si>
  <si>
    <t>2026-04-02 00:00:00, 2026-04-06 00:00:00, 2026-04-10 00:00:00</t>
  </si>
  <si>
    <t>IN-2022004775, IN-2022004815, IN-2022004853</t>
  </si>
  <si>
    <t>0, 1525, 1526</t>
  </si>
  <si>
    <t>2000-01-01 00:00:00, 2026-04-01 00:00:00, 2026-04-06 00:00:00</t>
  </si>
  <si>
    <t>0, 71554, 9001</t>
  </si>
  <si>
    <t>2000-01-01 00:00:00, 2026-07-21 00:00:00</t>
  </si>
  <si>
    <t>2000-01-01 00:00:00, 2026-09-22 00:00:00</t>
  </si>
  <si>
    <t>0.5, 0.7, 1</t>
  </si>
  <si>
    <t>22028000038499772, 22028000038658140, 22028000038757160</t>
  </si>
  <si>
    <t>zcrm_51788000309787543, zcrm_51788000310025416, zcrm_51788000310273070</t>
  </si>
  <si>
    <t>2026-04-03 10:41:40, 2026-04-08 18:18:33, 2026-04-10 11:39:45</t>
  </si>
  <si>
    <t>Mr. Rakesh Kumar Sinha, Rakesh Kumar Sinha</t>
  </si>
  <si>
    <t>Mr Rakesh Kumar Sinha, Seema Sinha</t>
  </si>
  <si>
    <t>+918002648452, +918130253741</t>
  </si>
  <si>
    <t>0, 423800</t>
  </si>
  <si>
    <t>Jain Public School JP Nagar</t>
  </si>
  <si>
    <t>IN-2022004508</t>
  </si>
  <si>
    <t>1480</t>
  </si>
  <si>
    <t>149460</t>
  </si>
  <si>
    <t>134514</t>
  </si>
  <si>
    <t>14946</t>
  </si>
  <si>
    <t>0.5771999999999999</t>
  </si>
  <si>
    <t>22028000037752636</t>
  </si>
  <si>
    <t>51788000304814275</t>
  </si>
  <si>
    <t>zcrm_51788000304814287</t>
  </si>
  <si>
    <t>2026-04-09 10:12:01</t>
  </si>
  <si>
    <t>Mrs. Veena Gowthamchand</t>
  </si>
  <si>
    <t>director.jainpublicschool@gmail.com</t>
  </si>
  <si>
    <t>+919019542521</t>
  </si>
  <si>
    <t>contactjps.bangalore@gmail.com</t>
  </si>
  <si>
    <t>Shruthi Kamath</t>
  </si>
  <si>
    <t>shruthikamath2023.jps@gmail.com</t>
  </si>
  <si>
    <t>#103, E Ashwathnarayan Layout</t>
  </si>
  <si>
    <t>560078</t>
  </si>
  <si>
    <t>#103, E Ashwathnarayan Layout, Puttenahalli, JP Nagar 7th Phase</t>
  </si>
  <si>
    <t>Puttenahalli, JP Nagar 7th Phase</t>
  </si>
  <si>
    <t>0, 151000</t>
  </si>
  <si>
    <t>-128500, 0</t>
  </si>
  <si>
    <t>40149</t>
  </si>
  <si>
    <t>Pallavi International School, Pocharam</t>
  </si>
  <si>
    <t>IN-2022004647</t>
  </si>
  <si>
    <t>111606</t>
  </si>
  <si>
    <t>109373</t>
  </si>
  <si>
    <t>2233</t>
  </si>
  <si>
    <t>Secundrabad</t>
  </si>
  <si>
    <t>2027-03-25 00:00:00</t>
  </si>
  <si>
    <t>22028000038202060</t>
  </si>
  <si>
    <t>51788000308137001</t>
  </si>
  <si>
    <t>zcrm_51788000309358366</t>
  </si>
  <si>
    <t>2026-04-14 15:09:29</t>
  </si>
  <si>
    <t>Prabhjot Kaur Arneja Kaur</t>
  </si>
  <si>
    <t>principal_pocharam@pallavimodelschools.org</t>
  </si>
  <si>
    <t>+917760900377</t>
  </si>
  <si>
    <t>Prabhjot Kaur Arneja</t>
  </si>
  <si>
    <t>Pallavi Inteenational School, Singapore Township, Pocharam</t>
  </si>
  <si>
    <t>500088</t>
  </si>
  <si>
    <t>Pallavi Inteenational School, Singapore Township</t>
  </si>
  <si>
    <t>Pocharam</t>
  </si>
  <si>
    <t>DAV Model School, IIT Kharagpur</t>
  </si>
  <si>
    <t>IN-2022004798</t>
  </si>
  <si>
    <t>145537</t>
  </si>
  <si>
    <t>22028000038615268</t>
  </si>
  <si>
    <t>51788000308081013</t>
  </si>
  <si>
    <t>zcrm_51788000308093588</t>
  </si>
  <si>
    <t>2026-04-09 10:43:29</t>
  </si>
  <si>
    <t>Mrs. Susmita Panigrahi</t>
  </si>
  <si>
    <t>principal.iitdav@gmail.com</t>
  </si>
  <si>
    <t>+918250959850</t>
  </si>
  <si>
    <t>Susmita Panigrahi</t>
  </si>
  <si>
    <t>IIT Kharagpur campus</t>
  </si>
  <si>
    <t>721302</t>
  </si>
  <si>
    <t>DAV MODEL SCHOOLIIT KHARAGPUR,P.O. KHARAGPUR TECHNOLOGY,PASCHIM MEDINIPUR, W.B-721302.</t>
  </si>
  <si>
    <t>P.O. Kharagpur technology,Paschim Medinipur</t>
  </si>
  <si>
    <t>P.O. Kharagpur technology, Paschim Medinipur</t>
  </si>
  <si>
    <t>DAV Public School, Haldia</t>
  </si>
  <si>
    <t>IN-2022004796</t>
  </si>
  <si>
    <t>290473</t>
  </si>
  <si>
    <t>22028000038615224</t>
  </si>
  <si>
    <t>51788000308086845</t>
  </si>
  <si>
    <t>zcrm_51788000308081885</t>
  </si>
  <si>
    <t>2026-04-09 11:01:29</t>
  </si>
  <si>
    <t>Mr. NP Dutta</t>
  </si>
  <si>
    <t>contact@davhaldia.com</t>
  </si>
  <si>
    <t>+919434238932</t>
  </si>
  <si>
    <t>NP Dutta</t>
  </si>
  <si>
    <t>Haldia Township, Purba Medinipur</t>
  </si>
  <si>
    <t>721607</t>
  </si>
  <si>
    <t>DAV Public School, Haldia Haldia Township, Purba Medinipur West Bengal - 721607</t>
  </si>
  <si>
    <t>DAV Model School, Sankarpur</t>
  </si>
  <si>
    <t>IN-2022004797</t>
  </si>
  <si>
    <t>103526</t>
  </si>
  <si>
    <t>22028000038615244</t>
  </si>
  <si>
    <t>51788000308105762</t>
  </si>
  <si>
    <t>zcrm_51788000308070821</t>
  </si>
  <si>
    <t>2026-04-09 10:58:30</t>
  </si>
  <si>
    <t>Ms. Barnali Chattopadhyay</t>
  </si>
  <si>
    <t>dav@davmodelskp.org</t>
  </si>
  <si>
    <t>+919800841465</t>
  </si>
  <si>
    <t>Barnali Chattopadhyay</t>
  </si>
  <si>
    <t>Sankarpur, Mouza- Kaliganj, P.O- Arrah</t>
  </si>
  <si>
    <t>713212</t>
  </si>
  <si>
    <t>MOUZA:- KALIGANJ, P.O. :- ARRAHP.S.:- NEW TOWNSHIP, DURGAPUR,PASCHIM BARDHAMAN, WEST BENGAL - 713212</t>
  </si>
  <si>
    <t>DAV Public School, Dhadka</t>
  </si>
  <si>
    <t>IN-2022004793</t>
  </si>
  <si>
    <t>102026</t>
  </si>
  <si>
    <t>22028000038615156</t>
  </si>
  <si>
    <t>51788000308111768</t>
  </si>
  <si>
    <t>zcrm_51788000308083655</t>
  </si>
  <si>
    <t>2026-04-09 11:02:41</t>
  </si>
  <si>
    <t>Mrs. Aparna Banerjee</t>
  </si>
  <si>
    <t>banerjee.aparna23@gmail.com</t>
  </si>
  <si>
    <t>+917479001001</t>
  </si>
  <si>
    <t>dav.dhadka@gmail.com</t>
  </si>
  <si>
    <t>Aparna Banerjee</t>
  </si>
  <si>
    <t>Asansol, Near Rupkatha Cinema Hall, South Dhadka Road</t>
  </si>
  <si>
    <t>713302</t>
  </si>
  <si>
    <t>DAV PUBLIC SCHOOL DHADKA, ASANSOL Near Rupkatha Cinema Hall, South Dhadka Road Dist.-Paschim Bardhaman, West Bengal</t>
  </si>
  <si>
    <t>Pallavi International School, Pocharam (CAIE)</t>
  </si>
  <si>
    <t>IN-2022004648</t>
  </si>
  <si>
    <t>31202</t>
  </si>
  <si>
    <t>30577</t>
  </si>
  <si>
    <t>22028000038202108</t>
  </si>
  <si>
    <t>51788000308153187</t>
  </si>
  <si>
    <t>zcrm_51788000309344239</t>
  </si>
  <si>
    <t>2026-04-14 15:12:10</t>
  </si>
  <si>
    <t>Prabhjot Kaur Arneja Mrs</t>
  </si>
  <si>
    <t>+917670900377</t>
  </si>
  <si>
    <t>admissions_pocharam@pallavimodelschools.org</t>
  </si>
  <si>
    <t>Singapore Township, Pocharam</t>
  </si>
  <si>
    <t>Pallavi International School, Singapore Township, Pocharam</t>
  </si>
  <si>
    <t>113438</t>
  </si>
  <si>
    <t>Claremont International School, Ashta</t>
  </si>
  <si>
    <t>IN-2022004651</t>
  </si>
  <si>
    <t>743</t>
  </si>
  <si>
    <t>237589</t>
  </si>
  <si>
    <t>Sangli</t>
  </si>
  <si>
    <t>22028000038203452</t>
  </si>
  <si>
    <t>51788000278658682</t>
  </si>
  <si>
    <t>zcrm_51788000307560227</t>
  </si>
  <si>
    <t>2026-04-09 09:50:37</t>
  </si>
  <si>
    <t>Rajesh Chougule</t>
  </si>
  <si>
    <t>rajeshchougule@sicomsepl.com</t>
  </si>
  <si>
    <t>+919224138524</t>
  </si>
  <si>
    <t>principal@claremontschools.in</t>
  </si>
  <si>
    <t>Chandangouda Malipatil</t>
  </si>
  <si>
    <t>contact@claremontschools.in</t>
  </si>
  <si>
    <t>+918308305844</t>
  </si>
  <si>
    <t>35300</t>
  </si>
  <si>
    <t>Ashta-Dudhgaon Road, Ashta, Tal. Walwa Dist. Sangli,</t>
  </si>
  <si>
    <t>416301</t>
  </si>
  <si>
    <t>Pimpri-Chinchwad</t>
  </si>
  <si>
    <t>Ashta-Dudhgaon road, Ashta, Walwa District</t>
  </si>
  <si>
    <t>Ashta-Dudhgaon road, Taluka Ashta, Walwa District</t>
  </si>
  <si>
    <t>Akshara Vaagdevi International School</t>
  </si>
  <si>
    <t>IN-2022004705</t>
  </si>
  <si>
    <t>117006</t>
  </si>
  <si>
    <t>114660</t>
  </si>
  <si>
    <t>2346</t>
  </si>
  <si>
    <t>22028000038214844</t>
  </si>
  <si>
    <t>51788000277529167</t>
  </si>
  <si>
    <t>zcrm_51788000309550081</t>
  </si>
  <si>
    <t>2026-04-13 16:05:12</t>
  </si>
  <si>
    <t>Mrs. G Vanaja</t>
  </si>
  <si>
    <t>principal@avinternationalschool.org</t>
  </si>
  <si>
    <t>+917093731777</t>
  </si>
  <si>
    <t>aksharavaagdevicbse@gmail.com</t>
  </si>
  <si>
    <t>Bolton Road, Opp Tivoli Gardens, Near JBS</t>
  </si>
  <si>
    <t>500003</t>
  </si>
  <si>
    <t>Survey Number 703, Bolton Road, Opposite Tivoli Gardens</t>
  </si>
  <si>
    <t>Bolton Road, Opp Tivoli Gardens, Near JBS, Behind Parade Ground</t>
  </si>
  <si>
    <t>Campion International School</t>
  </si>
  <si>
    <t>IN-2022004763, IN-2022004764, IN-2022004765</t>
  </si>
  <si>
    <t>102431, 16854, 58725</t>
  </si>
  <si>
    <t>0.23620000000000002, 0.4375, 0.48340000000000005</t>
  </si>
  <si>
    <t>22028000038499164, 22028000038499248, 22028000038499408</t>
  </si>
  <si>
    <t>51788000309800015</t>
  </si>
  <si>
    <t>zcrm_51788000309755185, zcrm_51788000309779207, zcrm_51788000309809026</t>
  </si>
  <si>
    <t>2026-04-10 20:19:43, 2026-04-10 20:20:08, 2026-04-10 20:20:25</t>
  </si>
  <si>
    <t>principal@campionchool.edu.in, principal@campionwchool.com</t>
  </si>
  <si>
    <t>+911234568890, +919920353009</t>
  </si>
  <si>
    <t>principal@campionschool.edu.in</t>
  </si>
  <si>
    <t>Reshma Sheldekar</t>
  </si>
  <si>
    <t>reshma.sheldekar@campionschool.edu.in</t>
  </si>
  <si>
    <t>+919819266022</t>
  </si>
  <si>
    <t>220000</t>
  </si>
  <si>
    <t>13</t>
  </si>
  <si>
    <t>Fort</t>
  </si>
  <si>
    <t>The Shri Ram Universal School - Pune</t>
  </si>
  <si>
    <t>IN-2022004771, IN-2022004772</t>
  </si>
  <si>
    <t>30602, 7203</t>
  </si>
  <si>
    <t>16807, 71404</t>
  </si>
  <si>
    <t>0, 0.43329999999999996</t>
  </si>
  <si>
    <t>22028000038509096, 22028000038509132</t>
  </si>
  <si>
    <t>51788000309833015</t>
  </si>
  <si>
    <t>zcrm_51788000308597692</t>
  </si>
  <si>
    <t>deep.prajapati_ei</t>
  </si>
  <si>
    <t>deep.prajapati@ei.study</t>
  </si>
  <si>
    <t>Deep prajapati</t>
  </si>
  <si>
    <t>2026-04-14 15:43:16, 2026-04-14 15:43:29</t>
  </si>
  <si>
    <t>Anubha Gupta</t>
  </si>
  <si>
    <t>principal@tsuspune.com</t>
  </si>
  <si>
    <t>+917030665640</t>
  </si>
  <si>
    <t>412101</t>
  </si>
  <si>
    <t>Godrej Foundation</t>
  </si>
  <si>
    <t>IN-2022004844</t>
  </si>
  <si>
    <t>22028000038707680</t>
  </si>
  <si>
    <t>51788000310198165</t>
  </si>
  <si>
    <t>zcrm_51788000310198238</t>
  </si>
  <si>
    <t>Hakim kanchwala</t>
  </si>
  <si>
    <t>Hakim Kanchwala</t>
  </si>
  <si>
    <t>2026-04-08 17:02:40</t>
  </si>
  <si>
    <t>Sourabh Mehta</t>
  </si>
  <si>
    <t>Sourabh.Mehta@ei.study</t>
  </si>
  <si>
    <t>gf@godrejfoundation.com</t>
  </si>
  <si>
    <t>+918238612457</t>
  </si>
  <si>
    <t>Godrej One</t>
  </si>
  <si>
    <t>400079</t>
  </si>
  <si>
    <t>Godrej One, Pirojshanagar, Eastern Express Highway, Vikhroli</t>
  </si>
  <si>
    <t>IN-2022004907</t>
  </si>
  <si>
    <t>22028000038863240</t>
  </si>
  <si>
    <t>zcrm_51788000309858675</t>
  </si>
  <si>
    <t>2026-04-15 15:34:03</t>
  </si>
  <si>
    <t>Dipti Ingley</t>
  </si>
  <si>
    <t>+918312466281</t>
  </si>
  <si>
    <t>Mother'S Public School- Unit 1</t>
  </si>
  <si>
    <t>IN-2022004214, IN-2022004215</t>
  </si>
  <si>
    <t>135070, 85813</t>
  </si>
  <si>
    <t>135070, 200231</t>
  </si>
  <si>
    <t>0, 135070</t>
  </si>
  <si>
    <t>121563, 77232</t>
  </si>
  <si>
    <t>-77232, 13507</t>
  </si>
  <si>
    <t>0.4805, 0.5666</t>
  </si>
  <si>
    <t>22028000036361332, 22028000036361376</t>
  </si>
  <si>
    <t>51788000002731451</t>
  </si>
  <si>
    <t>zcrm_51788000302632353, zcrm_51788000304531252</t>
  </si>
  <si>
    <t>2026-04-14 17:12:21, 2026-04-14 17:12:53</t>
  </si>
  <si>
    <t>Ms. Poly Pattnaik</t>
  </si>
  <si>
    <t>motherspublicschool@mothers.edu.in</t>
  </si>
  <si>
    <t>+918260807760</t>
  </si>
  <si>
    <t>5250</t>
  </si>
  <si>
    <t>Unit 1</t>
  </si>
  <si>
    <t>751009</t>
  </si>
  <si>
    <t>Unit 1, Bapuji Nagar, Bhubaneswar, Odisha 751009</t>
  </si>
  <si>
    <t>IN-2022004566, IN-2022004579</t>
  </si>
  <si>
    <t>2026-10-06 00:00:00</t>
  </si>
  <si>
    <t>2000-01-01 00:00:00, 2026-04-06 00:00:00</t>
  </si>
  <si>
    <t>0, 762338</t>
  </si>
  <si>
    <t>2000-01-01 00:00:00, 2026-07-06 00:00:00</t>
  </si>
  <si>
    <t>2000-01-01 00:00:00, 2026-10-06 00:00:00</t>
  </si>
  <si>
    <t>2026-04-01 00:00:00, 2026-04-06 00:00:00</t>
  </si>
  <si>
    <t>22028000037904968, 22028000038005032</t>
  </si>
  <si>
    <t>zcrm_51788000308742001, zcrm_51788000308742179</t>
  </si>
  <si>
    <t>2026-04-08 14:30:40, 2026-04-09 09:59:02</t>
  </si>
  <si>
    <t>Mrs. Seema Goswami, Mrs.Seema Goswami</t>
  </si>
  <si>
    <t>2026-03-03 00:00:00, 2026-04-05 00:00:00</t>
  </si>
  <si>
    <t>IN-2022004467, IN-2022004808</t>
  </si>
  <si>
    <t>0, 141147</t>
  </si>
  <si>
    <t>115901, 166939</t>
  </si>
  <si>
    <t>2026-04-01 00:00:00, 2026-06-01 00:00:00</t>
  </si>
  <si>
    <t>22028000037676432, 22028000038641076</t>
  </si>
  <si>
    <t>zcrm_51788000307941174, zcrm_51788000309955049</t>
  </si>
  <si>
    <t>2026-03-12 10:15:26, 2026-04-09 14:30:53</t>
  </si>
  <si>
    <t>Ms. Priya Mehta, Priya Mehta</t>
  </si>
  <si>
    <t>The school was not able to work on remediation and the teachers didn't take the program seriously. Hence they are taking a break to work on the plan internally and convince teachers about the need of a third party.No problem with the product and service. The director was happy with both. assessment.</t>
  </si>
  <si>
    <t>NPs Kengeri</t>
  </si>
  <si>
    <t>No response from the school</t>
  </si>
  <si>
    <t>Internal decisions – teachers are equipped to frame questions- focus on ICSE training</t>
  </si>
  <si>
    <t>Doon Valley Nalagarh</t>
  </si>
  <si>
    <t>Multiple issues in reports, logistics, resolved all but the school was unhappy and sent a mail for closure.</t>
  </si>
  <si>
    <t>Birla Vidhya Niketan</t>
  </si>
  <si>
    <t>Ei MINDSPARK</t>
  </si>
  <si>
    <t>Due to budget constraints, they have opted for another program covering both Math and Science at approximately half the cost of Mindspark.</t>
  </si>
  <si>
    <t>Inspiration School</t>
  </si>
  <si>
    <t>The program was discontinued after Cycle 1. This appears to be a recurring pattern with the school—they have done the same earlier as well. Eventually, they communicated that the program was not meeting their expectations.</t>
  </si>
  <si>
    <t>School is not clearing payment due to no service throughout the year.</t>
  </si>
  <si>
    <t>Richmond Convent School</t>
  </si>
  <si>
    <t>Outstanding dues</t>
  </si>
  <si>
    <t>Lt. Atul Katarya School</t>
  </si>
  <si>
    <t>The school has been picked by the ICSE Board as a model school to pilot a program such as SAFAL, and so the school will not have the bandwidth to continue with Ei CARES.</t>
  </si>
  <si>
    <t>DPS Gautam Buddh Nagar</t>
  </si>
  <si>
    <t>Have chosen to explore ACAD Ally</t>
  </si>
  <si>
    <t>Kavish Gadia: For multiple reasons, across parents and teacher, it was decided to take a pause on EiCares. We should meet in the next academic year for the year 2027-28.</t>
  </si>
  <si>
    <t>The school has opted for a Bangalore-based product as it is more cost-effective than Ei offerings. Additionally, infrastructure limitations—only one lab with 26 computers—make it difficult to run EMS effectively, requiring sessions to be conducted in a 1:2 student-to-computer ratio.</t>
  </si>
  <si>
    <t>Parents did not want to pay</t>
  </si>
  <si>
    <t>Parents are not taking seriously and there are too many assessment.School is ICSE school and tehre are many assements.Parent buying is not there.The school might retain with CARES optional</t>
  </si>
  <si>
    <t>2026-Drop Revenue</t>
  </si>
  <si>
    <t>2026-Revenue</t>
  </si>
  <si>
    <t>2025-North</t>
  </si>
  <si>
    <t>TBR</t>
  </si>
  <si>
    <t>New</t>
  </si>
  <si>
    <t>1-Year</t>
  </si>
  <si>
    <t>Drop%</t>
  </si>
  <si>
    <t>Reasons(mention schools that were in risk but currently retained)</t>
  </si>
  <si>
    <t>No response from school</t>
  </si>
  <si>
    <t>Silver Oaks Group</t>
  </si>
  <si>
    <t>Ei Mindspark/Ei ASSET</t>
  </si>
  <si>
    <t>Ei Mindspark is safe. The ASSET is still under high risk</t>
  </si>
  <si>
    <t>Ei ASSET/Ei CARES/Ei Mindspark</t>
  </si>
  <si>
    <t>School is wanting to go vendor free for this year. PArents unable to pay.</t>
  </si>
  <si>
    <t>Financial Reasons. Introducing a book based system.</t>
  </si>
  <si>
    <t>APS</t>
  </si>
  <si>
    <t>AWES – running a pilot program.</t>
  </si>
  <si>
    <t>Ramco Vidya Mandir</t>
  </si>
  <si>
    <t>Internal Issues</t>
  </si>
  <si>
    <t>The Ivy Global</t>
  </si>
  <si>
    <t>No teacher by-in.</t>
  </si>
  <si>
    <t>DPS Chhindwara</t>
  </si>
  <si>
    <t>Issue with product</t>
  </si>
  <si>
    <t>MINDSPARK</t>
  </si>
  <si>
    <t>No issue mentioned, just a mail that the school won't continue. In the sister school Open Door was opted. High chances of the school going ahead with Open Door for the price difference.</t>
  </si>
  <si>
    <t>Tula's School</t>
  </si>
  <si>
    <t>No issues shared. CARES and MINDSPARK pitched this year. The school may be finding the dependency on products too overwhelming.</t>
  </si>
  <si>
    <t>Millennium World School, Moradabad</t>
  </si>
  <si>
    <t>CARES and Mindspark</t>
  </si>
  <si>
    <t>The school is not responding. There is a new academic head and she is not interested in the program. The chairperson also isn't.</t>
  </si>
  <si>
    <t>We increased the price to match with sister school (St. George's)</t>
  </si>
  <si>
    <t>Mind Tree School</t>
  </si>
  <si>
    <t>No visit throughout the year</t>
  </si>
  <si>
    <t>St. Mary Convent School, Mariam Nagar</t>
  </si>
  <si>
    <t>The school felt that the CARES level is too high. Although we made the papers very easy (not as per Ei standards), they still found them too difficult and are not ready for it. However, they are exploring Mindspark.</t>
  </si>
  <si>
    <t>Mount St. Mary's</t>
  </si>
  <si>
    <t>ASSET and CARES</t>
  </si>
  <si>
    <t>Pressure from parents</t>
  </si>
  <si>
    <t>The management is pressurising the Principal for Acadally.Principalis keen on keeping CARES for a few higher grades</t>
  </si>
  <si>
    <t>3.03.067</t>
  </si>
  <si>
    <t>Exploring other products like Acadally and Nature Nurture</t>
  </si>
  <si>
    <t>Contemplating as students are unable to use it at home. have proposed ASSET +Skillbook</t>
  </si>
  <si>
    <t>Wants to continue with OD</t>
  </si>
  <si>
    <t>For every test there was an error fromour end either report generation or question quality/out of syllabus</t>
  </si>
  <si>
    <t>School was paying from past 2 years. School finds challenge in transferring the payments to students. PTA has not approved pricing to be paid by parents for ASSEt and Mindspark</t>
  </si>
  <si>
    <t>‌ Students don't take seriously and they have many internal assessments. School wants to go on 60% optional model . The school has shared the circular with students on 27th March.Mid April school will be able to give tentative student count.</t>
  </si>
  <si>
    <t>Waiting for an appointnment with Principal</t>
  </si>
  <si>
    <t>Owner has conveyed that they want a break from EI for this year.They have no problems with Ei services.They have told to connect in July/August</t>
  </si>
  <si>
    <t>2026-04-16 00:00:00</t>
  </si>
  <si>
    <t>IN-2022004899</t>
  </si>
  <si>
    <t>1258</t>
  </si>
  <si>
    <t>0.7526999999999999</t>
  </si>
  <si>
    <t>0.6027</t>
  </si>
  <si>
    <t>22028000038847188</t>
  </si>
  <si>
    <t>zcrm_51788000310582005</t>
  </si>
  <si>
    <t>2026-04-17 17:00:07</t>
  </si>
  <si>
    <t>Ms Deepti Awasthi</t>
  </si>
  <si>
    <t>deeptiawasthi@jaipuria.com</t>
  </si>
  <si>
    <t>+917607517072</t>
  </si>
  <si>
    <t>EDUADVAITA</t>
  </si>
  <si>
    <t>IN-2022004931</t>
  </si>
  <si>
    <t>692</t>
  </si>
  <si>
    <t>2026-08-12 00:00:00</t>
  </si>
  <si>
    <t>929235</t>
  </si>
  <si>
    <t>0.8639</t>
  </si>
  <si>
    <t>22028000038908264</t>
  </si>
  <si>
    <t>zcrm_51788000310544848</t>
  </si>
  <si>
    <t>2026-04-20 08:32:31</t>
  </si>
  <si>
    <t>Mr. Satyamoorthy Sir</t>
  </si>
  <si>
    <t>Bhuvaneshwari G</t>
  </si>
  <si>
    <t>2026-04-17 00:00:00</t>
  </si>
  <si>
    <t>IN-2022004941</t>
  </si>
  <si>
    <t>22028000038914548</t>
  </si>
  <si>
    <t>zcrm_51788000310588572</t>
  </si>
  <si>
    <t>2026-04-17 16:45:27</t>
  </si>
  <si>
    <t>0, 204614</t>
  </si>
  <si>
    <t>0, 4176</t>
  </si>
  <si>
    <t>IN-2022004634, IN-2022004637</t>
  </si>
  <si>
    <t>1360</t>
  </si>
  <si>
    <t>2481</t>
  </si>
  <si>
    <t>1079021, 576541</t>
  </si>
  <si>
    <t>1047285, 559584</t>
  </si>
  <si>
    <t>0.2843, 0.5934</t>
  </si>
  <si>
    <t>22028000038081880, 22028000038121076</t>
  </si>
  <si>
    <t>zcrm_51788000309165167, zcrm_51788000309165498</t>
  </si>
  <si>
    <t>2026-04-16 10:23:42, 2026-04-16 10:24:23</t>
  </si>
  <si>
    <t>Shaji Antony</t>
  </si>
  <si>
    <t>principal@carmelhighschool.org</t>
  </si>
  <si>
    <t>Lakshipriya, Lakshmi Priya</t>
  </si>
  <si>
    <t>lakshmipriya@carmelhighschool.org</t>
  </si>
  <si>
    <t>Sadhbhavana World School</t>
  </si>
  <si>
    <t>IN-2022004900, IN-2022004901</t>
  </si>
  <si>
    <t>0, 257400</t>
  </si>
  <si>
    <t>0, 345557</t>
  </si>
  <si>
    <t>-88157, 0</t>
  </si>
  <si>
    <t>Kozhikode</t>
  </si>
  <si>
    <t>2026-05-04 00:00:00</t>
  </si>
  <si>
    <t>2027-05-03 00:00:00</t>
  </si>
  <si>
    <t>22028000038883204, 22028000038883228</t>
  </si>
  <si>
    <t>51788000002775702</t>
  </si>
  <si>
    <t>zcrm_51788000305747604</t>
  </si>
  <si>
    <t>2026-04-20 10:14:02, 2026-04-20 10:14:20</t>
  </si>
  <si>
    <t>Ms. Ms. Praseetha Sajan</t>
  </si>
  <si>
    <t>principal@sadhbhavanaschool.org</t>
  </si>
  <si>
    <t>+919109996597</t>
  </si>
  <si>
    <t>info@sadhbhavanaschool.org</t>
  </si>
  <si>
    <t>Ms. Praseetha Sajan</t>
  </si>
  <si>
    <t>160500</t>
  </si>
  <si>
    <t>Logosity, Sadhbhavana Campus,</t>
  </si>
  <si>
    <t>673008</t>
  </si>
  <si>
    <t>Sadhbhavana Campus , Velliparamba P.O, Keezhmadu</t>
  </si>
  <si>
    <t>2026-04-08 00:00:00, 2026-04-09 00:00:00</t>
  </si>
  <si>
    <t>IN-2022004838, IN-2022004839, IN-2022004840, IN-2022004841, IN-2022004851, IN-2022004852</t>
  </si>
  <si>
    <t>520, 670</t>
  </si>
  <si>
    <t>2026-04-20 00:00:00, 2026-05-26 00:00:00</t>
  </si>
  <si>
    <t>0.5533, 0.5534, 0.653</t>
  </si>
  <si>
    <t>0, 0.5533, 0.5534, 0.653</t>
  </si>
  <si>
    <t>22028000038715112, 22028000038715136, 22028000038715152, 22028000038715176, 22028000038755016, 22028000038755040</t>
  </si>
  <si>
    <t>zcrm_51788000309872001, zcrm_51788000309962001, zcrm_51788000309962164</t>
  </si>
  <si>
    <t>2026-04-20 14:47:19, 2026-04-20 14:47:38, 2026-04-20 14:47:55, 2026-04-20 14:48:07, 2026-04-20 14:48:15, 2026-04-20 14:48:27</t>
  </si>
  <si>
    <t>Ms. Vijayashree Ranganathan</t>
  </si>
  <si>
    <t>principal.noida@sbs-school.org</t>
  </si>
  <si>
    <t>IN-2022004761</t>
  </si>
  <si>
    <t>881</t>
  </si>
  <si>
    <t>165193</t>
  </si>
  <si>
    <t>123895</t>
  </si>
  <si>
    <t>22028000038504244</t>
  </si>
  <si>
    <t>zcrm_51788000309806046</t>
  </si>
  <si>
    <t>2026-04-16 12:55:09</t>
  </si>
  <si>
    <t>Mr. Sandesh c</t>
  </si>
  <si>
    <t>Sandesh C</t>
  </si>
  <si>
    <t>Sowjanya J</t>
  </si>
  <si>
    <t>jsowjanya103@gmail.com</t>
  </si>
  <si>
    <t>+919611304942</t>
  </si>
  <si>
    <t>#8/25 A</t>
  </si>
  <si>
    <t>IN-2022004923, IN-2022004924</t>
  </si>
  <si>
    <t>32107, 96284</t>
  </si>
  <si>
    <t>0, 106996</t>
  </si>
  <si>
    <t>-10712, 32107</t>
  </si>
  <si>
    <t>0.40009999999999996</t>
  </si>
  <si>
    <t>0, 0.40009999999999996</t>
  </si>
  <si>
    <t>2027-05-14 00:00:00</t>
  </si>
  <si>
    <t>22028000038883472, 22028000038883504</t>
  </si>
  <si>
    <t>2026-04-18 17:57:09, 2026-04-18 17:57:21</t>
  </si>
  <si>
    <t>Anand Niketan School, Bhadaj Campus</t>
  </si>
  <si>
    <t>IN-2022004955</t>
  </si>
  <si>
    <t>168177</t>
  </si>
  <si>
    <t>0.586</t>
  </si>
  <si>
    <t>22028000038971408</t>
  </si>
  <si>
    <t>zcrm_51788000308310474</t>
  </si>
  <si>
    <t>2026-04-20 14:31:22</t>
  </si>
  <si>
    <t>Mr.Atul Juneja</t>
  </si>
  <si>
    <t>admin@bhadajcampusanandniketan.org</t>
  </si>
  <si>
    <t>Rachana Bhatnagar</t>
  </si>
  <si>
    <t>principal@bhadajcampusanandniketan.org</t>
  </si>
  <si>
    <t>+919099336916</t>
  </si>
  <si>
    <t>2026-03-20 00:00:00, 2026-04-17 00:00:00</t>
  </si>
  <si>
    <t>CHET02605B</t>
  </si>
  <si>
    <t>IN-2022004707, IN-2022004708</t>
  </si>
  <si>
    <t>205115, 43975</t>
  </si>
  <si>
    <t>0, 41023</t>
  </si>
  <si>
    <t>369180, 87900</t>
  </si>
  <si>
    <t>-205088, -43925</t>
  </si>
  <si>
    <t>22028000038237624, 22028000038237680</t>
  </si>
  <si>
    <t>zcrm_51788000309547153</t>
  </si>
  <si>
    <t>2026-04-17 12:31:38, 2026-04-17 12:31:55</t>
  </si>
  <si>
    <t>80300</t>
  </si>
  <si>
    <t>Sughad Campus, Air Port-Gandhi Nagar Road</t>
  </si>
  <si>
    <t>IN-2022004726, IN-2022004727</t>
  </si>
  <si>
    <t>0, 0.5832999999999999</t>
  </si>
  <si>
    <t>22028000038323468, 22028000038323512</t>
  </si>
  <si>
    <t>2026-04-16 17:26:34, 2026-04-16 17:26:44</t>
  </si>
  <si>
    <t>+917048461000</t>
  </si>
  <si>
    <t>Hetal Patel</t>
  </si>
  <si>
    <t>cbse.primary@tris.edu.in</t>
  </si>
  <si>
    <t>+919904169734</t>
  </si>
  <si>
    <t>IN-2022004535</t>
  </si>
  <si>
    <t>1404</t>
  </si>
  <si>
    <t>22028000037905176</t>
  </si>
  <si>
    <t>2026-04-20 12:46:25</t>
  </si>
  <si>
    <t>principal@blmacademy.com</t>
  </si>
  <si>
    <t>282064</t>
  </si>
  <si>
    <t>162496</t>
  </si>
  <si>
    <t>IN-2022004902</t>
  </si>
  <si>
    <t>472290</t>
  </si>
  <si>
    <t>2026-08-14 00:00:00</t>
  </si>
  <si>
    <t>0.3059</t>
  </si>
  <si>
    <t>2027-04-15 00:00:00</t>
  </si>
  <si>
    <t>22028000038883268</t>
  </si>
  <si>
    <t>zcrm_51788000310506028</t>
  </si>
  <si>
    <t>2026-04-16 10:19:04</t>
  </si>
  <si>
    <t>Mrs. Sunitha Yernagula</t>
  </si>
  <si>
    <t>278582</t>
  </si>
  <si>
    <t>5686</t>
  </si>
  <si>
    <t>IN-2022004957, IN-2022004963</t>
  </si>
  <si>
    <t>172321, 280124</t>
  </si>
  <si>
    <t>0.1282, 0.5589999999999999</t>
  </si>
  <si>
    <t>2026-04-01 00:00:00, 2026-04-25 00:00:00</t>
  </si>
  <si>
    <t>2027-03-31 00:00:00, 2027-04-20 00:00:00</t>
  </si>
  <si>
    <t>22028000038953240, 22028000038976180</t>
  </si>
  <si>
    <t>zcrm_51788000310540354, zcrm_51788000310808324</t>
  </si>
  <si>
    <t>2026-04-20 19:07:44, 2026-04-20 19:07:58</t>
  </si>
  <si>
    <t>Mr. Ashish Kumar Singh</t>
  </si>
  <si>
    <t>ashish.singh@tsrs.org</t>
  </si>
  <si>
    <t>+919873027154</t>
  </si>
  <si>
    <t>Ms. Sudha Sahay</t>
  </si>
  <si>
    <t>senior.aravali@tsrs.org, sudha.sahay@tsrs.org</t>
  </si>
  <si>
    <t>Anand Niketan, Satellite Campus</t>
  </si>
  <si>
    <t>IN-2022004856, IN-2022004857</t>
  </si>
  <si>
    <t>0, 259018</t>
  </si>
  <si>
    <t>22028000038717404, 22028000038717428</t>
  </si>
  <si>
    <t>zcrm_51788000310276056</t>
  </si>
  <si>
    <t>2026-04-17 11:42:26, 2026-04-17 11:42:37</t>
  </si>
  <si>
    <t>IN-2022004811</t>
  </si>
  <si>
    <t>1599</t>
  </si>
  <si>
    <t>226777</t>
  </si>
  <si>
    <t>220107</t>
  </si>
  <si>
    <t>22028000038597392</t>
  </si>
  <si>
    <t>zcrm_51788000310102001</t>
  </si>
  <si>
    <t>2026-04-17 19:29:06</t>
  </si>
  <si>
    <t>Mr. Avinash Chaturvedy</t>
  </si>
  <si>
    <t>avinashchaturvedy@gmail.com</t>
  </si>
  <si>
    <t>+919899917232</t>
  </si>
  <si>
    <t>Bhavan's Gangabux Kanoria Vidyamandir</t>
  </si>
  <si>
    <t>IN-2022004832</t>
  </si>
  <si>
    <t>1928</t>
  </si>
  <si>
    <t>363993</t>
  </si>
  <si>
    <t>0.36810000000000004</t>
  </si>
  <si>
    <t>22028000038713192</t>
  </si>
  <si>
    <t>zcrm_51788000308255240</t>
  </si>
  <si>
    <t>2026-04-17 11:08:12</t>
  </si>
  <si>
    <t>Mrs. Monami Chattopadhyay</t>
  </si>
  <si>
    <t>communicate@bhavansgkvidyamandir.edu.in</t>
  </si>
  <si>
    <t>+913323351249</t>
  </si>
  <si>
    <t>Hariyana Vidyamandir</t>
  </si>
  <si>
    <t>IN-2022004710</t>
  </si>
  <si>
    <t>323692</t>
  </si>
  <si>
    <t>22028000038255952</t>
  </si>
  <si>
    <t>51788000002735862</t>
  </si>
  <si>
    <t>zcrm_51788000309593275</t>
  </si>
  <si>
    <t>2026-04-17 14:43:39</t>
  </si>
  <si>
    <t>Ms. Sanghamitra Banerjee</t>
  </si>
  <si>
    <t>sangi2612@gmail.com</t>
  </si>
  <si>
    <t>+919830293710</t>
  </si>
  <si>
    <t>vidya@hariyanavidyamandir.org</t>
  </si>
  <si>
    <t>BA-193, Salt Lake Bypass, BA Block, Sector 1, Bidhannagar</t>
  </si>
  <si>
    <t>700064</t>
  </si>
  <si>
    <t>IN-2022004946</t>
  </si>
  <si>
    <t>398878</t>
  </si>
  <si>
    <t>0.6827</t>
  </si>
  <si>
    <t>0.5827</t>
  </si>
  <si>
    <t>22028000038971020</t>
  </si>
  <si>
    <t>zcrm_51788000310640643</t>
  </si>
  <si>
    <t>2026-04-20 14:34:11</t>
  </si>
  <si>
    <t>Ms. Archana Mishra</t>
  </si>
  <si>
    <t>0, 12194.67, 43214.31</t>
  </si>
  <si>
    <t>2026-02-04 00:00:00, 2026-04-16 00:00:00</t>
  </si>
  <si>
    <t>0, 109752, 388929</t>
  </si>
  <si>
    <t>IN-2022004932</t>
  </si>
  <si>
    <t>187355</t>
  </si>
  <si>
    <t>0.8751000000000001</t>
  </si>
  <si>
    <t>22028000038908304</t>
  </si>
  <si>
    <t>zcrm_51788000310682014</t>
  </si>
  <si>
    <t>2026-04-20 08:32:49</t>
  </si>
  <si>
    <t>IN-2022004945</t>
  </si>
  <si>
    <t>2026-04-21 00:00:00</t>
  </si>
  <si>
    <t>84447</t>
  </si>
  <si>
    <t>0.305</t>
  </si>
  <si>
    <t>2027-04-20 00:00:00</t>
  </si>
  <si>
    <t>22028000038919048</t>
  </si>
  <si>
    <t>zcrm_51788000310543418</t>
  </si>
  <si>
    <t>2026-04-20 12:56:24</t>
  </si>
  <si>
    <t>530048</t>
  </si>
  <si>
    <t>31018.18</t>
  </si>
  <si>
    <t>279164</t>
  </si>
  <si>
    <t>IN-2022004762</t>
  </si>
  <si>
    <t>199277</t>
  </si>
  <si>
    <t>149458</t>
  </si>
  <si>
    <t>0.511</t>
  </si>
  <si>
    <t>22028000038504272</t>
  </si>
  <si>
    <t>zcrm_51788000309779083</t>
  </si>
  <si>
    <t>2026-04-16 12:56:51</t>
  </si>
  <si>
    <t>Mr. Sandesh C</t>
  </si>
  <si>
    <t>Chunchgatta Main Rd</t>
  </si>
  <si>
    <t>IN-2022004848, IN-2022004849, IN-2022004850</t>
  </si>
  <si>
    <t>133500, 174900, 43674</t>
  </si>
  <si>
    <t>-25100, 133500, 43674</t>
  </si>
  <si>
    <t>0.5, 0.6</t>
  </si>
  <si>
    <t>0, 0.5, 0.6</t>
  </si>
  <si>
    <t>22028000038754160, 22028000038754184, 22028000038754212</t>
  </si>
  <si>
    <t>zcrm_51788000297507092, zcrm_51788000310138857</t>
  </si>
  <si>
    <t>2026-04-10 11:50:44, 2026-04-10 11:50:58, 2026-04-16 14:24:35</t>
  </si>
  <si>
    <t>IN-2022004646</t>
  </si>
  <si>
    <t>73809</t>
  </si>
  <si>
    <t>22028000038189164</t>
  </si>
  <si>
    <t>zcrm_51788000309296021</t>
  </si>
  <si>
    <t>2026-04-20 08:26:29</t>
  </si>
  <si>
    <t>Shalika Mrs</t>
  </si>
  <si>
    <t>-77187, 77192</t>
  </si>
  <si>
    <t>IN-2022004641</t>
  </si>
  <si>
    <t>684900</t>
  </si>
  <si>
    <t>22028000038137100</t>
  </si>
  <si>
    <t>zcrm_51788000308755814</t>
  </si>
  <si>
    <t>2026-04-20 14:28:17</t>
  </si>
  <si>
    <t>+918527782795</t>
  </si>
  <si>
    <t>Ms. Srividya Sridhar</t>
  </si>
  <si>
    <t>ipsss@lotuspetalfoundation.org</t>
  </si>
  <si>
    <t>+911242980536</t>
  </si>
  <si>
    <t>Ms. Shivani Vashishth</t>
  </si>
  <si>
    <t>shivani.v@lotuspetalfoundation.org</t>
  </si>
  <si>
    <t>CFCL Education Foundation</t>
  </si>
  <si>
    <t>IN-2022004877</t>
  </si>
  <si>
    <t>27197</t>
  </si>
  <si>
    <t>22028000038756068</t>
  </si>
  <si>
    <t>51788000289411022</t>
  </si>
  <si>
    <t>zcrm_51788000298920063</t>
  </si>
  <si>
    <t>vijay.tejpal1_ei</t>
  </si>
  <si>
    <t>vijay.tejpal1@ei.study</t>
  </si>
  <si>
    <t>Vijay tejpal1</t>
  </si>
  <si>
    <t>Vijay Tejpal</t>
  </si>
  <si>
    <t>2026-04-17 15:26:55</t>
  </si>
  <si>
    <t>Hasnain Naqvi</t>
  </si>
  <si>
    <t>hasnain.n@panaahcommunities.org</t>
  </si>
  <si>
    <t>+917016353585</t>
  </si>
  <si>
    <t>Jawahar Sikshan Mandal, Near Dulya Maruti Mandir, Raje Wadi, Pune, Maharashtra</t>
  </si>
  <si>
    <t>411002</t>
  </si>
  <si>
    <t>Dulya Maruti Chowk</t>
  </si>
  <si>
    <t>Ganesh Peth</t>
  </si>
  <si>
    <t>MDB DAV Public School</t>
  </si>
  <si>
    <t>IN-2022004794</t>
  </si>
  <si>
    <t>164442</t>
  </si>
  <si>
    <t>22028000038615180</t>
  </si>
  <si>
    <t>51788000297327031</t>
  </si>
  <si>
    <t>zcrm_51788000307165418</t>
  </si>
  <si>
    <t>2026-04-16 14:46:56</t>
  </si>
  <si>
    <t>Mr. Amit Kumar Das</t>
  </si>
  <si>
    <t>amitdasbok@gmail.com</t>
  </si>
  <si>
    <t>+919434141873</t>
  </si>
  <si>
    <t>mdb_dav@yahoo.com</t>
  </si>
  <si>
    <t>Amit Kumar Das</t>
  </si>
  <si>
    <t>Jaganath Bati, Nh60,Bikna, P.O. KesiakoleBankura</t>
  </si>
  <si>
    <t>722155</t>
  </si>
  <si>
    <t>M.D.B. DAV PUBLIC SCHOOLJAGANNATH BATI, N.H. 60,BIKNA, P.O. KESIAKOLEBANKURA - 722155.</t>
  </si>
  <si>
    <t>Jaganath Bati, Nh60, Bikna, P.O. Kesiakole Bankura</t>
  </si>
  <si>
    <t>The Radiant World School</t>
  </si>
  <si>
    <t>IN-2022004730, IN-2022004732</t>
  </si>
  <si>
    <t>22028000038323644, 22028000038323688</t>
  </si>
  <si>
    <t>51788000304225042</t>
  </si>
  <si>
    <t>zcrm_51788000304967891</t>
  </si>
  <si>
    <t>2026-04-16 17:37:34, 2026-04-16 17:37:47</t>
  </si>
  <si>
    <t>Mrs. Deepa Ramalingam</t>
  </si>
  <si>
    <t>+919428741176</t>
  </si>
  <si>
    <t>principal.trws@tris.edu.in</t>
  </si>
  <si>
    <t>Deepa Ramalingam</t>
  </si>
  <si>
    <t>Dandi Road</t>
  </si>
  <si>
    <t>New Olpad Road,Narthan</t>
  </si>
  <si>
    <t>Dandi Road, New Olpad Road,Narthan</t>
  </si>
  <si>
    <t>2026-03-02 00:00:00, 2026-04-16 00:00:00</t>
  </si>
  <si>
    <t>0, 171000, 81300</t>
  </si>
  <si>
    <t>-1308, -67762, 67690</t>
  </si>
  <si>
    <t>Narula Public School</t>
  </si>
  <si>
    <t>IN-2022004925</t>
  </si>
  <si>
    <t>48001</t>
  </si>
  <si>
    <t>0.5861999999999999</t>
  </si>
  <si>
    <t>Hooghly</t>
  </si>
  <si>
    <t>2027-04-16 00:00:00</t>
  </si>
  <si>
    <t>22028000038845248</t>
  </si>
  <si>
    <t>51788000308386064</t>
  </si>
  <si>
    <t>zcrm_51788000309484062</t>
  </si>
  <si>
    <t>2026-04-17 10:35:47</t>
  </si>
  <si>
    <t>Mrs. Kamalpreet Kaur Makol</t>
  </si>
  <si>
    <t>principal_nps@jisgroup.org</t>
  </si>
  <si>
    <t>+919958505506</t>
  </si>
  <si>
    <t>Natungram, Mogra</t>
  </si>
  <si>
    <t>712148</t>
  </si>
  <si>
    <t>Natungram</t>
  </si>
  <si>
    <t>educationalinitiativesprivat, hakim.kanchwala_eiindia1</t>
  </si>
  <si>
    <t>11299.29, 33515.27</t>
  </si>
  <si>
    <t>101694, 361965</t>
  </si>
  <si>
    <t>IN-2022004895, IN-2022004896</t>
  </si>
  <si>
    <t>31807, 95400</t>
  </si>
  <si>
    <t>190800, 63615</t>
  </si>
  <si>
    <t>31807, 45400</t>
  </si>
  <si>
    <t>22028000038845024, 22028000038845052</t>
  </si>
  <si>
    <t>zcrm_51788000300874171</t>
  </si>
  <si>
    <t>2026-04-20 10:58:18, 2026-04-20 10:58:39</t>
  </si>
  <si>
    <t>Mrs. Rama Karthik</t>
  </si>
  <si>
    <t>+919606913386</t>
  </si>
  <si>
    <t>Mr Rama Karthik, Ms Rama Karthik</t>
  </si>
  <si>
    <t>Ms Sharada, Ms Sharada K</t>
  </si>
  <si>
    <t>sharadaksharu.78@gmail.com</t>
  </si>
  <si>
    <t>S5</t>
  </si>
  <si>
    <t>STAGES</t>
  </si>
  <si>
    <t>RISK</t>
  </si>
  <si>
    <t>S4</t>
  </si>
  <si>
    <t>S2</t>
  </si>
  <si>
    <t>RETAINED</t>
  </si>
  <si>
    <t>DROPPED</t>
  </si>
  <si>
    <t>S3</t>
  </si>
  <si>
    <t>NO RISK</t>
  </si>
  <si>
    <t>SIGNED</t>
  </si>
  <si>
    <t>PILOT</t>
  </si>
  <si>
    <t>S0</t>
  </si>
  <si>
    <t>MAY MONTH</t>
  </si>
  <si>
    <t>AUGUST</t>
  </si>
  <si>
    <t>JULY</t>
  </si>
  <si>
    <t>JUNE</t>
  </si>
  <si>
    <t>Shree BAK Swadhyay Bhavan School</t>
  </si>
  <si>
    <t>2026-04-22 00:00:00</t>
  </si>
  <si>
    <t>IN-2022004988</t>
  </si>
  <si>
    <t>231778</t>
  </si>
  <si>
    <t>2026-07-22 00:00:00</t>
  </si>
  <si>
    <t>0.2693</t>
  </si>
  <si>
    <t>22028000039087116</t>
  </si>
  <si>
    <t>zcrm_51788000300507489</t>
  </si>
  <si>
    <t>2026-04-23 15:17:12</t>
  </si>
  <si>
    <t>Shobana Nair</t>
  </si>
  <si>
    <t>shobana.nair@gkmschools.com</t>
  </si>
  <si>
    <t>Anita Nair</t>
  </si>
  <si>
    <t>anita.nair@gkmschools.com</t>
  </si>
  <si>
    <t>+919892499016</t>
  </si>
  <si>
    <t>76/A,</t>
  </si>
  <si>
    <t>Matunga</t>
  </si>
  <si>
    <t>76-A, Rafi Ahmed Kidwai Road</t>
  </si>
  <si>
    <t>IN-2022004864, IN-2022004865, IN-2022004866</t>
  </si>
  <si>
    <t>2271</t>
  </si>
  <si>
    <t>1755</t>
  </si>
  <si>
    <t>385106, 422334, 571109</t>
  </si>
  <si>
    <t>0.4863, 0.55, 0.7166</t>
  </si>
  <si>
    <t>0.33630000000000004, 0.4, 0.5666</t>
  </si>
  <si>
    <t>22028000038735692, 22028000038735720, 22028000038735752</t>
  </si>
  <si>
    <t>zcrm_51788000310259030, zcrm_51788000310259248, zcrm_51788000310259472</t>
  </si>
  <si>
    <t>2026-04-23 18:09:02, 2026-04-23 18:09:19, 2026-04-23 18:09:36</t>
  </si>
  <si>
    <t>Mrs. Naina Dhillon</t>
  </si>
  <si>
    <t>Gagandeep Thareja</t>
  </si>
  <si>
    <t>1118914</t>
  </si>
  <si>
    <t>IN-2022004922</t>
  </si>
  <si>
    <t>395156</t>
  </si>
  <si>
    <t>0.7945</t>
  </si>
  <si>
    <t>22028000038865216</t>
  </si>
  <si>
    <t>zcrm_51788000310655001</t>
  </si>
  <si>
    <t>2026-04-23 11:09:11</t>
  </si>
  <si>
    <t>Fr. Byju Peruvan</t>
  </si>
  <si>
    <t>IN-2022004956, IN-2022004962</t>
  </si>
  <si>
    <t>57043, 91021</t>
  </si>
  <si>
    <t>0.1282, 0.428</t>
  </si>
  <si>
    <t>22028000038953152, 22028000038976152</t>
  </si>
  <si>
    <t>zcrm_51788000310540520, zcrm_51788000310808001</t>
  </si>
  <si>
    <t>2026-04-21 09:17:15, 2026-04-21 09:17:33</t>
  </si>
  <si>
    <t>Ms. Pooja Manan Thakur</t>
  </si>
  <si>
    <t>Dr. Surbhi, Mr. Ashish Kumar Singh</t>
  </si>
  <si>
    <t>ashish.singh@tsrs.org, surbhi.rajpal@tsrs.org</t>
  </si>
  <si>
    <t>+918130791299, +919873027154</t>
  </si>
  <si>
    <t>2921.82</t>
  </si>
  <si>
    <t>143169</t>
  </si>
  <si>
    <t>IN-2022004996</t>
  </si>
  <si>
    <t>22028000039095492</t>
  </si>
  <si>
    <t>zcrm_51788000300411375</t>
  </si>
  <si>
    <t>2026-04-24 10:20:54</t>
  </si>
  <si>
    <t>Mrs. Jyothi K S</t>
  </si>
  <si>
    <t>Bannerghatta Road</t>
  </si>
  <si>
    <t>#52, Lakshmipura Village</t>
  </si>
  <si>
    <t>+918882024525</t>
  </si>
  <si>
    <t>Preeti.Puri@bluebellsinternational.com</t>
  </si>
  <si>
    <t>+919818007436</t>
  </si>
  <si>
    <t>0, 36115.53</t>
  </si>
  <si>
    <t>390047, 556276</t>
  </si>
  <si>
    <t>-68682, 11353</t>
  </si>
  <si>
    <t>2026-04-23 00:00:00</t>
  </si>
  <si>
    <t>2026-03-28 00:00:00, 2026-04-20 00:00:00</t>
  </si>
  <si>
    <t>IN-2022004696, IN-2022004697, IN-2022004969</t>
  </si>
  <si>
    <t>2026-03-02 00:00:00, 2026-06-15 00:00:00</t>
  </si>
  <si>
    <t>16875, 261914, 77740</t>
  </si>
  <si>
    <t>2026-04-10 00:00:00, 2026-11-01 00:00:00</t>
  </si>
  <si>
    <t>233219, 261914, 50625</t>
  </si>
  <si>
    <t>0, 310959, 67500</t>
  </si>
  <si>
    <t>-24644, 0, 310959</t>
  </si>
  <si>
    <t>0.6851999999999999, 0.9</t>
  </si>
  <si>
    <t>0, 0.6352, 0.9</t>
  </si>
  <si>
    <t>22028000038213608, 22028000038213660, 22028000039001048</t>
  </si>
  <si>
    <t>2026-04-03 11:59:13, 2026-04-03 11:59:28, 2026-04-22 15:06:35</t>
  </si>
  <si>
    <t>heena.kumar@ei.study, principal@navrachana.ac.in</t>
  </si>
  <si>
    <t>Nirmal Vidhyapeeth</t>
  </si>
  <si>
    <t>IN-2022004564</t>
  </si>
  <si>
    <t>69301</t>
  </si>
  <si>
    <t>Barwaha</t>
  </si>
  <si>
    <t>22028000037983288</t>
  </si>
  <si>
    <t>51788000002791611</t>
  </si>
  <si>
    <t>zcrm_51788000307992124</t>
  </si>
  <si>
    <t>2026-04-22 13:10:29</t>
  </si>
  <si>
    <t>Mr. Ashish Jha</t>
  </si>
  <si>
    <t>nirmalvidyapeeth@gmail.com</t>
  </si>
  <si>
    <t>+919907093843</t>
  </si>
  <si>
    <t>nirmalvidhyapeeth@gmail.com</t>
  </si>
  <si>
    <t>+919926581493</t>
  </si>
  <si>
    <t>Mr. Ali</t>
  </si>
  <si>
    <t>+918085002211</t>
  </si>
  <si>
    <t>Indore Road</t>
  </si>
  <si>
    <t>451115</t>
  </si>
  <si>
    <t>Indore Road, Sirlay Badwaha,</t>
  </si>
  <si>
    <t>IN-2022004958, IN-2022004961</t>
  </si>
  <si>
    <t>142023, 87390</t>
  </si>
  <si>
    <t>0, 87390</t>
  </si>
  <si>
    <t>0.1282, 0.4292</t>
  </si>
  <si>
    <t>22028000038953120, 22028000038976204</t>
  </si>
  <si>
    <t>zcrm_51788000310540191, zcrm_51788000310808161</t>
  </si>
  <si>
    <t>2026-04-21 09:21:16, 2026-04-21 09:21:33</t>
  </si>
  <si>
    <t>Ms. Pooja Manan Thakur, Ms. Sapna Dimri</t>
  </si>
  <si>
    <t>junior.aravali@tsrs.org, pooja.thakur@tsrs.org</t>
  </si>
  <si>
    <t>IN-2022004642</t>
  </si>
  <si>
    <t>2026-06-08 00:00:00</t>
  </si>
  <si>
    <t>457188</t>
  </si>
  <si>
    <t>2026-08-08 00:00:00</t>
  </si>
  <si>
    <t>2026-10-08 00:00:00</t>
  </si>
  <si>
    <t>22028000038147272</t>
  </si>
  <si>
    <t>zcrm_51788000309165685</t>
  </si>
  <si>
    <t>2026-04-22 11:42:35</t>
  </si>
  <si>
    <t>Mr. Venkatesh Raja</t>
  </si>
  <si>
    <t>Santosh Kumar</t>
  </si>
  <si>
    <t>Lalitha D</t>
  </si>
  <si>
    <t>lalitha697@svschool.ac.in</t>
  </si>
  <si>
    <t>0, 14214</t>
  </si>
  <si>
    <t>IN-2022004873, IN-2022004874</t>
  </si>
  <si>
    <t>10388, 36342</t>
  </si>
  <si>
    <t>145366, 41551</t>
  </si>
  <si>
    <t>0, 0.4867</t>
  </si>
  <si>
    <t>2027-05-30 00:00:00</t>
  </si>
  <si>
    <t>22028000038783040, 22028000038783072</t>
  </si>
  <si>
    <t>zcrm_51788000310263001</t>
  </si>
  <si>
    <t>2026-04-22 17:07:37, 2026-04-22 17:07:49</t>
  </si>
  <si>
    <t>IN-2022004875, IN-2022004876</t>
  </si>
  <si>
    <t>2026-05-16 00:00:00</t>
  </si>
  <si>
    <t>226125, 45220</t>
  </si>
  <si>
    <t>22028000038757484, 22028000038757512</t>
  </si>
  <si>
    <t>zcrm_51788000310359190</t>
  </si>
  <si>
    <t>2026-04-25 11:19:52, 2026-04-25 11:20:10</t>
  </si>
  <si>
    <t>principalvpsss@gmail.com</t>
  </si>
  <si>
    <t>Malathy</t>
  </si>
  <si>
    <t>malathipriya02@gmail.com</t>
  </si>
  <si>
    <t>IN-2022004143</t>
  </si>
  <si>
    <t>105755</t>
  </si>
  <si>
    <t>22028000035817304</t>
  </si>
  <si>
    <t>zcrm_51788000302503041</t>
  </si>
  <si>
    <t>2026-03-31 16:14:29</t>
  </si>
  <si>
    <t>IN-2022004976</t>
  </si>
  <si>
    <t>406053</t>
  </si>
  <si>
    <t>0.3944</t>
  </si>
  <si>
    <t>22028000039001108</t>
  </si>
  <si>
    <t>zcrm_51788000310926001</t>
  </si>
  <si>
    <t>2026-04-21 17:16:22</t>
  </si>
  <si>
    <t>132789</t>
  </si>
  <si>
    <t>118712</t>
  </si>
  <si>
    <t>Redwood International School</t>
  </si>
  <si>
    <t>IN-2022004830, IN-2022004831</t>
  </si>
  <si>
    <t>12959, 48600</t>
  </si>
  <si>
    <t>113400, 30237</t>
  </si>
  <si>
    <t>0, 56698</t>
  </si>
  <si>
    <t>-8098, 12959</t>
  </si>
  <si>
    <t>22028000038712160, 22028000038712184</t>
  </si>
  <si>
    <t>51788000269138005</t>
  </si>
  <si>
    <t>zcrm_51788000310188176</t>
  </si>
  <si>
    <t>2026-04-21 13:23:32, 2026-04-22 10:38:48</t>
  </si>
  <si>
    <t>Harjit Kaur</t>
  </si>
  <si>
    <t>principal@redwoodhighschool.org</t>
  </si>
  <si>
    <t>+919768466505</t>
  </si>
  <si>
    <t>contact@redwoodhighschool.org</t>
  </si>
  <si>
    <t>Adarsh Vidyalaya Marg, Siddharth Nagar</t>
  </si>
  <si>
    <t>400104</t>
  </si>
  <si>
    <t>Road no.17, Siddharth Nagar, Goregaon W</t>
  </si>
  <si>
    <t>IN-2022004881</t>
  </si>
  <si>
    <t>109594</t>
  </si>
  <si>
    <t>175350</t>
  </si>
  <si>
    <t>153431</t>
  </si>
  <si>
    <t>22028000038776076</t>
  </si>
  <si>
    <t>zcrm_51788000308975462</t>
  </si>
  <si>
    <t>2026-04-24 10:46:17</t>
  </si>
  <si>
    <t>Mrs. Urvashi Kakkar</t>
  </si>
  <si>
    <t>Urvashi Kakkar</t>
  </si>
  <si>
    <t>principal@gurukulglobalschool.com</t>
  </si>
  <si>
    <t>+989878617880</t>
  </si>
  <si>
    <t>IN-2022004845, IN-2022004846</t>
  </si>
  <si>
    <t>1082, 1442</t>
  </si>
  <si>
    <t>33259, 41469</t>
  </si>
  <si>
    <t>0.584, 0.617</t>
  </si>
  <si>
    <t>22028000038735496, 22028000038735520</t>
  </si>
  <si>
    <t>zcrm_51788000310172111, zcrm_51788000310175225</t>
  </si>
  <si>
    <t>2026-04-22 17:33:57, 2026-04-22 17:34:15</t>
  </si>
  <si>
    <t>+919851290794</t>
  </si>
  <si>
    <t>Riya Banerjee</t>
  </si>
  <si>
    <t>BAPS Swaminarayan Vidyamandir, Navsari</t>
  </si>
  <si>
    <t>2026-03-31 00:00:00, 2026-04-14 00:00:00</t>
  </si>
  <si>
    <t>IN-2022004720, IN-2022004723, IN-2022004897</t>
  </si>
  <si>
    <t>700, 850</t>
  </si>
  <si>
    <t>28702, 4676, 6153</t>
  </si>
  <si>
    <t>0.43329999999999996, 0.5333</t>
  </si>
  <si>
    <t>0, 0.43329999999999996, 0.5333</t>
  </si>
  <si>
    <t>Navsari</t>
  </si>
  <si>
    <t>22028000038323080, 22028000038323132, 22028000038862044</t>
  </si>
  <si>
    <t>51788000304353643</t>
  </si>
  <si>
    <t>zcrm_51788000305681335, zcrm_51788000310524216</t>
  </si>
  <si>
    <t>2026-04-24 10:28:45, 2026-04-24 10:28:55, 2026-04-24 16:01:33</t>
  </si>
  <si>
    <t>Mr. Parimal Mistry, Mr. Samir Parekh</t>
  </si>
  <si>
    <t>+919727799770, +919909993109</t>
  </si>
  <si>
    <t>info.svmnvs@baps.edu.in</t>
  </si>
  <si>
    <t>Samir Parekh</t>
  </si>
  <si>
    <t>+919727799770</t>
  </si>
  <si>
    <t>Parimal Mistry, Samir Parekh</t>
  </si>
  <si>
    <t>Meera Nagar</t>
  </si>
  <si>
    <t>396427</t>
  </si>
  <si>
    <t>Jamalpore</t>
  </si>
  <si>
    <t>Malik School, Kohat, Pakistan</t>
  </si>
  <si>
    <t>IN-2022004973</t>
  </si>
  <si>
    <t>Kohat</t>
  </si>
  <si>
    <t>22028000039002032</t>
  </si>
  <si>
    <t>51788000310225016</t>
  </si>
  <si>
    <t>zcrm_51788000310560034</t>
  </si>
  <si>
    <t>2026-04-21 13:15:40</t>
  </si>
  <si>
    <t>Muhammad Umair</t>
  </si>
  <si>
    <t>muhammad.umair@carepakistan.org</t>
  </si>
  <si>
    <t>+923454746548</t>
  </si>
  <si>
    <t>Garhi Rauf Khan,</t>
  </si>
  <si>
    <t>26090</t>
  </si>
  <si>
    <t>Dr. B.R. AMBEDKAR CM SHRI School, Kalkaji</t>
  </si>
  <si>
    <t>IN-2022004997</t>
  </si>
  <si>
    <t>22028000039094208</t>
  </si>
  <si>
    <t>51788000310908279</t>
  </si>
  <si>
    <t>zcrm_51788000310908486</t>
  </si>
  <si>
    <t>2026-04-22 17:17:51</t>
  </si>
  <si>
    <t>maruf shaikh</t>
  </si>
  <si>
    <t>Block DD, Kalkaji</t>
  </si>
  <si>
    <t>Odisha Government School</t>
  </si>
  <si>
    <t>IN-2022005000</t>
  </si>
  <si>
    <t>Bhubaneswar G.P.O. pin code is 751001</t>
  </si>
  <si>
    <t>2027-04-22 00:00:00</t>
  </si>
  <si>
    <t>22028000039085064</t>
  </si>
  <si>
    <t>51788000310909012</t>
  </si>
  <si>
    <t>zcrm_51788000310909407</t>
  </si>
  <si>
    <t>Digisha Kothari</t>
  </si>
  <si>
    <t>2026-04-22 17:25:02</t>
  </si>
  <si>
    <t>digisha.kothari@ei.study</t>
  </si>
  <si>
    <t>+919913672525</t>
  </si>
  <si>
    <t>751001</t>
  </si>
  <si>
    <t>Dr. B.R. AMBEDKAR CM SHRI School, Sector 18, Rohini</t>
  </si>
  <si>
    <t>IN-2022004998</t>
  </si>
  <si>
    <t>22028000039094224</t>
  </si>
  <si>
    <t>51788000310908348</t>
  </si>
  <si>
    <t>zcrm_51788000310908649</t>
  </si>
  <si>
    <t>2026-04-22 17:18:04</t>
  </si>
  <si>
    <t>110089</t>
  </si>
  <si>
    <t>P4RM+PV9, Dattaram Society, Block H, Sector 18, Rohini</t>
  </si>
  <si>
    <t>Dr. B.R. AMBEDKAR CM SHRI School, Kishanganj</t>
  </si>
  <si>
    <t>IN-2022004999</t>
  </si>
  <si>
    <t>22028000039094244</t>
  </si>
  <si>
    <t>51788000310908417</t>
  </si>
  <si>
    <t>zcrm_51788000310908812</t>
  </si>
  <si>
    <t>2026-04-22 17:18:22</t>
  </si>
  <si>
    <t>110007</t>
  </si>
  <si>
    <t>M58X+997, Chandra Shekhar Azad Colony, Sarai Rohilla</t>
  </si>
  <si>
    <t>2026-04-20 00:00:00, 2026-04-21 00:00:00</t>
  </si>
  <si>
    <t>IN-2022004959, IN-2022004986</t>
  </si>
  <si>
    <t>123976, 152178</t>
  </si>
  <si>
    <t>0.1282, 0.5779</t>
  </si>
  <si>
    <t>22028000038976232, 22028000039061036</t>
  </si>
  <si>
    <t>zcrm_51788000310540028, zcrm_51788000310899007</t>
  </si>
  <si>
    <t>2026-04-22 15:00:03, 2026-04-22 15:00:26</t>
  </si>
  <si>
    <t>ripple.sethi@tsrs.org</t>
  </si>
  <si>
    <t>Trivandrum International School</t>
  </si>
  <si>
    <t>IN-2022004383</t>
  </si>
  <si>
    <t>960</t>
  </si>
  <si>
    <t>130080</t>
  </si>
  <si>
    <t>Thiruvananthapuram</t>
  </si>
  <si>
    <t>22028000037397468</t>
  </si>
  <si>
    <t>51788000002739293</t>
  </si>
  <si>
    <t>zcrm_51788000307124388</t>
  </si>
  <si>
    <t>2026-04-24 10:38:10</t>
  </si>
  <si>
    <t>Ms Sapnu</t>
  </si>
  <si>
    <t>sapnu@trins.org</t>
  </si>
  <si>
    <t>+918078214852</t>
  </si>
  <si>
    <t>principal@trins.org</t>
  </si>
  <si>
    <t>Gourab Das Sharma</t>
  </si>
  <si>
    <t>prinicipal@trins.org</t>
  </si>
  <si>
    <t>+919847171111</t>
  </si>
  <si>
    <t>Anuradha P</t>
  </si>
  <si>
    <t>anuradha@trins.org</t>
  </si>
  <si>
    <t>Edackode P O</t>
  </si>
  <si>
    <t>695104</t>
  </si>
  <si>
    <t>Edackode P O, Korani,</t>
  </si>
  <si>
    <t>Shri Swaminarayan Academy</t>
  </si>
  <si>
    <t>IN-2022004743, IN-2022004744</t>
  </si>
  <si>
    <t>28366, 99225</t>
  </si>
  <si>
    <t>0, 0.65</t>
  </si>
  <si>
    <t>22028000038330084, 22028000038330136</t>
  </si>
  <si>
    <t>51788000002739779</t>
  </si>
  <si>
    <t>zcrm_51788000276849110</t>
  </si>
  <si>
    <t>2026-04-24 15:17:51, 2026-04-24 15:18:13</t>
  </si>
  <si>
    <t>Mrs. Sukla Patra</t>
  </si>
  <si>
    <t>+919925879794</t>
  </si>
  <si>
    <t>Svschool@hotmail.com</t>
  </si>
  <si>
    <t>Sukla Patra</t>
  </si>
  <si>
    <t>shvschool@gmail.com</t>
  </si>
  <si>
    <t>Sumit Patel</t>
  </si>
  <si>
    <t>+919898961493, +919925879794</t>
  </si>
  <si>
    <t>New Rander Road</t>
  </si>
  <si>
    <t>SRTS08197A</t>
  </si>
  <si>
    <t>New Rander Road, Behind Sudama Hotel, Adajan</t>
  </si>
  <si>
    <t>Possible 2027</t>
  </si>
  <si>
    <t>weightage</t>
  </si>
  <si>
    <t>Large Account</t>
  </si>
  <si>
    <t>Parents have refused to pay.For the last 2 years school has funded for more than 50% students</t>
  </si>
  <si>
    <t>The school indicated that teacher readiness is currently low, and due to ICSE Shine, there is reluctance to take on additional assessments.</t>
  </si>
  <si>
    <t>School not following Value</t>
  </si>
  <si>
    <t>School wants to shift to ASSET optional</t>
  </si>
  <si>
    <t>The school signed conducted teacher orientation and then took up LEAD.They felt we are expensive</t>
  </si>
  <si>
    <t>Infra mismatch</t>
  </si>
  <si>
    <t>The management has declined saying it is not for remote places</t>
  </si>
  <si>
    <t>FRC Issue</t>
  </si>
  <si>
    <t>J.B. Petit High School - CARES</t>
  </si>
  <si>
    <t>Low teacher buying. Want to continue with grade 3 only and not grade 4. One round of meeting is done with KDM.Got the dates for 2 rounds and book collection date</t>
  </si>
  <si>
    <t>KMGIS</t>
  </si>
  <si>
    <t>Product Value and Infra</t>
  </si>
  <si>
    <t>Army Public School, Dhrangadhra</t>
  </si>
  <si>
    <t>Was a pilot project</t>
  </si>
  <si>
    <t>Army Public School, Ahmedabad</t>
  </si>
  <si>
    <t>AcadAlly has reached out to four schools under the Priyadarshani Group. However, meetings scheduled with the management have repeatedly been cancelled, which is causing delays in further discussions and progress.</t>
  </si>
  <si>
    <t>Priyadarshani School &amp; Jr College, Indrayaninagar</t>
  </si>
  <si>
    <t>Parents are not supporting. Usage is not there</t>
  </si>
  <si>
    <t>Only ASSET</t>
  </si>
  <si>
    <t>Rev</t>
  </si>
  <si>
    <t>Exp Rev</t>
  </si>
  <si>
    <t>Only Cares</t>
  </si>
  <si>
    <t>only MS</t>
  </si>
  <si>
    <t>2 pro</t>
  </si>
  <si>
    <t>2027-student count</t>
  </si>
  <si>
    <t>Student count</t>
  </si>
  <si>
    <t>All</t>
  </si>
  <si>
    <t>Drop-School Type</t>
  </si>
  <si>
    <t>Risk School</t>
  </si>
  <si>
    <t>No response from school, funding challenge</t>
  </si>
  <si>
    <t>1-Year school</t>
  </si>
  <si>
    <t>Drop</t>
  </si>
  <si>
    <t>Risk</t>
  </si>
  <si>
    <t>IN-2022005022</t>
  </si>
  <si>
    <t>1473</t>
  </si>
  <si>
    <t>48597</t>
  </si>
  <si>
    <t>0.7461</t>
  </si>
  <si>
    <t>22028000039175168</t>
  </si>
  <si>
    <t>zcrm_51788000311084074</t>
  </si>
  <si>
    <t>2026-04-28 14:32:44</t>
  </si>
  <si>
    <t>+919816222626</t>
  </si>
  <si>
    <t>Urvashi Pandit</t>
  </si>
  <si>
    <t>urvashi.pandit@lms.org.in</t>
  </si>
  <si>
    <t>+919418454701</t>
  </si>
  <si>
    <t>229512, 387603</t>
  </si>
  <si>
    <t>2026-04-24 00:00:00</t>
  </si>
  <si>
    <t>0, 1005776.16</t>
  </si>
  <si>
    <t>17341, 431900</t>
  </si>
  <si>
    <t>IN-2022004933</t>
  </si>
  <si>
    <t>646</t>
  </si>
  <si>
    <t>1314</t>
  </si>
  <si>
    <t>149989</t>
  </si>
  <si>
    <t>0.5692</t>
  </si>
  <si>
    <t>22028000038903064</t>
  </si>
  <si>
    <t>zcrm_51788000310474088</t>
  </si>
  <si>
    <t>2026-04-27 11:36:27</t>
  </si>
  <si>
    <t>0, 695520, 824504, 935424</t>
  </si>
  <si>
    <t>2026-04-20 00:00:00, 2026-04-28 00:00:00</t>
  </si>
  <si>
    <t>IN-2022004952, IN-2022005030</t>
  </si>
  <si>
    <t>409</t>
  </si>
  <si>
    <t>1333, 1479</t>
  </si>
  <si>
    <t>2026-06-05 00:00:00</t>
  </si>
  <si>
    <t>125834, 708144</t>
  </si>
  <si>
    <t>0.5631, 0.7092</t>
  </si>
  <si>
    <t>2027-05-20 00:00:00, 2027-05-24 00:00:00</t>
  </si>
  <si>
    <t>22028000038975120, 22028000039159328</t>
  </si>
  <si>
    <t>zcrm_51788000310799001, zcrm_51788000310799167</t>
  </si>
  <si>
    <t>2026-04-28 15:06:18, 2026-04-28 16:57:07</t>
  </si>
  <si>
    <t>2026-02-22 00:00:00, 2026-02-23 00:00:00, 2026-04-25 00:00:00</t>
  </si>
  <si>
    <t>Ei ASSET,Ei CARES, Ei ASSET,Ei CARES,Ei Mindspark, Ei CARES</t>
  </si>
  <si>
    <t>IN-2022004389, IN-2022004393, IN-2022005010</t>
  </si>
  <si>
    <t>0, 1167, 1400</t>
  </si>
  <si>
    <t>0, 82280, 873947</t>
  </si>
  <si>
    <t>0, 79860, 848243</t>
  </si>
  <si>
    <t>2000-01-01 00:00:00, 2026-12-10 00:00:00</t>
  </si>
  <si>
    <t>0.6, 0.7422, 1</t>
  </si>
  <si>
    <t>22028000037445332, 22028000037445612, 22028000039135056</t>
  </si>
  <si>
    <t>zcrm_51788000307182037, zcrm_51788000307182212, zcrm_51788000310950001</t>
  </si>
  <si>
    <t>2026-03-07 12:17:14, 2026-03-07 12:17:40, 2026-04-27 13:06:54</t>
  </si>
  <si>
    <t>ANURADHA KUANR, Saswati Praharaj</t>
  </si>
  <si>
    <t>kuanr.anuradha@gmail.com, saswatipraharajgeol.kjr@gmail.com</t>
  </si>
  <si>
    <t>+916370519274, +919776101887</t>
  </si>
  <si>
    <t>Keonjhar, Odisha, 758002</t>
  </si>
  <si>
    <t>IN-2022005019</t>
  </si>
  <si>
    <t>1463</t>
  </si>
  <si>
    <t>101317</t>
  </si>
  <si>
    <t>0.742</t>
  </si>
  <si>
    <t>22028000039175056</t>
  </si>
  <si>
    <t>zcrm_51788000311067102</t>
  </si>
  <si>
    <t>2026-04-28 15:02:31</t>
  </si>
  <si>
    <t>Kelheli Kullu</t>
  </si>
  <si>
    <t>2026-04-17 00:00:00, 2026-04-21 00:00:00</t>
  </si>
  <si>
    <t>IN-2022004939, IN-2022004982</t>
  </si>
  <si>
    <t>109022, 53096</t>
  </si>
  <si>
    <t>2026-07-01 00:00:00, 2026-12-14 00:00:00</t>
  </si>
  <si>
    <t>0, 53096</t>
  </si>
  <si>
    <t>2000-01-01 00:00:00, 2026-12-14 00:00:00</t>
  </si>
  <si>
    <t>0, 899.92</t>
  </si>
  <si>
    <t>0, 52195</t>
  </si>
  <si>
    <t>1, 109022</t>
  </si>
  <si>
    <t>0.5084000000000001, 0.8332999999999999</t>
  </si>
  <si>
    <t>0.45840000000000003, 0.7333</t>
  </si>
  <si>
    <t>2026-04-20 00:00:00, 2026-04-25 00:00:00</t>
  </si>
  <si>
    <t>22028000038909068, 22028000039039024</t>
  </si>
  <si>
    <t>zcrm_51788000310646470, zcrm_51788000310831658</t>
  </si>
  <si>
    <t>2026-04-22 12:43:37, 2026-04-28 10:42:04</t>
  </si>
  <si>
    <t>contactus@bluebellsinternational.com, principal@bluebellsinternational.com</t>
  </si>
  <si>
    <t>Mrs. Preeti Puri, Ms Preeti Puri</t>
  </si>
  <si>
    <t>DELB07551F</t>
  </si>
  <si>
    <t>0, 4319.88</t>
  </si>
  <si>
    <t>0, 211674</t>
  </si>
  <si>
    <t>0, 80342</t>
  </si>
  <si>
    <t>0, 582547</t>
  </si>
  <si>
    <t>IN-2022004981</t>
  </si>
  <si>
    <t>1458</t>
  </si>
  <si>
    <t>742207</t>
  </si>
  <si>
    <t>764698</t>
  </si>
  <si>
    <t>22028000039010116</t>
  </si>
  <si>
    <t>zcrm_51788000310906869</t>
  </si>
  <si>
    <t>2026-04-27 11:04:30</t>
  </si>
  <si>
    <t>Mrs. Shanti Menon</t>
  </si>
  <si>
    <t>+917406428520</t>
  </si>
  <si>
    <t>gunjur.principal@deensacademy.com</t>
  </si>
  <si>
    <t>gunjur.asset@deensacademy.com</t>
  </si>
  <si>
    <t>0, 1747.79</t>
  </si>
  <si>
    <t>0, 85641</t>
  </si>
  <si>
    <t>1503.6, 2323.9, 4347</t>
  </si>
  <si>
    <t>113870, 213004, 73676</t>
  </si>
  <si>
    <t>-116194, -217351, -75180</t>
  </si>
  <si>
    <t>IN-2022005020</t>
  </si>
  <si>
    <t>68168</t>
  </si>
  <si>
    <t>0.7367</t>
  </si>
  <si>
    <t>22028000039175092</t>
  </si>
  <si>
    <t>zcrm_51788000311092087</t>
  </si>
  <si>
    <t>2026-04-28 14:56:11</t>
  </si>
  <si>
    <t>Urvashi.pandit@lms.org.in</t>
  </si>
  <si>
    <t>Garoru, Nerchowk, Mandi</t>
  </si>
  <si>
    <t>IN-2022005021</t>
  </si>
  <si>
    <t>1451</t>
  </si>
  <si>
    <t>60202</t>
  </si>
  <si>
    <t>0.7414000000000001</t>
  </si>
  <si>
    <t>22028000039175132</t>
  </si>
  <si>
    <t>zcrm_51788000311131049</t>
  </si>
  <si>
    <t>2026-04-28 14:41:54</t>
  </si>
  <si>
    <t>Jari Kullu</t>
  </si>
  <si>
    <t>0, 344009</t>
  </si>
  <si>
    <t>0, 140809</t>
  </si>
  <si>
    <t>IN-2022004585</t>
  </si>
  <si>
    <t>147324</t>
  </si>
  <si>
    <t>2026-09-06 00:00:00</t>
  </si>
  <si>
    <t>2026-12-07 00:00:00</t>
  </si>
  <si>
    <t>22028000038030128</t>
  </si>
  <si>
    <t>zcrm_51788000308801764</t>
  </si>
  <si>
    <t>2026-04-29 17:11:30</t>
  </si>
  <si>
    <t>IN-2022004978</t>
  </si>
  <si>
    <t>206983</t>
  </si>
  <si>
    <t>22028000039006048</t>
  </si>
  <si>
    <t>zcrm_51788000305719133</t>
  </si>
  <si>
    <t>2026-04-29 10:22:49</t>
  </si>
  <si>
    <t>Dharmendra Khandivar</t>
  </si>
  <si>
    <t>Gvschool2@gmail.com</t>
  </si>
  <si>
    <t>+919512577177</t>
  </si>
  <si>
    <t>tanayrshukla@gmail.com</t>
  </si>
  <si>
    <t>LALJAI CHOWAKI, RAJKOT HIGHWAY,</t>
  </si>
  <si>
    <t>114912</t>
  </si>
  <si>
    <t>IN-2022005008</t>
  </si>
  <si>
    <t>87150</t>
  </si>
  <si>
    <t>22028000039126144</t>
  </si>
  <si>
    <t>zcrm_51788000311124001</t>
  </si>
  <si>
    <t>2026-04-27 11:29:18</t>
  </si>
  <si>
    <t>Mrs Mohana Chandrakumar</t>
  </si>
  <si>
    <t>IN-2022004855</t>
  </si>
  <si>
    <t>247497</t>
  </si>
  <si>
    <t>2026-08-24 00:00:00</t>
  </si>
  <si>
    <t>240218</t>
  </si>
  <si>
    <t>2027-06-19 00:00:00</t>
  </si>
  <si>
    <t>22028000038757224</t>
  </si>
  <si>
    <t>zcrm_51788000299329590</t>
  </si>
  <si>
    <t>2026-04-29 10:04:48</t>
  </si>
  <si>
    <t>Ms. Saroj Prasad</t>
  </si>
  <si>
    <t>Dr Saroj prasad</t>
  </si>
  <si>
    <t>svm.cbse.mds1341@gmail.com</t>
  </si>
  <si>
    <t>IN-2022004773, IN-2022004774</t>
  </si>
  <si>
    <t>1605</t>
  </si>
  <si>
    <t>103883, 74618</t>
  </si>
  <si>
    <t>0.4445, 0.6779000000000001</t>
  </si>
  <si>
    <t>2026-06-01 00:00:00, 2026-06-08 00:00:00</t>
  </si>
  <si>
    <t>22028000038500328, 22028000038500364</t>
  </si>
  <si>
    <t>zcrm_51788000308803445, zcrm_51788000308807520</t>
  </si>
  <si>
    <t>hakim.kanchwala_eiindia1, lokesh.mekala_ei</t>
  </si>
  <si>
    <t>2026-04-13 16:09:25, 2026-04-13 16:09:53</t>
  </si>
  <si>
    <t>98617</t>
  </si>
  <si>
    <t>10977</t>
  </si>
  <si>
    <t>0, 42750</t>
  </si>
  <si>
    <t>0, 174020</t>
  </si>
  <si>
    <t>0, 4177</t>
  </si>
  <si>
    <t>116388, 523800</t>
  </si>
  <si>
    <t>100000, 116388</t>
  </si>
  <si>
    <t>0, 41003</t>
  </si>
  <si>
    <t>540028</t>
  </si>
  <si>
    <t>64347, 7425</t>
  </si>
  <si>
    <t>Montfort MHSS</t>
  </si>
  <si>
    <t>IN-2022004387</t>
  </si>
  <si>
    <t>80734</t>
  </si>
  <si>
    <t>122716</t>
  </si>
  <si>
    <t>119487</t>
  </si>
  <si>
    <t>22028000037458296</t>
  </si>
  <si>
    <t>51788000298104496</t>
  </si>
  <si>
    <t>zcrm_51788000303115077</t>
  </si>
  <si>
    <t>2026-04-29 18:39:04</t>
  </si>
  <si>
    <t>Brother Maria joseph</t>
  </si>
  <si>
    <t>montfortmhss@gmail.com</t>
  </si>
  <si>
    <t>+919600709640</t>
  </si>
  <si>
    <t>Mhsp.principal@gmail.com</t>
  </si>
  <si>
    <t>Brother Maria Joseph</t>
  </si>
  <si>
    <t>mhsp.principal@gmail.com</t>
  </si>
  <si>
    <t>+91960070960</t>
  </si>
  <si>
    <t>Roseline</t>
  </si>
  <si>
    <t>+918925197187</t>
  </si>
  <si>
    <t>Rajalakshmi Avenue</t>
  </si>
  <si>
    <t>Montfortvilla</t>
  </si>
  <si>
    <t>20551, 94669</t>
  </si>
  <si>
    <t>KLE Smt. Malutai Shivaputra Shirakoli School, Sankeshwar</t>
  </si>
  <si>
    <t>IN-2022004920</t>
  </si>
  <si>
    <t>Sankeshwar – 591340 Taluk: Hukkeri, District: Belagavi, Karnataka.</t>
  </si>
  <si>
    <t>22028000038863568</t>
  </si>
  <si>
    <t>51788000309865938</t>
  </si>
  <si>
    <t>zcrm_51788000310208170</t>
  </si>
  <si>
    <t>2026-04-27 11:15:55</t>
  </si>
  <si>
    <t>Mr. Basavaraj Kademani</t>
  </si>
  <si>
    <t>kleschoolsankeshwar@gmail.com</t>
  </si>
  <si>
    <t>+919632677575</t>
  </si>
  <si>
    <t>At: Gavanal, Post: Kamatnur, Chikkodi-Gotur Road</t>
  </si>
  <si>
    <t>591340</t>
  </si>
  <si>
    <t>Manav Rachna International School, Mohali</t>
  </si>
  <si>
    <t>2026-04-28 00:00:00</t>
  </si>
  <si>
    <t>IN-2022005031</t>
  </si>
  <si>
    <t>22028000039129520</t>
  </si>
  <si>
    <t>51788000277555414</t>
  </si>
  <si>
    <t>zcrm_51788000304354028</t>
  </si>
  <si>
    <t>2026-04-29 16:33:13</t>
  </si>
  <si>
    <t>Ms. Radhika Gupta</t>
  </si>
  <si>
    <t>principal.mrismohali@mris.edu.in</t>
  </si>
  <si>
    <t>+919098991000</t>
  </si>
  <si>
    <t>+918826026888</t>
  </si>
  <si>
    <t>Block A St, Sector 82, IT City, Sector 82A</t>
  </si>
  <si>
    <t>140308</t>
  </si>
  <si>
    <t>within the Alpha IT City / Gmada Aerocity area.</t>
  </si>
  <si>
    <t>IN-2022004980</t>
  </si>
  <si>
    <t>1459</t>
  </si>
  <si>
    <t>775248</t>
  </si>
  <si>
    <t>798740</t>
  </si>
  <si>
    <t>0.5218</t>
  </si>
  <si>
    <t>22028000039010076</t>
  </si>
  <si>
    <t>zcrm_51788000310906706</t>
  </si>
  <si>
    <t>2026-04-27 11:06:00</t>
  </si>
  <si>
    <t>Ms. Shanti Menon</t>
  </si>
  <si>
    <t>Sunitha</t>
  </si>
  <si>
    <t>Sunitha.Sunil@deensacademy.com</t>
  </si>
  <si>
    <t>Approx 5L</t>
  </si>
  <si>
    <t>approx 2L</t>
  </si>
  <si>
    <t>Management change and no meeting given</t>
  </si>
  <si>
    <t>No response from the school. Extreme customisations done for the school</t>
  </si>
  <si>
    <t>No Inrastructure to support Mindspark Implementation</t>
  </si>
  <si>
    <t>The school conducts both pre- and post-assessments, which increases coordination requirements and requires stricter alignment on timelines and content finalization to ensure smooth execution.There were challenges in ensuring timely paper delivery, primarily because the school did not share the syllabus portion within the required timeline. Additionally, frequent changes in questions from the school’s end led to multiple revisions, further impacting timelines.</t>
  </si>
  <si>
    <t>No reason mentioned</t>
  </si>
  <si>
    <t>Drop School</t>
  </si>
  <si>
    <t>Zone Wise Revenue Loss</t>
  </si>
  <si>
    <t xml:space="preserve">North </t>
  </si>
  <si>
    <t>No of Drop Schools</t>
  </si>
  <si>
    <t>No of Risk Schools</t>
  </si>
  <si>
    <t>Drop Analysis</t>
  </si>
  <si>
    <t>Revenue-Drop Schools</t>
  </si>
  <si>
    <t>Revenue-Risk Schools</t>
  </si>
  <si>
    <t>The school has procured an AI software for making papers and subjective auto-checker, and found us very expensive.</t>
  </si>
  <si>
    <t>No service across the years and not able to get an appointment with the owner.</t>
  </si>
  <si>
    <t>Ei Mindspark Maths Science</t>
  </si>
  <si>
    <t>Already renewed the agreement for AY2025-26 but sent the termination email on 01-May-2026 stating the reason of the school internal policy.  This is a competition hit from Acadally, coupled with multiple Mindspark issues across the years.</t>
  </si>
  <si>
    <t>No usage throughout the year and the owner is not responding to the calls.</t>
  </si>
  <si>
    <t>Dropped ASSET.The school is asking for 20 tests at the price of 16 tests (Rs. 70/- per test).</t>
  </si>
  <si>
    <t>Forecast</t>
  </si>
  <si>
    <t>Total Schools</t>
  </si>
  <si>
    <t xml:space="preserve">Retained </t>
  </si>
  <si>
    <t>Dropped+Risk</t>
  </si>
  <si>
    <t>Remaining</t>
  </si>
  <si>
    <t>Drop+Risk</t>
  </si>
  <si>
    <t>Revenue of total</t>
  </si>
  <si>
    <t>Retention 1</t>
  </si>
  <si>
    <t>Retention 2</t>
  </si>
  <si>
    <t>large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</si>
</sst>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dd\-mmm\-yyyy"/>
    <numFmt numFmtId="165" formatCode="&quot;INR&quot;\ #,##0.00"/>
    <numFmt numFmtId="166" formatCode="0.###############"/>
    <numFmt numFmtId="167" formatCode="dd\ mmm\,\ yyyy\ hh:mm:ss"/>
    <numFmt numFmtId="168" formatCode="0.0##############%"/>
    <numFmt numFmtId="169" formatCode="dd\-mmm\-yyyy\ hh:mm:ss"/>
    <numFmt numFmtId="170" formatCode="0.0"/>
    <numFmt numFmtId="171" formatCode="_(* #,##0_);_(* \(#,##0\);_(* &quot;-&quot;??_);_(@_)"/>
    <numFmt numFmtId="172" formatCode="0.000000"/>
  </numFmts>
  <fonts count="35">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name val="Calibri"/>
      <family val="2"/>
    </font>
    <font>
      <sz val="11"/>
      <color theme="1"/>
      <name val="Calibri"/>
      <family val="2"/>
      <scheme val="minor"/>
    </font>
    <font>
      <sz val="10"/>
      <color rgb="FF000000"/>
      <name val="Arial"/>
      <family val="2"/>
    </font>
    <font>
      <sz val="10"/>
      <color rgb="FF000000"/>
      <name val="Roboto"/>
    </font>
    <font>
      <sz val="18"/>
      <color theme="1"/>
      <name val="Calibri"/>
      <family val="2"/>
      <scheme val="minor"/>
    </font>
    <font>
      <sz val="22"/>
      <color theme="1"/>
      <name val="Calibri"/>
      <family val="2"/>
      <scheme val="minor"/>
    </font>
    <font>
      <sz val="10"/>
      <color rgb="FF000000"/>
      <name val="Calibri"/>
      <family val="2"/>
      <scheme val="minor"/>
    </font>
    <font>
      <sz val="18"/>
      <color rgb="FF000000"/>
      <name val="Arialswiss"/>
    </font>
    <font>
      <sz val="18"/>
      <color rgb="FFE31414"/>
      <name val="Arialswiss"/>
    </font>
    <font>
      <sz val="18"/>
      <color rgb="FF000000"/>
      <name val="Arial"/>
      <family val="2"/>
    </font>
    <font>
      <b/>
      <sz val="18"/>
      <name val="Calibri"/>
      <family val="2"/>
    </font>
    <font>
      <sz val="18"/>
      <color theme="0"/>
      <name val="Calibri"/>
      <family val="2"/>
      <scheme val="minor"/>
    </font>
    <font>
      <sz val="12"/>
      <color rgb="FFFF0000"/>
      <name val="Calibri"/>
      <family val="2"/>
      <scheme val="minor"/>
    </font>
    <font>
      <b/>
      <sz val="12"/>
      <name val="Calibri"/>
      <family val="2"/>
      <scheme val="minor"/>
    </font>
    <font>
      <b/>
      <sz val="10"/>
      <color rgb="FF000000"/>
      <name val="Roboto"/>
    </font>
    <font>
      <sz val="10"/>
      <color theme="1"/>
      <name val="Calibri"/>
      <family val="2"/>
      <scheme val="minor"/>
    </font>
    <font>
      <sz val="11"/>
      <color theme="5"/>
      <name val="Calibri"/>
      <family val="2"/>
      <scheme val="minor"/>
    </font>
    <font>
      <sz val="9"/>
      <color rgb="FF000000"/>
      <name val="Calibri"/>
      <family val="2"/>
      <scheme val="minor"/>
    </font>
    <font>
      <sz val="11"/>
      <color rgb="FF000000"/>
      <name val="Open Sans"/>
    </font>
    <font>
      <sz val="11"/>
      <color rgb="FF000000"/>
      <name val="Lato"/>
    </font>
    <font>
      <sz val="14"/>
      <color rgb="FF000000"/>
      <name val="Calibri"/>
      <family val="2"/>
      <scheme val="minor"/>
    </font>
    <font>
      <b/>
      <sz val="12"/>
      <color rgb="FF000000"/>
      <name val="Calibri"/>
      <family val="2"/>
      <scheme val="minor"/>
    </font>
    <font>
      <sz val="12"/>
      <color rgb="FF000000"/>
      <name val="Calibri"/>
      <family val="2"/>
      <scheme val="minor"/>
    </font>
    <font>
      <sz val="12"/>
      <color rgb="FF24272C"/>
      <name val="Calibri"/>
      <family val="2"/>
      <scheme val="minor"/>
    </font>
    <font>
      <sz val="12"/>
      <color rgb="FF000000"/>
      <name val="Roboto"/>
    </font>
    <font>
      <sz val="18"/>
      <color rgb="FF000000"/>
      <name val="Calibri"/>
      <family val="2"/>
    </font>
    <font>
      <sz val="11"/>
      <color rgb="FF000000"/>
      <name val="Calibri"/>
      <family val="2"/>
      <scheme val="minor"/>
    </font>
    <font>
      <b/>
      <sz val="11"/>
      <color theme="1"/>
      <name val="Calibri"/>
      <family val="2"/>
      <scheme val="minor"/>
    </font>
    <font>
      <sz val="18"/>
      <color rgb="FF00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0"/>
        <bgColor indexed="64"/>
      </patternFill>
    </fill>
    <fill>
      <patternFill patternType="solid">
        <fgColor rgb="FFFFFFFF"/>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rgb="FFC00000"/>
      </left>
      <right/>
      <top style="medium">
        <color rgb="FFC00000"/>
      </top>
      <bottom/>
      <diagonal/>
    </border>
    <border>
      <left style="medium">
        <color rgb="FFC00000"/>
      </left>
      <right/>
      <top/>
      <bottom/>
      <diagonal/>
    </border>
    <border>
      <left style="medium">
        <color rgb="FFC00000"/>
      </left>
      <right/>
      <top/>
      <bottom style="medium">
        <color rgb="FFC00000"/>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9" fontId="7" fillId="0" borderId="0" applyFont="0" applyFill="0" applyBorder="0" applyAlignment="0" applyProtection="0"/>
    <xf numFmtId="43" fontId="7" fillId="0" borderId="0" applyFont="0" applyFill="0" applyBorder="0" applyAlignment="0" applyProtection="0"/>
  </cellStyleXfs>
  <cellXfs count="96">
    <xf numFmtId="0" fontId="0" fillId="0" borderId="0" xfId="0"/>
    <xf numFmtId="0" fontId="6" fillId="0" borderId="1" xfId="0" applyFont="1" applyBorder="1" applyAlignment="1">
      <alignment horizontal="center" vertical="top"/>
    </xf>
    <xf numFmtId="0" fontId="8" fillId="0" borderId="0" xfId="0" applyFont="1"/>
    <xf numFmtId="0" fontId="9" fillId="0" borderId="0" xfId="0" applyFont="1"/>
    <xf numFmtId="0" fontId="0" fillId="0" borderId="0" xfId="0" applyAlignment="1">
      <alignment horizontal="center"/>
    </xf>
    <xf numFmtId="0" fontId="0" fillId="2" borderId="0" xfId="0" applyFill="1"/>
    <xf numFmtId="1"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0" fontId="10" fillId="0" borderId="0" xfId="0" applyFont="1"/>
    <xf numFmtId="0" fontId="11" fillId="0" borderId="0" xfId="0" applyFont="1"/>
    <xf numFmtId="0" fontId="11" fillId="0" borderId="1" xfId="0" applyFont="1" applyBorder="1"/>
    <xf numFmtId="0" fontId="11" fillId="8" borderId="1" xfId="0" applyFont="1" applyFill="1" applyBorder="1"/>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4" borderId="3" xfId="0" applyFont="1" applyFill="1" applyBorder="1"/>
    <xf numFmtId="0" fontId="11" fillId="0" borderId="0" xfId="0" applyFont="1" applyAlignment="1">
      <alignment horizontal="center" vertical="center"/>
    </xf>
    <xf numFmtId="0" fontId="11" fillId="0" borderId="0" xfId="0" applyFont="1" applyAlignment="1">
      <alignment vertical="center" wrapText="1"/>
    </xf>
    <xf numFmtId="0" fontId="11" fillId="0" borderId="0" xfId="0" applyFont="1" applyAlignment="1">
      <alignment vertical="center"/>
    </xf>
    <xf numFmtId="0" fontId="11" fillId="4" borderId="4" xfId="0" applyFont="1" applyFill="1" applyBorder="1"/>
    <xf numFmtId="0" fontId="11" fillId="2" borderId="2" xfId="0" applyFont="1" applyFill="1" applyBorder="1"/>
    <xf numFmtId="0" fontId="11" fillId="2" borderId="0" xfId="0" applyFont="1" applyFill="1"/>
    <xf numFmtId="0" fontId="11" fillId="5" borderId="3" xfId="0" applyFont="1" applyFill="1" applyBorder="1"/>
    <xf numFmtId="0" fontId="11" fillId="5" borderId="4" xfId="0" applyFont="1" applyFill="1" applyBorder="1"/>
    <xf numFmtId="0" fontId="11" fillId="6" borderId="2" xfId="0" applyFont="1" applyFill="1" applyBorder="1"/>
    <xf numFmtId="0" fontId="11" fillId="6" borderId="3" xfId="0" applyFont="1" applyFill="1" applyBorder="1"/>
    <xf numFmtId="0" fontId="11" fillId="6" borderId="4" xfId="0" applyFont="1" applyFill="1" applyBorder="1"/>
    <xf numFmtId="0" fontId="11" fillId="7" borderId="2" xfId="0" applyFont="1" applyFill="1" applyBorder="1"/>
    <xf numFmtId="0" fontId="11" fillId="7" borderId="3" xfId="0" applyFont="1" applyFill="1" applyBorder="1"/>
    <xf numFmtId="0" fontId="11" fillId="7" borderId="4" xfId="0" applyFont="1" applyFill="1" applyBorder="1"/>
    <xf numFmtId="0" fontId="11" fillId="8" borderId="0" xfId="0" applyFont="1" applyFill="1"/>
    <xf numFmtId="0" fontId="12" fillId="0" borderId="0" xfId="0" applyFont="1"/>
    <xf numFmtId="3" fontId="12" fillId="0" borderId="0" xfId="0" applyNumberFormat="1" applyFont="1"/>
    <xf numFmtId="0" fontId="13" fillId="0" borderId="0" xfId="0" applyFont="1"/>
    <xf numFmtId="1" fontId="10" fillId="0" borderId="0" xfId="0" applyNumberFormat="1" applyFont="1"/>
    <xf numFmtId="0" fontId="14" fillId="0" borderId="0" xfId="0" applyFont="1"/>
    <xf numFmtId="9" fontId="10" fillId="0" borderId="0" xfId="1" applyFont="1"/>
    <xf numFmtId="0" fontId="15" fillId="0" borderId="0" xfId="0" applyFont="1"/>
    <xf numFmtId="0" fontId="16" fillId="0" borderId="1" xfId="0" applyFont="1" applyBorder="1" applyAlignment="1">
      <alignment horizontal="center" vertical="top"/>
    </xf>
    <xf numFmtId="0" fontId="10" fillId="2" borderId="0" xfId="0" applyFont="1" applyFill="1"/>
    <xf numFmtId="43" fontId="10" fillId="0" borderId="0" xfId="0" applyNumberFormat="1" applyFont="1"/>
    <xf numFmtId="0" fontId="17" fillId="3" borderId="0" xfId="0" applyFont="1" applyFill="1" applyAlignment="1">
      <alignment horizontal="center"/>
    </xf>
    <xf numFmtId="171" fontId="10" fillId="0" borderId="0" xfId="2" applyNumberFormat="1" applyFont="1"/>
    <xf numFmtId="0" fontId="19" fillId="0" borderId="1" xfId="0" applyFont="1" applyBorder="1" applyAlignment="1">
      <alignment horizontal="center" vertical="top"/>
    </xf>
    <xf numFmtId="0" fontId="19" fillId="4" borderId="1" xfId="0" applyFont="1" applyFill="1" applyBorder="1" applyAlignment="1">
      <alignment horizontal="center" vertical="top"/>
    </xf>
    <xf numFmtId="0" fontId="5" fillId="0" borderId="0" xfId="0" applyFont="1"/>
    <xf numFmtId="0" fontId="5" fillId="4" borderId="0" xfId="0" applyFont="1" applyFill="1"/>
    <xf numFmtId="0" fontId="18" fillId="0" borderId="0" xfId="0" applyFont="1"/>
    <xf numFmtId="0" fontId="5" fillId="2" borderId="0" xfId="0" applyFont="1" applyFill="1"/>
    <xf numFmtId="0" fontId="20" fillId="0" borderId="0" xfId="0" applyFont="1"/>
    <xf numFmtId="0" fontId="21" fillId="0" borderId="0" xfId="0" applyFont="1"/>
    <xf numFmtId="0" fontId="21" fillId="0" borderId="0" xfId="0" applyFont="1" applyAlignment="1">
      <alignment wrapText="1"/>
    </xf>
    <xf numFmtId="0" fontId="22" fillId="0" borderId="0" xfId="0" applyFont="1"/>
    <xf numFmtId="0" fontId="4" fillId="0" borderId="0" xfId="0" applyFont="1"/>
    <xf numFmtId="0" fontId="4" fillId="2" borderId="0" xfId="0" applyFont="1" applyFill="1" applyAlignment="1">
      <alignment horizontal="center"/>
    </xf>
    <xf numFmtId="0" fontId="23" fillId="0" borderId="0" xfId="0" applyFont="1"/>
    <xf numFmtId="3" fontId="9" fillId="0" borderId="0" xfId="0" applyNumberFormat="1" applyFont="1"/>
    <xf numFmtId="0" fontId="24" fillId="0" borderId="0" xfId="0" applyFont="1"/>
    <xf numFmtId="3" fontId="24" fillId="0" borderId="0" xfId="0" applyNumberFormat="1" applyFont="1"/>
    <xf numFmtId="0" fontId="26" fillId="0" borderId="0" xfId="0" applyFont="1"/>
    <xf numFmtId="3" fontId="25" fillId="0" borderId="0" xfId="0" applyNumberFormat="1" applyFont="1"/>
    <xf numFmtId="0" fontId="4" fillId="0" borderId="0" xfId="0" applyFont="1" applyAlignment="1">
      <alignment wrapText="1"/>
    </xf>
    <xf numFmtId="0" fontId="27" fillId="0" borderId="0" xfId="0" applyFont="1"/>
    <xf numFmtId="0" fontId="27" fillId="0" borderId="0" xfId="0" applyFont="1" applyAlignment="1">
      <alignment wrapText="1"/>
    </xf>
    <xf numFmtId="0" fontId="28" fillId="0" borderId="0" xfId="0" applyFont="1"/>
    <xf numFmtId="3" fontId="28" fillId="0" borderId="0" xfId="0" applyNumberFormat="1" applyFont="1"/>
    <xf numFmtId="0" fontId="29" fillId="0" borderId="0" xfId="0" applyFont="1"/>
    <xf numFmtId="0" fontId="30" fillId="0" borderId="0" xfId="0" applyFont="1"/>
    <xf numFmtId="3" fontId="30" fillId="0" borderId="0" xfId="0" applyNumberFormat="1" applyFont="1"/>
    <xf numFmtId="0" fontId="31" fillId="9" borderId="6" xfId="0" applyFont="1" applyFill="1" applyBorder="1" applyAlignment="1">
      <alignment horizontal="center" vertical="top" wrapText="1" readingOrder="1"/>
    </xf>
    <xf numFmtId="170" fontId="10" fillId="0" borderId="0" xfId="0" applyNumberFormat="1" applyFont="1"/>
    <xf numFmtId="0" fontId="9" fillId="2" borderId="0" xfId="0" applyFont="1" applyFill="1"/>
    <xf numFmtId="0" fontId="23" fillId="2" borderId="0" xfId="0" applyFont="1" applyFill="1"/>
    <xf numFmtId="172" fontId="0" fillId="0" borderId="0" xfId="0" applyNumberFormat="1"/>
    <xf numFmtId="0" fontId="32" fillId="0" borderId="0" xfId="0" applyFont="1"/>
    <xf numFmtId="0" fontId="3" fillId="0" borderId="0" xfId="0" applyFont="1"/>
    <xf numFmtId="0" fontId="33" fillId="0" borderId="0" xfId="0" applyFont="1"/>
    <xf numFmtId="9" fontId="0" fillId="0" borderId="0" xfId="1" applyFont="1"/>
    <xf numFmtId="0" fontId="2" fillId="0" borderId="0" xfId="0" applyFont="1"/>
    <xf numFmtId="0" fontId="34" fillId="0" borderId="0" xfId="0" applyFont="1"/>
    <xf numFmtId="0" fontId="11" fillId="0" borderId="1" xfId="0" applyFont="1" applyBorder="1" applyAlignment="1">
      <alignment horizontal="center" vertical="center"/>
    </xf>
    <xf numFmtId="0" fontId="11" fillId="0" borderId="5" xfId="0" applyFont="1" applyBorder="1" applyAlignment="1">
      <alignment horizontal="center" vertical="center" wrapText="1"/>
    </xf>
    <xf numFmtId="0" fontId="11" fillId="8" borderId="1" xfId="0" applyFont="1" applyFill="1" applyBorder="1" applyAlignment="1">
      <alignment horizontal="center" wrapText="1"/>
    </xf>
    <xf numFmtId="0" fontId="11" fillId="8" borderId="5" xfId="0" applyFont="1" applyFill="1" applyBorder="1" applyAlignment="1">
      <alignment horizontal="center" wrapText="1"/>
    </xf>
    <xf numFmtId="0" fontId="11" fillId="0" borderId="1" xfId="0" applyFont="1" applyBorder="1" applyAlignment="1">
      <alignment horizontal="center" vertical="center" wrapText="1"/>
    </xf>
    <xf numFmtId="0" fontId="11" fillId="8" borderId="1" xfId="0" applyFont="1" applyFill="1" applyBorder="1" applyAlignment="1">
      <alignment horizontal="center" vertical="center" wrapText="1"/>
    </xf>
    <xf numFmtId="0" fontId="11" fillId="8" borderId="1" xfId="0" applyFont="1" applyFill="1" applyBorder="1" applyAlignment="1">
      <alignment horizontal="center"/>
    </xf>
    <xf numFmtId="0" fontId="11" fillId="0" borderId="5" xfId="0" applyFont="1" applyBorder="1" applyAlignment="1">
      <alignment horizontal="center" vertical="center"/>
    </xf>
    <xf numFmtId="0" fontId="10" fillId="0" borderId="0" xfId="0" applyFont="1" applyAlignment="1">
      <alignment horizontal="center"/>
    </xf>
    <xf numFmtId="0" fontId="4" fillId="2" borderId="0" xfId="0" applyFont="1" applyFill="1" applyAlignment="1">
      <alignment horizontal="center"/>
    </xf>
    <xf numFmtId="0" fontId="1" fillId="0" borderId="0" xfId="0" applyFont="1"/>
  </cellXfs>
  <cellStyles count="3">
    <cellStyle name="Comma" xfId="2" builtinId="3"/>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547"/>
  <sheetViews>
    <sheetView topLeftCell="BS161" workbookViewId="0">
      <selection activeCell="CS254" sqref="CS254"/>
    </sheetView>
  </sheetViews>
  <sheetFormatPr baseColWidth="10" defaultColWidth="8.83203125" defaultRowHeight="15"/>
  <cols>
    <col min="1" max="1" width="17" customWidth="1"/>
    <col min="3" max="3" width="63.6640625" bestFit="1" customWidth="1"/>
    <col min="4" max="4" width="29.33203125" customWidth="1"/>
    <col min="5" max="5" width="30" style="4" customWidth="1"/>
    <col min="7" max="7" width="21" customWidth="1"/>
  </cols>
  <sheetData>
    <row r="1" spans="1:95">
      <c r="A1" s="1" t="s">
        <v>0</v>
      </c>
      <c r="B1" s="1" t="s">
        <v>1</v>
      </c>
      <c r="C1" s="1" t="s">
        <v>2</v>
      </c>
      <c r="D1" s="1" t="s">
        <v>24861</v>
      </c>
      <c r="E1" s="1" t="s">
        <v>23439</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row>
    <row r="2" spans="1:95">
      <c r="A2" t="s">
        <v>93</v>
      </c>
      <c r="B2">
        <v>1002463</v>
      </c>
      <c r="C2" t="s">
        <v>94</v>
      </c>
      <c r="D2" t="str">
        <f>VLOOKUP(B2,'2025'!B:C,2,0)</f>
        <v>Vaishali</v>
      </c>
      <c r="F2" t="s">
        <v>95</v>
      </c>
      <c r="G2" t="s">
        <v>96</v>
      </c>
      <c r="H2" t="s">
        <v>97</v>
      </c>
      <c r="I2" t="s">
        <v>98</v>
      </c>
      <c r="J2" t="s">
        <v>99</v>
      </c>
      <c r="K2" t="s">
        <v>100</v>
      </c>
      <c r="L2">
        <v>267000</v>
      </c>
      <c r="M2">
        <v>267000</v>
      </c>
      <c r="N2">
        <v>267000</v>
      </c>
      <c r="O2">
        <v>356</v>
      </c>
      <c r="P2" t="s">
        <v>101</v>
      </c>
      <c r="Q2">
        <v>0</v>
      </c>
      <c r="R2">
        <v>0</v>
      </c>
      <c r="T2">
        <v>0</v>
      </c>
      <c r="U2">
        <v>0</v>
      </c>
      <c r="W2" t="s">
        <v>102</v>
      </c>
      <c r="X2" t="s">
        <v>103</v>
      </c>
      <c r="Y2" t="s">
        <v>104</v>
      </c>
      <c r="AA2" t="s">
        <v>105</v>
      </c>
      <c r="AB2" t="s">
        <v>106</v>
      </c>
      <c r="AC2" t="s">
        <v>107</v>
      </c>
      <c r="AD2" t="s">
        <v>108</v>
      </c>
      <c r="AE2" t="s">
        <v>109</v>
      </c>
      <c r="AF2" t="s">
        <v>102</v>
      </c>
      <c r="AG2" t="s">
        <v>109</v>
      </c>
      <c r="AH2" t="s">
        <v>102</v>
      </c>
      <c r="AI2" t="s">
        <v>110</v>
      </c>
      <c r="AJ2" t="s">
        <v>111</v>
      </c>
      <c r="AK2" t="s">
        <v>112</v>
      </c>
      <c r="AL2" t="s">
        <v>113</v>
      </c>
      <c r="AM2" t="s">
        <v>114</v>
      </c>
      <c r="AN2" t="s">
        <v>115</v>
      </c>
      <c r="AO2" t="s">
        <v>116</v>
      </c>
      <c r="AP2" t="s">
        <v>116</v>
      </c>
      <c r="AU2" t="s">
        <v>117</v>
      </c>
      <c r="AV2" t="s">
        <v>118</v>
      </c>
      <c r="AW2" t="s">
        <v>102</v>
      </c>
      <c r="AX2" t="s">
        <v>119</v>
      </c>
      <c r="BB2" t="s">
        <v>120</v>
      </c>
      <c r="BC2" t="s">
        <v>121</v>
      </c>
      <c r="BD2" t="s">
        <v>121</v>
      </c>
      <c r="BE2" t="s">
        <v>122</v>
      </c>
      <c r="BF2" t="s">
        <v>123</v>
      </c>
      <c r="BG2" t="s">
        <v>124</v>
      </c>
      <c r="BH2" t="s">
        <v>125</v>
      </c>
      <c r="BI2" t="s">
        <v>126</v>
      </c>
      <c r="BJ2" t="s">
        <v>127</v>
      </c>
      <c r="BK2" t="s">
        <v>128</v>
      </c>
      <c r="BL2" t="s">
        <v>129</v>
      </c>
      <c r="BM2" t="s">
        <v>130</v>
      </c>
      <c r="BN2" t="s">
        <v>96</v>
      </c>
      <c r="BO2" t="s">
        <v>131</v>
      </c>
      <c r="BP2" t="s">
        <v>132</v>
      </c>
      <c r="BQ2" t="s">
        <v>133</v>
      </c>
      <c r="BR2" t="s">
        <v>134</v>
      </c>
      <c r="BS2" t="s">
        <v>135</v>
      </c>
      <c r="BU2" t="s">
        <v>136</v>
      </c>
      <c r="BV2" t="s">
        <v>137</v>
      </c>
      <c r="BW2" t="s">
        <v>138</v>
      </c>
      <c r="BX2" t="s">
        <v>139</v>
      </c>
      <c r="BY2" t="s">
        <v>140</v>
      </c>
      <c r="BZ2" t="s">
        <v>141</v>
      </c>
      <c r="CA2" t="s">
        <v>137</v>
      </c>
      <c r="CB2" t="s">
        <v>139</v>
      </c>
      <c r="CC2" t="s">
        <v>140</v>
      </c>
      <c r="CD2" t="s">
        <v>142</v>
      </c>
      <c r="CE2" t="s">
        <v>143</v>
      </c>
      <c r="CF2" t="s">
        <v>144</v>
      </c>
      <c r="CG2" t="s">
        <v>145</v>
      </c>
      <c r="CH2" t="s">
        <v>146</v>
      </c>
      <c r="CJ2" t="s">
        <v>147</v>
      </c>
      <c r="CK2" t="s">
        <v>146</v>
      </c>
      <c r="CL2" t="s">
        <v>121</v>
      </c>
      <c r="CM2" t="s">
        <v>121</v>
      </c>
      <c r="CN2" t="s">
        <v>147</v>
      </c>
      <c r="CO2" t="s">
        <v>148</v>
      </c>
      <c r="CP2" t="s">
        <v>146</v>
      </c>
      <c r="CQ2" t="s">
        <v>146</v>
      </c>
    </row>
    <row r="3" spans="1:95">
      <c r="A3" t="s">
        <v>149</v>
      </c>
      <c r="B3">
        <v>1016619</v>
      </c>
      <c r="C3" t="s">
        <v>150</v>
      </c>
      <c r="D3" t="str">
        <f>VLOOKUP(B3,'2025'!B:C,2,0)</f>
        <v>Lopamudra Das</v>
      </c>
      <c r="F3" t="s">
        <v>95</v>
      </c>
      <c r="G3" t="s">
        <v>151</v>
      </c>
      <c r="H3" t="s">
        <v>152</v>
      </c>
      <c r="I3" t="s">
        <v>98</v>
      </c>
      <c r="J3" t="s">
        <v>153</v>
      </c>
      <c r="K3" t="s">
        <v>100</v>
      </c>
      <c r="L3">
        <v>1014560</v>
      </c>
      <c r="M3">
        <v>1014560</v>
      </c>
      <c r="N3">
        <v>0</v>
      </c>
      <c r="O3">
        <v>0</v>
      </c>
      <c r="Q3">
        <v>1014560</v>
      </c>
      <c r="R3">
        <v>1166</v>
      </c>
      <c r="S3" t="s">
        <v>154</v>
      </c>
      <c r="T3">
        <v>0</v>
      </c>
      <c r="U3">
        <v>0</v>
      </c>
      <c r="W3" t="s">
        <v>102</v>
      </c>
      <c r="X3" t="s">
        <v>103</v>
      </c>
      <c r="Y3" t="s">
        <v>155</v>
      </c>
      <c r="AA3" t="s">
        <v>156</v>
      </c>
      <c r="AB3" t="s">
        <v>157</v>
      </c>
      <c r="AC3" t="s">
        <v>158</v>
      </c>
      <c r="AD3" t="s">
        <v>157</v>
      </c>
      <c r="AE3" t="s">
        <v>159</v>
      </c>
      <c r="AF3" t="s">
        <v>157</v>
      </c>
      <c r="AG3" t="s">
        <v>160</v>
      </c>
      <c r="AH3" t="s">
        <v>157</v>
      </c>
      <c r="AI3" t="s">
        <v>161</v>
      </c>
      <c r="AJ3" t="s">
        <v>162</v>
      </c>
      <c r="AK3" t="s">
        <v>163</v>
      </c>
      <c r="AL3" t="s">
        <v>164</v>
      </c>
      <c r="AM3" t="s">
        <v>165</v>
      </c>
      <c r="AN3" t="s">
        <v>166</v>
      </c>
      <c r="AO3" t="s">
        <v>167</v>
      </c>
      <c r="AP3" t="s">
        <v>168</v>
      </c>
      <c r="AT3" t="s">
        <v>169</v>
      </c>
      <c r="AU3" t="s">
        <v>102</v>
      </c>
      <c r="AW3" t="s">
        <v>104</v>
      </c>
      <c r="AX3" t="s">
        <v>119</v>
      </c>
      <c r="AY3" t="s">
        <v>170</v>
      </c>
      <c r="AZ3" t="s">
        <v>118</v>
      </c>
      <c r="BB3" t="s">
        <v>171</v>
      </c>
      <c r="BC3" t="s">
        <v>172</v>
      </c>
      <c r="BD3" t="s">
        <v>173</v>
      </c>
      <c r="BE3" t="s">
        <v>174</v>
      </c>
      <c r="BF3" t="s">
        <v>173</v>
      </c>
      <c r="BG3" t="s">
        <v>124</v>
      </c>
      <c r="BH3" t="s">
        <v>175</v>
      </c>
      <c r="BI3" t="s">
        <v>126</v>
      </c>
      <c r="BJ3" t="s">
        <v>127</v>
      </c>
      <c r="BK3" t="s">
        <v>176</v>
      </c>
      <c r="BL3" t="s">
        <v>177</v>
      </c>
      <c r="BM3" t="s">
        <v>178</v>
      </c>
      <c r="BN3" t="s">
        <v>151</v>
      </c>
      <c r="BO3" t="s">
        <v>179</v>
      </c>
      <c r="BP3" t="s">
        <v>180</v>
      </c>
      <c r="BQ3" t="s">
        <v>181</v>
      </c>
      <c r="BR3" t="s">
        <v>182</v>
      </c>
      <c r="BS3" t="s">
        <v>183</v>
      </c>
      <c r="BU3" t="s">
        <v>184</v>
      </c>
      <c r="BV3" t="s">
        <v>185</v>
      </c>
      <c r="BW3" t="s">
        <v>138</v>
      </c>
      <c r="BX3" t="s">
        <v>186</v>
      </c>
      <c r="BY3" t="s">
        <v>187</v>
      </c>
      <c r="BZ3" t="s">
        <v>186</v>
      </c>
      <c r="CG3" t="s">
        <v>102</v>
      </c>
      <c r="CH3" t="s">
        <v>188</v>
      </c>
      <c r="CJ3" t="s">
        <v>189</v>
      </c>
      <c r="CK3" t="s">
        <v>188</v>
      </c>
      <c r="CL3" t="s">
        <v>172</v>
      </c>
      <c r="CM3" t="s">
        <v>173</v>
      </c>
      <c r="CN3" t="s">
        <v>189</v>
      </c>
      <c r="CO3" t="s">
        <v>190</v>
      </c>
      <c r="CP3" t="s">
        <v>188</v>
      </c>
      <c r="CQ3" t="s">
        <v>188</v>
      </c>
    </row>
    <row r="4" spans="1:95">
      <c r="A4" t="s">
        <v>149</v>
      </c>
      <c r="B4">
        <v>1019428</v>
      </c>
      <c r="C4" t="s">
        <v>191</v>
      </c>
      <c r="F4" t="s">
        <v>95</v>
      </c>
      <c r="G4" t="s">
        <v>192</v>
      </c>
      <c r="H4" t="s">
        <v>193</v>
      </c>
      <c r="I4" t="s">
        <v>98</v>
      </c>
      <c r="J4" t="s">
        <v>194</v>
      </c>
      <c r="K4" t="s">
        <v>100</v>
      </c>
      <c r="L4">
        <v>674546</v>
      </c>
      <c r="M4">
        <v>750348</v>
      </c>
      <c r="N4">
        <v>253424</v>
      </c>
      <c r="O4">
        <v>815</v>
      </c>
      <c r="P4" t="s">
        <v>195</v>
      </c>
      <c r="Q4">
        <v>0</v>
      </c>
      <c r="R4">
        <v>0</v>
      </c>
      <c r="T4">
        <v>421122</v>
      </c>
      <c r="U4">
        <v>828</v>
      </c>
      <c r="V4" t="s">
        <v>196</v>
      </c>
      <c r="W4" t="s">
        <v>102</v>
      </c>
      <c r="X4" t="s">
        <v>103</v>
      </c>
      <c r="Y4" t="s">
        <v>104</v>
      </c>
      <c r="AA4" t="s">
        <v>197</v>
      </c>
      <c r="AB4" t="s">
        <v>198</v>
      </c>
      <c r="AC4" t="s">
        <v>199</v>
      </c>
      <c r="AD4" t="s">
        <v>198</v>
      </c>
      <c r="AE4" t="s">
        <v>109</v>
      </c>
      <c r="AF4" t="s">
        <v>102</v>
      </c>
      <c r="AG4" t="s">
        <v>109</v>
      </c>
      <c r="AH4" t="s">
        <v>102</v>
      </c>
      <c r="AI4" t="s">
        <v>200</v>
      </c>
      <c r="AJ4" t="s">
        <v>201</v>
      </c>
      <c r="AK4" t="s">
        <v>202</v>
      </c>
      <c r="AL4" t="s">
        <v>203</v>
      </c>
      <c r="AM4" t="s">
        <v>204</v>
      </c>
      <c r="AN4" t="s">
        <v>205</v>
      </c>
      <c r="AO4" t="s">
        <v>206</v>
      </c>
      <c r="AP4" t="s">
        <v>206</v>
      </c>
      <c r="AU4" t="s">
        <v>207</v>
      </c>
      <c r="AV4" t="s">
        <v>118</v>
      </c>
      <c r="AW4" t="s">
        <v>102</v>
      </c>
      <c r="AX4" t="s">
        <v>119</v>
      </c>
      <c r="BA4" t="s">
        <v>208</v>
      </c>
      <c r="BB4" t="s">
        <v>209</v>
      </c>
      <c r="BC4" t="s">
        <v>210</v>
      </c>
      <c r="BD4" t="s">
        <v>211</v>
      </c>
      <c r="BE4" t="s">
        <v>212</v>
      </c>
      <c r="BF4" t="s">
        <v>213</v>
      </c>
      <c r="BG4" t="s">
        <v>124</v>
      </c>
      <c r="BH4" t="s">
        <v>214</v>
      </c>
      <c r="BI4" t="s">
        <v>215</v>
      </c>
      <c r="BJ4" t="s">
        <v>127</v>
      </c>
      <c r="BK4" t="s">
        <v>216</v>
      </c>
      <c r="BL4" t="s">
        <v>217</v>
      </c>
      <c r="BM4" t="s">
        <v>218</v>
      </c>
      <c r="BN4" t="s">
        <v>192</v>
      </c>
      <c r="BO4" t="s">
        <v>219</v>
      </c>
      <c r="BP4" t="s">
        <v>180</v>
      </c>
      <c r="BQ4" t="s">
        <v>220</v>
      </c>
      <c r="BR4" t="s">
        <v>221</v>
      </c>
      <c r="BS4" t="s">
        <v>222</v>
      </c>
      <c r="BU4" t="s">
        <v>223</v>
      </c>
      <c r="BV4" t="s">
        <v>224</v>
      </c>
      <c r="BX4" t="s">
        <v>225</v>
      </c>
      <c r="BY4" t="s">
        <v>226</v>
      </c>
      <c r="BZ4" t="s">
        <v>227</v>
      </c>
      <c r="CG4" t="s">
        <v>102</v>
      </c>
      <c r="CH4" t="s">
        <v>228</v>
      </c>
      <c r="CJ4" t="s">
        <v>229</v>
      </c>
      <c r="CK4" t="s">
        <v>228</v>
      </c>
      <c r="CL4" t="s">
        <v>210</v>
      </c>
      <c r="CM4" t="s">
        <v>211</v>
      </c>
      <c r="CN4" t="s">
        <v>229</v>
      </c>
      <c r="CO4" t="s">
        <v>230</v>
      </c>
      <c r="CP4" t="s">
        <v>228</v>
      </c>
      <c r="CQ4" t="s">
        <v>228</v>
      </c>
    </row>
    <row r="5" spans="1:95">
      <c r="A5" t="s">
        <v>149</v>
      </c>
      <c r="B5">
        <v>1021816</v>
      </c>
      <c r="C5" t="s">
        <v>231</v>
      </c>
      <c r="D5" t="str">
        <f>VLOOKUP(B5,'2025'!B:C,2,0)</f>
        <v>Tanya</v>
      </c>
      <c r="F5" t="s">
        <v>95</v>
      </c>
      <c r="G5" t="s">
        <v>232</v>
      </c>
      <c r="H5" t="s">
        <v>233</v>
      </c>
      <c r="I5" t="s">
        <v>98</v>
      </c>
      <c r="J5" t="s">
        <v>234</v>
      </c>
      <c r="K5" t="s">
        <v>100</v>
      </c>
      <c r="L5">
        <v>344761</v>
      </c>
      <c r="M5">
        <v>371278</v>
      </c>
      <c r="N5">
        <v>46902</v>
      </c>
      <c r="O5">
        <v>79</v>
      </c>
      <c r="P5" t="s">
        <v>235</v>
      </c>
      <c r="Q5">
        <v>150542</v>
      </c>
      <c r="R5">
        <v>79</v>
      </c>
      <c r="S5" t="s">
        <v>236</v>
      </c>
      <c r="T5">
        <v>147317</v>
      </c>
      <c r="U5">
        <v>79</v>
      </c>
      <c r="V5" t="s">
        <v>237</v>
      </c>
      <c r="W5" t="s">
        <v>102</v>
      </c>
      <c r="X5" t="s">
        <v>103</v>
      </c>
      <c r="Y5" t="s">
        <v>155</v>
      </c>
      <c r="AA5" t="s">
        <v>238</v>
      </c>
      <c r="AB5" t="s">
        <v>239</v>
      </c>
      <c r="AC5" t="s">
        <v>197</v>
      </c>
      <c r="AD5" t="s">
        <v>239</v>
      </c>
      <c r="AE5" t="s">
        <v>240</v>
      </c>
      <c r="AF5" t="s">
        <v>239</v>
      </c>
      <c r="AG5" t="s">
        <v>160</v>
      </c>
      <c r="AH5" t="s">
        <v>239</v>
      </c>
      <c r="AI5" t="s">
        <v>102</v>
      </c>
      <c r="AJ5" t="s">
        <v>241</v>
      </c>
      <c r="AK5" t="s">
        <v>242</v>
      </c>
      <c r="AL5" t="s">
        <v>243</v>
      </c>
      <c r="AM5" t="s">
        <v>244</v>
      </c>
      <c r="AN5" t="s">
        <v>245</v>
      </c>
      <c r="AO5" t="s">
        <v>246</v>
      </c>
      <c r="AP5" t="s">
        <v>246</v>
      </c>
      <c r="AU5" t="s">
        <v>247</v>
      </c>
      <c r="AV5" t="s">
        <v>118</v>
      </c>
      <c r="AW5" t="s">
        <v>248</v>
      </c>
      <c r="AX5" t="s">
        <v>249</v>
      </c>
      <c r="AZ5" t="s">
        <v>250</v>
      </c>
      <c r="BA5" t="s">
        <v>250</v>
      </c>
      <c r="BB5" t="s">
        <v>171</v>
      </c>
      <c r="BC5" t="s">
        <v>251</v>
      </c>
      <c r="BD5" t="s">
        <v>252</v>
      </c>
      <c r="BE5" t="s">
        <v>122</v>
      </c>
      <c r="BF5" t="s">
        <v>253</v>
      </c>
      <c r="BG5" t="s">
        <v>124</v>
      </c>
      <c r="BH5" t="s">
        <v>232</v>
      </c>
      <c r="BI5" t="s">
        <v>126</v>
      </c>
      <c r="BJ5" t="s">
        <v>127</v>
      </c>
      <c r="BK5" t="s">
        <v>254</v>
      </c>
      <c r="BL5" t="s">
        <v>255</v>
      </c>
      <c r="BM5" t="s">
        <v>256</v>
      </c>
      <c r="BN5" t="s">
        <v>232</v>
      </c>
      <c r="BO5" t="s">
        <v>257</v>
      </c>
      <c r="BP5" t="s">
        <v>258</v>
      </c>
      <c r="BQ5" t="s">
        <v>259</v>
      </c>
      <c r="BR5" t="s">
        <v>260</v>
      </c>
      <c r="BS5" t="s">
        <v>261</v>
      </c>
      <c r="BU5" t="s">
        <v>262</v>
      </c>
      <c r="BV5" t="s">
        <v>263</v>
      </c>
      <c r="BW5" t="s">
        <v>138</v>
      </c>
      <c r="BX5" t="s">
        <v>264</v>
      </c>
      <c r="BY5" t="s">
        <v>265</v>
      </c>
      <c r="BZ5" t="s">
        <v>264</v>
      </c>
      <c r="CA5" t="s">
        <v>263</v>
      </c>
      <c r="CB5" t="s">
        <v>264</v>
      </c>
      <c r="CC5" t="s">
        <v>265</v>
      </c>
      <c r="CD5" t="s">
        <v>266</v>
      </c>
      <c r="CE5" t="s">
        <v>267</v>
      </c>
      <c r="CF5" t="s">
        <v>268</v>
      </c>
      <c r="CG5" t="s">
        <v>102</v>
      </c>
      <c r="CH5" t="s">
        <v>269</v>
      </c>
      <c r="CJ5" t="s">
        <v>270</v>
      </c>
      <c r="CK5" t="s">
        <v>269</v>
      </c>
      <c r="CL5" t="s">
        <v>251</v>
      </c>
      <c r="CM5" t="s">
        <v>252</v>
      </c>
      <c r="CN5" t="s">
        <v>270</v>
      </c>
      <c r="CP5" t="s">
        <v>269</v>
      </c>
      <c r="CQ5" t="s">
        <v>269</v>
      </c>
    </row>
    <row r="6" spans="1:95">
      <c r="A6" t="s">
        <v>149</v>
      </c>
      <c r="B6">
        <v>10251</v>
      </c>
      <c r="C6" t="s">
        <v>271</v>
      </c>
      <c r="F6" t="s">
        <v>95</v>
      </c>
      <c r="G6" t="s">
        <v>272</v>
      </c>
      <c r="H6" t="s">
        <v>152</v>
      </c>
      <c r="I6" t="s">
        <v>98</v>
      </c>
      <c r="J6" t="s">
        <v>273</v>
      </c>
      <c r="K6" t="s">
        <v>100</v>
      </c>
      <c r="L6">
        <v>904469</v>
      </c>
      <c r="M6">
        <v>904469</v>
      </c>
      <c r="N6">
        <v>0</v>
      </c>
      <c r="O6">
        <v>0</v>
      </c>
      <c r="Q6">
        <v>904469</v>
      </c>
      <c r="R6">
        <v>729</v>
      </c>
      <c r="S6" t="s">
        <v>274</v>
      </c>
      <c r="T6">
        <v>0</v>
      </c>
      <c r="U6">
        <v>0</v>
      </c>
      <c r="W6" t="s">
        <v>102</v>
      </c>
      <c r="X6" t="s">
        <v>275</v>
      </c>
      <c r="Z6" t="s">
        <v>276</v>
      </c>
      <c r="AA6" t="s">
        <v>109</v>
      </c>
      <c r="AB6" t="s">
        <v>102</v>
      </c>
      <c r="AC6" t="s">
        <v>109</v>
      </c>
      <c r="AD6" t="s">
        <v>102</v>
      </c>
      <c r="AE6" t="s">
        <v>109</v>
      </c>
      <c r="AF6" t="s">
        <v>102</v>
      </c>
      <c r="AG6" t="s">
        <v>109</v>
      </c>
      <c r="AH6" t="s">
        <v>102</v>
      </c>
      <c r="AI6" t="s">
        <v>277</v>
      </c>
      <c r="AJ6" t="s">
        <v>105</v>
      </c>
      <c r="AK6" t="s">
        <v>105</v>
      </c>
      <c r="AL6" t="s">
        <v>278</v>
      </c>
      <c r="AM6" t="s">
        <v>279</v>
      </c>
      <c r="AN6" t="s">
        <v>280</v>
      </c>
      <c r="AO6" t="s">
        <v>281</v>
      </c>
      <c r="AP6" t="s">
        <v>282</v>
      </c>
      <c r="AQ6" t="s">
        <v>169</v>
      </c>
      <c r="AU6" t="s">
        <v>102</v>
      </c>
      <c r="AW6" t="s">
        <v>283</v>
      </c>
      <c r="AX6" t="s">
        <v>119</v>
      </c>
      <c r="AZ6" t="s">
        <v>250</v>
      </c>
      <c r="BB6" t="s">
        <v>171</v>
      </c>
      <c r="BC6" t="s">
        <v>284</v>
      </c>
      <c r="BD6" t="s">
        <v>285</v>
      </c>
      <c r="BE6" t="s">
        <v>212</v>
      </c>
      <c r="BF6" t="s">
        <v>286</v>
      </c>
      <c r="BG6" t="s">
        <v>124</v>
      </c>
      <c r="BH6" t="s">
        <v>214</v>
      </c>
      <c r="BI6" t="s">
        <v>126</v>
      </c>
      <c r="BJ6" t="s">
        <v>127</v>
      </c>
      <c r="BK6" t="s">
        <v>287</v>
      </c>
      <c r="BL6" t="s">
        <v>288</v>
      </c>
      <c r="BM6" t="s">
        <v>289</v>
      </c>
      <c r="BN6" t="s">
        <v>272</v>
      </c>
      <c r="BO6" t="s">
        <v>290</v>
      </c>
      <c r="BP6" t="s">
        <v>132</v>
      </c>
      <c r="BQ6" t="s">
        <v>291</v>
      </c>
      <c r="BR6" t="s">
        <v>292</v>
      </c>
      <c r="BS6" t="s">
        <v>293</v>
      </c>
      <c r="BU6" t="s">
        <v>294</v>
      </c>
      <c r="BV6" t="s">
        <v>295</v>
      </c>
      <c r="BW6" t="s">
        <v>296</v>
      </c>
      <c r="BX6" t="s">
        <v>297</v>
      </c>
      <c r="BY6" t="s">
        <v>298</v>
      </c>
      <c r="CA6" t="s">
        <v>299</v>
      </c>
      <c r="CB6" t="s">
        <v>300</v>
      </c>
      <c r="CD6" t="s">
        <v>301</v>
      </c>
      <c r="CE6" t="s">
        <v>302</v>
      </c>
      <c r="CF6" t="s">
        <v>303</v>
      </c>
      <c r="CG6" t="s">
        <v>102</v>
      </c>
      <c r="CH6" t="s">
        <v>304</v>
      </c>
      <c r="CJ6" t="s">
        <v>305</v>
      </c>
      <c r="CK6" t="s">
        <v>304</v>
      </c>
      <c r="CL6" t="s">
        <v>284</v>
      </c>
      <c r="CM6" t="s">
        <v>285</v>
      </c>
      <c r="CN6" t="s">
        <v>305</v>
      </c>
      <c r="CO6" t="s">
        <v>306</v>
      </c>
      <c r="CP6" t="s">
        <v>307</v>
      </c>
      <c r="CQ6" t="s">
        <v>307</v>
      </c>
    </row>
    <row r="7" spans="1:95">
      <c r="A7" t="s">
        <v>93</v>
      </c>
      <c r="B7">
        <v>1026343</v>
      </c>
      <c r="C7" t="s">
        <v>308</v>
      </c>
      <c r="D7" t="str">
        <f>VLOOKUP(B7,'2025'!B:C,2,0)</f>
        <v>Bhavishya</v>
      </c>
      <c r="F7" t="s">
        <v>95</v>
      </c>
      <c r="G7" t="s">
        <v>111</v>
      </c>
      <c r="H7" t="s">
        <v>97</v>
      </c>
      <c r="I7" t="s">
        <v>98</v>
      </c>
      <c r="J7" t="s">
        <v>309</v>
      </c>
      <c r="K7" t="s">
        <v>100</v>
      </c>
      <c r="L7">
        <v>96600</v>
      </c>
      <c r="M7">
        <v>96600</v>
      </c>
      <c r="N7">
        <v>96600</v>
      </c>
      <c r="O7">
        <v>161</v>
      </c>
      <c r="P7" t="s">
        <v>310</v>
      </c>
      <c r="Q7">
        <v>0</v>
      </c>
      <c r="R7">
        <v>0</v>
      </c>
      <c r="T7">
        <v>0</v>
      </c>
      <c r="U7">
        <v>0</v>
      </c>
      <c r="W7" t="s">
        <v>102</v>
      </c>
      <c r="X7" t="s">
        <v>275</v>
      </c>
      <c r="Z7" t="s">
        <v>311</v>
      </c>
      <c r="AA7" t="s">
        <v>109</v>
      </c>
      <c r="AB7" t="s">
        <v>102</v>
      </c>
      <c r="AC7" t="s">
        <v>109</v>
      </c>
      <c r="AD7" t="s">
        <v>102</v>
      </c>
      <c r="AE7" t="s">
        <v>109</v>
      </c>
      <c r="AF7" t="s">
        <v>102</v>
      </c>
      <c r="AG7" t="s">
        <v>109</v>
      </c>
      <c r="AH7" t="s">
        <v>102</v>
      </c>
      <c r="AI7" t="s">
        <v>312</v>
      </c>
      <c r="AJ7" t="s">
        <v>313</v>
      </c>
      <c r="AK7" t="s">
        <v>313</v>
      </c>
      <c r="AL7" t="s">
        <v>314</v>
      </c>
      <c r="AM7" t="s">
        <v>315</v>
      </c>
      <c r="AN7" t="s">
        <v>316</v>
      </c>
      <c r="AO7" t="s">
        <v>317</v>
      </c>
      <c r="AP7" t="s">
        <v>317</v>
      </c>
      <c r="AU7" t="s">
        <v>318</v>
      </c>
      <c r="AV7" t="s">
        <v>118</v>
      </c>
      <c r="AW7" t="s">
        <v>102</v>
      </c>
      <c r="AX7" t="s">
        <v>119</v>
      </c>
      <c r="BB7" t="s">
        <v>120</v>
      </c>
      <c r="BC7" t="s">
        <v>319</v>
      </c>
      <c r="BD7" t="s">
        <v>320</v>
      </c>
      <c r="BE7" t="s">
        <v>122</v>
      </c>
      <c r="BF7" t="s">
        <v>123</v>
      </c>
      <c r="BG7" t="s">
        <v>124</v>
      </c>
      <c r="BH7" t="s">
        <v>321</v>
      </c>
      <c r="BI7" t="s">
        <v>126</v>
      </c>
      <c r="BJ7" t="s">
        <v>127</v>
      </c>
      <c r="BK7" t="s">
        <v>322</v>
      </c>
      <c r="BL7" t="s">
        <v>323</v>
      </c>
      <c r="BM7" t="s">
        <v>324</v>
      </c>
      <c r="BN7" t="s">
        <v>111</v>
      </c>
      <c r="BO7" t="s">
        <v>325</v>
      </c>
      <c r="BP7" t="s">
        <v>258</v>
      </c>
      <c r="BQ7" t="s">
        <v>326</v>
      </c>
      <c r="BR7" t="s">
        <v>327</v>
      </c>
      <c r="BS7" t="s">
        <v>328</v>
      </c>
      <c r="BU7" t="s">
        <v>329</v>
      </c>
      <c r="BV7" t="s">
        <v>330</v>
      </c>
      <c r="BW7" t="s">
        <v>138</v>
      </c>
      <c r="BX7" t="s">
        <v>331</v>
      </c>
      <c r="BY7" t="s">
        <v>332</v>
      </c>
      <c r="BZ7" t="s">
        <v>333</v>
      </c>
      <c r="CG7" t="s">
        <v>334</v>
      </c>
      <c r="CH7" t="s">
        <v>335</v>
      </c>
      <c r="CJ7" t="s">
        <v>336</v>
      </c>
      <c r="CK7" t="s">
        <v>335</v>
      </c>
      <c r="CL7" t="s">
        <v>319</v>
      </c>
      <c r="CM7" t="s">
        <v>320</v>
      </c>
      <c r="CN7" t="s">
        <v>336</v>
      </c>
      <c r="CP7" t="s">
        <v>335</v>
      </c>
      <c r="CQ7" t="s">
        <v>335</v>
      </c>
    </row>
    <row r="8" spans="1:95">
      <c r="A8" t="s">
        <v>149</v>
      </c>
      <c r="B8">
        <v>10423</v>
      </c>
      <c r="C8" t="s">
        <v>361</v>
      </c>
      <c r="D8" t="str">
        <f>VLOOKUP(B8,'2025'!B:C,2,0)</f>
        <v>Lopa</v>
      </c>
      <c r="F8" t="s">
        <v>95</v>
      </c>
      <c r="G8" t="s">
        <v>362</v>
      </c>
      <c r="H8" t="s">
        <v>97</v>
      </c>
      <c r="I8" t="s">
        <v>98</v>
      </c>
      <c r="J8" t="s">
        <v>363</v>
      </c>
      <c r="K8" t="s">
        <v>100</v>
      </c>
      <c r="L8">
        <v>649545</v>
      </c>
      <c r="M8">
        <v>649545</v>
      </c>
      <c r="N8">
        <v>649545</v>
      </c>
      <c r="O8">
        <v>1300</v>
      </c>
      <c r="P8" t="s">
        <v>364</v>
      </c>
      <c r="Q8">
        <v>0</v>
      </c>
      <c r="R8">
        <v>0</v>
      </c>
      <c r="T8">
        <v>0</v>
      </c>
      <c r="U8">
        <v>0</v>
      </c>
      <c r="W8" t="s">
        <v>102</v>
      </c>
      <c r="X8" t="s">
        <v>103</v>
      </c>
      <c r="Y8" t="s">
        <v>104</v>
      </c>
      <c r="AA8" t="s">
        <v>365</v>
      </c>
      <c r="AB8" t="s">
        <v>366</v>
      </c>
      <c r="AC8" t="s">
        <v>367</v>
      </c>
      <c r="AD8" t="s">
        <v>368</v>
      </c>
      <c r="AE8" t="s">
        <v>109</v>
      </c>
      <c r="AF8" t="s">
        <v>102</v>
      </c>
      <c r="AG8" t="s">
        <v>109</v>
      </c>
      <c r="AH8" t="s">
        <v>102</v>
      </c>
      <c r="AI8" t="s">
        <v>369</v>
      </c>
      <c r="AJ8" t="s">
        <v>151</v>
      </c>
      <c r="AK8" t="s">
        <v>370</v>
      </c>
      <c r="AL8" t="s">
        <v>371</v>
      </c>
      <c r="AM8" t="s">
        <v>372</v>
      </c>
      <c r="AN8" t="s">
        <v>373</v>
      </c>
      <c r="AO8" t="s">
        <v>374</v>
      </c>
      <c r="AP8" t="s">
        <v>374</v>
      </c>
      <c r="AU8" t="s">
        <v>318</v>
      </c>
      <c r="AV8" t="s">
        <v>118</v>
      </c>
      <c r="AW8" t="s">
        <v>102</v>
      </c>
      <c r="AX8" t="s">
        <v>119</v>
      </c>
      <c r="BB8" t="s">
        <v>120</v>
      </c>
      <c r="BC8" t="s">
        <v>375</v>
      </c>
      <c r="BD8" t="s">
        <v>376</v>
      </c>
      <c r="BE8" t="s">
        <v>174</v>
      </c>
      <c r="BF8" t="s">
        <v>376</v>
      </c>
      <c r="BG8" t="s">
        <v>124</v>
      </c>
      <c r="BH8" t="s">
        <v>377</v>
      </c>
      <c r="BI8" t="s">
        <v>126</v>
      </c>
      <c r="BJ8" t="s">
        <v>127</v>
      </c>
      <c r="BK8" t="s">
        <v>378</v>
      </c>
      <c r="BL8" t="s">
        <v>379</v>
      </c>
      <c r="BM8" t="s">
        <v>380</v>
      </c>
      <c r="BN8" t="s">
        <v>362</v>
      </c>
      <c r="BO8" t="s">
        <v>381</v>
      </c>
      <c r="BP8" t="s">
        <v>180</v>
      </c>
      <c r="BQ8" t="s">
        <v>382</v>
      </c>
      <c r="BR8" t="s">
        <v>383</v>
      </c>
      <c r="BS8" t="s">
        <v>384</v>
      </c>
      <c r="BU8" t="s">
        <v>385</v>
      </c>
      <c r="BV8" t="s">
        <v>386</v>
      </c>
      <c r="BW8" t="s">
        <v>138</v>
      </c>
      <c r="BX8" t="s">
        <v>387</v>
      </c>
      <c r="BY8" t="s">
        <v>388</v>
      </c>
      <c r="BZ8" t="s">
        <v>387</v>
      </c>
      <c r="CA8" t="s">
        <v>386</v>
      </c>
      <c r="CB8" t="s">
        <v>387</v>
      </c>
      <c r="CC8" t="s">
        <v>388</v>
      </c>
      <c r="CD8" t="s">
        <v>389</v>
      </c>
      <c r="CE8" t="s">
        <v>387</v>
      </c>
      <c r="CF8" t="s">
        <v>390</v>
      </c>
      <c r="CG8" t="s">
        <v>102</v>
      </c>
      <c r="CH8" t="s">
        <v>391</v>
      </c>
      <c r="CJ8" t="s">
        <v>392</v>
      </c>
      <c r="CK8" t="s">
        <v>391</v>
      </c>
      <c r="CL8" t="s">
        <v>375</v>
      </c>
      <c r="CM8" t="s">
        <v>376</v>
      </c>
      <c r="CN8" t="s">
        <v>392</v>
      </c>
      <c r="CO8" t="s">
        <v>393</v>
      </c>
      <c r="CP8" t="s">
        <v>391</v>
      </c>
      <c r="CQ8" t="s">
        <v>391</v>
      </c>
    </row>
    <row r="9" spans="1:95">
      <c r="A9" t="s">
        <v>149</v>
      </c>
      <c r="B9">
        <v>104830</v>
      </c>
      <c r="C9" t="s">
        <v>394</v>
      </c>
      <c r="D9" t="str">
        <f>VLOOKUP(B9,'2025'!B:C,2,0)</f>
        <v>Vineeth T V</v>
      </c>
      <c r="F9" t="s">
        <v>95</v>
      </c>
      <c r="G9" t="s">
        <v>395</v>
      </c>
      <c r="H9" t="s">
        <v>152</v>
      </c>
      <c r="I9" t="s">
        <v>98</v>
      </c>
      <c r="J9" t="s">
        <v>396</v>
      </c>
      <c r="K9" t="s">
        <v>100</v>
      </c>
      <c r="L9">
        <v>1609105</v>
      </c>
      <c r="M9">
        <v>1609105</v>
      </c>
      <c r="N9">
        <v>0</v>
      </c>
      <c r="O9">
        <v>0</v>
      </c>
      <c r="Q9">
        <v>1609105</v>
      </c>
      <c r="R9">
        <v>1192</v>
      </c>
      <c r="S9" t="s">
        <v>397</v>
      </c>
      <c r="T9">
        <v>0</v>
      </c>
      <c r="U9">
        <v>0</v>
      </c>
      <c r="W9" t="s">
        <v>102</v>
      </c>
      <c r="X9" t="s">
        <v>103</v>
      </c>
      <c r="Y9" t="s">
        <v>398</v>
      </c>
      <c r="AA9" t="s">
        <v>214</v>
      </c>
      <c r="AB9" t="s">
        <v>399</v>
      </c>
      <c r="AC9" t="s">
        <v>400</v>
      </c>
      <c r="AD9" t="s">
        <v>401</v>
      </c>
      <c r="AE9" t="s">
        <v>402</v>
      </c>
      <c r="AF9" t="s">
        <v>401</v>
      </c>
      <c r="AG9" t="s">
        <v>109</v>
      </c>
      <c r="AH9" t="s">
        <v>102</v>
      </c>
      <c r="AI9" t="s">
        <v>403</v>
      </c>
      <c r="AJ9" t="s">
        <v>175</v>
      </c>
      <c r="AK9" t="s">
        <v>404</v>
      </c>
      <c r="AL9" t="s">
        <v>405</v>
      </c>
      <c r="AM9" t="s">
        <v>406</v>
      </c>
      <c r="AN9" t="s">
        <v>407</v>
      </c>
      <c r="AO9" t="s">
        <v>408</v>
      </c>
      <c r="AP9" t="s">
        <v>408</v>
      </c>
      <c r="AU9" t="s">
        <v>102</v>
      </c>
      <c r="AW9" t="s">
        <v>155</v>
      </c>
      <c r="AX9" t="s">
        <v>119</v>
      </c>
      <c r="AY9" t="s">
        <v>170</v>
      </c>
      <c r="AZ9" t="s">
        <v>118</v>
      </c>
      <c r="BB9" t="s">
        <v>120</v>
      </c>
      <c r="BC9" t="s">
        <v>409</v>
      </c>
      <c r="BD9" t="s">
        <v>410</v>
      </c>
      <c r="BE9" t="s">
        <v>212</v>
      </c>
      <c r="BF9" t="s">
        <v>410</v>
      </c>
      <c r="BG9" t="s">
        <v>124</v>
      </c>
      <c r="BH9" t="s">
        <v>214</v>
      </c>
      <c r="BI9" t="s">
        <v>411</v>
      </c>
      <c r="BJ9" t="s">
        <v>127</v>
      </c>
      <c r="BK9" t="s">
        <v>412</v>
      </c>
      <c r="BL9" t="s">
        <v>413</v>
      </c>
      <c r="BM9" t="s">
        <v>414</v>
      </c>
      <c r="BN9" t="s">
        <v>395</v>
      </c>
      <c r="BO9" t="s">
        <v>415</v>
      </c>
      <c r="BP9" t="s">
        <v>132</v>
      </c>
      <c r="BQ9" t="s">
        <v>416</v>
      </c>
      <c r="BR9" t="s">
        <v>417</v>
      </c>
      <c r="BS9" t="s">
        <v>418</v>
      </c>
      <c r="BU9" t="s">
        <v>419</v>
      </c>
      <c r="BV9" t="s">
        <v>420</v>
      </c>
      <c r="BW9" t="s">
        <v>138</v>
      </c>
      <c r="BX9" t="s">
        <v>421</v>
      </c>
      <c r="BY9" t="s">
        <v>422</v>
      </c>
      <c r="BZ9" t="s">
        <v>423</v>
      </c>
      <c r="CA9" t="s">
        <v>420</v>
      </c>
      <c r="CB9" t="s">
        <v>421</v>
      </c>
      <c r="CC9" t="s">
        <v>422</v>
      </c>
      <c r="CD9" t="s">
        <v>424</v>
      </c>
      <c r="CE9" t="s">
        <v>425</v>
      </c>
      <c r="CF9" t="s">
        <v>426</v>
      </c>
      <c r="CG9" t="s">
        <v>102</v>
      </c>
      <c r="CH9" t="s">
        <v>427</v>
      </c>
      <c r="CJ9" t="s">
        <v>428</v>
      </c>
      <c r="CK9" t="s">
        <v>427</v>
      </c>
      <c r="CL9" t="s">
        <v>409</v>
      </c>
      <c r="CM9" t="s">
        <v>410</v>
      </c>
      <c r="CN9" t="s">
        <v>428</v>
      </c>
      <c r="CO9" t="s">
        <v>429</v>
      </c>
      <c r="CP9" t="s">
        <v>427</v>
      </c>
      <c r="CQ9" t="s">
        <v>427</v>
      </c>
    </row>
    <row r="10" spans="1:95">
      <c r="A10" t="s">
        <v>337</v>
      </c>
      <c r="B10">
        <v>1061266</v>
      </c>
      <c r="C10" t="s">
        <v>430</v>
      </c>
      <c r="E10" s="4" t="s">
        <v>17377</v>
      </c>
      <c r="F10" t="s">
        <v>95</v>
      </c>
      <c r="G10" t="s">
        <v>431</v>
      </c>
      <c r="H10" t="s">
        <v>152</v>
      </c>
      <c r="I10" t="s">
        <v>98</v>
      </c>
      <c r="J10" t="s">
        <v>432</v>
      </c>
      <c r="K10" t="s">
        <v>100</v>
      </c>
      <c r="L10">
        <v>583833</v>
      </c>
      <c r="M10">
        <v>583833</v>
      </c>
      <c r="N10">
        <v>0</v>
      </c>
      <c r="O10">
        <v>0</v>
      </c>
      <c r="Q10">
        <v>583833</v>
      </c>
      <c r="R10">
        <v>556</v>
      </c>
      <c r="S10" t="s">
        <v>433</v>
      </c>
      <c r="T10">
        <v>0</v>
      </c>
      <c r="U10">
        <v>0</v>
      </c>
      <c r="W10" t="s">
        <v>102</v>
      </c>
      <c r="X10" t="s">
        <v>103</v>
      </c>
      <c r="Y10" t="s">
        <v>155</v>
      </c>
      <c r="AA10" t="s">
        <v>434</v>
      </c>
      <c r="AB10" t="s">
        <v>435</v>
      </c>
      <c r="AC10" t="s">
        <v>400</v>
      </c>
      <c r="AD10" t="s">
        <v>436</v>
      </c>
      <c r="AE10" t="s">
        <v>437</v>
      </c>
      <c r="AF10" t="s">
        <v>438</v>
      </c>
      <c r="AG10" t="s">
        <v>439</v>
      </c>
      <c r="AH10" t="s">
        <v>438</v>
      </c>
      <c r="AI10" t="s">
        <v>440</v>
      </c>
      <c r="AJ10" t="s">
        <v>441</v>
      </c>
      <c r="AK10" t="s">
        <v>442</v>
      </c>
      <c r="AL10" t="s">
        <v>443</v>
      </c>
      <c r="AM10" t="s">
        <v>444</v>
      </c>
      <c r="AN10" t="s">
        <v>445</v>
      </c>
      <c r="AO10" t="s">
        <v>446</v>
      </c>
      <c r="AP10" t="s">
        <v>446</v>
      </c>
      <c r="AU10" t="s">
        <v>102</v>
      </c>
      <c r="AW10" t="s">
        <v>104</v>
      </c>
      <c r="AX10" t="s">
        <v>447</v>
      </c>
      <c r="AY10" t="s">
        <v>170</v>
      </c>
      <c r="AZ10" t="s">
        <v>118</v>
      </c>
      <c r="BB10" t="s">
        <v>171</v>
      </c>
      <c r="BC10" t="s">
        <v>448</v>
      </c>
      <c r="BD10" t="s">
        <v>449</v>
      </c>
      <c r="BE10" t="s">
        <v>122</v>
      </c>
      <c r="BF10" t="s">
        <v>450</v>
      </c>
      <c r="BG10" t="s">
        <v>124</v>
      </c>
      <c r="BH10" t="s">
        <v>451</v>
      </c>
      <c r="BI10" t="s">
        <v>126</v>
      </c>
      <c r="BJ10" t="s">
        <v>127</v>
      </c>
      <c r="BK10" t="s">
        <v>452</v>
      </c>
      <c r="BL10" t="s">
        <v>453</v>
      </c>
      <c r="BM10" t="s">
        <v>454</v>
      </c>
      <c r="BN10" t="s">
        <v>431</v>
      </c>
      <c r="BO10" t="s">
        <v>131</v>
      </c>
      <c r="BP10" t="s">
        <v>258</v>
      </c>
      <c r="BQ10" t="s">
        <v>133</v>
      </c>
      <c r="BR10" t="s">
        <v>134</v>
      </c>
      <c r="BS10" t="s">
        <v>455</v>
      </c>
      <c r="BT10" t="s">
        <v>135</v>
      </c>
      <c r="BU10" t="s">
        <v>456</v>
      </c>
      <c r="BV10" t="s">
        <v>457</v>
      </c>
      <c r="BW10" t="s">
        <v>138</v>
      </c>
      <c r="BX10" t="s">
        <v>458</v>
      </c>
      <c r="BY10" t="s">
        <v>459</v>
      </c>
      <c r="BZ10" t="s">
        <v>460</v>
      </c>
      <c r="CA10" t="s">
        <v>457</v>
      </c>
      <c r="CB10" t="s">
        <v>458</v>
      </c>
      <c r="CC10" t="s">
        <v>459</v>
      </c>
      <c r="CG10" t="s">
        <v>102</v>
      </c>
      <c r="CH10" t="s">
        <v>461</v>
      </c>
      <c r="CJ10" t="s">
        <v>462</v>
      </c>
      <c r="CK10" t="s">
        <v>461</v>
      </c>
      <c r="CL10" t="s">
        <v>448</v>
      </c>
      <c r="CM10" t="s">
        <v>449</v>
      </c>
      <c r="CN10" t="s">
        <v>462</v>
      </c>
      <c r="CP10" t="s">
        <v>461</v>
      </c>
      <c r="CQ10" t="s">
        <v>461</v>
      </c>
    </row>
    <row r="11" spans="1:95">
      <c r="A11" t="s">
        <v>93</v>
      </c>
      <c r="B11">
        <v>108345</v>
      </c>
      <c r="C11" t="s">
        <v>463</v>
      </c>
      <c r="E11" s="4" t="s">
        <v>17377</v>
      </c>
      <c r="F11" t="s">
        <v>95</v>
      </c>
      <c r="G11" t="s">
        <v>464</v>
      </c>
      <c r="H11" t="s">
        <v>97</v>
      </c>
      <c r="I11" t="s">
        <v>98</v>
      </c>
      <c r="J11" t="s">
        <v>465</v>
      </c>
      <c r="K11" t="s">
        <v>100</v>
      </c>
      <c r="L11">
        <v>1282717</v>
      </c>
      <c r="M11">
        <v>1282717</v>
      </c>
      <c r="N11">
        <v>1282717</v>
      </c>
      <c r="O11">
        <v>1166</v>
      </c>
      <c r="P11" t="s">
        <v>466</v>
      </c>
      <c r="Q11">
        <v>0</v>
      </c>
      <c r="R11">
        <v>0</v>
      </c>
      <c r="T11">
        <v>0</v>
      </c>
      <c r="U11">
        <v>0</v>
      </c>
      <c r="W11" t="s">
        <v>102</v>
      </c>
      <c r="X11" t="s">
        <v>103</v>
      </c>
      <c r="Y11" t="s">
        <v>104</v>
      </c>
      <c r="AA11" t="s">
        <v>467</v>
      </c>
      <c r="AB11" t="s">
        <v>468</v>
      </c>
      <c r="AC11" t="s">
        <v>469</v>
      </c>
      <c r="AD11" t="s">
        <v>468</v>
      </c>
      <c r="AE11" t="s">
        <v>109</v>
      </c>
      <c r="AF11" t="s">
        <v>102</v>
      </c>
      <c r="AG11" t="s">
        <v>109</v>
      </c>
      <c r="AH11" t="s">
        <v>102</v>
      </c>
      <c r="AI11" t="s">
        <v>470</v>
      </c>
      <c r="AJ11" t="s">
        <v>400</v>
      </c>
      <c r="AK11" t="s">
        <v>471</v>
      </c>
      <c r="AL11" t="s">
        <v>472</v>
      </c>
      <c r="AM11" t="s">
        <v>473</v>
      </c>
      <c r="AN11" t="s">
        <v>474</v>
      </c>
      <c r="AO11" t="s">
        <v>475</v>
      </c>
      <c r="AP11" t="s">
        <v>475</v>
      </c>
      <c r="AU11" t="s">
        <v>318</v>
      </c>
      <c r="AV11" t="s">
        <v>118</v>
      </c>
      <c r="AW11" t="s">
        <v>102</v>
      </c>
      <c r="AX11" t="s">
        <v>119</v>
      </c>
      <c r="BB11" t="s">
        <v>120</v>
      </c>
      <c r="BC11" t="s">
        <v>476</v>
      </c>
      <c r="BD11" t="s">
        <v>211</v>
      </c>
      <c r="BE11" t="s">
        <v>212</v>
      </c>
      <c r="BF11" t="s">
        <v>213</v>
      </c>
      <c r="BG11" t="s">
        <v>124</v>
      </c>
      <c r="BH11" t="s">
        <v>232</v>
      </c>
      <c r="BI11" t="s">
        <v>126</v>
      </c>
      <c r="BJ11" t="s">
        <v>127</v>
      </c>
      <c r="BK11" t="s">
        <v>477</v>
      </c>
      <c r="BL11" t="s">
        <v>478</v>
      </c>
      <c r="BM11" t="s">
        <v>479</v>
      </c>
      <c r="BN11" t="s">
        <v>464</v>
      </c>
      <c r="BO11" t="s">
        <v>480</v>
      </c>
      <c r="BP11" t="s">
        <v>258</v>
      </c>
      <c r="BQ11" t="s">
        <v>481</v>
      </c>
      <c r="BR11" t="s">
        <v>482</v>
      </c>
      <c r="BS11" t="s">
        <v>483</v>
      </c>
      <c r="BT11" t="s">
        <v>483</v>
      </c>
      <c r="BU11" t="s">
        <v>484</v>
      </c>
      <c r="BV11" t="s">
        <v>485</v>
      </c>
      <c r="BW11" t="s">
        <v>138</v>
      </c>
      <c r="BX11" t="s">
        <v>486</v>
      </c>
      <c r="BY11" t="s">
        <v>487</v>
      </c>
      <c r="BZ11" t="s">
        <v>488</v>
      </c>
      <c r="CA11" t="s">
        <v>485</v>
      </c>
      <c r="CB11" t="s">
        <v>486</v>
      </c>
      <c r="CC11" t="s">
        <v>487</v>
      </c>
      <c r="CD11" t="s">
        <v>489</v>
      </c>
      <c r="CE11" t="s">
        <v>490</v>
      </c>
      <c r="CF11" t="s">
        <v>491</v>
      </c>
      <c r="CG11" t="s">
        <v>492</v>
      </c>
      <c r="CH11" t="s">
        <v>493</v>
      </c>
      <c r="CJ11" t="s">
        <v>494</v>
      </c>
      <c r="CK11" t="s">
        <v>493</v>
      </c>
      <c r="CL11" t="s">
        <v>476</v>
      </c>
      <c r="CM11" t="s">
        <v>211</v>
      </c>
      <c r="CN11" t="s">
        <v>494</v>
      </c>
      <c r="CP11" t="s">
        <v>493</v>
      </c>
      <c r="CQ11" t="s">
        <v>493</v>
      </c>
    </row>
    <row r="12" spans="1:95">
      <c r="A12" t="s">
        <v>495</v>
      </c>
      <c r="B12">
        <v>110298</v>
      </c>
      <c r="C12" t="s">
        <v>496</v>
      </c>
      <c r="E12" s="4" t="s">
        <v>17377</v>
      </c>
      <c r="F12" t="s">
        <v>95</v>
      </c>
      <c r="G12" t="s">
        <v>497</v>
      </c>
      <c r="H12" t="s">
        <v>97</v>
      </c>
      <c r="I12" t="s">
        <v>98</v>
      </c>
      <c r="J12" t="s">
        <v>498</v>
      </c>
      <c r="K12" t="s">
        <v>100</v>
      </c>
      <c r="L12">
        <v>0</v>
      </c>
      <c r="M12">
        <v>0</v>
      </c>
      <c r="N12">
        <v>0</v>
      </c>
      <c r="O12">
        <v>701</v>
      </c>
      <c r="P12" t="s">
        <v>102</v>
      </c>
      <c r="Q12">
        <v>0</v>
      </c>
      <c r="R12">
        <v>0</v>
      </c>
      <c r="T12">
        <v>0</v>
      </c>
      <c r="U12">
        <v>0</v>
      </c>
      <c r="W12" t="s">
        <v>102</v>
      </c>
      <c r="X12" t="s">
        <v>275</v>
      </c>
      <c r="Z12" t="s">
        <v>499</v>
      </c>
      <c r="AA12" t="s">
        <v>109</v>
      </c>
      <c r="AB12" t="s">
        <v>102</v>
      </c>
      <c r="AC12" t="s">
        <v>109</v>
      </c>
      <c r="AD12" t="s">
        <v>102</v>
      </c>
      <c r="AE12" t="s">
        <v>109</v>
      </c>
      <c r="AF12" t="s">
        <v>102</v>
      </c>
      <c r="AG12" t="s">
        <v>109</v>
      </c>
      <c r="AH12" t="s">
        <v>102</v>
      </c>
      <c r="AI12" t="s">
        <v>102</v>
      </c>
      <c r="AL12" t="s">
        <v>102</v>
      </c>
      <c r="AM12" t="s">
        <v>102</v>
      </c>
      <c r="AN12" t="s">
        <v>102</v>
      </c>
      <c r="AO12" t="s">
        <v>115</v>
      </c>
      <c r="AP12" t="s">
        <v>115</v>
      </c>
      <c r="AU12" t="s">
        <v>117</v>
      </c>
      <c r="AV12" t="s">
        <v>118</v>
      </c>
      <c r="AW12" t="s">
        <v>102</v>
      </c>
      <c r="AX12" t="s">
        <v>119</v>
      </c>
      <c r="BB12" t="s">
        <v>209</v>
      </c>
      <c r="BC12" t="s">
        <v>500</v>
      </c>
      <c r="BD12" t="s">
        <v>285</v>
      </c>
      <c r="BE12" t="s">
        <v>212</v>
      </c>
      <c r="BF12" t="s">
        <v>286</v>
      </c>
      <c r="BG12" t="s">
        <v>124</v>
      </c>
      <c r="BH12" t="s">
        <v>501</v>
      </c>
      <c r="BI12" t="s">
        <v>126</v>
      </c>
      <c r="BJ12" t="s">
        <v>127</v>
      </c>
      <c r="BK12" t="s">
        <v>502</v>
      </c>
      <c r="BL12" t="s">
        <v>503</v>
      </c>
      <c r="BM12" t="s">
        <v>504</v>
      </c>
      <c r="BN12" t="s">
        <v>497</v>
      </c>
      <c r="BO12" t="s">
        <v>505</v>
      </c>
      <c r="BP12" t="s">
        <v>505</v>
      </c>
      <c r="BQ12" t="s">
        <v>225</v>
      </c>
      <c r="BR12" t="s">
        <v>506</v>
      </c>
      <c r="BS12" t="s">
        <v>507</v>
      </c>
      <c r="BU12" t="s">
        <v>508</v>
      </c>
      <c r="BV12" t="s">
        <v>509</v>
      </c>
      <c r="BW12" t="s">
        <v>138</v>
      </c>
      <c r="BX12" t="s">
        <v>510</v>
      </c>
      <c r="BY12" t="s">
        <v>511</v>
      </c>
      <c r="CA12" t="s">
        <v>509</v>
      </c>
      <c r="CB12" t="s">
        <v>510</v>
      </c>
      <c r="CC12" t="s">
        <v>511</v>
      </c>
      <c r="CD12" t="s">
        <v>512</v>
      </c>
      <c r="CE12" t="s">
        <v>510</v>
      </c>
      <c r="CF12" t="s">
        <v>513</v>
      </c>
      <c r="CG12" t="s">
        <v>102</v>
      </c>
      <c r="CH12" t="s">
        <v>514</v>
      </c>
      <c r="CJ12" t="s">
        <v>515</v>
      </c>
      <c r="CK12" t="s">
        <v>514</v>
      </c>
      <c r="CL12" t="s">
        <v>500</v>
      </c>
      <c r="CM12" t="s">
        <v>285</v>
      </c>
      <c r="CN12" t="s">
        <v>515</v>
      </c>
      <c r="CP12" t="s">
        <v>514</v>
      </c>
      <c r="CQ12" t="s">
        <v>514</v>
      </c>
    </row>
    <row r="13" spans="1:95">
      <c r="A13" t="s">
        <v>149</v>
      </c>
      <c r="B13">
        <v>1131322</v>
      </c>
      <c r="C13" t="s">
        <v>516</v>
      </c>
      <c r="F13" t="s">
        <v>95</v>
      </c>
      <c r="G13" t="s">
        <v>517</v>
      </c>
      <c r="H13" t="s">
        <v>97</v>
      </c>
      <c r="I13" t="s">
        <v>98</v>
      </c>
      <c r="J13" t="s">
        <v>518</v>
      </c>
      <c r="K13" t="s">
        <v>100</v>
      </c>
      <c r="L13">
        <v>380190</v>
      </c>
      <c r="M13">
        <v>380190</v>
      </c>
      <c r="N13">
        <v>380190</v>
      </c>
      <c r="O13">
        <v>667</v>
      </c>
      <c r="P13" t="s">
        <v>519</v>
      </c>
      <c r="Q13">
        <v>0</v>
      </c>
      <c r="R13">
        <v>0</v>
      </c>
      <c r="T13">
        <v>0</v>
      </c>
      <c r="U13">
        <v>0</v>
      </c>
      <c r="W13" t="s">
        <v>102</v>
      </c>
      <c r="X13" t="s">
        <v>275</v>
      </c>
      <c r="Z13" t="s">
        <v>520</v>
      </c>
      <c r="AA13" t="s">
        <v>109</v>
      </c>
      <c r="AB13" t="s">
        <v>102</v>
      </c>
      <c r="AC13" t="s">
        <v>109</v>
      </c>
      <c r="AD13" t="s">
        <v>102</v>
      </c>
      <c r="AE13" t="s">
        <v>109</v>
      </c>
      <c r="AF13" t="s">
        <v>102</v>
      </c>
      <c r="AG13" t="s">
        <v>109</v>
      </c>
      <c r="AH13" t="s">
        <v>102</v>
      </c>
      <c r="AI13" t="s">
        <v>521</v>
      </c>
      <c r="AJ13" t="s">
        <v>522</v>
      </c>
      <c r="AK13" t="s">
        <v>522</v>
      </c>
      <c r="AL13" t="s">
        <v>523</v>
      </c>
      <c r="AM13" t="s">
        <v>524</v>
      </c>
      <c r="AN13" t="s">
        <v>102</v>
      </c>
      <c r="AO13" t="s">
        <v>525</v>
      </c>
      <c r="AP13" t="s">
        <v>525</v>
      </c>
      <c r="AU13" t="s">
        <v>318</v>
      </c>
      <c r="AV13" t="s">
        <v>118</v>
      </c>
      <c r="AW13" t="s">
        <v>102</v>
      </c>
      <c r="AX13" t="s">
        <v>119</v>
      </c>
      <c r="BB13" t="s">
        <v>120</v>
      </c>
      <c r="BC13" t="s">
        <v>284</v>
      </c>
      <c r="BD13" t="s">
        <v>285</v>
      </c>
      <c r="BE13" t="s">
        <v>212</v>
      </c>
      <c r="BF13" t="s">
        <v>286</v>
      </c>
      <c r="BG13" t="s">
        <v>124</v>
      </c>
      <c r="BH13" t="s">
        <v>214</v>
      </c>
      <c r="BI13" t="s">
        <v>126</v>
      </c>
      <c r="BJ13" t="s">
        <v>127</v>
      </c>
      <c r="BK13" t="s">
        <v>526</v>
      </c>
      <c r="BL13" t="s">
        <v>527</v>
      </c>
      <c r="BM13" t="s">
        <v>528</v>
      </c>
      <c r="BN13" t="s">
        <v>517</v>
      </c>
      <c r="BO13" t="s">
        <v>290</v>
      </c>
      <c r="BP13" t="s">
        <v>132</v>
      </c>
      <c r="BQ13" t="s">
        <v>291</v>
      </c>
      <c r="BR13" t="s">
        <v>292</v>
      </c>
      <c r="BS13" t="s">
        <v>293</v>
      </c>
      <c r="BU13" t="s">
        <v>529</v>
      </c>
      <c r="BV13" t="s">
        <v>530</v>
      </c>
      <c r="BW13" t="s">
        <v>354</v>
      </c>
      <c r="BX13" t="s">
        <v>531</v>
      </c>
      <c r="BY13" t="s">
        <v>532</v>
      </c>
      <c r="CA13" t="s">
        <v>533</v>
      </c>
      <c r="CB13" t="s">
        <v>534</v>
      </c>
      <c r="CD13" t="s">
        <v>535</v>
      </c>
      <c r="CE13" t="s">
        <v>536</v>
      </c>
      <c r="CF13" t="s">
        <v>537</v>
      </c>
      <c r="CG13" t="s">
        <v>102</v>
      </c>
      <c r="CH13" t="s">
        <v>538</v>
      </c>
      <c r="CJ13" t="s">
        <v>539</v>
      </c>
      <c r="CK13" t="s">
        <v>538</v>
      </c>
      <c r="CL13" t="s">
        <v>284</v>
      </c>
      <c r="CM13" t="s">
        <v>285</v>
      </c>
      <c r="CN13" t="s">
        <v>539</v>
      </c>
      <c r="CO13" t="s">
        <v>540</v>
      </c>
      <c r="CP13" t="s">
        <v>538</v>
      </c>
      <c r="CQ13" t="s">
        <v>538</v>
      </c>
    </row>
    <row r="14" spans="1:95">
      <c r="A14" t="s">
        <v>337</v>
      </c>
      <c r="B14">
        <v>1134175</v>
      </c>
      <c r="C14" t="s">
        <v>541</v>
      </c>
      <c r="E14" s="4" t="s">
        <v>17377</v>
      </c>
      <c r="F14" t="s">
        <v>95</v>
      </c>
      <c r="G14" t="s">
        <v>542</v>
      </c>
      <c r="H14" t="s">
        <v>152</v>
      </c>
      <c r="I14" t="s">
        <v>98</v>
      </c>
      <c r="J14" t="s">
        <v>543</v>
      </c>
      <c r="K14" t="s">
        <v>100</v>
      </c>
      <c r="L14">
        <v>468000</v>
      </c>
      <c r="M14">
        <v>468000</v>
      </c>
      <c r="N14">
        <v>0</v>
      </c>
      <c r="O14">
        <v>0</v>
      </c>
      <c r="Q14">
        <v>468000</v>
      </c>
      <c r="R14">
        <v>300</v>
      </c>
      <c r="S14" t="s">
        <v>544</v>
      </c>
      <c r="T14">
        <v>0</v>
      </c>
      <c r="U14">
        <v>0</v>
      </c>
      <c r="W14" t="s">
        <v>102</v>
      </c>
      <c r="X14" t="s">
        <v>103</v>
      </c>
      <c r="Y14" t="s">
        <v>398</v>
      </c>
      <c r="AA14" t="s">
        <v>545</v>
      </c>
      <c r="AB14" t="s">
        <v>546</v>
      </c>
      <c r="AC14" t="s">
        <v>347</v>
      </c>
      <c r="AD14" t="s">
        <v>547</v>
      </c>
      <c r="AE14" t="s">
        <v>160</v>
      </c>
      <c r="AF14" t="s">
        <v>547</v>
      </c>
      <c r="AG14" t="s">
        <v>109</v>
      </c>
      <c r="AH14" t="s">
        <v>102</v>
      </c>
      <c r="AI14" t="s">
        <v>548</v>
      </c>
      <c r="AJ14" t="s">
        <v>549</v>
      </c>
      <c r="AK14" t="s">
        <v>550</v>
      </c>
      <c r="AL14" t="s">
        <v>551</v>
      </c>
      <c r="AM14" t="s">
        <v>552</v>
      </c>
      <c r="AN14" t="s">
        <v>553</v>
      </c>
      <c r="AO14" t="s">
        <v>554</v>
      </c>
      <c r="AP14" t="s">
        <v>554</v>
      </c>
      <c r="AU14" t="s">
        <v>102</v>
      </c>
      <c r="AW14" t="s">
        <v>155</v>
      </c>
      <c r="AX14" t="s">
        <v>119</v>
      </c>
      <c r="AY14" t="s">
        <v>170</v>
      </c>
      <c r="AZ14" t="s">
        <v>118</v>
      </c>
      <c r="BB14" t="s">
        <v>120</v>
      </c>
      <c r="BC14" t="s">
        <v>555</v>
      </c>
      <c r="BD14" t="s">
        <v>556</v>
      </c>
      <c r="BE14" t="s">
        <v>122</v>
      </c>
      <c r="BF14" t="s">
        <v>557</v>
      </c>
      <c r="BG14" t="s">
        <v>124</v>
      </c>
      <c r="BH14" t="s">
        <v>558</v>
      </c>
      <c r="BI14" t="s">
        <v>559</v>
      </c>
      <c r="BJ14" t="s">
        <v>127</v>
      </c>
      <c r="BK14" t="s">
        <v>560</v>
      </c>
      <c r="BL14" t="s">
        <v>561</v>
      </c>
      <c r="BM14" t="s">
        <v>562</v>
      </c>
      <c r="BN14" t="s">
        <v>542</v>
      </c>
      <c r="BO14" t="s">
        <v>563</v>
      </c>
      <c r="BP14" t="s">
        <v>350</v>
      </c>
      <c r="BQ14" t="s">
        <v>564</v>
      </c>
      <c r="BR14" t="s">
        <v>565</v>
      </c>
      <c r="BS14" t="s">
        <v>563</v>
      </c>
      <c r="BT14" t="s">
        <v>566</v>
      </c>
      <c r="BU14" t="s">
        <v>567</v>
      </c>
      <c r="BV14" t="s">
        <v>568</v>
      </c>
      <c r="BW14" t="s">
        <v>569</v>
      </c>
      <c r="BX14" t="s">
        <v>570</v>
      </c>
      <c r="BY14" t="s">
        <v>571</v>
      </c>
      <c r="BZ14" t="s">
        <v>572</v>
      </c>
      <c r="CG14" t="s">
        <v>573</v>
      </c>
      <c r="CH14" t="s">
        <v>574</v>
      </c>
      <c r="CJ14" t="s">
        <v>575</v>
      </c>
      <c r="CK14" t="s">
        <v>574</v>
      </c>
      <c r="CL14" t="s">
        <v>555</v>
      </c>
      <c r="CM14" t="s">
        <v>556</v>
      </c>
      <c r="CN14" t="s">
        <v>575</v>
      </c>
      <c r="CO14" t="s">
        <v>576</v>
      </c>
      <c r="CP14" t="s">
        <v>574</v>
      </c>
      <c r="CQ14" t="s">
        <v>574</v>
      </c>
    </row>
    <row r="15" spans="1:95">
      <c r="A15" t="s">
        <v>149</v>
      </c>
      <c r="B15">
        <v>1163014</v>
      </c>
      <c r="C15" t="s">
        <v>577</v>
      </c>
      <c r="D15" t="str">
        <f>VLOOKUP(B15,'2025'!B:C,2,0)</f>
        <v>Sudhi</v>
      </c>
      <c r="F15" t="s">
        <v>95</v>
      </c>
      <c r="G15" t="s">
        <v>578</v>
      </c>
      <c r="H15" t="s">
        <v>193</v>
      </c>
      <c r="I15" t="s">
        <v>98</v>
      </c>
      <c r="J15" t="s">
        <v>579</v>
      </c>
      <c r="K15" t="s">
        <v>100</v>
      </c>
      <c r="L15">
        <v>1664554</v>
      </c>
      <c r="M15">
        <v>1752664</v>
      </c>
      <c r="N15">
        <v>1175052</v>
      </c>
      <c r="O15">
        <v>854</v>
      </c>
      <c r="P15" t="s">
        <v>580</v>
      </c>
      <c r="Q15">
        <v>0</v>
      </c>
      <c r="R15">
        <v>0</v>
      </c>
      <c r="T15">
        <v>489502</v>
      </c>
      <c r="U15">
        <v>210</v>
      </c>
      <c r="V15" t="s">
        <v>581</v>
      </c>
      <c r="W15" t="s">
        <v>102</v>
      </c>
      <c r="X15" t="s">
        <v>275</v>
      </c>
      <c r="Z15" t="s">
        <v>582</v>
      </c>
      <c r="AA15" t="s">
        <v>109</v>
      </c>
      <c r="AB15" t="s">
        <v>102</v>
      </c>
      <c r="AC15" t="s">
        <v>109</v>
      </c>
      <c r="AD15" t="s">
        <v>102</v>
      </c>
      <c r="AE15" t="s">
        <v>109</v>
      </c>
      <c r="AF15" t="s">
        <v>102</v>
      </c>
      <c r="AG15" t="s">
        <v>109</v>
      </c>
      <c r="AH15" t="s">
        <v>102</v>
      </c>
      <c r="AI15" t="s">
        <v>102</v>
      </c>
      <c r="AJ15" t="s">
        <v>583</v>
      </c>
      <c r="AK15" t="s">
        <v>583</v>
      </c>
      <c r="AL15" t="s">
        <v>584</v>
      </c>
      <c r="AM15" t="s">
        <v>585</v>
      </c>
      <c r="AN15" t="s">
        <v>586</v>
      </c>
      <c r="AO15" t="s">
        <v>587</v>
      </c>
      <c r="AP15" t="s">
        <v>587</v>
      </c>
      <c r="AU15" t="s">
        <v>588</v>
      </c>
      <c r="AV15" t="s">
        <v>118</v>
      </c>
      <c r="AW15" t="s">
        <v>102</v>
      </c>
      <c r="AX15" t="s">
        <v>119</v>
      </c>
      <c r="BA15" t="s">
        <v>250</v>
      </c>
      <c r="BB15" t="s">
        <v>120</v>
      </c>
      <c r="BC15" t="s">
        <v>589</v>
      </c>
      <c r="BD15" t="s">
        <v>320</v>
      </c>
      <c r="BE15" t="s">
        <v>122</v>
      </c>
      <c r="BF15" t="s">
        <v>123</v>
      </c>
      <c r="BG15" t="s">
        <v>124</v>
      </c>
      <c r="BH15" t="s">
        <v>578</v>
      </c>
      <c r="BI15" t="s">
        <v>126</v>
      </c>
      <c r="BJ15" t="s">
        <v>127</v>
      </c>
      <c r="BK15" t="s">
        <v>590</v>
      </c>
      <c r="BL15" t="s">
        <v>591</v>
      </c>
      <c r="BM15" t="s">
        <v>592</v>
      </c>
      <c r="BN15" t="s">
        <v>578</v>
      </c>
      <c r="BO15" t="s">
        <v>593</v>
      </c>
      <c r="BP15" t="s">
        <v>350</v>
      </c>
      <c r="BQ15" t="s">
        <v>594</v>
      </c>
      <c r="BR15" t="s">
        <v>595</v>
      </c>
      <c r="BS15" t="s">
        <v>328</v>
      </c>
      <c r="BU15" t="s">
        <v>596</v>
      </c>
      <c r="BV15" t="s">
        <v>597</v>
      </c>
      <c r="BW15" t="s">
        <v>598</v>
      </c>
      <c r="BX15" t="s">
        <v>599</v>
      </c>
      <c r="BY15" t="s">
        <v>600</v>
      </c>
      <c r="BZ15" t="s">
        <v>601</v>
      </c>
      <c r="CG15" t="s">
        <v>102</v>
      </c>
      <c r="CH15" t="s">
        <v>602</v>
      </c>
      <c r="CJ15" t="s">
        <v>603</v>
      </c>
      <c r="CK15" t="s">
        <v>602</v>
      </c>
      <c r="CL15" t="s">
        <v>589</v>
      </c>
      <c r="CM15" t="s">
        <v>320</v>
      </c>
      <c r="CN15" t="s">
        <v>603</v>
      </c>
      <c r="CO15" t="s">
        <v>604</v>
      </c>
      <c r="CP15" t="s">
        <v>602</v>
      </c>
      <c r="CQ15" t="s">
        <v>602</v>
      </c>
    </row>
    <row r="16" spans="1:95">
      <c r="A16" t="s">
        <v>149</v>
      </c>
      <c r="B16">
        <v>1204891</v>
      </c>
      <c r="C16" t="s">
        <v>605</v>
      </c>
      <c r="D16" t="str">
        <f>VLOOKUP(B16,'2025'!B:C,2,0)</f>
        <v>Saloni Shah</v>
      </c>
      <c r="F16" t="s">
        <v>95</v>
      </c>
      <c r="G16" t="s">
        <v>606</v>
      </c>
      <c r="H16" t="s">
        <v>193</v>
      </c>
      <c r="I16" t="s">
        <v>98</v>
      </c>
      <c r="J16" t="s">
        <v>607</v>
      </c>
      <c r="K16" t="s">
        <v>100</v>
      </c>
      <c r="L16">
        <v>2202356</v>
      </c>
      <c r="M16">
        <v>2359020</v>
      </c>
      <c r="N16">
        <v>1332000</v>
      </c>
      <c r="O16">
        <v>2220</v>
      </c>
      <c r="P16" t="s">
        <v>310</v>
      </c>
      <c r="Q16">
        <v>0</v>
      </c>
      <c r="R16">
        <v>0</v>
      </c>
      <c r="T16">
        <v>870356</v>
      </c>
      <c r="U16">
        <v>395</v>
      </c>
      <c r="V16" t="s">
        <v>608</v>
      </c>
      <c r="W16" t="s">
        <v>102</v>
      </c>
      <c r="X16" t="s">
        <v>103</v>
      </c>
      <c r="Y16" t="s">
        <v>104</v>
      </c>
      <c r="AA16" t="s">
        <v>609</v>
      </c>
      <c r="AB16" t="s">
        <v>610</v>
      </c>
      <c r="AC16" t="s">
        <v>611</v>
      </c>
      <c r="AD16" t="s">
        <v>612</v>
      </c>
      <c r="AE16" t="s">
        <v>109</v>
      </c>
      <c r="AF16" t="s">
        <v>102</v>
      </c>
      <c r="AG16" t="s">
        <v>109</v>
      </c>
      <c r="AH16" t="s">
        <v>102</v>
      </c>
      <c r="AI16" t="s">
        <v>613</v>
      </c>
      <c r="AJ16" t="s">
        <v>614</v>
      </c>
      <c r="AK16" t="s">
        <v>615</v>
      </c>
      <c r="AL16" t="s">
        <v>616</v>
      </c>
      <c r="AM16" t="s">
        <v>617</v>
      </c>
      <c r="AN16" t="s">
        <v>618</v>
      </c>
      <c r="AO16" t="s">
        <v>619</v>
      </c>
      <c r="AP16" t="s">
        <v>619</v>
      </c>
      <c r="AU16" t="s">
        <v>207</v>
      </c>
      <c r="AV16" t="s">
        <v>118</v>
      </c>
      <c r="AW16" t="s">
        <v>102</v>
      </c>
      <c r="AX16" t="s">
        <v>119</v>
      </c>
      <c r="BA16" t="s">
        <v>250</v>
      </c>
      <c r="BB16" t="s">
        <v>120</v>
      </c>
      <c r="BC16" t="s">
        <v>620</v>
      </c>
      <c r="BD16" t="s">
        <v>621</v>
      </c>
      <c r="BE16" t="s">
        <v>622</v>
      </c>
      <c r="BF16" t="s">
        <v>623</v>
      </c>
      <c r="BG16" t="s">
        <v>124</v>
      </c>
      <c r="BH16" t="s">
        <v>624</v>
      </c>
      <c r="BI16" t="s">
        <v>625</v>
      </c>
      <c r="BJ16" t="s">
        <v>127</v>
      </c>
      <c r="BK16" t="s">
        <v>626</v>
      </c>
      <c r="BL16" t="s">
        <v>627</v>
      </c>
      <c r="BM16" t="s">
        <v>628</v>
      </c>
      <c r="BN16" t="s">
        <v>606</v>
      </c>
      <c r="BO16" t="s">
        <v>629</v>
      </c>
      <c r="BP16" t="s">
        <v>350</v>
      </c>
      <c r="BQ16" t="s">
        <v>630</v>
      </c>
      <c r="BR16" t="s">
        <v>631</v>
      </c>
      <c r="BS16" t="s">
        <v>632</v>
      </c>
      <c r="BU16" t="s">
        <v>633</v>
      </c>
      <c r="BV16" t="s">
        <v>634</v>
      </c>
      <c r="BX16" t="s">
        <v>635</v>
      </c>
      <c r="BY16" t="s">
        <v>636</v>
      </c>
      <c r="BZ16" t="s">
        <v>637</v>
      </c>
      <c r="CA16" t="s">
        <v>638</v>
      </c>
      <c r="CB16" t="s">
        <v>635</v>
      </c>
      <c r="CC16" t="s">
        <v>636</v>
      </c>
      <c r="CD16" t="s">
        <v>638</v>
      </c>
      <c r="CE16" t="s">
        <v>635</v>
      </c>
      <c r="CF16" t="s">
        <v>636</v>
      </c>
      <c r="CG16" t="s">
        <v>102</v>
      </c>
      <c r="CH16" t="s">
        <v>639</v>
      </c>
      <c r="CJ16" t="s">
        <v>640</v>
      </c>
      <c r="CK16" t="s">
        <v>639</v>
      </c>
      <c r="CL16" t="s">
        <v>620</v>
      </c>
      <c r="CM16" t="s">
        <v>621</v>
      </c>
      <c r="CN16" t="s">
        <v>640</v>
      </c>
      <c r="CO16" t="s">
        <v>148</v>
      </c>
      <c r="CP16" t="s">
        <v>639</v>
      </c>
      <c r="CQ16" t="s">
        <v>639</v>
      </c>
    </row>
    <row r="17" spans="1:95">
      <c r="A17" t="s">
        <v>149</v>
      </c>
      <c r="B17">
        <v>12539</v>
      </c>
      <c r="C17" t="s">
        <v>641</v>
      </c>
      <c r="D17" t="str">
        <f>VLOOKUP(B17,'2025'!B:C,2,0)</f>
        <v>Lopamudra Das</v>
      </c>
      <c r="F17" t="s">
        <v>95</v>
      </c>
      <c r="G17" t="s">
        <v>642</v>
      </c>
      <c r="H17" t="s">
        <v>643</v>
      </c>
      <c r="I17" t="s">
        <v>98</v>
      </c>
      <c r="J17" t="s">
        <v>644</v>
      </c>
      <c r="K17" t="s">
        <v>100</v>
      </c>
      <c r="L17">
        <v>3166135</v>
      </c>
      <c r="M17">
        <v>3582955</v>
      </c>
      <c r="N17">
        <v>0</v>
      </c>
      <c r="O17">
        <v>0</v>
      </c>
      <c r="Q17">
        <v>850468</v>
      </c>
      <c r="R17">
        <v>630</v>
      </c>
      <c r="S17" t="s">
        <v>397</v>
      </c>
      <c r="T17">
        <v>2315667</v>
      </c>
      <c r="U17">
        <v>1035</v>
      </c>
      <c r="V17" t="s">
        <v>645</v>
      </c>
      <c r="W17" t="s">
        <v>102</v>
      </c>
      <c r="X17" t="s">
        <v>103</v>
      </c>
      <c r="Y17" t="s">
        <v>104</v>
      </c>
      <c r="AA17" t="s">
        <v>646</v>
      </c>
      <c r="AB17" t="s">
        <v>647</v>
      </c>
      <c r="AC17" t="s">
        <v>648</v>
      </c>
      <c r="AD17" t="s">
        <v>647</v>
      </c>
      <c r="AE17" t="s">
        <v>109</v>
      </c>
      <c r="AF17" t="s">
        <v>102</v>
      </c>
      <c r="AG17" t="s">
        <v>109</v>
      </c>
      <c r="AH17" t="s">
        <v>102</v>
      </c>
      <c r="AI17" t="s">
        <v>649</v>
      </c>
      <c r="AJ17" t="s">
        <v>650</v>
      </c>
      <c r="AK17" t="s">
        <v>499</v>
      </c>
      <c r="AL17" t="s">
        <v>651</v>
      </c>
      <c r="AM17" t="s">
        <v>652</v>
      </c>
      <c r="AN17" t="s">
        <v>653</v>
      </c>
      <c r="AO17" t="s">
        <v>654</v>
      </c>
      <c r="AP17" t="s">
        <v>654</v>
      </c>
      <c r="AU17" t="s">
        <v>102</v>
      </c>
      <c r="AW17" t="s">
        <v>655</v>
      </c>
      <c r="AX17" t="s">
        <v>119</v>
      </c>
      <c r="AY17" t="s">
        <v>170</v>
      </c>
      <c r="AZ17" t="s">
        <v>118</v>
      </c>
      <c r="BA17" t="s">
        <v>250</v>
      </c>
      <c r="BB17" t="s">
        <v>120</v>
      </c>
      <c r="BC17" t="s">
        <v>375</v>
      </c>
      <c r="BD17" t="s">
        <v>376</v>
      </c>
      <c r="BE17" t="s">
        <v>174</v>
      </c>
      <c r="BF17" t="s">
        <v>376</v>
      </c>
      <c r="BG17" t="s">
        <v>124</v>
      </c>
      <c r="BH17" t="s">
        <v>656</v>
      </c>
      <c r="BI17" t="s">
        <v>657</v>
      </c>
      <c r="BJ17" t="s">
        <v>127</v>
      </c>
      <c r="BK17" t="s">
        <v>658</v>
      </c>
      <c r="BL17" t="s">
        <v>659</v>
      </c>
      <c r="BM17" t="s">
        <v>660</v>
      </c>
      <c r="BN17" t="s">
        <v>642</v>
      </c>
      <c r="BO17" t="s">
        <v>179</v>
      </c>
      <c r="BP17" t="s">
        <v>180</v>
      </c>
      <c r="BQ17" t="s">
        <v>181</v>
      </c>
      <c r="BR17" t="s">
        <v>182</v>
      </c>
      <c r="BS17" t="s">
        <v>183</v>
      </c>
      <c r="BU17" t="s">
        <v>661</v>
      </c>
      <c r="BV17" t="s">
        <v>662</v>
      </c>
      <c r="BX17" t="s">
        <v>663</v>
      </c>
      <c r="BY17" t="s">
        <v>664</v>
      </c>
      <c r="BZ17" t="s">
        <v>665</v>
      </c>
      <c r="CA17" t="s">
        <v>666</v>
      </c>
      <c r="CB17" t="s">
        <v>665</v>
      </c>
      <c r="CD17" t="s">
        <v>667</v>
      </c>
      <c r="CE17" t="s">
        <v>668</v>
      </c>
      <c r="CF17" t="s">
        <v>669</v>
      </c>
      <c r="CG17" t="s">
        <v>102</v>
      </c>
      <c r="CH17" t="s">
        <v>670</v>
      </c>
      <c r="CJ17" t="s">
        <v>671</v>
      </c>
      <c r="CK17" t="s">
        <v>670</v>
      </c>
      <c r="CL17" t="s">
        <v>375</v>
      </c>
      <c r="CM17" t="s">
        <v>376</v>
      </c>
      <c r="CN17" t="s">
        <v>671</v>
      </c>
      <c r="CO17" t="s">
        <v>672</v>
      </c>
      <c r="CP17" t="s">
        <v>670</v>
      </c>
      <c r="CQ17" t="s">
        <v>670</v>
      </c>
    </row>
    <row r="18" spans="1:95">
      <c r="A18" t="s">
        <v>337</v>
      </c>
      <c r="B18">
        <v>1271232</v>
      </c>
      <c r="C18" t="s">
        <v>673</v>
      </c>
      <c r="D18" t="str">
        <f>VLOOKUP(B18,'2025'!B:C,2,0)</f>
        <v>Sudhi</v>
      </c>
      <c r="F18" t="s">
        <v>95</v>
      </c>
      <c r="G18" t="s">
        <v>674</v>
      </c>
      <c r="H18" t="s">
        <v>675</v>
      </c>
      <c r="I18" t="s">
        <v>676</v>
      </c>
      <c r="J18" t="s">
        <v>677</v>
      </c>
      <c r="K18" t="s">
        <v>100</v>
      </c>
      <c r="L18">
        <v>1648206</v>
      </c>
      <c r="M18">
        <v>1648206</v>
      </c>
      <c r="N18">
        <v>0</v>
      </c>
      <c r="O18">
        <v>346</v>
      </c>
      <c r="P18" t="s">
        <v>102</v>
      </c>
      <c r="Q18">
        <v>1648206</v>
      </c>
      <c r="R18">
        <v>1030</v>
      </c>
      <c r="S18" t="s">
        <v>678</v>
      </c>
      <c r="T18">
        <v>0</v>
      </c>
      <c r="U18">
        <v>0</v>
      </c>
      <c r="W18" t="s">
        <v>102</v>
      </c>
      <c r="X18" t="s">
        <v>679</v>
      </c>
      <c r="Y18" t="s">
        <v>104</v>
      </c>
      <c r="Z18" t="s">
        <v>680</v>
      </c>
      <c r="AA18" t="s">
        <v>681</v>
      </c>
      <c r="AB18" t="s">
        <v>682</v>
      </c>
      <c r="AC18" t="s">
        <v>683</v>
      </c>
      <c r="AD18" t="s">
        <v>682</v>
      </c>
      <c r="AE18" t="s">
        <v>109</v>
      </c>
      <c r="AF18" t="s">
        <v>102</v>
      </c>
      <c r="AG18" t="s">
        <v>109</v>
      </c>
      <c r="AH18" t="s">
        <v>102</v>
      </c>
      <c r="AI18" t="s">
        <v>102</v>
      </c>
      <c r="AJ18" t="s">
        <v>684</v>
      </c>
      <c r="AK18" t="s">
        <v>685</v>
      </c>
      <c r="AL18" t="s">
        <v>686</v>
      </c>
      <c r="AM18" t="s">
        <v>687</v>
      </c>
      <c r="AN18" t="s">
        <v>688</v>
      </c>
      <c r="AO18" t="s">
        <v>689</v>
      </c>
      <c r="AP18" t="s">
        <v>690</v>
      </c>
      <c r="AR18" t="s">
        <v>169</v>
      </c>
      <c r="AU18" t="s">
        <v>207</v>
      </c>
      <c r="AV18" t="s">
        <v>118</v>
      </c>
      <c r="AW18" t="s">
        <v>655</v>
      </c>
      <c r="AX18" t="s">
        <v>119</v>
      </c>
      <c r="AY18" t="s">
        <v>170</v>
      </c>
      <c r="AZ18" t="s">
        <v>118</v>
      </c>
      <c r="BB18" t="s">
        <v>120</v>
      </c>
      <c r="BC18" t="s">
        <v>691</v>
      </c>
      <c r="BD18" t="s">
        <v>320</v>
      </c>
      <c r="BE18" t="s">
        <v>122</v>
      </c>
      <c r="BF18" t="s">
        <v>123</v>
      </c>
      <c r="BG18" t="s">
        <v>124</v>
      </c>
      <c r="BH18" t="s">
        <v>232</v>
      </c>
      <c r="BI18" t="s">
        <v>126</v>
      </c>
      <c r="BJ18" t="s">
        <v>127</v>
      </c>
      <c r="BK18" t="s">
        <v>692</v>
      </c>
      <c r="BL18" t="s">
        <v>693</v>
      </c>
      <c r="BM18" t="s">
        <v>694</v>
      </c>
      <c r="BN18" t="s">
        <v>674</v>
      </c>
      <c r="BO18" t="s">
        <v>695</v>
      </c>
      <c r="BP18" t="s">
        <v>696</v>
      </c>
      <c r="BQ18" t="s">
        <v>697</v>
      </c>
      <c r="BR18" t="s">
        <v>698</v>
      </c>
      <c r="BS18" t="s">
        <v>699</v>
      </c>
      <c r="BU18" t="s">
        <v>700</v>
      </c>
      <c r="BV18" t="s">
        <v>701</v>
      </c>
      <c r="BW18" t="s">
        <v>354</v>
      </c>
      <c r="BX18" t="s">
        <v>702</v>
      </c>
      <c r="BY18" t="s">
        <v>703</v>
      </c>
      <c r="BZ18" t="s">
        <v>704</v>
      </c>
      <c r="CA18" t="s">
        <v>701</v>
      </c>
      <c r="CB18" t="s">
        <v>705</v>
      </c>
      <c r="CC18" t="s">
        <v>703</v>
      </c>
      <c r="CD18" t="s">
        <v>706</v>
      </c>
      <c r="CE18" t="s">
        <v>707</v>
      </c>
      <c r="CF18" t="s">
        <v>708</v>
      </c>
      <c r="CG18" t="s">
        <v>709</v>
      </c>
      <c r="CH18" t="s">
        <v>710</v>
      </c>
      <c r="CJ18" t="s">
        <v>711</v>
      </c>
      <c r="CK18" t="s">
        <v>712</v>
      </c>
      <c r="CL18" t="s">
        <v>691</v>
      </c>
      <c r="CM18" t="s">
        <v>320</v>
      </c>
      <c r="CN18" t="s">
        <v>711</v>
      </c>
      <c r="CP18" t="s">
        <v>713</v>
      </c>
      <c r="CQ18" t="s">
        <v>714</v>
      </c>
    </row>
    <row r="19" spans="1:95">
      <c r="A19" t="s">
        <v>495</v>
      </c>
      <c r="B19">
        <v>128171</v>
      </c>
      <c r="C19" t="s">
        <v>715</v>
      </c>
      <c r="D19" t="str">
        <f>VLOOKUP(B19,'2025'!B:C,2,0)</f>
        <v>Ishita Jethwa</v>
      </c>
      <c r="F19" t="s">
        <v>95</v>
      </c>
      <c r="G19" t="s">
        <v>716</v>
      </c>
      <c r="H19" t="s">
        <v>152</v>
      </c>
      <c r="I19" t="s">
        <v>98</v>
      </c>
      <c r="J19" t="s">
        <v>717</v>
      </c>
      <c r="K19" t="s">
        <v>100</v>
      </c>
      <c r="L19">
        <v>1797563</v>
      </c>
      <c r="M19">
        <v>1797563</v>
      </c>
      <c r="N19">
        <v>0</v>
      </c>
      <c r="O19">
        <v>0</v>
      </c>
      <c r="Q19">
        <v>1797563</v>
      </c>
      <c r="R19">
        <v>1924</v>
      </c>
      <c r="S19" t="s">
        <v>718</v>
      </c>
      <c r="T19">
        <v>0</v>
      </c>
      <c r="U19">
        <v>0</v>
      </c>
      <c r="W19" t="s">
        <v>102</v>
      </c>
      <c r="X19" t="s">
        <v>103</v>
      </c>
      <c r="Y19" t="s">
        <v>104</v>
      </c>
      <c r="AA19" t="s">
        <v>719</v>
      </c>
      <c r="AB19" t="s">
        <v>720</v>
      </c>
      <c r="AC19" t="s">
        <v>721</v>
      </c>
      <c r="AD19" t="s">
        <v>720</v>
      </c>
      <c r="AE19" t="s">
        <v>109</v>
      </c>
      <c r="AF19" t="s">
        <v>102</v>
      </c>
      <c r="AG19" t="s">
        <v>109</v>
      </c>
      <c r="AH19" t="s">
        <v>102</v>
      </c>
      <c r="AI19" t="s">
        <v>722</v>
      </c>
      <c r="AJ19" t="s">
        <v>111</v>
      </c>
      <c r="AK19" t="s">
        <v>723</v>
      </c>
      <c r="AL19" t="s">
        <v>724</v>
      </c>
      <c r="AM19" t="s">
        <v>725</v>
      </c>
      <c r="AN19" t="s">
        <v>726</v>
      </c>
      <c r="AO19" t="s">
        <v>727</v>
      </c>
      <c r="AP19" t="s">
        <v>728</v>
      </c>
      <c r="AR19" t="s">
        <v>169</v>
      </c>
      <c r="AT19" t="s">
        <v>169</v>
      </c>
      <c r="AU19" t="s">
        <v>102</v>
      </c>
      <c r="AW19" t="s">
        <v>155</v>
      </c>
      <c r="AX19" t="s">
        <v>119</v>
      </c>
      <c r="AY19" t="s">
        <v>170</v>
      </c>
      <c r="AZ19" t="s">
        <v>118</v>
      </c>
      <c r="BB19" t="s">
        <v>120</v>
      </c>
      <c r="BC19" t="s">
        <v>729</v>
      </c>
      <c r="BD19" t="s">
        <v>730</v>
      </c>
      <c r="BE19" t="s">
        <v>622</v>
      </c>
      <c r="BF19" t="s">
        <v>730</v>
      </c>
      <c r="BG19" t="s">
        <v>124</v>
      </c>
      <c r="BH19" t="s">
        <v>232</v>
      </c>
      <c r="BI19" t="s">
        <v>126</v>
      </c>
      <c r="BJ19" t="s">
        <v>127</v>
      </c>
      <c r="BK19" t="s">
        <v>731</v>
      </c>
      <c r="BL19" t="s">
        <v>732</v>
      </c>
      <c r="BM19" t="s">
        <v>733</v>
      </c>
      <c r="BN19" t="s">
        <v>716</v>
      </c>
      <c r="BO19" t="s">
        <v>734</v>
      </c>
      <c r="BP19" t="s">
        <v>350</v>
      </c>
      <c r="BQ19" t="s">
        <v>735</v>
      </c>
      <c r="BR19" t="s">
        <v>736</v>
      </c>
      <c r="BS19" t="s">
        <v>737</v>
      </c>
      <c r="BU19" t="s">
        <v>738</v>
      </c>
      <c r="BV19" t="s">
        <v>739</v>
      </c>
      <c r="BW19" t="s">
        <v>138</v>
      </c>
      <c r="BX19" t="s">
        <v>740</v>
      </c>
      <c r="BY19" t="s">
        <v>741</v>
      </c>
      <c r="BZ19" t="s">
        <v>742</v>
      </c>
      <c r="CA19" t="s">
        <v>739</v>
      </c>
      <c r="CB19" t="s">
        <v>740</v>
      </c>
      <c r="CC19" t="s">
        <v>741</v>
      </c>
      <c r="CD19" t="s">
        <v>743</v>
      </c>
      <c r="CE19" t="s">
        <v>744</v>
      </c>
      <c r="CF19" t="s">
        <v>745</v>
      </c>
      <c r="CG19" t="s">
        <v>746</v>
      </c>
      <c r="CH19" t="s">
        <v>747</v>
      </c>
      <c r="CJ19" t="s">
        <v>748</v>
      </c>
      <c r="CK19" t="s">
        <v>749</v>
      </c>
      <c r="CL19" t="s">
        <v>729</v>
      </c>
      <c r="CM19" t="s">
        <v>730</v>
      </c>
      <c r="CN19" t="s">
        <v>748</v>
      </c>
      <c r="CO19" t="s">
        <v>750</v>
      </c>
      <c r="CP19" t="s">
        <v>747</v>
      </c>
      <c r="CQ19" t="s">
        <v>749</v>
      </c>
    </row>
    <row r="20" spans="1:95">
      <c r="A20" t="s">
        <v>149</v>
      </c>
      <c r="B20">
        <v>1312595</v>
      </c>
      <c r="C20" t="s">
        <v>751</v>
      </c>
      <c r="F20" t="s">
        <v>95</v>
      </c>
      <c r="G20" t="s">
        <v>192</v>
      </c>
      <c r="H20" t="s">
        <v>193</v>
      </c>
      <c r="I20" t="s">
        <v>98</v>
      </c>
      <c r="J20" t="s">
        <v>752</v>
      </c>
      <c r="K20" t="s">
        <v>100</v>
      </c>
      <c r="L20">
        <v>440692</v>
      </c>
      <c r="M20">
        <v>490128</v>
      </c>
      <c r="N20">
        <v>166047</v>
      </c>
      <c r="O20">
        <v>534</v>
      </c>
      <c r="P20" t="s">
        <v>195</v>
      </c>
      <c r="Q20">
        <v>0</v>
      </c>
      <c r="R20">
        <v>0</v>
      </c>
      <c r="T20">
        <v>274645</v>
      </c>
      <c r="U20">
        <v>540</v>
      </c>
      <c r="V20" t="s">
        <v>196</v>
      </c>
      <c r="W20" t="s">
        <v>102</v>
      </c>
      <c r="X20" t="s">
        <v>103</v>
      </c>
      <c r="Y20" t="s">
        <v>104</v>
      </c>
      <c r="AA20" t="s">
        <v>197</v>
      </c>
      <c r="AB20" t="s">
        <v>753</v>
      </c>
      <c r="AC20" t="s">
        <v>199</v>
      </c>
      <c r="AD20" t="s">
        <v>753</v>
      </c>
      <c r="AE20" t="s">
        <v>109</v>
      </c>
      <c r="AF20" t="s">
        <v>102</v>
      </c>
      <c r="AG20" t="s">
        <v>109</v>
      </c>
      <c r="AH20" t="s">
        <v>102</v>
      </c>
      <c r="AI20" t="s">
        <v>754</v>
      </c>
      <c r="AJ20" t="s">
        <v>201</v>
      </c>
      <c r="AK20" t="s">
        <v>202</v>
      </c>
      <c r="AL20" t="s">
        <v>755</v>
      </c>
      <c r="AM20" t="s">
        <v>756</v>
      </c>
      <c r="AN20" t="s">
        <v>757</v>
      </c>
      <c r="AO20" t="s">
        <v>206</v>
      </c>
      <c r="AP20" t="s">
        <v>206</v>
      </c>
      <c r="AU20" t="s">
        <v>207</v>
      </c>
      <c r="AV20" t="s">
        <v>118</v>
      </c>
      <c r="AW20" t="s">
        <v>102</v>
      </c>
      <c r="AX20" t="s">
        <v>119</v>
      </c>
      <c r="BA20" t="s">
        <v>208</v>
      </c>
      <c r="BB20" t="s">
        <v>209</v>
      </c>
      <c r="BC20" t="s">
        <v>758</v>
      </c>
      <c r="BD20" t="s">
        <v>211</v>
      </c>
      <c r="BE20" t="s">
        <v>212</v>
      </c>
      <c r="BF20" t="s">
        <v>213</v>
      </c>
      <c r="BG20" t="s">
        <v>124</v>
      </c>
      <c r="BH20" t="s">
        <v>214</v>
      </c>
      <c r="BI20" t="s">
        <v>215</v>
      </c>
      <c r="BJ20" t="s">
        <v>127</v>
      </c>
      <c r="BK20" t="s">
        <v>759</v>
      </c>
      <c r="BL20" t="s">
        <v>760</v>
      </c>
      <c r="BM20" t="s">
        <v>761</v>
      </c>
      <c r="BN20" t="s">
        <v>192</v>
      </c>
      <c r="BO20" t="s">
        <v>219</v>
      </c>
      <c r="BP20" t="s">
        <v>180</v>
      </c>
      <c r="BQ20" t="s">
        <v>220</v>
      </c>
      <c r="BR20" t="s">
        <v>221</v>
      </c>
      <c r="BS20" t="s">
        <v>222</v>
      </c>
      <c r="BU20" t="s">
        <v>762</v>
      </c>
      <c r="BV20" t="s">
        <v>224</v>
      </c>
      <c r="BX20" t="s">
        <v>225</v>
      </c>
      <c r="BY20" t="s">
        <v>226</v>
      </c>
      <c r="BZ20" t="s">
        <v>763</v>
      </c>
      <c r="CG20" t="s">
        <v>102</v>
      </c>
      <c r="CH20" t="s">
        <v>764</v>
      </c>
      <c r="CJ20" t="s">
        <v>765</v>
      </c>
      <c r="CK20" t="s">
        <v>764</v>
      </c>
      <c r="CL20" t="s">
        <v>758</v>
      </c>
      <c r="CM20" t="s">
        <v>211</v>
      </c>
      <c r="CN20" t="s">
        <v>765</v>
      </c>
      <c r="CO20" t="s">
        <v>230</v>
      </c>
      <c r="CP20" t="s">
        <v>764</v>
      </c>
      <c r="CQ20" t="s">
        <v>764</v>
      </c>
    </row>
    <row r="21" spans="1:95">
      <c r="A21" t="s">
        <v>149</v>
      </c>
      <c r="B21">
        <v>1315210</v>
      </c>
      <c r="C21" t="s">
        <v>766</v>
      </c>
      <c r="F21" t="s">
        <v>95</v>
      </c>
      <c r="G21" t="s">
        <v>192</v>
      </c>
      <c r="H21" t="s">
        <v>193</v>
      </c>
      <c r="I21" t="s">
        <v>98</v>
      </c>
      <c r="J21" t="s">
        <v>767</v>
      </c>
      <c r="K21" t="s">
        <v>100</v>
      </c>
      <c r="L21">
        <v>610369</v>
      </c>
      <c r="M21">
        <v>678481</v>
      </c>
      <c r="N21">
        <v>231969</v>
      </c>
      <c r="O21">
        <v>746</v>
      </c>
      <c r="P21" t="s">
        <v>195</v>
      </c>
      <c r="Q21">
        <v>0</v>
      </c>
      <c r="R21">
        <v>0</v>
      </c>
      <c r="T21">
        <v>378400</v>
      </c>
      <c r="U21">
        <v>744</v>
      </c>
      <c r="V21" t="s">
        <v>196</v>
      </c>
      <c r="W21" t="s">
        <v>102</v>
      </c>
      <c r="X21" t="s">
        <v>103</v>
      </c>
      <c r="Y21" t="s">
        <v>104</v>
      </c>
      <c r="AA21" t="s">
        <v>197</v>
      </c>
      <c r="AB21" t="s">
        <v>768</v>
      </c>
      <c r="AC21" t="s">
        <v>199</v>
      </c>
      <c r="AD21" t="s">
        <v>768</v>
      </c>
      <c r="AE21" t="s">
        <v>109</v>
      </c>
      <c r="AF21" t="s">
        <v>102</v>
      </c>
      <c r="AG21" t="s">
        <v>109</v>
      </c>
      <c r="AH21" t="s">
        <v>102</v>
      </c>
      <c r="AI21" t="s">
        <v>769</v>
      </c>
      <c r="AJ21" t="s">
        <v>201</v>
      </c>
      <c r="AK21" t="s">
        <v>202</v>
      </c>
      <c r="AL21" t="s">
        <v>770</v>
      </c>
      <c r="AM21" t="s">
        <v>771</v>
      </c>
      <c r="AN21" t="s">
        <v>772</v>
      </c>
      <c r="AO21" t="s">
        <v>206</v>
      </c>
      <c r="AP21" t="s">
        <v>206</v>
      </c>
      <c r="AU21" t="s">
        <v>207</v>
      </c>
      <c r="AV21" t="s">
        <v>118</v>
      </c>
      <c r="AW21" t="s">
        <v>102</v>
      </c>
      <c r="AX21" t="s">
        <v>119</v>
      </c>
      <c r="BA21" t="s">
        <v>250</v>
      </c>
      <c r="BB21" t="s">
        <v>120</v>
      </c>
      <c r="BC21" t="s">
        <v>758</v>
      </c>
      <c r="BD21" t="s">
        <v>211</v>
      </c>
      <c r="BE21" t="s">
        <v>212</v>
      </c>
      <c r="BF21" t="s">
        <v>213</v>
      </c>
      <c r="BG21" t="s">
        <v>124</v>
      </c>
      <c r="BH21" t="s">
        <v>214</v>
      </c>
      <c r="BI21" t="s">
        <v>215</v>
      </c>
      <c r="BJ21" t="s">
        <v>127</v>
      </c>
      <c r="BK21" t="s">
        <v>773</v>
      </c>
      <c r="BL21" t="s">
        <v>774</v>
      </c>
      <c r="BM21" t="s">
        <v>775</v>
      </c>
      <c r="BN21" t="s">
        <v>192</v>
      </c>
      <c r="BO21" t="s">
        <v>219</v>
      </c>
      <c r="BP21" t="s">
        <v>180</v>
      </c>
      <c r="BQ21" t="s">
        <v>220</v>
      </c>
      <c r="BR21" t="s">
        <v>221</v>
      </c>
      <c r="BS21" t="s">
        <v>222</v>
      </c>
      <c r="BU21" t="s">
        <v>776</v>
      </c>
      <c r="BV21" t="s">
        <v>224</v>
      </c>
      <c r="BX21" t="s">
        <v>225</v>
      </c>
      <c r="BY21" t="s">
        <v>226</v>
      </c>
      <c r="BZ21" t="s">
        <v>777</v>
      </c>
      <c r="CG21" t="s">
        <v>102</v>
      </c>
      <c r="CH21" t="s">
        <v>778</v>
      </c>
      <c r="CJ21" t="s">
        <v>779</v>
      </c>
      <c r="CK21" t="s">
        <v>780</v>
      </c>
      <c r="CL21" t="s">
        <v>758</v>
      </c>
      <c r="CM21" t="s">
        <v>211</v>
      </c>
      <c r="CN21" t="s">
        <v>779</v>
      </c>
      <c r="CO21" t="s">
        <v>230</v>
      </c>
      <c r="CP21" t="s">
        <v>778</v>
      </c>
      <c r="CQ21" t="s">
        <v>780</v>
      </c>
    </row>
    <row r="22" spans="1:95">
      <c r="A22" t="s">
        <v>149</v>
      </c>
      <c r="B22">
        <v>1316481</v>
      </c>
      <c r="C22" t="s">
        <v>781</v>
      </c>
      <c r="F22" t="s">
        <v>95</v>
      </c>
      <c r="G22" t="s">
        <v>192</v>
      </c>
      <c r="H22" t="s">
        <v>193</v>
      </c>
      <c r="I22" t="s">
        <v>98</v>
      </c>
      <c r="J22" t="s">
        <v>782</v>
      </c>
      <c r="K22" t="s">
        <v>100</v>
      </c>
      <c r="L22">
        <v>684044</v>
      </c>
      <c r="M22">
        <v>760212</v>
      </c>
      <c r="N22">
        <v>260887</v>
      </c>
      <c r="O22">
        <v>839</v>
      </c>
      <c r="P22" t="s">
        <v>195</v>
      </c>
      <c r="Q22">
        <v>0</v>
      </c>
      <c r="R22">
        <v>0</v>
      </c>
      <c r="T22">
        <v>423157</v>
      </c>
      <c r="U22">
        <v>832</v>
      </c>
      <c r="V22" t="s">
        <v>196</v>
      </c>
      <c r="W22" t="s">
        <v>102</v>
      </c>
      <c r="X22" t="s">
        <v>103</v>
      </c>
      <c r="Y22" t="s">
        <v>104</v>
      </c>
      <c r="AA22" t="s">
        <v>197</v>
      </c>
      <c r="AB22" t="s">
        <v>783</v>
      </c>
      <c r="AC22" t="s">
        <v>199</v>
      </c>
      <c r="AD22" t="s">
        <v>783</v>
      </c>
      <c r="AE22" t="s">
        <v>109</v>
      </c>
      <c r="AF22" t="s">
        <v>102</v>
      </c>
      <c r="AG22" t="s">
        <v>109</v>
      </c>
      <c r="AH22" t="s">
        <v>102</v>
      </c>
      <c r="AI22" t="s">
        <v>784</v>
      </c>
      <c r="AJ22" t="s">
        <v>201</v>
      </c>
      <c r="AK22" t="s">
        <v>202</v>
      </c>
      <c r="AL22" t="s">
        <v>785</v>
      </c>
      <c r="AM22" t="s">
        <v>786</v>
      </c>
      <c r="AN22" t="s">
        <v>787</v>
      </c>
      <c r="AO22" t="s">
        <v>206</v>
      </c>
      <c r="AP22" t="s">
        <v>206</v>
      </c>
      <c r="AU22" t="s">
        <v>207</v>
      </c>
      <c r="AV22" t="s">
        <v>118</v>
      </c>
      <c r="AW22" t="s">
        <v>102</v>
      </c>
      <c r="AX22" t="s">
        <v>119</v>
      </c>
      <c r="BA22" t="s">
        <v>208</v>
      </c>
      <c r="BB22" t="s">
        <v>120</v>
      </c>
      <c r="BC22" t="s">
        <v>788</v>
      </c>
      <c r="BD22" t="s">
        <v>211</v>
      </c>
      <c r="BE22" t="s">
        <v>212</v>
      </c>
      <c r="BF22" t="s">
        <v>213</v>
      </c>
      <c r="BG22" t="s">
        <v>124</v>
      </c>
      <c r="BH22" t="s">
        <v>214</v>
      </c>
      <c r="BI22" t="s">
        <v>215</v>
      </c>
      <c r="BJ22" t="s">
        <v>127</v>
      </c>
      <c r="BK22" t="s">
        <v>789</v>
      </c>
      <c r="BL22" t="s">
        <v>790</v>
      </c>
      <c r="BM22" t="s">
        <v>791</v>
      </c>
      <c r="BN22" t="s">
        <v>192</v>
      </c>
      <c r="BO22" t="s">
        <v>219</v>
      </c>
      <c r="BP22" t="s">
        <v>180</v>
      </c>
      <c r="BQ22" t="s">
        <v>220</v>
      </c>
      <c r="BR22" t="s">
        <v>221</v>
      </c>
      <c r="BS22" t="s">
        <v>222</v>
      </c>
      <c r="BU22" t="s">
        <v>792</v>
      </c>
      <c r="BV22" t="s">
        <v>224</v>
      </c>
      <c r="BX22" t="s">
        <v>225</v>
      </c>
      <c r="BY22" t="s">
        <v>226</v>
      </c>
      <c r="BZ22" t="s">
        <v>793</v>
      </c>
      <c r="CG22" t="s">
        <v>102</v>
      </c>
      <c r="CH22" t="s">
        <v>794</v>
      </c>
      <c r="CJ22" t="s">
        <v>795</v>
      </c>
      <c r="CK22" t="s">
        <v>794</v>
      </c>
      <c r="CL22" t="s">
        <v>788</v>
      </c>
      <c r="CM22" t="s">
        <v>211</v>
      </c>
      <c r="CN22" t="s">
        <v>795</v>
      </c>
      <c r="CO22" t="s">
        <v>230</v>
      </c>
      <c r="CP22" t="s">
        <v>794</v>
      </c>
      <c r="CQ22" t="s">
        <v>794</v>
      </c>
    </row>
    <row r="23" spans="1:95">
      <c r="A23" t="s">
        <v>337</v>
      </c>
      <c r="B23">
        <v>1324480</v>
      </c>
      <c r="C23" t="s">
        <v>796</v>
      </c>
      <c r="D23" t="str">
        <f>VLOOKUP(B23,'2025'!B:C,2,0)</f>
        <v>Tanya</v>
      </c>
      <c r="F23" t="s">
        <v>95</v>
      </c>
      <c r="G23" t="s">
        <v>797</v>
      </c>
      <c r="H23" t="s">
        <v>193</v>
      </c>
      <c r="I23" t="s">
        <v>98</v>
      </c>
      <c r="J23" t="s">
        <v>798</v>
      </c>
      <c r="K23" t="s">
        <v>100</v>
      </c>
      <c r="L23">
        <v>1282258</v>
      </c>
      <c r="M23">
        <v>1450060</v>
      </c>
      <c r="N23">
        <v>350025</v>
      </c>
      <c r="O23">
        <v>500</v>
      </c>
      <c r="P23" t="s">
        <v>799</v>
      </c>
      <c r="Q23">
        <v>0</v>
      </c>
      <c r="R23">
        <v>0</v>
      </c>
      <c r="T23">
        <v>932233</v>
      </c>
      <c r="U23">
        <v>500</v>
      </c>
      <c r="V23" t="s">
        <v>800</v>
      </c>
      <c r="W23" t="s">
        <v>102</v>
      </c>
      <c r="X23" t="s">
        <v>103</v>
      </c>
      <c r="Y23" t="s">
        <v>801</v>
      </c>
      <c r="AA23" t="s">
        <v>802</v>
      </c>
      <c r="AB23" t="s">
        <v>803</v>
      </c>
      <c r="AC23" t="s">
        <v>804</v>
      </c>
      <c r="AD23" t="s">
        <v>803</v>
      </c>
      <c r="AE23" t="s">
        <v>805</v>
      </c>
      <c r="AF23" t="s">
        <v>806</v>
      </c>
      <c r="AG23" t="s">
        <v>807</v>
      </c>
      <c r="AH23" t="s">
        <v>806</v>
      </c>
      <c r="AI23" t="s">
        <v>102</v>
      </c>
      <c r="AJ23" t="s">
        <v>808</v>
      </c>
      <c r="AK23" t="s">
        <v>809</v>
      </c>
      <c r="AL23" t="s">
        <v>810</v>
      </c>
      <c r="AM23" t="s">
        <v>811</v>
      </c>
      <c r="AN23" t="s">
        <v>812</v>
      </c>
      <c r="AO23" t="s">
        <v>813</v>
      </c>
      <c r="AP23" t="s">
        <v>813</v>
      </c>
      <c r="AU23" t="s">
        <v>207</v>
      </c>
      <c r="AV23" t="s">
        <v>118</v>
      </c>
      <c r="AW23" t="s">
        <v>102</v>
      </c>
      <c r="AX23" t="s">
        <v>119</v>
      </c>
      <c r="BA23" t="s">
        <v>250</v>
      </c>
      <c r="BB23" t="s">
        <v>120</v>
      </c>
      <c r="BC23" t="s">
        <v>814</v>
      </c>
      <c r="BD23" t="s">
        <v>320</v>
      </c>
      <c r="BE23" t="s">
        <v>122</v>
      </c>
      <c r="BF23" t="s">
        <v>123</v>
      </c>
      <c r="BG23" t="s">
        <v>124</v>
      </c>
      <c r="BH23" t="s">
        <v>815</v>
      </c>
      <c r="BI23" t="s">
        <v>126</v>
      </c>
      <c r="BJ23" t="s">
        <v>127</v>
      </c>
      <c r="BK23" t="s">
        <v>816</v>
      </c>
      <c r="BL23" t="s">
        <v>817</v>
      </c>
      <c r="BM23" t="s">
        <v>818</v>
      </c>
      <c r="BN23" t="s">
        <v>797</v>
      </c>
      <c r="BO23" t="s">
        <v>695</v>
      </c>
      <c r="BP23" t="s">
        <v>350</v>
      </c>
      <c r="BQ23" t="s">
        <v>697</v>
      </c>
      <c r="BR23" t="s">
        <v>698</v>
      </c>
      <c r="BS23" t="s">
        <v>819</v>
      </c>
      <c r="BT23" t="s">
        <v>261</v>
      </c>
      <c r="BU23" t="s">
        <v>820</v>
      </c>
      <c r="BV23" t="s">
        <v>821</v>
      </c>
      <c r="BW23" t="s">
        <v>354</v>
      </c>
      <c r="BX23" t="s">
        <v>822</v>
      </c>
      <c r="BY23" t="s">
        <v>823</v>
      </c>
      <c r="BZ23" t="s">
        <v>824</v>
      </c>
      <c r="CA23" t="s">
        <v>825</v>
      </c>
      <c r="CB23" t="s">
        <v>826</v>
      </c>
      <c r="CC23" t="s">
        <v>827</v>
      </c>
      <c r="CD23" t="s">
        <v>825</v>
      </c>
      <c r="CE23" t="s">
        <v>826</v>
      </c>
      <c r="CF23" t="s">
        <v>827</v>
      </c>
      <c r="CG23" t="s">
        <v>828</v>
      </c>
      <c r="CH23" t="s">
        <v>829</v>
      </c>
      <c r="CJ23" t="s">
        <v>830</v>
      </c>
      <c r="CK23" t="s">
        <v>829</v>
      </c>
      <c r="CL23" t="s">
        <v>814</v>
      </c>
      <c r="CM23" t="s">
        <v>320</v>
      </c>
      <c r="CN23" t="s">
        <v>830</v>
      </c>
      <c r="CP23" t="s">
        <v>829</v>
      </c>
      <c r="CQ23" t="s">
        <v>829</v>
      </c>
    </row>
    <row r="24" spans="1:95">
      <c r="A24" t="s">
        <v>149</v>
      </c>
      <c r="B24">
        <v>1330320</v>
      </c>
      <c r="C24" t="s">
        <v>831</v>
      </c>
      <c r="F24" t="s">
        <v>95</v>
      </c>
      <c r="G24" t="s">
        <v>192</v>
      </c>
      <c r="H24" t="s">
        <v>193</v>
      </c>
      <c r="I24" t="s">
        <v>98</v>
      </c>
      <c r="J24" t="s">
        <v>832</v>
      </c>
      <c r="K24" t="s">
        <v>100</v>
      </c>
      <c r="L24">
        <v>753983</v>
      </c>
      <c r="M24">
        <v>840222</v>
      </c>
      <c r="N24">
        <v>274880</v>
      </c>
      <c r="O24">
        <v>884</v>
      </c>
      <c r="P24" t="s">
        <v>195</v>
      </c>
      <c r="Q24">
        <v>0</v>
      </c>
      <c r="R24">
        <v>0</v>
      </c>
      <c r="T24">
        <v>479103</v>
      </c>
      <c r="U24">
        <v>942</v>
      </c>
      <c r="V24" t="s">
        <v>196</v>
      </c>
      <c r="W24" t="s">
        <v>102</v>
      </c>
      <c r="X24" t="s">
        <v>103</v>
      </c>
      <c r="Y24" t="s">
        <v>104</v>
      </c>
      <c r="AA24" t="s">
        <v>197</v>
      </c>
      <c r="AB24" t="s">
        <v>833</v>
      </c>
      <c r="AC24" t="s">
        <v>199</v>
      </c>
      <c r="AD24" t="s">
        <v>833</v>
      </c>
      <c r="AE24" t="s">
        <v>109</v>
      </c>
      <c r="AF24" t="s">
        <v>102</v>
      </c>
      <c r="AG24" t="s">
        <v>109</v>
      </c>
      <c r="AH24" t="s">
        <v>102</v>
      </c>
      <c r="AI24" t="s">
        <v>834</v>
      </c>
      <c r="AJ24" t="s">
        <v>201</v>
      </c>
      <c r="AK24" t="s">
        <v>202</v>
      </c>
      <c r="AL24" t="s">
        <v>835</v>
      </c>
      <c r="AM24" t="s">
        <v>836</v>
      </c>
      <c r="AN24" t="s">
        <v>837</v>
      </c>
      <c r="AO24" t="s">
        <v>206</v>
      </c>
      <c r="AP24" t="s">
        <v>206</v>
      </c>
      <c r="AU24" t="s">
        <v>207</v>
      </c>
      <c r="AV24" t="s">
        <v>118</v>
      </c>
      <c r="AW24" t="s">
        <v>102</v>
      </c>
      <c r="AX24" t="s">
        <v>119</v>
      </c>
      <c r="BA24" t="s">
        <v>250</v>
      </c>
      <c r="BB24" t="s">
        <v>120</v>
      </c>
      <c r="BC24" t="s">
        <v>838</v>
      </c>
      <c r="BD24" t="s">
        <v>211</v>
      </c>
      <c r="BE24" t="s">
        <v>212</v>
      </c>
      <c r="BF24" t="s">
        <v>213</v>
      </c>
      <c r="BG24" t="s">
        <v>124</v>
      </c>
      <c r="BH24" t="s">
        <v>214</v>
      </c>
      <c r="BI24" t="s">
        <v>215</v>
      </c>
      <c r="BJ24" t="s">
        <v>127</v>
      </c>
      <c r="BK24" t="s">
        <v>839</v>
      </c>
      <c r="BL24" t="s">
        <v>840</v>
      </c>
      <c r="BM24" t="s">
        <v>841</v>
      </c>
      <c r="BN24" t="s">
        <v>192</v>
      </c>
      <c r="BO24" t="s">
        <v>219</v>
      </c>
      <c r="BP24" t="s">
        <v>180</v>
      </c>
      <c r="BQ24" t="s">
        <v>220</v>
      </c>
      <c r="BR24" t="s">
        <v>221</v>
      </c>
      <c r="BS24" t="s">
        <v>222</v>
      </c>
      <c r="BU24" t="s">
        <v>842</v>
      </c>
      <c r="BV24" t="s">
        <v>224</v>
      </c>
      <c r="BX24" t="s">
        <v>225</v>
      </c>
      <c r="BY24" t="s">
        <v>226</v>
      </c>
      <c r="BZ24" t="s">
        <v>843</v>
      </c>
      <c r="CG24" t="s">
        <v>102</v>
      </c>
      <c r="CH24" t="s">
        <v>844</v>
      </c>
      <c r="CJ24" t="s">
        <v>845</v>
      </c>
      <c r="CK24" t="s">
        <v>844</v>
      </c>
      <c r="CL24" t="s">
        <v>838</v>
      </c>
      <c r="CM24" t="s">
        <v>211</v>
      </c>
      <c r="CN24" t="s">
        <v>845</v>
      </c>
      <c r="CO24" t="s">
        <v>230</v>
      </c>
      <c r="CP24" t="s">
        <v>844</v>
      </c>
      <c r="CQ24" t="s">
        <v>844</v>
      </c>
    </row>
    <row r="25" spans="1:95">
      <c r="A25" t="s">
        <v>149</v>
      </c>
      <c r="B25">
        <v>1337248</v>
      </c>
      <c r="C25" t="s">
        <v>846</v>
      </c>
      <c r="F25" t="s">
        <v>95</v>
      </c>
      <c r="G25" t="s">
        <v>847</v>
      </c>
      <c r="H25" t="s">
        <v>848</v>
      </c>
      <c r="I25" t="s">
        <v>98</v>
      </c>
      <c r="J25" t="s">
        <v>849</v>
      </c>
      <c r="K25" t="s">
        <v>100</v>
      </c>
      <c r="L25">
        <v>480456</v>
      </c>
      <c r="M25">
        <v>566938</v>
      </c>
      <c r="N25">
        <v>0</v>
      </c>
      <c r="O25">
        <v>0</v>
      </c>
      <c r="Q25">
        <v>0</v>
      </c>
      <c r="R25">
        <v>0</v>
      </c>
      <c r="T25">
        <v>480456</v>
      </c>
      <c r="U25">
        <v>378</v>
      </c>
      <c r="V25" t="s">
        <v>850</v>
      </c>
      <c r="W25" t="s">
        <v>102</v>
      </c>
      <c r="X25" t="s">
        <v>103</v>
      </c>
      <c r="Y25" t="s">
        <v>155</v>
      </c>
      <c r="AA25" t="s">
        <v>851</v>
      </c>
      <c r="AB25" t="s">
        <v>852</v>
      </c>
      <c r="AC25" t="s">
        <v>853</v>
      </c>
      <c r="AD25" t="s">
        <v>852</v>
      </c>
      <c r="AE25" t="s">
        <v>854</v>
      </c>
      <c r="AF25" t="s">
        <v>852</v>
      </c>
      <c r="AG25" t="s">
        <v>160</v>
      </c>
      <c r="AH25" t="s">
        <v>852</v>
      </c>
      <c r="AI25" t="s">
        <v>855</v>
      </c>
      <c r="AJ25" t="s">
        <v>856</v>
      </c>
      <c r="AK25" t="s">
        <v>857</v>
      </c>
      <c r="AL25" t="s">
        <v>858</v>
      </c>
      <c r="AM25" t="s">
        <v>859</v>
      </c>
      <c r="AN25" t="s">
        <v>860</v>
      </c>
      <c r="AO25" t="s">
        <v>861</v>
      </c>
      <c r="AP25" t="s">
        <v>861</v>
      </c>
      <c r="AU25" t="s">
        <v>102</v>
      </c>
      <c r="AW25" t="s">
        <v>102</v>
      </c>
      <c r="AX25" t="s">
        <v>119</v>
      </c>
      <c r="BA25" t="s">
        <v>250</v>
      </c>
      <c r="BB25" t="s">
        <v>120</v>
      </c>
      <c r="BC25" t="s">
        <v>862</v>
      </c>
      <c r="BD25" t="s">
        <v>410</v>
      </c>
      <c r="BE25" t="s">
        <v>212</v>
      </c>
      <c r="BF25" t="s">
        <v>410</v>
      </c>
      <c r="BG25" t="s">
        <v>124</v>
      </c>
      <c r="BH25" t="s">
        <v>851</v>
      </c>
      <c r="BI25" t="s">
        <v>625</v>
      </c>
      <c r="BJ25" t="s">
        <v>127</v>
      </c>
      <c r="BK25" t="s">
        <v>863</v>
      </c>
      <c r="BL25" t="s">
        <v>864</v>
      </c>
      <c r="BM25" t="s">
        <v>865</v>
      </c>
      <c r="BN25" t="s">
        <v>847</v>
      </c>
      <c r="BO25" t="s">
        <v>866</v>
      </c>
      <c r="BP25" t="s">
        <v>132</v>
      </c>
      <c r="BQ25" t="s">
        <v>867</v>
      </c>
      <c r="BR25" t="s">
        <v>868</v>
      </c>
      <c r="BS25" t="s">
        <v>418</v>
      </c>
      <c r="BU25" t="s">
        <v>869</v>
      </c>
      <c r="BV25" t="s">
        <v>870</v>
      </c>
      <c r="BX25" t="s">
        <v>871</v>
      </c>
      <c r="BY25" t="s">
        <v>872</v>
      </c>
      <c r="BZ25" t="s">
        <v>873</v>
      </c>
      <c r="CG25" t="s">
        <v>102</v>
      </c>
      <c r="CH25" t="s">
        <v>874</v>
      </c>
      <c r="CJ25" t="s">
        <v>875</v>
      </c>
      <c r="CK25" t="s">
        <v>874</v>
      </c>
      <c r="CL25" t="s">
        <v>862</v>
      </c>
      <c r="CM25" t="s">
        <v>410</v>
      </c>
      <c r="CN25" t="s">
        <v>875</v>
      </c>
      <c r="CO25" t="s">
        <v>876</v>
      </c>
      <c r="CP25" t="s">
        <v>874</v>
      </c>
      <c r="CQ25" t="s">
        <v>874</v>
      </c>
    </row>
    <row r="26" spans="1:95">
      <c r="A26" t="s">
        <v>337</v>
      </c>
      <c r="B26">
        <v>14129</v>
      </c>
      <c r="C26" t="s">
        <v>877</v>
      </c>
      <c r="E26" s="4" t="s">
        <v>17377</v>
      </c>
      <c r="F26" t="s">
        <v>95</v>
      </c>
      <c r="G26" t="s">
        <v>878</v>
      </c>
      <c r="H26" t="s">
        <v>97</v>
      </c>
      <c r="I26" t="s">
        <v>98</v>
      </c>
      <c r="J26" t="s">
        <v>879</v>
      </c>
      <c r="K26" t="s">
        <v>100</v>
      </c>
      <c r="L26">
        <v>409200</v>
      </c>
      <c r="M26">
        <v>409200</v>
      </c>
      <c r="N26">
        <v>409200</v>
      </c>
      <c r="O26">
        <v>341</v>
      </c>
      <c r="P26" t="s">
        <v>880</v>
      </c>
      <c r="Q26">
        <v>0</v>
      </c>
      <c r="R26">
        <v>0</v>
      </c>
      <c r="T26">
        <v>0</v>
      </c>
      <c r="U26">
        <v>0</v>
      </c>
      <c r="W26" t="s">
        <v>102</v>
      </c>
      <c r="X26" t="s">
        <v>103</v>
      </c>
      <c r="Y26" t="s">
        <v>104</v>
      </c>
      <c r="AA26" t="s">
        <v>881</v>
      </c>
      <c r="AB26" t="s">
        <v>882</v>
      </c>
      <c r="AC26" t="s">
        <v>883</v>
      </c>
      <c r="AD26" t="s">
        <v>884</v>
      </c>
      <c r="AE26" t="s">
        <v>109</v>
      </c>
      <c r="AF26" t="s">
        <v>102</v>
      </c>
      <c r="AG26" t="s">
        <v>109</v>
      </c>
      <c r="AH26" t="s">
        <v>102</v>
      </c>
      <c r="AI26" t="s">
        <v>102</v>
      </c>
      <c r="AJ26" t="s">
        <v>885</v>
      </c>
      <c r="AK26" t="s">
        <v>886</v>
      </c>
      <c r="AL26" t="s">
        <v>887</v>
      </c>
      <c r="AM26" t="s">
        <v>888</v>
      </c>
      <c r="AN26" t="s">
        <v>889</v>
      </c>
      <c r="AO26" t="s">
        <v>890</v>
      </c>
      <c r="AP26" t="s">
        <v>890</v>
      </c>
      <c r="AU26" t="s">
        <v>318</v>
      </c>
      <c r="AV26" t="s">
        <v>118</v>
      </c>
      <c r="AW26" t="s">
        <v>102</v>
      </c>
      <c r="AX26" t="s">
        <v>119</v>
      </c>
      <c r="BB26" t="s">
        <v>171</v>
      </c>
      <c r="BC26" t="s">
        <v>891</v>
      </c>
      <c r="BD26" t="s">
        <v>410</v>
      </c>
      <c r="BE26" t="s">
        <v>212</v>
      </c>
      <c r="BF26" t="s">
        <v>410</v>
      </c>
      <c r="BG26" t="s">
        <v>124</v>
      </c>
      <c r="BH26" t="s">
        <v>892</v>
      </c>
      <c r="BI26" t="s">
        <v>520</v>
      </c>
      <c r="BJ26" t="s">
        <v>127</v>
      </c>
      <c r="BK26" t="s">
        <v>893</v>
      </c>
      <c r="BL26" t="s">
        <v>894</v>
      </c>
      <c r="BM26" t="s">
        <v>895</v>
      </c>
      <c r="BN26" t="s">
        <v>878</v>
      </c>
      <c r="BO26" t="s">
        <v>896</v>
      </c>
      <c r="BP26" t="s">
        <v>258</v>
      </c>
      <c r="BQ26" t="s">
        <v>897</v>
      </c>
      <c r="BR26" t="s">
        <v>898</v>
      </c>
      <c r="BS26" t="s">
        <v>899</v>
      </c>
      <c r="BT26" t="s">
        <v>900</v>
      </c>
      <c r="BU26" t="s">
        <v>901</v>
      </c>
      <c r="BV26" t="s">
        <v>902</v>
      </c>
      <c r="BW26" t="s">
        <v>138</v>
      </c>
      <c r="BX26" t="s">
        <v>903</v>
      </c>
      <c r="BY26" t="s">
        <v>904</v>
      </c>
      <c r="BZ26" t="s">
        <v>905</v>
      </c>
      <c r="CA26" t="s">
        <v>902</v>
      </c>
      <c r="CB26" t="s">
        <v>903</v>
      </c>
      <c r="CC26" t="s">
        <v>904</v>
      </c>
      <c r="CD26" t="s">
        <v>906</v>
      </c>
      <c r="CE26" t="s">
        <v>903</v>
      </c>
      <c r="CF26" t="s">
        <v>904</v>
      </c>
      <c r="CG26" t="s">
        <v>907</v>
      </c>
      <c r="CH26" t="s">
        <v>908</v>
      </c>
      <c r="CJ26" t="s">
        <v>909</v>
      </c>
      <c r="CK26" t="s">
        <v>908</v>
      </c>
      <c r="CL26" t="s">
        <v>891</v>
      </c>
      <c r="CM26" t="s">
        <v>410</v>
      </c>
      <c r="CN26" t="s">
        <v>909</v>
      </c>
      <c r="CP26" t="s">
        <v>908</v>
      </c>
      <c r="CQ26" t="s">
        <v>908</v>
      </c>
    </row>
    <row r="27" spans="1:95">
      <c r="A27" t="s">
        <v>149</v>
      </c>
      <c r="B27">
        <v>1424516</v>
      </c>
      <c r="C27" t="s">
        <v>910</v>
      </c>
      <c r="F27" t="s">
        <v>95</v>
      </c>
      <c r="G27" t="s">
        <v>911</v>
      </c>
      <c r="H27" t="s">
        <v>97</v>
      </c>
      <c r="I27" t="s">
        <v>98</v>
      </c>
      <c r="J27" t="s">
        <v>912</v>
      </c>
      <c r="K27" t="s">
        <v>100</v>
      </c>
      <c r="L27">
        <v>911281</v>
      </c>
      <c r="M27">
        <v>911281</v>
      </c>
      <c r="N27">
        <v>911281</v>
      </c>
      <c r="O27">
        <v>1110</v>
      </c>
      <c r="P27" t="s">
        <v>913</v>
      </c>
      <c r="Q27">
        <v>0</v>
      </c>
      <c r="R27">
        <v>0</v>
      </c>
      <c r="T27">
        <v>0</v>
      </c>
      <c r="U27">
        <v>0</v>
      </c>
      <c r="W27" t="s">
        <v>102</v>
      </c>
      <c r="X27" t="s">
        <v>103</v>
      </c>
      <c r="Y27" t="s">
        <v>104</v>
      </c>
      <c r="AA27" t="s">
        <v>520</v>
      </c>
      <c r="AB27" t="s">
        <v>914</v>
      </c>
      <c r="AC27" t="s">
        <v>915</v>
      </c>
      <c r="AD27" t="s">
        <v>916</v>
      </c>
      <c r="AE27" t="s">
        <v>109</v>
      </c>
      <c r="AF27" t="s">
        <v>102</v>
      </c>
      <c r="AG27" t="s">
        <v>109</v>
      </c>
      <c r="AH27" t="s">
        <v>102</v>
      </c>
      <c r="AI27" t="s">
        <v>102</v>
      </c>
      <c r="AJ27" t="s">
        <v>339</v>
      </c>
      <c r="AK27" t="s">
        <v>625</v>
      </c>
      <c r="AL27" t="s">
        <v>917</v>
      </c>
      <c r="AM27" t="s">
        <v>918</v>
      </c>
      <c r="AN27" t="s">
        <v>115</v>
      </c>
      <c r="AO27" t="s">
        <v>919</v>
      </c>
      <c r="AP27" t="s">
        <v>919</v>
      </c>
      <c r="AU27" t="s">
        <v>117</v>
      </c>
      <c r="AV27" t="s">
        <v>118</v>
      </c>
      <c r="AW27" t="s">
        <v>102</v>
      </c>
      <c r="AX27" t="s">
        <v>119</v>
      </c>
      <c r="BB27" t="s">
        <v>120</v>
      </c>
      <c r="BC27" t="s">
        <v>920</v>
      </c>
      <c r="BD27" t="s">
        <v>211</v>
      </c>
      <c r="BE27" t="s">
        <v>212</v>
      </c>
      <c r="BF27" t="s">
        <v>213</v>
      </c>
      <c r="BG27" t="s">
        <v>124</v>
      </c>
      <c r="BH27" t="s">
        <v>400</v>
      </c>
      <c r="BI27" t="s">
        <v>126</v>
      </c>
      <c r="BJ27" t="s">
        <v>127</v>
      </c>
      <c r="BK27" t="s">
        <v>921</v>
      </c>
      <c r="BL27" t="s">
        <v>922</v>
      </c>
      <c r="BM27" t="s">
        <v>923</v>
      </c>
      <c r="BN27" t="s">
        <v>911</v>
      </c>
      <c r="BO27" t="s">
        <v>924</v>
      </c>
      <c r="BP27" t="s">
        <v>180</v>
      </c>
      <c r="BQ27" t="s">
        <v>925</v>
      </c>
      <c r="BR27" t="s">
        <v>926</v>
      </c>
      <c r="BS27" t="s">
        <v>293</v>
      </c>
      <c r="BU27" t="s">
        <v>927</v>
      </c>
      <c r="BV27" t="s">
        <v>928</v>
      </c>
      <c r="BW27" t="s">
        <v>138</v>
      </c>
      <c r="BX27" t="s">
        <v>929</v>
      </c>
      <c r="BY27" t="s">
        <v>930</v>
      </c>
      <c r="BZ27" t="s">
        <v>929</v>
      </c>
      <c r="CG27" t="s">
        <v>102</v>
      </c>
      <c r="CH27" t="s">
        <v>931</v>
      </c>
      <c r="CJ27" t="s">
        <v>932</v>
      </c>
      <c r="CK27" t="s">
        <v>931</v>
      </c>
      <c r="CL27" t="s">
        <v>920</v>
      </c>
      <c r="CM27" t="s">
        <v>211</v>
      </c>
      <c r="CN27" t="s">
        <v>932</v>
      </c>
      <c r="CP27" t="s">
        <v>931</v>
      </c>
      <c r="CQ27" t="s">
        <v>931</v>
      </c>
    </row>
    <row r="28" spans="1:95">
      <c r="A28" t="s">
        <v>149</v>
      </c>
      <c r="B28">
        <v>1429114</v>
      </c>
      <c r="C28" t="s">
        <v>933</v>
      </c>
      <c r="F28" t="s">
        <v>95</v>
      </c>
      <c r="G28" t="s">
        <v>934</v>
      </c>
      <c r="H28" t="s">
        <v>675</v>
      </c>
      <c r="I28" t="s">
        <v>98</v>
      </c>
      <c r="J28" t="s">
        <v>935</v>
      </c>
      <c r="K28" t="s">
        <v>100</v>
      </c>
      <c r="L28">
        <v>1018600</v>
      </c>
      <c r="M28">
        <v>1018600</v>
      </c>
      <c r="N28">
        <v>269800</v>
      </c>
      <c r="O28">
        <v>284</v>
      </c>
      <c r="P28" t="s">
        <v>936</v>
      </c>
      <c r="Q28">
        <v>748800</v>
      </c>
      <c r="R28">
        <v>346</v>
      </c>
      <c r="S28" t="s">
        <v>937</v>
      </c>
      <c r="T28">
        <v>0</v>
      </c>
      <c r="U28">
        <v>0</v>
      </c>
      <c r="W28" t="s">
        <v>102</v>
      </c>
      <c r="X28" t="s">
        <v>103</v>
      </c>
      <c r="Y28" t="s">
        <v>938</v>
      </c>
      <c r="AA28" t="s">
        <v>939</v>
      </c>
      <c r="AB28" t="s">
        <v>940</v>
      </c>
      <c r="AC28" t="s">
        <v>941</v>
      </c>
      <c r="AD28" t="s">
        <v>942</v>
      </c>
      <c r="AE28" t="s">
        <v>943</v>
      </c>
      <c r="AF28" t="s">
        <v>942</v>
      </c>
      <c r="AG28" t="s">
        <v>807</v>
      </c>
      <c r="AH28" t="s">
        <v>944</v>
      </c>
      <c r="AI28" t="s">
        <v>102</v>
      </c>
      <c r="AJ28" t="s">
        <v>945</v>
      </c>
      <c r="AK28" t="s">
        <v>946</v>
      </c>
      <c r="AL28" t="s">
        <v>947</v>
      </c>
      <c r="AM28" t="s">
        <v>948</v>
      </c>
      <c r="AN28" t="s">
        <v>949</v>
      </c>
      <c r="AO28" t="s">
        <v>950</v>
      </c>
      <c r="AP28" t="s">
        <v>116</v>
      </c>
      <c r="AU28" t="s">
        <v>207</v>
      </c>
      <c r="AV28" t="s">
        <v>118</v>
      </c>
      <c r="AW28" t="s">
        <v>951</v>
      </c>
      <c r="AX28" t="s">
        <v>119</v>
      </c>
      <c r="AY28" t="s">
        <v>170</v>
      </c>
      <c r="AZ28" t="s">
        <v>118</v>
      </c>
      <c r="BB28" t="s">
        <v>120</v>
      </c>
      <c r="BC28" t="s">
        <v>952</v>
      </c>
      <c r="BD28" t="s">
        <v>410</v>
      </c>
      <c r="BE28" t="s">
        <v>212</v>
      </c>
      <c r="BF28" t="s">
        <v>410</v>
      </c>
      <c r="BG28" t="s">
        <v>124</v>
      </c>
      <c r="BH28" t="s">
        <v>214</v>
      </c>
      <c r="BI28" t="s">
        <v>126</v>
      </c>
      <c r="BJ28" t="s">
        <v>127</v>
      </c>
      <c r="BK28" t="s">
        <v>953</v>
      </c>
      <c r="BL28" t="s">
        <v>954</v>
      </c>
      <c r="BM28" t="s">
        <v>955</v>
      </c>
      <c r="BN28" t="s">
        <v>934</v>
      </c>
      <c r="BO28" t="s">
        <v>956</v>
      </c>
      <c r="BP28" t="s">
        <v>957</v>
      </c>
      <c r="BQ28" t="s">
        <v>958</v>
      </c>
      <c r="BR28" t="s">
        <v>959</v>
      </c>
      <c r="BS28" t="s">
        <v>418</v>
      </c>
      <c r="BU28" t="s">
        <v>960</v>
      </c>
      <c r="BV28" t="s">
        <v>961</v>
      </c>
      <c r="BX28" t="s">
        <v>962</v>
      </c>
      <c r="BY28" t="s">
        <v>963</v>
      </c>
      <c r="BZ28" t="s">
        <v>964</v>
      </c>
      <c r="CG28" t="s">
        <v>102</v>
      </c>
      <c r="CH28" t="s">
        <v>965</v>
      </c>
      <c r="CJ28" t="s">
        <v>966</v>
      </c>
      <c r="CK28" t="s">
        <v>965</v>
      </c>
      <c r="CL28" t="s">
        <v>952</v>
      </c>
      <c r="CM28" t="s">
        <v>410</v>
      </c>
      <c r="CN28" t="s">
        <v>966</v>
      </c>
      <c r="CP28" t="s">
        <v>965</v>
      </c>
      <c r="CQ28" t="s">
        <v>965</v>
      </c>
    </row>
    <row r="29" spans="1:95">
      <c r="A29" t="s">
        <v>149</v>
      </c>
      <c r="B29">
        <v>147</v>
      </c>
      <c r="C29" t="s">
        <v>967</v>
      </c>
      <c r="E29" s="4" t="s">
        <v>17377</v>
      </c>
      <c r="F29" t="s">
        <v>95</v>
      </c>
      <c r="G29" t="s">
        <v>968</v>
      </c>
      <c r="H29" t="s">
        <v>97</v>
      </c>
      <c r="I29" t="s">
        <v>98</v>
      </c>
      <c r="J29" t="s">
        <v>969</v>
      </c>
      <c r="K29" t="s">
        <v>100</v>
      </c>
      <c r="L29">
        <v>263400</v>
      </c>
      <c r="M29">
        <v>263400</v>
      </c>
      <c r="N29">
        <v>263400</v>
      </c>
      <c r="O29">
        <v>439</v>
      </c>
      <c r="P29" t="s">
        <v>310</v>
      </c>
      <c r="Q29">
        <v>0</v>
      </c>
      <c r="R29">
        <v>0</v>
      </c>
      <c r="T29">
        <v>0</v>
      </c>
      <c r="U29">
        <v>0</v>
      </c>
      <c r="W29" t="s">
        <v>102</v>
      </c>
      <c r="X29" t="s">
        <v>103</v>
      </c>
      <c r="Y29" t="s">
        <v>398</v>
      </c>
      <c r="AA29" t="s">
        <v>158</v>
      </c>
      <c r="AB29" t="s">
        <v>970</v>
      </c>
      <c r="AC29" t="s">
        <v>648</v>
      </c>
      <c r="AD29" t="s">
        <v>971</v>
      </c>
      <c r="AE29" t="s">
        <v>159</v>
      </c>
      <c r="AF29" t="s">
        <v>971</v>
      </c>
      <c r="AG29" t="s">
        <v>109</v>
      </c>
      <c r="AH29" t="s">
        <v>102</v>
      </c>
      <c r="AI29" t="s">
        <v>102</v>
      </c>
      <c r="AJ29" t="s">
        <v>972</v>
      </c>
      <c r="AK29" t="s">
        <v>973</v>
      </c>
      <c r="AL29" t="s">
        <v>974</v>
      </c>
      <c r="AM29" t="s">
        <v>974</v>
      </c>
      <c r="AN29" t="s">
        <v>102</v>
      </c>
      <c r="AO29" t="s">
        <v>317</v>
      </c>
      <c r="AP29" t="s">
        <v>317</v>
      </c>
      <c r="AU29" t="s">
        <v>117</v>
      </c>
      <c r="AV29" t="s">
        <v>118</v>
      </c>
      <c r="AW29" t="s">
        <v>102</v>
      </c>
      <c r="AX29" t="s">
        <v>119</v>
      </c>
      <c r="BB29" t="s">
        <v>120</v>
      </c>
      <c r="BC29" t="s">
        <v>975</v>
      </c>
      <c r="BD29" t="s">
        <v>621</v>
      </c>
      <c r="BE29" t="s">
        <v>622</v>
      </c>
      <c r="BF29" t="s">
        <v>976</v>
      </c>
      <c r="BG29" t="s">
        <v>124</v>
      </c>
      <c r="BH29" t="s">
        <v>977</v>
      </c>
      <c r="BI29" t="s">
        <v>625</v>
      </c>
      <c r="BJ29" t="s">
        <v>127</v>
      </c>
      <c r="BK29" t="s">
        <v>978</v>
      </c>
      <c r="BL29" t="s">
        <v>979</v>
      </c>
      <c r="BM29" t="s">
        <v>980</v>
      </c>
      <c r="BN29" t="s">
        <v>968</v>
      </c>
      <c r="BO29" t="s">
        <v>981</v>
      </c>
      <c r="BP29" t="s">
        <v>132</v>
      </c>
      <c r="BQ29" t="s">
        <v>982</v>
      </c>
      <c r="BR29" t="s">
        <v>983</v>
      </c>
      <c r="BS29" t="s">
        <v>984</v>
      </c>
      <c r="BT29" t="s">
        <v>985</v>
      </c>
      <c r="BU29" t="s">
        <v>986</v>
      </c>
      <c r="BV29" t="s">
        <v>987</v>
      </c>
      <c r="BW29" t="s">
        <v>138</v>
      </c>
      <c r="BX29" t="s">
        <v>988</v>
      </c>
      <c r="BY29" t="s">
        <v>989</v>
      </c>
      <c r="BZ29" t="s">
        <v>988</v>
      </c>
      <c r="CG29" t="s">
        <v>102</v>
      </c>
      <c r="CH29" t="s">
        <v>990</v>
      </c>
      <c r="CJ29" t="s">
        <v>991</v>
      </c>
      <c r="CK29" t="s">
        <v>990</v>
      </c>
      <c r="CL29" t="s">
        <v>975</v>
      </c>
      <c r="CM29" t="s">
        <v>621</v>
      </c>
      <c r="CN29" t="s">
        <v>991</v>
      </c>
      <c r="CP29" t="s">
        <v>990</v>
      </c>
      <c r="CQ29" t="s">
        <v>990</v>
      </c>
    </row>
    <row r="30" spans="1:95">
      <c r="A30" t="s">
        <v>93</v>
      </c>
      <c r="B30">
        <v>1482482</v>
      </c>
      <c r="C30" t="s">
        <v>992</v>
      </c>
      <c r="D30" t="str">
        <f>VLOOKUP(B30,'2025'!B:C,2,0)</f>
        <v>Anushka</v>
      </c>
      <c r="F30" t="s">
        <v>95</v>
      </c>
      <c r="G30" t="s">
        <v>993</v>
      </c>
      <c r="H30" t="s">
        <v>152</v>
      </c>
      <c r="I30" t="s">
        <v>98</v>
      </c>
      <c r="J30" t="s">
        <v>994</v>
      </c>
      <c r="K30" t="s">
        <v>100</v>
      </c>
      <c r="L30">
        <v>540004</v>
      </c>
      <c r="M30">
        <v>540004</v>
      </c>
      <c r="N30">
        <v>0</v>
      </c>
      <c r="O30">
        <v>0</v>
      </c>
      <c r="Q30">
        <v>540004</v>
      </c>
      <c r="R30">
        <v>750</v>
      </c>
      <c r="S30" t="s">
        <v>995</v>
      </c>
      <c r="T30">
        <v>0</v>
      </c>
      <c r="U30">
        <v>0</v>
      </c>
      <c r="W30" t="s">
        <v>102</v>
      </c>
      <c r="X30" t="s">
        <v>275</v>
      </c>
      <c r="Z30" t="s">
        <v>996</v>
      </c>
      <c r="AA30" t="s">
        <v>109</v>
      </c>
      <c r="AB30" t="s">
        <v>102</v>
      </c>
      <c r="AC30" t="s">
        <v>109</v>
      </c>
      <c r="AD30" t="s">
        <v>102</v>
      </c>
      <c r="AE30" t="s">
        <v>109</v>
      </c>
      <c r="AF30" t="s">
        <v>102</v>
      </c>
      <c r="AG30" t="s">
        <v>109</v>
      </c>
      <c r="AH30" t="s">
        <v>102</v>
      </c>
      <c r="AI30" t="s">
        <v>997</v>
      </c>
      <c r="AJ30" t="s">
        <v>996</v>
      </c>
      <c r="AK30" t="s">
        <v>996</v>
      </c>
      <c r="AL30" t="s">
        <v>998</v>
      </c>
      <c r="AM30" t="s">
        <v>999</v>
      </c>
      <c r="AN30" t="s">
        <v>155</v>
      </c>
      <c r="AO30" t="s">
        <v>1000</v>
      </c>
      <c r="AP30" t="s">
        <v>1001</v>
      </c>
      <c r="AQ30" t="s">
        <v>169</v>
      </c>
      <c r="AU30" t="s">
        <v>102</v>
      </c>
      <c r="AW30" t="s">
        <v>104</v>
      </c>
      <c r="AX30" t="s">
        <v>119</v>
      </c>
      <c r="AY30" t="s">
        <v>170</v>
      </c>
      <c r="AZ30" t="s">
        <v>118</v>
      </c>
      <c r="BB30" t="s">
        <v>120</v>
      </c>
      <c r="BC30" t="s">
        <v>1002</v>
      </c>
      <c r="BD30" t="s">
        <v>320</v>
      </c>
      <c r="BE30" t="s">
        <v>122</v>
      </c>
      <c r="BF30" t="s">
        <v>123</v>
      </c>
      <c r="BG30" t="s">
        <v>124</v>
      </c>
      <c r="BH30" t="s">
        <v>232</v>
      </c>
      <c r="BI30" t="s">
        <v>126</v>
      </c>
      <c r="BJ30" t="s">
        <v>127</v>
      </c>
      <c r="BK30" t="s">
        <v>1003</v>
      </c>
      <c r="BL30" t="s">
        <v>1004</v>
      </c>
      <c r="BM30" t="s">
        <v>1005</v>
      </c>
      <c r="BN30" t="s">
        <v>993</v>
      </c>
      <c r="BO30" t="s">
        <v>695</v>
      </c>
      <c r="BP30" t="s">
        <v>350</v>
      </c>
      <c r="BQ30" t="s">
        <v>697</v>
      </c>
      <c r="BR30" t="s">
        <v>698</v>
      </c>
      <c r="BS30" t="s">
        <v>1006</v>
      </c>
      <c r="BU30" t="s">
        <v>1007</v>
      </c>
      <c r="BV30" t="s">
        <v>1008</v>
      </c>
      <c r="BX30" t="s">
        <v>1009</v>
      </c>
      <c r="BY30" t="s">
        <v>1010</v>
      </c>
      <c r="BZ30" t="s">
        <v>1011</v>
      </c>
      <c r="CA30" t="s">
        <v>1012</v>
      </c>
      <c r="CB30" t="s">
        <v>1009</v>
      </c>
      <c r="CC30" t="s">
        <v>1010</v>
      </c>
      <c r="CD30" t="s">
        <v>1013</v>
      </c>
      <c r="CE30" t="s">
        <v>1014</v>
      </c>
      <c r="CF30" t="s">
        <v>1015</v>
      </c>
      <c r="CG30" t="s">
        <v>1016</v>
      </c>
      <c r="CH30" t="s">
        <v>1017</v>
      </c>
      <c r="CJ30" t="s">
        <v>1018</v>
      </c>
      <c r="CK30" t="s">
        <v>1017</v>
      </c>
      <c r="CL30" t="s">
        <v>1002</v>
      </c>
      <c r="CM30" t="s">
        <v>320</v>
      </c>
      <c r="CN30" t="s">
        <v>1018</v>
      </c>
      <c r="CO30" t="s">
        <v>1019</v>
      </c>
      <c r="CP30" t="s">
        <v>1020</v>
      </c>
      <c r="CQ30" t="s">
        <v>1020</v>
      </c>
    </row>
    <row r="31" spans="1:95">
      <c r="A31" t="s">
        <v>149</v>
      </c>
      <c r="B31">
        <v>1524162</v>
      </c>
      <c r="C31" t="s">
        <v>1021</v>
      </c>
      <c r="D31" t="str">
        <f>VLOOKUP(B31,'2025'!B:C,2,0)</f>
        <v>Sumit Rana</v>
      </c>
      <c r="F31" t="s">
        <v>95</v>
      </c>
      <c r="G31" t="s">
        <v>1022</v>
      </c>
      <c r="H31" t="s">
        <v>193</v>
      </c>
      <c r="I31" t="s">
        <v>98</v>
      </c>
      <c r="J31" t="s">
        <v>1023</v>
      </c>
      <c r="K31" t="s">
        <v>100</v>
      </c>
      <c r="L31">
        <v>1578982</v>
      </c>
      <c r="M31">
        <v>1683667</v>
      </c>
      <c r="N31">
        <v>997400</v>
      </c>
      <c r="O31">
        <v>1995</v>
      </c>
      <c r="P31" t="s">
        <v>364</v>
      </c>
      <c r="Q31">
        <v>0</v>
      </c>
      <c r="R31">
        <v>0</v>
      </c>
      <c r="T31">
        <v>581582</v>
      </c>
      <c r="U31">
        <v>600</v>
      </c>
      <c r="V31" t="s">
        <v>1024</v>
      </c>
      <c r="W31" t="s">
        <v>102</v>
      </c>
      <c r="X31" t="s">
        <v>679</v>
      </c>
      <c r="Y31" t="s">
        <v>155</v>
      </c>
      <c r="Z31" t="s">
        <v>892</v>
      </c>
      <c r="AA31" t="s">
        <v>1025</v>
      </c>
      <c r="AB31" t="s">
        <v>1026</v>
      </c>
      <c r="AC31" t="s">
        <v>1027</v>
      </c>
      <c r="AD31" t="s">
        <v>1026</v>
      </c>
      <c r="AE31" t="s">
        <v>1028</v>
      </c>
      <c r="AF31" t="s">
        <v>1026</v>
      </c>
      <c r="AG31" t="s">
        <v>807</v>
      </c>
      <c r="AH31" t="s">
        <v>1026</v>
      </c>
      <c r="AI31" t="s">
        <v>1029</v>
      </c>
      <c r="AJ31" t="s">
        <v>1030</v>
      </c>
      <c r="AK31" t="s">
        <v>1031</v>
      </c>
      <c r="AL31" t="s">
        <v>1032</v>
      </c>
      <c r="AM31" t="s">
        <v>1033</v>
      </c>
      <c r="AN31" t="s">
        <v>1034</v>
      </c>
      <c r="AO31" t="s">
        <v>1035</v>
      </c>
      <c r="AP31" t="s">
        <v>1035</v>
      </c>
      <c r="AU31" t="s">
        <v>247</v>
      </c>
      <c r="AV31" t="s">
        <v>118</v>
      </c>
      <c r="AW31" t="s">
        <v>102</v>
      </c>
      <c r="AX31" t="s">
        <v>119</v>
      </c>
      <c r="BA31" t="s">
        <v>250</v>
      </c>
      <c r="BB31" t="s">
        <v>120</v>
      </c>
      <c r="BC31" t="s">
        <v>1036</v>
      </c>
      <c r="BD31" t="s">
        <v>173</v>
      </c>
      <c r="BE31" t="s">
        <v>174</v>
      </c>
      <c r="BF31" t="s">
        <v>173</v>
      </c>
      <c r="BG31" t="s">
        <v>124</v>
      </c>
      <c r="BH31" t="s">
        <v>1037</v>
      </c>
      <c r="BI31" t="s">
        <v>1038</v>
      </c>
      <c r="BJ31" t="s">
        <v>127</v>
      </c>
      <c r="BK31" t="s">
        <v>1039</v>
      </c>
      <c r="BL31" t="s">
        <v>1040</v>
      </c>
      <c r="BM31" t="s">
        <v>1041</v>
      </c>
      <c r="BN31" t="s">
        <v>1022</v>
      </c>
      <c r="BO31" t="s">
        <v>179</v>
      </c>
      <c r="BP31" t="s">
        <v>180</v>
      </c>
      <c r="BQ31" t="s">
        <v>181</v>
      </c>
      <c r="BR31" t="s">
        <v>182</v>
      </c>
      <c r="BS31" t="s">
        <v>183</v>
      </c>
      <c r="BU31" t="s">
        <v>1042</v>
      </c>
      <c r="BV31" t="s">
        <v>1043</v>
      </c>
      <c r="BW31" t="s">
        <v>569</v>
      </c>
      <c r="BX31" t="s">
        <v>1044</v>
      </c>
      <c r="BY31" t="s">
        <v>1045</v>
      </c>
      <c r="BZ31" t="s">
        <v>1046</v>
      </c>
      <c r="CA31" t="s">
        <v>1047</v>
      </c>
      <c r="CB31" t="s">
        <v>1048</v>
      </c>
      <c r="CC31" t="s">
        <v>1049</v>
      </c>
      <c r="CD31" t="s">
        <v>1050</v>
      </c>
      <c r="CE31" t="s">
        <v>1051</v>
      </c>
      <c r="CF31" t="s">
        <v>1052</v>
      </c>
      <c r="CG31" t="s">
        <v>102</v>
      </c>
      <c r="CH31" t="s">
        <v>1053</v>
      </c>
      <c r="CJ31" t="s">
        <v>1054</v>
      </c>
      <c r="CK31" t="s">
        <v>1053</v>
      </c>
      <c r="CL31" t="s">
        <v>1036</v>
      </c>
      <c r="CM31" t="s">
        <v>173</v>
      </c>
      <c r="CN31" t="s">
        <v>1054</v>
      </c>
      <c r="CO31" t="s">
        <v>1055</v>
      </c>
      <c r="CP31" t="s">
        <v>1056</v>
      </c>
      <c r="CQ31" t="s">
        <v>1057</v>
      </c>
    </row>
    <row r="32" spans="1:95">
      <c r="A32" t="s">
        <v>337</v>
      </c>
      <c r="B32">
        <v>153114</v>
      </c>
      <c r="C32" t="s">
        <v>1058</v>
      </c>
      <c r="E32" s="4" t="s">
        <v>17377</v>
      </c>
      <c r="F32" t="s">
        <v>95</v>
      </c>
      <c r="G32" t="s">
        <v>1059</v>
      </c>
      <c r="H32" t="s">
        <v>152</v>
      </c>
      <c r="I32" t="s">
        <v>98</v>
      </c>
      <c r="J32" t="s">
        <v>1060</v>
      </c>
      <c r="K32" t="s">
        <v>100</v>
      </c>
      <c r="L32">
        <v>509562</v>
      </c>
      <c r="M32">
        <v>509562</v>
      </c>
      <c r="N32">
        <v>0</v>
      </c>
      <c r="O32">
        <v>0</v>
      </c>
      <c r="Q32">
        <v>509562</v>
      </c>
      <c r="R32">
        <v>237</v>
      </c>
      <c r="S32" t="s">
        <v>1061</v>
      </c>
      <c r="T32">
        <v>0</v>
      </c>
      <c r="U32">
        <v>0</v>
      </c>
      <c r="W32" t="s">
        <v>102</v>
      </c>
      <c r="X32" t="s">
        <v>275</v>
      </c>
      <c r="Z32" t="s">
        <v>1059</v>
      </c>
      <c r="AA32" t="s">
        <v>109</v>
      </c>
      <c r="AB32" t="s">
        <v>102</v>
      </c>
      <c r="AC32" t="s">
        <v>109</v>
      </c>
      <c r="AD32" t="s">
        <v>102</v>
      </c>
      <c r="AE32" t="s">
        <v>109</v>
      </c>
      <c r="AF32" t="s">
        <v>102</v>
      </c>
      <c r="AG32" t="s">
        <v>109</v>
      </c>
      <c r="AH32" t="s">
        <v>102</v>
      </c>
      <c r="AI32" t="s">
        <v>1062</v>
      </c>
      <c r="AJ32" t="s">
        <v>583</v>
      </c>
      <c r="AK32" t="s">
        <v>583</v>
      </c>
      <c r="AL32" t="s">
        <v>1063</v>
      </c>
      <c r="AM32" t="s">
        <v>1064</v>
      </c>
      <c r="AN32" t="s">
        <v>1065</v>
      </c>
      <c r="AO32" t="s">
        <v>1066</v>
      </c>
      <c r="AP32" t="s">
        <v>1066</v>
      </c>
      <c r="AU32" t="s">
        <v>102</v>
      </c>
      <c r="AW32" t="s">
        <v>155</v>
      </c>
      <c r="AX32" t="s">
        <v>119</v>
      </c>
      <c r="AY32" t="s">
        <v>170</v>
      </c>
      <c r="AZ32" t="s">
        <v>118</v>
      </c>
      <c r="BB32" t="s">
        <v>120</v>
      </c>
      <c r="BC32" t="s">
        <v>1067</v>
      </c>
      <c r="BD32" t="s">
        <v>556</v>
      </c>
      <c r="BE32" t="s">
        <v>122</v>
      </c>
      <c r="BF32" t="s">
        <v>557</v>
      </c>
      <c r="BG32" t="s">
        <v>124</v>
      </c>
      <c r="BH32" t="s">
        <v>125</v>
      </c>
      <c r="BI32" t="s">
        <v>126</v>
      </c>
      <c r="BJ32" t="s">
        <v>127</v>
      </c>
      <c r="BK32" t="s">
        <v>1068</v>
      </c>
      <c r="BL32" t="s">
        <v>1069</v>
      </c>
      <c r="BM32" t="s">
        <v>1070</v>
      </c>
      <c r="BN32" t="s">
        <v>1059</v>
      </c>
      <c r="BO32" t="s">
        <v>1071</v>
      </c>
      <c r="BP32" t="s">
        <v>350</v>
      </c>
      <c r="BQ32" t="s">
        <v>1072</v>
      </c>
      <c r="BR32" t="s">
        <v>1073</v>
      </c>
      <c r="BS32" t="s">
        <v>1074</v>
      </c>
      <c r="BT32" t="s">
        <v>1075</v>
      </c>
      <c r="BU32" t="s">
        <v>1076</v>
      </c>
      <c r="BV32" t="s">
        <v>1077</v>
      </c>
      <c r="BX32" t="s">
        <v>1078</v>
      </c>
      <c r="BY32" t="s">
        <v>1079</v>
      </c>
      <c r="BZ32" t="s">
        <v>1080</v>
      </c>
      <c r="CG32" t="s">
        <v>1081</v>
      </c>
      <c r="CH32" t="s">
        <v>1082</v>
      </c>
      <c r="CJ32" t="s">
        <v>1083</v>
      </c>
      <c r="CK32" t="s">
        <v>1082</v>
      </c>
      <c r="CL32" t="s">
        <v>1067</v>
      </c>
      <c r="CM32" t="s">
        <v>556</v>
      </c>
      <c r="CN32" t="s">
        <v>1083</v>
      </c>
      <c r="CP32" t="s">
        <v>1082</v>
      </c>
      <c r="CQ32" t="s">
        <v>1082</v>
      </c>
    </row>
    <row r="33" spans="1:95">
      <c r="A33" t="s">
        <v>149</v>
      </c>
      <c r="B33">
        <v>153271</v>
      </c>
      <c r="C33" t="s">
        <v>1084</v>
      </c>
      <c r="D33" t="str">
        <f>VLOOKUP(B33,'2025'!B:C,2,0)</f>
        <v>Shruti</v>
      </c>
      <c r="F33" t="s">
        <v>95</v>
      </c>
      <c r="G33" t="s">
        <v>1085</v>
      </c>
      <c r="H33" t="s">
        <v>1086</v>
      </c>
      <c r="I33" t="s">
        <v>98</v>
      </c>
      <c r="J33" t="s">
        <v>1087</v>
      </c>
      <c r="K33" t="s">
        <v>100</v>
      </c>
      <c r="L33">
        <v>4094899</v>
      </c>
      <c r="M33">
        <v>4563309</v>
      </c>
      <c r="N33">
        <v>639695</v>
      </c>
      <c r="O33">
        <v>1942</v>
      </c>
      <c r="P33" t="s">
        <v>1088</v>
      </c>
      <c r="Q33">
        <v>852926</v>
      </c>
      <c r="R33">
        <v>1942</v>
      </c>
      <c r="S33" t="s">
        <v>1089</v>
      </c>
      <c r="T33">
        <v>2602278</v>
      </c>
      <c r="U33">
        <v>2128</v>
      </c>
      <c r="V33" t="s">
        <v>1090</v>
      </c>
      <c r="W33" t="s">
        <v>102</v>
      </c>
      <c r="X33" t="s">
        <v>679</v>
      </c>
      <c r="Y33" t="s">
        <v>155</v>
      </c>
      <c r="Z33" t="s">
        <v>558</v>
      </c>
      <c r="AA33" t="s">
        <v>1091</v>
      </c>
      <c r="AB33" t="s">
        <v>1092</v>
      </c>
      <c r="AC33" t="s">
        <v>1093</v>
      </c>
      <c r="AD33" t="s">
        <v>1092</v>
      </c>
      <c r="AE33" t="s">
        <v>1094</v>
      </c>
      <c r="AF33" t="s">
        <v>1092</v>
      </c>
      <c r="AG33" t="s">
        <v>1095</v>
      </c>
      <c r="AH33" t="s">
        <v>1092</v>
      </c>
      <c r="AI33" t="s">
        <v>1096</v>
      </c>
      <c r="AJ33" t="s">
        <v>878</v>
      </c>
      <c r="AK33" t="s">
        <v>1097</v>
      </c>
      <c r="AL33" t="s">
        <v>1098</v>
      </c>
      <c r="AM33" t="s">
        <v>1099</v>
      </c>
      <c r="AN33" t="s">
        <v>1100</v>
      </c>
      <c r="AO33" t="s">
        <v>1101</v>
      </c>
      <c r="AP33" t="s">
        <v>1102</v>
      </c>
      <c r="AR33" t="s">
        <v>169</v>
      </c>
      <c r="AS33" t="s">
        <v>169</v>
      </c>
      <c r="AT33" t="s">
        <v>169</v>
      </c>
      <c r="AU33" t="s">
        <v>207</v>
      </c>
      <c r="AV33" t="s">
        <v>118</v>
      </c>
      <c r="AW33" t="s">
        <v>1103</v>
      </c>
      <c r="AX33" t="s">
        <v>119</v>
      </c>
      <c r="AZ33" t="s">
        <v>250</v>
      </c>
      <c r="BA33" t="s">
        <v>250</v>
      </c>
      <c r="BB33" t="s">
        <v>171</v>
      </c>
      <c r="BC33" t="s">
        <v>1104</v>
      </c>
      <c r="BD33" t="s">
        <v>449</v>
      </c>
      <c r="BE33" t="s">
        <v>122</v>
      </c>
      <c r="BF33" t="s">
        <v>253</v>
      </c>
      <c r="BG33" t="s">
        <v>124</v>
      </c>
      <c r="BH33" t="s">
        <v>232</v>
      </c>
      <c r="BI33" t="s">
        <v>126</v>
      </c>
      <c r="BJ33" t="s">
        <v>127</v>
      </c>
      <c r="BK33" t="s">
        <v>1105</v>
      </c>
      <c r="BL33" t="s">
        <v>1106</v>
      </c>
      <c r="BM33" t="s">
        <v>1107</v>
      </c>
      <c r="BN33" t="s">
        <v>1085</v>
      </c>
      <c r="BO33" t="s">
        <v>1108</v>
      </c>
      <c r="BP33" t="s">
        <v>350</v>
      </c>
      <c r="BQ33" t="s">
        <v>1109</v>
      </c>
      <c r="BR33" t="s">
        <v>1110</v>
      </c>
      <c r="BS33" t="s">
        <v>1111</v>
      </c>
      <c r="BU33" t="s">
        <v>1112</v>
      </c>
      <c r="BV33" t="s">
        <v>1113</v>
      </c>
      <c r="BW33" t="s">
        <v>138</v>
      </c>
      <c r="BX33" t="s">
        <v>1114</v>
      </c>
      <c r="BY33" t="s">
        <v>1115</v>
      </c>
      <c r="BZ33" t="s">
        <v>1114</v>
      </c>
      <c r="CA33" t="s">
        <v>1113</v>
      </c>
      <c r="CB33" t="s">
        <v>1114</v>
      </c>
      <c r="CC33" t="s">
        <v>1115</v>
      </c>
      <c r="CG33" t="s">
        <v>102</v>
      </c>
      <c r="CH33" t="s">
        <v>1116</v>
      </c>
      <c r="CJ33" t="s">
        <v>1117</v>
      </c>
      <c r="CK33" t="s">
        <v>1116</v>
      </c>
      <c r="CL33" t="s">
        <v>1104</v>
      </c>
      <c r="CM33" t="s">
        <v>449</v>
      </c>
      <c r="CN33" t="s">
        <v>1117</v>
      </c>
      <c r="CO33" t="s">
        <v>1118</v>
      </c>
      <c r="CP33" t="s">
        <v>1116</v>
      </c>
      <c r="CQ33" t="s">
        <v>1116</v>
      </c>
    </row>
    <row r="34" spans="1:95">
      <c r="A34" t="s">
        <v>149</v>
      </c>
      <c r="B34">
        <v>1551815</v>
      </c>
      <c r="C34" t="s">
        <v>1119</v>
      </c>
      <c r="D34" t="str">
        <f>VLOOKUP(B34,'2025'!B:C,2,0)</f>
        <v>Shruti</v>
      </c>
      <c r="F34" t="s">
        <v>95</v>
      </c>
      <c r="G34" t="s">
        <v>1120</v>
      </c>
      <c r="H34" t="s">
        <v>675</v>
      </c>
      <c r="I34" t="s">
        <v>98</v>
      </c>
      <c r="J34" t="s">
        <v>1121</v>
      </c>
      <c r="K34" t="s">
        <v>100</v>
      </c>
      <c r="L34">
        <v>4552699</v>
      </c>
      <c r="M34">
        <v>4552699</v>
      </c>
      <c r="N34">
        <v>1309649</v>
      </c>
      <c r="O34">
        <v>2015</v>
      </c>
      <c r="P34" t="s">
        <v>1122</v>
      </c>
      <c r="Q34">
        <v>3243050</v>
      </c>
      <c r="R34">
        <v>1753</v>
      </c>
      <c r="S34" t="s">
        <v>1123</v>
      </c>
      <c r="T34">
        <v>0</v>
      </c>
      <c r="U34">
        <v>0</v>
      </c>
      <c r="W34" t="s">
        <v>102</v>
      </c>
      <c r="X34" t="s">
        <v>103</v>
      </c>
      <c r="Y34" t="s">
        <v>801</v>
      </c>
      <c r="AA34" t="s">
        <v>1124</v>
      </c>
      <c r="AB34" t="s">
        <v>1125</v>
      </c>
      <c r="AC34" t="s">
        <v>1126</v>
      </c>
      <c r="AD34" t="s">
        <v>1127</v>
      </c>
      <c r="AE34" t="s">
        <v>1128</v>
      </c>
      <c r="AF34" t="s">
        <v>1129</v>
      </c>
      <c r="AG34" t="s">
        <v>1130</v>
      </c>
      <c r="AH34" t="s">
        <v>1129</v>
      </c>
      <c r="AI34" t="s">
        <v>1131</v>
      </c>
      <c r="AJ34" t="s">
        <v>1132</v>
      </c>
      <c r="AK34" t="s">
        <v>1133</v>
      </c>
      <c r="AL34" t="s">
        <v>1134</v>
      </c>
      <c r="AM34" t="s">
        <v>1135</v>
      </c>
      <c r="AN34" t="s">
        <v>1136</v>
      </c>
      <c r="AO34" t="s">
        <v>1137</v>
      </c>
      <c r="AP34" t="s">
        <v>1137</v>
      </c>
      <c r="AU34" t="s">
        <v>207</v>
      </c>
      <c r="AV34" t="s">
        <v>118</v>
      </c>
      <c r="AW34" t="s">
        <v>248</v>
      </c>
      <c r="AX34" t="s">
        <v>119</v>
      </c>
      <c r="AY34" t="s">
        <v>1138</v>
      </c>
      <c r="AZ34" t="s">
        <v>118</v>
      </c>
      <c r="BB34" t="s">
        <v>120</v>
      </c>
      <c r="BC34" t="s">
        <v>555</v>
      </c>
      <c r="BD34" t="s">
        <v>556</v>
      </c>
      <c r="BE34" t="s">
        <v>122</v>
      </c>
      <c r="BF34" t="s">
        <v>557</v>
      </c>
      <c r="BG34" t="s">
        <v>124</v>
      </c>
      <c r="BH34" t="s">
        <v>232</v>
      </c>
      <c r="BI34" t="s">
        <v>126</v>
      </c>
      <c r="BJ34" t="s">
        <v>127</v>
      </c>
      <c r="BK34" t="s">
        <v>1139</v>
      </c>
      <c r="BL34" t="s">
        <v>1140</v>
      </c>
      <c r="BM34" t="s">
        <v>1141</v>
      </c>
      <c r="BN34" t="s">
        <v>1120</v>
      </c>
      <c r="BO34" t="s">
        <v>1142</v>
      </c>
      <c r="BP34" t="s">
        <v>350</v>
      </c>
      <c r="BQ34" t="s">
        <v>1143</v>
      </c>
      <c r="BR34" t="s">
        <v>1144</v>
      </c>
      <c r="BS34" t="s">
        <v>566</v>
      </c>
      <c r="BU34" t="s">
        <v>1145</v>
      </c>
      <c r="BV34" t="s">
        <v>1146</v>
      </c>
      <c r="BW34" t="s">
        <v>138</v>
      </c>
      <c r="BX34" t="s">
        <v>1147</v>
      </c>
      <c r="BY34" t="s">
        <v>1148</v>
      </c>
      <c r="BZ34" t="s">
        <v>1149</v>
      </c>
      <c r="CA34" t="s">
        <v>1146</v>
      </c>
      <c r="CB34" t="s">
        <v>1147</v>
      </c>
      <c r="CC34" t="s">
        <v>1148</v>
      </c>
      <c r="CD34" t="s">
        <v>1150</v>
      </c>
      <c r="CE34" t="s">
        <v>1151</v>
      </c>
      <c r="CF34" t="s">
        <v>1152</v>
      </c>
      <c r="CG34" t="s">
        <v>102</v>
      </c>
      <c r="CH34" t="s">
        <v>1153</v>
      </c>
      <c r="CJ34" t="s">
        <v>1154</v>
      </c>
      <c r="CK34" t="s">
        <v>1153</v>
      </c>
      <c r="CL34" t="s">
        <v>555</v>
      </c>
      <c r="CM34" t="s">
        <v>556</v>
      </c>
      <c r="CN34" t="s">
        <v>1154</v>
      </c>
      <c r="CO34" t="s">
        <v>1155</v>
      </c>
      <c r="CP34" t="s">
        <v>1153</v>
      </c>
      <c r="CQ34" t="s">
        <v>1153</v>
      </c>
    </row>
    <row r="35" spans="1:95">
      <c r="A35" t="s">
        <v>93</v>
      </c>
      <c r="B35">
        <v>1553466</v>
      </c>
      <c r="C35" t="s">
        <v>1156</v>
      </c>
      <c r="D35" t="str">
        <f>VLOOKUP(B35,'2025'!B:C,2,0)</f>
        <v>Sumit Rana</v>
      </c>
      <c r="F35" t="s">
        <v>95</v>
      </c>
      <c r="G35" t="s">
        <v>1059</v>
      </c>
      <c r="H35" t="s">
        <v>152</v>
      </c>
      <c r="I35" t="s">
        <v>98</v>
      </c>
      <c r="J35" t="s">
        <v>1157</v>
      </c>
      <c r="K35" t="s">
        <v>100</v>
      </c>
      <c r="L35">
        <v>595566</v>
      </c>
      <c r="M35">
        <v>595566</v>
      </c>
      <c r="N35">
        <v>0</v>
      </c>
      <c r="O35">
        <v>0</v>
      </c>
      <c r="Q35">
        <v>595566</v>
      </c>
      <c r="R35">
        <v>318</v>
      </c>
      <c r="S35" t="s">
        <v>1158</v>
      </c>
      <c r="T35">
        <v>0</v>
      </c>
      <c r="U35">
        <v>0</v>
      </c>
      <c r="W35" t="s">
        <v>102</v>
      </c>
      <c r="X35" t="s">
        <v>103</v>
      </c>
      <c r="Y35" t="s">
        <v>155</v>
      </c>
      <c r="AA35" t="s">
        <v>1159</v>
      </c>
      <c r="AB35" t="s">
        <v>1160</v>
      </c>
      <c r="AC35" t="s">
        <v>1161</v>
      </c>
      <c r="AD35" t="s">
        <v>1160</v>
      </c>
      <c r="AE35" t="s">
        <v>1162</v>
      </c>
      <c r="AF35" t="s">
        <v>1160</v>
      </c>
      <c r="AG35" t="s">
        <v>160</v>
      </c>
      <c r="AH35" t="s">
        <v>1160</v>
      </c>
      <c r="AI35" t="s">
        <v>1163</v>
      </c>
      <c r="AJ35" t="s">
        <v>1164</v>
      </c>
      <c r="AK35" t="s">
        <v>1165</v>
      </c>
      <c r="AL35" t="s">
        <v>1166</v>
      </c>
      <c r="AM35" t="s">
        <v>1167</v>
      </c>
      <c r="AN35" t="s">
        <v>1168</v>
      </c>
      <c r="AO35" t="s">
        <v>1169</v>
      </c>
      <c r="AP35" t="s">
        <v>1169</v>
      </c>
      <c r="AU35" t="s">
        <v>102</v>
      </c>
      <c r="AW35" t="s">
        <v>155</v>
      </c>
      <c r="AX35" t="s">
        <v>447</v>
      </c>
      <c r="AY35" t="s">
        <v>170</v>
      </c>
      <c r="AZ35" t="s">
        <v>118</v>
      </c>
      <c r="BB35" t="s">
        <v>120</v>
      </c>
      <c r="BC35" t="s">
        <v>1170</v>
      </c>
      <c r="BD35" t="s">
        <v>1171</v>
      </c>
      <c r="BE35" t="s">
        <v>174</v>
      </c>
      <c r="BF35" t="s">
        <v>1172</v>
      </c>
      <c r="BG35" t="s">
        <v>124</v>
      </c>
      <c r="BH35" t="s">
        <v>377</v>
      </c>
      <c r="BI35" t="s">
        <v>126</v>
      </c>
      <c r="BJ35" t="s">
        <v>127</v>
      </c>
      <c r="BK35" t="s">
        <v>1173</v>
      </c>
      <c r="BL35" t="s">
        <v>1174</v>
      </c>
      <c r="BM35" t="s">
        <v>1175</v>
      </c>
      <c r="BN35" t="s">
        <v>1059</v>
      </c>
      <c r="BO35" t="s">
        <v>381</v>
      </c>
      <c r="BP35" t="s">
        <v>180</v>
      </c>
      <c r="BQ35" t="s">
        <v>382</v>
      </c>
      <c r="BR35" t="s">
        <v>383</v>
      </c>
      <c r="BS35" t="s">
        <v>1176</v>
      </c>
      <c r="BU35" t="s">
        <v>1177</v>
      </c>
      <c r="BV35" t="s">
        <v>1178</v>
      </c>
      <c r="BX35" t="s">
        <v>1179</v>
      </c>
      <c r="BY35" t="s">
        <v>1180</v>
      </c>
      <c r="BZ35" t="s">
        <v>1181</v>
      </c>
      <c r="CA35" t="s">
        <v>1182</v>
      </c>
      <c r="CB35" t="s">
        <v>1183</v>
      </c>
      <c r="CC35" t="s">
        <v>1184</v>
      </c>
      <c r="CD35" t="s">
        <v>1185</v>
      </c>
      <c r="CE35" t="s">
        <v>1186</v>
      </c>
      <c r="CF35" t="s">
        <v>1187</v>
      </c>
      <c r="CG35" t="s">
        <v>1188</v>
      </c>
      <c r="CH35" t="s">
        <v>1189</v>
      </c>
      <c r="CJ35" t="s">
        <v>1190</v>
      </c>
      <c r="CK35" t="s">
        <v>1189</v>
      </c>
      <c r="CL35" t="s">
        <v>1170</v>
      </c>
      <c r="CM35" t="s">
        <v>1171</v>
      </c>
      <c r="CN35" t="s">
        <v>1190</v>
      </c>
      <c r="CO35" t="s">
        <v>1191</v>
      </c>
      <c r="CP35" t="s">
        <v>1192</v>
      </c>
      <c r="CQ35" t="s">
        <v>1193</v>
      </c>
    </row>
    <row r="36" spans="1:95">
      <c r="A36" t="s">
        <v>337</v>
      </c>
      <c r="B36">
        <v>1558441</v>
      </c>
      <c r="C36" t="s">
        <v>1194</v>
      </c>
      <c r="E36" s="4" t="s">
        <v>17377</v>
      </c>
      <c r="F36" t="s">
        <v>95</v>
      </c>
      <c r="G36" t="s">
        <v>1195</v>
      </c>
      <c r="H36" t="s">
        <v>152</v>
      </c>
      <c r="I36" t="s">
        <v>98</v>
      </c>
      <c r="J36" t="s">
        <v>1196</v>
      </c>
      <c r="K36" t="s">
        <v>100</v>
      </c>
      <c r="L36">
        <v>626717</v>
      </c>
      <c r="M36">
        <v>626717</v>
      </c>
      <c r="N36">
        <v>0</v>
      </c>
      <c r="O36">
        <v>0</v>
      </c>
      <c r="Q36">
        <v>626717</v>
      </c>
      <c r="R36">
        <v>497</v>
      </c>
      <c r="S36" t="s">
        <v>1197</v>
      </c>
      <c r="T36">
        <v>0</v>
      </c>
      <c r="U36">
        <v>0</v>
      </c>
      <c r="W36" t="s">
        <v>102</v>
      </c>
      <c r="X36" t="s">
        <v>103</v>
      </c>
      <c r="Y36" t="s">
        <v>155</v>
      </c>
      <c r="AA36" t="s">
        <v>451</v>
      </c>
      <c r="AB36" t="s">
        <v>1198</v>
      </c>
      <c r="AC36" t="s">
        <v>1199</v>
      </c>
      <c r="AD36" t="s">
        <v>1198</v>
      </c>
      <c r="AE36" t="s">
        <v>1200</v>
      </c>
      <c r="AF36" t="s">
        <v>1198</v>
      </c>
      <c r="AG36" t="s">
        <v>1201</v>
      </c>
      <c r="AH36" t="s">
        <v>1198</v>
      </c>
      <c r="AI36" t="s">
        <v>102</v>
      </c>
      <c r="AJ36" t="s">
        <v>883</v>
      </c>
      <c r="AK36" t="s">
        <v>1202</v>
      </c>
      <c r="AL36" t="s">
        <v>1203</v>
      </c>
      <c r="AM36" t="s">
        <v>1204</v>
      </c>
      <c r="AN36" t="s">
        <v>1205</v>
      </c>
      <c r="AO36" t="s">
        <v>1206</v>
      </c>
      <c r="AP36" t="s">
        <v>1206</v>
      </c>
      <c r="AU36" t="s">
        <v>102</v>
      </c>
      <c r="AW36" t="s">
        <v>155</v>
      </c>
      <c r="AX36" t="s">
        <v>119</v>
      </c>
      <c r="AY36" t="s">
        <v>170</v>
      </c>
      <c r="AZ36" t="s">
        <v>118</v>
      </c>
      <c r="BB36" t="s">
        <v>120</v>
      </c>
      <c r="BC36" t="s">
        <v>1207</v>
      </c>
      <c r="BD36" t="s">
        <v>1208</v>
      </c>
      <c r="BE36" t="s">
        <v>174</v>
      </c>
      <c r="BF36" t="s">
        <v>1172</v>
      </c>
      <c r="BG36" t="s">
        <v>124</v>
      </c>
      <c r="BH36" t="s">
        <v>232</v>
      </c>
      <c r="BI36" t="s">
        <v>126</v>
      </c>
      <c r="BJ36" t="s">
        <v>127</v>
      </c>
      <c r="BK36" t="s">
        <v>1209</v>
      </c>
      <c r="BL36" t="s">
        <v>1210</v>
      </c>
      <c r="BM36" t="s">
        <v>1211</v>
      </c>
      <c r="BN36" t="s">
        <v>1195</v>
      </c>
      <c r="BO36" t="s">
        <v>1212</v>
      </c>
      <c r="BP36" t="s">
        <v>180</v>
      </c>
      <c r="BQ36" t="s">
        <v>1213</v>
      </c>
      <c r="BR36" t="s">
        <v>1214</v>
      </c>
      <c r="BS36" t="s">
        <v>1215</v>
      </c>
      <c r="BU36" t="s">
        <v>1216</v>
      </c>
      <c r="BV36" t="s">
        <v>1217</v>
      </c>
      <c r="BW36" t="s">
        <v>354</v>
      </c>
      <c r="BX36" t="s">
        <v>1218</v>
      </c>
      <c r="BY36" t="s">
        <v>1219</v>
      </c>
      <c r="BZ36" t="s">
        <v>1220</v>
      </c>
      <c r="CG36" t="s">
        <v>1221</v>
      </c>
      <c r="CH36" t="s">
        <v>1222</v>
      </c>
      <c r="CJ36" t="s">
        <v>1223</v>
      </c>
      <c r="CK36" t="s">
        <v>1222</v>
      </c>
      <c r="CL36" t="s">
        <v>1207</v>
      </c>
      <c r="CM36" t="s">
        <v>1208</v>
      </c>
      <c r="CN36" t="s">
        <v>1223</v>
      </c>
      <c r="CP36" t="s">
        <v>1224</v>
      </c>
      <c r="CQ36" t="s">
        <v>1225</v>
      </c>
    </row>
    <row r="37" spans="1:95">
      <c r="A37" t="s">
        <v>149</v>
      </c>
      <c r="B37">
        <v>1558722</v>
      </c>
      <c r="C37" t="s">
        <v>1226</v>
      </c>
      <c r="D37" t="str">
        <f>VLOOKUP(B37,'2025'!B:C,2,0)</f>
        <v>Anushka</v>
      </c>
      <c r="F37" t="s">
        <v>95</v>
      </c>
      <c r="G37" t="s">
        <v>1227</v>
      </c>
      <c r="H37" t="s">
        <v>193</v>
      </c>
      <c r="I37" t="s">
        <v>98</v>
      </c>
      <c r="J37" t="s">
        <v>1228</v>
      </c>
      <c r="K37" t="s">
        <v>100</v>
      </c>
      <c r="L37">
        <v>678084</v>
      </c>
      <c r="M37">
        <v>768179</v>
      </c>
      <c r="N37">
        <v>177554</v>
      </c>
      <c r="O37">
        <v>161</v>
      </c>
      <c r="P37" t="s">
        <v>1229</v>
      </c>
      <c r="Q37">
        <v>0</v>
      </c>
      <c r="R37">
        <v>0</v>
      </c>
      <c r="T37">
        <v>500530</v>
      </c>
      <c r="U37">
        <v>204</v>
      </c>
      <c r="V37" t="s">
        <v>1230</v>
      </c>
      <c r="W37" t="s">
        <v>102</v>
      </c>
      <c r="X37" t="s">
        <v>679</v>
      </c>
      <c r="Y37" t="s">
        <v>155</v>
      </c>
      <c r="Z37" t="s">
        <v>160</v>
      </c>
      <c r="AA37" t="s">
        <v>1231</v>
      </c>
      <c r="AB37" t="s">
        <v>1232</v>
      </c>
      <c r="AC37" t="s">
        <v>1233</v>
      </c>
      <c r="AD37" t="s">
        <v>1232</v>
      </c>
      <c r="AE37" t="s">
        <v>1234</v>
      </c>
      <c r="AF37" t="s">
        <v>1232</v>
      </c>
      <c r="AG37" t="s">
        <v>807</v>
      </c>
      <c r="AH37" t="s">
        <v>1232</v>
      </c>
      <c r="AI37" t="s">
        <v>1235</v>
      </c>
      <c r="AJ37" t="s">
        <v>1236</v>
      </c>
      <c r="AK37" t="s">
        <v>1237</v>
      </c>
      <c r="AL37" t="s">
        <v>1238</v>
      </c>
      <c r="AM37" t="s">
        <v>1239</v>
      </c>
      <c r="AN37" t="s">
        <v>1240</v>
      </c>
      <c r="AO37" t="s">
        <v>1241</v>
      </c>
      <c r="AP37" t="s">
        <v>1241</v>
      </c>
      <c r="AU37" t="s">
        <v>207</v>
      </c>
      <c r="AV37" t="s">
        <v>118</v>
      </c>
      <c r="AW37" t="s">
        <v>102</v>
      </c>
      <c r="AX37" t="s">
        <v>119</v>
      </c>
      <c r="BA37" t="s">
        <v>250</v>
      </c>
      <c r="BB37" t="s">
        <v>1242</v>
      </c>
      <c r="BC37" t="s">
        <v>1243</v>
      </c>
      <c r="BD37" t="s">
        <v>1244</v>
      </c>
      <c r="BE37" t="s">
        <v>122</v>
      </c>
      <c r="BF37" t="s">
        <v>1244</v>
      </c>
      <c r="BG37" t="s">
        <v>124</v>
      </c>
      <c r="BH37" t="s">
        <v>214</v>
      </c>
      <c r="BI37" t="s">
        <v>1245</v>
      </c>
      <c r="BJ37" t="s">
        <v>127</v>
      </c>
      <c r="BK37" t="s">
        <v>1246</v>
      </c>
      <c r="BL37" t="s">
        <v>1247</v>
      </c>
      <c r="BM37" t="s">
        <v>1248</v>
      </c>
      <c r="BN37" t="s">
        <v>1227</v>
      </c>
      <c r="BO37" t="s">
        <v>257</v>
      </c>
      <c r="BP37" t="s">
        <v>350</v>
      </c>
      <c r="BQ37" t="s">
        <v>259</v>
      </c>
      <c r="BR37" t="s">
        <v>260</v>
      </c>
      <c r="BS37" t="s">
        <v>1006</v>
      </c>
      <c r="BU37" t="s">
        <v>1249</v>
      </c>
      <c r="BV37" t="s">
        <v>1250</v>
      </c>
      <c r="BW37" t="s">
        <v>354</v>
      </c>
      <c r="BX37" t="s">
        <v>1251</v>
      </c>
      <c r="BY37" t="s">
        <v>1252</v>
      </c>
      <c r="BZ37" t="s">
        <v>1253</v>
      </c>
      <c r="CD37" t="s">
        <v>1254</v>
      </c>
      <c r="CE37" t="s">
        <v>1255</v>
      </c>
      <c r="CF37" t="s">
        <v>1256</v>
      </c>
      <c r="CG37" t="s">
        <v>102</v>
      </c>
      <c r="CH37" t="s">
        <v>1257</v>
      </c>
      <c r="CJ37" t="s">
        <v>1258</v>
      </c>
      <c r="CK37" t="s">
        <v>1257</v>
      </c>
      <c r="CL37" t="s">
        <v>1243</v>
      </c>
      <c r="CM37" t="s">
        <v>1244</v>
      </c>
      <c r="CN37" t="s">
        <v>1258</v>
      </c>
      <c r="CO37" t="s">
        <v>1259</v>
      </c>
      <c r="CP37" t="s">
        <v>1257</v>
      </c>
      <c r="CQ37" t="s">
        <v>1257</v>
      </c>
    </row>
    <row r="38" spans="1:95">
      <c r="A38" t="s">
        <v>149</v>
      </c>
      <c r="B38">
        <v>1581683</v>
      </c>
      <c r="C38" t="s">
        <v>1260</v>
      </c>
      <c r="D38" t="str">
        <f>VLOOKUP(B38,'2025'!B:C,2,0)</f>
        <v>Hetal Parmar</v>
      </c>
      <c r="F38" t="s">
        <v>95</v>
      </c>
      <c r="G38" t="s">
        <v>1261</v>
      </c>
      <c r="H38" t="s">
        <v>193</v>
      </c>
      <c r="I38" t="s">
        <v>98</v>
      </c>
      <c r="J38" t="s">
        <v>1262</v>
      </c>
      <c r="K38" t="s">
        <v>100</v>
      </c>
      <c r="L38">
        <v>697553</v>
      </c>
      <c r="M38">
        <v>810630</v>
      </c>
      <c r="N38">
        <v>69349</v>
      </c>
      <c r="O38">
        <v>99</v>
      </c>
      <c r="P38" t="s">
        <v>799</v>
      </c>
      <c r="Q38">
        <v>0</v>
      </c>
      <c r="R38">
        <v>0</v>
      </c>
      <c r="T38">
        <v>628204</v>
      </c>
      <c r="U38">
        <v>218</v>
      </c>
      <c r="V38" t="s">
        <v>1263</v>
      </c>
      <c r="W38" t="s">
        <v>102</v>
      </c>
      <c r="X38" t="s">
        <v>679</v>
      </c>
      <c r="Y38" t="s">
        <v>104</v>
      </c>
      <c r="Z38" t="s">
        <v>437</v>
      </c>
      <c r="AA38" t="s">
        <v>1264</v>
      </c>
      <c r="AB38" t="s">
        <v>1265</v>
      </c>
      <c r="AC38" t="s">
        <v>1266</v>
      </c>
      <c r="AD38" t="s">
        <v>1267</v>
      </c>
      <c r="AE38" t="s">
        <v>109</v>
      </c>
      <c r="AF38" t="s">
        <v>102</v>
      </c>
      <c r="AG38" t="s">
        <v>109</v>
      </c>
      <c r="AH38" t="s">
        <v>102</v>
      </c>
      <c r="AI38" t="s">
        <v>1268</v>
      </c>
      <c r="AJ38" t="s">
        <v>1269</v>
      </c>
      <c r="AK38" t="s">
        <v>1270</v>
      </c>
      <c r="AL38" t="s">
        <v>1271</v>
      </c>
      <c r="AM38" t="s">
        <v>1272</v>
      </c>
      <c r="AN38" t="s">
        <v>1273</v>
      </c>
      <c r="AO38" t="s">
        <v>1274</v>
      </c>
      <c r="AP38" t="s">
        <v>1274</v>
      </c>
      <c r="AU38" t="s">
        <v>207</v>
      </c>
      <c r="AV38" t="s">
        <v>118</v>
      </c>
      <c r="AW38" t="s">
        <v>102</v>
      </c>
      <c r="AX38" t="s">
        <v>119</v>
      </c>
      <c r="BA38" t="s">
        <v>250</v>
      </c>
      <c r="BB38" t="s">
        <v>1242</v>
      </c>
      <c r="BC38" t="s">
        <v>623</v>
      </c>
      <c r="BD38" t="s">
        <v>621</v>
      </c>
      <c r="BE38" t="s">
        <v>622</v>
      </c>
      <c r="BF38" t="s">
        <v>623</v>
      </c>
      <c r="BG38" t="s">
        <v>124</v>
      </c>
      <c r="BH38" t="s">
        <v>1275</v>
      </c>
      <c r="BI38" t="s">
        <v>625</v>
      </c>
      <c r="BJ38" t="s">
        <v>127</v>
      </c>
      <c r="BK38" t="s">
        <v>1276</v>
      </c>
      <c r="BL38" t="s">
        <v>1277</v>
      </c>
      <c r="BM38" t="s">
        <v>1278</v>
      </c>
      <c r="BN38" t="s">
        <v>1261</v>
      </c>
      <c r="BO38" t="s">
        <v>629</v>
      </c>
      <c r="BP38" t="s">
        <v>132</v>
      </c>
      <c r="BQ38" t="s">
        <v>630</v>
      </c>
      <c r="BR38" t="s">
        <v>631</v>
      </c>
      <c r="BS38" t="s">
        <v>1279</v>
      </c>
      <c r="BU38" t="s">
        <v>1280</v>
      </c>
      <c r="BV38" t="s">
        <v>1281</v>
      </c>
      <c r="BW38" t="s">
        <v>1282</v>
      </c>
      <c r="BX38" t="s">
        <v>1283</v>
      </c>
      <c r="BY38" t="s">
        <v>1284</v>
      </c>
      <c r="BZ38" t="s">
        <v>1285</v>
      </c>
      <c r="CA38" t="s">
        <v>1286</v>
      </c>
      <c r="CB38" t="s">
        <v>1285</v>
      </c>
      <c r="CC38" t="s">
        <v>1287</v>
      </c>
      <c r="CD38" t="s">
        <v>1288</v>
      </c>
      <c r="CE38" t="s">
        <v>1289</v>
      </c>
      <c r="CF38" t="s">
        <v>1290</v>
      </c>
      <c r="CG38" t="s">
        <v>102</v>
      </c>
      <c r="CH38" t="s">
        <v>1291</v>
      </c>
      <c r="CJ38" t="s">
        <v>1292</v>
      </c>
      <c r="CK38" t="s">
        <v>1291</v>
      </c>
      <c r="CL38" t="s">
        <v>623</v>
      </c>
      <c r="CM38" t="s">
        <v>621</v>
      </c>
      <c r="CN38" t="s">
        <v>1292</v>
      </c>
      <c r="CO38" t="s">
        <v>1293</v>
      </c>
      <c r="CP38" t="s">
        <v>1291</v>
      </c>
      <c r="CQ38" t="s">
        <v>1291</v>
      </c>
    </row>
    <row r="39" spans="1:95">
      <c r="A39" t="s">
        <v>337</v>
      </c>
      <c r="B39">
        <v>158773</v>
      </c>
      <c r="C39" t="s">
        <v>1294</v>
      </c>
      <c r="D39" t="str">
        <f>VLOOKUP(B39,'2025'!B:C,2,0)</f>
        <v>Jasper Jessie</v>
      </c>
      <c r="F39" t="s">
        <v>95</v>
      </c>
      <c r="G39" t="s">
        <v>1295</v>
      </c>
      <c r="H39" t="s">
        <v>97</v>
      </c>
      <c r="I39" t="s">
        <v>98</v>
      </c>
      <c r="J39" t="s">
        <v>1296</v>
      </c>
      <c r="K39" t="s">
        <v>100</v>
      </c>
      <c r="L39">
        <v>213587</v>
      </c>
      <c r="M39">
        <v>213587</v>
      </c>
      <c r="N39">
        <v>213587</v>
      </c>
      <c r="O39">
        <v>267</v>
      </c>
      <c r="P39" t="s">
        <v>1297</v>
      </c>
      <c r="Q39">
        <v>0</v>
      </c>
      <c r="R39">
        <v>0</v>
      </c>
      <c r="T39">
        <v>0</v>
      </c>
      <c r="U39">
        <v>0</v>
      </c>
      <c r="W39" t="s">
        <v>102</v>
      </c>
      <c r="X39" t="s">
        <v>103</v>
      </c>
      <c r="Y39" t="s">
        <v>104</v>
      </c>
      <c r="AA39" t="s">
        <v>197</v>
      </c>
      <c r="AB39" t="s">
        <v>1298</v>
      </c>
      <c r="AC39" t="s">
        <v>520</v>
      </c>
      <c r="AD39" t="s">
        <v>1298</v>
      </c>
      <c r="AE39" t="s">
        <v>109</v>
      </c>
      <c r="AF39" t="s">
        <v>102</v>
      </c>
      <c r="AG39" t="s">
        <v>109</v>
      </c>
      <c r="AH39" t="s">
        <v>102</v>
      </c>
      <c r="AI39" t="s">
        <v>102</v>
      </c>
      <c r="AJ39" t="s">
        <v>1299</v>
      </c>
      <c r="AK39" t="s">
        <v>1300</v>
      </c>
      <c r="AL39" t="s">
        <v>1301</v>
      </c>
      <c r="AM39" t="s">
        <v>1302</v>
      </c>
      <c r="AN39" t="s">
        <v>1303</v>
      </c>
      <c r="AO39" t="s">
        <v>1304</v>
      </c>
      <c r="AP39" t="s">
        <v>1304</v>
      </c>
      <c r="AU39" t="s">
        <v>318</v>
      </c>
      <c r="AV39" t="s">
        <v>118</v>
      </c>
      <c r="AW39" t="s">
        <v>102</v>
      </c>
      <c r="AX39" t="s">
        <v>119</v>
      </c>
      <c r="BB39" t="s">
        <v>171</v>
      </c>
      <c r="BC39" t="s">
        <v>920</v>
      </c>
      <c r="BD39" t="s">
        <v>211</v>
      </c>
      <c r="BE39" t="s">
        <v>212</v>
      </c>
      <c r="BF39" t="s">
        <v>213</v>
      </c>
      <c r="BG39" t="s">
        <v>124</v>
      </c>
      <c r="BH39" t="s">
        <v>214</v>
      </c>
      <c r="BI39" t="s">
        <v>1305</v>
      </c>
      <c r="BJ39" t="s">
        <v>127</v>
      </c>
      <c r="BK39" t="s">
        <v>1306</v>
      </c>
      <c r="BL39" t="s">
        <v>1307</v>
      </c>
      <c r="BM39" t="s">
        <v>1308</v>
      </c>
      <c r="BN39" t="s">
        <v>1295</v>
      </c>
      <c r="BO39" t="s">
        <v>1309</v>
      </c>
      <c r="BP39" t="s">
        <v>180</v>
      </c>
      <c r="BQ39" t="s">
        <v>1310</v>
      </c>
      <c r="BR39" t="s">
        <v>1311</v>
      </c>
      <c r="BS39" t="s">
        <v>1312</v>
      </c>
      <c r="BU39" t="s">
        <v>1313</v>
      </c>
      <c r="BV39" t="s">
        <v>1314</v>
      </c>
      <c r="BW39" t="s">
        <v>138</v>
      </c>
      <c r="BX39" t="s">
        <v>1315</v>
      </c>
      <c r="BY39" t="s">
        <v>1316</v>
      </c>
      <c r="BZ39" t="s">
        <v>1315</v>
      </c>
      <c r="CG39" t="s">
        <v>1317</v>
      </c>
      <c r="CH39" t="s">
        <v>1318</v>
      </c>
      <c r="CJ39" t="s">
        <v>1319</v>
      </c>
      <c r="CK39" t="s">
        <v>1318</v>
      </c>
      <c r="CL39" t="s">
        <v>920</v>
      </c>
      <c r="CM39" t="s">
        <v>211</v>
      </c>
      <c r="CN39" t="s">
        <v>1319</v>
      </c>
      <c r="CO39" t="s">
        <v>1320</v>
      </c>
      <c r="CP39" t="s">
        <v>1318</v>
      </c>
      <c r="CQ39" t="s">
        <v>1318</v>
      </c>
    </row>
    <row r="40" spans="1:95">
      <c r="A40" t="s">
        <v>149</v>
      </c>
      <c r="B40">
        <v>159527</v>
      </c>
      <c r="C40" t="s">
        <v>1321</v>
      </c>
      <c r="D40" t="str">
        <f>VLOOKUP(B40,'2025'!B:C,2,0)</f>
        <v>Saloni Shah</v>
      </c>
      <c r="F40" t="s">
        <v>95</v>
      </c>
      <c r="G40" t="s">
        <v>377</v>
      </c>
      <c r="H40" t="s">
        <v>643</v>
      </c>
      <c r="I40" t="s">
        <v>98</v>
      </c>
      <c r="J40" t="s">
        <v>1322</v>
      </c>
      <c r="K40" t="s">
        <v>100</v>
      </c>
      <c r="L40">
        <v>1949410</v>
      </c>
      <c r="M40">
        <v>2046288</v>
      </c>
      <c r="N40">
        <v>0</v>
      </c>
      <c r="O40">
        <v>0</v>
      </c>
      <c r="Q40">
        <v>1411200</v>
      </c>
      <c r="R40">
        <v>576</v>
      </c>
      <c r="S40" t="s">
        <v>1323</v>
      </c>
      <c r="T40">
        <v>538210</v>
      </c>
      <c r="U40">
        <v>219</v>
      </c>
      <c r="V40" t="s">
        <v>1324</v>
      </c>
      <c r="W40" t="s">
        <v>102</v>
      </c>
      <c r="X40" t="s">
        <v>103</v>
      </c>
      <c r="Y40" t="s">
        <v>398</v>
      </c>
      <c r="AA40" t="s">
        <v>175</v>
      </c>
      <c r="AB40" t="s">
        <v>1325</v>
      </c>
      <c r="AC40" t="s">
        <v>1326</v>
      </c>
      <c r="AD40" t="s">
        <v>1327</v>
      </c>
      <c r="AE40" t="s">
        <v>1328</v>
      </c>
      <c r="AF40" t="s">
        <v>1327</v>
      </c>
      <c r="AG40" t="s">
        <v>109</v>
      </c>
      <c r="AH40" t="s">
        <v>102</v>
      </c>
      <c r="AI40" t="s">
        <v>1329</v>
      </c>
      <c r="AJ40" t="s">
        <v>1330</v>
      </c>
      <c r="AK40" t="s">
        <v>1331</v>
      </c>
      <c r="AL40" t="s">
        <v>1332</v>
      </c>
      <c r="AM40" t="s">
        <v>1333</v>
      </c>
      <c r="AN40" t="s">
        <v>1334</v>
      </c>
      <c r="AO40" t="s">
        <v>1335</v>
      </c>
      <c r="AP40" t="s">
        <v>1335</v>
      </c>
      <c r="AU40" t="s">
        <v>102</v>
      </c>
      <c r="AW40" t="s">
        <v>248</v>
      </c>
      <c r="AX40" t="s">
        <v>119</v>
      </c>
      <c r="AY40" t="s">
        <v>170</v>
      </c>
      <c r="AZ40" t="s">
        <v>118</v>
      </c>
      <c r="BA40" t="s">
        <v>250</v>
      </c>
      <c r="BB40" t="s">
        <v>171</v>
      </c>
      <c r="BC40" t="s">
        <v>623</v>
      </c>
      <c r="BD40" t="s">
        <v>621</v>
      </c>
      <c r="BE40" t="s">
        <v>622</v>
      </c>
      <c r="BF40" t="s">
        <v>623</v>
      </c>
      <c r="BG40" t="s">
        <v>124</v>
      </c>
      <c r="BH40" t="s">
        <v>232</v>
      </c>
      <c r="BI40" t="s">
        <v>126</v>
      </c>
      <c r="BJ40" t="s">
        <v>127</v>
      </c>
      <c r="BK40" t="s">
        <v>1336</v>
      </c>
      <c r="BL40" t="s">
        <v>1337</v>
      </c>
      <c r="BM40" t="s">
        <v>1338</v>
      </c>
      <c r="BN40" t="s">
        <v>377</v>
      </c>
      <c r="BO40" t="s">
        <v>1339</v>
      </c>
      <c r="BP40" t="s">
        <v>132</v>
      </c>
      <c r="BQ40" t="s">
        <v>1340</v>
      </c>
      <c r="BR40" t="s">
        <v>1341</v>
      </c>
      <c r="BS40" t="s">
        <v>1342</v>
      </c>
      <c r="BU40" t="s">
        <v>1343</v>
      </c>
      <c r="BV40" t="s">
        <v>1344</v>
      </c>
      <c r="BW40" t="s">
        <v>138</v>
      </c>
      <c r="BX40" t="s">
        <v>1345</v>
      </c>
      <c r="BY40" t="s">
        <v>1346</v>
      </c>
      <c r="BZ40" t="s">
        <v>1347</v>
      </c>
      <c r="CA40" t="s">
        <v>1344</v>
      </c>
      <c r="CB40" t="s">
        <v>1345</v>
      </c>
      <c r="CC40" t="s">
        <v>1346</v>
      </c>
      <c r="CD40" t="s">
        <v>1348</v>
      </c>
      <c r="CE40" t="s">
        <v>1349</v>
      </c>
      <c r="CG40" t="s">
        <v>102</v>
      </c>
      <c r="CH40" t="s">
        <v>1350</v>
      </c>
      <c r="CJ40" t="s">
        <v>1351</v>
      </c>
      <c r="CK40" t="s">
        <v>1350</v>
      </c>
      <c r="CL40" t="s">
        <v>623</v>
      </c>
      <c r="CM40" t="s">
        <v>621</v>
      </c>
      <c r="CN40" t="s">
        <v>1351</v>
      </c>
      <c r="CO40" t="s">
        <v>1352</v>
      </c>
      <c r="CP40" t="s">
        <v>1350</v>
      </c>
      <c r="CQ40" t="s">
        <v>1350</v>
      </c>
    </row>
    <row r="41" spans="1:95">
      <c r="A41" t="s">
        <v>149</v>
      </c>
      <c r="B41">
        <v>1596332</v>
      </c>
      <c r="C41" t="s">
        <v>1353</v>
      </c>
      <c r="E41" s="4" t="s">
        <v>17377</v>
      </c>
      <c r="F41" t="s">
        <v>95</v>
      </c>
      <c r="G41" t="s">
        <v>1354</v>
      </c>
      <c r="H41" t="s">
        <v>848</v>
      </c>
      <c r="I41" t="s">
        <v>98</v>
      </c>
      <c r="J41" t="s">
        <v>1355</v>
      </c>
      <c r="K41" t="s">
        <v>100</v>
      </c>
      <c r="L41">
        <v>503334</v>
      </c>
      <c r="M41">
        <v>593934</v>
      </c>
      <c r="N41">
        <v>0</v>
      </c>
      <c r="O41">
        <v>0</v>
      </c>
      <c r="Q41">
        <v>0</v>
      </c>
      <c r="R41">
        <v>0</v>
      </c>
      <c r="T41">
        <v>503334</v>
      </c>
      <c r="U41">
        <v>396</v>
      </c>
      <c r="V41" t="s">
        <v>850</v>
      </c>
      <c r="W41" t="s">
        <v>102</v>
      </c>
      <c r="X41" t="s">
        <v>103</v>
      </c>
      <c r="Y41" t="s">
        <v>155</v>
      </c>
      <c r="AA41" t="s">
        <v>851</v>
      </c>
      <c r="AB41" t="s">
        <v>1356</v>
      </c>
      <c r="AC41" t="s">
        <v>501</v>
      </c>
      <c r="AD41" t="s">
        <v>1356</v>
      </c>
      <c r="AE41" t="s">
        <v>402</v>
      </c>
      <c r="AF41" t="s">
        <v>1356</v>
      </c>
      <c r="AG41" t="s">
        <v>160</v>
      </c>
      <c r="AH41" t="s">
        <v>1356</v>
      </c>
      <c r="AI41" t="s">
        <v>1357</v>
      </c>
      <c r="AJ41" t="s">
        <v>1358</v>
      </c>
      <c r="AK41" t="s">
        <v>1359</v>
      </c>
      <c r="AL41" t="s">
        <v>1360</v>
      </c>
      <c r="AM41" t="s">
        <v>1361</v>
      </c>
      <c r="AN41" t="s">
        <v>1362</v>
      </c>
      <c r="AO41" t="s">
        <v>861</v>
      </c>
      <c r="AP41" t="s">
        <v>861</v>
      </c>
      <c r="AU41" t="s">
        <v>102</v>
      </c>
      <c r="AW41" t="s">
        <v>102</v>
      </c>
      <c r="AX41" t="s">
        <v>119</v>
      </c>
      <c r="BA41" t="s">
        <v>250</v>
      </c>
      <c r="BB41" t="s">
        <v>209</v>
      </c>
      <c r="BC41" t="s">
        <v>862</v>
      </c>
      <c r="BD41" t="s">
        <v>410</v>
      </c>
      <c r="BE41" t="s">
        <v>212</v>
      </c>
      <c r="BF41" t="s">
        <v>410</v>
      </c>
      <c r="BG41" t="s">
        <v>124</v>
      </c>
      <c r="BH41" t="s">
        <v>883</v>
      </c>
      <c r="BI41" t="s">
        <v>126</v>
      </c>
      <c r="BJ41" t="s">
        <v>127</v>
      </c>
      <c r="BK41" t="s">
        <v>1363</v>
      </c>
      <c r="BL41" t="s">
        <v>1364</v>
      </c>
      <c r="BM41" t="s">
        <v>1365</v>
      </c>
      <c r="BN41" t="s">
        <v>1354</v>
      </c>
      <c r="BO41" t="s">
        <v>866</v>
      </c>
      <c r="BP41" t="s">
        <v>132</v>
      </c>
      <c r="BQ41" t="s">
        <v>867</v>
      </c>
      <c r="BR41" t="s">
        <v>868</v>
      </c>
      <c r="BS41" t="s">
        <v>418</v>
      </c>
      <c r="BT41" t="s">
        <v>418</v>
      </c>
      <c r="BU41" t="s">
        <v>1366</v>
      </c>
      <c r="BV41" t="s">
        <v>1367</v>
      </c>
      <c r="BW41" t="s">
        <v>138</v>
      </c>
      <c r="BX41" t="s">
        <v>1368</v>
      </c>
      <c r="BY41" t="s">
        <v>1369</v>
      </c>
      <c r="BZ41" t="s">
        <v>1368</v>
      </c>
      <c r="CA41" t="s">
        <v>1367</v>
      </c>
      <c r="CB41" t="s">
        <v>1368</v>
      </c>
      <c r="CC41" t="s">
        <v>1369</v>
      </c>
      <c r="CG41" t="s">
        <v>102</v>
      </c>
      <c r="CH41" t="s">
        <v>1370</v>
      </c>
      <c r="CJ41" t="s">
        <v>1371</v>
      </c>
      <c r="CK41" t="s">
        <v>1370</v>
      </c>
      <c r="CL41" t="s">
        <v>862</v>
      </c>
      <c r="CM41" t="s">
        <v>410</v>
      </c>
      <c r="CN41" t="s">
        <v>1371</v>
      </c>
      <c r="CO41" t="s">
        <v>1372</v>
      </c>
      <c r="CP41" t="s">
        <v>1370</v>
      </c>
      <c r="CQ41" t="s">
        <v>1370</v>
      </c>
    </row>
    <row r="42" spans="1:95">
      <c r="A42" t="s">
        <v>149</v>
      </c>
      <c r="B42">
        <v>1616619</v>
      </c>
      <c r="C42" t="s">
        <v>1373</v>
      </c>
      <c r="D42" t="str">
        <f>VLOOKUP(B42,'2025'!B:C,2,0)</f>
        <v>Vineeth T V</v>
      </c>
      <c r="F42" t="s">
        <v>95</v>
      </c>
      <c r="G42" t="s">
        <v>1374</v>
      </c>
      <c r="H42" t="s">
        <v>152</v>
      </c>
      <c r="I42" t="s">
        <v>98</v>
      </c>
      <c r="J42" t="s">
        <v>1375</v>
      </c>
      <c r="K42" t="s">
        <v>100</v>
      </c>
      <c r="L42">
        <v>757646</v>
      </c>
      <c r="M42">
        <v>757646</v>
      </c>
      <c r="N42">
        <v>0</v>
      </c>
      <c r="O42">
        <v>0</v>
      </c>
      <c r="Q42">
        <v>757646</v>
      </c>
      <c r="R42">
        <v>433</v>
      </c>
      <c r="S42" t="s">
        <v>1376</v>
      </c>
      <c r="T42">
        <v>0</v>
      </c>
      <c r="U42">
        <v>0</v>
      </c>
      <c r="W42" t="s">
        <v>102</v>
      </c>
      <c r="X42" t="s">
        <v>103</v>
      </c>
      <c r="Y42" t="s">
        <v>155</v>
      </c>
      <c r="AA42" t="s">
        <v>151</v>
      </c>
      <c r="AB42" t="s">
        <v>1377</v>
      </c>
      <c r="AC42" t="s">
        <v>648</v>
      </c>
      <c r="AD42" t="s">
        <v>1377</v>
      </c>
      <c r="AE42" t="s">
        <v>854</v>
      </c>
      <c r="AF42" t="s">
        <v>1377</v>
      </c>
      <c r="AG42" t="s">
        <v>160</v>
      </c>
      <c r="AH42" t="s">
        <v>1377</v>
      </c>
      <c r="AI42" t="s">
        <v>1378</v>
      </c>
      <c r="AJ42" t="s">
        <v>886</v>
      </c>
      <c r="AK42" t="s">
        <v>1379</v>
      </c>
      <c r="AL42" t="s">
        <v>1380</v>
      </c>
      <c r="AM42" t="s">
        <v>1381</v>
      </c>
      <c r="AN42" t="s">
        <v>1382</v>
      </c>
      <c r="AO42" t="s">
        <v>1383</v>
      </c>
      <c r="AP42" t="s">
        <v>1383</v>
      </c>
      <c r="AU42" t="s">
        <v>102</v>
      </c>
      <c r="AW42" t="s">
        <v>1384</v>
      </c>
      <c r="AX42" t="s">
        <v>119</v>
      </c>
      <c r="AZ42" t="s">
        <v>250</v>
      </c>
      <c r="BB42" t="s">
        <v>120</v>
      </c>
      <c r="BC42" t="s">
        <v>1385</v>
      </c>
      <c r="BD42" t="s">
        <v>410</v>
      </c>
      <c r="BE42" t="s">
        <v>212</v>
      </c>
      <c r="BF42" t="s">
        <v>410</v>
      </c>
      <c r="BG42" t="s">
        <v>124</v>
      </c>
      <c r="BH42" t="s">
        <v>851</v>
      </c>
      <c r="BI42" t="s">
        <v>625</v>
      </c>
      <c r="BJ42" t="s">
        <v>127</v>
      </c>
      <c r="BK42" t="s">
        <v>1386</v>
      </c>
      <c r="BL42" t="s">
        <v>1387</v>
      </c>
      <c r="BM42" t="s">
        <v>1388</v>
      </c>
      <c r="BN42" t="s">
        <v>1374</v>
      </c>
      <c r="BO42" t="s">
        <v>866</v>
      </c>
      <c r="BP42" t="s">
        <v>132</v>
      </c>
      <c r="BQ42" t="s">
        <v>867</v>
      </c>
      <c r="BR42" t="s">
        <v>868</v>
      </c>
      <c r="BS42" t="s">
        <v>418</v>
      </c>
      <c r="BU42" t="s">
        <v>1389</v>
      </c>
      <c r="BV42" t="s">
        <v>1390</v>
      </c>
      <c r="BX42" t="s">
        <v>1391</v>
      </c>
      <c r="BY42" t="s">
        <v>1392</v>
      </c>
      <c r="BZ42" t="s">
        <v>1391</v>
      </c>
      <c r="CG42" t="s">
        <v>102</v>
      </c>
      <c r="CH42" t="s">
        <v>1393</v>
      </c>
      <c r="CJ42" t="s">
        <v>1394</v>
      </c>
      <c r="CK42" t="s">
        <v>1393</v>
      </c>
      <c r="CL42" t="s">
        <v>1385</v>
      </c>
      <c r="CM42" t="s">
        <v>410</v>
      </c>
      <c r="CN42" t="s">
        <v>1394</v>
      </c>
      <c r="CO42" t="s">
        <v>1395</v>
      </c>
      <c r="CP42" t="s">
        <v>1393</v>
      </c>
      <c r="CQ42" t="s">
        <v>1393</v>
      </c>
    </row>
    <row r="43" spans="1:95">
      <c r="A43" t="s">
        <v>337</v>
      </c>
      <c r="B43">
        <v>1644219</v>
      </c>
      <c r="C43" t="s">
        <v>1396</v>
      </c>
      <c r="D43" t="str">
        <f>VLOOKUP(B43,'2025'!B:C,2,0)</f>
        <v>Sudhi</v>
      </c>
      <c r="F43" t="s">
        <v>95</v>
      </c>
      <c r="G43" t="s">
        <v>1397</v>
      </c>
      <c r="H43" t="s">
        <v>848</v>
      </c>
      <c r="I43" t="s">
        <v>98</v>
      </c>
      <c r="J43" t="s">
        <v>1398</v>
      </c>
      <c r="K43" t="s">
        <v>100</v>
      </c>
      <c r="L43">
        <v>349848</v>
      </c>
      <c r="M43">
        <v>412821</v>
      </c>
      <c r="N43">
        <v>0</v>
      </c>
      <c r="O43">
        <v>0</v>
      </c>
      <c r="Q43">
        <v>0</v>
      </c>
      <c r="R43">
        <v>0</v>
      </c>
      <c r="T43">
        <v>349848</v>
      </c>
      <c r="U43">
        <v>172</v>
      </c>
      <c r="V43" t="s">
        <v>1399</v>
      </c>
      <c r="W43" t="s">
        <v>102</v>
      </c>
      <c r="X43" t="s">
        <v>103</v>
      </c>
      <c r="Y43" t="s">
        <v>155</v>
      </c>
      <c r="AA43" t="s">
        <v>365</v>
      </c>
      <c r="AB43" t="s">
        <v>1400</v>
      </c>
      <c r="AC43" t="s">
        <v>892</v>
      </c>
      <c r="AD43" t="s">
        <v>1400</v>
      </c>
      <c r="AE43" t="s">
        <v>501</v>
      </c>
      <c r="AF43" t="s">
        <v>1400</v>
      </c>
      <c r="AG43" t="s">
        <v>402</v>
      </c>
      <c r="AH43" t="s">
        <v>1400</v>
      </c>
      <c r="AI43" t="s">
        <v>1401</v>
      </c>
      <c r="AJ43" t="s">
        <v>1402</v>
      </c>
      <c r="AK43" t="s">
        <v>1403</v>
      </c>
      <c r="AL43" t="s">
        <v>1404</v>
      </c>
      <c r="AM43" t="s">
        <v>1405</v>
      </c>
      <c r="AN43" t="s">
        <v>1406</v>
      </c>
      <c r="AO43" t="s">
        <v>317</v>
      </c>
      <c r="AP43" t="s">
        <v>317</v>
      </c>
      <c r="AU43" t="s">
        <v>102</v>
      </c>
      <c r="AW43" t="s">
        <v>102</v>
      </c>
      <c r="AX43" t="s">
        <v>119</v>
      </c>
      <c r="BA43" t="s">
        <v>250</v>
      </c>
      <c r="BB43" t="s">
        <v>120</v>
      </c>
      <c r="BC43" t="s">
        <v>1407</v>
      </c>
      <c r="BD43" t="s">
        <v>449</v>
      </c>
      <c r="BE43" t="s">
        <v>122</v>
      </c>
      <c r="BF43" t="s">
        <v>450</v>
      </c>
      <c r="BG43" t="s">
        <v>124</v>
      </c>
      <c r="BH43" t="s">
        <v>892</v>
      </c>
      <c r="BI43" t="s">
        <v>1408</v>
      </c>
      <c r="BJ43" t="s">
        <v>127</v>
      </c>
      <c r="BK43" t="s">
        <v>1409</v>
      </c>
      <c r="BL43" t="s">
        <v>1410</v>
      </c>
      <c r="BM43" t="s">
        <v>1411</v>
      </c>
      <c r="BN43" t="s">
        <v>1397</v>
      </c>
      <c r="BO43" t="s">
        <v>131</v>
      </c>
      <c r="BP43" t="s">
        <v>350</v>
      </c>
      <c r="BQ43" t="s">
        <v>133</v>
      </c>
      <c r="BR43" t="s">
        <v>134</v>
      </c>
      <c r="BS43" t="s">
        <v>328</v>
      </c>
      <c r="BU43" t="s">
        <v>1412</v>
      </c>
      <c r="BV43" t="s">
        <v>1413</v>
      </c>
      <c r="BW43" t="s">
        <v>138</v>
      </c>
      <c r="BX43" t="s">
        <v>1414</v>
      </c>
      <c r="BY43" t="s">
        <v>1415</v>
      </c>
      <c r="BZ43" t="s">
        <v>1416</v>
      </c>
      <c r="CA43" t="s">
        <v>1413</v>
      </c>
      <c r="CB43" t="s">
        <v>1414</v>
      </c>
      <c r="CC43" t="s">
        <v>1415</v>
      </c>
      <c r="CG43" t="s">
        <v>1417</v>
      </c>
      <c r="CH43" t="s">
        <v>1418</v>
      </c>
      <c r="CJ43" t="s">
        <v>1419</v>
      </c>
      <c r="CK43" t="s">
        <v>1418</v>
      </c>
      <c r="CL43" t="s">
        <v>1407</v>
      </c>
      <c r="CM43" t="s">
        <v>449</v>
      </c>
      <c r="CN43" t="s">
        <v>1419</v>
      </c>
      <c r="CO43" t="s">
        <v>1420</v>
      </c>
      <c r="CP43" t="s">
        <v>1418</v>
      </c>
      <c r="CQ43" t="s">
        <v>1418</v>
      </c>
    </row>
    <row r="44" spans="1:95">
      <c r="A44" t="s">
        <v>149</v>
      </c>
      <c r="B44">
        <v>1649456</v>
      </c>
      <c r="C44" t="s">
        <v>1421</v>
      </c>
      <c r="D44" t="str">
        <f>VLOOKUP(B44,'2025'!B:C,2,0)</f>
        <v>Shruti</v>
      </c>
      <c r="F44" t="s">
        <v>95</v>
      </c>
      <c r="G44" t="s">
        <v>1422</v>
      </c>
      <c r="H44" t="s">
        <v>152</v>
      </c>
      <c r="I44" t="s">
        <v>98</v>
      </c>
      <c r="J44" t="s">
        <v>1423</v>
      </c>
      <c r="K44" t="s">
        <v>100</v>
      </c>
      <c r="L44">
        <v>716365</v>
      </c>
      <c r="M44">
        <v>716365</v>
      </c>
      <c r="N44">
        <v>0</v>
      </c>
      <c r="O44">
        <v>0</v>
      </c>
      <c r="Q44">
        <v>716365</v>
      </c>
      <c r="R44">
        <v>573</v>
      </c>
      <c r="S44" t="s">
        <v>1424</v>
      </c>
      <c r="T44">
        <v>0</v>
      </c>
      <c r="U44">
        <v>0</v>
      </c>
      <c r="W44" t="s">
        <v>102</v>
      </c>
      <c r="X44" t="s">
        <v>103</v>
      </c>
      <c r="Y44" t="s">
        <v>155</v>
      </c>
      <c r="AA44" t="s">
        <v>214</v>
      </c>
      <c r="AB44" t="s">
        <v>1425</v>
      </c>
      <c r="AC44" t="s">
        <v>347</v>
      </c>
      <c r="AD44" t="s">
        <v>1425</v>
      </c>
      <c r="AE44" t="s">
        <v>915</v>
      </c>
      <c r="AF44" t="s">
        <v>1425</v>
      </c>
      <c r="AG44" t="s">
        <v>160</v>
      </c>
      <c r="AH44" t="s">
        <v>1425</v>
      </c>
      <c r="AI44" t="s">
        <v>1426</v>
      </c>
      <c r="AJ44" t="s">
        <v>1295</v>
      </c>
      <c r="AK44" t="s">
        <v>1427</v>
      </c>
      <c r="AL44" t="s">
        <v>1428</v>
      </c>
      <c r="AM44" t="s">
        <v>1429</v>
      </c>
      <c r="AN44" t="s">
        <v>1430</v>
      </c>
      <c r="AO44" t="s">
        <v>1431</v>
      </c>
      <c r="AP44" t="s">
        <v>1432</v>
      </c>
      <c r="AT44" t="s">
        <v>169</v>
      </c>
      <c r="AU44" t="s">
        <v>102</v>
      </c>
      <c r="AW44" t="s">
        <v>155</v>
      </c>
      <c r="AX44" t="s">
        <v>119</v>
      </c>
      <c r="AY44" t="s">
        <v>170</v>
      </c>
      <c r="AZ44" t="s">
        <v>118</v>
      </c>
      <c r="BB44" t="s">
        <v>120</v>
      </c>
      <c r="BC44" t="s">
        <v>1433</v>
      </c>
      <c r="BD44" t="s">
        <v>556</v>
      </c>
      <c r="BE44" t="s">
        <v>122</v>
      </c>
      <c r="BF44" t="s">
        <v>557</v>
      </c>
      <c r="BG44" t="s">
        <v>124</v>
      </c>
      <c r="BH44" t="s">
        <v>214</v>
      </c>
      <c r="BI44" t="s">
        <v>126</v>
      </c>
      <c r="BJ44" t="s">
        <v>127</v>
      </c>
      <c r="BK44" t="s">
        <v>1434</v>
      </c>
      <c r="BL44" t="s">
        <v>1435</v>
      </c>
      <c r="BM44" t="s">
        <v>1436</v>
      </c>
      <c r="BN44" t="s">
        <v>1422</v>
      </c>
      <c r="BO44" t="s">
        <v>1142</v>
      </c>
      <c r="BP44" t="s">
        <v>258</v>
      </c>
      <c r="BQ44" t="s">
        <v>1143</v>
      </c>
      <c r="BR44" t="s">
        <v>1144</v>
      </c>
      <c r="BS44" t="s">
        <v>566</v>
      </c>
      <c r="BU44" t="s">
        <v>1437</v>
      </c>
      <c r="BV44" t="s">
        <v>1438</v>
      </c>
      <c r="BW44" t="s">
        <v>138</v>
      </c>
      <c r="BX44" t="s">
        <v>1439</v>
      </c>
      <c r="BY44" t="s">
        <v>1440</v>
      </c>
      <c r="BZ44" t="s">
        <v>1441</v>
      </c>
      <c r="CA44" t="s">
        <v>1438</v>
      </c>
      <c r="CB44" t="s">
        <v>1439</v>
      </c>
      <c r="CC44" t="s">
        <v>1440</v>
      </c>
      <c r="CD44" t="s">
        <v>1442</v>
      </c>
      <c r="CE44" t="s">
        <v>1439</v>
      </c>
      <c r="CF44" t="s">
        <v>1443</v>
      </c>
      <c r="CG44" t="s">
        <v>102</v>
      </c>
      <c r="CH44" t="s">
        <v>1444</v>
      </c>
      <c r="CJ44" t="s">
        <v>1445</v>
      </c>
      <c r="CK44" t="s">
        <v>1444</v>
      </c>
      <c r="CL44" t="s">
        <v>1433</v>
      </c>
      <c r="CM44" t="s">
        <v>556</v>
      </c>
      <c r="CN44" t="s">
        <v>1445</v>
      </c>
      <c r="CP44" t="s">
        <v>1444</v>
      </c>
      <c r="CQ44" t="s">
        <v>1444</v>
      </c>
    </row>
    <row r="45" spans="1:95">
      <c r="A45" t="s">
        <v>149</v>
      </c>
      <c r="B45">
        <v>165035</v>
      </c>
      <c r="C45" t="s">
        <v>1446</v>
      </c>
      <c r="D45" t="str">
        <f>VLOOKUP(B45,'2025'!B:C,2,0)</f>
        <v>Rohit</v>
      </c>
      <c r="F45" t="s">
        <v>95</v>
      </c>
      <c r="G45" t="s">
        <v>1447</v>
      </c>
      <c r="H45" t="s">
        <v>848</v>
      </c>
      <c r="I45" t="s">
        <v>98</v>
      </c>
      <c r="J45" t="s">
        <v>1448</v>
      </c>
      <c r="K45" t="s">
        <v>100</v>
      </c>
      <c r="L45">
        <v>546068</v>
      </c>
      <c r="M45">
        <v>644360</v>
      </c>
      <c r="N45">
        <v>0</v>
      </c>
      <c r="O45">
        <v>0</v>
      </c>
      <c r="Q45">
        <v>0</v>
      </c>
      <c r="R45">
        <v>0</v>
      </c>
      <c r="T45">
        <v>546068</v>
      </c>
      <c r="U45">
        <v>190</v>
      </c>
      <c r="V45" t="s">
        <v>1449</v>
      </c>
      <c r="W45" t="s">
        <v>102</v>
      </c>
      <c r="X45" t="s">
        <v>275</v>
      </c>
      <c r="Z45" t="s">
        <v>400</v>
      </c>
      <c r="AA45" t="s">
        <v>109</v>
      </c>
      <c r="AB45" t="s">
        <v>102</v>
      </c>
      <c r="AC45" t="s">
        <v>109</v>
      </c>
      <c r="AD45" t="s">
        <v>102</v>
      </c>
      <c r="AE45" t="s">
        <v>109</v>
      </c>
      <c r="AF45" t="s">
        <v>102</v>
      </c>
      <c r="AG45" t="s">
        <v>109</v>
      </c>
      <c r="AH45" t="s">
        <v>102</v>
      </c>
      <c r="AI45" t="s">
        <v>1450</v>
      </c>
      <c r="AJ45" t="s">
        <v>1451</v>
      </c>
      <c r="AK45" t="s">
        <v>1451</v>
      </c>
      <c r="AL45" t="s">
        <v>1452</v>
      </c>
      <c r="AM45" t="s">
        <v>1453</v>
      </c>
      <c r="AN45" t="s">
        <v>1454</v>
      </c>
      <c r="AO45" t="s">
        <v>1455</v>
      </c>
      <c r="AP45" t="s">
        <v>1455</v>
      </c>
      <c r="AU45" t="s">
        <v>102</v>
      </c>
      <c r="AW45" t="s">
        <v>102</v>
      </c>
      <c r="AX45" t="s">
        <v>119</v>
      </c>
      <c r="BA45" t="s">
        <v>250</v>
      </c>
      <c r="BB45" t="s">
        <v>120</v>
      </c>
      <c r="BC45" t="s">
        <v>1067</v>
      </c>
      <c r="BD45" t="s">
        <v>556</v>
      </c>
      <c r="BE45" t="s">
        <v>122</v>
      </c>
      <c r="BF45" t="s">
        <v>557</v>
      </c>
      <c r="BG45" t="s">
        <v>124</v>
      </c>
      <c r="BH45" t="s">
        <v>892</v>
      </c>
      <c r="BI45" t="s">
        <v>126</v>
      </c>
      <c r="BJ45" t="s">
        <v>127</v>
      </c>
      <c r="BK45" t="s">
        <v>1456</v>
      </c>
      <c r="BL45" t="s">
        <v>1457</v>
      </c>
      <c r="BM45" t="s">
        <v>1458</v>
      </c>
      <c r="BN45" t="s">
        <v>1447</v>
      </c>
      <c r="BO45" t="s">
        <v>1142</v>
      </c>
      <c r="BP45" t="s">
        <v>350</v>
      </c>
      <c r="BQ45" t="s">
        <v>1143</v>
      </c>
      <c r="BR45" t="s">
        <v>1144</v>
      </c>
      <c r="BS45" t="s">
        <v>1075</v>
      </c>
      <c r="BU45" t="s">
        <v>1459</v>
      </c>
      <c r="BV45" t="s">
        <v>1460</v>
      </c>
      <c r="BW45" t="s">
        <v>598</v>
      </c>
      <c r="BX45" t="s">
        <v>1461</v>
      </c>
      <c r="BY45" t="s">
        <v>1462</v>
      </c>
      <c r="BZ45" t="s">
        <v>1463</v>
      </c>
      <c r="CG45" t="s">
        <v>102</v>
      </c>
      <c r="CH45" t="s">
        <v>1464</v>
      </c>
      <c r="CJ45" t="s">
        <v>1465</v>
      </c>
      <c r="CK45" t="s">
        <v>1464</v>
      </c>
      <c r="CL45" t="s">
        <v>1067</v>
      </c>
      <c r="CM45" t="s">
        <v>556</v>
      </c>
      <c r="CN45" t="s">
        <v>1465</v>
      </c>
      <c r="CP45" t="s">
        <v>1464</v>
      </c>
      <c r="CQ45" t="s">
        <v>1464</v>
      </c>
    </row>
    <row r="46" spans="1:95">
      <c r="A46" t="s">
        <v>149</v>
      </c>
      <c r="B46">
        <v>1650530</v>
      </c>
      <c r="C46" t="s">
        <v>1466</v>
      </c>
      <c r="D46" t="str">
        <f>VLOOKUP(B46,'2025'!B:C,2,0)</f>
        <v>Shruti</v>
      </c>
      <c r="F46" t="s">
        <v>95</v>
      </c>
      <c r="G46" t="s">
        <v>1467</v>
      </c>
      <c r="H46" t="s">
        <v>152</v>
      </c>
      <c r="I46" t="s">
        <v>98</v>
      </c>
      <c r="J46" t="s">
        <v>1468</v>
      </c>
      <c r="K46" t="s">
        <v>100</v>
      </c>
      <c r="L46">
        <v>246543</v>
      </c>
      <c r="M46">
        <v>246543</v>
      </c>
      <c r="N46">
        <v>0</v>
      </c>
      <c r="O46">
        <v>0</v>
      </c>
      <c r="Q46">
        <v>246543</v>
      </c>
      <c r="R46">
        <v>145</v>
      </c>
      <c r="S46" t="s">
        <v>1469</v>
      </c>
      <c r="T46">
        <v>0</v>
      </c>
      <c r="U46">
        <v>0</v>
      </c>
      <c r="W46" t="s">
        <v>102</v>
      </c>
      <c r="X46" t="s">
        <v>103</v>
      </c>
      <c r="Y46" t="s">
        <v>155</v>
      </c>
      <c r="AA46" t="s">
        <v>1470</v>
      </c>
      <c r="AB46" t="s">
        <v>1471</v>
      </c>
      <c r="AC46" t="s">
        <v>197</v>
      </c>
      <c r="AD46" t="s">
        <v>1471</v>
      </c>
      <c r="AE46" t="s">
        <v>1472</v>
      </c>
      <c r="AF46" t="s">
        <v>1471</v>
      </c>
      <c r="AG46" t="s">
        <v>1473</v>
      </c>
      <c r="AH46" t="s">
        <v>1471</v>
      </c>
      <c r="AI46" t="s">
        <v>102</v>
      </c>
      <c r="AJ46" t="s">
        <v>441</v>
      </c>
      <c r="AK46" t="s">
        <v>1474</v>
      </c>
      <c r="AL46" t="s">
        <v>1475</v>
      </c>
      <c r="AM46" t="s">
        <v>1476</v>
      </c>
      <c r="AN46" t="s">
        <v>1477</v>
      </c>
      <c r="AO46" t="s">
        <v>1478</v>
      </c>
      <c r="AP46" t="s">
        <v>1479</v>
      </c>
      <c r="AT46" t="s">
        <v>169</v>
      </c>
      <c r="AU46" t="s">
        <v>102</v>
      </c>
      <c r="AW46" t="s">
        <v>155</v>
      </c>
      <c r="AX46" t="s">
        <v>119</v>
      </c>
      <c r="AY46" t="s">
        <v>170</v>
      </c>
      <c r="AZ46" t="s">
        <v>118</v>
      </c>
      <c r="BB46" t="s">
        <v>120</v>
      </c>
      <c r="BC46" t="s">
        <v>1480</v>
      </c>
      <c r="BD46" t="s">
        <v>556</v>
      </c>
      <c r="BE46" t="s">
        <v>122</v>
      </c>
      <c r="BF46" t="s">
        <v>557</v>
      </c>
      <c r="BG46" t="s">
        <v>124</v>
      </c>
      <c r="BH46" t="s">
        <v>232</v>
      </c>
      <c r="BI46" t="s">
        <v>126</v>
      </c>
      <c r="BJ46" t="s">
        <v>127</v>
      </c>
      <c r="BK46" t="s">
        <v>1481</v>
      </c>
      <c r="BL46" t="s">
        <v>1482</v>
      </c>
      <c r="BM46" t="s">
        <v>1483</v>
      </c>
      <c r="BN46" t="s">
        <v>1467</v>
      </c>
      <c r="BO46" t="s">
        <v>1142</v>
      </c>
      <c r="BP46" t="s">
        <v>350</v>
      </c>
      <c r="BQ46" t="s">
        <v>1143</v>
      </c>
      <c r="BR46" t="s">
        <v>1144</v>
      </c>
      <c r="BS46" t="s">
        <v>566</v>
      </c>
      <c r="BU46" t="s">
        <v>1484</v>
      </c>
      <c r="BV46" t="s">
        <v>1485</v>
      </c>
      <c r="BW46" t="s">
        <v>138</v>
      </c>
      <c r="BX46" t="s">
        <v>1486</v>
      </c>
      <c r="BY46" t="s">
        <v>1487</v>
      </c>
      <c r="BZ46" t="s">
        <v>1488</v>
      </c>
      <c r="CA46" t="s">
        <v>1485</v>
      </c>
      <c r="CB46" t="s">
        <v>1486</v>
      </c>
      <c r="CC46" t="s">
        <v>1487</v>
      </c>
      <c r="CG46" t="s">
        <v>102</v>
      </c>
      <c r="CH46" t="s">
        <v>1489</v>
      </c>
      <c r="CJ46" t="s">
        <v>1490</v>
      </c>
      <c r="CK46" t="s">
        <v>1489</v>
      </c>
      <c r="CL46" t="s">
        <v>1480</v>
      </c>
      <c r="CM46" t="s">
        <v>556</v>
      </c>
      <c r="CN46" t="s">
        <v>1490</v>
      </c>
      <c r="CO46" t="s">
        <v>1491</v>
      </c>
      <c r="CP46" t="s">
        <v>1489</v>
      </c>
      <c r="CQ46" t="s">
        <v>1489</v>
      </c>
    </row>
    <row r="47" spans="1:95">
      <c r="A47" t="s">
        <v>149</v>
      </c>
      <c r="B47">
        <v>168210</v>
      </c>
      <c r="C47" t="s">
        <v>1492</v>
      </c>
      <c r="D47" t="str">
        <f>VLOOKUP(B47,'2025'!B:C,2,0)</f>
        <v>Gargi Ghosh</v>
      </c>
      <c r="F47" t="s">
        <v>95</v>
      </c>
      <c r="G47" t="s">
        <v>1493</v>
      </c>
      <c r="H47" t="s">
        <v>675</v>
      </c>
      <c r="I47" t="s">
        <v>98</v>
      </c>
      <c r="J47" t="s">
        <v>1494</v>
      </c>
      <c r="K47" t="s">
        <v>100</v>
      </c>
      <c r="L47">
        <v>2421922</v>
      </c>
      <c r="M47">
        <v>2421922</v>
      </c>
      <c r="N47">
        <v>184200</v>
      </c>
      <c r="O47">
        <v>307</v>
      </c>
      <c r="P47" t="s">
        <v>310</v>
      </c>
      <c r="Q47">
        <v>2237722</v>
      </c>
      <c r="R47">
        <v>1963</v>
      </c>
      <c r="S47" t="s">
        <v>1495</v>
      </c>
      <c r="T47">
        <v>0</v>
      </c>
      <c r="U47">
        <v>0</v>
      </c>
      <c r="W47" t="s">
        <v>102</v>
      </c>
      <c r="X47" t="s">
        <v>679</v>
      </c>
      <c r="Y47" t="s">
        <v>155</v>
      </c>
      <c r="Z47" t="s">
        <v>111</v>
      </c>
      <c r="AA47" t="s">
        <v>1496</v>
      </c>
      <c r="AB47" t="s">
        <v>1497</v>
      </c>
      <c r="AC47" t="s">
        <v>1266</v>
      </c>
      <c r="AD47" t="s">
        <v>1497</v>
      </c>
      <c r="AE47" t="s">
        <v>1498</v>
      </c>
      <c r="AF47" t="s">
        <v>1497</v>
      </c>
      <c r="AG47" t="s">
        <v>807</v>
      </c>
      <c r="AH47" t="s">
        <v>1497</v>
      </c>
      <c r="AI47" t="s">
        <v>1499</v>
      </c>
      <c r="AJ47" t="s">
        <v>1500</v>
      </c>
      <c r="AK47" t="s">
        <v>1501</v>
      </c>
      <c r="AL47" t="s">
        <v>1502</v>
      </c>
      <c r="AM47" t="s">
        <v>1503</v>
      </c>
      <c r="AN47" t="s">
        <v>1504</v>
      </c>
      <c r="AO47" t="s">
        <v>1505</v>
      </c>
      <c r="AP47" t="s">
        <v>1505</v>
      </c>
      <c r="AU47" t="s">
        <v>247</v>
      </c>
      <c r="AV47" t="s">
        <v>250</v>
      </c>
      <c r="AW47" t="s">
        <v>655</v>
      </c>
      <c r="AX47" t="s">
        <v>119</v>
      </c>
      <c r="AY47" t="s">
        <v>170</v>
      </c>
      <c r="AZ47" t="s">
        <v>118</v>
      </c>
      <c r="BB47" t="s">
        <v>171</v>
      </c>
      <c r="BC47" t="s">
        <v>375</v>
      </c>
      <c r="BD47" t="s">
        <v>376</v>
      </c>
      <c r="BE47" t="s">
        <v>174</v>
      </c>
      <c r="BF47" t="s">
        <v>376</v>
      </c>
      <c r="BG47" t="s">
        <v>124</v>
      </c>
      <c r="BH47" t="s">
        <v>1493</v>
      </c>
      <c r="BI47" t="s">
        <v>126</v>
      </c>
      <c r="BJ47" t="s">
        <v>127</v>
      </c>
      <c r="BK47" t="s">
        <v>1506</v>
      </c>
      <c r="BL47" t="s">
        <v>1507</v>
      </c>
      <c r="BM47" t="s">
        <v>1508</v>
      </c>
      <c r="BN47" t="s">
        <v>1493</v>
      </c>
      <c r="BO47" t="s">
        <v>179</v>
      </c>
      <c r="BP47" t="s">
        <v>180</v>
      </c>
      <c r="BQ47" t="s">
        <v>181</v>
      </c>
      <c r="BR47" t="s">
        <v>182</v>
      </c>
      <c r="BS47" t="s">
        <v>183</v>
      </c>
      <c r="BU47" t="s">
        <v>1509</v>
      </c>
      <c r="BV47" t="s">
        <v>1510</v>
      </c>
      <c r="BW47" t="s">
        <v>354</v>
      </c>
      <c r="BX47" t="s">
        <v>1511</v>
      </c>
      <c r="BY47" t="s">
        <v>1512</v>
      </c>
      <c r="BZ47" t="s">
        <v>1513</v>
      </c>
      <c r="CG47" t="s">
        <v>102</v>
      </c>
      <c r="CH47" t="s">
        <v>1514</v>
      </c>
      <c r="CJ47" t="s">
        <v>1515</v>
      </c>
      <c r="CK47" t="s">
        <v>1514</v>
      </c>
      <c r="CL47" t="s">
        <v>375</v>
      </c>
      <c r="CM47" t="s">
        <v>376</v>
      </c>
      <c r="CN47" t="s">
        <v>1515</v>
      </c>
      <c r="CO47" t="s">
        <v>1516</v>
      </c>
      <c r="CP47" t="s">
        <v>1514</v>
      </c>
      <c r="CQ47" t="s">
        <v>1514</v>
      </c>
    </row>
    <row r="48" spans="1:95">
      <c r="A48" t="s">
        <v>149</v>
      </c>
      <c r="B48">
        <v>169040</v>
      </c>
      <c r="C48" t="s">
        <v>1517</v>
      </c>
      <c r="D48" t="str">
        <f>VLOOKUP(B48,'2025'!B:C,2,0)</f>
        <v>Lopa</v>
      </c>
      <c r="F48" t="s">
        <v>95</v>
      </c>
      <c r="G48" t="s">
        <v>1518</v>
      </c>
      <c r="H48" t="s">
        <v>152</v>
      </c>
      <c r="I48" t="s">
        <v>98</v>
      </c>
      <c r="J48" t="s">
        <v>1519</v>
      </c>
      <c r="K48" t="s">
        <v>100</v>
      </c>
      <c r="L48">
        <v>698078</v>
      </c>
      <c r="M48">
        <v>698078</v>
      </c>
      <c r="N48">
        <v>0</v>
      </c>
      <c r="O48">
        <v>0</v>
      </c>
      <c r="Q48">
        <v>698078</v>
      </c>
      <c r="R48">
        <v>461</v>
      </c>
      <c r="S48" t="s">
        <v>1520</v>
      </c>
      <c r="T48">
        <v>0</v>
      </c>
      <c r="U48">
        <v>0</v>
      </c>
      <c r="W48" t="s">
        <v>102</v>
      </c>
      <c r="X48" t="s">
        <v>103</v>
      </c>
      <c r="Y48" t="s">
        <v>155</v>
      </c>
      <c r="AA48" t="s">
        <v>1521</v>
      </c>
      <c r="AB48" t="s">
        <v>1522</v>
      </c>
      <c r="AC48" t="s">
        <v>313</v>
      </c>
      <c r="AD48" t="s">
        <v>1522</v>
      </c>
      <c r="AE48" t="s">
        <v>1523</v>
      </c>
      <c r="AF48" t="s">
        <v>1522</v>
      </c>
      <c r="AG48" t="s">
        <v>160</v>
      </c>
      <c r="AH48" t="s">
        <v>1522</v>
      </c>
      <c r="AI48" t="s">
        <v>1524</v>
      </c>
      <c r="AJ48" t="s">
        <v>1525</v>
      </c>
      <c r="AK48" t="s">
        <v>1202</v>
      </c>
      <c r="AL48" t="s">
        <v>1526</v>
      </c>
      <c r="AM48" t="s">
        <v>1527</v>
      </c>
      <c r="AN48" t="s">
        <v>1528</v>
      </c>
      <c r="AO48" t="s">
        <v>1529</v>
      </c>
      <c r="AP48" t="s">
        <v>1529</v>
      </c>
      <c r="AU48" t="s">
        <v>102</v>
      </c>
      <c r="AW48" t="s">
        <v>155</v>
      </c>
      <c r="AX48" t="s">
        <v>447</v>
      </c>
      <c r="AY48" t="s">
        <v>170</v>
      </c>
      <c r="AZ48" t="s">
        <v>118</v>
      </c>
      <c r="BB48" t="s">
        <v>171</v>
      </c>
      <c r="BC48" t="s">
        <v>375</v>
      </c>
      <c r="BD48" t="s">
        <v>376</v>
      </c>
      <c r="BE48" t="s">
        <v>174</v>
      </c>
      <c r="BF48" t="s">
        <v>376</v>
      </c>
      <c r="BG48" t="s">
        <v>124</v>
      </c>
      <c r="BH48" t="s">
        <v>232</v>
      </c>
      <c r="BI48" t="s">
        <v>126</v>
      </c>
      <c r="BJ48" t="s">
        <v>127</v>
      </c>
      <c r="BK48" t="s">
        <v>1530</v>
      </c>
      <c r="BL48" t="s">
        <v>1531</v>
      </c>
      <c r="BM48" t="s">
        <v>1532</v>
      </c>
      <c r="BN48" t="s">
        <v>1518</v>
      </c>
      <c r="BO48" t="s">
        <v>179</v>
      </c>
      <c r="BP48" t="s">
        <v>1533</v>
      </c>
      <c r="BQ48" t="s">
        <v>181</v>
      </c>
      <c r="BR48" t="s">
        <v>182</v>
      </c>
      <c r="BS48" t="s">
        <v>183</v>
      </c>
      <c r="BU48" t="s">
        <v>1534</v>
      </c>
      <c r="BV48" t="s">
        <v>1535</v>
      </c>
      <c r="BW48" t="s">
        <v>138</v>
      </c>
      <c r="BX48" t="s">
        <v>1536</v>
      </c>
      <c r="BY48" t="s">
        <v>1537</v>
      </c>
      <c r="BZ48" t="s">
        <v>1536</v>
      </c>
      <c r="CG48" t="s">
        <v>1538</v>
      </c>
      <c r="CH48" t="s">
        <v>1539</v>
      </c>
      <c r="CJ48" t="s">
        <v>1540</v>
      </c>
      <c r="CK48" t="s">
        <v>1539</v>
      </c>
      <c r="CL48" t="s">
        <v>375</v>
      </c>
      <c r="CM48" t="s">
        <v>376</v>
      </c>
      <c r="CN48" t="s">
        <v>1540</v>
      </c>
      <c r="CP48" t="s">
        <v>1539</v>
      </c>
      <c r="CQ48" t="s">
        <v>1539</v>
      </c>
    </row>
    <row r="49" spans="1:95">
      <c r="A49" t="s">
        <v>149</v>
      </c>
      <c r="B49">
        <v>17080</v>
      </c>
      <c r="C49" t="s">
        <v>1541</v>
      </c>
      <c r="D49" t="str">
        <f>VLOOKUP(B49,'2025'!B:C,2,0)</f>
        <v>Vineeth T V</v>
      </c>
      <c r="F49" t="s">
        <v>95</v>
      </c>
      <c r="G49" t="s">
        <v>1542</v>
      </c>
      <c r="H49" t="s">
        <v>848</v>
      </c>
      <c r="I49" t="s">
        <v>98</v>
      </c>
      <c r="J49" t="s">
        <v>1543</v>
      </c>
      <c r="K49" t="s">
        <v>100</v>
      </c>
      <c r="L49">
        <v>2266334</v>
      </c>
      <c r="M49">
        <v>2674274</v>
      </c>
      <c r="N49">
        <v>0</v>
      </c>
      <c r="O49">
        <v>0</v>
      </c>
      <c r="Q49">
        <v>0</v>
      </c>
      <c r="R49">
        <v>0</v>
      </c>
      <c r="T49">
        <v>2266334</v>
      </c>
      <c r="U49">
        <v>1494</v>
      </c>
      <c r="V49" t="s">
        <v>1544</v>
      </c>
      <c r="W49" t="s">
        <v>102</v>
      </c>
      <c r="X49" t="s">
        <v>103</v>
      </c>
      <c r="Y49" t="s">
        <v>104</v>
      </c>
      <c r="AA49" t="s">
        <v>1161</v>
      </c>
      <c r="AB49" t="s">
        <v>1545</v>
      </c>
      <c r="AC49" t="s">
        <v>160</v>
      </c>
      <c r="AD49" t="s">
        <v>1545</v>
      </c>
      <c r="AE49" t="s">
        <v>109</v>
      </c>
      <c r="AF49" t="s">
        <v>102</v>
      </c>
      <c r="AG49" t="s">
        <v>109</v>
      </c>
      <c r="AH49" t="s">
        <v>102</v>
      </c>
      <c r="AI49" t="s">
        <v>1546</v>
      </c>
      <c r="AJ49" t="s">
        <v>441</v>
      </c>
      <c r="AK49" t="s">
        <v>1547</v>
      </c>
      <c r="AL49" t="s">
        <v>1548</v>
      </c>
      <c r="AM49" t="s">
        <v>1549</v>
      </c>
      <c r="AN49" t="s">
        <v>1550</v>
      </c>
      <c r="AO49" t="s">
        <v>1551</v>
      </c>
      <c r="AP49" t="s">
        <v>1551</v>
      </c>
      <c r="AU49" t="s">
        <v>102</v>
      </c>
      <c r="AW49" t="s">
        <v>102</v>
      </c>
      <c r="AX49" t="s">
        <v>119</v>
      </c>
      <c r="BA49" t="s">
        <v>250</v>
      </c>
      <c r="BB49" t="s">
        <v>120</v>
      </c>
      <c r="BC49" t="s">
        <v>1552</v>
      </c>
      <c r="BD49" t="s">
        <v>410</v>
      </c>
      <c r="BE49" t="s">
        <v>212</v>
      </c>
      <c r="BF49" t="s">
        <v>410</v>
      </c>
      <c r="BG49" t="s">
        <v>124</v>
      </c>
      <c r="BH49" t="s">
        <v>214</v>
      </c>
      <c r="BI49" t="s">
        <v>625</v>
      </c>
      <c r="BJ49" t="s">
        <v>127</v>
      </c>
      <c r="BK49" t="s">
        <v>1553</v>
      </c>
      <c r="BL49" t="s">
        <v>1554</v>
      </c>
      <c r="BM49" t="s">
        <v>1555</v>
      </c>
      <c r="BN49" t="s">
        <v>1542</v>
      </c>
      <c r="BO49" t="s">
        <v>866</v>
      </c>
      <c r="BP49" t="s">
        <v>132</v>
      </c>
      <c r="BQ49" t="s">
        <v>867</v>
      </c>
      <c r="BR49" t="s">
        <v>868</v>
      </c>
      <c r="BS49" t="s">
        <v>418</v>
      </c>
      <c r="BU49" t="s">
        <v>1556</v>
      </c>
      <c r="BV49" t="s">
        <v>1557</v>
      </c>
      <c r="BW49" t="s">
        <v>598</v>
      </c>
      <c r="BX49" t="s">
        <v>1558</v>
      </c>
      <c r="BY49" t="s">
        <v>1559</v>
      </c>
      <c r="BZ49" t="s">
        <v>1560</v>
      </c>
      <c r="CD49" t="s">
        <v>1561</v>
      </c>
      <c r="CE49" t="s">
        <v>1562</v>
      </c>
      <c r="CF49" t="s">
        <v>1563</v>
      </c>
      <c r="CG49" t="s">
        <v>102</v>
      </c>
      <c r="CH49" t="s">
        <v>1564</v>
      </c>
      <c r="CJ49" t="s">
        <v>1565</v>
      </c>
      <c r="CK49" t="s">
        <v>1564</v>
      </c>
      <c r="CL49" t="s">
        <v>1552</v>
      </c>
      <c r="CM49" t="s">
        <v>410</v>
      </c>
      <c r="CN49" t="s">
        <v>1565</v>
      </c>
      <c r="CO49" t="s">
        <v>1566</v>
      </c>
      <c r="CP49" t="s">
        <v>1564</v>
      </c>
      <c r="CQ49" t="s">
        <v>1564</v>
      </c>
    </row>
    <row r="50" spans="1:95">
      <c r="A50" t="s">
        <v>337</v>
      </c>
      <c r="B50">
        <v>1720050</v>
      </c>
      <c r="C50" t="s">
        <v>1567</v>
      </c>
      <c r="F50" t="s">
        <v>95</v>
      </c>
      <c r="G50" t="s">
        <v>558</v>
      </c>
      <c r="H50" t="s">
        <v>848</v>
      </c>
      <c r="I50" t="s">
        <v>98</v>
      </c>
      <c r="J50" t="s">
        <v>1568</v>
      </c>
      <c r="K50" t="s">
        <v>100</v>
      </c>
      <c r="L50">
        <v>833869</v>
      </c>
      <c r="M50">
        <v>983965</v>
      </c>
      <c r="N50">
        <v>0</v>
      </c>
      <c r="O50">
        <v>0</v>
      </c>
      <c r="Q50">
        <v>0</v>
      </c>
      <c r="R50">
        <v>0</v>
      </c>
      <c r="T50">
        <v>833869</v>
      </c>
      <c r="U50">
        <v>755</v>
      </c>
      <c r="V50" t="s">
        <v>1569</v>
      </c>
      <c r="W50" t="s">
        <v>102</v>
      </c>
      <c r="X50" t="s">
        <v>103</v>
      </c>
      <c r="Y50" t="s">
        <v>155</v>
      </c>
      <c r="AA50" t="s">
        <v>1518</v>
      </c>
      <c r="AB50" t="s">
        <v>1570</v>
      </c>
      <c r="AC50" t="s">
        <v>1330</v>
      </c>
      <c r="AD50" t="s">
        <v>1570</v>
      </c>
      <c r="AE50" t="s">
        <v>1571</v>
      </c>
      <c r="AF50" t="s">
        <v>1570</v>
      </c>
      <c r="AG50" t="s">
        <v>1572</v>
      </c>
      <c r="AH50" t="s">
        <v>1570</v>
      </c>
      <c r="AI50" t="s">
        <v>1573</v>
      </c>
      <c r="AJ50" t="s">
        <v>1574</v>
      </c>
      <c r="AK50" t="s">
        <v>680</v>
      </c>
      <c r="AL50" t="s">
        <v>1575</v>
      </c>
      <c r="AM50" t="s">
        <v>1576</v>
      </c>
      <c r="AN50" t="s">
        <v>1577</v>
      </c>
      <c r="AO50" t="s">
        <v>1578</v>
      </c>
      <c r="AP50" t="s">
        <v>1578</v>
      </c>
      <c r="AU50" t="s">
        <v>102</v>
      </c>
      <c r="AW50" t="s">
        <v>102</v>
      </c>
      <c r="AX50" t="s">
        <v>119</v>
      </c>
      <c r="BA50" t="s">
        <v>250</v>
      </c>
      <c r="BB50" t="s">
        <v>209</v>
      </c>
      <c r="BC50" t="s">
        <v>862</v>
      </c>
      <c r="BD50" t="s">
        <v>410</v>
      </c>
      <c r="BE50" t="s">
        <v>212</v>
      </c>
      <c r="BF50" t="s">
        <v>410</v>
      </c>
      <c r="BG50" t="s">
        <v>124</v>
      </c>
      <c r="BH50" t="s">
        <v>214</v>
      </c>
      <c r="BI50" t="s">
        <v>625</v>
      </c>
      <c r="BJ50" t="s">
        <v>127</v>
      </c>
      <c r="BK50" t="s">
        <v>1579</v>
      </c>
      <c r="BL50" t="s">
        <v>1580</v>
      </c>
      <c r="BM50" t="s">
        <v>1581</v>
      </c>
      <c r="BN50" t="s">
        <v>558</v>
      </c>
      <c r="BO50" t="s">
        <v>1582</v>
      </c>
      <c r="BP50" t="s">
        <v>132</v>
      </c>
      <c r="BQ50" t="s">
        <v>1583</v>
      </c>
      <c r="BR50" t="s">
        <v>1584</v>
      </c>
      <c r="BS50" t="s">
        <v>1585</v>
      </c>
      <c r="BU50" t="s">
        <v>1586</v>
      </c>
      <c r="BV50" t="s">
        <v>1587</v>
      </c>
      <c r="BW50" t="s">
        <v>354</v>
      </c>
      <c r="BX50" t="s">
        <v>1588</v>
      </c>
      <c r="BY50" t="s">
        <v>1589</v>
      </c>
      <c r="BZ50" t="s">
        <v>1590</v>
      </c>
      <c r="CD50" t="s">
        <v>1591</v>
      </c>
      <c r="CE50" t="s">
        <v>1592</v>
      </c>
      <c r="CF50" t="s">
        <v>1593</v>
      </c>
      <c r="CG50" t="s">
        <v>1594</v>
      </c>
      <c r="CH50" t="s">
        <v>1595</v>
      </c>
      <c r="CJ50" t="s">
        <v>1371</v>
      </c>
      <c r="CK50" t="s">
        <v>1595</v>
      </c>
      <c r="CL50" t="s">
        <v>862</v>
      </c>
      <c r="CM50" t="s">
        <v>410</v>
      </c>
      <c r="CN50" t="s">
        <v>1371</v>
      </c>
      <c r="CO50" t="s">
        <v>1596</v>
      </c>
      <c r="CP50" t="s">
        <v>1595</v>
      </c>
      <c r="CQ50" t="s">
        <v>1595</v>
      </c>
    </row>
    <row r="51" spans="1:95">
      <c r="A51" t="s">
        <v>149</v>
      </c>
      <c r="B51">
        <v>1722766</v>
      </c>
      <c r="C51" t="s">
        <v>1597</v>
      </c>
      <c r="F51" t="s">
        <v>95</v>
      </c>
      <c r="G51" t="s">
        <v>365</v>
      </c>
      <c r="H51" t="s">
        <v>152</v>
      </c>
      <c r="I51" t="s">
        <v>98</v>
      </c>
      <c r="J51" t="s">
        <v>1598</v>
      </c>
      <c r="K51" t="s">
        <v>100</v>
      </c>
      <c r="L51">
        <v>859818</v>
      </c>
      <c r="M51">
        <v>859818</v>
      </c>
      <c r="N51">
        <v>0</v>
      </c>
      <c r="O51">
        <v>0</v>
      </c>
      <c r="Q51">
        <v>859818</v>
      </c>
      <c r="R51">
        <v>600</v>
      </c>
      <c r="S51" t="s">
        <v>1599</v>
      </c>
      <c r="T51">
        <v>0</v>
      </c>
      <c r="U51">
        <v>0</v>
      </c>
      <c r="W51" t="s">
        <v>102</v>
      </c>
      <c r="X51" t="s">
        <v>103</v>
      </c>
      <c r="Y51" t="s">
        <v>155</v>
      </c>
      <c r="AA51" t="s">
        <v>1600</v>
      </c>
      <c r="AB51" t="s">
        <v>1601</v>
      </c>
      <c r="AC51" t="s">
        <v>1602</v>
      </c>
      <c r="AD51" t="s">
        <v>1601</v>
      </c>
      <c r="AE51" t="s">
        <v>240</v>
      </c>
      <c r="AF51" t="s">
        <v>1601</v>
      </c>
      <c r="AG51" t="s">
        <v>1473</v>
      </c>
      <c r="AH51" t="s">
        <v>1601</v>
      </c>
      <c r="AI51" t="s">
        <v>102</v>
      </c>
      <c r="AJ51" t="s">
        <v>1603</v>
      </c>
      <c r="AK51" t="s">
        <v>1604</v>
      </c>
      <c r="AL51" t="s">
        <v>1605</v>
      </c>
      <c r="AM51" t="s">
        <v>1606</v>
      </c>
      <c r="AN51" t="s">
        <v>1607</v>
      </c>
      <c r="AO51" t="s">
        <v>1608</v>
      </c>
      <c r="AP51" t="s">
        <v>1608</v>
      </c>
      <c r="AU51" t="s">
        <v>102</v>
      </c>
      <c r="AW51" t="s">
        <v>155</v>
      </c>
      <c r="AX51" t="s">
        <v>119</v>
      </c>
      <c r="AY51" t="s">
        <v>1138</v>
      </c>
      <c r="AZ51" t="s">
        <v>118</v>
      </c>
      <c r="BB51" t="s">
        <v>120</v>
      </c>
      <c r="BC51" t="s">
        <v>1609</v>
      </c>
      <c r="BD51" t="s">
        <v>285</v>
      </c>
      <c r="BE51" t="s">
        <v>212</v>
      </c>
      <c r="BF51" t="s">
        <v>286</v>
      </c>
      <c r="BG51" t="s">
        <v>124</v>
      </c>
      <c r="BH51" t="s">
        <v>214</v>
      </c>
      <c r="BI51" t="s">
        <v>126</v>
      </c>
      <c r="BJ51" t="s">
        <v>127</v>
      </c>
      <c r="BK51" t="s">
        <v>1610</v>
      </c>
      <c r="BL51" t="s">
        <v>1611</v>
      </c>
      <c r="BM51" t="s">
        <v>1612</v>
      </c>
      <c r="BN51" t="s">
        <v>365</v>
      </c>
      <c r="BO51" t="s">
        <v>290</v>
      </c>
      <c r="BP51" t="s">
        <v>258</v>
      </c>
      <c r="BQ51" t="s">
        <v>291</v>
      </c>
      <c r="BR51" t="s">
        <v>292</v>
      </c>
      <c r="BS51" t="s">
        <v>293</v>
      </c>
      <c r="BU51" t="s">
        <v>1613</v>
      </c>
      <c r="BV51" t="s">
        <v>1614</v>
      </c>
      <c r="BW51" t="s">
        <v>598</v>
      </c>
      <c r="BX51" t="s">
        <v>1615</v>
      </c>
      <c r="BY51" t="s">
        <v>1616</v>
      </c>
      <c r="BZ51" t="s">
        <v>1617</v>
      </c>
      <c r="CA51" t="s">
        <v>1614</v>
      </c>
      <c r="CB51" t="s">
        <v>1618</v>
      </c>
      <c r="CC51" t="s">
        <v>1619</v>
      </c>
      <c r="CD51" t="s">
        <v>1620</v>
      </c>
      <c r="CE51" t="s">
        <v>1615</v>
      </c>
      <c r="CF51" t="s">
        <v>1616</v>
      </c>
      <c r="CG51" t="s">
        <v>102</v>
      </c>
      <c r="CH51" t="s">
        <v>1621</v>
      </c>
      <c r="CJ51" t="s">
        <v>1622</v>
      </c>
      <c r="CK51" t="s">
        <v>1621</v>
      </c>
      <c r="CL51" t="s">
        <v>1609</v>
      </c>
      <c r="CM51" t="s">
        <v>285</v>
      </c>
      <c r="CN51" t="s">
        <v>1622</v>
      </c>
      <c r="CP51" t="s">
        <v>1621</v>
      </c>
      <c r="CQ51" t="s">
        <v>1621</v>
      </c>
    </row>
    <row r="52" spans="1:95">
      <c r="A52" t="s">
        <v>149</v>
      </c>
      <c r="B52">
        <v>173767</v>
      </c>
      <c r="C52" t="s">
        <v>1623</v>
      </c>
      <c r="D52" t="str">
        <f>VLOOKUP(B52,'2025'!B:C,2,0)</f>
        <v>Lopamudra Das</v>
      </c>
      <c r="F52" t="s">
        <v>95</v>
      </c>
      <c r="G52" t="s">
        <v>105</v>
      </c>
      <c r="H52" t="s">
        <v>848</v>
      </c>
      <c r="I52" t="s">
        <v>98</v>
      </c>
      <c r="J52" t="s">
        <v>1624</v>
      </c>
      <c r="K52" t="s">
        <v>100</v>
      </c>
      <c r="L52">
        <v>1951776</v>
      </c>
      <c r="M52">
        <v>2303096</v>
      </c>
      <c r="N52">
        <v>0</v>
      </c>
      <c r="O52">
        <v>0</v>
      </c>
      <c r="Q52">
        <v>0</v>
      </c>
      <c r="R52">
        <v>0</v>
      </c>
      <c r="T52">
        <v>1951776</v>
      </c>
      <c r="U52">
        <v>811</v>
      </c>
      <c r="V52" t="s">
        <v>1625</v>
      </c>
      <c r="W52" t="s">
        <v>102</v>
      </c>
      <c r="X52" t="s">
        <v>103</v>
      </c>
      <c r="Y52" t="s">
        <v>155</v>
      </c>
      <c r="AA52" t="s">
        <v>1626</v>
      </c>
      <c r="AB52" t="s">
        <v>1627</v>
      </c>
      <c r="AC52" t="s">
        <v>151</v>
      </c>
      <c r="AD52" t="s">
        <v>1627</v>
      </c>
      <c r="AE52" t="s">
        <v>1628</v>
      </c>
      <c r="AF52" t="s">
        <v>1627</v>
      </c>
      <c r="AG52" t="s">
        <v>160</v>
      </c>
      <c r="AH52" t="s">
        <v>1627</v>
      </c>
      <c r="AI52" t="s">
        <v>1629</v>
      </c>
      <c r="AJ52" t="s">
        <v>1630</v>
      </c>
      <c r="AK52" t="s">
        <v>1631</v>
      </c>
      <c r="AL52" t="s">
        <v>1632</v>
      </c>
      <c r="AM52" t="s">
        <v>1633</v>
      </c>
      <c r="AN52" t="s">
        <v>1634</v>
      </c>
      <c r="AO52" t="s">
        <v>1635</v>
      </c>
      <c r="AP52" t="s">
        <v>1635</v>
      </c>
      <c r="AU52" t="s">
        <v>102</v>
      </c>
      <c r="AW52" t="s">
        <v>102</v>
      </c>
      <c r="AX52" t="s">
        <v>119</v>
      </c>
      <c r="BA52" t="s">
        <v>250</v>
      </c>
      <c r="BB52" t="s">
        <v>171</v>
      </c>
      <c r="BC52" t="s">
        <v>375</v>
      </c>
      <c r="BD52" t="s">
        <v>376</v>
      </c>
      <c r="BE52" t="s">
        <v>174</v>
      </c>
      <c r="BF52" t="s">
        <v>376</v>
      </c>
      <c r="BG52" t="s">
        <v>124</v>
      </c>
      <c r="BH52" t="s">
        <v>1626</v>
      </c>
      <c r="BI52" t="s">
        <v>126</v>
      </c>
      <c r="BJ52" t="s">
        <v>127</v>
      </c>
      <c r="BK52" t="s">
        <v>1636</v>
      </c>
      <c r="BL52" t="s">
        <v>1637</v>
      </c>
      <c r="BM52" t="s">
        <v>1638</v>
      </c>
      <c r="BN52" t="s">
        <v>105</v>
      </c>
      <c r="BO52" t="s">
        <v>179</v>
      </c>
      <c r="BP52" t="s">
        <v>180</v>
      </c>
      <c r="BQ52" t="s">
        <v>181</v>
      </c>
      <c r="BR52" t="s">
        <v>182</v>
      </c>
      <c r="BS52" t="s">
        <v>183</v>
      </c>
      <c r="BU52" t="s">
        <v>1639</v>
      </c>
      <c r="BV52" t="s">
        <v>1640</v>
      </c>
      <c r="BW52" t="s">
        <v>569</v>
      </c>
      <c r="BX52" t="s">
        <v>1641</v>
      </c>
      <c r="BY52" t="s">
        <v>1642</v>
      </c>
      <c r="BZ52" t="s">
        <v>1641</v>
      </c>
      <c r="CG52" t="s">
        <v>102</v>
      </c>
      <c r="CH52" t="s">
        <v>1643</v>
      </c>
      <c r="CJ52" t="s">
        <v>1644</v>
      </c>
      <c r="CK52" t="s">
        <v>1643</v>
      </c>
      <c r="CL52" t="s">
        <v>375</v>
      </c>
      <c r="CM52" t="s">
        <v>376</v>
      </c>
      <c r="CN52" t="s">
        <v>1644</v>
      </c>
      <c r="CO52" t="s">
        <v>1645</v>
      </c>
      <c r="CP52" t="s">
        <v>1646</v>
      </c>
      <c r="CQ52" t="s">
        <v>1643</v>
      </c>
    </row>
    <row r="53" spans="1:95">
      <c r="A53" t="s">
        <v>337</v>
      </c>
      <c r="B53">
        <v>174661</v>
      </c>
      <c r="C53" t="s">
        <v>1648</v>
      </c>
      <c r="E53" s="4" t="s">
        <v>17377</v>
      </c>
      <c r="F53" t="s">
        <v>95</v>
      </c>
      <c r="G53" t="s">
        <v>1649</v>
      </c>
      <c r="H53" t="s">
        <v>193</v>
      </c>
      <c r="I53" t="s">
        <v>98</v>
      </c>
      <c r="J53" t="s">
        <v>1650</v>
      </c>
      <c r="K53" t="s">
        <v>100</v>
      </c>
      <c r="L53">
        <v>162366</v>
      </c>
      <c r="M53">
        <v>183233</v>
      </c>
      <c r="N53">
        <v>46440</v>
      </c>
      <c r="O53">
        <v>43</v>
      </c>
      <c r="P53" t="s">
        <v>1651</v>
      </c>
      <c r="Q53">
        <v>0</v>
      </c>
      <c r="R53">
        <v>0</v>
      </c>
      <c r="T53">
        <v>115926</v>
      </c>
      <c r="U53">
        <v>38</v>
      </c>
      <c r="V53" t="s">
        <v>1652</v>
      </c>
      <c r="W53" t="s">
        <v>102</v>
      </c>
      <c r="X53" t="s">
        <v>679</v>
      </c>
      <c r="Y53" t="s">
        <v>104</v>
      </c>
      <c r="Z53" t="s">
        <v>1653</v>
      </c>
      <c r="AA53" t="s">
        <v>1654</v>
      </c>
      <c r="AB53" t="s">
        <v>1655</v>
      </c>
      <c r="AC53" t="s">
        <v>1094</v>
      </c>
      <c r="AD53" t="s">
        <v>1656</v>
      </c>
      <c r="AE53" t="s">
        <v>109</v>
      </c>
      <c r="AF53" t="s">
        <v>102</v>
      </c>
      <c r="AG53" t="s">
        <v>109</v>
      </c>
      <c r="AH53" t="s">
        <v>102</v>
      </c>
      <c r="AI53" t="s">
        <v>1657</v>
      </c>
      <c r="AJ53" t="s">
        <v>1658</v>
      </c>
      <c r="AK53" t="s">
        <v>1659</v>
      </c>
      <c r="AL53" t="s">
        <v>1660</v>
      </c>
      <c r="AM53" t="s">
        <v>1661</v>
      </c>
      <c r="AN53" t="s">
        <v>1662</v>
      </c>
      <c r="AO53" t="s">
        <v>1663</v>
      </c>
      <c r="AP53" t="s">
        <v>1663</v>
      </c>
      <c r="AU53" t="s">
        <v>207</v>
      </c>
      <c r="AV53" t="s">
        <v>250</v>
      </c>
      <c r="AW53" t="s">
        <v>102</v>
      </c>
      <c r="AX53" t="s">
        <v>119</v>
      </c>
      <c r="BA53" t="s">
        <v>250</v>
      </c>
      <c r="BB53" t="s">
        <v>1664</v>
      </c>
      <c r="BC53" t="s">
        <v>623</v>
      </c>
      <c r="BD53" t="s">
        <v>621</v>
      </c>
      <c r="BE53" t="s">
        <v>622</v>
      </c>
      <c r="BF53" t="s">
        <v>623</v>
      </c>
      <c r="BG53" t="s">
        <v>124</v>
      </c>
      <c r="BH53" t="s">
        <v>1665</v>
      </c>
      <c r="BI53" t="s">
        <v>1666</v>
      </c>
      <c r="BJ53" t="s">
        <v>127</v>
      </c>
      <c r="BK53" t="s">
        <v>1667</v>
      </c>
      <c r="BL53" t="s">
        <v>1668</v>
      </c>
      <c r="BM53" t="s">
        <v>1669</v>
      </c>
      <c r="BN53" t="s">
        <v>1649</v>
      </c>
      <c r="BO53" t="s">
        <v>1670</v>
      </c>
      <c r="BP53" t="s">
        <v>258</v>
      </c>
      <c r="BQ53" t="s">
        <v>1671</v>
      </c>
      <c r="BR53" t="s">
        <v>1672</v>
      </c>
      <c r="BS53" t="s">
        <v>507</v>
      </c>
      <c r="BT53" t="s">
        <v>1279</v>
      </c>
      <c r="BU53" t="s">
        <v>1673</v>
      </c>
      <c r="BV53" t="s">
        <v>1674</v>
      </c>
      <c r="BW53" t="s">
        <v>138</v>
      </c>
      <c r="BX53" t="s">
        <v>1675</v>
      </c>
      <c r="BY53" t="s">
        <v>1676</v>
      </c>
      <c r="BZ53" t="s">
        <v>1675</v>
      </c>
      <c r="CA53" t="s">
        <v>1677</v>
      </c>
      <c r="CB53" t="s">
        <v>1675</v>
      </c>
      <c r="CC53" t="s">
        <v>1678</v>
      </c>
      <c r="CD53" t="s">
        <v>1679</v>
      </c>
      <c r="CE53" t="s">
        <v>1680</v>
      </c>
      <c r="CF53" t="s">
        <v>1681</v>
      </c>
      <c r="CG53" t="s">
        <v>1426</v>
      </c>
      <c r="CH53" t="s">
        <v>1682</v>
      </c>
      <c r="CJ53" t="s">
        <v>1683</v>
      </c>
      <c r="CK53" t="s">
        <v>1684</v>
      </c>
      <c r="CL53" t="s">
        <v>623</v>
      </c>
      <c r="CM53" t="s">
        <v>621</v>
      </c>
      <c r="CN53" t="s">
        <v>1683</v>
      </c>
      <c r="CP53" t="s">
        <v>1685</v>
      </c>
      <c r="CQ53" t="s">
        <v>1684</v>
      </c>
    </row>
    <row r="54" spans="1:95">
      <c r="A54" t="s">
        <v>337</v>
      </c>
      <c r="B54">
        <v>174867</v>
      </c>
      <c r="C54" t="s">
        <v>1686</v>
      </c>
      <c r="D54" t="str">
        <f>VLOOKUP(B54,'2025'!B:C,2,0)</f>
        <v>Vineeth T V</v>
      </c>
      <c r="F54" t="s">
        <v>95</v>
      </c>
      <c r="G54" t="s">
        <v>1687</v>
      </c>
      <c r="H54" t="s">
        <v>97</v>
      </c>
      <c r="I54" t="s">
        <v>98</v>
      </c>
      <c r="J54" t="s">
        <v>1688</v>
      </c>
      <c r="K54" t="s">
        <v>100</v>
      </c>
      <c r="L54">
        <v>832200</v>
      </c>
      <c r="M54">
        <v>832200</v>
      </c>
      <c r="N54">
        <v>832200</v>
      </c>
      <c r="O54">
        <v>760</v>
      </c>
      <c r="P54" t="s">
        <v>1689</v>
      </c>
      <c r="Q54">
        <v>0</v>
      </c>
      <c r="R54">
        <v>0</v>
      </c>
      <c r="T54">
        <v>0</v>
      </c>
      <c r="U54">
        <v>0</v>
      </c>
      <c r="W54" t="s">
        <v>102</v>
      </c>
      <c r="X54" t="s">
        <v>103</v>
      </c>
      <c r="Y54" t="s">
        <v>104</v>
      </c>
      <c r="AA54" t="s">
        <v>847</v>
      </c>
      <c r="AB54" t="s">
        <v>1690</v>
      </c>
      <c r="AC54" t="s">
        <v>339</v>
      </c>
      <c r="AD54" t="s">
        <v>1690</v>
      </c>
      <c r="AE54" t="s">
        <v>109</v>
      </c>
      <c r="AF54" t="s">
        <v>102</v>
      </c>
      <c r="AG54" t="s">
        <v>109</v>
      </c>
      <c r="AH54" t="s">
        <v>102</v>
      </c>
      <c r="AI54" t="s">
        <v>1691</v>
      </c>
      <c r="AJ54" t="s">
        <v>1692</v>
      </c>
      <c r="AK54" t="s">
        <v>1326</v>
      </c>
      <c r="AL54" t="s">
        <v>1693</v>
      </c>
      <c r="AM54" t="s">
        <v>1694</v>
      </c>
      <c r="AN54" t="s">
        <v>102</v>
      </c>
      <c r="AO54" t="s">
        <v>1695</v>
      </c>
      <c r="AP54" t="s">
        <v>1695</v>
      </c>
      <c r="AU54" t="s">
        <v>318</v>
      </c>
      <c r="AV54" t="s">
        <v>118</v>
      </c>
      <c r="AW54" t="s">
        <v>102</v>
      </c>
      <c r="AX54" t="s">
        <v>119</v>
      </c>
      <c r="BB54" t="s">
        <v>120</v>
      </c>
      <c r="BC54" t="s">
        <v>409</v>
      </c>
      <c r="BD54" t="s">
        <v>410</v>
      </c>
      <c r="BE54" t="s">
        <v>212</v>
      </c>
      <c r="BF54" t="s">
        <v>410</v>
      </c>
      <c r="BG54" t="s">
        <v>124</v>
      </c>
      <c r="BH54" t="s">
        <v>232</v>
      </c>
      <c r="BI54" t="s">
        <v>126</v>
      </c>
      <c r="BJ54" t="s">
        <v>127</v>
      </c>
      <c r="BK54" t="s">
        <v>1696</v>
      </c>
      <c r="BL54" t="s">
        <v>1697</v>
      </c>
      <c r="BM54" t="s">
        <v>1698</v>
      </c>
      <c r="BN54" t="s">
        <v>1687</v>
      </c>
      <c r="BO54" t="s">
        <v>1699</v>
      </c>
      <c r="BP54" t="s">
        <v>132</v>
      </c>
      <c r="BQ54" t="s">
        <v>1700</v>
      </c>
      <c r="BR54" t="s">
        <v>1701</v>
      </c>
      <c r="BS54" t="s">
        <v>1702</v>
      </c>
      <c r="BU54" t="s">
        <v>1703</v>
      </c>
      <c r="BV54" t="s">
        <v>1704</v>
      </c>
      <c r="BW54" t="s">
        <v>598</v>
      </c>
      <c r="BX54" t="s">
        <v>1705</v>
      </c>
      <c r="BY54" t="s">
        <v>1706</v>
      </c>
      <c r="BZ54" t="s">
        <v>1705</v>
      </c>
      <c r="CA54" t="s">
        <v>1707</v>
      </c>
      <c r="CB54" t="s">
        <v>1705</v>
      </c>
      <c r="CC54" t="s">
        <v>1706</v>
      </c>
      <c r="CD54" t="s">
        <v>1708</v>
      </c>
      <c r="CE54" t="s">
        <v>1705</v>
      </c>
      <c r="CF54" t="s">
        <v>1706</v>
      </c>
      <c r="CG54" t="s">
        <v>1709</v>
      </c>
      <c r="CH54" t="s">
        <v>1710</v>
      </c>
      <c r="CJ54" t="s">
        <v>428</v>
      </c>
      <c r="CK54" t="s">
        <v>1710</v>
      </c>
      <c r="CL54" t="s">
        <v>409</v>
      </c>
      <c r="CM54" t="s">
        <v>1711</v>
      </c>
      <c r="CN54" t="s">
        <v>428</v>
      </c>
      <c r="CO54" t="s">
        <v>1712</v>
      </c>
      <c r="CP54" t="s">
        <v>1710</v>
      </c>
      <c r="CQ54" t="s">
        <v>1710</v>
      </c>
    </row>
    <row r="55" spans="1:95">
      <c r="A55" t="s">
        <v>495</v>
      </c>
      <c r="B55">
        <v>1752</v>
      </c>
      <c r="C55" t="s">
        <v>1713</v>
      </c>
      <c r="D55" t="str">
        <f>VLOOKUP(B55,'2025'!B:C,2,0)</f>
        <v>Unnati Sharma</v>
      </c>
      <c r="F55" t="s">
        <v>95</v>
      </c>
      <c r="G55" t="s">
        <v>1714</v>
      </c>
      <c r="H55" t="s">
        <v>1715</v>
      </c>
      <c r="I55" t="s">
        <v>98</v>
      </c>
      <c r="J55" t="s">
        <v>1716</v>
      </c>
      <c r="K55" t="s">
        <v>100</v>
      </c>
      <c r="L55">
        <v>3967583</v>
      </c>
      <c r="M55">
        <v>4542021</v>
      </c>
      <c r="N55">
        <v>776264</v>
      </c>
      <c r="O55">
        <v>1094</v>
      </c>
      <c r="P55" t="s">
        <v>1717</v>
      </c>
      <c r="Q55">
        <v>0</v>
      </c>
      <c r="R55">
        <v>0</v>
      </c>
      <c r="T55">
        <v>3191319</v>
      </c>
      <c r="U55">
        <v>2216</v>
      </c>
      <c r="V55" t="s">
        <v>1718</v>
      </c>
      <c r="W55" t="s">
        <v>102</v>
      </c>
      <c r="X55" t="s">
        <v>275</v>
      </c>
      <c r="Z55" t="s">
        <v>1719</v>
      </c>
      <c r="AA55" t="s">
        <v>109</v>
      </c>
      <c r="AB55" t="s">
        <v>102</v>
      </c>
      <c r="AC55" t="s">
        <v>109</v>
      </c>
      <c r="AD55" t="s">
        <v>102</v>
      </c>
      <c r="AE55" t="s">
        <v>109</v>
      </c>
      <c r="AF55" t="s">
        <v>102</v>
      </c>
      <c r="AG55" t="s">
        <v>109</v>
      </c>
      <c r="AH55" t="s">
        <v>102</v>
      </c>
      <c r="AI55" t="s">
        <v>1720</v>
      </c>
      <c r="AJ55" t="s">
        <v>1721</v>
      </c>
      <c r="AK55" t="s">
        <v>1722</v>
      </c>
      <c r="AL55" t="s">
        <v>1723</v>
      </c>
      <c r="AM55" t="s">
        <v>1724</v>
      </c>
      <c r="AN55" t="s">
        <v>1725</v>
      </c>
      <c r="AO55" t="s">
        <v>1726</v>
      </c>
      <c r="AP55" t="s">
        <v>1727</v>
      </c>
      <c r="AR55" t="s">
        <v>1728</v>
      </c>
      <c r="AT55" t="s">
        <v>169</v>
      </c>
      <c r="AU55" t="s">
        <v>207</v>
      </c>
      <c r="AV55" t="s">
        <v>118</v>
      </c>
      <c r="AW55" t="s">
        <v>102</v>
      </c>
      <c r="AX55" t="s">
        <v>119</v>
      </c>
      <c r="BA55" t="s">
        <v>250</v>
      </c>
      <c r="BB55" t="s">
        <v>171</v>
      </c>
      <c r="BC55" t="s">
        <v>1729</v>
      </c>
      <c r="BD55" t="s">
        <v>730</v>
      </c>
      <c r="BE55" t="s">
        <v>622</v>
      </c>
      <c r="BF55" t="s">
        <v>730</v>
      </c>
      <c r="BG55" t="s">
        <v>124</v>
      </c>
      <c r="BH55" t="s">
        <v>892</v>
      </c>
      <c r="BI55" t="s">
        <v>1408</v>
      </c>
      <c r="BJ55" t="s">
        <v>127</v>
      </c>
      <c r="BK55" t="s">
        <v>1730</v>
      </c>
      <c r="BL55" t="s">
        <v>1731</v>
      </c>
      <c r="BM55" t="s">
        <v>1732</v>
      </c>
      <c r="BN55" t="s">
        <v>1714</v>
      </c>
      <c r="BO55" t="s">
        <v>1733</v>
      </c>
      <c r="BP55" t="s">
        <v>696</v>
      </c>
      <c r="BQ55" t="s">
        <v>1734</v>
      </c>
      <c r="BR55" t="s">
        <v>1735</v>
      </c>
      <c r="BS55" t="s">
        <v>737</v>
      </c>
      <c r="BT55" t="s">
        <v>985</v>
      </c>
      <c r="BU55" t="s">
        <v>1736</v>
      </c>
      <c r="BV55" t="s">
        <v>1737</v>
      </c>
      <c r="BW55" t="s">
        <v>598</v>
      </c>
      <c r="BX55" t="s">
        <v>1738</v>
      </c>
      <c r="BY55" t="s">
        <v>1739</v>
      </c>
      <c r="BZ55" t="s">
        <v>1740</v>
      </c>
      <c r="CG55" t="s">
        <v>1741</v>
      </c>
      <c r="CH55" t="s">
        <v>1742</v>
      </c>
      <c r="CJ55" t="s">
        <v>1743</v>
      </c>
      <c r="CK55" t="s">
        <v>1742</v>
      </c>
      <c r="CL55" t="s">
        <v>1729</v>
      </c>
      <c r="CM55" t="s">
        <v>730</v>
      </c>
      <c r="CN55" t="s">
        <v>1743</v>
      </c>
      <c r="CP55" t="s">
        <v>1742</v>
      </c>
      <c r="CQ55" t="s">
        <v>1742</v>
      </c>
    </row>
    <row r="56" spans="1:95">
      <c r="A56" t="s">
        <v>149</v>
      </c>
      <c r="B56">
        <v>175250</v>
      </c>
      <c r="C56" t="s">
        <v>1744</v>
      </c>
      <c r="D56" t="str">
        <f>VLOOKUP(B56,'2025'!B:C,2,0)</f>
        <v>Nisha Murali</v>
      </c>
      <c r="F56" t="s">
        <v>95</v>
      </c>
      <c r="G56" t="s">
        <v>1745</v>
      </c>
      <c r="H56" t="s">
        <v>1746</v>
      </c>
      <c r="I56" t="s">
        <v>98</v>
      </c>
      <c r="J56" t="s">
        <v>1747</v>
      </c>
      <c r="K56" t="s">
        <v>100</v>
      </c>
      <c r="L56">
        <v>5030694</v>
      </c>
      <c r="M56">
        <v>5317384</v>
      </c>
      <c r="N56">
        <v>775607</v>
      </c>
      <c r="O56">
        <v>2293</v>
      </c>
      <c r="P56" t="s">
        <v>1748</v>
      </c>
      <c r="Q56">
        <v>2662366</v>
      </c>
      <c r="R56">
        <v>2315</v>
      </c>
      <c r="S56" t="s">
        <v>1749</v>
      </c>
      <c r="T56">
        <v>1592721</v>
      </c>
      <c r="U56">
        <v>2315</v>
      </c>
      <c r="V56" t="s">
        <v>1750</v>
      </c>
      <c r="W56" t="s">
        <v>102</v>
      </c>
      <c r="X56" t="s">
        <v>103</v>
      </c>
      <c r="Y56" t="s">
        <v>155</v>
      </c>
      <c r="AA56" t="s">
        <v>214</v>
      </c>
      <c r="AB56" t="s">
        <v>1751</v>
      </c>
      <c r="AC56" t="s">
        <v>501</v>
      </c>
      <c r="AD56" t="s">
        <v>1751</v>
      </c>
      <c r="AE56" t="s">
        <v>402</v>
      </c>
      <c r="AF56" t="s">
        <v>1751</v>
      </c>
      <c r="AG56" t="s">
        <v>160</v>
      </c>
      <c r="AH56" t="s">
        <v>1751</v>
      </c>
      <c r="AI56" t="s">
        <v>1752</v>
      </c>
      <c r="AJ56" t="s">
        <v>162</v>
      </c>
      <c r="AK56" t="s">
        <v>1753</v>
      </c>
      <c r="AL56" t="s">
        <v>1754</v>
      </c>
      <c r="AM56" t="s">
        <v>1755</v>
      </c>
      <c r="AN56" t="s">
        <v>1756</v>
      </c>
      <c r="AO56" t="s">
        <v>1757</v>
      </c>
      <c r="AP56" t="s">
        <v>1757</v>
      </c>
      <c r="AU56" t="s">
        <v>117</v>
      </c>
      <c r="AV56" t="s">
        <v>118</v>
      </c>
      <c r="AW56" t="s">
        <v>1758</v>
      </c>
      <c r="AX56" t="s">
        <v>119</v>
      </c>
      <c r="AY56" t="s">
        <v>170</v>
      </c>
      <c r="AZ56" t="s">
        <v>118</v>
      </c>
      <c r="BA56" t="s">
        <v>250</v>
      </c>
      <c r="BB56" t="s">
        <v>209</v>
      </c>
      <c r="BC56" t="s">
        <v>1759</v>
      </c>
      <c r="BD56" t="s">
        <v>410</v>
      </c>
      <c r="BE56" t="s">
        <v>212</v>
      </c>
      <c r="BF56" t="s">
        <v>410</v>
      </c>
      <c r="BG56" t="s">
        <v>124</v>
      </c>
      <c r="BH56" t="s">
        <v>1760</v>
      </c>
      <c r="BI56" t="s">
        <v>1761</v>
      </c>
      <c r="BJ56" t="s">
        <v>127</v>
      </c>
      <c r="BK56" t="s">
        <v>1762</v>
      </c>
      <c r="BL56" t="s">
        <v>1763</v>
      </c>
      <c r="BM56" t="s">
        <v>1764</v>
      </c>
      <c r="BN56" t="s">
        <v>1745</v>
      </c>
      <c r="BO56" t="s">
        <v>415</v>
      </c>
      <c r="BP56" t="s">
        <v>132</v>
      </c>
      <c r="BQ56" t="s">
        <v>416</v>
      </c>
      <c r="BR56" t="s">
        <v>417</v>
      </c>
      <c r="BS56" t="s">
        <v>222</v>
      </c>
      <c r="BU56" t="s">
        <v>1765</v>
      </c>
      <c r="BV56" t="s">
        <v>1766</v>
      </c>
      <c r="BW56" t="s">
        <v>138</v>
      </c>
      <c r="BX56" t="s">
        <v>1767</v>
      </c>
      <c r="BY56" t="s">
        <v>1768</v>
      </c>
      <c r="BZ56" t="s">
        <v>1769</v>
      </c>
      <c r="CA56" t="s">
        <v>1766</v>
      </c>
      <c r="CB56" t="s">
        <v>1767</v>
      </c>
      <c r="CC56" t="s">
        <v>1768</v>
      </c>
      <c r="CD56" t="s">
        <v>1770</v>
      </c>
      <c r="CE56" t="s">
        <v>1771</v>
      </c>
      <c r="CF56" t="s">
        <v>1772</v>
      </c>
      <c r="CG56" t="s">
        <v>102</v>
      </c>
      <c r="CH56" t="s">
        <v>1773</v>
      </c>
      <c r="CJ56" t="s">
        <v>1774</v>
      </c>
      <c r="CK56" t="s">
        <v>1773</v>
      </c>
      <c r="CL56" t="s">
        <v>1759</v>
      </c>
      <c r="CM56" t="s">
        <v>410</v>
      </c>
      <c r="CN56" t="s">
        <v>1774</v>
      </c>
      <c r="CO56" t="s">
        <v>1775</v>
      </c>
      <c r="CP56" t="s">
        <v>1773</v>
      </c>
      <c r="CQ56" t="s">
        <v>1773</v>
      </c>
    </row>
    <row r="57" spans="1:95">
      <c r="A57" t="s">
        <v>93</v>
      </c>
      <c r="B57">
        <v>1754962</v>
      </c>
      <c r="C57" t="s">
        <v>1776</v>
      </c>
      <c r="E57" s="4" t="s">
        <v>17377</v>
      </c>
      <c r="F57" t="s">
        <v>95</v>
      </c>
      <c r="G57" t="s">
        <v>578</v>
      </c>
      <c r="H57" t="s">
        <v>848</v>
      </c>
      <c r="I57" t="s">
        <v>98</v>
      </c>
      <c r="J57" t="s">
        <v>1777</v>
      </c>
      <c r="K57" t="s">
        <v>100</v>
      </c>
      <c r="L57">
        <v>751369</v>
      </c>
      <c r="M57">
        <v>886615</v>
      </c>
      <c r="N57">
        <v>0</v>
      </c>
      <c r="O57">
        <v>0</v>
      </c>
      <c r="Q57">
        <v>0</v>
      </c>
      <c r="R57">
        <v>0</v>
      </c>
      <c r="T57">
        <v>751369</v>
      </c>
      <c r="U57">
        <v>591</v>
      </c>
      <c r="V57" t="s">
        <v>850</v>
      </c>
      <c r="W57" t="s">
        <v>102</v>
      </c>
      <c r="X57" t="s">
        <v>103</v>
      </c>
      <c r="Y57" t="s">
        <v>155</v>
      </c>
      <c r="AA57" t="s">
        <v>1778</v>
      </c>
      <c r="AB57" t="s">
        <v>1779</v>
      </c>
      <c r="AC57" t="s">
        <v>892</v>
      </c>
      <c r="AD57" t="s">
        <v>1779</v>
      </c>
      <c r="AE57" t="s">
        <v>437</v>
      </c>
      <c r="AF57" t="s">
        <v>1779</v>
      </c>
      <c r="AG57" t="s">
        <v>402</v>
      </c>
      <c r="AH57" t="s">
        <v>1779</v>
      </c>
      <c r="AI57" t="s">
        <v>1780</v>
      </c>
      <c r="AJ57" t="s">
        <v>646</v>
      </c>
      <c r="AK57" t="s">
        <v>1781</v>
      </c>
      <c r="AL57" t="s">
        <v>1782</v>
      </c>
      <c r="AM57" t="s">
        <v>1783</v>
      </c>
      <c r="AN57" t="s">
        <v>1784</v>
      </c>
      <c r="AO57" t="s">
        <v>1785</v>
      </c>
      <c r="AP57" t="s">
        <v>1785</v>
      </c>
      <c r="AU57" t="s">
        <v>102</v>
      </c>
      <c r="AW57" t="s">
        <v>102</v>
      </c>
      <c r="AX57" t="s">
        <v>119</v>
      </c>
      <c r="BA57" t="s">
        <v>250</v>
      </c>
      <c r="BB57" t="s">
        <v>120</v>
      </c>
      <c r="BC57" t="s">
        <v>1786</v>
      </c>
      <c r="BD57" t="s">
        <v>410</v>
      </c>
      <c r="BE57" t="s">
        <v>212</v>
      </c>
      <c r="BF57" t="s">
        <v>213</v>
      </c>
      <c r="BG57" t="s">
        <v>124</v>
      </c>
      <c r="BH57" t="s">
        <v>232</v>
      </c>
      <c r="BI57" t="s">
        <v>126</v>
      </c>
      <c r="BJ57" t="s">
        <v>127</v>
      </c>
      <c r="BK57" t="s">
        <v>1787</v>
      </c>
      <c r="BL57" t="s">
        <v>1788</v>
      </c>
      <c r="BM57" t="s">
        <v>1789</v>
      </c>
      <c r="BN57" t="s">
        <v>578</v>
      </c>
      <c r="BO57" t="s">
        <v>896</v>
      </c>
      <c r="BP57" t="s">
        <v>258</v>
      </c>
      <c r="BQ57" t="s">
        <v>897</v>
      </c>
      <c r="BR57" t="s">
        <v>898</v>
      </c>
      <c r="BS57" t="s">
        <v>483</v>
      </c>
      <c r="BT57" t="s">
        <v>483</v>
      </c>
      <c r="BU57" t="s">
        <v>1790</v>
      </c>
      <c r="BV57" t="s">
        <v>1791</v>
      </c>
      <c r="BW57" t="s">
        <v>138</v>
      </c>
      <c r="BX57" t="s">
        <v>1792</v>
      </c>
      <c r="BZ57" t="s">
        <v>1793</v>
      </c>
      <c r="CA57" t="s">
        <v>1791</v>
      </c>
      <c r="CB57" t="s">
        <v>1792</v>
      </c>
      <c r="CG57" t="s">
        <v>102</v>
      </c>
      <c r="CH57" t="s">
        <v>1794</v>
      </c>
      <c r="CJ57" t="s">
        <v>1795</v>
      </c>
      <c r="CK57" t="s">
        <v>1794</v>
      </c>
      <c r="CL57" t="s">
        <v>1786</v>
      </c>
      <c r="CM57" t="s">
        <v>410</v>
      </c>
      <c r="CN57" t="s">
        <v>1795</v>
      </c>
      <c r="CP57" t="s">
        <v>1794</v>
      </c>
      <c r="CQ57" t="s">
        <v>1794</v>
      </c>
    </row>
    <row r="58" spans="1:95">
      <c r="A58" t="s">
        <v>149</v>
      </c>
      <c r="B58">
        <v>175733</v>
      </c>
      <c r="C58" t="s">
        <v>1796</v>
      </c>
      <c r="E58" s="4" t="s">
        <v>17377</v>
      </c>
      <c r="F58" t="s">
        <v>95</v>
      </c>
      <c r="G58" t="s">
        <v>883</v>
      </c>
      <c r="H58" t="s">
        <v>97</v>
      </c>
      <c r="I58" t="s">
        <v>98</v>
      </c>
      <c r="J58" t="s">
        <v>1797</v>
      </c>
      <c r="K58" t="s">
        <v>100</v>
      </c>
      <c r="L58">
        <v>65526</v>
      </c>
      <c r="M58">
        <v>65526</v>
      </c>
      <c r="N58">
        <v>65526</v>
      </c>
      <c r="O58">
        <v>72</v>
      </c>
      <c r="P58" t="s">
        <v>1798</v>
      </c>
      <c r="Q58">
        <v>0</v>
      </c>
      <c r="R58">
        <v>0</v>
      </c>
      <c r="T58">
        <v>0</v>
      </c>
      <c r="U58">
        <v>0</v>
      </c>
      <c r="W58" t="s">
        <v>102</v>
      </c>
      <c r="X58" t="s">
        <v>275</v>
      </c>
      <c r="Z58" t="s">
        <v>883</v>
      </c>
      <c r="AA58" t="s">
        <v>109</v>
      </c>
      <c r="AB58" t="s">
        <v>102</v>
      </c>
      <c r="AC58" t="s">
        <v>109</v>
      </c>
      <c r="AD58" t="s">
        <v>102</v>
      </c>
      <c r="AE58" t="s">
        <v>109</v>
      </c>
      <c r="AF58" t="s">
        <v>102</v>
      </c>
      <c r="AG58" t="s">
        <v>109</v>
      </c>
      <c r="AH58" t="s">
        <v>102</v>
      </c>
      <c r="AI58" t="s">
        <v>102</v>
      </c>
      <c r="AJ58" t="s">
        <v>1799</v>
      </c>
      <c r="AK58" t="s">
        <v>1799</v>
      </c>
      <c r="AL58" t="s">
        <v>1800</v>
      </c>
      <c r="AM58" t="s">
        <v>1800</v>
      </c>
      <c r="AN58" t="s">
        <v>102</v>
      </c>
      <c r="AO58" t="s">
        <v>1801</v>
      </c>
      <c r="AP58" t="s">
        <v>1801</v>
      </c>
      <c r="AU58" t="s">
        <v>318</v>
      </c>
      <c r="AV58" t="s">
        <v>250</v>
      </c>
      <c r="AW58" t="s">
        <v>102</v>
      </c>
      <c r="AX58" t="s">
        <v>119</v>
      </c>
      <c r="BB58" t="s">
        <v>171</v>
      </c>
      <c r="BC58" t="s">
        <v>623</v>
      </c>
      <c r="BD58" t="s">
        <v>621</v>
      </c>
      <c r="BE58" t="s">
        <v>622</v>
      </c>
      <c r="BF58" t="s">
        <v>623</v>
      </c>
      <c r="BG58" t="s">
        <v>124</v>
      </c>
      <c r="BH58" t="s">
        <v>214</v>
      </c>
      <c r="BI58" t="s">
        <v>625</v>
      </c>
      <c r="BJ58" t="s">
        <v>127</v>
      </c>
      <c r="BK58" t="s">
        <v>1802</v>
      </c>
      <c r="BL58" t="s">
        <v>1803</v>
      </c>
      <c r="BM58" t="s">
        <v>1804</v>
      </c>
      <c r="BN58" t="s">
        <v>883</v>
      </c>
      <c r="BO58" t="s">
        <v>629</v>
      </c>
      <c r="BP58" t="s">
        <v>132</v>
      </c>
      <c r="BQ58" t="s">
        <v>630</v>
      </c>
      <c r="BR58" t="s">
        <v>631</v>
      </c>
      <c r="BS58" t="s">
        <v>507</v>
      </c>
      <c r="BU58" t="s">
        <v>1805</v>
      </c>
      <c r="BV58" t="s">
        <v>1806</v>
      </c>
      <c r="BW58" t="s">
        <v>138</v>
      </c>
      <c r="BX58" t="s">
        <v>1807</v>
      </c>
      <c r="BY58" t="s">
        <v>1808</v>
      </c>
      <c r="BZ58" t="s">
        <v>1809</v>
      </c>
      <c r="CG58" t="s">
        <v>102</v>
      </c>
      <c r="CH58" t="s">
        <v>1810</v>
      </c>
      <c r="CJ58" t="s">
        <v>1811</v>
      </c>
      <c r="CK58" t="s">
        <v>1812</v>
      </c>
      <c r="CL58" t="s">
        <v>623</v>
      </c>
      <c r="CM58" t="s">
        <v>621</v>
      </c>
      <c r="CN58" t="s">
        <v>1811</v>
      </c>
      <c r="CP58" t="s">
        <v>1810</v>
      </c>
      <c r="CQ58" t="s">
        <v>1812</v>
      </c>
    </row>
    <row r="59" spans="1:95">
      <c r="A59" t="s">
        <v>337</v>
      </c>
      <c r="B59">
        <v>177663</v>
      </c>
      <c r="C59" t="s">
        <v>1813</v>
      </c>
      <c r="D59" t="str">
        <f>VLOOKUP(B59,'2025'!B:C,2,0)</f>
        <v>Pooja</v>
      </c>
      <c r="F59" t="s">
        <v>95</v>
      </c>
      <c r="G59" t="s">
        <v>1814</v>
      </c>
      <c r="H59" t="s">
        <v>97</v>
      </c>
      <c r="I59" t="s">
        <v>98</v>
      </c>
      <c r="J59" t="s">
        <v>1815</v>
      </c>
      <c r="K59" t="s">
        <v>100</v>
      </c>
      <c r="L59">
        <v>1057500</v>
      </c>
      <c r="M59">
        <v>1057500</v>
      </c>
      <c r="N59">
        <v>1057500</v>
      </c>
      <c r="O59">
        <v>1410</v>
      </c>
      <c r="P59" t="s">
        <v>101</v>
      </c>
      <c r="Q59">
        <v>0</v>
      </c>
      <c r="R59">
        <v>0</v>
      </c>
      <c r="T59">
        <v>0</v>
      </c>
      <c r="U59">
        <v>0</v>
      </c>
      <c r="W59" t="s">
        <v>102</v>
      </c>
      <c r="X59" t="s">
        <v>103</v>
      </c>
      <c r="Y59" t="s">
        <v>398</v>
      </c>
      <c r="AA59" t="s">
        <v>1816</v>
      </c>
      <c r="AB59" t="s">
        <v>1817</v>
      </c>
      <c r="AC59" t="s">
        <v>1818</v>
      </c>
      <c r="AD59" t="s">
        <v>1817</v>
      </c>
      <c r="AE59" t="s">
        <v>1819</v>
      </c>
      <c r="AF59" t="s">
        <v>1820</v>
      </c>
      <c r="AG59" t="s">
        <v>109</v>
      </c>
      <c r="AH59" t="s">
        <v>102</v>
      </c>
      <c r="AI59" t="s">
        <v>1821</v>
      </c>
      <c r="AJ59" t="s">
        <v>1822</v>
      </c>
      <c r="AK59" t="s">
        <v>723</v>
      </c>
      <c r="AL59" t="s">
        <v>1823</v>
      </c>
      <c r="AM59" t="s">
        <v>1824</v>
      </c>
      <c r="AN59" t="s">
        <v>1825</v>
      </c>
      <c r="AO59" t="s">
        <v>116</v>
      </c>
      <c r="AP59" t="s">
        <v>1826</v>
      </c>
      <c r="AR59" t="s">
        <v>169</v>
      </c>
      <c r="AU59" t="s">
        <v>318</v>
      </c>
      <c r="AV59" t="s">
        <v>118</v>
      </c>
      <c r="AW59" t="s">
        <v>102</v>
      </c>
      <c r="AX59" t="s">
        <v>119</v>
      </c>
      <c r="BB59" t="s">
        <v>171</v>
      </c>
      <c r="BC59" t="s">
        <v>375</v>
      </c>
      <c r="BD59" t="s">
        <v>376</v>
      </c>
      <c r="BE59" t="s">
        <v>174</v>
      </c>
      <c r="BF59" t="s">
        <v>376</v>
      </c>
      <c r="BG59" t="s">
        <v>124</v>
      </c>
      <c r="BH59" t="s">
        <v>238</v>
      </c>
      <c r="BI59" t="s">
        <v>1827</v>
      </c>
      <c r="BJ59" t="s">
        <v>127</v>
      </c>
      <c r="BK59" t="s">
        <v>1828</v>
      </c>
      <c r="BL59" t="s">
        <v>1829</v>
      </c>
      <c r="BM59" t="s">
        <v>1830</v>
      </c>
      <c r="BN59" t="s">
        <v>1814</v>
      </c>
      <c r="BO59" t="s">
        <v>1831</v>
      </c>
      <c r="BP59" t="s">
        <v>180</v>
      </c>
      <c r="BQ59" t="s">
        <v>1832</v>
      </c>
      <c r="BR59" t="s">
        <v>1833</v>
      </c>
      <c r="BS59" t="s">
        <v>1834</v>
      </c>
      <c r="BU59" t="s">
        <v>1835</v>
      </c>
      <c r="BV59" t="s">
        <v>1836</v>
      </c>
      <c r="BW59" t="s">
        <v>138</v>
      </c>
      <c r="BX59" t="s">
        <v>1837</v>
      </c>
      <c r="BY59" t="s">
        <v>1838</v>
      </c>
      <c r="BZ59" t="s">
        <v>1839</v>
      </c>
      <c r="CA59" t="s">
        <v>1836</v>
      </c>
      <c r="CB59" t="s">
        <v>1837</v>
      </c>
      <c r="CC59" t="s">
        <v>1838</v>
      </c>
      <c r="CD59" t="s">
        <v>1840</v>
      </c>
      <c r="CE59" t="s">
        <v>1837</v>
      </c>
      <c r="CG59" t="s">
        <v>334</v>
      </c>
      <c r="CH59" t="s">
        <v>1841</v>
      </c>
      <c r="CJ59" t="s">
        <v>1842</v>
      </c>
      <c r="CK59" t="s">
        <v>1841</v>
      </c>
      <c r="CL59" t="s">
        <v>375</v>
      </c>
      <c r="CM59" t="s">
        <v>376</v>
      </c>
      <c r="CN59" t="s">
        <v>1842</v>
      </c>
      <c r="CO59" t="s">
        <v>1843</v>
      </c>
      <c r="CP59" t="s">
        <v>1841</v>
      </c>
      <c r="CQ59" t="s">
        <v>1841</v>
      </c>
    </row>
    <row r="60" spans="1:95">
      <c r="A60" t="s">
        <v>93</v>
      </c>
      <c r="B60">
        <v>179667</v>
      </c>
      <c r="C60" t="s">
        <v>1844</v>
      </c>
      <c r="E60" s="4" t="s">
        <v>17377</v>
      </c>
      <c r="F60" t="s">
        <v>95</v>
      </c>
      <c r="G60" t="s">
        <v>1845</v>
      </c>
      <c r="H60" t="s">
        <v>152</v>
      </c>
      <c r="I60" t="s">
        <v>98</v>
      </c>
      <c r="J60" t="s">
        <v>1846</v>
      </c>
      <c r="K60" t="s">
        <v>100</v>
      </c>
      <c r="L60">
        <v>454889</v>
      </c>
      <c r="M60">
        <v>454889</v>
      </c>
      <c r="N60">
        <v>0</v>
      </c>
      <c r="O60">
        <v>0</v>
      </c>
      <c r="Q60">
        <v>454889</v>
      </c>
      <c r="R60">
        <v>263</v>
      </c>
      <c r="S60" t="s">
        <v>1847</v>
      </c>
      <c r="T60">
        <v>0</v>
      </c>
      <c r="U60">
        <v>0</v>
      </c>
      <c r="W60" t="s">
        <v>102</v>
      </c>
      <c r="X60" t="s">
        <v>103</v>
      </c>
      <c r="Y60" t="s">
        <v>155</v>
      </c>
      <c r="AA60" t="s">
        <v>1848</v>
      </c>
      <c r="AB60" t="s">
        <v>1849</v>
      </c>
      <c r="AC60" t="s">
        <v>1330</v>
      </c>
      <c r="AD60" t="s">
        <v>1849</v>
      </c>
      <c r="AE60" t="s">
        <v>1628</v>
      </c>
      <c r="AF60" t="s">
        <v>1849</v>
      </c>
      <c r="AG60" t="s">
        <v>680</v>
      </c>
      <c r="AH60" t="s">
        <v>1849</v>
      </c>
      <c r="AI60" t="s">
        <v>102</v>
      </c>
      <c r="AJ60" t="s">
        <v>1848</v>
      </c>
      <c r="AK60" t="s">
        <v>1850</v>
      </c>
      <c r="AL60" t="s">
        <v>1851</v>
      </c>
      <c r="AM60" t="s">
        <v>1852</v>
      </c>
      <c r="AN60" t="s">
        <v>1205</v>
      </c>
      <c r="AO60" t="s">
        <v>1853</v>
      </c>
      <c r="AP60" t="s">
        <v>1853</v>
      </c>
      <c r="AU60" t="s">
        <v>102</v>
      </c>
      <c r="AW60" t="s">
        <v>155</v>
      </c>
      <c r="AX60" t="s">
        <v>119</v>
      </c>
      <c r="AY60" t="s">
        <v>170</v>
      </c>
      <c r="AZ60" t="s">
        <v>118</v>
      </c>
      <c r="BB60" t="s">
        <v>171</v>
      </c>
      <c r="BC60" t="s">
        <v>375</v>
      </c>
      <c r="BD60" t="s">
        <v>376</v>
      </c>
      <c r="BE60" t="s">
        <v>174</v>
      </c>
      <c r="BF60" t="s">
        <v>376</v>
      </c>
      <c r="BG60" t="s">
        <v>124</v>
      </c>
      <c r="BH60" t="s">
        <v>1854</v>
      </c>
      <c r="BI60" t="s">
        <v>1202</v>
      </c>
      <c r="BJ60" t="s">
        <v>127</v>
      </c>
      <c r="BK60" t="s">
        <v>1855</v>
      </c>
      <c r="BL60" t="s">
        <v>1856</v>
      </c>
      <c r="BM60" t="s">
        <v>1857</v>
      </c>
      <c r="BN60" t="s">
        <v>1845</v>
      </c>
      <c r="BO60" t="s">
        <v>381</v>
      </c>
      <c r="BP60" t="s">
        <v>258</v>
      </c>
      <c r="BQ60" t="s">
        <v>382</v>
      </c>
      <c r="BR60" t="s">
        <v>383</v>
      </c>
      <c r="BS60" t="s">
        <v>1858</v>
      </c>
      <c r="BU60" t="s">
        <v>1859</v>
      </c>
      <c r="BV60" t="s">
        <v>1860</v>
      </c>
      <c r="BW60" t="s">
        <v>138</v>
      </c>
      <c r="BX60" t="s">
        <v>1861</v>
      </c>
      <c r="BY60" t="s">
        <v>1862</v>
      </c>
      <c r="BZ60" t="s">
        <v>1861</v>
      </c>
      <c r="CA60" t="s">
        <v>1860</v>
      </c>
      <c r="CB60" t="s">
        <v>1861</v>
      </c>
      <c r="CC60" t="s">
        <v>1862</v>
      </c>
      <c r="CD60" t="s">
        <v>1863</v>
      </c>
      <c r="CE60" t="s">
        <v>1861</v>
      </c>
      <c r="CF60" t="s">
        <v>1864</v>
      </c>
      <c r="CG60" t="s">
        <v>102</v>
      </c>
      <c r="CH60" t="s">
        <v>1865</v>
      </c>
      <c r="CJ60" t="s">
        <v>1866</v>
      </c>
      <c r="CK60" t="s">
        <v>1865</v>
      </c>
      <c r="CL60" t="s">
        <v>375</v>
      </c>
      <c r="CM60" t="s">
        <v>376</v>
      </c>
      <c r="CN60" t="s">
        <v>1866</v>
      </c>
      <c r="CP60" t="s">
        <v>1867</v>
      </c>
      <c r="CQ60" t="s">
        <v>1865</v>
      </c>
    </row>
    <row r="61" spans="1:95">
      <c r="A61" t="s">
        <v>149</v>
      </c>
      <c r="B61">
        <v>1797713</v>
      </c>
      <c r="C61" t="s">
        <v>1868</v>
      </c>
      <c r="F61" t="s">
        <v>95</v>
      </c>
      <c r="G61" t="s">
        <v>1869</v>
      </c>
      <c r="H61" t="s">
        <v>1870</v>
      </c>
      <c r="I61" t="s">
        <v>98</v>
      </c>
      <c r="J61" t="s">
        <v>1871</v>
      </c>
      <c r="K61" t="s">
        <v>100</v>
      </c>
      <c r="L61">
        <v>572441</v>
      </c>
      <c r="M61">
        <v>648251</v>
      </c>
      <c r="N61">
        <v>0</v>
      </c>
      <c r="O61">
        <v>0</v>
      </c>
      <c r="Q61">
        <v>151273</v>
      </c>
      <c r="R61">
        <v>180</v>
      </c>
      <c r="S61" t="s">
        <v>1872</v>
      </c>
      <c r="T61">
        <v>421168</v>
      </c>
      <c r="U61">
        <v>360</v>
      </c>
      <c r="V61" t="s">
        <v>1873</v>
      </c>
      <c r="W61" t="s">
        <v>102</v>
      </c>
      <c r="X61" t="s">
        <v>275</v>
      </c>
      <c r="Z61" t="s">
        <v>341</v>
      </c>
      <c r="AA61" t="s">
        <v>109</v>
      </c>
      <c r="AB61" t="s">
        <v>102</v>
      </c>
      <c r="AC61" t="s">
        <v>109</v>
      </c>
      <c r="AD61" t="s">
        <v>102</v>
      </c>
      <c r="AE61" t="s">
        <v>109</v>
      </c>
      <c r="AF61" t="s">
        <v>102</v>
      </c>
      <c r="AG61" t="s">
        <v>109</v>
      </c>
      <c r="AH61" t="s">
        <v>102</v>
      </c>
      <c r="AI61" t="s">
        <v>102</v>
      </c>
      <c r="AJ61" t="s">
        <v>851</v>
      </c>
      <c r="AK61" t="s">
        <v>851</v>
      </c>
      <c r="AL61" t="s">
        <v>1874</v>
      </c>
      <c r="AM61" t="s">
        <v>1874</v>
      </c>
      <c r="AN61" t="s">
        <v>102</v>
      </c>
      <c r="AO61" t="s">
        <v>1875</v>
      </c>
      <c r="AP61" t="s">
        <v>1876</v>
      </c>
      <c r="AQ61" t="s">
        <v>169</v>
      </c>
      <c r="AU61" t="s">
        <v>102</v>
      </c>
      <c r="AW61" t="s">
        <v>1384</v>
      </c>
      <c r="AX61" t="s">
        <v>119</v>
      </c>
      <c r="AZ61" t="s">
        <v>250</v>
      </c>
      <c r="BA61" t="s">
        <v>250</v>
      </c>
      <c r="BB61" t="s">
        <v>171</v>
      </c>
      <c r="BC61" t="s">
        <v>1759</v>
      </c>
      <c r="BD61" t="s">
        <v>410</v>
      </c>
      <c r="BE61" t="s">
        <v>212</v>
      </c>
      <c r="BF61" t="s">
        <v>410</v>
      </c>
      <c r="BG61" t="s">
        <v>124</v>
      </c>
      <c r="BH61" t="s">
        <v>214</v>
      </c>
      <c r="BI61" t="s">
        <v>411</v>
      </c>
      <c r="BJ61" t="s">
        <v>127</v>
      </c>
      <c r="BK61" t="s">
        <v>1877</v>
      </c>
      <c r="BL61" t="s">
        <v>1878</v>
      </c>
      <c r="BM61" t="s">
        <v>1879</v>
      </c>
      <c r="BN61" t="s">
        <v>1869</v>
      </c>
      <c r="BO61" t="s">
        <v>1880</v>
      </c>
      <c r="BP61" t="s">
        <v>1881</v>
      </c>
      <c r="BQ61" t="s">
        <v>1882</v>
      </c>
      <c r="BR61" t="s">
        <v>1883</v>
      </c>
      <c r="BS61" t="s">
        <v>418</v>
      </c>
      <c r="BU61" t="s">
        <v>1884</v>
      </c>
      <c r="BV61" t="s">
        <v>1885</v>
      </c>
      <c r="BW61" t="s">
        <v>598</v>
      </c>
      <c r="BX61" t="s">
        <v>1886</v>
      </c>
      <c r="BY61" t="s">
        <v>1887</v>
      </c>
      <c r="BZ61" t="s">
        <v>1886</v>
      </c>
      <c r="CG61" t="s">
        <v>102</v>
      </c>
      <c r="CH61" t="s">
        <v>1888</v>
      </c>
      <c r="CJ61" t="s">
        <v>1889</v>
      </c>
      <c r="CK61" t="s">
        <v>1888</v>
      </c>
      <c r="CL61" t="s">
        <v>1759</v>
      </c>
      <c r="CM61" t="s">
        <v>410</v>
      </c>
      <c r="CN61" t="s">
        <v>1889</v>
      </c>
      <c r="CP61" t="s">
        <v>1888</v>
      </c>
      <c r="CQ61" t="s">
        <v>1888</v>
      </c>
    </row>
    <row r="62" spans="1:95">
      <c r="A62" t="s">
        <v>149</v>
      </c>
      <c r="B62">
        <v>1805376</v>
      </c>
      <c r="C62" t="s">
        <v>1890</v>
      </c>
      <c r="F62" t="s">
        <v>95</v>
      </c>
      <c r="G62" t="s">
        <v>192</v>
      </c>
      <c r="H62" t="s">
        <v>193</v>
      </c>
      <c r="I62" t="s">
        <v>98</v>
      </c>
      <c r="J62" t="s">
        <v>1891</v>
      </c>
      <c r="K62" t="s">
        <v>100</v>
      </c>
      <c r="L62">
        <v>819665</v>
      </c>
      <c r="M62">
        <v>911122</v>
      </c>
      <c r="N62">
        <v>311572</v>
      </c>
      <c r="O62">
        <v>1002</v>
      </c>
      <c r="P62" t="s">
        <v>195</v>
      </c>
      <c r="Q62">
        <v>0</v>
      </c>
      <c r="R62">
        <v>0</v>
      </c>
      <c r="T62">
        <v>508093</v>
      </c>
      <c r="U62">
        <v>999</v>
      </c>
      <c r="V62" t="s">
        <v>196</v>
      </c>
      <c r="W62" t="s">
        <v>102</v>
      </c>
      <c r="X62" t="s">
        <v>103</v>
      </c>
      <c r="Y62" t="s">
        <v>104</v>
      </c>
      <c r="AA62" t="s">
        <v>197</v>
      </c>
      <c r="AB62" t="s">
        <v>1892</v>
      </c>
      <c r="AC62" t="s">
        <v>199</v>
      </c>
      <c r="AD62" t="s">
        <v>1892</v>
      </c>
      <c r="AE62" t="s">
        <v>109</v>
      </c>
      <c r="AF62" t="s">
        <v>102</v>
      </c>
      <c r="AG62" t="s">
        <v>109</v>
      </c>
      <c r="AH62" t="s">
        <v>102</v>
      </c>
      <c r="AI62" t="s">
        <v>1893</v>
      </c>
      <c r="AJ62" t="s">
        <v>201</v>
      </c>
      <c r="AK62" t="s">
        <v>202</v>
      </c>
      <c r="AL62" t="s">
        <v>1894</v>
      </c>
      <c r="AM62" t="s">
        <v>1895</v>
      </c>
      <c r="AN62" t="s">
        <v>1896</v>
      </c>
      <c r="AO62" t="s">
        <v>206</v>
      </c>
      <c r="AP62" t="s">
        <v>206</v>
      </c>
      <c r="AU62" t="s">
        <v>207</v>
      </c>
      <c r="AV62" t="s">
        <v>118</v>
      </c>
      <c r="AW62" t="s">
        <v>102</v>
      </c>
      <c r="AX62" t="s">
        <v>119</v>
      </c>
      <c r="BA62" t="s">
        <v>250</v>
      </c>
      <c r="BB62" t="s">
        <v>120</v>
      </c>
      <c r="BC62" t="s">
        <v>1897</v>
      </c>
      <c r="BD62" t="s">
        <v>621</v>
      </c>
      <c r="BE62" t="s">
        <v>622</v>
      </c>
      <c r="BF62" t="s">
        <v>976</v>
      </c>
      <c r="BG62" t="s">
        <v>124</v>
      </c>
      <c r="BH62" t="s">
        <v>214</v>
      </c>
      <c r="BI62" t="s">
        <v>215</v>
      </c>
      <c r="BJ62" t="s">
        <v>127</v>
      </c>
      <c r="BK62" t="s">
        <v>1898</v>
      </c>
      <c r="BL62" t="s">
        <v>1899</v>
      </c>
      <c r="BM62" t="s">
        <v>1900</v>
      </c>
      <c r="BN62" t="s">
        <v>192</v>
      </c>
      <c r="BO62" t="s">
        <v>219</v>
      </c>
      <c r="BP62" t="s">
        <v>180</v>
      </c>
      <c r="BQ62" t="s">
        <v>220</v>
      </c>
      <c r="BR62" t="s">
        <v>221</v>
      </c>
      <c r="BS62" t="s">
        <v>984</v>
      </c>
      <c r="BU62" t="s">
        <v>1901</v>
      </c>
      <c r="BV62" t="s">
        <v>224</v>
      </c>
      <c r="BX62" t="s">
        <v>225</v>
      </c>
      <c r="BY62" t="s">
        <v>226</v>
      </c>
      <c r="CG62" t="s">
        <v>102</v>
      </c>
      <c r="CH62" t="s">
        <v>1902</v>
      </c>
      <c r="CJ62" t="s">
        <v>1903</v>
      </c>
      <c r="CK62" t="s">
        <v>1902</v>
      </c>
      <c r="CL62" t="s">
        <v>1897</v>
      </c>
      <c r="CM62" t="s">
        <v>621</v>
      </c>
      <c r="CN62" t="s">
        <v>1903</v>
      </c>
      <c r="CO62" t="s">
        <v>230</v>
      </c>
      <c r="CP62" t="s">
        <v>1902</v>
      </c>
      <c r="CQ62" t="s">
        <v>1902</v>
      </c>
    </row>
    <row r="63" spans="1:95">
      <c r="A63" t="s">
        <v>149</v>
      </c>
      <c r="B63">
        <v>1810177</v>
      </c>
      <c r="C63" t="s">
        <v>1904</v>
      </c>
      <c r="E63" s="4" t="s">
        <v>17377</v>
      </c>
      <c r="F63" t="s">
        <v>95</v>
      </c>
      <c r="G63" t="s">
        <v>1905</v>
      </c>
      <c r="H63" t="s">
        <v>848</v>
      </c>
      <c r="I63" t="s">
        <v>98</v>
      </c>
      <c r="J63" t="s">
        <v>1906</v>
      </c>
      <c r="K63" t="s">
        <v>100</v>
      </c>
      <c r="L63">
        <v>729189</v>
      </c>
      <c r="M63">
        <v>860443</v>
      </c>
      <c r="N63">
        <v>0</v>
      </c>
      <c r="O63">
        <v>0</v>
      </c>
      <c r="Q63">
        <v>0</v>
      </c>
      <c r="R63">
        <v>0</v>
      </c>
      <c r="T63">
        <v>729189</v>
      </c>
      <c r="U63">
        <v>478</v>
      </c>
      <c r="V63" t="s">
        <v>1907</v>
      </c>
      <c r="W63" t="s">
        <v>102</v>
      </c>
      <c r="X63" t="s">
        <v>103</v>
      </c>
      <c r="Y63" t="s">
        <v>104</v>
      </c>
      <c r="AA63" t="s">
        <v>232</v>
      </c>
      <c r="AB63" t="s">
        <v>1908</v>
      </c>
      <c r="AC63" t="s">
        <v>648</v>
      </c>
      <c r="AD63" t="s">
        <v>1908</v>
      </c>
      <c r="AE63" t="s">
        <v>109</v>
      </c>
      <c r="AF63" t="s">
        <v>102</v>
      </c>
      <c r="AG63" t="s">
        <v>109</v>
      </c>
      <c r="AH63" t="s">
        <v>102</v>
      </c>
      <c r="AI63" t="s">
        <v>1909</v>
      </c>
      <c r="AJ63" t="s">
        <v>583</v>
      </c>
      <c r="AK63" t="s">
        <v>550</v>
      </c>
      <c r="AL63" t="s">
        <v>1910</v>
      </c>
      <c r="AM63" t="s">
        <v>1911</v>
      </c>
      <c r="AN63" t="s">
        <v>1912</v>
      </c>
      <c r="AO63" t="s">
        <v>116</v>
      </c>
      <c r="AP63" t="s">
        <v>116</v>
      </c>
      <c r="AU63" t="s">
        <v>102</v>
      </c>
      <c r="AW63" t="s">
        <v>102</v>
      </c>
      <c r="AX63" t="s">
        <v>119</v>
      </c>
      <c r="BA63" t="s">
        <v>250</v>
      </c>
      <c r="BB63" t="s">
        <v>120</v>
      </c>
      <c r="BC63" t="s">
        <v>1913</v>
      </c>
      <c r="BD63" t="s">
        <v>376</v>
      </c>
      <c r="BE63" t="s">
        <v>174</v>
      </c>
      <c r="BF63" t="s">
        <v>376</v>
      </c>
      <c r="BG63" t="s">
        <v>124</v>
      </c>
      <c r="BH63" t="s">
        <v>232</v>
      </c>
      <c r="BI63" t="s">
        <v>126</v>
      </c>
      <c r="BJ63" t="s">
        <v>127</v>
      </c>
      <c r="BK63" t="s">
        <v>1914</v>
      </c>
      <c r="BL63" t="s">
        <v>1915</v>
      </c>
      <c r="BM63" t="s">
        <v>1916</v>
      </c>
      <c r="BN63" t="s">
        <v>1905</v>
      </c>
      <c r="BO63" t="s">
        <v>1917</v>
      </c>
      <c r="BP63" t="s">
        <v>180</v>
      </c>
      <c r="BQ63" t="s">
        <v>1918</v>
      </c>
      <c r="BR63" t="s">
        <v>1919</v>
      </c>
      <c r="BS63" t="s">
        <v>384</v>
      </c>
      <c r="BT63" t="s">
        <v>384</v>
      </c>
      <c r="BU63" t="s">
        <v>1920</v>
      </c>
      <c r="BV63" t="s">
        <v>1921</v>
      </c>
      <c r="BW63" t="s">
        <v>138</v>
      </c>
      <c r="BX63" t="s">
        <v>1922</v>
      </c>
      <c r="BY63" t="s">
        <v>1923</v>
      </c>
      <c r="BZ63" t="s">
        <v>1924</v>
      </c>
      <c r="CA63" t="s">
        <v>1921</v>
      </c>
      <c r="CB63" t="s">
        <v>1925</v>
      </c>
      <c r="CC63" t="s">
        <v>1923</v>
      </c>
      <c r="CD63" t="s">
        <v>1926</v>
      </c>
      <c r="CE63" t="s">
        <v>1927</v>
      </c>
      <c r="CF63" t="s">
        <v>1928</v>
      </c>
      <c r="CG63" t="s">
        <v>102</v>
      </c>
      <c r="CH63" t="s">
        <v>1929</v>
      </c>
      <c r="CJ63" t="s">
        <v>1930</v>
      </c>
      <c r="CK63" t="s">
        <v>1929</v>
      </c>
      <c r="CL63" t="s">
        <v>1913</v>
      </c>
      <c r="CM63" t="s">
        <v>376</v>
      </c>
      <c r="CN63" t="s">
        <v>1930</v>
      </c>
      <c r="CO63" t="s">
        <v>1931</v>
      </c>
      <c r="CP63" t="s">
        <v>1929</v>
      </c>
      <c r="CQ63" t="s">
        <v>1929</v>
      </c>
    </row>
    <row r="64" spans="1:95">
      <c r="A64" t="s">
        <v>337</v>
      </c>
      <c r="B64">
        <v>1811278</v>
      </c>
      <c r="C64" t="s">
        <v>1932</v>
      </c>
      <c r="E64" s="4" t="s">
        <v>17377</v>
      </c>
      <c r="F64" t="s">
        <v>95</v>
      </c>
      <c r="G64" t="s">
        <v>1692</v>
      </c>
      <c r="H64" t="s">
        <v>152</v>
      </c>
      <c r="I64" t="s">
        <v>98</v>
      </c>
      <c r="J64" t="s">
        <v>1933</v>
      </c>
      <c r="K64" t="s">
        <v>100</v>
      </c>
      <c r="L64">
        <v>113737</v>
      </c>
      <c r="M64">
        <v>113737</v>
      </c>
      <c r="N64">
        <v>0</v>
      </c>
      <c r="O64">
        <v>0</v>
      </c>
      <c r="Q64">
        <v>113737</v>
      </c>
      <c r="R64">
        <v>65</v>
      </c>
      <c r="S64" t="s">
        <v>1376</v>
      </c>
      <c r="T64">
        <v>0</v>
      </c>
      <c r="U64">
        <v>0</v>
      </c>
      <c r="W64" t="s">
        <v>102</v>
      </c>
      <c r="X64" t="s">
        <v>103</v>
      </c>
      <c r="Y64" t="s">
        <v>104</v>
      </c>
      <c r="AA64" t="s">
        <v>1295</v>
      </c>
      <c r="AB64" t="s">
        <v>1934</v>
      </c>
      <c r="AC64" t="s">
        <v>1358</v>
      </c>
      <c r="AD64" t="s">
        <v>1935</v>
      </c>
      <c r="AE64" t="s">
        <v>109</v>
      </c>
      <c r="AF64" t="s">
        <v>102</v>
      </c>
      <c r="AG64" t="s">
        <v>109</v>
      </c>
      <c r="AH64" t="s">
        <v>102</v>
      </c>
      <c r="AI64" t="s">
        <v>1936</v>
      </c>
      <c r="AJ64" t="s">
        <v>1330</v>
      </c>
      <c r="AK64" t="s">
        <v>159</v>
      </c>
      <c r="AL64" t="s">
        <v>1937</v>
      </c>
      <c r="AM64" t="s">
        <v>1938</v>
      </c>
      <c r="AN64" t="s">
        <v>1939</v>
      </c>
      <c r="AO64" t="s">
        <v>1940</v>
      </c>
      <c r="AP64" t="s">
        <v>1940</v>
      </c>
      <c r="AU64" t="s">
        <v>102</v>
      </c>
      <c r="AW64" t="s">
        <v>155</v>
      </c>
      <c r="AX64" t="s">
        <v>119</v>
      </c>
      <c r="AY64" t="s">
        <v>1138</v>
      </c>
      <c r="AZ64" t="s">
        <v>250</v>
      </c>
      <c r="BB64" t="s">
        <v>209</v>
      </c>
      <c r="BC64" t="s">
        <v>623</v>
      </c>
      <c r="BD64" t="s">
        <v>621</v>
      </c>
      <c r="BE64" t="s">
        <v>622</v>
      </c>
      <c r="BF64" t="s">
        <v>623</v>
      </c>
      <c r="BG64" t="s">
        <v>124</v>
      </c>
      <c r="BH64" t="s">
        <v>197</v>
      </c>
      <c r="BI64" t="s">
        <v>1941</v>
      </c>
      <c r="BJ64" t="s">
        <v>127</v>
      </c>
      <c r="BK64" t="s">
        <v>1942</v>
      </c>
      <c r="BL64" t="s">
        <v>1943</v>
      </c>
      <c r="BM64" t="s">
        <v>1944</v>
      </c>
      <c r="BN64" t="s">
        <v>1692</v>
      </c>
      <c r="BO64" t="s">
        <v>1670</v>
      </c>
      <c r="BP64" t="s">
        <v>505</v>
      </c>
      <c r="BQ64" t="s">
        <v>1671</v>
      </c>
      <c r="BR64" t="s">
        <v>1672</v>
      </c>
      <c r="BS64" t="s">
        <v>507</v>
      </c>
      <c r="BU64" t="s">
        <v>1945</v>
      </c>
      <c r="BV64" t="s">
        <v>1946</v>
      </c>
      <c r="BW64" t="s">
        <v>354</v>
      </c>
      <c r="BX64" t="s">
        <v>1947</v>
      </c>
      <c r="BY64" t="s">
        <v>1948</v>
      </c>
      <c r="BZ64" t="s">
        <v>1949</v>
      </c>
      <c r="CG64" t="s">
        <v>1950</v>
      </c>
      <c r="CH64" t="s">
        <v>1951</v>
      </c>
      <c r="CJ64" t="s">
        <v>1811</v>
      </c>
      <c r="CK64" t="s">
        <v>1951</v>
      </c>
      <c r="CL64" t="s">
        <v>623</v>
      </c>
      <c r="CM64" t="s">
        <v>621</v>
      </c>
      <c r="CN64" t="s">
        <v>1811</v>
      </c>
      <c r="CP64" t="s">
        <v>1951</v>
      </c>
      <c r="CQ64" t="s">
        <v>1951</v>
      </c>
    </row>
    <row r="65" spans="1:95">
      <c r="A65" t="s">
        <v>93</v>
      </c>
      <c r="B65">
        <v>181976</v>
      </c>
      <c r="C65" t="s">
        <v>1952</v>
      </c>
      <c r="D65" t="str">
        <f>VLOOKUP(B65,'2025'!B:C,2,0)</f>
        <v>Tanya</v>
      </c>
      <c r="F65" t="s">
        <v>95</v>
      </c>
      <c r="G65" t="s">
        <v>1470</v>
      </c>
      <c r="H65" t="s">
        <v>152</v>
      </c>
      <c r="I65" t="s">
        <v>98</v>
      </c>
      <c r="J65" t="s">
        <v>1953</v>
      </c>
      <c r="K65" t="s">
        <v>100</v>
      </c>
      <c r="L65">
        <v>875885</v>
      </c>
      <c r="M65">
        <v>875885</v>
      </c>
      <c r="N65">
        <v>0</v>
      </c>
      <c r="O65">
        <v>0</v>
      </c>
      <c r="Q65">
        <v>875885</v>
      </c>
      <c r="R65">
        <v>1225</v>
      </c>
      <c r="S65" t="s">
        <v>1954</v>
      </c>
      <c r="T65">
        <v>0</v>
      </c>
      <c r="U65">
        <v>0</v>
      </c>
      <c r="W65" t="s">
        <v>102</v>
      </c>
      <c r="X65" t="s">
        <v>103</v>
      </c>
      <c r="Y65" t="s">
        <v>104</v>
      </c>
      <c r="AA65" t="s">
        <v>1955</v>
      </c>
      <c r="AB65" t="s">
        <v>1956</v>
      </c>
      <c r="AC65" t="s">
        <v>1957</v>
      </c>
      <c r="AD65" t="s">
        <v>1956</v>
      </c>
      <c r="AE65" t="s">
        <v>109</v>
      </c>
      <c r="AF65" t="s">
        <v>102</v>
      </c>
      <c r="AG65" t="s">
        <v>109</v>
      </c>
      <c r="AH65" t="s">
        <v>102</v>
      </c>
      <c r="AI65" t="s">
        <v>1958</v>
      </c>
      <c r="AJ65" t="s">
        <v>1470</v>
      </c>
      <c r="AK65" t="s">
        <v>499</v>
      </c>
      <c r="AL65" t="s">
        <v>1959</v>
      </c>
      <c r="AM65" t="s">
        <v>1960</v>
      </c>
      <c r="AN65" t="s">
        <v>1961</v>
      </c>
      <c r="AO65" t="s">
        <v>1962</v>
      </c>
      <c r="AP65" t="s">
        <v>1963</v>
      </c>
      <c r="AR65" t="s">
        <v>169</v>
      </c>
      <c r="AU65" t="s">
        <v>102</v>
      </c>
      <c r="AW65" t="s">
        <v>104</v>
      </c>
      <c r="AX65" t="s">
        <v>447</v>
      </c>
      <c r="AY65" t="s">
        <v>170</v>
      </c>
      <c r="AZ65" t="s">
        <v>118</v>
      </c>
      <c r="BB65" t="s">
        <v>1964</v>
      </c>
      <c r="BC65" t="s">
        <v>448</v>
      </c>
      <c r="BD65" t="s">
        <v>449</v>
      </c>
      <c r="BE65" t="s">
        <v>122</v>
      </c>
      <c r="BF65" t="s">
        <v>450</v>
      </c>
      <c r="BG65" t="s">
        <v>124</v>
      </c>
      <c r="BH65" t="s">
        <v>232</v>
      </c>
      <c r="BI65" t="s">
        <v>126</v>
      </c>
      <c r="BJ65" t="s">
        <v>127</v>
      </c>
      <c r="BK65" t="s">
        <v>1965</v>
      </c>
      <c r="BL65" t="s">
        <v>1966</v>
      </c>
      <c r="BM65" t="s">
        <v>1967</v>
      </c>
      <c r="BN65" t="s">
        <v>1470</v>
      </c>
      <c r="BO65" t="s">
        <v>131</v>
      </c>
      <c r="BP65" t="s">
        <v>350</v>
      </c>
      <c r="BQ65" t="s">
        <v>133</v>
      </c>
      <c r="BR65" t="s">
        <v>134</v>
      </c>
      <c r="BS65" t="s">
        <v>261</v>
      </c>
      <c r="BU65" t="s">
        <v>1968</v>
      </c>
      <c r="BV65" t="s">
        <v>1969</v>
      </c>
      <c r="BW65" t="s">
        <v>138</v>
      </c>
      <c r="BX65" t="s">
        <v>1970</v>
      </c>
      <c r="BY65" t="s">
        <v>1971</v>
      </c>
      <c r="BZ65" t="s">
        <v>1972</v>
      </c>
      <c r="CA65" t="s">
        <v>1969</v>
      </c>
      <c r="CB65" t="s">
        <v>1970</v>
      </c>
      <c r="CC65" t="s">
        <v>1971</v>
      </c>
      <c r="CD65" t="s">
        <v>1973</v>
      </c>
      <c r="CE65" t="s">
        <v>1974</v>
      </c>
      <c r="CF65" t="s">
        <v>1975</v>
      </c>
      <c r="CG65" t="s">
        <v>334</v>
      </c>
      <c r="CH65" t="s">
        <v>1976</v>
      </c>
      <c r="CJ65" t="s">
        <v>1977</v>
      </c>
      <c r="CK65" t="s">
        <v>1978</v>
      </c>
      <c r="CL65" t="s">
        <v>448</v>
      </c>
      <c r="CM65" t="s">
        <v>449</v>
      </c>
      <c r="CN65" t="s">
        <v>1977</v>
      </c>
      <c r="CO65" t="s">
        <v>1979</v>
      </c>
      <c r="CP65" t="s">
        <v>1976</v>
      </c>
      <c r="CQ65" t="s">
        <v>1978</v>
      </c>
    </row>
    <row r="66" spans="1:95">
      <c r="A66" t="s">
        <v>337</v>
      </c>
      <c r="B66">
        <v>1822220</v>
      </c>
      <c r="C66" t="s">
        <v>1980</v>
      </c>
      <c r="D66" t="str">
        <f>VLOOKUP(B66,'2025'!B:C,2,0)</f>
        <v>Tanya</v>
      </c>
      <c r="F66" t="s">
        <v>95</v>
      </c>
      <c r="G66" t="s">
        <v>1981</v>
      </c>
      <c r="H66" t="s">
        <v>97</v>
      </c>
      <c r="I66" t="s">
        <v>98</v>
      </c>
      <c r="J66" t="s">
        <v>1982</v>
      </c>
      <c r="K66" t="s">
        <v>100</v>
      </c>
      <c r="L66">
        <v>231336</v>
      </c>
      <c r="M66">
        <v>231336</v>
      </c>
      <c r="N66">
        <v>231336</v>
      </c>
      <c r="O66">
        <v>204</v>
      </c>
      <c r="P66" t="s">
        <v>1983</v>
      </c>
      <c r="Q66">
        <v>0</v>
      </c>
      <c r="R66">
        <v>0</v>
      </c>
      <c r="T66">
        <v>0</v>
      </c>
      <c r="U66">
        <v>0</v>
      </c>
      <c r="W66" t="s">
        <v>102</v>
      </c>
      <c r="X66" t="s">
        <v>275</v>
      </c>
      <c r="Z66" t="s">
        <v>341</v>
      </c>
      <c r="AA66" t="s">
        <v>109</v>
      </c>
      <c r="AB66" t="s">
        <v>102</v>
      </c>
      <c r="AC66" t="s">
        <v>109</v>
      </c>
      <c r="AD66" t="s">
        <v>102</v>
      </c>
      <c r="AE66" t="s">
        <v>109</v>
      </c>
      <c r="AF66" t="s">
        <v>102</v>
      </c>
      <c r="AG66" t="s">
        <v>109</v>
      </c>
      <c r="AH66" t="s">
        <v>102</v>
      </c>
      <c r="AI66" t="s">
        <v>1984</v>
      </c>
      <c r="AJ66" t="s">
        <v>1518</v>
      </c>
      <c r="AK66" t="s">
        <v>1518</v>
      </c>
      <c r="AL66" t="s">
        <v>1985</v>
      </c>
      <c r="AM66" t="s">
        <v>1986</v>
      </c>
      <c r="AN66" t="s">
        <v>102</v>
      </c>
      <c r="AO66" t="s">
        <v>1987</v>
      </c>
      <c r="AP66" t="s">
        <v>1988</v>
      </c>
      <c r="AQ66" t="s">
        <v>343</v>
      </c>
      <c r="AU66" t="s">
        <v>318</v>
      </c>
      <c r="AV66" t="s">
        <v>118</v>
      </c>
      <c r="AW66" t="s">
        <v>102</v>
      </c>
      <c r="AX66" t="s">
        <v>119</v>
      </c>
      <c r="BB66" t="s">
        <v>120</v>
      </c>
      <c r="BC66" t="s">
        <v>251</v>
      </c>
      <c r="BD66" t="s">
        <v>252</v>
      </c>
      <c r="BE66" t="s">
        <v>122</v>
      </c>
      <c r="BF66" t="s">
        <v>253</v>
      </c>
      <c r="BG66" t="s">
        <v>124</v>
      </c>
      <c r="BH66" t="s">
        <v>232</v>
      </c>
      <c r="BI66" t="s">
        <v>126</v>
      </c>
      <c r="BJ66" t="s">
        <v>127</v>
      </c>
      <c r="BK66" t="s">
        <v>1989</v>
      </c>
      <c r="BL66" t="s">
        <v>1990</v>
      </c>
      <c r="BM66" t="s">
        <v>1991</v>
      </c>
      <c r="BN66" t="s">
        <v>1981</v>
      </c>
      <c r="BO66" t="s">
        <v>1992</v>
      </c>
      <c r="BP66" t="s">
        <v>350</v>
      </c>
      <c r="BQ66" t="s">
        <v>1993</v>
      </c>
      <c r="BR66" t="s">
        <v>1994</v>
      </c>
      <c r="BS66" t="s">
        <v>1995</v>
      </c>
      <c r="BT66" t="s">
        <v>135</v>
      </c>
      <c r="BU66" t="s">
        <v>1996</v>
      </c>
      <c r="BV66" t="s">
        <v>506</v>
      </c>
      <c r="BW66" t="s">
        <v>569</v>
      </c>
      <c r="BX66" t="s">
        <v>1997</v>
      </c>
      <c r="BY66" t="s">
        <v>226</v>
      </c>
      <c r="BZ66" t="s">
        <v>1998</v>
      </c>
      <c r="CG66" t="s">
        <v>1999</v>
      </c>
      <c r="CH66" t="s">
        <v>2000</v>
      </c>
      <c r="CJ66" t="s">
        <v>2001</v>
      </c>
      <c r="CK66" t="s">
        <v>2002</v>
      </c>
      <c r="CL66" t="s">
        <v>251</v>
      </c>
      <c r="CM66" t="s">
        <v>252</v>
      </c>
      <c r="CN66" t="s">
        <v>2001</v>
      </c>
      <c r="CO66" t="s">
        <v>2003</v>
      </c>
      <c r="CP66" t="s">
        <v>2000</v>
      </c>
      <c r="CQ66" t="s">
        <v>2002</v>
      </c>
    </row>
    <row r="67" spans="1:95">
      <c r="A67" t="s">
        <v>149</v>
      </c>
      <c r="B67">
        <v>1823562</v>
      </c>
      <c r="C67" t="s">
        <v>2004</v>
      </c>
      <c r="D67" t="str">
        <f>VLOOKUP(B67,'2025'!B:C,2,0)</f>
        <v>Rohit</v>
      </c>
      <c r="F67" t="s">
        <v>95</v>
      </c>
      <c r="G67" t="s">
        <v>2005</v>
      </c>
      <c r="H67" t="s">
        <v>193</v>
      </c>
      <c r="I67" t="s">
        <v>98</v>
      </c>
      <c r="J67" t="s">
        <v>2006</v>
      </c>
      <c r="K67" t="s">
        <v>100</v>
      </c>
      <c r="L67">
        <v>787483</v>
      </c>
      <c r="M67">
        <v>920846</v>
      </c>
      <c r="N67">
        <v>46575</v>
      </c>
      <c r="O67">
        <v>69</v>
      </c>
      <c r="P67" t="s">
        <v>340</v>
      </c>
      <c r="Q67">
        <v>0</v>
      </c>
      <c r="R67">
        <v>0</v>
      </c>
      <c r="T67">
        <v>740908</v>
      </c>
      <c r="U67">
        <v>437</v>
      </c>
      <c r="V67" t="s">
        <v>2007</v>
      </c>
      <c r="W67" t="s">
        <v>102</v>
      </c>
      <c r="X67" t="s">
        <v>679</v>
      </c>
      <c r="Y67" t="s">
        <v>155</v>
      </c>
      <c r="Z67" t="s">
        <v>2008</v>
      </c>
      <c r="AA67" t="s">
        <v>2009</v>
      </c>
      <c r="AB67" t="s">
        <v>2010</v>
      </c>
      <c r="AC67" t="s">
        <v>2011</v>
      </c>
      <c r="AD67" t="s">
        <v>2010</v>
      </c>
      <c r="AE67" t="s">
        <v>2012</v>
      </c>
      <c r="AF67" t="s">
        <v>2010</v>
      </c>
      <c r="AG67" t="s">
        <v>2013</v>
      </c>
      <c r="AH67" t="s">
        <v>2010</v>
      </c>
      <c r="AI67" t="s">
        <v>2014</v>
      </c>
      <c r="AJ67" t="s">
        <v>2015</v>
      </c>
      <c r="AK67" t="s">
        <v>2016</v>
      </c>
      <c r="AL67" t="s">
        <v>2017</v>
      </c>
      <c r="AM67" t="s">
        <v>2018</v>
      </c>
      <c r="AN67" t="s">
        <v>2019</v>
      </c>
      <c r="AO67" t="s">
        <v>2020</v>
      </c>
      <c r="AP67" t="s">
        <v>2021</v>
      </c>
      <c r="AT67" t="s">
        <v>169</v>
      </c>
      <c r="AU67" t="s">
        <v>207</v>
      </c>
      <c r="AV67" t="s">
        <v>118</v>
      </c>
      <c r="AW67" t="s">
        <v>102</v>
      </c>
      <c r="AX67" t="s">
        <v>119</v>
      </c>
      <c r="BA67" t="s">
        <v>250</v>
      </c>
      <c r="BB67" t="s">
        <v>120</v>
      </c>
      <c r="BC67" t="s">
        <v>2022</v>
      </c>
      <c r="BD67" t="s">
        <v>1244</v>
      </c>
      <c r="BE67" t="s">
        <v>122</v>
      </c>
      <c r="BF67" t="s">
        <v>1244</v>
      </c>
      <c r="BG67" t="s">
        <v>124</v>
      </c>
      <c r="BH67" t="s">
        <v>2023</v>
      </c>
      <c r="BI67" t="s">
        <v>126</v>
      </c>
      <c r="BJ67" t="s">
        <v>127</v>
      </c>
      <c r="BK67" t="s">
        <v>2024</v>
      </c>
      <c r="BL67" t="s">
        <v>2025</v>
      </c>
      <c r="BM67" t="s">
        <v>2026</v>
      </c>
      <c r="BN67" t="s">
        <v>2005</v>
      </c>
      <c r="BO67" t="s">
        <v>2027</v>
      </c>
      <c r="BP67" t="s">
        <v>350</v>
      </c>
      <c r="BQ67" t="s">
        <v>2028</v>
      </c>
      <c r="BR67" t="s">
        <v>2029</v>
      </c>
      <c r="BS67" t="s">
        <v>1075</v>
      </c>
      <c r="BU67" t="s">
        <v>2030</v>
      </c>
      <c r="BV67" t="s">
        <v>2031</v>
      </c>
      <c r="BW67" t="s">
        <v>2032</v>
      </c>
      <c r="BX67" t="s">
        <v>2033</v>
      </c>
      <c r="BY67" t="s">
        <v>2034</v>
      </c>
      <c r="BZ67" t="s">
        <v>2035</v>
      </c>
      <c r="CA67" t="s">
        <v>2036</v>
      </c>
      <c r="CB67" t="s">
        <v>2037</v>
      </c>
      <c r="CC67" t="s">
        <v>2038</v>
      </c>
      <c r="CD67" t="s">
        <v>2036</v>
      </c>
      <c r="CE67" t="s">
        <v>2037</v>
      </c>
      <c r="CF67" t="s">
        <v>2038</v>
      </c>
      <c r="CG67" t="s">
        <v>102</v>
      </c>
      <c r="CH67" t="s">
        <v>2039</v>
      </c>
      <c r="CJ67" t="s">
        <v>2040</v>
      </c>
      <c r="CK67" t="s">
        <v>2039</v>
      </c>
      <c r="CL67" t="s">
        <v>2022</v>
      </c>
      <c r="CM67" t="s">
        <v>1244</v>
      </c>
      <c r="CN67" t="s">
        <v>2040</v>
      </c>
      <c r="CO67" t="s">
        <v>2041</v>
      </c>
      <c r="CP67" t="s">
        <v>2039</v>
      </c>
      <c r="CQ67" t="s">
        <v>2039</v>
      </c>
    </row>
    <row r="68" spans="1:95">
      <c r="A68" t="s">
        <v>93</v>
      </c>
      <c r="B68">
        <v>1837151</v>
      </c>
      <c r="C68" t="s">
        <v>2042</v>
      </c>
      <c r="D68" t="str">
        <f>VLOOKUP(B68,'2025'!B:C,2,0)</f>
        <v>Anushka</v>
      </c>
      <c r="F68" t="s">
        <v>95</v>
      </c>
      <c r="G68" t="s">
        <v>2043</v>
      </c>
      <c r="H68" t="s">
        <v>2044</v>
      </c>
      <c r="I68" t="s">
        <v>98</v>
      </c>
      <c r="J68" t="s">
        <v>2045</v>
      </c>
      <c r="K68" t="s">
        <v>100</v>
      </c>
      <c r="L68">
        <v>2216214</v>
      </c>
      <c r="M68">
        <v>2216214</v>
      </c>
      <c r="N68">
        <v>687414</v>
      </c>
      <c r="O68">
        <v>1259</v>
      </c>
      <c r="P68" t="s">
        <v>2046</v>
      </c>
      <c r="Q68">
        <v>1528800</v>
      </c>
      <c r="R68">
        <v>1200</v>
      </c>
      <c r="S68" t="s">
        <v>2047</v>
      </c>
      <c r="T68">
        <v>0</v>
      </c>
      <c r="U68">
        <v>0</v>
      </c>
      <c r="W68" t="s">
        <v>102</v>
      </c>
      <c r="X68" t="s">
        <v>275</v>
      </c>
      <c r="Z68" t="s">
        <v>2048</v>
      </c>
      <c r="AA68" t="s">
        <v>109</v>
      </c>
      <c r="AB68" t="s">
        <v>102</v>
      </c>
      <c r="AC68" t="s">
        <v>109</v>
      </c>
      <c r="AD68" t="s">
        <v>102</v>
      </c>
      <c r="AE68" t="s">
        <v>109</v>
      </c>
      <c r="AF68" t="s">
        <v>102</v>
      </c>
      <c r="AG68" t="s">
        <v>109</v>
      </c>
      <c r="AH68" t="s">
        <v>102</v>
      </c>
      <c r="AI68" t="s">
        <v>2049</v>
      </c>
      <c r="AJ68" t="s">
        <v>2048</v>
      </c>
      <c r="AK68" t="s">
        <v>2050</v>
      </c>
      <c r="AL68" t="s">
        <v>2051</v>
      </c>
      <c r="AM68" t="s">
        <v>2052</v>
      </c>
      <c r="AN68" t="s">
        <v>2053</v>
      </c>
      <c r="AO68" t="s">
        <v>2054</v>
      </c>
      <c r="AP68" t="s">
        <v>2055</v>
      </c>
      <c r="AR68" t="s">
        <v>169</v>
      </c>
      <c r="AS68" t="s">
        <v>169</v>
      </c>
      <c r="AU68" t="s">
        <v>318</v>
      </c>
      <c r="AV68" t="s">
        <v>118</v>
      </c>
      <c r="AW68" t="s">
        <v>155</v>
      </c>
      <c r="AX68" t="s">
        <v>119</v>
      </c>
      <c r="AY68" t="s">
        <v>170</v>
      </c>
      <c r="AZ68" t="s">
        <v>118</v>
      </c>
      <c r="BB68" t="s">
        <v>120</v>
      </c>
      <c r="BC68" t="s">
        <v>2056</v>
      </c>
      <c r="BD68" t="s">
        <v>320</v>
      </c>
      <c r="BE68" t="s">
        <v>122</v>
      </c>
      <c r="BF68" t="s">
        <v>123</v>
      </c>
      <c r="BG68" t="s">
        <v>124</v>
      </c>
      <c r="BH68" t="s">
        <v>232</v>
      </c>
      <c r="BI68" t="s">
        <v>126</v>
      </c>
      <c r="BJ68" t="s">
        <v>127</v>
      </c>
      <c r="BK68" t="s">
        <v>2057</v>
      </c>
      <c r="BL68" t="s">
        <v>2058</v>
      </c>
      <c r="BM68" t="s">
        <v>2059</v>
      </c>
      <c r="BN68" t="s">
        <v>2043</v>
      </c>
      <c r="BO68" t="s">
        <v>695</v>
      </c>
      <c r="BP68" t="s">
        <v>350</v>
      </c>
      <c r="BQ68" t="s">
        <v>697</v>
      </c>
      <c r="BR68" t="s">
        <v>698</v>
      </c>
      <c r="BS68" t="s">
        <v>1006</v>
      </c>
      <c r="BU68" t="s">
        <v>2060</v>
      </c>
      <c r="BV68" t="s">
        <v>2061</v>
      </c>
      <c r="BW68" t="s">
        <v>354</v>
      </c>
      <c r="BX68" t="s">
        <v>2062</v>
      </c>
      <c r="BY68" t="s">
        <v>2063</v>
      </c>
      <c r="BZ68" t="s">
        <v>2062</v>
      </c>
      <c r="CA68" t="s">
        <v>2064</v>
      </c>
      <c r="CB68" t="s">
        <v>2065</v>
      </c>
      <c r="CC68" t="s">
        <v>2066</v>
      </c>
      <c r="CD68" t="s">
        <v>2067</v>
      </c>
      <c r="CE68" t="s">
        <v>2062</v>
      </c>
      <c r="CF68" t="s">
        <v>2068</v>
      </c>
      <c r="CG68" t="s">
        <v>2069</v>
      </c>
      <c r="CH68" t="s">
        <v>2070</v>
      </c>
      <c r="CJ68" t="s">
        <v>2071</v>
      </c>
      <c r="CK68" t="s">
        <v>2070</v>
      </c>
      <c r="CL68" t="s">
        <v>2056</v>
      </c>
      <c r="CM68" t="s">
        <v>320</v>
      </c>
      <c r="CN68" t="s">
        <v>2071</v>
      </c>
      <c r="CO68" t="s">
        <v>2072</v>
      </c>
      <c r="CP68" t="s">
        <v>2070</v>
      </c>
      <c r="CQ68" t="s">
        <v>2070</v>
      </c>
    </row>
    <row r="69" spans="1:95">
      <c r="A69" t="s">
        <v>149</v>
      </c>
      <c r="B69">
        <v>18460</v>
      </c>
      <c r="C69" t="s">
        <v>2073</v>
      </c>
      <c r="D69" t="str">
        <f>VLOOKUP(B69,'2025'!B:C,2,0)</f>
        <v>Gargi Ghosh</v>
      </c>
      <c r="F69" t="s">
        <v>95</v>
      </c>
      <c r="G69" t="s">
        <v>2074</v>
      </c>
      <c r="H69" t="s">
        <v>848</v>
      </c>
      <c r="I69" t="s">
        <v>98</v>
      </c>
      <c r="J69" t="s">
        <v>2075</v>
      </c>
      <c r="K69" t="s">
        <v>100</v>
      </c>
      <c r="L69">
        <v>615495</v>
      </c>
      <c r="M69">
        <v>726284</v>
      </c>
      <c r="N69">
        <v>0</v>
      </c>
      <c r="O69">
        <v>0</v>
      </c>
      <c r="Q69">
        <v>0</v>
      </c>
      <c r="R69">
        <v>0</v>
      </c>
      <c r="T69">
        <v>615495</v>
      </c>
      <c r="U69">
        <v>365</v>
      </c>
      <c r="V69" t="s">
        <v>2076</v>
      </c>
      <c r="W69" t="s">
        <v>102</v>
      </c>
      <c r="X69" t="s">
        <v>103</v>
      </c>
      <c r="Y69" t="s">
        <v>155</v>
      </c>
      <c r="AA69" t="s">
        <v>2077</v>
      </c>
      <c r="AB69" t="s">
        <v>2078</v>
      </c>
      <c r="AC69" t="s">
        <v>2079</v>
      </c>
      <c r="AD69" t="s">
        <v>2078</v>
      </c>
      <c r="AE69" t="s">
        <v>2080</v>
      </c>
      <c r="AF69" t="s">
        <v>2078</v>
      </c>
      <c r="AG69" t="s">
        <v>160</v>
      </c>
      <c r="AH69" t="s">
        <v>2078</v>
      </c>
      <c r="AI69" t="s">
        <v>2081</v>
      </c>
      <c r="AJ69" t="s">
        <v>2082</v>
      </c>
      <c r="AK69" t="s">
        <v>2083</v>
      </c>
      <c r="AL69" t="s">
        <v>2084</v>
      </c>
      <c r="AM69" t="s">
        <v>2085</v>
      </c>
      <c r="AN69" t="s">
        <v>2086</v>
      </c>
      <c r="AO69" t="s">
        <v>2087</v>
      </c>
      <c r="AP69" t="s">
        <v>2087</v>
      </c>
      <c r="AU69" t="s">
        <v>102</v>
      </c>
      <c r="AW69" t="s">
        <v>102</v>
      </c>
      <c r="AX69" t="s">
        <v>119</v>
      </c>
      <c r="BA69" t="s">
        <v>250</v>
      </c>
      <c r="BB69" t="s">
        <v>120</v>
      </c>
      <c r="BC69" t="s">
        <v>375</v>
      </c>
      <c r="BD69" t="s">
        <v>376</v>
      </c>
      <c r="BE69" t="s">
        <v>174</v>
      </c>
      <c r="BF69" t="s">
        <v>376</v>
      </c>
      <c r="BG69" t="s">
        <v>124</v>
      </c>
      <c r="BH69" t="s">
        <v>377</v>
      </c>
      <c r="BI69" t="s">
        <v>126</v>
      </c>
      <c r="BJ69" t="s">
        <v>127</v>
      </c>
      <c r="BK69" t="s">
        <v>2088</v>
      </c>
      <c r="BL69" t="s">
        <v>2089</v>
      </c>
      <c r="BM69" t="s">
        <v>2090</v>
      </c>
      <c r="BN69" t="s">
        <v>2074</v>
      </c>
      <c r="BO69" t="s">
        <v>179</v>
      </c>
      <c r="BP69" t="s">
        <v>180</v>
      </c>
      <c r="BQ69" t="s">
        <v>181</v>
      </c>
      <c r="BR69" t="s">
        <v>182</v>
      </c>
      <c r="BS69" t="s">
        <v>183</v>
      </c>
      <c r="BU69" t="s">
        <v>2091</v>
      </c>
      <c r="BV69" t="s">
        <v>2092</v>
      </c>
      <c r="BW69" t="s">
        <v>569</v>
      </c>
      <c r="BX69" t="s">
        <v>2093</v>
      </c>
      <c r="BY69" t="s">
        <v>2094</v>
      </c>
      <c r="BZ69" t="s">
        <v>2095</v>
      </c>
      <c r="CA69" t="s">
        <v>2096</v>
      </c>
      <c r="CB69" t="s">
        <v>2093</v>
      </c>
      <c r="CC69" t="s">
        <v>2097</v>
      </c>
      <c r="CD69" t="s">
        <v>2098</v>
      </c>
      <c r="CE69" t="s">
        <v>2099</v>
      </c>
      <c r="CF69" t="s">
        <v>2100</v>
      </c>
      <c r="CG69" t="s">
        <v>102</v>
      </c>
      <c r="CH69" t="s">
        <v>2101</v>
      </c>
      <c r="CJ69" t="s">
        <v>392</v>
      </c>
      <c r="CK69" t="s">
        <v>2101</v>
      </c>
      <c r="CL69" t="s">
        <v>375</v>
      </c>
      <c r="CM69" t="s">
        <v>376</v>
      </c>
      <c r="CN69" t="s">
        <v>392</v>
      </c>
      <c r="CO69" t="s">
        <v>2102</v>
      </c>
      <c r="CP69" t="s">
        <v>2101</v>
      </c>
      <c r="CQ69" t="s">
        <v>2101</v>
      </c>
    </row>
    <row r="70" spans="1:95">
      <c r="A70" t="s">
        <v>495</v>
      </c>
      <c r="B70">
        <v>185882</v>
      </c>
      <c r="C70" t="s">
        <v>2103</v>
      </c>
      <c r="D70" t="str">
        <f>VLOOKUP(B70,'2025'!B:C,2,0)</f>
        <v>Jasper Jessie</v>
      </c>
      <c r="F70" t="s">
        <v>95</v>
      </c>
      <c r="G70" t="s">
        <v>716</v>
      </c>
      <c r="H70" t="s">
        <v>97</v>
      </c>
      <c r="I70" t="s">
        <v>98</v>
      </c>
      <c r="J70" t="s">
        <v>2104</v>
      </c>
      <c r="K70" t="s">
        <v>100</v>
      </c>
      <c r="L70">
        <v>594930</v>
      </c>
      <c r="M70">
        <v>594930</v>
      </c>
      <c r="N70">
        <v>594930</v>
      </c>
      <c r="O70">
        <v>700</v>
      </c>
      <c r="P70" t="s">
        <v>2105</v>
      </c>
      <c r="Q70">
        <v>0</v>
      </c>
      <c r="R70">
        <v>0</v>
      </c>
      <c r="T70">
        <v>0</v>
      </c>
      <c r="U70">
        <v>0</v>
      </c>
      <c r="W70" t="s">
        <v>102</v>
      </c>
      <c r="X70" t="s">
        <v>103</v>
      </c>
      <c r="Y70" t="s">
        <v>104</v>
      </c>
      <c r="AA70" t="s">
        <v>1845</v>
      </c>
      <c r="AB70" t="s">
        <v>2106</v>
      </c>
      <c r="AC70" t="s">
        <v>892</v>
      </c>
      <c r="AD70" t="s">
        <v>2106</v>
      </c>
      <c r="AE70" t="s">
        <v>109</v>
      </c>
      <c r="AF70" t="s">
        <v>102</v>
      </c>
      <c r="AG70" t="s">
        <v>109</v>
      </c>
      <c r="AH70" t="s">
        <v>102</v>
      </c>
      <c r="AI70" t="s">
        <v>102</v>
      </c>
      <c r="AJ70" t="s">
        <v>2107</v>
      </c>
      <c r="AK70" t="s">
        <v>2107</v>
      </c>
      <c r="AL70" t="s">
        <v>2108</v>
      </c>
      <c r="AM70" t="s">
        <v>2109</v>
      </c>
      <c r="AN70" t="s">
        <v>2110</v>
      </c>
      <c r="AO70" t="s">
        <v>2111</v>
      </c>
      <c r="AP70" t="s">
        <v>2111</v>
      </c>
      <c r="AU70" t="s">
        <v>318</v>
      </c>
      <c r="AV70" t="s">
        <v>118</v>
      </c>
      <c r="AW70" t="s">
        <v>102</v>
      </c>
      <c r="AX70" t="s">
        <v>119</v>
      </c>
      <c r="BB70" t="s">
        <v>120</v>
      </c>
      <c r="BC70" t="s">
        <v>920</v>
      </c>
      <c r="BD70" t="s">
        <v>211</v>
      </c>
      <c r="BE70" t="s">
        <v>212</v>
      </c>
      <c r="BF70" t="s">
        <v>213</v>
      </c>
      <c r="BG70" t="s">
        <v>124</v>
      </c>
      <c r="BH70" t="s">
        <v>1630</v>
      </c>
      <c r="BI70" t="s">
        <v>442</v>
      </c>
      <c r="BJ70" t="s">
        <v>127</v>
      </c>
      <c r="BK70" t="s">
        <v>2112</v>
      </c>
      <c r="BL70" t="s">
        <v>2113</v>
      </c>
      <c r="BM70" t="s">
        <v>2114</v>
      </c>
      <c r="BN70" t="s">
        <v>716</v>
      </c>
      <c r="BO70" t="s">
        <v>1309</v>
      </c>
      <c r="BP70" t="s">
        <v>258</v>
      </c>
      <c r="BQ70" t="s">
        <v>1310</v>
      </c>
      <c r="BR70" t="s">
        <v>1311</v>
      </c>
      <c r="BS70" t="s">
        <v>1312</v>
      </c>
      <c r="BU70" t="s">
        <v>2115</v>
      </c>
      <c r="BV70" t="s">
        <v>2116</v>
      </c>
      <c r="BW70" t="s">
        <v>138</v>
      </c>
      <c r="BX70" t="s">
        <v>2117</v>
      </c>
      <c r="BY70" t="s">
        <v>2118</v>
      </c>
      <c r="BZ70" t="s">
        <v>2117</v>
      </c>
      <c r="CA70" t="s">
        <v>2116</v>
      </c>
      <c r="CB70" t="s">
        <v>2117</v>
      </c>
      <c r="CC70" t="s">
        <v>2118</v>
      </c>
      <c r="CD70" t="s">
        <v>2116</v>
      </c>
      <c r="CE70" t="s">
        <v>2117</v>
      </c>
      <c r="CF70" t="s">
        <v>2118</v>
      </c>
      <c r="CG70" t="s">
        <v>2119</v>
      </c>
      <c r="CH70" t="s">
        <v>2120</v>
      </c>
      <c r="CJ70" t="s">
        <v>2121</v>
      </c>
      <c r="CK70" t="s">
        <v>2120</v>
      </c>
      <c r="CL70" t="s">
        <v>920</v>
      </c>
      <c r="CM70" t="s">
        <v>211</v>
      </c>
      <c r="CN70" t="s">
        <v>2121</v>
      </c>
      <c r="CO70" t="s">
        <v>102</v>
      </c>
      <c r="CP70" t="s">
        <v>2120</v>
      </c>
      <c r="CQ70" t="s">
        <v>2120</v>
      </c>
    </row>
    <row r="71" spans="1:95">
      <c r="A71" t="s">
        <v>149</v>
      </c>
      <c r="B71">
        <v>1873384</v>
      </c>
      <c r="C71" t="s">
        <v>2122</v>
      </c>
      <c r="D71" t="str">
        <f>VLOOKUP(B71,'2025'!B:C,2,0)</f>
        <v>Aarti Iyer</v>
      </c>
      <c r="F71" t="s">
        <v>95</v>
      </c>
      <c r="G71" t="s">
        <v>175</v>
      </c>
      <c r="H71" t="s">
        <v>97</v>
      </c>
      <c r="I71" t="s">
        <v>98</v>
      </c>
      <c r="J71" t="s">
        <v>2123</v>
      </c>
      <c r="K71" t="s">
        <v>100</v>
      </c>
      <c r="L71">
        <v>563545</v>
      </c>
      <c r="M71">
        <v>563545</v>
      </c>
      <c r="N71">
        <v>563545</v>
      </c>
      <c r="O71">
        <v>1127</v>
      </c>
      <c r="P71" t="s">
        <v>364</v>
      </c>
      <c r="Q71">
        <v>0</v>
      </c>
      <c r="R71">
        <v>0</v>
      </c>
      <c r="T71">
        <v>0</v>
      </c>
      <c r="U71">
        <v>0</v>
      </c>
      <c r="W71" t="s">
        <v>102</v>
      </c>
      <c r="X71" t="s">
        <v>275</v>
      </c>
      <c r="Z71" t="s">
        <v>341</v>
      </c>
      <c r="AA71" t="s">
        <v>109</v>
      </c>
      <c r="AB71" t="s">
        <v>102</v>
      </c>
      <c r="AC71" t="s">
        <v>109</v>
      </c>
      <c r="AD71" t="s">
        <v>102</v>
      </c>
      <c r="AE71" t="s">
        <v>109</v>
      </c>
      <c r="AF71" t="s">
        <v>102</v>
      </c>
      <c r="AG71" t="s">
        <v>109</v>
      </c>
      <c r="AH71" t="s">
        <v>102</v>
      </c>
      <c r="AI71" t="s">
        <v>102</v>
      </c>
      <c r="AJ71" t="s">
        <v>156</v>
      </c>
      <c r="AK71" t="s">
        <v>156</v>
      </c>
      <c r="AL71" t="s">
        <v>2124</v>
      </c>
      <c r="AM71" t="s">
        <v>2124</v>
      </c>
      <c r="AN71" t="s">
        <v>102</v>
      </c>
      <c r="AO71" t="s">
        <v>2125</v>
      </c>
      <c r="AP71" t="s">
        <v>2126</v>
      </c>
      <c r="AQ71" t="s">
        <v>343</v>
      </c>
      <c r="AU71" t="s">
        <v>318</v>
      </c>
      <c r="AV71" t="s">
        <v>118</v>
      </c>
      <c r="AW71" t="s">
        <v>102</v>
      </c>
      <c r="AX71" t="s">
        <v>119</v>
      </c>
      <c r="BB71" t="s">
        <v>120</v>
      </c>
      <c r="BC71" t="s">
        <v>2127</v>
      </c>
      <c r="BD71" t="s">
        <v>621</v>
      </c>
      <c r="BE71" t="s">
        <v>622</v>
      </c>
      <c r="BF71" t="s">
        <v>976</v>
      </c>
      <c r="BG71" t="s">
        <v>124</v>
      </c>
      <c r="BH71" t="s">
        <v>151</v>
      </c>
      <c r="BI71" t="s">
        <v>625</v>
      </c>
      <c r="BJ71" t="s">
        <v>127</v>
      </c>
      <c r="BK71" t="s">
        <v>2128</v>
      </c>
      <c r="BL71" t="s">
        <v>2129</v>
      </c>
      <c r="BM71" t="s">
        <v>2130</v>
      </c>
      <c r="BN71" t="s">
        <v>175</v>
      </c>
      <c r="BO71" t="s">
        <v>981</v>
      </c>
      <c r="BP71" t="s">
        <v>132</v>
      </c>
      <c r="BQ71" t="s">
        <v>982</v>
      </c>
      <c r="BR71" t="s">
        <v>983</v>
      </c>
      <c r="BS71" t="s">
        <v>984</v>
      </c>
      <c r="BU71" t="s">
        <v>2131</v>
      </c>
      <c r="BV71" t="s">
        <v>2132</v>
      </c>
      <c r="BW71" t="s">
        <v>138</v>
      </c>
      <c r="BX71" t="s">
        <v>2133</v>
      </c>
      <c r="BY71" t="s">
        <v>2134</v>
      </c>
      <c r="BZ71" t="s">
        <v>2135</v>
      </c>
      <c r="CG71" t="s">
        <v>102</v>
      </c>
      <c r="CH71" t="s">
        <v>2136</v>
      </c>
      <c r="CJ71" t="s">
        <v>2137</v>
      </c>
      <c r="CK71" t="s">
        <v>2136</v>
      </c>
      <c r="CL71" t="s">
        <v>2127</v>
      </c>
      <c r="CM71" t="s">
        <v>621</v>
      </c>
      <c r="CN71" t="s">
        <v>2137</v>
      </c>
      <c r="CP71" t="s">
        <v>2136</v>
      </c>
      <c r="CQ71" t="s">
        <v>2136</v>
      </c>
    </row>
    <row r="72" spans="1:95">
      <c r="A72" t="s">
        <v>149</v>
      </c>
      <c r="B72">
        <v>1879439</v>
      </c>
      <c r="C72" t="s">
        <v>2138</v>
      </c>
      <c r="F72" t="s">
        <v>95</v>
      </c>
      <c r="G72" t="s">
        <v>2139</v>
      </c>
      <c r="H72" t="s">
        <v>97</v>
      </c>
      <c r="I72" t="s">
        <v>98</v>
      </c>
      <c r="J72" t="s">
        <v>2140</v>
      </c>
      <c r="K72" t="s">
        <v>100</v>
      </c>
      <c r="L72">
        <v>376920</v>
      </c>
      <c r="M72">
        <v>376920</v>
      </c>
      <c r="N72">
        <v>376920</v>
      </c>
      <c r="O72">
        <v>468</v>
      </c>
      <c r="P72" t="s">
        <v>2141</v>
      </c>
      <c r="Q72">
        <v>0</v>
      </c>
      <c r="R72">
        <v>0</v>
      </c>
      <c r="T72">
        <v>0</v>
      </c>
      <c r="U72">
        <v>0</v>
      </c>
      <c r="W72" t="s">
        <v>102</v>
      </c>
      <c r="X72" t="s">
        <v>275</v>
      </c>
      <c r="Z72" t="s">
        <v>2142</v>
      </c>
      <c r="AA72" t="s">
        <v>109</v>
      </c>
      <c r="AB72" t="s">
        <v>102</v>
      </c>
      <c r="AC72" t="s">
        <v>109</v>
      </c>
      <c r="AD72" t="s">
        <v>102</v>
      </c>
      <c r="AE72" t="s">
        <v>109</v>
      </c>
      <c r="AF72" t="s">
        <v>102</v>
      </c>
      <c r="AG72" t="s">
        <v>109</v>
      </c>
      <c r="AH72" t="s">
        <v>102</v>
      </c>
      <c r="AI72" t="s">
        <v>2143</v>
      </c>
      <c r="AJ72" t="s">
        <v>542</v>
      </c>
      <c r="AK72" t="s">
        <v>542</v>
      </c>
      <c r="AL72" t="s">
        <v>2144</v>
      </c>
      <c r="AM72" t="s">
        <v>2145</v>
      </c>
      <c r="AN72" t="s">
        <v>2146</v>
      </c>
      <c r="AO72" t="s">
        <v>2147</v>
      </c>
      <c r="AP72" t="s">
        <v>2147</v>
      </c>
      <c r="AU72" t="s">
        <v>117</v>
      </c>
      <c r="AV72" t="s">
        <v>118</v>
      </c>
      <c r="AW72" t="s">
        <v>102</v>
      </c>
      <c r="AX72" t="s">
        <v>119</v>
      </c>
      <c r="BB72" t="s">
        <v>209</v>
      </c>
      <c r="BC72" t="s">
        <v>920</v>
      </c>
      <c r="BD72" t="s">
        <v>211</v>
      </c>
      <c r="BE72" t="s">
        <v>212</v>
      </c>
      <c r="BF72" t="s">
        <v>213</v>
      </c>
      <c r="BG72" t="s">
        <v>124</v>
      </c>
      <c r="BH72" t="s">
        <v>125</v>
      </c>
      <c r="BI72" t="s">
        <v>126</v>
      </c>
      <c r="BJ72" t="s">
        <v>127</v>
      </c>
      <c r="BK72" t="s">
        <v>2148</v>
      </c>
      <c r="BL72" t="s">
        <v>2149</v>
      </c>
      <c r="BM72" t="s">
        <v>2150</v>
      </c>
      <c r="BN72" t="s">
        <v>2139</v>
      </c>
      <c r="BO72" t="s">
        <v>924</v>
      </c>
      <c r="BP72" t="s">
        <v>180</v>
      </c>
      <c r="BQ72" t="s">
        <v>925</v>
      </c>
      <c r="BR72" t="s">
        <v>926</v>
      </c>
      <c r="BS72" t="s">
        <v>2151</v>
      </c>
      <c r="BU72" t="s">
        <v>2152</v>
      </c>
      <c r="BV72" t="s">
        <v>2153</v>
      </c>
      <c r="BW72" t="s">
        <v>138</v>
      </c>
      <c r="BX72" t="s">
        <v>2154</v>
      </c>
      <c r="BY72" t="s">
        <v>2155</v>
      </c>
      <c r="BZ72" t="s">
        <v>2156</v>
      </c>
      <c r="CA72" t="s">
        <v>2153</v>
      </c>
      <c r="CB72" t="s">
        <v>2154</v>
      </c>
      <c r="CC72" t="s">
        <v>2155</v>
      </c>
      <c r="CD72" t="s">
        <v>2157</v>
      </c>
      <c r="CE72" t="s">
        <v>2158</v>
      </c>
      <c r="CG72" t="s">
        <v>102</v>
      </c>
      <c r="CH72" t="s">
        <v>2159</v>
      </c>
      <c r="CJ72" t="s">
        <v>2160</v>
      </c>
      <c r="CK72" t="s">
        <v>2159</v>
      </c>
      <c r="CL72" t="s">
        <v>920</v>
      </c>
      <c r="CM72" t="s">
        <v>211</v>
      </c>
      <c r="CN72" t="s">
        <v>2160</v>
      </c>
      <c r="CO72" t="s">
        <v>2161</v>
      </c>
      <c r="CP72" t="s">
        <v>2159</v>
      </c>
      <c r="CQ72" t="s">
        <v>2159</v>
      </c>
    </row>
    <row r="73" spans="1:95">
      <c r="A73" t="s">
        <v>149</v>
      </c>
      <c r="B73">
        <v>18922</v>
      </c>
      <c r="C73" t="s">
        <v>2162</v>
      </c>
      <c r="D73" t="str">
        <f>VLOOKUP(B73,'2025'!B:C,2,0)</f>
        <v>Aruna</v>
      </c>
      <c r="F73" t="s">
        <v>95</v>
      </c>
      <c r="G73" t="s">
        <v>1521</v>
      </c>
      <c r="H73" t="s">
        <v>2163</v>
      </c>
      <c r="I73" t="s">
        <v>98</v>
      </c>
      <c r="J73" t="s">
        <v>2164</v>
      </c>
      <c r="K73" t="s">
        <v>100</v>
      </c>
      <c r="L73">
        <v>2730297</v>
      </c>
      <c r="M73">
        <v>2909913</v>
      </c>
      <c r="N73">
        <v>1103293</v>
      </c>
      <c r="O73">
        <v>1643</v>
      </c>
      <c r="P73" t="s">
        <v>2165</v>
      </c>
      <c r="Q73">
        <v>629137</v>
      </c>
      <c r="R73">
        <v>466</v>
      </c>
      <c r="S73" t="s">
        <v>397</v>
      </c>
      <c r="T73">
        <v>997867</v>
      </c>
      <c r="U73">
        <v>471</v>
      </c>
      <c r="V73" t="s">
        <v>2166</v>
      </c>
      <c r="W73" t="s">
        <v>102</v>
      </c>
      <c r="X73" t="s">
        <v>679</v>
      </c>
      <c r="Y73" t="s">
        <v>155</v>
      </c>
      <c r="Z73" t="s">
        <v>883</v>
      </c>
      <c r="AA73" t="s">
        <v>2167</v>
      </c>
      <c r="AB73" t="s">
        <v>2168</v>
      </c>
      <c r="AC73" t="s">
        <v>2169</v>
      </c>
      <c r="AD73" t="s">
        <v>2168</v>
      </c>
      <c r="AE73" t="s">
        <v>2170</v>
      </c>
      <c r="AF73" t="s">
        <v>2168</v>
      </c>
      <c r="AG73" t="s">
        <v>2171</v>
      </c>
      <c r="AH73" t="s">
        <v>2168</v>
      </c>
      <c r="AI73" t="s">
        <v>2172</v>
      </c>
      <c r="AJ73" t="s">
        <v>2173</v>
      </c>
      <c r="AK73" t="s">
        <v>2174</v>
      </c>
      <c r="AL73" t="s">
        <v>2175</v>
      </c>
      <c r="AM73" t="s">
        <v>2176</v>
      </c>
      <c r="AN73" t="s">
        <v>2177</v>
      </c>
      <c r="AO73" t="s">
        <v>2178</v>
      </c>
      <c r="AP73" t="s">
        <v>2179</v>
      </c>
      <c r="AR73" t="s">
        <v>169</v>
      </c>
      <c r="AU73" t="s">
        <v>247</v>
      </c>
      <c r="AV73" t="s">
        <v>250</v>
      </c>
      <c r="AW73" t="s">
        <v>655</v>
      </c>
      <c r="AX73" t="s">
        <v>119</v>
      </c>
      <c r="AZ73" t="s">
        <v>250</v>
      </c>
      <c r="BA73" t="s">
        <v>250</v>
      </c>
      <c r="BB73" t="s">
        <v>120</v>
      </c>
      <c r="BC73" t="s">
        <v>920</v>
      </c>
      <c r="BD73" t="s">
        <v>211</v>
      </c>
      <c r="BE73" t="s">
        <v>212</v>
      </c>
      <c r="BF73" t="s">
        <v>213</v>
      </c>
      <c r="BG73" t="s">
        <v>124</v>
      </c>
      <c r="BH73" t="s">
        <v>214</v>
      </c>
      <c r="BI73" t="s">
        <v>625</v>
      </c>
      <c r="BJ73" t="s">
        <v>127</v>
      </c>
      <c r="BK73" t="s">
        <v>2180</v>
      </c>
      <c r="BL73" t="s">
        <v>2181</v>
      </c>
      <c r="BM73" t="s">
        <v>2182</v>
      </c>
      <c r="BN73" t="s">
        <v>1521</v>
      </c>
      <c r="BO73" t="s">
        <v>219</v>
      </c>
      <c r="BP73" t="s">
        <v>132</v>
      </c>
      <c r="BQ73" t="s">
        <v>220</v>
      </c>
      <c r="BR73" t="s">
        <v>221</v>
      </c>
      <c r="BS73" t="s">
        <v>222</v>
      </c>
      <c r="BU73" t="s">
        <v>2183</v>
      </c>
      <c r="BV73" t="s">
        <v>2184</v>
      </c>
      <c r="BW73" t="s">
        <v>138</v>
      </c>
      <c r="BX73" t="s">
        <v>2185</v>
      </c>
      <c r="BY73" t="s">
        <v>2186</v>
      </c>
      <c r="BZ73" t="s">
        <v>2187</v>
      </c>
      <c r="CA73" t="s">
        <v>2184</v>
      </c>
      <c r="CB73" t="s">
        <v>2185</v>
      </c>
      <c r="CC73" t="s">
        <v>2186</v>
      </c>
      <c r="CG73" t="s">
        <v>102</v>
      </c>
      <c r="CH73" t="s">
        <v>2188</v>
      </c>
      <c r="CJ73" t="s">
        <v>2189</v>
      </c>
      <c r="CK73" t="s">
        <v>2188</v>
      </c>
      <c r="CL73" t="s">
        <v>920</v>
      </c>
      <c r="CM73" t="s">
        <v>211</v>
      </c>
      <c r="CN73" t="s">
        <v>2189</v>
      </c>
      <c r="CO73" t="s">
        <v>2190</v>
      </c>
      <c r="CP73" t="s">
        <v>2188</v>
      </c>
      <c r="CQ73" t="s">
        <v>2188</v>
      </c>
    </row>
    <row r="74" spans="1:95">
      <c r="A74" t="s">
        <v>337</v>
      </c>
      <c r="B74">
        <v>19028</v>
      </c>
      <c r="C74" t="s">
        <v>2191</v>
      </c>
      <c r="D74" t="str">
        <f>VLOOKUP(B74,'2025'!B:C,2,0)</f>
        <v>Chaitanya</v>
      </c>
      <c r="F74" t="s">
        <v>95</v>
      </c>
      <c r="G74" t="s">
        <v>2192</v>
      </c>
      <c r="H74" t="s">
        <v>2193</v>
      </c>
      <c r="I74" t="s">
        <v>98</v>
      </c>
      <c r="J74" t="s">
        <v>2194</v>
      </c>
      <c r="K74" t="s">
        <v>100</v>
      </c>
      <c r="L74">
        <v>400000</v>
      </c>
      <c r="M74">
        <v>472000</v>
      </c>
      <c r="N74">
        <v>0</v>
      </c>
      <c r="O74">
        <v>1785</v>
      </c>
      <c r="P74" t="s">
        <v>102</v>
      </c>
      <c r="Q74">
        <v>0</v>
      </c>
      <c r="R74">
        <v>0</v>
      </c>
      <c r="S74" t="s">
        <v>102</v>
      </c>
      <c r="T74">
        <v>0</v>
      </c>
      <c r="U74">
        <v>0</v>
      </c>
      <c r="V74" t="s">
        <v>102</v>
      </c>
      <c r="W74" t="s">
        <v>2195</v>
      </c>
      <c r="X74" t="s">
        <v>679</v>
      </c>
      <c r="Y74" t="s">
        <v>2196</v>
      </c>
      <c r="Z74" t="s">
        <v>2197</v>
      </c>
      <c r="AA74" t="s">
        <v>2198</v>
      </c>
      <c r="AB74" t="s">
        <v>102</v>
      </c>
      <c r="AC74" t="s">
        <v>2199</v>
      </c>
      <c r="AD74" t="s">
        <v>102</v>
      </c>
      <c r="AE74" t="s">
        <v>2200</v>
      </c>
      <c r="AF74" t="s">
        <v>102</v>
      </c>
      <c r="AG74" t="s">
        <v>2201</v>
      </c>
      <c r="AH74" t="s">
        <v>102</v>
      </c>
      <c r="AI74" t="s">
        <v>102</v>
      </c>
      <c r="AJ74" t="s">
        <v>578</v>
      </c>
      <c r="AK74" t="s">
        <v>578</v>
      </c>
      <c r="AL74" t="s">
        <v>2195</v>
      </c>
      <c r="AM74" t="s">
        <v>102</v>
      </c>
      <c r="AN74" t="s">
        <v>2195</v>
      </c>
      <c r="AO74" t="s">
        <v>2202</v>
      </c>
      <c r="AP74" t="s">
        <v>2202</v>
      </c>
      <c r="AQ74" t="s">
        <v>102</v>
      </c>
      <c r="AR74" t="s">
        <v>102</v>
      </c>
      <c r="AS74" t="s">
        <v>102</v>
      </c>
      <c r="AT74" t="s">
        <v>102</v>
      </c>
      <c r="AU74" t="s">
        <v>588</v>
      </c>
      <c r="AV74" t="s">
        <v>2203</v>
      </c>
      <c r="AW74" t="s">
        <v>102</v>
      </c>
      <c r="AX74" t="s">
        <v>119</v>
      </c>
      <c r="BB74" t="s">
        <v>120</v>
      </c>
      <c r="BC74" t="s">
        <v>2204</v>
      </c>
      <c r="BD74" t="s">
        <v>121</v>
      </c>
      <c r="BE74" t="s">
        <v>122</v>
      </c>
      <c r="BF74" t="s">
        <v>123</v>
      </c>
      <c r="BG74" t="s">
        <v>124</v>
      </c>
      <c r="BH74" t="s">
        <v>2205</v>
      </c>
      <c r="BI74" t="s">
        <v>2206</v>
      </c>
      <c r="BJ74" t="s">
        <v>2207</v>
      </c>
      <c r="BK74" t="s">
        <v>2208</v>
      </c>
      <c r="BL74" t="s">
        <v>2209</v>
      </c>
      <c r="BM74" t="s">
        <v>2210</v>
      </c>
      <c r="BN74" t="s">
        <v>2192</v>
      </c>
      <c r="BO74" t="s">
        <v>2211</v>
      </c>
      <c r="BP74" t="s">
        <v>2212</v>
      </c>
      <c r="BQ74" t="s">
        <v>2213</v>
      </c>
      <c r="BR74" t="s">
        <v>2214</v>
      </c>
      <c r="BS74" t="s">
        <v>2215</v>
      </c>
      <c r="BT74" t="s">
        <v>2216</v>
      </c>
      <c r="BU74" t="s">
        <v>2217</v>
      </c>
      <c r="BV74" t="s">
        <v>2218</v>
      </c>
      <c r="BW74" t="s">
        <v>138</v>
      </c>
      <c r="BX74" t="s">
        <v>225</v>
      </c>
      <c r="BY74" t="s">
        <v>2219</v>
      </c>
      <c r="BZ74" t="s">
        <v>2220</v>
      </c>
      <c r="CA74" t="s">
        <v>2221</v>
      </c>
      <c r="CB74" t="s">
        <v>225</v>
      </c>
      <c r="CC74" t="s">
        <v>2222</v>
      </c>
      <c r="CD74" t="s">
        <v>2221</v>
      </c>
      <c r="CE74" t="s">
        <v>225</v>
      </c>
      <c r="CF74" t="s">
        <v>2222</v>
      </c>
      <c r="CG74" t="s">
        <v>2223</v>
      </c>
      <c r="CH74" t="s">
        <v>2224</v>
      </c>
      <c r="CJ74" t="s">
        <v>2225</v>
      </c>
      <c r="CK74" t="s">
        <v>2224</v>
      </c>
      <c r="CL74" t="s">
        <v>2204</v>
      </c>
      <c r="CM74" t="s">
        <v>2226</v>
      </c>
      <c r="CN74" t="s">
        <v>2225</v>
      </c>
      <c r="CP74" t="s">
        <v>2224</v>
      </c>
      <c r="CQ74" t="s">
        <v>2224</v>
      </c>
    </row>
    <row r="75" spans="1:95">
      <c r="A75" t="s">
        <v>149</v>
      </c>
      <c r="B75">
        <v>19282</v>
      </c>
      <c r="C75" t="s">
        <v>2227</v>
      </c>
      <c r="D75" t="str">
        <f>VLOOKUP(B75,'2025'!B:C,2,0)</f>
        <v>Aruna</v>
      </c>
      <c r="F75" t="s">
        <v>95</v>
      </c>
      <c r="G75" t="s">
        <v>2228</v>
      </c>
      <c r="H75" t="s">
        <v>193</v>
      </c>
      <c r="I75" t="s">
        <v>98</v>
      </c>
      <c r="J75" t="s">
        <v>2229</v>
      </c>
      <c r="K75" t="s">
        <v>100</v>
      </c>
      <c r="L75">
        <v>543686</v>
      </c>
      <c r="M75">
        <v>596694</v>
      </c>
      <c r="N75">
        <v>249199</v>
      </c>
      <c r="O75">
        <v>498</v>
      </c>
      <c r="P75" t="s">
        <v>364</v>
      </c>
      <c r="Q75">
        <v>0</v>
      </c>
      <c r="R75">
        <v>0</v>
      </c>
      <c r="T75">
        <v>294487</v>
      </c>
      <c r="U75">
        <v>139</v>
      </c>
      <c r="V75" t="s">
        <v>2166</v>
      </c>
      <c r="W75" t="s">
        <v>102</v>
      </c>
      <c r="X75" t="s">
        <v>679</v>
      </c>
      <c r="Y75" t="s">
        <v>155</v>
      </c>
      <c r="Z75" t="s">
        <v>1500</v>
      </c>
      <c r="AA75" t="s">
        <v>2167</v>
      </c>
      <c r="AB75" t="s">
        <v>2230</v>
      </c>
      <c r="AC75" t="s">
        <v>2169</v>
      </c>
      <c r="AD75" t="s">
        <v>2230</v>
      </c>
      <c r="AE75" t="s">
        <v>2170</v>
      </c>
      <c r="AF75" t="s">
        <v>2230</v>
      </c>
      <c r="AG75" t="s">
        <v>2171</v>
      </c>
      <c r="AH75" t="s">
        <v>2230</v>
      </c>
      <c r="AI75" t="s">
        <v>2231</v>
      </c>
      <c r="AJ75" t="s">
        <v>1236</v>
      </c>
      <c r="AK75" t="s">
        <v>2232</v>
      </c>
      <c r="AL75" t="s">
        <v>2233</v>
      </c>
      <c r="AM75" t="s">
        <v>2234</v>
      </c>
      <c r="AN75" t="s">
        <v>2235</v>
      </c>
      <c r="AO75" t="s">
        <v>2236</v>
      </c>
      <c r="AP75" t="s">
        <v>2236</v>
      </c>
      <c r="AU75" t="s">
        <v>247</v>
      </c>
      <c r="AV75" t="s">
        <v>250</v>
      </c>
      <c r="AW75" t="s">
        <v>102</v>
      </c>
      <c r="AX75" t="s">
        <v>119</v>
      </c>
      <c r="BA75" t="s">
        <v>250</v>
      </c>
      <c r="BB75" t="s">
        <v>209</v>
      </c>
      <c r="BC75" t="s">
        <v>920</v>
      </c>
      <c r="BD75" t="s">
        <v>211</v>
      </c>
      <c r="BE75" t="s">
        <v>212</v>
      </c>
      <c r="BF75" t="s">
        <v>213</v>
      </c>
      <c r="BG75" t="s">
        <v>124</v>
      </c>
      <c r="BH75" t="s">
        <v>214</v>
      </c>
      <c r="BI75" t="s">
        <v>625</v>
      </c>
      <c r="BJ75" t="s">
        <v>127</v>
      </c>
      <c r="BK75" t="s">
        <v>2237</v>
      </c>
      <c r="BL75" t="s">
        <v>2238</v>
      </c>
      <c r="BM75" t="s">
        <v>2239</v>
      </c>
      <c r="BN75" t="s">
        <v>2228</v>
      </c>
      <c r="BO75" t="s">
        <v>2240</v>
      </c>
      <c r="BP75" t="s">
        <v>180</v>
      </c>
      <c r="BQ75" t="s">
        <v>2241</v>
      </c>
      <c r="BR75" t="s">
        <v>2242</v>
      </c>
      <c r="BS75" t="s">
        <v>2151</v>
      </c>
      <c r="BU75" t="s">
        <v>2243</v>
      </c>
      <c r="BV75" t="s">
        <v>2244</v>
      </c>
      <c r="BW75" t="s">
        <v>138</v>
      </c>
      <c r="BX75" t="s">
        <v>2245</v>
      </c>
      <c r="BY75" t="s">
        <v>2246</v>
      </c>
      <c r="BZ75" t="s">
        <v>958</v>
      </c>
      <c r="CA75" t="s">
        <v>2244</v>
      </c>
      <c r="CB75" t="s">
        <v>2245</v>
      </c>
      <c r="CC75" t="s">
        <v>2246</v>
      </c>
      <c r="CG75" t="s">
        <v>102</v>
      </c>
      <c r="CH75" t="s">
        <v>2247</v>
      </c>
      <c r="CJ75" t="s">
        <v>2248</v>
      </c>
      <c r="CK75" t="s">
        <v>2247</v>
      </c>
      <c r="CL75" t="s">
        <v>920</v>
      </c>
      <c r="CM75" t="s">
        <v>211</v>
      </c>
      <c r="CN75" t="s">
        <v>2248</v>
      </c>
      <c r="CO75" t="s">
        <v>2190</v>
      </c>
      <c r="CP75" t="s">
        <v>2247</v>
      </c>
      <c r="CQ75" t="s">
        <v>2247</v>
      </c>
    </row>
    <row r="76" spans="1:95">
      <c r="A76" t="s">
        <v>495</v>
      </c>
      <c r="B76">
        <v>1933</v>
      </c>
      <c r="C76" t="s">
        <v>2249</v>
      </c>
      <c r="D76" t="str">
        <f>VLOOKUP(B76,'2025'!B:C,2,0)</f>
        <v>Ishita Jethwa</v>
      </c>
      <c r="F76" t="s">
        <v>95</v>
      </c>
      <c r="G76" t="s">
        <v>1845</v>
      </c>
      <c r="H76" t="s">
        <v>152</v>
      </c>
      <c r="I76" t="s">
        <v>98</v>
      </c>
      <c r="J76" t="s">
        <v>2250</v>
      </c>
      <c r="K76" t="s">
        <v>100</v>
      </c>
      <c r="L76">
        <v>1739243</v>
      </c>
      <c r="M76">
        <v>1739243</v>
      </c>
      <c r="N76">
        <v>0</v>
      </c>
      <c r="O76">
        <v>0</v>
      </c>
      <c r="Q76">
        <v>1739243</v>
      </c>
      <c r="R76">
        <v>1023</v>
      </c>
      <c r="S76" t="s">
        <v>1469</v>
      </c>
      <c r="T76">
        <v>0</v>
      </c>
      <c r="U76">
        <v>0</v>
      </c>
      <c r="W76" t="s">
        <v>102</v>
      </c>
      <c r="X76" t="s">
        <v>103</v>
      </c>
      <c r="Y76" t="s">
        <v>104</v>
      </c>
      <c r="AA76" t="s">
        <v>96</v>
      </c>
      <c r="AB76" t="s">
        <v>2251</v>
      </c>
      <c r="AC76" t="s">
        <v>2252</v>
      </c>
      <c r="AD76" t="s">
        <v>2251</v>
      </c>
      <c r="AE76" t="s">
        <v>109</v>
      </c>
      <c r="AF76" t="s">
        <v>102</v>
      </c>
      <c r="AG76" t="s">
        <v>109</v>
      </c>
      <c r="AH76" t="s">
        <v>102</v>
      </c>
      <c r="AI76" t="s">
        <v>2253</v>
      </c>
      <c r="AJ76" t="s">
        <v>1159</v>
      </c>
      <c r="AK76" t="s">
        <v>1201</v>
      </c>
      <c r="AL76" t="s">
        <v>2254</v>
      </c>
      <c r="AM76" t="s">
        <v>2255</v>
      </c>
      <c r="AN76" t="s">
        <v>2256</v>
      </c>
      <c r="AO76" t="s">
        <v>2257</v>
      </c>
      <c r="AP76" t="s">
        <v>2257</v>
      </c>
      <c r="AU76" t="s">
        <v>102</v>
      </c>
      <c r="AW76" t="s">
        <v>155</v>
      </c>
      <c r="AX76" t="s">
        <v>119</v>
      </c>
      <c r="AY76" t="s">
        <v>170</v>
      </c>
      <c r="AZ76" t="s">
        <v>118</v>
      </c>
      <c r="BB76" t="s">
        <v>1964</v>
      </c>
      <c r="BC76" t="s">
        <v>2258</v>
      </c>
      <c r="BD76" t="s">
        <v>730</v>
      </c>
      <c r="BE76" t="s">
        <v>622</v>
      </c>
      <c r="BF76" t="s">
        <v>730</v>
      </c>
      <c r="BG76" t="s">
        <v>124</v>
      </c>
      <c r="BH76" t="s">
        <v>214</v>
      </c>
      <c r="BI76" t="s">
        <v>625</v>
      </c>
      <c r="BJ76" t="s">
        <v>127</v>
      </c>
      <c r="BK76" t="s">
        <v>2259</v>
      </c>
      <c r="BL76" t="s">
        <v>2260</v>
      </c>
      <c r="BM76" t="s">
        <v>2261</v>
      </c>
      <c r="BN76" t="s">
        <v>1845</v>
      </c>
      <c r="BO76" t="s">
        <v>2262</v>
      </c>
      <c r="BP76" t="s">
        <v>350</v>
      </c>
      <c r="BQ76" t="s">
        <v>2263</v>
      </c>
      <c r="BR76" t="s">
        <v>2264</v>
      </c>
      <c r="BS76" t="s">
        <v>737</v>
      </c>
      <c r="BU76" t="s">
        <v>2265</v>
      </c>
      <c r="BV76" t="s">
        <v>2266</v>
      </c>
      <c r="BW76" t="s">
        <v>354</v>
      </c>
      <c r="BX76" t="s">
        <v>2267</v>
      </c>
      <c r="BY76" t="s">
        <v>2268</v>
      </c>
      <c r="BZ76" t="s">
        <v>2269</v>
      </c>
      <c r="CG76" t="s">
        <v>2270</v>
      </c>
      <c r="CH76" t="s">
        <v>2271</v>
      </c>
      <c r="CJ76" t="s">
        <v>2272</v>
      </c>
      <c r="CK76" t="s">
        <v>2271</v>
      </c>
      <c r="CL76" t="s">
        <v>2258</v>
      </c>
      <c r="CM76" t="s">
        <v>2273</v>
      </c>
      <c r="CN76" t="s">
        <v>2272</v>
      </c>
      <c r="CO76" t="s">
        <v>2274</v>
      </c>
      <c r="CP76" t="s">
        <v>2271</v>
      </c>
      <c r="CQ76" t="s">
        <v>2271</v>
      </c>
    </row>
    <row r="77" spans="1:95">
      <c r="A77" t="s">
        <v>337</v>
      </c>
      <c r="B77">
        <v>195591</v>
      </c>
      <c r="C77" t="s">
        <v>2275</v>
      </c>
      <c r="E77" s="4" t="s">
        <v>17377</v>
      </c>
      <c r="F77" t="s">
        <v>95</v>
      </c>
      <c r="G77" t="s">
        <v>2276</v>
      </c>
      <c r="H77" t="s">
        <v>97</v>
      </c>
      <c r="I77" t="s">
        <v>98</v>
      </c>
      <c r="J77" t="s">
        <v>2277</v>
      </c>
      <c r="K77" t="s">
        <v>100</v>
      </c>
      <c r="L77">
        <v>224028</v>
      </c>
      <c r="M77">
        <v>224028</v>
      </c>
      <c r="N77">
        <v>224028</v>
      </c>
      <c r="O77">
        <v>280</v>
      </c>
      <c r="P77" t="s">
        <v>1297</v>
      </c>
      <c r="Q77">
        <v>0</v>
      </c>
      <c r="R77">
        <v>0</v>
      </c>
      <c r="T77">
        <v>0</v>
      </c>
      <c r="U77">
        <v>0</v>
      </c>
      <c r="W77" t="s">
        <v>102</v>
      </c>
      <c r="X77" t="s">
        <v>275</v>
      </c>
      <c r="Z77" t="s">
        <v>685</v>
      </c>
      <c r="AA77" t="s">
        <v>109</v>
      </c>
      <c r="AB77" t="s">
        <v>102</v>
      </c>
      <c r="AC77" t="s">
        <v>109</v>
      </c>
      <c r="AD77" t="s">
        <v>102</v>
      </c>
      <c r="AE77" t="s">
        <v>109</v>
      </c>
      <c r="AF77" t="s">
        <v>102</v>
      </c>
      <c r="AG77" t="s">
        <v>109</v>
      </c>
      <c r="AH77" t="s">
        <v>102</v>
      </c>
      <c r="AI77" t="s">
        <v>102</v>
      </c>
      <c r="AJ77" t="s">
        <v>723</v>
      </c>
      <c r="AK77" t="s">
        <v>723</v>
      </c>
      <c r="AL77" t="s">
        <v>2278</v>
      </c>
      <c r="AM77" t="s">
        <v>2279</v>
      </c>
      <c r="AN77" t="s">
        <v>2280</v>
      </c>
      <c r="AO77" t="s">
        <v>168</v>
      </c>
      <c r="AP77" t="s">
        <v>168</v>
      </c>
      <c r="AU77" t="s">
        <v>117</v>
      </c>
      <c r="AV77" t="s">
        <v>118</v>
      </c>
      <c r="AW77" t="s">
        <v>102</v>
      </c>
      <c r="AX77" t="s">
        <v>119</v>
      </c>
      <c r="BB77" t="s">
        <v>209</v>
      </c>
      <c r="BC77" t="s">
        <v>623</v>
      </c>
      <c r="BD77" t="s">
        <v>621</v>
      </c>
      <c r="BE77" t="s">
        <v>622</v>
      </c>
      <c r="BF77" t="s">
        <v>623</v>
      </c>
      <c r="BG77" t="s">
        <v>124</v>
      </c>
      <c r="BH77" t="s">
        <v>1571</v>
      </c>
      <c r="BI77" t="s">
        <v>126</v>
      </c>
      <c r="BJ77" t="s">
        <v>127</v>
      </c>
      <c r="BK77" t="s">
        <v>2281</v>
      </c>
      <c r="BL77" t="s">
        <v>2282</v>
      </c>
      <c r="BM77" t="s">
        <v>2283</v>
      </c>
      <c r="BN77" t="s">
        <v>2276</v>
      </c>
      <c r="BO77" t="s">
        <v>2284</v>
      </c>
      <c r="BP77" t="s">
        <v>132</v>
      </c>
      <c r="BQ77" t="s">
        <v>2285</v>
      </c>
      <c r="BR77" t="s">
        <v>2286</v>
      </c>
      <c r="BS77" t="s">
        <v>507</v>
      </c>
      <c r="BT77" t="s">
        <v>632</v>
      </c>
      <c r="BU77" t="s">
        <v>2287</v>
      </c>
      <c r="BV77" t="s">
        <v>2288</v>
      </c>
      <c r="BW77" t="s">
        <v>598</v>
      </c>
      <c r="BX77" t="s">
        <v>2289</v>
      </c>
      <c r="BY77" t="s">
        <v>2290</v>
      </c>
      <c r="BZ77" t="s">
        <v>2291</v>
      </c>
      <c r="CA77" t="s">
        <v>2288</v>
      </c>
      <c r="CB77" t="s">
        <v>2292</v>
      </c>
      <c r="CC77" t="s">
        <v>2290</v>
      </c>
      <c r="CD77" t="s">
        <v>2293</v>
      </c>
      <c r="CE77" t="s">
        <v>2289</v>
      </c>
      <c r="CF77" t="s">
        <v>2294</v>
      </c>
      <c r="CG77" t="s">
        <v>907</v>
      </c>
      <c r="CH77" t="s">
        <v>2295</v>
      </c>
      <c r="CJ77" t="s">
        <v>2296</v>
      </c>
      <c r="CK77" t="s">
        <v>2295</v>
      </c>
      <c r="CL77" t="s">
        <v>623</v>
      </c>
      <c r="CM77" t="s">
        <v>621</v>
      </c>
      <c r="CN77" t="s">
        <v>2296</v>
      </c>
      <c r="CP77" t="s">
        <v>2295</v>
      </c>
      <c r="CQ77" t="s">
        <v>2295</v>
      </c>
    </row>
    <row r="78" spans="1:95">
      <c r="A78" t="s">
        <v>149</v>
      </c>
      <c r="B78">
        <v>19872</v>
      </c>
      <c r="C78" t="s">
        <v>2297</v>
      </c>
      <c r="D78" t="str">
        <f>VLOOKUP(B78,'2025'!B:C,2,0)</f>
        <v>Vineeth T V</v>
      </c>
      <c r="F78" t="s">
        <v>95</v>
      </c>
      <c r="G78" t="s">
        <v>2298</v>
      </c>
      <c r="H78" t="s">
        <v>97</v>
      </c>
      <c r="I78" t="s">
        <v>98</v>
      </c>
      <c r="J78" t="s">
        <v>2299</v>
      </c>
      <c r="K78" t="s">
        <v>100</v>
      </c>
      <c r="L78">
        <v>1060894</v>
      </c>
      <c r="M78">
        <v>1060894</v>
      </c>
      <c r="N78">
        <v>1060894</v>
      </c>
      <c r="O78">
        <v>2122</v>
      </c>
      <c r="P78" t="s">
        <v>364</v>
      </c>
      <c r="Q78">
        <v>0</v>
      </c>
      <c r="R78">
        <v>0</v>
      </c>
      <c r="T78">
        <v>0</v>
      </c>
      <c r="U78">
        <v>0</v>
      </c>
      <c r="W78" t="s">
        <v>102</v>
      </c>
      <c r="X78" t="s">
        <v>103</v>
      </c>
      <c r="Y78" t="s">
        <v>104</v>
      </c>
      <c r="AA78" t="s">
        <v>1493</v>
      </c>
      <c r="AB78" t="s">
        <v>2300</v>
      </c>
      <c r="AC78" t="s">
        <v>501</v>
      </c>
      <c r="AD78" t="s">
        <v>2301</v>
      </c>
      <c r="AE78" t="s">
        <v>109</v>
      </c>
      <c r="AF78" t="s">
        <v>102</v>
      </c>
      <c r="AG78" t="s">
        <v>109</v>
      </c>
      <c r="AH78" t="s">
        <v>102</v>
      </c>
      <c r="AI78" t="s">
        <v>2302</v>
      </c>
      <c r="AJ78" t="s">
        <v>2303</v>
      </c>
      <c r="AK78" t="s">
        <v>2304</v>
      </c>
      <c r="AL78" t="s">
        <v>2305</v>
      </c>
      <c r="AM78" t="s">
        <v>2306</v>
      </c>
      <c r="AN78" t="s">
        <v>1758</v>
      </c>
      <c r="AO78" t="s">
        <v>2307</v>
      </c>
      <c r="AP78" t="s">
        <v>2307</v>
      </c>
      <c r="AU78" t="s">
        <v>318</v>
      </c>
      <c r="AV78" t="s">
        <v>118</v>
      </c>
      <c r="AW78" t="s">
        <v>102</v>
      </c>
      <c r="AX78" t="s">
        <v>119</v>
      </c>
      <c r="BB78" t="s">
        <v>120</v>
      </c>
      <c r="BC78" t="s">
        <v>409</v>
      </c>
      <c r="BD78" t="s">
        <v>410</v>
      </c>
      <c r="BE78" t="s">
        <v>212</v>
      </c>
      <c r="BF78" t="s">
        <v>410</v>
      </c>
      <c r="BG78" t="s">
        <v>124</v>
      </c>
      <c r="BH78" t="s">
        <v>214</v>
      </c>
      <c r="BI78" t="s">
        <v>126</v>
      </c>
      <c r="BJ78" t="s">
        <v>127</v>
      </c>
      <c r="BK78" t="s">
        <v>2308</v>
      </c>
      <c r="BL78" t="s">
        <v>2309</v>
      </c>
      <c r="BM78" t="s">
        <v>2310</v>
      </c>
      <c r="BN78" t="s">
        <v>2298</v>
      </c>
      <c r="BO78" t="s">
        <v>415</v>
      </c>
      <c r="BP78" t="s">
        <v>132</v>
      </c>
      <c r="BQ78" t="s">
        <v>416</v>
      </c>
      <c r="BR78" t="s">
        <v>417</v>
      </c>
      <c r="BS78" t="s">
        <v>222</v>
      </c>
      <c r="BU78" t="s">
        <v>2311</v>
      </c>
      <c r="BV78" t="s">
        <v>2312</v>
      </c>
      <c r="BW78" t="s">
        <v>598</v>
      </c>
      <c r="BX78" t="s">
        <v>2313</v>
      </c>
      <c r="BY78" t="s">
        <v>2314</v>
      </c>
      <c r="BZ78" t="s">
        <v>2315</v>
      </c>
      <c r="CB78" t="s">
        <v>2316</v>
      </c>
      <c r="CG78" t="s">
        <v>102</v>
      </c>
      <c r="CH78" t="s">
        <v>2317</v>
      </c>
      <c r="CJ78" t="s">
        <v>2318</v>
      </c>
      <c r="CK78" t="s">
        <v>2317</v>
      </c>
      <c r="CL78" t="s">
        <v>409</v>
      </c>
      <c r="CM78" t="s">
        <v>410</v>
      </c>
      <c r="CN78" t="s">
        <v>2318</v>
      </c>
      <c r="CO78" t="s">
        <v>2319</v>
      </c>
      <c r="CP78" t="s">
        <v>2317</v>
      </c>
      <c r="CQ78" t="s">
        <v>2317</v>
      </c>
    </row>
    <row r="79" spans="1:95">
      <c r="A79" t="s">
        <v>93</v>
      </c>
      <c r="B79">
        <v>199355</v>
      </c>
      <c r="C79" t="s">
        <v>2320</v>
      </c>
      <c r="E79" s="4" t="s">
        <v>17377</v>
      </c>
      <c r="F79" t="s">
        <v>95</v>
      </c>
      <c r="G79" t="s">
        <v>499</v>
      </c>
      <c r="H79" t="s">
        <v>97</v>
      </c>
      <c r="I79" t="s">
        <v>98</v>
      </c>
      <c r="J79" t="s">
        <v>2321</v>
      </c>
      <c r="K79" t="s">
        <v>100</v>
      </c>
      <c r="L79">
        <v>79380</v>
      </c>
      <c r="M79">
        <v>79380</v>
      </c>
      <c r="N79">
        <v>79380</v>
      </c>
      <c r="O79">
        <v>147</v>
      </c>
      <c r="P79" t="s">
        <v>2322</v>
      </c>
      <c r="Q79">
        <v>0</v>
      </c>
      <c r="R79">
        <v>0</v>
      </c>
      <c r="T79">
        <v>0</v>
      </c>
      <c r="U79">
        <v>0</v>
      </c>
      <c r="W79" t="s">
        <v>102</v>
      </c>
      <c r="X79" t="s">
        <v>275</v>
      </c>
      <c r="Z79" t="s">
        <v>2323</v>
      </c>
      <c r="AA79" t="s">
        <v>109</v>
      </c>
      <c r="AB79" t="s">
        <v>102</v>
      </c>
      <c r="AC79" t="s">
        <v>109</v>
      </c>
      <c r="AD79" t="s">
        <v>102</v>
      </c>
      <c r="AE79" t="s">
        <v>109</v>
      </c>
      <c r="AF79" t="s">
        <v>102</v>
      </c>
      <c r="AG79" t="s">
        <v>109</v>
      </c>
      <c r="AH79" t="s">
        <v>102</v>
      </c>
      <c r="AI79" t="s">
        <v>102</v>
      </c>
      <c r="AJ79" t="s">
        <v>2324</v>
      </c>
      <c r="AK79" t="s">
        <v>2324</v>
      </c>
      <c r="AL79" t="s">
        <v>2325</v>
      </c>
      <c r="AM79" t="s">
        <v>2325</v>
      </c>
      <c r="AN79" t="s">
        <v>102</v>
      </c>
      <c r="AO79" t="s">
        <v>2326</v>
      </c>
      <c r="AP79" t="s">
        <v>2326</v>
      </c>
      <c r="AU79" t="s">
        <v>117</v>
      </c>
      <c r="AV79" t="s">
        <v>118</v>
      </c>
      <c r="AW79" t="s">
        <v>102</v>
      </c>
      <c r="AX79" t="s">
        <v>119</v>
      </c>
      <c r="BB79" t="s">
        <v>209</v>
      </c>
      <c r="BC79" t="s">
        <v>2327</v>
      </c>
      <c r="BD79" t="s">
        <v>730</v>
      </c>
      <c r="BE79" t="s">
        <v>622</v>
      </c>
      <c r="BF79" t="s">
        <v>730</v>
      </c>
      <c r="BG79" t="s">
        <v>124</v>
      </c>
      <c r="BH79" t="s">
        <v>499</v>
      </c>
      <c r="BI79" t="s">
        <v>411</v>
      </c>
      <c r="BJ79" t="s">
        <v>127</v>
      </c>
      <c r="BK79" t="s">
        <v>2328</v>
      </c>
      <c r="BL79" t="s">
        <v>2329</v>
      </c>
      <c r="BM79" t="s">
        <v>2330</v>
      </c>
      <c r="BN79" t="s">
        <v>499</v>
      </c>
      <c r="BO79" t="s">
        <v>2262</v>
      </c>
      <c r="BP79" t="s">
        <v>350</v>
      </c>
      <c r="BQ79" t="s">
        <v>2263</v>
      </c>
      <c r="BR79" t="s">
        <v>2264</v>
      </c>
      <c r="BS79" t="s">
        <v>2331</v>
      </c>
      <c r="BT79" t="s">
        <v>2332</v>
      </c>
      <c r="BU79" t="s">
        <v>2333</v>
      </c>
      <c r="BV79" t="s">
        <v>2334</v>
      </c>
      <c r="BW79" t="s">
        <v>598</v>
      </c>
      <c r="BX79" t="s">
        <v>2335</v>
      </c>
      <c r="BY79" t="s">
        <v>2336</v>
      </c>
      <c r="BZ79" t="s">
        <v>2335</v>
      </c>
      <c r="CA79" t="s">
        <v>2337</v>
      </c>
      <c r="CB79" t="s">
        <v>2338</v>
      </c>
      <c r="CC79" t="s">
        <v>2339</v>
      </c>
      <c r="CD79" t="s">
        <v>2334</v>
      </c>
      <c r="CE79" t="s">
        <v>2335</v>
      </c>
      <c r="CF79" t="s">
        <v>2340</v>
      </c>
      <c r="CG79" t="s">
        <v>1538</v>
      </c>
      <c r="CH79" t="s">
        <v>2341</v>
      </c>
      <c r="CJ79" t="s">
        <v>2342</v>
      </c>
      <c r="CK79" t="s">
        <v>2341</v>
      </c>
      <c r="CL79" t="s">
        <v>2327</v>
      </c>
      <c r="CM79" t="s">
        <v>730</v>
      </c>
      <c r="CN79" t="s">
        <v>2342</v>
      </c>
      <c r="CO79" t="s">
        <v>2343</v>
      </c>
      <c r="CP79" t="s">
        <v>2341</v>
      </c>
      <c r="CQ79" t="s">
        <v>2341</v>
      </c>
    </row>
    <row r="80" spans="1:95">
      <c r="A80" t="s">
        <v>149</v>
      </c>
      <c r="B80">
        <v>19966</v>
      </c>
      <c r="C80" t="s">
        <v>2344</v>
      </c>
      <c r="D80" t="str">
        <f>VLOOKUP(B80,'2025'!B:C,2,0)</f>
        <v>Vineeth T V</v>
      </c>
      <c r="F80" t="s">
        <v>95</v>
      </c>
      <c r="G80" t="s">
        <v>2298</v>
      </c>
      <c r="H80" t="s">
        <v>97</v>
      </c>
      <c r="I80" t="s">
        <v>98</v>
      </c>
      <c r="J80" t="s">
        <v>2345</v>
      </c>
      <c r="K80" t="s">
        <v>100</v>
      </c>
      <c r="L80">
        <v>59012</v>
      </c>
      <c r="M80">
        <v>59012</v>
      </c>
      <c r="N80">
        <v>59012</v>
      </c>
      <c r="O80">
        <v>118</v>
      </c>
      <c r="P80" t="s">
        <v>364</v>
      </c>
      <c r="Q80">
        <v>0</v>
      </c>
      <c r="R80">
        <v>0</v>
      </c>
      <c r="T80">
        <v>0</v>
      </c>
      <c r="U80">
        <v>0</v>
      </c>
      <c r="W80" t="s">
        <v>102</v>
      </c>
      <c r="X80" t="s">
        <v>103</v>
      </c>
      <c r="Y80" t="s">
        <v>104</v>
      </c>
      <c r="AA80" t="s">
        <v>1493</v>
      </c>
      <c r="AB80" t="s">
        <v>2346</v>
      </c>
      <c r="AC80" t="s">
        <v>501</v>
      </c>
      <c r="AD80" t="s">
        <v>2347</v>
      </c>
      <c r="AE80" t="s">
        <v>109</v>
      </c>
      <c r="AF80" t="s">
        <v>102</v>
      </c>
      <c r="AG80" t="s">
        <v>109</v>
      </c>
      <c r="AH80" t="s">
        <v>102</v>
      </c>
      <c r="AI80" t="s">
        <v>2348</v>
      </c>
      <c r="AJ80" t="s">
        <v>2349</v>
      </c>
      <c r="AK80" t="s">
        <v>2349</v>
      </c>
      <c r="AL80" t="s">
        <v>2350</v>
      </c>
      <c r="AM80" t="s">
        <v>2351</v>
      </c>
      <c r="AN80" t="s">
        <v>2352</v>
      </c>
      <c r="AO80" t="s">
        <v>2353</v>
      </c>
      <c r="AP80" t="s">
        <v>2353</v>
      </c>
      <c r="AU80" t="s">
        <v>318</v>
      </c>
      <c r="AV80" t="s">
        <v>118</v>
      </c>
      <c r="AW80" t="s">
        <v>102</v>
      </c>
      <c r="AX80" t="s">
        <v>119</v>
      </c>
      <c r="BB80" t="s">
        <v>120</v>
      </c>
      <c r="BC80" t="s">
        <v>409</v>
      </c>
      <c r="BD80" t="s">
        <v>410</v>
      </c>
      <c r="BE80" t="s">
        <v>212</v>
      </c>
      <c r="BF80" t="s">
        <v>410</v>
      </c>
      <c r="BG80" t="s">
        <v>124</v>
      </c>
      <c r="BH80" t="s">
        <v>214</v>
      </c>
      <c r="BI80" t="s">
        <v>126</v>
      </c>
      <c r="BJ80" t="s">
        <v>127</v>
      </c>
      <c r="BK80" t="s">
        <v>2354</v>
      </c>
      <c r="BL80" t="s">
        <v>2355</v>
      </c>
      <c r="BM80" t="s">
        <v>2356</v>
      </c>
      <c r="BN80" t="s">
        <v>2298</v>
      </c>
      <c r="BO80" t="s">
        <v>415</v>
      </c>
      <c r="BP80" t="s">
        <v>132</v>
      </c>
      <c r="BQ80" t="s">
        <v>416</v>
      </c>
      <c r="BR80" t="s">
        <v>417</v>
      </c>
      <c r="BS80" t="s">
        <v>222</v>
      </c>
      <c r="BU80" t="s">
        <v>2357</v>
      </c>
      <c r="BV80" t="s">
        <v>2312</v>
      </c>
      <c r="BW80" t="s">
        <v>598</v>
      </c>
      <c r="BX80" t="s">
        <v>2313</v>
      </c>
      <c r="BY80" t="s">
        <v>2314</v>
      </c>
      <c r="BZ80" t="s">
        <v>2358</v>
      </c>
      <c r="CB80" t="s">
        <v>2358</v>
      </c>
      <c r="CG80" t="s">
        <v>102</v>
      </c>
      <c r="CH80" t="s">
        <v>2359</v>
      </c>
      <c r="CJ80" t="s">
        <v>2360</v>
      </c>
      <c r="CK80" t="s">
        <v>2359</v>
      </c>
      <c r="CL80" t="s">
        <v>409</v>
      </c>
      <c r="CM80" t="s">
        <v>410</v>
      </c>
      <c r="CN80" t="s">
        <v>2360</v>
      </c>
      <c r="CO80" t="s">
        <v>2319</v>
      </c>
      <c r="CP80" t="s">
        <v>2359</v>
      </c>
      <c r="CQ80" t="s">
        <v>2359</v>
      </c>
    </row>
    <row r="81" spans="1:95">
      <c r="A81" t="s">
        <v>149</v>
      </c>
      <c r="B81">
        <v>2009619</v>
      </c>
      <c r="C81" t="s">
        <v>2361</v>
      </c>
      <c r="D81" t="str">
        <f>VLOOKUP(B81,'2025'!B:C,2,0)</f>
        <v>Rohit</v>
      </c>
      <c r="F81" t="s">
        <v>95</v>
      </c>
      <c r="G81" t="s">
        <v>162</v>
      </c>
      <c r="H81" t="s">
        <v>152</v>
      </c>
      <c r="I81" t="s">
        <v>98</v>
      </c>
      <c r="J81" t="s">
        <v>2362</v>
      </c>
      <c r="K81" t="s">
        <v>100</v>
      </c>
      <c r="L81">
        <v>170483</v>
      </c>
      <c r="M81">
        <v>170483</v>
      </c>
      <c r="N81">
        <v>0</v>
      </c>
      <c r="O81">
        <v>0</v>
      </c>
      <c r="Q81">
        <v>170483</v>
      </c>
      <c r="R81">
        <v>262</v>
      </c>
      <c r="S81" t="s">
        <v>2363</v>
      </c>
      <c r="T81">
        <v>0</v>
      </c>
      <c r="U81">
        <v>0</v>
      </c>
      <c r="W81" t="s">
        <v>102</v>
      </c>
      <c r="X81" t="s">
        <v>103</v>
      </c>
      <c r="Y81" t="s">
        <v>398</v>
      </c>
      <c r="AA81" t="s">
        <v>2364</v>
      </c>
      <c r="AB81" t="s">
        <v>2365</v>
      </c>
      <c r="AC81" t="s">
        <v>1628</v>
      </c>
      <c r="AD81" t="s">
        <v>2366</v>
      </c>
      <c r="AE81" t="s">
        <v>915</v>
      </c>
      <c r="AF81" t="s">
        <v>2366</v>
      </c>
      <c r="AG81" t="s">
        <v>109</v>
      </c>
      <c r="AH81" t="s">
        <v>102</v>
      </c>
      <c r="AI81" t="s">
        <v>2367</v>
      </c>
      <c r="AJ81" t="s">
        <v>853</v>
      </c>
      <c r="AK81" t="s">
        <v>1827</v>
      </c>
      <c r="AL81" t="s">
        <v>2368</v>
      </c>
      <c r="AM81" t="s">
        <v>2369</v>
      </c>
      <c r="AN81" t="s">
        <v>2370</v>
      </c>
      <c r="AO81" t="s">
        <v>2371</v>
      </c>
      <c r="AP81" t="s">
        <v>2372</v>
      </c>
      <c r="AT81" t="s">
        <v>169</v>
      </c>
      <c r="AU81" t="s">
        <v>102</v>
      </c>
      <c r="AW81" t="s">
        <v>104</v>
      </c>
      <c r="AX81" t="s">
        <v>447</v>
      </c>
      <c r="AY81" t="s">
        <v>170</v>
      </c>
      <c r="AZ81" t="s">
        <v>118</v>
      </c>
      <c r="BB81" t="s">
        <v>120</v>
      </c>
      <c r="BC81" t="s">
        <v>2373</v>
      </c>
      <c r="BD81" t="s">
        <v>556</v>
      </c>
      <c r="BE81" t="s">
        <v>122</v>
      </c>
      <c r="BF81" t="s">
        <v>557</v>
      </c>
      <c r="BG81" t="s">
        <v>124</v>
      </c>
      <c r="BH81" t="s">
        <v>892</v>
      </c>
      <c r="BI81" t="s">
        <v>411</v>
      </c>
      <c r="BJ81" t="s">
        <v>127</v>
      </c>
      <c r="BK81" t="s">
        <v>2374</v>
      </c>
      <c r="BL81" t="s">
        <v>2375</v>
      </c>
      <c r="BM81" t="s">
        <v>2376</v>
      </c>
      <c r="BN81" t="s">
        <v>162</v>
      </c>
      <c r="BO81" t="s">
        <v>1733</v>
      </c>
      <c r="BP81" t="s">
        <v>350</v>
      </c>
      <c r="BQ81" t="s">
        <v>1734</v>
      </c>
      <c r="BR81" t="s">
        <v>1735</v>
      </c>
      <c r="BS81" t="s">
        <v>1075</v>
      </c>
      <c r="BU81" t="s">
        <v>2377</v>
      </c>
      <c r="BV81" t="s">
        <v>2378</v>
      </c>
      <c r="BW81" t="s">
        <v>138</v>
      </c>
      <c r="BX81" t="s">
        <v>2379</v>
      </c>
      <c r="BY81" t="s">
        <v>2380</v>
      </c>
      <c r="BZ81" t="s">
        <v>2381</v>
      </c>
      <c r="CG81" t="s">
        <v>102</v>
      </c>
      <c r="CH81" t="s">
        <v>2382</v>
      </c>
      <c r="CJ81" t="s">
        <v>2383</v>
      </c>
      <c r="CK81" t="s">
        <v>2382</v>
      </c>
      <c r="CL81" t="s">
        <v>2373</v>
      </c>
      <c r="CM81" t="s">
        <v>556</v>
      </c>
      <c r="CN81" t="s">
        <v>2383</v>
      </c>
      <c r="CO81" t="s">
        <v>1155</v>
      </c>
      <c r="CP81" t="s">
        <v>2382</v>
      </c>
      <c r="CQ81" t="s">
        <v>2382</v>
      </c>
    </row>
    <row r="82" spans="1:95">
      <c r="A82" t="s">
        <v>93</v>
      </c>
      <c r="B82">
        <v>20191</v>
      </c>
      <c r="C82" t="s">
        <v>2384</v>
      </c>
      <c r="D82" t="str">
        <f>VLOOKUP(B82,'2025'!B:C,2,0)</f>
        <v>Aruna</v>
      </c>
      <c r="F82" t="s">
        <v>95</v>
      </c>
      <c r="G82" t="s">
        <v>1848</v>
      </c>
      <c r="H82" t="s">
        <v>1746</v>
      </c>
      <c r="I82" t="s">
        <v>98</v>
      </c>
      <c r="J82" t="s">
        <v>2385</v>
      </c>
      <c r="K82" t="s">
        <v>100</v>
      </c>
      <c r="L82">
        <v>4383441</v>
      </c>
      <c r="M82">
        <v>4784194</v>
      </c>
      <c r="N82">
        <v>764356</v>
      </c>
      <c r="O82">
        <v>699</v>
      </c>
      <c r="P82" t="s">
        <v>2386</v>
      </c>
      <c r="Q82">
        <v>1392682</v>
      </c>
      <c r="R82">
        <v>796</v>
      </c>
      <c r="S82" t="s">
        <v>1376</v>
      </c>
      <c r="T82">
        <v>2226403</v>
      </c>
      <c r="U82">
        <v>1001</v>
      </c>
      <c r="V82" t="s">
        <v>2387</v>
      </c>
      <c r="W82" t="s">
        <v>102</v>
      </c>
      <c r="X82" t="s">
        <v>103</v>
      </c>
      <c r="Y82" t="s">
        <v>398</v>
      </c>
      <c r="AA82" t="s">
        <v>2388</v>
      </c>
      <c r="AB82" t="s">
        <v>2389</v>
      </c>
      <c r="AC82" t="s">
        <v>977</v>
      </c>
      <c r="AD82" t="s">
        <v>2390</v>
      </c>
      <c r="AE82" t="s">
        <v>2323</v>
      </c>
      <c r="AF82" t="s">
        <v>2390</v>
      </c>
      <c r="AG82" t="s">
        <v>109</v>
      </c>
      <c r="AH82" t="s">
        <v>102</v>
      </c>
      <c r="AI82" t="s">
        <v>2391</v>
      </c>
      <c r="AJ82" t="s">
        <v>883</v>
      </c>
      <c r="AK82" t="s">
        <v>2392</v>
      </c>
      <c r="AL82" t="s">
        <v>2393</v>
      </c>
      <c r="AM82" t="s">
        <v>2394</v>
      </c>
      <c r="AN82" t="s">
        <v>2395</v>
      </c>
      <c r="AO82" t="s">
        <v>2396</v>
      </c>
      <c r="AP82" t="s">
        <v>2397</v>
      </c>
      <c r="AR82" t="s">
        <v>169</v>
      </c>
      <c r="AS82" t="s">
        <v>169</v>
      </c>
      <c r="AT82" t="s">
        <v>169</v>
      </c>
      <c r="AU82" t="s">
        <v>117</v>
      </c>
      <c r="AV82" t="s">
        <v>118</v>
      </c>
      <c r="AW82" t="s">
        <v>155</v>
      </c>
      <c r="AX82" t="s">
        <v>119</v>
      </c>
      <c r="AZ82" t="s">
        <v>250</v>
      </c>
      <c r="BA82" t="s">
        <v>250</v>
      </c>
      <c r="BB82" t="s">
        <v>120</v>
      </c>
      <c r="BC82" t="s">
        <v>1786</v>
      </c>
      <c r="BD82" t="s">
        <v>410</v>
      </c>
      <c r="BE82" t="s">
        <v>212</v>
      </c>
      <c r="BF82" t="s">
        <v>213</v>
      </c>
      <c r="BG82" t="s">
        <v>124</v>
      </c>
      <c r="BH82" t="s">
        <v>238</v>
      </c>
      <c r="BI82" t="s">
        <v>126</v>
      </c>
      <c r="BJ82" t="s">
        <v>127</v>
      </c>
      <c r="BK82" t="s">
        <v>2398</v>
      </c>
      <c r="BL82" t="s">
        <v>2399</v>
      </c>
      <c r="BM82" t="s">
        <v>2400</v>
      </c>
      <c r="BN82" t="s">
        <v>1848</v>
      </c>
      <c r="BO82" t="s">
        <v>480</v>
      </c>
      <c r="BP82" t="s">
        <v>180</v>
      </c>
      <c r="BQ82" t="s">
        <v>481</v>
      </c>
      <c r="BR82" t="s">
        <v>482</v>
      </c>
      <c r="BS82" t="s">
        <v>2151</v>
      </c>
      <c r="BU82" t="s">
        <v>2401</v>
      </c>
      <c r="BV82" t="s">
        <v>2402</v>
      </c>
      <c r="BW82" t="s">
        <v>138</v>
      </c>
      <c r="BX82" t="s">
        <v>2403</v>
      </c>
      <c r="BY82" t="s">
        <v>2404</v>
      </c>
      <c r="BZ82" t="s">
        <v>2403</v>
      </c>
      <c r="CA82" t="s">
        <v>2402</v>
      </c>
      <c r="CB82" t="s">
        <v>2403</v>
      </c>
      <c r="CC82" t="s">
        <v>2404</v>
      </c>
      <c r="CG82" t="s">
        <v>2405</v>
      </c>
      <c r="CH82" t="s">
        <v>2406</v>
      </c>
      <c r="CJ82" t="s">
        <v>2407</v>
      </c>
      <c r="CK82" t="s">
        <v>2406</v>
      </c>
      <c r="CL82" t="s">
        <v>1786</v>
      </c>
      <c r="CM82" t="s">
        <v>410</v>
      </c>
      <c r="CN82" t="s">
        <v>2407</v>
      </c>
      <c r="CO82" t="s">
        <v>2408</v>
      </c>
      <c r="CP82" t="s">
        <v>2406</v>
      </c>
      <c r="CQ82" t="s">
        <v>2406</v>
      </c>
    </row>
    <row r="83" spans="1:95">
      <c r="A83" t="s">
        <v>337</v>
      </c>
      <c r="B83">
        <v>202033</v>
      </c>
      <c r="C83" t="s">
        <v>2409</v>
      </c>
      <c r="D83" t="str">
        <f>VLOOKUP(B83,'2025'!B:C,2,0)</f>
        <v>Aruna</v>
      </c>
      <c r="F83" t="s">
        <v>95</v>
      </c>
      <c r="G83" t="s">
        <v>542</v>
      </c>
      <c r="H83" t="s">
        <v>97</v>
      </c>
      <c r="I83" t="s">
        <v>98</v>
      </c>
      <c r="J83" t="s">
        <v>2410</v>
      </c>
      <c r="K83" t="s">
        <v>100</v>
      </c>
      <c r="L83">
        <v>201600</v>
      </c>
      <c r="M83">
        <v>201600</v>
      </c>
      <c r="N83">
        <v>201600</v>
      </c>
      <c r="O83">
        <v>168</v>
      </c>
      <c r="P83" t="s">
        <v>880</v>
      </c>
      <c r="Q83">
        <v>0</v>
      </c>
      <c r="R83">
        <v>0</v>
      </c>
      <c r="T83">
        <v>0</v>
      </c>
      <c r="U83">
        <v>0</v>
      </c>
      <c r="W83" t="s">
        <v>102</v>
      </c>
      <c r="X83" t="s">
        <v>103</v>
      </c>
      <c r="Y83" t="s">
        <v>104</v>
      </c>
      <c r="AA83" t="s">
        <v>125</v>
      </c>
      <c r="AB83" t="s">
        <v>2411</v>
      </c>
      <c r="AC83" t="s">
        <v>520</v>
      </c>
      <c r="AD83" t="s">
        <v>2411</v>
      </c>
      <c r="AE83" t="s">
        <v>109</v>
      </c>
      <c r="AF83" t="s">
        <v>102</v>
      </c>
      <c r="AG83" t="s">
        <v>109</v>
      </c>
      <c r="AH83" t="s">
        <v>102</v>
      </c>
      <c r="AI83" t="s">
        <v>102</v>
      </c>
      <c r="AJ83" t="s">
        <v>2173</v>
      </c>
      <c r="AK83" t="s">
        <v>2412</v>
      </c>
      <c r="AL83" t="s">
        <v>2413</v>
      </c>
      <c r="AM83" t="s">
        <v>2414</v>
      </c>
      <c r="AN83" t="s">
        <v>2415</v>
      </c>
      <c r="AO83" t="s">
        <v>890</v>
      </c>
      <c r="AP83" t="s">
        <v>890</v>
      </c>
      <c r="AU83" t="s">
        <v>318</v>
      </c>
      <c r="AV83" t="s">
        <v>118</v>
      </c>
      <c r="AW83" t="s">
        <v>102</v>
      </c>
      <c r="AX83" t="s">
        <v>119</v>
      </c>
      <c r="BB83" t="s">
        <v>171</v>
      </c>
      <c r="BC83" t="s">
        <v>920</v>
      </c>
      <c r="BD83" t="s">
        <v>211</v>
      </c>
      <c r="BE83" t="s">
        <v>212</v>
      </c>
      <c r="BF83" t="s">
        <v>213</v>
      </c>
      <c r="BG83" t="s">
        <v>124</v>
      </c>
      <c r="BH83" t="s">
        <v>214</v>
      </c>
      <c r="BI83" t="s">
        <v>1305</v>
      </c>
      <c r="BJ83" t="s">
        <v>127</v>
      </c>
      <c r="BK83" t="s">
        <v>2416</v>
      </c>
      <c r="BL83" t="s">
        <v>2417</v>
      </c>
      <c r="BM83" t="s">
        <v>2418</v>
      </c>
      <c r="BN83" t="s">
        <v>542</v>
      </c>
      <c r="BO83" t="s">
        <v>1309</v>
      </c>
      <c r="BP83" t="s">
        <v>258</v>
      </c>
      <c r="BQ83" t="s">
        <v>1310</v>
      </c>
      <c r="BR83" t="s">
        <v>1311</v>
      </c>
      <c r="BS83" t="s">
        <v>1312</v>
      </c>
      <c r="BU83" t="s">
        <v>2419</v>
      </c>
      <c r="BV83" t="s">
        <v>2420</v>
      </c>
      <c r="BW83" t="s">
        <v>138</v>
      </c>
      <c r="BX83" t="s">
        <v>2421</v>
      </c>
      <c r="BY83" t="s">
        <v>2422</v>
      </c>
      <c r="BZ83" t="s">
        <v>2423</v>
      </c>
      <c r="CA83" t="s">
        <v>2420</v>
      </c>
      <c r="CB83" t="s">
        <v>2421</v>
      </c>
      <c r="CC83" t="s">
        <v>2422</v>
      </c>
      <c r="CD83" t="s">
        <v>2420</v>
      </c>
      <c r="CE83" t="s">
        <v>2421</v>
      </c>
      <c r="CF83" t="s">
        <v>2422</v>
      </c>
      <c r="CG83" t="s">
        <v>2424</v>
      </c>
      <c r="CH83" t="s">
        <v>2425</v>
      </c>
      <c r="CJ83" t="s">
        <v>2426</v>
      </c>
      <c r="CK83" t="s">
        <v>2425</v>
      </c>
      <c r="CL83" t="s">
        <v>920</v>
      </c>
      <c r="CM83" t="s">
        <v>211</v>
      </c>
      <c r="CN83" t="s">
        <v>2426</v>
      </c>
      <c r="CP83" t="s">
        <v>2425</v>
      </c>
      <c r="CQ83" t="s">
        <v>2425</v>
      </c>
    </row>
    <row r="84" spans="1:95">
      <c r="A84" t="s">
        <v>149</v>
      </c>
      <c r="B84">
        <v>20238</v>
      </c>
      <c r="C84" t="s">
        <v>2427</v>
      </c>
      <c r="D84" t="str">
        <f>VLOOKUP(B84,'2025'!B:C,2,0)</f>
        <v>Shruti</v>
      </c>
      <c r="F84" t="s">
        <v>95</v>
      </c>
      <c r="G84" t="s">
        <v>105</v>
      </c>
      <c r="H84" t="s">
        <v>848</v>
      </c>
      <c r="I84" t="s">
        <v>98</v>
      </c>
      <c r="J84" t="s">
        <v>2428</v>
      </c>
      <c r="K84" t="s">
        <v>100</v>
      </c>
      <c r="L84">
        <v>1909789</v>
      </c>
      <c r="M84">
        <v>2253551</v>
      </c>
      <c r="N84">
        <v>0</v>
      </c>
      <c r="O84">
        <v>0</v>
      </c>
      <c r="Q84">
        <v>0</v>
      </c>
      <c r="R84">
        <v>0</v>
      </c>
      <c r="T84">
        <v>1909789</v>
      </c>
      <c r="U84">
        <v>950</v>
      </c>
      <c r="V84" t="s">
        <v>2429</v>
      </c>
      <c r="W84" t="s">
        <v>102</v>
      </c>
      <c r="X84" t="s">
        <v>275</v>
      </c>
      <c r="Z84" t="s">
        <v>125</v>
      </c>
      <c r="AA84" t="s">
        <v>109</v>
      </c>
      <c r="AB84" t="s">
        <v>102</v>
      </c>
      <c r="AC84" t="s">
        <v>109</v>
      </c>
      <c r="AD84" t="s">
        <v>102</v>
      </c>
      <c r="AE84" t="s">
        <v>109</v>
      </c>
      <c r="AF84" t="s">
        <v>102</v>
      </c>
      <c r="AG84" t="s">
        <v>109</v>
      </c>
      <c r="AH84" t="s">
        <v>102</v>
      </c>
      <c r="AI84" t="s">
        <v>2430</v>
      </c>
      <c r="AJ84" t="s">
        <v>853</v>
      </c>
      <c r="AK84" t="s">
        <v>853</v>
      </c>
      <c r="AL84" t="s">
        <v>2431</v>
      </c>
      <c r="AM84" t="s">
        <v>2432</v>
      </c>
      <c r="AN84" t="s">
        <v>2433</v>
      </c>
      <c r="AO84" t="s">
        <v>2434</v>
      </c>
      <c r="AP84" t="s">
        <v>2434</v>
      </c>
      <c r="AU84" t="s">
        <v>102</v>
      </c>
      <c r="AW84" t="s">
        <v>102</v>
      </c>
      <c r="AX84" t="s">
        <v>119</v>
      </c>
      <c r="BA84" t="s">
        <v>250</v>
      </c>
      <c r="BB84" t="s">
        <v>120</v>
      </c>
      <c r="BC84" t="s">
        <v>555</v>
      </c>
      <c r="BD84" t="s">
        <v>556</v>
      </c>
      <c r="BE84" t="s">
        <v>122</v>
      </c>
      <c r="BF84" t="s">
        <v>557</v>
      </c>
      <c r="BG84" t="s">
        <v>124</v>
      </c>
      <c r="BH84" t="s">
        <v>719</v>
      </c>
      <c r="BI84" t="s">
        <v>126</v>
      </c>
      <c r="BJ84" t="s">
        <v>127</v>
      </c>
      <c r="BK84" t="s">
        <v>2435</v>
      </c>
      <c r="BL84" t="s">
        <v>2436</v>
      </c>
      <c r="BM84" t="s">
        <v>2437</v>
      </c>
      <c r="BN84" t="s">
        <v>105</v>
      </c>
      <c r="BO84" t="s">
        <v>1142</v>
      </c>
      <c r="BP84" t="s">
        <v>350</v>
      </c>
      <c r="BQ84" t="s">
        <v>1143</v>
      </c>
      <c r="BR84" t="s">
        <v>1144</v>
      </c>
      <c r="BS84" t="s">
        <v>566</v>
      </c>
      <c r="BU84" t="s">
        <v>2438</v>
      </c>
      <c r="BV84" t="s">
        <v>2439</v>
      </c>
      <c r="BW84" t="s">
        <v>138</v>
      </c>
      <c r="BX84" t="s">
        <v>2440</v>
      </c>
      <c r="BY84" t="s">
        <v>2441</v>
      </c>
      <c r="BZ84" t="s">
        <v>2442</v>
      </c>
      <c r="CA84" t="s">
        <v>2439</v>
      </c>
      <c r="CB84" t="s">
        <v>2440</v>
      </c>
      <c r="CC84" t="s">
        <v>2441</v>
      </c>
      <c r="CD84" t="s">
        <v>2443</v>
      </c>
      <c r="CE84" t="s">
        <v>2444</v>
      </c>
      <c r="CF84" t="s">
        <v>2445</v>
      </c>
      <c r="CG84" t="s">
        <v>102</v>
      </c>
      <c r="CH84" t="s">
        <v>2446</v>
      </c>
      <c r="CJ84" t="s">
        <v>2447</v>
      </c>
      <c r="CK84" t="s">
        <v>2446</v>
      </c>
      <c r="CL84" t="s">
        <v>555</v>
      </c>
      <c r="CM84" t="s">
        <v>556</v>
      </c>
      <c r="CN84" t="s">
        <v>2447</v>
      </c>
      <c r="CO84" t="s">
        <v>2448</v>
      </c>
      <c r="CP84" t="s">
        <v>2446</v>
      </c>
      <c r="CQ84" t="s">
        <v>2446</v>
      </c>
    </row>
    <row r="85" spans="1:95">
      <c r="A85" t="s">
        <v>337</v>
      </c>
      <c r="B85">
        <v>202559</v>
      </c>
      <c r="C85" t="s">
        <v>2449</v>
      </c>
      <c r="E85" s="4" t="s">
        <v>17377</v>
      </c>
      <c r="F85" t="s">
        <v>95</v>
      </c>
      <c r="G85" t="s">
        <v>1470</v>
      </c>
      <c r="H85" t="s">
        <v>97</v>
      </c>
      <c r="I85" t="s">
        <v>98</v>
      </c>
      <c r="J85" t="s">
        <v>2450</v>
      </c>
      <c r="K85" t="s">
        <v>100</v>
      </c>
      <c r="L85">
        <v>243960</v>
      </c>
      <c r="M85">
        <v>243960</v>
      </c>
      <c r="N85">
        <v>243960</v>
      </c>
      <c r="O85">
        <v>271</v>
      </c>
      <c r="P85" t="s">
        <v>2451</v>
      </c>
      <c r="Q85">
        <v>0</v>
      </c>
      <c r="R85">
        <v>0</v>
      </c>
      <c r="T85">
        <v>0</v>
      </c>
      <c r="U85">
        <v>0</v>
      </c>
      <c r="W85" t="s">
        <v>102</v>
      </c>
      <c r="X85" t="s">
        <v>103</v>
      </c>
      <c r="Y85" t="s">
        <v>104</v>
      </c>
      <c r="AA85" t="s">
        <v>2452</v>
      </c>
      <c r="AB85" t="s">
        <v>2453</v>
      </c>
      <c r="AC85" t="s">
        <v>175</v>
      </c>
      <c r="AD85" t="s">
        <v>2453</v>
      </c>
      <c r="AE85" t="s">
        <v>109</v>
      </c>
      <c r="AF85" t="s">
        <v>102</v>
      </c>
      <c r="AG85" t="s">
        <v>109</v>
      </c>
      <c r="AH85" t="s">
        <v>102</v>
      </c>
      <c r="AI85" t="s">
        <v>2454</v>
      </c>
      <c r="AJ85" t="s">
        <v>2455</v>
      </c>
      <c r="AK85" t="s">
        <v>2456</v>
      </c>
      <c r="AL85" t="s">
        <v>2457</v>
      </c>
      <c r="AM85" t="s">
        <v>2458</v>
      </c>
      <c r="AN85" t="s">
        <v>115</v>
      </c>
      <c r="AO85" t="s">
        <v>2459</v>
      </c>
      <c r="AP85" t="s">
        <v>2459</v>
      </c>
      <c r="AU85" t="s">
        <v>318</v>
      </c>
      <c r="AV85" t="s">
        <v>118</v>
      </c>
      <c r="AW85" t="s">
        <v>102</v>
      </c>
      <c r="AX85" t="s">
        <v>119</v>
      </c>
      <c r="BB85" t="s">
        <v>120</v>
      </c>
      <c r="BC85" t="s">
        <v>920</v>
      </c>
      <c r="BD85" t="s">
        <v>211</v>
      </c>
      <c r="BE85" t="s">
        <v>212</v>
      </c>
      <c r="BF85" t="s">
        <v>213</v>
      </c>
      <c r="BG85" t="s">
        <v>124</v>
      </c>
      <c r="BH85" t="s">
        <v>232</v>
      </c>
      <c r="BI85" t="s">
        <v>126</v>
      </c>
      <c r="BJ85" t="s">
        <v>127</v>
      </c>
      <c r="BK85" t="s">
        <v>2460</v>
      </c>
      <c r="BL85" t="s">
        <v>2461</v>
      </c>
      <c r="BM85" t="s">
        <v>2462</v>
      </c>
      <c r="BN85" t="s">
        <v>1470</v>
      </c>
      <c r="BO85" t="s">
        <v>1309</v>
      </c>
      <c r="BP85" t="s">
        <v>180</v>
      </c>
      <c r="BQ85" t="s">
        <v>1310</v>
      </c>
      <c r="BR85" t="s">
        <v>1311</v>
      </c>
      <c r="BS85" t="s">
        <v>2463</v>
      </c>
      <c r="BT85" t="s">
        <v>2151</v>
      </c>
      <c r="BU85" t="s">
        <v>2464</v>
      </c>
      <c r="BV85" t="s">
        <v>2465</v>
      </c>
      <c r="BW85" t="s">
        <v>138</v>
      </c>
      <c r="BX85" t="s">
        <v>2466</v>
      </c>
      <c r="BY85" t="s">
        <v>2467</v>
      </c>
      <c r="BZ85" t="s">
        <v>2466</v>
      </c>
      <c r="CA85" t="s">
        <v>2465</v>
      </c>
      <c r="CB85" t="s">
        <v>2466</v>
      </c>
      <c r="CC85" t="s">
        <v>2467</v>
      </c>
      <c r="CD85" t="s">
        <v>2468</v>
      </c>
      <c r="CE85" t="s">
        <v>2469</v>
      </c>
      <c r="CF85" t="s">
        <v>2470</v>
      </c>
      <c r="CG85" t="s">
        <v>2471</v>
      </c>
      <c r="CH85" t="s">
        <v>2472</v>
      </c>
      <c r="CJ85" t="s">
        <v>2473</v>
      </c>
      <c r="CK85" t="s">
        <v>2472</v>
      </c>
      <c r="CL85" t="s">
        <v>920</v>
      </c>
      <c r="CM85" t="s">
        <v>2474</v>
      </c>
      <c r="CN85" t="s">
        <v>2473</v>
      </c>
      <c r="CO85" t="s">
        <v>2475</v>
      </c>
      <c r="CP85" t="s">
        <v>2472</v>
      </c>
      <c r="CQ85" t="s">
        <v>2472</v>
      </c>
    </row>
    <row r="86" spans="1:95">
      <c r="A86" t="s">
        <v>149</v>
      </c>
      <c r="B86">
        <v>20480</v>
      </c>
      <c r="C86" t="s">
        <v>2476</v>
      </c>
      <c r="D86" t="str">
        <f>VLOOKUP(B86,'2025'!B:C,2,0)</f>
        <v>Shruti</v>
      </c>
      <c r="F86" t="s">
        <v>95</v>
      </c>
      <c r="G86" t="s">
        <v>105</v>
      </c>
      <c r="H86" t="s">
        <v>152</v>
      </c>
      <c r="I86" t="s">
        <v>98</v>
      </c>
      <c r="J86" t="s">
        <v>2477</v>
      </c>
      <c r="K86" t="s">
        <v>100</v>
      </c>
      <c r="L86">
        <v>1295640</v>
      </c>
      <c r="M86">
        <v>1295640</v>
      </c>
      <c r="N86">
        <v>0</v>
      </c>
      <c r="O86">
        <v>0</v>
      </c>
      <c r="Q86">
        <v>1295640</v>
      </c>
      <c r="R86">
        <v>708</v>
      </c>
      <c r="S86" t="s">
        <v>2478</v>
      </c>
      <c r="T86">
        <v>0</v>
      </c>
      <c r="U86">
        <v>0</v>
      </c>
      <c r="W86" t="s">
        <v>102</v>
      </c>
      <c r="X86" t="s">
        <v>103</v>
      </c>
      <c r="Y86" t="s">
        <v>398</v>
      </c>
      <c r="AA86" t="s">
        <v>2479</v>
      </c>
      <c r="AB86" t="s">
        <v>2480</v>
      </c>
      <c r="AC86" t="s">
        <v>892</v>
      </c>
      <c r="AD86" t="s">
        <v>2481</v>
      </c>
      <c r="AE86" t="s">
        <v>437</v>
      </c>
      <c r="AF86" t="s">
        <v>2481</v>
      </c>
      <c r="AG86" t="s">
        <v>109</v>
      </c>
      <c r="AH86" t="s">
        <v>102</v>
      </c>
      <c r="AI86" t="s">
        <v>2482</v>
      </c>
      <c r="AJ86" t="s">
        <v>1295</v>
      </c>
      <c r="AK86" t="s">
        <v>2483</v>
      </c>
      <c r="AL86" t="s">
        <v>2484</v>
      </c>
      <c r="AM86" t="s">
        <v>2485</v>
      </c>
      <c r="AN86" t="s">
        <v>2486</v>
      </c>
      <c r="AO86" t="s">
        <v>2487</v>
      </c>
      <c r="AP86" t="s">
        <v>2487</v>
      </c>
      <c r="AU86" t="s">
        <v>102</v>
      </c>
      <c r="AW86" t="s">
        <v>1384</v>
      </c>
      <c r="AX86" t="s">
        <v>119</v>
      </c>
      <c r="AY86" t="s">
        <v>1138</v>
      </c>
      <c r="AZ86" t="s">
        <v>118</v>
      </c>
      <c r="BB86" t="s">
        <v>120</v>
      </c>
      <c r="BC86" t="s">
        <v>555</v>
      </c>
      <c r="BD86" t="s">
        <v>556</v>
      </c>
      <c r="BE86" t="s">
        <v>122</v>
      </c>
      <c r="BF86" t="s">
        <v>557</v>
      </c>
      <c r="BG86" t="s">
        <v>124</v>
      </c>
      <c r="BH86" t="s">
        <v>232</v>
      </c>
      <c r="BI86" t="s">
        <v>126</v>
      </c>
      <c r="BJ86" t="s">
        <v>127</v>
      </c>
      <c r="BK86" t="s">
        <v>2488</v>
      </c>
      <c r="BL86" t="s">
        <v>2489</v>
      </c>
      <c r="BM86" t="s">
        <v>2490</v>
      </c>
      <c r="BN86" t="s">
        <v>105</v>
      </c>
      <c r="BO86" t="s">
        <v>1142</v>
      </c>
      <c r="BP86" t="s">
        <v>350</v>
      </c>
      <c r="BQ86" t="s">
        <v>1143</v>
      </c>
      <c r="BR86" t="s">
        <v>1144</v>
      </c>
      <c r="BS86" t="s">
        <v>566</v>
      </c>
      <c r="BU86" t="s">
        <v>2491</v>
      </c>
      <c r="BV86" t="s">
        <v>2492</v>
      </c>
      <c r="BW86" t="s">
        <v>138</v>
      </c>
      <c r="BX86" t="s">
        <v>2493</v>
      </c>
      <c r="BY86" t="s">
        <v>2494</v>
      </c>
      <c r="BZ86" t="s">
        <v>2495</v>
      </c>
      <c r="CA86" t="s">
        <v>2492</v>
      </c>
      <c r="CB86" t="s">
        <v>2493</v>
      </c>
      <c r="CC86" t="s">
        <v>2494</v>
      </c>
      <c r="CD86" t="s">
        <v>2496</v>
      </c>
      <c r="CE86" t="s">
        <v>2497</v>
      </c>
      <c r="CF86" t="s">
        <v>2498</v>
      </c>
      <c r="CG86" t="s">
        <v>102</v>
      </c>
      <c r="CH86" t="s">
        <v>2499</v>
      </c>
      <c r="CJ86" t="s">
        <v>2500</v>
      </c>
      <c r="CK86" t="s">
        <v>2499</v>
      </c>
      <c r="CL86" t="s">
        <v>555</v>
      </c>
      <c r="CM86" t="s">
        <v>556</v>
      </c>
      <c r="CN86" t="s">
        <v>2500</v>
      </c>
      <c r="CO86" t="s">
        <v>2501</v>
      </c>
      <c r="CP86" t="s">
        <v>2499</v>
      </c>
      <c r="CQ86" t="s">
        <v>2499</v>
      </c>
    </row>
    <row r="87" spans="1:95">
      <c r="A87" t="s">
        <v>149</v>
      </c>
      <c r="B87">
        <v>205449</v>
      </c>
      <c r="C87" t="s">
        <v>2502</v>
      </c>
      <c r="D87" t="str">
        <f>VLOOKUP(B87,'2025'!B:C,2,0)</f>
        <v>Ishita Jethwa</v>
      </c>
      <c r="F87" t="s">
        <v>95</v>
      </c>
      <c r="G87" t="s">
        <v>2503</v>
      </c>
      <c r="H87" t="s">
        <v>193</v>
      </c>
      <c r="I87" t="s">
        <v>98</v>
      </c>
      <c r="J87" t="s">
        <v>2504</v>
      </c>
      <c r="K87" t="s">
        <v>100</v>
      </c>
      <c r="L87">
        <v>547326</v>
      </c>
      <c r="M87">
        <v>593457</v>
      </c>
      <c r="N87">
        <v>291042</v>
      </c>
      <c r="O87">
        <v>240</v>
      </c>
      <c r="P87" t="s">
        <v>2505</v>
      </c>
      <c r="Q87">
        <v>0</v>
      </c>
      <c r="R87">
        <v>0</v>
      </c>
      <c r="T87">
        <v>256284</v>
      </c>
      <c r="U87">
        <v>120</v>
      </c>
      <c r="V87" t="s">
        <v>2506</v>
      </c>
      <c r="W87" t="s">
        <v>102</v>
      </c>
      <c r="X87" t="s">
        <v>103</v>
      </c>
      <c r="Y87" t="s">
        <v>801</v>
      </c>
      <c r="AA87" t="s">
        <v>2507</v>
      </c>
      <c r="AB87" t="s">
        <v>2508</v>
      </c>
      <c r="AC87" t="s">
        <v>2509</v>
      </c>
      <c r="AD87" t="s">
        <v>2510</v>
      </c>
      <c r="AE87" t="s">
        <v>2511</v>
      </c>
      <c r="AF87" t="s">
        <v>2512</v>
      </c>
      <c r="AG87" t="s">
        <v>2513</v>
      </c>
      <c r="AH87" t="s">
        <v>2512</v>
      </c>
      <c r="AI87" t="s">
        <v>2514</v>
      </c>
      <c r="AJ87" t="s">
        <v>2515</v>
      </c>
      <c r="AK87" t="s">
        <v>2516</v>
      </c>
      <c r="AL87" t="s">
        <v>2517</v>
      </c>
      <c r="AM87" t="s">
        <v>2518</v>
      </c>
      <c r="AN87" t="s">
        <v>2519</v>
      </c>
      <c r="AO87" t="s">
        <v>2520</v>
      </c>
      <c r="AP87" t="s">
        <v>2521</v>
      </c>
      <c r="AT87" t="s">
        <v>169</v>
      </c>
      <c r="AU87" t="s">
        <v>207</v>
      </c>
      <c r="AV87" t="s">
        <v>250</v>
      </c>
      <c r="AW87" t="s">
        <v>102</v>
      </c>
      <c r="AX87" t="s">
        <v>119</v>
      </c>
      <c r="BA87" t="s">
        <v>250</v>
      </c>
      <c r="BB87" t="s">
        <v>171</v>
      </c>
      <c r="BC87" t="s">
        <v>2327</v>
      </c>
      <c r="BD87" t="s">
        <v>730</v>
      </c>
      <c r="BE87" t="s">
        <v>622</v>
      </c>
      <c r="BF87" t="s">
        <v>730</v>
      </c>
      <c r="BG87" t="s">
        <v>124</v>
      </c>
      <c r="BH87" t="s">
        <v>232</v>
      </c>
      <c r="BI87" t="s">
        <v>126</v>
      </c>
      <c r="BJ87" t="s">
        <v>127</v>
      </c>
      <c r="BK87" t="s">
        <v>2522</v>
      </c>
      <c r="BL87" t="s">
        <v>2523</v>
      </c>
      <c r="BM87" t="s">
        <v>2524</v>
      </c>
      <c r="BN87" t="s">
        <v>2503</v>
      </c>
      <c r="BO87" t="s">
        <v>1733</v>
      </c>
      <c r="BP87" t="s">
        <v>350</v>
      </c>
      <c r="BQ87" t="s">
        <v>1734</v>
      </c>
      <c r="BR87" t="s">
        <v>1735</v>
      </c>
      <c r="BS87" t="s">
        <v>2525</v>
      </c>
      <c r="BU87" t="s">
        <v>2526</v>
      </c>
      <c r="BV87" t="s">
        <v>2527</v>
      </c>
      <c r="BW87" t="s">
        <v>598</v>
      </c>
      <c r="BX87" t="s">
        <v>2528</v>
      </c>
      <c r="BY87" t="s">
        <v>2529</v>
      </c>
      <c r="BZ87" t="s">
        <v>2530</v>
      </c>
      <c r="CG87" t="s">
        <v>102</v>
      </c>
      <c r="CH87" t="s">
        <v>2531</v>
      </c>
      <c r="CJ87" t="s">
        <v>2532</v>
      </c>
      <c r="CK87" t="s">
        <v>2531</v>
      </c>
      <c r="CL87" t="s">
        <v>2327</v>
      </c>
      <c r="CM87" t="s">
        <v>730</v>
      </c>
      <c r="CN87" t="s">
        <v>2532</v>
      </c>
      <c r="CO87" t="s">
        <v>2533</v>
      </c>
      <c r="CP87" t="s">
        <v>2531</v>
      </c>
      <c r="CQ87" t="s">
        <v>2531</v>
      </c>
    </row>
    <row r="88" spans="1:95">
      <c r="A88" t="s">
        <v>93</v>
      </c>
      <c r="B88">
        <v>2057359</v>
      </c>
      <c r="C88" t="s">
        <v>2534</v>
      </c>
      <c r="D88" t="str">
        <f>VLOOKUP(B88,'2025'!B:C,2,0)</f>
        <v>Rohit</v>
      </c>
      <c r="F88" t="s">
        <v>95</v>
      </c>
      <c r="G88" t="s">
        <v>716</v>
      </c>
      <c r="H88" t="s">
        <v>152</v>
      </c>
      <c r="I88" t="s">
        <v>98</v>
      </c>
      <c r="J88" t="s">
        <v>2535</v>
      </c>
      <c r="K88" t="s">
        <v>100</v>
      </c>
      <c r="L88">
        <v>932910</v>
      </c>
      <c r="M88">
        <v>932910</v>
      </c>
      <c r="N88">
        <v>0</v>
      </c>
      <c r="O88">
        <v>0</v>
      </c>
      <c r="Q88">
        <v>932910</v>
      </c>
      <c r="R88">
        <v>533</v>
      </c>
      <c r="S88" t="s">
        <v>1376</v>
      </c>
      <c r="T88">
        <v>0</v>
      </c>
      <c r="U88">
        <v>0</v>
      </c>
      <c r="W88" t="s">
        <v>102</v>
      </c>
      <c r="X88" t="s">
        <v>103</v>
      </c>
      <c r="Y88" t="s">
        <v>104</v>
      </c>
      <c r="AA88" t="s">
        <v>365</v>
      </c>
      <c r="AB88" t="s">
        <v>2536</v>
      </c>
      <c r="AC88" t="s">
        <v>1571</v>
      </c>
      <c r="AD88" t="s">
        <v>2536</v>
      </c>
      <c r="AE88" t="s">
        <v>109</v>
      </c>
      <c r="AF88" t="s">
        <v>102</v>
      </c>
      <c r="AG88" t="s">
        <v>109</v>
      </c>
      <c r="AH88" t="s">
        <v>102</v>
      </c>
      <c r="AI88" t="s">
        <v>2537</v>
      </c>
      <c r="AJ88" t="s">
        <v>441</v>
      </c>
      <c r="AK88" t="s">
        <v>404</v>
      </c>
      <c r="AL88" t="s">
        <v>2538</v>
      </c>
      <c r="AM88" t="s">
        <v>2539</v>
      </c>
      <c r="AN88" t="s">
        <v>2540</v>
      </c>
      <c r="AO88" t="s">
        <v>2541</v>
      </c>
      <c r="AP88" t="s">
        <v>2541</v>
      </c>
      <c r="AU88" t="s">
        <v>102</v>
      </c>
      <c r="AW88" t="s">
        <v>155</v>
      </c>
      <c r="AX88" t="s">
        <v>447</v>
      </c>
      <c r="AY88" t="s">
        <v>170</v>
      </c>
      <c r="AZ88" t="s">
        <v>118</v>
      </c>
      <c r="BB88" t="s">
        <v>120</v>
      </c>
      <c r="BC88" t="s">
        <v>2542</v>
      </c>
      <c r="BD88" t="s">
        <v>2543</v>
      </c>
      <c r="BE88" t="s">
        <v>122</v>
      </c>
      <c r="BF88" t="s">
        <v>557</v>
      </c>
      <c r="BG88" t="s">
        <v>124</v>
      </c>
      <c r="BH88" t="s">
        <v>214</v>
      </c>
      <c r="BI88" t="s">
        <v>411</v>
      </c>
      <c r="BJ88" t="s">
        <v>127</v>
      </c>
      <c r="BK88" t="s">
        <v>2544</v>
      </c>
      <c r="BL88" t="s">
        <v>2545</v>
      </c>
      <c r="BM88" t="s">
        <v>2546</v>
      </c>
      <c r="BN88" t="s">
        <v>716</v>
      </c>
      <c r="BO88" t="s">
        <v>2547</v>
      </c>
      <c r="BP88" t="s">
        <v>350</v>
      </c>
      <c r="BQ88" t="s">
        <v>2548</v>
      </c>
      <c r="BR88" t="s">
        <v>2549</v>
      </c>
      <c r="BS88" t="s">
        <v>1075</v>
      </c>
      <c r="BU88" t="s">
        <v>2550</v>
      </c>
      <c r="BV88" t="s">
        <v>2551</v>
      </c>
      <c r="BW88" t="s">
        <v>569</v>
      </c>
      <c r="BX88" t="s">
        <v>2552</v>
      </c>
      <c r="BY88" t="s">
        <v>2553</v>
      </c>
      <c r="BZ88" t="s">
        <v>2554</v>
      </c>
      <c r="CG88" t="s">
        <v>2555</v>
      </c>
      <c r="CH88" t="s">
        <v>2556</v>
      </c>
      <c r="CJ88" t="s">
        <v>2557</v>
      </c>
      <c r="CK88" t="s">
        <v>2556</v>
      </c>
      <c r="CL88" t="s">
        <v>2542</v>
      </c>
      <c r="CM88" t="s">
        <v>2543</v>
      </c>
      <c r="CN88" t="s">
        <v>2557</v>
      </c>
      <c r="CO88" t="s">
        <v>2558</v>
      </c>
      <c r="CP88" t="s">
        <v>2556</v>
      </c>
      <c r="CQ88" t="s">
        <v>2556</v>
      </c>
    </row>
    <row r="89" spans="1:95">
      <c r="A89" t="s">
        <v>337</v>
      </c>
      <c r="B89">
        <v>20577</v>
      </c>
      <c r="C89" t="s">
        <v>2559</v>
      </c>
      <c r="D89" t="str">
        <f>VLOOKUP(B89,'2025'!B:C,2,0)</f>
        <v>Unnati Sharma</v>
      </c>
      <c r="F89" t="s">
        <v>95</v>
      </c>
      <c r="G89" t="s">
        <v>2560</v>
      </c>
      <c r="H89" t="s">
        <v>848</v>
      </c>
      <c r="I89" t="s">
        <v>98</v>
      </c>
      <c r="J89" t="s">
        <v>2561</v>
      </c>
      <c r="K89" t="s">
        <v>100</v>
      </c>
      <c r="L89">
        <v>1058697</v>
      </c>
      <c r="M89">
        <v>1249262</v>
      </c>
      <c r="N89">
        <v>0</v>
      </c>
      <c r="O89">
        <v>0</v>
      </c>
      <c r="Q89">
        <v>0</v>
      </c>
      <c r="R89">
        <v>0</v>
      </c>
      <c r="T89">
        <v>1058697</v>
      </c>
      <c r="U89">
        <v>694</v>
      </c>
      <c r="V89" t="s">
        <v>1907</v>
      </c>
      <c r="W89" t="s">
        <v>102</v>
      </c>
      <c r="X89" t="s">
        <v>275</v>
      </c>
      <c r="Z89" t="s">
        <v>232</v>
      </c>
      <c r="AA89" t="s">
        <v>109</v>
      </c>
      <c r="AB89" t="s">
        <v>102</v>
      </c>
      <c r="AC89" t="s">
        <v>109</v>
      </c>
      <c r="AD89" t="s">
        <v>102</v>
      </c>
      <c r="AE89" t="s">
        <v>109</v>
      </c>
      <c r="AF89" t="s">
        <v>102</v>
      </c>
      <c r="AG89" t="s">
        <v>109</v>
      </c>
      <c r="AH89" t="s">
        <v>102</v>
      </c>
      <c r="AI89" t="s">
        <v>102</v>
      </c>
      <c r="AJ89" t="s">
        <v>1521</v>
      </c>
      <c r="AK89" t="s">
        <v>1521</v>
      </c>
      <c r="AL89" t="s">
        <v>2562</v>
      </c>
      <c r="AM89" t="s">
        <v>2563</v>
      </c>
      <c r="AN89" t="s">
        <v>2564</v>
      </c>
      <c r="AO89" t="s">
        <v>116</v>
      </c>
      <c r="AP89" t="s">
        <v>116</v>
      </c>
      <c r="AU89" t="s">
        <v>102</v>
      </c>
      <c r="AW89" t="s">
        <v>102</v>
      </c>
      <c r="AX89" t="s">
        <v>119</v>
      </c>
      <c r="BA89" t="s">
        <v>250</v>
      </c>
      <c r="BB89" t="s">
        <v>2565</v>
      </c>
      <c r="BC89" t="s">
        <v>2327</v>
      </c>
      <c r="BD89" t="s">
        <v>730</v>
      </c>
      <c r="BE89" t="s">
        <v>622</v>
      </c>
      <c r="BF89" t="s">
        <v>730</v>
      </c>
      <c r="BG89" t="s">
        <v>124</v>
      </c>
      <c r="BH89" t="s">
        <v>214</v>
      </c>
      <c r="BI89" t="s">
        <v>625</v>
      </c>
      <c r="BJ89" t="s">
        <v>127</v>
      </c>
      <c r="BK89" t="s">
        <v>2566</v>
      </c>
      <c r="BL89" t="s">
        <v>2567</v>
      </c>
      <c r="BM89" t="s">
        <v>2568</v>
      </c>
      <c r="BN89" t="s">
        <v>2560</v>
      </c>
      <c r="BO89" t="s">
        <v>2262</v>
      </c>
      <c r="BP89" t="s">
        <v>350</v>
      </c>
      <c r="BQ89" t="s">
        <v>2263</v>
      </c>
      <c r="BR89" t="s">
        <v>2264</v>
      </c>
      <c r="BS89" t="s">
        <v>2569</v>
      </c>
      <c r="BU89" t="s">
        <v>2570</v>
      </c>
      <c r="BV89" t="s">
        <v>2571</v>
      </c>
      <c r="BW89" t="s">
        <v>354</v>
      </c>
      <c r="BX89" t="s">
        <v>2572</v>
      </c>
      <c r="BY89" t="s">
        <v>2573</v>
      </c>
      <c r="BZ89" t="s">
        <v>2574</v>
      </c>
      <c r="CG89" t="s">
        <v>2575</v>
      </c>
      <c r="CH89" t="s">
        <v>2576</v>
      </c>
      <c r="CJ89" t="s">
        <v>2272</v>
      </c>
      <c r="CK89" t="s">
        <v>2576</v>
      </c>
      <c r="CL89" t="s">
        <v>2327</v>
      </c>
      <c r="CM89" t="s">
        <v>730</v>
      </c>
      <c r="CN89" t="s">
        <v>2272</v>
      </c>
      <c r="CO89" t="s">
        <v>2577</v>
      </c>
      <c r="CP89" t="s">
        <v>2576</v>
      </c>
      <c r="CQ89" t="s">
        <v>2576</v>
      </c>
    </row>
    <row r="90" spans="1:95">
      <c r="A90" t="s">
        <v>337</v>
      </c>
      <c r="B90">
        <v>206357</v>
      </c>
      <c r="C90" t="s">
        <v>2578</v>
      </c>
      <c r="E90" s="4" t="s">
        <v>17377</v>
      </c>
      <c r="F90" t="s">
        <v>95</v>
      </c>
      <c r="G90" t="s">
        <v>2579</v>
      </c>
      <c r="H90" t="s">
        <v>97</v>
      </c>
      <c r="I90" t="s">
        <v>98</v>
      </c>
      <c r="J90" t="s">
        <v>2580</v>
      </c>
      <c r="K90" t="s">
        <v>100</v>
      </c>
      <c r="L90">
        <v>920908</v>
      </c>
      <c r="M90">
        <v>920908</v>
      </c>
      <c r="N90">
        <v>920908</v>
      </c>
      <c r="O90">
        <v>1842</v>
      </c>
      <c r="P90" t="s">
        <v>364</v>
      </c>
      <c r="Q90">
        <v>0</v>
      </c>
      <c r="R90">
        <v>0</v>
      </c>
      <c r="T90">
        <v>0</v>
      </c>
      <c r="U90">
        <v>0</v>
      </c>
      <c r="W90" t="s">
        <v>102</v>
      </c>
      <c r="X90" t="s">
        <v>103</v>
      </c>
      <c r="Y90" t="s">
        <v>104</v>
      </c>
      <c r="AA90" t="s">
        <v>545</v>
      </c>
      <c r="AB90" t="s">
        <v>2581</v>
      </c>
      <c r="AC90" t="s">
        <v>2582</v>
      </c>
      <c r="AD90" t="s">
        <v>2583</v>
      </c>
      <c r="AE90" t="s">
        <v>109</v>
      </c>
      <c r="AF90" t="s">
        <v>102</v>
      </c>
      <c r="AG90" t="s">
        <v>109</v>
      </c>
      <c r="AH90" t="s">
        <v>102</v>
      </c>
      <c r="AI90" t="s">
        <v>2584</v>
      </c>
      <c r="AJ90" t="s">
        <v>2585</v>
      </c>
      <c r="AK90" t="s">
        <v>2586</v>
      </c>
      <c r="AL90" t="s">
        <v>2587</v>
      </c>
      <c r="AM90" t="s">
        <v>2588</v>
      </c>
      <c r="AN90" t="s">
        <v>2589</v>
      </c>
      <c r="AO90" t="s">
        <v>2307</v>
      </c>
      <c r="AP90" t="s">
        <v>2307</v>
      </c>
      <c r="AU90" t="s">
        <v>117</v>
      </c>
      <c r="AV90" t="s">
        <v>118</v>
      </c>
      <c r="AW90" t="s">
        <v>102</v>
      </c>
      <c r="AX90" t="s">
        <v>119</v>
      </c>
      <c r="BB90" t="s">
        <v>120</v>
      </c>
      <c r="BC90" t="s">
        <v>920</v>
      </c>
      <c r="BD90" t="s">
        <v>211</v>
      </c>
      <c r="BE90" t="s">
        <v>212</v>
      </c>
      <c r="BF90" t="s">
        <v>213</v>
      </c>
      <c r="BG90" t="s">
        <v>124</v>
      </c>
      <c r="BH90" t="s">
        <v>232</v>
      </c>
      <c r="BI90" t="s">
        <v>126</v>
      </c>
      <c r="BJ90" t="s">
        <v>127</v>
      </c>
      <c r="BK90" t="s">
        <v>2590</v>
      </c>
      <c r="BL90" t="s">
        <v>2591</v>
      </c>
      <c r="BM90" t="s">
        <v>2592</v>
      </c>
      <c r="BN90" t="s">
        <v>2579</v>
      </c>
      <c r="BO90" t="s">
        <v>480</v>
      </c>
      <c r="BP90" t="s">
        <v>180</v>
      </c>
      <c r="BQ90" t="s">
        <v>481</v>
      </c>
      <c r="BR90" t="s">
        <v>482</v>
      </c>
      <c r="BS90" t="s">
        <v>2593</v>
      </c>
      <c r="BT90" t="s">
        <v>900</v>
      </c>
      <c r="BU90" t="s">
        <v>2594</v>
      </c>
      <c r="BV90" t="s">
        <v>2595</v>
      </c>
      <c r="BW90" t="s">
        <v>138</v>
      </c>
      <c r="BX90" t="s">
        <v>2596</v>
      </c>
      <c r="BY90" t="s">
        <v>2597</v>
      </c>
      <c r="BZ90" t="s">
        <v>2598</v>
      </c>
      <c r="CA90" t="s">
        <v>2595</v>
      </c>
      <c r="CB90" t="s">
        <v>2596</v>
      </c>
      <c r="CC90" t="s">
        <v>2597</v>
      </c>
      <c r="CG90" t="s">
        <v>907</v>
      </c>
      <c r="CH90" t="s">
        <v>2599</v>
      </c>
      <c r="CJ90" t="s">
        <v>2160</v>
      </c>
      <c r="CK90" t="s">
        <v>2599</v>
      </c>
      <c r="CL90" t="s">
        <v>920</v>
      </c>
      <c r="CM90" t="s">
        <v>2474</v>
      </c>
      <c r="CN90" t="s">
        <v>2160</v>
      </c>
      <c r="CO90" t="s">
        <v>2600</v>
      </c>
      <c r="CP90" t="s">
        <v>2599</v>
      </c>
      <c r="CQ90" t="s">
        <v>2599</v>
      </c>
    </row>
    <row r="91" spans="1:95">
      <c r="A91" t="s">
        <v>93</v>
      </c>
      <c r="B91">
        <v>2066385</v>
      </c>
      <c r="C91" t="s">
        <v>2601</v>
      </c>
      <c r="F91" t="s">
        <v>95</v>
      </c>
      <c r="G91" t="s">
        <v>2602</v>
      </c>
      <c r="H91" t="s">
        <v>152</v>
      </c>
      <c r="I91" t="s">
        <v>98</v>
      </c>
      <c r="J91" t="s">
        <v>2603</v>
      </c>
      <c r="K91" t="s">
        <v>100</v>
      </c>
      <c r="L91">
        <v>1046068</v>
      </c>
      <c r="M91">
        <v>1046068</v>
      </c>
      <c r="N91">
        <v>0</v>
      </c>
      <c r="O91">
        <v>0</v>
      </c>
      <c r="Q91">
        <v>1046068</v>
      </c>
      <c r="R91">
        <v>804</v>
      </c>
      <c r="S91" t="s">
        <v>2604</v>
      </c>
      <c r="T91">
        <v>0</v>
      </c>
      <c r="U91">
        <v>0</v>
      </c>
      <c r="W91" t="s">
        <v>102</v>
      </c>
      <c r="X91" t="s">
        <v>103</v>
      </c>
      <c r="Y91" t="s">
        <v>155</v>
      </c>
      <c r="AA91" t="s">
        <v>2605</v>
      </c>
      <c r="AB91" t="s">
        <v>2606</v>
      </c>
      <c r="AC91" t="s">
        <v>648</v>
      </c>
      <c r="AD91" t="s">
        <v>2606</v>
      </c>
      <c r="AE91" t="s">
        <v>915</v>
      </c>
      <c r="AF91" t="s">
        <v>2606</v>
      </c>
      <c r="AG91" t="s">
        <v>160</v>
      </c>
      <c r="AH91" t="s">
        <v>2606</v>
      </c>
      <c r="AI91" t="s">
        <v>102</v>
      </c>
      <c r="AJ91" t="s">
        <v>2585</v>
      </c>
      <c r="AK91" t="s">
        <v>857</v>
      </c>
      <c r="AL91" t="s">
        <v>2607</v>
      </c>
      <c r="AM91" t="s">
        <v>2608</v>
      </c>
      <c r="AN91" t="s">
        <v>2609</v>
      </c>
      <c r="AO91" t="s">
        <v>2610</v>
      </c>
      <c r="AP91" t="s">
        <v>2610</v>
      </c>
      <c r="AU91" t="s">
        <v>102</v>
      </c>
      <c r="AW91" t="s">
        <v>155</v>
      </c>
      <c r="AX91" t="s">
        <v>119</v>
      </c>
      <c r="AY91" t="s">
        <v>170</v>
      </c>
      <c r="AZ91" t="s">
        <v>118</v>
      </c>
      <c r="BB91" t="s">
        <v>120</v>
      </c>
      <c r="BC91" t="s">
        <v>2611</v>
      </c>
      <c r="BD91" t="s">
        <v>285</v>
      </c>
      <c r="BE91" t="s">
        <v>212</v>
      </c>
      <c r="BF91" t="s">
        <v>286</v>
      </c>
      <c r="BG91" t="s">
        <v>124</v>
      </c>
      <c r="BH91" t="s">
        <v>151</v>
      </c>
      <c r="BI91" t="s">
        <v>126</v>
      </c>
      <c r="BJ91" t="s">
        <v>127</v>
      </c>
      <c r="BK91" t="s">
        <v>2612</v>
      </c>
      <c r="BL91" t="s">
        <v>2613</v>
      </c>
      <c r="BM91" t="s">
        <v>2614</v>
      </c>
      <c r="BN91" t="s">
        <v>2602</v>
      </c>
      <c r="BO91" t="s">
        <v>2615</v>
      </c>
      <c r="BP91" t="s">
        <v>132</v>
      </c>
      <c r="BQ91" t="s">
        <v>2616</v>
      </c>
      <c r="BR91" t="s">
        <v>2617</v>
      </c>
      <c r="BS91" t="s">
        <v>293</v>
      </c>
      <c r="BU91" t="s">
        <v>2618</v>
      </c>
      <c r="BV91" t="s">
        <v>2619</v>
      </c>
      <c r="BW91" t="s">
        <v>354</v>
      </c>
      <c r="BX91" t="s">
        <v>2620</v>
      </c>
      <c r="BY91" t="s">
        <v>2621</v>
      </c>
      <c r="BZ91" t="s">
        <v>2622</v>
      </c>
      <c r="CG91" t="s">
        <v>2623</v>
      </c>
      <c r="CH91" t="s">
        <v>2624</v>
      </c>
      <c r="CJ91" t="s">
        <v>2625</v>
      </c>
      <c r="CK91" t="s">
        <v>2624</v>
      </c>
      <c r="CL91" t="s">
        <v>2611</v>
      </c>
      <c r="CM91" t="s">
        <v>285</v>
      </c>
      <c r="CN91" t="s">
        <v>2625</v>
      </c>
      <c r="CP91" t="s">
        <v>2624</v>
      </c>
      <c r="CQ91" t="s">
        <v>2624</v>
      </c>
    </row>
    <row r="92" spans="1:95">
      <c r="A92" t="s">
        <v>337</v>
      </c>
      <c r="B92">
        <v>207093</v>
      </c>
      <c r="C92" t="s">
        <v>2626</v>
      </c>
      <c r="D92" t="str">
        <f>VLOOKUP(B92,'2025'!B:C,2,0)</f>
        <v>Shruti</v>
      </c>
      <c r="F92" t="s">
        <v>95</v>
      </c>
      <c r="G92" t="s">
        <v>1467</v>
      </c>
      <c r="H92" t="s">
        <v>152</v>
      </c>
      <c r="I92" t="s">
        <v>98</v>
      </c>
      <c r="J92" t="s">
        <v>2627</v>
      </c>
      <c r="K92" t="s">
        <v>100</v>
      </c>
      <c r="L92">
        <v>894596</v>
      </c>
      <c r="M92">
        <v>894596</v>
      </c>
      <c r="N92">
        <v>0</v>
      </c>
      <c r="O92">
        <v>0</v>
      </c>
      <c r="Q92">
        <v>894596</v>
      </c>
      <c r="R92">
        <v>395</v>
      </c>
      <c r="S92" t="s">
        <v>2628</v>
      </c>
      <c r="T92">
        <v>0</v>
      </c>
      <c r="U92">
        <v>0</v>
      </c>
      <c r="W92" t="s">
        <v>102</v>
      </c>
      <c r="X92" t="s">
        <v>103</v>
      </c>
      <c r="Y92" t="s">
        <v>155</v>
      </c>
      <c r="AA92" t="s">
        <v>642</v>
      </c>
      <c r="AB92" t="s">
        <v>2629</v>
      </c>
      <c r="AC92" t="s">
        <v>968</v>
      </c>
      <c r="AD92" t="s">
        <v>2629</v>
      </c>
      <c r="AE92" t="s">
        <v>2630</v>
      </c>
      <c r="AF92" t="s">
        <v>2629</v>
      </c>
      <c r="AG92" t="s">
        <v>680</v>
      </c>
      <c r="AH92" t="s">
        <v>2629</v>
      </c>
      <c r="AI92" t="s">
        <v>2631</v>
      </c>
      <c r="AJ92" t="s">
        <v>1816</v>
      </c>
      <c r="AK92" t="s">
        <v>550</v>
      </c>
      <c r="AL92" t="s">
        <v>2632</v>
      </c>
      <c r="AM92" t="s">
        <v>2633</v>
      </c>
      <c r="AN92" t="s">
        <v>2634</v>
      </c>
      <c r="AO92" t="s">
        <v>2635</v>
      </c>
      <c r="AP92" t="s">
        <v>2635</v>
      </c>
      <c r="AU92" t="s">
        <v>102</v>
      </c>
      <c r="AW92" t="s">
        <v>1758</v>
      </c>
      <c r="AX92" t="s">
        <v>119</v>
      </c>
      <c r="AY92" t="s">
        <v>170</v>
      </c>
      <c r="AZ92" t="s">
        <v>118</v>
      </c>
      <c r="BB92" t="s">
        <v>120</v>
      </c>
      <c r="BC92" t="s">
        <v>555</v>
      </c>
      <c r="BD92" t="s">
        <v>556</v>
      </c>
      <c r="BE92" t="s">
        <v>122</v>
      </c>
      <c r="BF92" t="s">
        <v>557</v>
      </c>
      <c r="BG92" t="s">
        <v>124</v>
      </c>
      <c r="BH92" t="s">
        <v>545</v>
      </c>
      <c r="BI92" t="s">
        <v>559</v>
      </c>
      <c r="BJ92" t="s">
        <v>127</v>
      </c>
      <c r="BK92" t="s">
        <v>2636</v>
      </c>
      <c r="BL92" t="s">
        <v>2637</v>
      </c>
      <c r="BM92" t="s">
        <v>2638</v>
      </c>
      <c r="BN92" t="s">
        <v>1467</v>
      </c>
      <c r="BO92" t="s">
        <v>563</v>
      </c>
      <c r="BP92" t="s">
        <v>350</v>
      </c>
      <c r="BQ92" t="s">
        <v>564</v>
      </c>
      <c r="BR92" t="s">
        <v>565</v>
      </c>
      <c r="BS92" t="s">
        <v>563</v>
      </c>
      <c r="BU92" t="s">
        <v>2639</v>
      </c>
      <c r="BV92" t="s">
        <v>2640</v>
      </c>
      <c r="BW92" t="s">
        <v>138</v>
      </c>
      <c r="BX92" t="s">
        <v>2641</v>
      </c>
      <c r="BY92" t="s">
        <v>2642</v>
      </c>
      <c r="BZ92" t="s">
        <v>2641</v>
      </c>
      <c r="CA92" t="s">
        <v>2640</v>
      </c>
      <c r="CB92" t="s">
        <v>2641</v>
      </c>
      <c r="CC92" t="s">
        <v>2642</v>
      </c>
      <c r="CD92" t="s">
        <v>2643</v>
      </c>
      <c r="CE92" t="s">
        <v>2641</v>
      </c>
      <c r="CF92" t="s">
        <v>2644</v>
      </c>
      <c r="CG92" t="s">
        <v>2645</v>
      </c>
      <c r="CH92" t="s">
        <v>2646</v>
      </c>
      <c r="CJ92" t="s">
        <v>2447</v>
      </c>
      <c r="CK92" t="s">
        <v>2646</v>
      </c>
      <c r="CL92" t="s">
        <v>555</v>
      </c>
      <c r="CM92" t="s">
        <v>556</v>
      </c>
      <c r="CN92" t="s">
        <v>2447</v>
      </c>
      <c r="CO92" t="s">
        <v>2647</v>
      </c>
      <c r="CP92" t="s">
        <v>2646</v>
      </c>
      <c r="CQ92" t="s">
        <v>2646</v>
      </c>
    </row>
    <row r="93" spans="1:95">
      <c r="A93" t="s">
        <v>149</v>
      </c>
      <c r="B93">
        <v>207682</v>
      </c>
      <c r="C93" t="s">
        <v>2648</v>
      </c>
      <c r="F93" t="s">
        <v>95</v>
      </c>
      <c r="G93" t="s">
        <v>365</v>
      </c>
      <c r="H93" t="s">
        <v>97</v>
      </c>
      <c r="I93" t="s">
        <v>98</v>
      </c>
      <c r="J93" t="s">
        <v>2649</v>
      </c>
      <c r="K93" t="s">
        <v>100</v>
      </c>
      <c r="L93">
        <v>540323</v>
      </c>
      <c r="M93">
        <v>540323</v>
      </c>
      <c r="N93">
        <v>540323</v>
      </c>
      <c r="O93">
        <v>1544</v>
      </c>
      <c r="P93" t="s">
        <v>2650</v>
      </c>
      <c r="Q93">
        <v>0</v>
      </c>
      <c r="R93">
        <v>0</v>
      </c>
      <c r="T93">
        <v>0</v>
      </c>
      <c r="U93">
        <v>0</v>
      </c>
      <c r="W93" t="s">
        <v>102</v>
      </c>
      <c r="X93" t="s">
        <v>275</v>
      </c>
      <c r="Z93" t="s">
        <v>238</v>
      </c>
      <c r="AA93" t="s">
        <v>109</v>
      </c>
      <c r="AB93" t="s">
        <v>102</v>
      </c>
      <c r="AC93" t="s">
        <v>109</v>
      </c>
      <c r="AD93" t="s">
        <v>102</v>
      </c>
      <c r="AE93" t="s">
        <v>109</v>
      </c>
      <c r="AF93" t="s">
        <v>102</v>
      </c>
      <c r="AG93" t="s">
        <v>109</v>
      </c>
      <c r="AH93" t="s">
        <v>102</v>
      </c>
      <c r="AI93" t="s">
        <v>2651</v>
      </c>
      <c r="AJ93" t="s">
        <v>96</v>
      </c>
      <c r="AK93" t="s">
        <v>96</v>
      </c>
      <c r="AL93" t="s">
        <v>2652</v>
      </c>
      <c r="AM93" t="s">
        <v>2653</v>
      </c>
      <c r="AN93" t="s">
        <v>2654</v>
      </c>
      <c r="AO93" t="s">
        <v>2655</v>
      </c>
      <c r="AP93" t="s">
        <v>2655</v>
      </c>
      <c r="AU93" t="s">
        <v>117</v>
      </c>
      <c r="AV93" t="s">
        <v>118</v>
      </c>
      <c r="AW93" t="s">
        <v>102</v>
      </c>
      <c r="AX93" t="s">
        <v>119</v>
      </c>
      <c r="BB93" t="s">
        <v>120</v>
      </c>
      <c r="BC93" t="s">
        <v>1786</v>
      </c>
      <c r="BD93" t="s">
        <v>410</v>
      </c>
      <c r="BE93" t="s">
        <v>212</v>
      </c>
      <c r="BF93" t="s">
        <v>213</v>
      </c>
      <c r="BG93" t="s">
        <v>124</v>
      </c>
      <c r="BH93" t="s">
        <v>214</v>
      </c>
      <c r="BI93" t="s">
        <v>126</v>
      </c>
      <c r="BJ93" t="s">
        <v>127</v>
      </c>
      <c r="BK93" t="s">
        <v>2656</v>
      </c>
      <c r="BL93" t="s">
        <v>2657</v>
      </c>
      <c r="BM93" t="s">
        <v>2658</v>
      </c>
      <c r="BN93" t="s">
        <v>365</v>
      </c>
      <c r="BO93" t="s">
        <v>924</v>
      </c>
      <c r="BP93" t="s">
        <v>180</v>
      </c>
      <c r="BQ93" t="s">
        <v>925</v>
      </c>
      <c r="BR93" t="s">
        <v>926</v>
      </c>
      <c r="BS93" t="s">
        <v>2151</v>
      </c>
      <c r="BU93" t="s">
        <v>2659</v>
      </c>
      <c r="BV93" t="s">
        <v>2660</v>
      </c>
      <c r="BW93" t="s">
        <v>598</v>
      </c>
      <c r="BX93" t="s">
        <v>2661</v>
      </c>
      <c r="BY93" t="s">
        <v>2662</v>
      </c>
      <c r="BZ93" t="s">
        <v>2663</v>
      </c>
      <c r="CA93" t="s">
        <v>2664</v>
      </c>
      <c r="CB93" t="s">
        <v>2663</v>
      </c>
      <c r="CC93" t="s">
        <v>2665</v>
      </c>
      <c r="CD93" t="s">
        <v>2666</v>
      </c>
      <c r="CE93" t="s">
        <v>2667</v>
      </c>
      <c r="CF93" t="s">
        <v>2668</v>
      </c>
      <c r="CG93" t="s">
        <v>102</v>
      </c>
      <c r="CH93" t="s">
        <v>2669</v>
      </c>
      <c r="CJ93" t="s">
        <v>2670</v>
      </c>
      <c r="CK93" t="s">
        <v>2669</v>
      </c>
      <c r="CL93" t="s">
        <v>1786</v>
      </c>
      <c r="CM93" t="s">
        <v>410</v>
      </c>
      <c r="CN93" t="s">
        <v>2670</v>
      </c>
      <c r="CP93" t="s">
        <v>2669</v>
      </c>
      <c r="CQ93" t="s">
        <v>2669</v>
      </c>
    </row>
    <row r="94" spans="1:95">
      <c r="A94" t="s">
        <v>93</v>
      </c>
      <c r="B94">
        <v>209833</v>
      </c>
      <c r="C94" t="s">
        <v>2671</v>
      </c>
      <c r="D94" t="str">
        <f>VLOOKUP(B94,'2025'!B:C,2,0)</f>
        <v>Ishita Jethwa</v>
      </c>
      <c r="F94" t="s">
        <v>95</v>
      </c>
      <c r="G94" t="s">
        <v>2672</v>
      </c>
      <c r="H94" t="s">
        <v>2673</v>
      </c>
      <c r="I94" t="s">
        <v>98</v>
      </c>
      <c r="J94" t="s">
        <v>2674</v>
      </c>
      <c r="K94" t="s">
        <v>100</v>
      </c>
      <c r="L94">
        <v>1446860</v>
      </c>
      <c r="M94">
        <v>1446860</v>
      </c>
      <c r="N94">
        <v>296854</v>
      </c>
      <c r="O94">
        <v>619</v>
      </c>
      <c r="P94" t="s">
        <v>2675</v>
      </c>
      <c r="Q94">
        <v>1150006</v>
      </c>
      <c r="R94">
        <v>403</v>
      </c>
      <c r="S94" t="s">
        <v>2676</v>
      </c>
      <c r="T94">
        <v>0</v>
      </c>
      <c r="U94">
        <v>0</v>
      </c>
      <c r="W94" t="s">
        <v>102</v>
      </c>
      <c r="X94" t="s">
        <v>275</v>
      </c>
      <c r="Z94" t="s">
        <v>2677</v>
      </c>
      <c r="AA94" t="s">
        <v>109</v>
      </c>
      <c r="AB94" t="s">
        <v>102</v>
      </c>
      <c r="AC94" t="s">
        <v>109</v>
      </c>
      <c r="AD94" t="s">
        <v>102</v>
      </c>
      <c r="AE94" t="s">
        <v>109</v>
      </c>
      <c r="AF94" t="s">
        <v>102</v>
      </c>
      <c r="AG94" t="s">
        <v>109</v>
      </c>
      <c r="AH94" t="s">
        <v>102</v>
      </c>
      <c r="AI94" t="s">
        <v>102</v>
      </c>
      <c r="AJ94" t="s">
        <v>175</v>
      </c>
      <c r="AK94" t="s">
        <v>1161</v>
      </c>
      <c r="AL94" t="s">
        <v>2678</v>
      </c>
      <c r="AM94" t="s">
        <v>2679</v>
      </c>
      <c r="AN94" t="s">
        <v>2680</v>
      </c>
      <c r="AO94" t="s">
        <v>2681</v>
      </c>
      <c r="AP94" t="s">
        <v>2682</v>
      </c>
      <c r="AS94" t="s">
        <v>169</v>
      </c>
      <c r="AU94" t="s">
        <v>318</v>
      </c>
      <c r="AV94" t="s">
        <v>118</v>
      </c>
      <c r="AW94" t="s">
        <v>655</v>
      </c>
      <c r="AX94" t="s">
        <v>119</v>
      </c>
      <c r="AY94" t="s">
        <v>170</v>
      </c>
      <c r="AZ94" t="s">
        <v>118</v>
      </c>
      <c r="BB94" t="s">
        <v>171</v>
      </c>
      <c r="BC94" t="s">
        <v>729</v>
      </c>
      <c r="BD94" t="s">
        <v>730</v>
      </c>
      <c r="BE94" t="s">
        <v>622</v>
      </c>
      <c r="BF94" t="s">
        <v>730</v>
      </c>
      <c r="BG94" t="s">
        <v>124</v>
      </c>
      <c r="BH94" t="s">
        <v>2683</v>
      </c>
      <c r="BI94" t="s">
        <v>1038</v>
      </c>
      <c r="BJ94" t="s">
        <v>127</v>
      </c>
      <c r="BK94" t="s">
        <v>2684</v>
      </c>
      <c r="BL94" t="s">
        <v>2685</v>
      </c>
      <c r="BM94" t="s">
        <v>2686</v>
      </c>
      <c r="BN94" t="s">
        <v>2672</v>
      </c>
      <c r="BO94" t="s">
        <v>734</v>
      </c>
      <c r="BP94" t="s">
        <v>258</v>
      </c>
      <c r="BQ94" t="s">
        <v>735</v>
      </c>
      <c r="BR94" t="s">
        <v>736</v>
      </c>
      <c r="BS94" t="s">
        <v>2569</v>
      </c>
      <c r="BU94" t="s">
        <v>2687</v>
      </c>
      <c r="BV94" t="s">
        <v>2688</v>
      </c>
      <c r="BW94" t="s">
        <v>138</v>
      </c>
      <c r="BX94" t="s">
        <v>2689</v>
      </c>
      <c r="BY94" t="s">
        <v>2690</v>
      </c>
      <c r="BZ94" t="s">
        <v>2691</v>
      </c>
      <c r="CA94" t="s">
        <v>2688</v>
      </c>
      <c r="CB94" t="s">
        <v>2689</v>
      </c>
      <c r="CC94" t="s">
        <v>2690</v>
      </c>
      <c r="CD94" t="s">
        <v>2692</v>
      </c>
      <c r="CE94" t="s">
        <v>2693</v>
      </c>
      <c r="CF94" t="s">
        <v>2694</v>
      </c>
      <c r="CG94" t="s">
        <v>907</v>
      </c>
      <c r="CH94" t="s">
        <v>2695</v>
      </c>
      <c r="CJ94" t="s">
        <v>2696</v>
      </c>
      <c r="CK94" t="s">
        <v>2695</v>
      </c>
      <c r="CL94" t="s">
        <v>729</v>
      </c>
      <c r="CM94" t="s">
        <v>730</v>
      </c>
      <c r="CN94" t="s">
        <v>2696</v>
      </c>
      <c r="CP94" t="s">
        <v>2695</v>
      </c>
      <c r="CQ94" t="s">
        <v>2695</v>
      </c>
    </row>
    <row r="95" spans="1:95">
      <c r="A95" t="s">
        <v>149</v>
      </c>
      <c r="B95">
        <v>2104860</v>
      </c>
      <c r="C95" t="s">
        <v>2697</v>
      </c>
      <c r="D95" t="str">
        <f>VLOOKUP(B95,'2025'!B:C,2,0)</f>
        <v>Vineeth T V</v>
      </c>
      <c r="F95" t="s">
        <v>95</v>
      </c>
      <c r="G95" t="s">
        <v>1374</v>
      </c>
      <c r="H95" t="s">
        <v>152</v>
      </c>
      <c r="I95" t="s">
        <v>98</v>
      </c>
      <c r="J95" t="s">
        <v>2698</v>
      </c>
      <c r="K95" t="s">
        <v>100</v>
      </c>
      <c r="L95">
        <v>453188</v>
      </c>
      <c r="M95">
        <v>453188</v>
      </c>
      <c r="N95">
        <v>0</v>
      </c>
      <c r="O95">
        <v>0</v>
      </c>
      <c r="Q95">
        <v>453188</v>
      </c>
      <c r="R95">
        <v>259</v>
      </c>
      <c r="S95" t="s">
        <v>1376</v>
      </c>
      <c r="T95">
        <v>0</v>
      </c>
      <c r="U95">
        <v>0</v>
      </c>
      <c r="W95" t="s">
        <v>102</v>
      </c>
      <c r="X95" t="s">
        <v>103</v>
      </c>
      <c r="Y95" t="s">
        <v>155</v>
      </c>
      <c r="AA95" t="s">
        <v>151</v>
      </c>
      <c r="AB95" t="s">
        <v>2699</v>
      </c>
      <c r="AC95" t="s">
        <v>648</v>
      </c>
      <c r="AD95" t="s">
        <v>2699</v>
      </c>
      <c r="AE95" t="s">
        <v>402</v>
      </c>
      <c r="AF95" t="s">
        <v>2699</v>
      </c>
      <c r="AG95" t="s">
        <v>160</v>
      </c>
      <c r="AH95" t="s">
        <v>2699</v>
      </c>
      <c r="AI95" t="s">
        <v>2700</v>
      </c>
      <c r="AJ95" t="s">
        <v>1199</v>
      </c>
      <c r="AK95" t="s">
        <v>1379</v>
      </c>
      <c r="AL95" t="s">
        <v>2701</v>
      </c>
      <c r="AM95" t="s">
        <v>2702</v>
      </c>
      <c r="AN95" t="s">
        <v>2703</v>
      </c>
      <c r="AO95" t="s">
        <v>1383</v>
      </c>
      <c r="AP95" t="s">
        <v>1383</v>
      </c>
      <c r="AU95" t="s">
        <v>102</v>
      </c>
      <c r="AW95" t="s">
        <v>1384</v>
      </c>
      <c r="AX95" t="s">
        <v>119</v>
      </c>
      <c r="AZ95" t="s">
        <v>250</v>
      </c>
      <c r="BB95" t="s">
        <v>120</v>
      </c>
      <c r="BC95" t="s">
        <v>2704</v>
      </c>
      <c r="BD95" t="s">
        <v>410</v>
      </c>
      <c r="BE95" t="s">
        <v>212</v>
      </c>
      <c r="BF95" t="s">
        <v>410</v>
      </c>
      <c r="BG95" t="s">
        <v>124</v>
      </c>
      <c r="BH95" t="s">
        <v>851</v>
      </c>
      <c r="BI95" t="s">
        <v>625</v>
      </c>
      <c r="BJ95" t="s">
        <v>127</v>
      </c>
      <c r="BK95" t="s">
        <v>2705</v>
      </c>
      <c r="BL95" t="s">
        <v>2706</v>
      </c>
      <c r="BM95" t="s">
        <v>2707</v>
      </c>
      <c r="BN95" t="s">
        <v>1374</v>
      </c>
      <c r="BO95" t="s">
        <v>866</v>
      </c>
      <c r="BP95" t="s">
        <v>132</v>
      </c>
      <c r="BQ95" t="s">
        <v>867</v>
      </c>
      <c r="BR95" t="s">
        <v>868</v>
      </c>
      <c r="BS95" t="s">
        <v>418</v>
      </c>
      <c r="BU95" t="s">
        <v>2708</v>
      </c>
      <c r="BV95" t="s">
        <v>1390</v>
      </c>
      <c r="BX95" t="s">
        <v>1391</v>
      </c>
      <c r="BY95" t="s">
        <v>1392</v>
      </c>
      <c r="BZ95" t="s">
        <v>1391</v>
      </c>
      <c r="CG95" t="s">
        <v>102</v>
      </c>
      <c r="CH95" t="s">
        <v>2709</v>
      </c>
      <c r="CJ95" t="s">
        <v>2710</v>
      </c>
      <c r="CK95" t="s">
        <v>2709</v>
      </c>
      <c r="CL95" t="s">
        <v>2704</v>
      </c>
      <c r="CM95" t="s">
        <v>1711</v>
      </c>
      <c r="CN95" t="s">
        <v>2710</v>
      </c>
      <c r="CO95" t="s">
        <v>1395</v>
      </c>
      <c r="CP95" t="s">
        <v>2709</v>
      </c>
      <c r="CQ95" t="s">
        <v>2709</v>
      </c>
    </row>
    <row r="96" spans="1:95">
      <c r="A96" t="s">
        <v>149</v>
      </c>
      <c r="B96">
        <v>210666</v>
      </c>
      <c r="C96" t="s">
        <v>2711</v>
      </c>
      <c r="F96" t="s">
        <v>95</v>
      </c>
      <c r="G96" t="s">
        <v>2712</v>
      </c>
      <c r="H96" t="s">
        <v>2713</v>
      </c>
      <c r="I96" t="s">
        <v>98</v>
      </c>
      <c r="J96" t="s">
        <v>2714</v>
      </c>
      <c r="K96" t="s">
        <v>100</v>
      </c>
      <c r="L96">
        <v>807134</v>
      </c>
      <c r="M96">
        <v>846119</v>
      </c>
      <c r="N96">
        <v>590549</v>
      </c>
      <c r="O96">
        <v>1150</v>
      </c>
      <c r="P96" t="s">
        <v>2715</v>
      </c>
      <c r="Q96">
        <v>0</v>
      </c>
      <c r="R96">
        <v>0</v>
      </c>
      <c r="T96">
        <v>216585</v>
      </c>
      <c r="U96">
        <v>181</v>
      </c>
      <c r="V96" t="s">
        <v>2716</v>
      </c>
      <c r="W96" t="s">
        <v>102</v>
      </c>
      <c r="X96" t="s">
        <v>103</v>
      </c>
      <c r="Y96" t="s">
        <v>801</v>
      </c>
      <c r="AA96" t="s">
        <v>2717</v>
      </c>
      <c r="AB96" t="s">
        <v>2718</v>
      </c>
      <c r="AC96" t="s">
        <v>2719</v>
      </c>
      <c r="AD96" t="s">
        <v>2720</v>
      </c>
      <c r="AE96" t="s">
        <v>1095</v>
      </c>
      <c r="AF96" t="s">
        <v>2721</v>
      </c>
      <c r="AG96" t="s">
        <v>807</v>
      </c>
      <c r="AH96" t="s">
        <v>2721</v>
      </c>
      <c r="AI96" t="s">
        <v>2722</v>
      </c>
      <c r="AJ96" t="s">
        <v>2723</v>
      </c>
      <c r="AK96" t="s">
        <v>2724</v>
      </c>
      <c r="AL96" t="s">
        <v>2725</v>
      </c>
      <c r="AM96" t="s">
        <v>2726</v>
      </c>
      <c r="AN96" t="s">
        <v>2727</v>
      </c>
      <c r="AO96" t="s">
        <v>2728</v>
      </c>
      <c r="AP96" t="s">
        <v>2728</v>
      </c>
      <c r="AU96" t="s">
        <v>117</v>
      </c>
      <c r="AV96" t="s">
        <v>118</v>
      </c>
      <c r="AW96" t="s">
        <v>102</v>
      </c>
      <c r="AX96" t="s">
        <v>119</v>
      </c>
      <c r="BA96" t="s">
        <v>250</v>
      </c>
      <c r="BB96" t="s">
        <v>171</v>
      </c>
      <c r="BC96" t="s">
        <v>1759</v>
      </c>
      <c r="BD96" t="s">
        <v>410</v>
      </c>
      <c r="BE96" t="s">
        <v>212</v>
      </c>
      <c r="BF96" t="s">
        <v>410</v>
      </c>
      <c r="BG96" t="s">
        <v>124</v>
      </c>
      <c r="BH96" t="s">
        <v>214</v>
      </c>
      <c r="BI96" t="s">
        <v>215</v>
      </c>
      <c r="BJ96" t="s">
        <v>127</v>
      </c>
      <c r="BK96" t="s">
        <v>2729</v>
      </c>
      <c r="BL96" t="s">
        <v>2730</v>
      </c>
      <c r="BM96" t="s">
        <v>2731</v>
      </c>
      <c r="BN96" t="s">
        <v>2712</v>
      </c>
      <c r="BO96" t="s">
        <v>415</v>
      </c>
      <c r="BP96" t="s">
        <v>132</v>
      </c>
      <c r="BQ96" t="s">
        <v>416</v>
      </c>
      <c r="BR96" t="s">
        <v>417</v>
      </c>
      <c r="BS96" t="s">
        <v>222</v>
      </c>
      <c r="BU96" t="s">
        <v>2732</v>
      </c>
      <c r="BV96" t="s">
        <v>2733</v>
      </c>
      <c r="BW96" t="s">
        <v>138</v>
      </c>
      <c r="BX96" t="s">
        <v>2734</v>
      </c>
      <c r="BY96" t="s">
        <v>2735</v>
      </c>
      <c r="BZ96" t="s">
        <v>2734</v>
      </c>
      <c r="CA96" t="s">
        <v>2733</v>
      </c>
      <c r="CB96" t="s">
        <v>2734</v>
      </c>
      <c r="CC96" t="s">
        <v>2735</v>
      </c>
      <c r="CD96" t="s">
        <v>2736</v>
      </c>
      <c r="CE96" t="s">
        <v>2737</v>
      </c>
      <c r="CF96" t="s">
        <v>2738</v>
      </c>
      <c r="CG96" t="s">
        <v>102</v>
      </c>
      <c r="CH96" t="s">
        <v>2739</v>
      </c>
      <c r="CJ96" t="s">
        <v>2740</v>
      </c>
      <c r="CK96" t="s">
        <v>1773</v>
      </c>
      <c r="CL96" t="s">
        <v>1759</v>
      </c>
      <c r="CM96" t="s">
        <v>410</v>
      </c>
      <c r="CN96" t="s">
        <v>2740</v>
      </c>
      <c r="CO96" t="s">
        <v>1775</v>
      </c>
      <c r="CP96" t="s">
        <v>2739</v>
      </c>
      <c r="CQ96" t="s">
        <v>1773</v>
      </c>
    </row>
    <row r="97" spans="1:95">
      <c r="A97" t="s">
        <v>337</v>
      </c>
      <c r="B97">
        <v>212432</v>
      </c>
      <c r="C97" t="s">
        <v>2741</v>
      </c>
      <c r="D97" t="str">
        <f>VLOOKUP(B97,'2025'!B:C,2,0)</f>
        <v>Chaitanya</v>
      </c>
      <c r="F97" t="s">
        <v>95</v>
      </c>
      <c r="G97" t="s">
        <v>2742</v>
      </c>
      <c r="H97" t="s">
        <v>2193</v>
      </c>
      <c r="I97" t="s">
        <v>98</v>
      </c>
      <c r="J97" t="s">
        <v>2743</v>
      </c>
      <c r="K97" t="s">
        <v>100</v>
      </c>
      <c r="L97">
        <v>7935819</v>
      </c>
      <c r="M97">
        <v>8007819</v>
      </c>
      <c r="N97">
        <v>7535819</v>
      </c>
      <c r="O97">
        <v>15547</v>
      </c>
      <c r="P97" t="s">
        <v>2744</v>
      </c>
      <c r="Q97">
        <v>0</v>
      </c>
      <c r="R97">
        <v>0</v>
      </c>
      <c r="S97" t="s">
        <v>102</v>
      </c>
      <c r="T97">
        <v>0</v>
      </c>
      <c r="U97">
        <v>0</v>
      </c>
      <c r="V97" t="s">
        <v>102</v>
      </c>
      <c r="W97" t="s">
        <v>2195</v>
      </c>
      <c r="X97" t="s">
        <v>103</v>
      </c>
      <c r="Y97" t="s">
        <v>2196</v>
      </c>
      <c r="Z97" t="s">
        <v>582</v>
      </c>
      <c r="AA97" t="s">
        <v>2745</v>
      </c>
      <c r="AB97" t="s">
        <v>2746</v>
      </c>
      <c r="AC97" t="s">
        <v>2747</v>
      </c>
      <c r="AD97" t="s">
        <v>2748</v>
      </c>
      <c r="AE97" t="s">
        <v>2749</v>
      </c>
      <c r="AF97" t="s">
        <v>2750</v>
      </c>
      <c r="AG97" t="s">
        <v>2751</v>
      </c>
      <c r="AH97" t="s">
        <v>102</v>
      </c>
      <c r="AI97" t="s">
        <v>2752</v>
      </c>
      <c r="AJ97" t="s">
        <v>2753</v>
      </c>
      <c r="AK97" t="s">
        <v>2754</v>
      </c>
      <c r="AL97" t="s">
        <v>2755</v>
      </c>
      <c r="AM97" t="s">
        <v>2756</v>
      </c>
      <c r="AN97" t="s">
        <v>2757</v>
      </c>
      <c r="AO97" t="s">
        <v>2758</v>
      </c>
      <c r="AP97" t="s">
        <v>2759</v>
      </c>
      <c r="AQ97" t="s">
        <v>102</v>
      </c>
      <c r="AR97" t="s">
        <v>2760</v>
      </c>
      <c r="AS97" t="s">
        <v>102</v>
      </c>
      <c r="AT97" t="s">
        <v>102</v>
      </c>
      <c r="AU97" t="s">
        <v>247</v>
      </c>
      <c r="AV97" t="s">
        <v>118</v>
      </c>
      <c r="AW97" t="s">
        <v>102</v>
      </c>
      <c r="AX97" t="s">
        <v>119</v>
      </c>
      <c r="BB97" t="s">
        <v>120</v>
      </c>
      <c r="BC97" t="s">
        <v>2204</v>
      </c>
      <c r="BD97" t="s">
        <v>121</v>
      </c>
      <c r="BE97" t="s">
        <v>122</v>
      </c>
      <c r="BF97" t="s">
        <v>123</v>
      </c>
      <c r="BG97" t="s">
        <v>124</v>
      </c>
      <c r="BH97" t="s">
        <v>2761</v>
      </c>
      <c r="BI97" t="s">
        <v>2762</v>
      </c>
      <c r="BJ97" t="s">
        <v>2207</v>
      </c>
      <c r="BK97" t="s">
        <v>2763</v>
      </c>
      <c r="BL97" t="s">
        <v>2764</v>
      </c>
      <c r="BM97" t="s">
        <v>2765</v>
      </c>
      <c r="BN97" t="s">
        <v>2742</v>
      </c>
      <c r="BO97" t="s">
        <v>2766</v>
      </c>
      <c r="BP97" t="s">
        <v>2767</v>
      </c>
      <c r="BQ97" t="s">
        <v>2213</v>
      </c>
      <c r="BR97" t="s">
        <v>2214</v>
      </c>
      <c r="BS97" t="s">
        <v>2215</v>
      </c>
      <c r="BT97" t="s">
        <v>2216</v>
      </c>
      <c r="BU97" t="s">
        <v>2768</v>
      </c>
      <c r="BV97" t="s">
        <v>2769</v>
      </c>
      <c r="BW97" t="s">
        <v>138</v>
      </c>
      <c r="BX97" t="s">
        <v>2770</v>
      </c>
      <c r="BY97" t="s">
        <v>2771</v>
      </c>
      <c r="BZ97" t="s">
        <v>2772</v>
      </c>
      <c r="CG97" t="s">
        <v>2773</v>
      </c>
      <c r="CH97" t="s">
        <v>2774</v>
      </c>
      <c r="CJ97" t="s">
        <v>2775</v>
      </c>
      <c r="CK97" t="s">
        <v>2774</v>
      </c>
      <c r="CL97" t="s">
        <v>2204</v>
      </c>
      <c r="CM97" t="s">
        <v>2226</v>
      </c>
      <c r="CN97" t="s">
        <v>2775</v>
      </c>
      <c r="CO97" t="s">
        <v>2776</v>
      </c>
      <c r="CP97" t="s">
        <v>2774</v>
      </c>
      <c r="CQ97" t="s">
        <v>2774</v>
      </c>
    </row>
    <row r="98" spans="1:95">
      <c r="A98" t="s">
        <v>495</v>
      </c>
      <c r="B98">
        <v>2144857</v>
      </c>
      <c r="C98" t="s">
        <v>2777</v>
      </c>
      <c r="E98" s="4" t="s">
        <v>17377</v>
      </c>
      <c r="F98" t="s">
        <v>95</v>
      </c>
      <c r="G98" t="s">
        <v>497</v>
      </c>
      <c r="H98" t="s">
        <v>97</v>
      </c>
      <c r="I98" t="s">
        <v>98</v>
      </c>
      <c r="J98" t="s">
        <v>2778</v>
      </c>
      <c r="K98" t="s">
        <v>100</v>
      </c>
      <c r="L98">
        <v>0</v>
      </c>
      <c r="M98">
        <v>0</v>
      </c>
      <c r="N98">
        <v>0</v>
      </c>
      <c r="O98">
        <v>492</v>
      </c>
      <c r="P98" t="s">
        <v>102</v>
      </c>
      <c r="Q98">
        <v>0</v>
      </c>
      <c r="R98">
        <v>0</v>
      </c>
      <c r="T98">
        <v>0</v>
      </c>
      <c r="U98">
        <v>0</v>
      </c>
      <c r="W98" t="s">
        <v>102</v>
      </c>
      <c r="X98" t="s">
        <v>275</v>
      </c>
      <c r="Z98" t="s">
        <v>499</v>
      </c>
      <c r="AA98" t="s">
        <v>109</v>
      </c>
      <c r="AB98" t="s">
        <v>102</v>
      </c>
      <c r="AC98" t="s">
        <v>109</v>
      </c>
      <c r="AD98" t="s">
        <v>102</v>
      </c>
      <c r="AE98" t="s">
        <v>109</v>
      </c>
      <c r="AF98" t="s">
        <v>102</v>
      </c>
      <c r="AG98" t="s">
        <v>109</v>
      </c>
      <c r="AH98" t="s">
        <v>102</v>
      </c>
      <c r="AI98" t="s">
        <v>102</v>
      </c>
      <c r="AL98" t="s">
        <v>102</v>
      </c>
      <c r="AM98" t="s">
        <v>102</v>
      </c>
      <c r="AN98" t="s">
        <v>102</v>
      </c>
      <c r="AO98" t="s">
        <v>115</v>
      </c>
      <c r="AP98" t="s">
        <v>115</v>
      </c>
      <c r="AU98" t="s">
        <v>117</v>
      </c>
      <c r="AV98" t="s">
        <v>118</v>
      </c>
      <c r="AW98" t="s">
        <v>102</v>
      </c>
      <c r="AX98" t="s">
        <v>119</v>
      </c>
      <c r="BB98" t="s">
        <v>120</v>
      </c>
      <c r="BC98" t="s">
        <v>2779</v>
      </c>
      <c r="BD98" t="s">
        <v>285</v>
      </c>
      <c r="BE98" t="s">
        <v>212</v>
      </c>
      <c r="BF98" t="s">
        <v>286</v>
      </c>
      <c r="BG98" t="s">
        <v>124</v>
      </c>
      <c r="BH98" t="s">
        <v>501</v>
      </c>
      <c r="BI98" t="s">
        <v>126</v>
      </c>
      <c r="BJ98" t="s">
        <v>127</v>
      </c>
      <c r="BK98" t="s">
        <v>2780</v>
      </c>
      <c r="BL98" t="s">
        <v>2781</v>
      </c>
      <c r="BM98" t="s">
        <v>2782</v>
      </c>
      <c r="BN98" t="s">
        <v>497</v>
      </c>
      <c r="BO98" t="s">
        <v>505</v>
      </c>
      <c r="BP98" t="s">
        <v>505</v>
      </c>
      <c r="BQ98" t="s">
        <v>225</v>
      </c>
      <c r="BR98" t="s">
        <v>506</v>
      </c>
      <c r="BS98" t="s">
        <v>507</v>
      </c>
      <c r="BU98" t="s">
        <v>2783</v>
      </c>
      <c r="BV98" t="s">
        <v>2784</v>
      </c>
      <c r="BW98" t="s">
        <v>138</v>
      </c>
      <c r="BX98" t="s">
        <v>2785</v>
      </c>
      <c r="BY98" t="s">
        <v>2786</v>
      </c>
      <c r="CA98" t="s">
        <v>2784</v>
      </c>
      <c r="CB98" t="s">
        <v>2785</v>
      </c>
      <c r="CC98" t="s">
        <v>2786</v>
      </c>
      <c r="CD98" t="s">
        <v>2787</v>
      </c>
      <c r="CE98" t="s">
        <v>2785</v>
      </c>
      <c r="CF98" t="s">
        <v>2788</v>
      </c>
      <c r="CG98" t="s">
        <v>102</v>
      </c>
      <c r="CH98" t="s">
        <v>2789</v>
      </c>
      <c r="CJ98" t="s">
        <v>2790</v>
      </c>
      <c r="CK98" t="s">
        <v>2789</v>
      </c>
      <c r="CL98" t="s">
        <v>2779</v>
      </c>
      <c r="CM98" t="s">
        <v>285</v>
      </c>
      <c r="CN98" t="s">
        <v>2790</v>
      </c>
      <c r="CP98" t="s">
        <v>2789</v>
      </c>
      <c r="CQ98" t="s">
        <v>2789</v>
      </c>
    </row>
    <row r="99" spans="1:95">
      <c r="A99" t="s">
        <v>149</v>
      </c>
      <c r="B99">
        <v>2171347</v>
      </c>
      <c r="C99" t="s">
        <v>2791</v>
      </c>
      <c r="D99" t="str">
        <f>VLOOKUP(B99,'2025'!B:C,2,0)</f>
        <v>Bhavishya</v>
      </c>
      <c r="F99" t="s">
        <v>95</v>
      </c>
      <c r="G99" t="s">
        <v>2792</v>
      </c>
      <c r="H99" t="s">
        <v>152</v>
      </c>
      <c r="I99" t="s">
        <v>98</v>
      </c>
      <c r="J99" t="s">
        <v>2793</v>
      </c>
      <c r="K99" t="s">
        <v>100</v>
      </c>
      <c r="L99">
        <v>1728118</v>
      </c>
      <c r="M99">
        <v>1728118</v>
      </c>
      <c r="N99">
        <v>0</v>
      </c>
      <c r="O99">
        <v>0</v>
      </c>
      <c r="Q99">
        <v>1728118</v>
      </c>
      <c r="R99">
        <v>1008</v>
      </c>
      <c r="S99" t="s">
        <v>2794</v>
      </c>
      <c r="T99">
        <v>0</v>
      </c>
      <c r="U99">
        <v>0</v>
      </c>
      <c r="W99" t="s">
        <v>102</v>
      </c>
      <c r="X99" t="s">
        <v>275</v>
      </c>
      <c r="Z99" t="s">
        <v>341</v>
      </c>
      <c r="AA99" t="s">
        <v>109</v>
      </c>
      <c r="AB99" t="s">
        <v>102</v>
      </c>
      <c r="AC99" t="s">
        <v>109</v>
      </c>
      <c r="AD99" t="s">
        <v>102</v>
      </c>
      <c r="AE99" t="s">
        <v>109</v>
      </c>
      <c r="AF99" t="s">
        <v>102</v>
      </c>
      <c r="AG99" t="s">
        <v>109</v>
      </c>
      <c r="AH99" t="s">
        <v>102</v>
      </c>
      <c r="AI99" t="s">
        <v>102</v>
      </c>
      <c r="AJ99" t="s">
        <v>238</v>
      </c>
      <c r="AK99" t="s">
        <v>238</v>
      </c>
      <c r="AL99" t="s">
        <v>2795</v>
      </c>
      <c r="AM99" t="s">
        <v>2796</v>
      </c>
      <c r="AN99" t="s">
        <v>2797</v>
      </c>
      <c r="AO99" t="s">
        <v>2798</v>
      </c>
      <c r="AP99" t="s">
        <v>2798</v>
      </c>
      <c r="AU99" t="s">
        <v>102</v>
      </c>
      <c r="AW99" t="s">
        <v>155</v>
      </c>
      <c r="AX99" t="s">
        <v>447</v>
      </c>
      <c r="AY99" t="s">
        <v>170</v>
      </c>
      <c r="AZ99" t="s">
        <v>118</v>
      </c>
      <c r="BB99" t="s">
        <v>209</v>
      </c>
      <c r="BC99" t="s">
        <v>2799</v>
      </c>
      <c r="BD99" t="s">
        <v>2800</v>
      </c>
      <c r="BE99" t="s">
        <v>122</v>
      </c>
      <c r="BF99" t="s">
        <v>346</v>
      </c>
      <c r="BG99" t="s">
        <v>124</v>
      </c>
      <c r="BH99" t="s">
        <v>232</v>
      </c>
      <c r="BI99" t="s">
        <v>126</v>
      </c>
      <c r="BJ99" t="s">
        <v>127</v>
      </c>
      <c r="BK99" t="s">
        <v>2801</v>
      </c>
      <c r="BL99" t="s">
        <v>2802</v>
      </c>
      <c r="BM99" t="s">
        <v>2803</v>
      </c>
      <c r="BN99" t="s">
        <v>2792</v>
      </c>
      <c r="BO99" t="s">
        <v>593</v>
      </c>
      <c r="BP99" t="s">
        <v>350</v>
      </c>
      <c r="BQ99" t="s">
        <v>594</v>
      </c>
      <c r="BR99" t="s">
        <v>595</v>
      </c>
      <c r="BS99" t="s">
        <v>328</v>
      </c>
      <c r="BU99" t="s">
        <v>2804</v>
      </c>
      <c r="BV99" t="s">
        <v>2805</v>
      </c>
      <c r="BW99" t="s">
        <v>354</v>
      </c>
      <c r="BX99" t="s">
        <v>2806</v>
      </c>
      <c r="BY99" t="s">
        <v>2807</v>
      </c>
      <c r="BZ99" t="s">
        <v>2808</v>
      </c>
      <c r="CG99" t="s">
        <v>102</v>
      </c>
      <c r="CH99" t="s">
        <v>2809</v>
      </c>
      <c r="CJ99" t="s">
        <v>2810</v>
      </c>
      <c r="CK99" t="s">
        <v>2809</v>
      </c>
      <c r="CL99" t="s">
        <v>2799</v>
      </c>
      <c r="CM99" t="s">
        <v>2800</v>
      </c>
      <c r="CN99" t="s">
        <v>2810</v>
      </c>
      <c r="CP99" t="s">
        <v>2809</v>
      </c>
      <c r="CQ99" t="s">
        <v>2809</v>
      </c>
    </row>
    <row r="100" spans="1:95">
      <c r="A100" t="s">
        <v>93</v>
      </c>
      <c r="B100">
        <v>2183623</v>
      </c>
      <c r="C100" t="s">
        <v>2811</v>
      </c>
      <c r="E100" s="4" t="s">
        <v>17377</v>
      </c>
      <c r="F100" t="s">
        <v>95</v>
      </c>
      <c r="G100" t="s">
        <v>1374</v>
      </c>
      <c r="H100" t="s">
        <v>97</v>
      </c>
      <c r="I100" t="s">
        <v>98</v>
      </c>
      <c r="J100" t="s">
        <v>2812</v>
      </c>
      <c r="K100" t="s">
        <v>100</v>
      </c>
      <c r="L100">
        <v>195000</v>
      </c>
      <c r="M100">
        <v>195000</v>
      </c>
      <c r="N100">
        <v>195000</v>
      </c>
      <c r="O100">
        <v>260</v>
      </c>
      <c r="P100" t="s">
        <v>101</v>
      </c>
      <c r="Q100">
        <v>0</v>
      </c>
      <c r="R100">
        <v>0</v>
      </c>
      <c r="T100">
        <v>0</v>
      </c>
      <c r="U100">
        <v>0</v>
      </c>
      <c r="W100" t="s">
        <v>102</v>
      </c>
      <c r="X100" t="s">
        <v>103</v>
      </c>
      <c r="Y100" t="s">
        <v>104</v>
      </c>
      <c r="AA100" t="s">
        <v>175</v>
      </c>
      <c r="AB100" t="s">
        <v>2813</v>
      </c>
      <c r="AC100" t="s">
        <v>437</v>
      </c>
      <c r="AD100" t="s">
        <v>2814</v>
      </c>
      <c r="AE100" t="s">
        <v>109</v>
      </c>
      <c r="AF100" t="s">
        <v>102</v>
      </c>
      <c r="AG100" t="s">
        <v>109</v>
      </c>
      <c r="AH100" t="s">
        <v>102</v>
      </c>
      <c r="AI100" t="s">
        <v>102</v>
      </c>
      <c r="AJ100" t="s">
        <v>2815</v>
      </c>
      <c r="AK100" t="s">
        <v>2816</v>
      </c>
      <c r="AL100" t="s">
        <v>2817</v>
      </c>
      <c r="AM100" t="s">
        <v>2818</v>
      </c>
      <c r="AN100" t="s">
        <v>2819</v>
      </c>
      <c r="AO100" t="s">
        <v>116</v>
      </c>
      <c r="AP100" t="s">
        <v>116</v>
      </c>
      <c r="AU100" t="s">
        <v>117</v>
      </c>
      <c r="AV100" t="s">
        <v>118</v>
      </c>
      <c r="AW100" t="s">
        <v>102</v>
      </c>
      <c r="AX100" t="s">
        <v>119</v>
      </c>
      <c r="BB100" t="s">
        <v>120</v>
      </c>
      <c r="BC100" t="s">
        <v>2820</v>
      </c>
      <c r="BD100" t="s">
        <v>376</v>
      </c>
      <c r="BE100" t="s">
        <v>174</v>
      </c>
      <c r="BF100" t="s">
        <v>376</v>
      </c>
      <c r="BG100" t="s">
        <v>124</v>
      </c>
      <c r="BH100" t="s">
        <v>892</v>
      </c>
      <c r="BI100" t="s">
        <v>1827</v>
      </c>
      <c r="BJ100" t="s">
        <v>127</v>
      </c>
      <c r="BK100" t="s">
        <v>2821</v>
      </c>
      <c r="BL100" t="s">
        <v>2822</v>
      </c>
      <c r="BM100" t="s">
        <v>2823</v>
      </c>
      <c r="BN100" t="s">
        <v>1374</v>
      </c>
      <c r="BO100" t="s">
        <v>1831</v>
      </c>
      <c r="BP100" t="s">
        <v>180</v>
      </c>
      <c r="BQ100" t="s">
        <v>1832</v>
      </c>
      <c r="BR100" t="s">
        <v>1833</v>
      </c>
      <c r="BS100" t="s">
        <v>1858</v>
      </c>
      <c r="BT100" t="s">
        <v>384</v>
      </c>
      <c r="BU100" t="s">
        <v>2824</v>
      </c>
      <c r="BV100" t="s">
        <v>2825</v>
      </c>
      <c r="BW100" t="s">
        <v>598</v>
      </c>
      <c r="BX100" t="s">
        <v>2826</v>
      </c>
      <c r="BY100" t="s">
        <v>2827</v>
      </c>
      <c r="BZ100" t="s">
        <v>2828</v>
      </c>
      <c r="CG100" t="s">
        <v>102</v>
      </c>
      <c r="CH100" t="s">
        <v>2829</v>
      </c>
      <c r="CJ100" t="s">
        <v>2830</v>
      </c>
      <c r="CK100" t="s">
        <v>2829</v>
      </c>
      <c r="CL100" t="s">
        <v>2820</v>
      </c>
      <c r="CM100" t="s">
        <v>376</v>
      </c>
      <c r="CN100" t="s">
        <v>2830</v>
      </c>
      <c r="CP100" t="s">
        <v>2829</v>
      </c>
      <c r="CQ100" t="s">
        <v>2829</v>
      </c>
    </row>
    <row r="101" spans="1:95">
      <c r="A101" t="s">
        <v>93</v>
      </c>
      <c r="B101">
        <v>218537</v>
      </c>
      <c r="C101" t="s">
        <v>2831</v>
      </c>
      <c r="D101" t="str">
        <f>VLOOKUP(B101,'2025'!B:C,2,0)</f>
        <v>Shruti</v>
      </c>
      <c r="F101" t="s">
        <v>95</v>
      </c>
      <c r="G101" t="s">
        <v>2832</v>
      </c>
      <c r="H101" t="s">
        <v>97</v>
      </c>
      <c r="I101" t="s">
        <v>98</v>
      </c>
      <c r="J101" t="s">
        <v>2833</v>
      </c>
      <c r="K101" t="s">
        <v>100</v>
      </c>
      <c r="L101">
        <v>471371</v>
      </c>
      <c r="M101">
        <v>471371</v>
      </c>
      <c r="N101">
        <v>471371</v>
      </c>
      <c r="O101">
        <v>972</v>
      </c>
      <c r="P101" t="s">
        <v>2834</v>
      </c>
      <c r="Q101">
        <v>0</v>
      </c>
      <c r="R101">
        <v>0</v>
      </c>
      <c r="T101">
        <v>0</v>
      </c>
      <c r="U101">
        <v>0</v>
      </c>
      <c r="W101" t="s">
        <v>102</v>
      </c>
      <c r="X101" t="s">
        <v>275</v>
      </c>
      <c r="Z101" t="s">
        <v>1422</v>
      </c>
      <c r="AA101" t="s">
        <v>109</v>
      </c>
      <c r="AB101" t="s">
        <v>102</v>
      </c>
      <c r="AC101" t="s">
        <v>109</v>
      </c>
      <c r="AD101" t="s">
        <v>102</v>
      </c>
      <c r="AE101" t="s">
        <v>109</v>
      </c>
      <c r="AF101" t="s">
        <v>102</v>
      </c>
      <c r="AG101" t="s">
        <v>109</v>
      </c>
      <c r="AH101" t="s">
        <v>102</v>
      </c>
      <c r="AI101" t="s">
        <v>2835</v>
      </c>
      <c r="AJ101" t="s">
        <v>238</v>
      </c>
      <c r="AK101" t="s">
        <v>2276</v>
      </c>
      <c r="AL101" t="s">
        <v>2836</v>
      </c>
      <c r="AM101" t="s">
        <v>2837</v>
      </c>
      <c r="AN101" t="s">
        <v>2838</v>
      </c>
      <c r="AO101" t="s">
        <v>2839</v>
      </c>
      <c r="AP101" t="s">
        <v>2839</v>
      </c>
      <c r="AU101" t="s">
        <v>117</v>
      </c>
      <c r="AV101" t="s">
        <v>118</v>
      </c>
      <c r="AW101" t="s">
        <v>102</v>
      </c>
      <c r="AX101" t="s">
        <v>119</v>
      </c>
      <c r="BB101" t="s">
        <v>120</v>
      </c>
      <c r="BC101" t="s">
        <v>2840</v>
      </c>
      <c r="BD101" t="s">
        <v>449</v>
      </c>
      <c r="BE101" t="s">
        <v>122</v>
      </c>
      <c r="BF101" t="s">
        <v>253</v>
      </c>
      <c r="BG101" t="s">
        <v>124</v>
      </c>
      <c r="BH101" t="s">
        <v>232</v>
      </c>
      <c r="BI101" t="s">
        <v>559</v>
      </c>
      <c r="BJ101" t="s">
        <v>127</v>
      </c>
      <c r="BK101" t="s">
        <v>2841</v>
      </c>
      <c r="BL101" t="s">
        <v>2842</v>
      </c>
      <c r="BM101" t="s">
        <v>2843</v>
      </c>
      <c r="BN101" t="s">
        <v>2832</v>
      </c>
      <c r="BO101" t="s">
        <v>2844</v>
      </c>
      <c r="BP101" t="s">
        <v>132</v>
      </c>
      <c r="BQ101" t="s">
        <v>2845</v>
      </c>
      <c r="BR101" t="s">
        <v>2846</v>
      </c>
      <c r="BS101" t="s">
        <v>2847</v>
      </c>
      <c r="BU101" t="s">
        <v>2848</v>
      </c>
      <c r="BV101" t="s">
        <v>2849</v>
      </c>
      <c r="BW101" t="s">
        <v>138</v>
      </c>
      <c r="BX101" t="s">
        <v>2850</v>
      </c>
      <c r="BY101" t="s">
        <v>2851</v>
      </c>
      <c r="BZ101" t="s">
        <v>2852</v>
      </c>
      <c r="CA101" t="s">
        <v>2849</v>
      </c>
      <c r="CB101" t="s">
        <v>2850</v>
      </c>
      <c r="CC101" t="s">
        <v>2851</v>
      </c>
      <c r="CG101" t="s">
        <v>2853</v>
      </c>
      <c r="CH101" t="s">
        <v>2854</v>
      </c>
      <c r="CJ101" t="s">
        <v>2855</v>
      </c>
      <c r="CK101" t="s">
        <v>2856</v>
      </c>
      <c r="CL101" t="s">
        <v>2840</v>
      </c>
      <c r="CM101" t="s">
        <v>449</v>
      </c>
      <c r="CN101" t="s">
        <v>2855</v>
      </c>
      <c r="CO101" t="s">
        <v>2857</v>
      </c>
      <c r="CP101" t="s">
        <v>2858</v>
      </c>
      <c r="CQ101" t="s">
        <v>2856</v>
      </c>
    </row>
    <row r="102" spans="1:95">
      <c r="A102" t="s">
        <v>149</v>
      </c>
      <c r="B102">
        <v>22293</v>
      </c>
      <c r="C102" t="s">
        <v>2859</v>
      </c>
      <c r="E102" s="4" t="s">
        <v>17377</v>
      </c>
      <c r="F102" t="s">
        <v>95</v>
      </c>
      <c r="G102" t="s">
        <v>1447</v>
      </c>
      <c r="H102" t="s">
        <v>1746</v>
      </c>
      <c r="I102" t="s">
        <v>98</v>
      </c>
      <c r="J102" t="s">
        <v>2860</v>
      </c>
      <c r="K102" t="s">
        <v>100</v>
      </c>
      <c r="L102">
        <v>1059851</v>
      </c>
      <c r="M102">
        <v>1140156</v>
      </c>
      <c r="N102">
        <v>174038</v>
      </c>
      <c r="O102">
        <v>332</v>
      </c>
      <c r="P102" t="s">
        <v>2861</v>
      </c>
      <c r="Q102">
        <v>439674</v>
      </c>
      <c r="R102">
        <v>332</v>
      </c>
      <c r="S102" t="s">
        <v>2862</v>
      </c>
      <c r="T102">
        <v>446139</v>
      </c>
      <c r="U102">
        <v>265</v>
      </c>
      <c r="V102" t="s">
        <v>2863</v>
      </c>
      <c r="W102" t="s">
        <v>102</v>
      </c>
      <c r="X102" t="s">
        <v>103</v>
      </c>
      <c r="Y102" t="s">
        <v>104</v>
      </c>
      <c r="AA102" t="s">
        <v>1819</v>
      </c>
      <c r="AB102" t="s">
        <v>2864</v>
      </c>
      <c r="AC102" t="s">
        <v>158</v>
      </c>
      <c r="AD102" t="s">
        <v>2865</v>
      </c>
      <c r="AE102" t="s">
        <v>109</v>
      </c>
      <c r="AF102" t="s">
        <v>102</v>
      </c>
      <c r="AG102" t="s">
        <v>109</v>
      </c>
      <c r="AH102" t="s">
        <v>102</v>
      </c>
      <c r="AI102" t="s">
        <v>2866</v>
      </c>
      <c r="AJ102" t="s">
        <v>2349</v>
      </c>
      <c r="AK102" t="s">
        <v>2867</v>
      </c>
      <c r="AL102" t="s">
        <v>2868</v>
      </c>
      <c r="AM102" t="s">
        <v>2869</v>
      </c>
      <c r="AN102" t="s">
        <v>2870</v>
      </c>
      <c r="AO102" t="s">
        <v>2871</v>
      </c>
      <c r="AP102" t="s">
        <v>2871</v>
      </c>
      <c r="AU102" t="s">
        <v>318</v>
      </c>
      <c r="AV102" t="s">
        <v>118</v>
      </c>
      <c r="AW102" t="s">
        <v>1758</v>
      </c>
      <c r="AX102" t="s">
        <v>119</v>
      </c>
      <c r="AZ102" t="s">
        <v>250</v>
      </c>
      <c r="BA102" t="s">
        <v>250</v>
      </c>
      <c r="BB102" t="s">
        <v>209</v>
      </c>
      <c r="BC102" t="s">
        <v>2872</v>
      </c>
      <c r="BD102" t="s">
        <v>410</v>
      </c>
      <c r="BE102" t="s">
        <v>212</v>
      </c>
      <c r="BF102" t="s">
        <v>410</v>
      </c>
      <c r="BG102" t="s">
        <v>124</v>
      </c>
      <c r="BH102" t="s">
        <v>1374</v>
      </c>
      <c r="BI102" t="s">
        <v>411</v>
      </c>
      <c r="BJ102" t="s">
        <v>127</v>
      </c>
      <c r="BK102" t="s">
        <v>2873</v>
      </c>
      <c r="BL102" t="s">
        <v>2874</v>
      </c>
      <c r="BM102" t="s">
        <v>2875</v>
      </c>
      <c r="BN102" t="s">
        <v>1447</v>
      </c>
      <c r="BO102" t="s">
        <v>956</v>
      </c>
      <c r="BP102" t="s">
        <v>132</v>
      </c>
      <c r="BQ102" t="s">
        <v>958</v>
      </c>
      <c r="BR102" t="s">
        <v>959</v>
      </c>
      <c r="BS102" t="s">
        <v>293</v>
      </c>
      <c r="BT102" t="s">
        <v>293</v>
      </c>
      <c r="BU102" t="s">
        <v>2876</v>
      </c>
      <c r="BV102" t="s">
        <v>2877</v>
      </c>
      <c r="BX102" t="s">
        <v>2878</v>
      </c>
      <c r="BY102" t="s">
        <v>2879</v>
      </c>
      <c r="BZ102" t="s">
        <v>2878</v>
      </c>
      <c r="CG102" t="s">
        <v>102</v>
      </c>
      <c r="CH102" t="s">
        <v>2880</v>
      </c>
      <c r="CJ102" t="s">
        <v>2881</v>
      </c>
      <c r="CK102" t="s">
        <v>2880</v>
      </c>
      <c r="CL102" t="s">
        <v>2872</v>
      </c>
      <c r="CM102" t="s">
        <v>410</v>
      </c>
      <c r="CN102" t="s">
        <v>2881</v>
      </c>
      <c r="CP102" t="s">
        <v>2880</v>
      </c>
      <c r="CQ102" t="s">
        <v>2880</v>
      </c>
    </row>
    <row r="103" spans="1:95">
      <c r="A103" t="s">
        <v>149</v>
      </c>
      <c r="B103">
        <v>22355</v>
      </c>
      <c r="C103" t="s">
        <v>2882</v>
      </c>
      <c r="E103" s="4" t="s">
        <v>17377</v>
      </c>
      <c r="F103" t="s">
        <v>95</v>
      </c>
      <c r="G103" t="s">
        <v>2883</v>
      </c>
      <c r="H103" t="s">
        <v>2884</v>
      </c>
      <c r="I103" t="s">
        <v>98</v>
      </c>
      <c r="J103" t="s">
        <v>2885</v>
      </c>
      <c r="K103" t="s">
        <v>100</v>
      </c>
      <c r="L103">
        <v>1481699</v>
      </c>
      <c r="M103">
        <v>1626558</v>
      </c>
      <c r="N103">
        <v>193522</v>
      </c>
      <c r="O103">
        <v>406</v>
      </c>
      <c r="P103" t="s">
        <v>2886</v>
      </c>
      <c r="Q103">
        <v>483406</v>
      </c>
      <c r="R103">
        <v>515</v>
      </c>
      <c r="S103" t="s">
        <v>2887</v>
      </c>
      <c r="T103">
        <v>804771</v>
      </c>
      <c r="U103">
        <v>492</v>
      </c>
      <c r="V103" t="s">
        <v>2888</v>
      </c>
      <c r="W103" t="s">
        <v>102</v>
      </c>
      <c r="X103" t="s">
        <v>679</v>
      </c>
      <c r="Y103" t="s">
        <v>104</v>
      </c>
      <c r="Z103" t="s">
        <v>1161</v>
      </c>
      <c r="AA103" t="s">
        <v>2889</v>
      </c>
      <c r="AB103" t="s">
        <v>2890</v>
      </c>
      <c r="AC103" t="s">
        <v>2891</v>
      </c>
      <c r="AD103" t="s">
        <v>2892</v>
      </c>
      <c r="AE103" t="s">
        <v>109</v>
      </c>
      <c r="AF103" t="s">
        <v>102</v>
      </c>
      <c r="AG103" t="s">
        <v>109</v>
      </c>
      <c r="AH103" t="s">
        <v>102</v>
      </c>
      <c r="AI103" t="s">
        <v>2893</v>
      </c>
      <c r="AJ103" t="s">
        <v>2349</v>
      </c>
      <c r="AK103" t="s">
        <v>2080</v>
      </c>
      <c r="AL103" t="s">
        <v>2894</v>
      </c>
      <c r="AM103" t="s">
        <v>2895</v>
      </c>
      <c r="AN103" t="s">
        <v>2896</v>
      </c>
      <c r="AO103" t="s">
        <v>2897</v>
      </c>
      <c r="AP103" t="s">
        <v>2897</v>
      </c>
      <c r="AU103" t="s">
        <v>247</v>
      </c>
      <c r="AV103" t="s">
        <v>118</v>
      </c>
      <c r="AW103" t="s">
        <v>1758</v>
      </c>
      <c r="AX103" t="s">
        <v>119</v>
      </c>
      <c r="AZ103" t="s">
        <v>250</v>
      </c>
      <c r="BA103" t="s">
        <v>250</v>
      </c>
      <c r="BB103" t="s">
        <v>209</v>
      </c>
      <c r="BC103" t="s">
        <v>2872</v>
      </c>
      <c r="BD103" t="s">
        <v>410</v>
      </c>
      <c r="BE103" t="s">
        <v>212</v>
      </c>
      <c r="BF103" t="s">
        <v>410</v>
      </c>
      <c r="BG103" t="s">
        <v>124</v>
      </c>
      <c r="BH103" t="s">
        <v>1374</v>
      </c>
      <c r="BI103" t="s">
        <v>411</v>
      </c>
      <c r="BJ103" t="s">
        <v>127</v>
      </c>
      <c r="BK103" t="s">
        <v>2898</v>
      </c>
      <c r="BL103" t="s">
        <v>2899</v>
      </c>
      <c r="BM103" t="s">
        <v>2900</v>
      </c>
      <c r="BN103" t="s">
        <v>2883</v>
      </c>
      <c r="BO103" t="s">
        <v>956</v>
      </c>
      <c r="BP103" t="s">
        <v>2901</v>
      </c>
      <c r="BQ103" t="s">
        <v>958</v>
      </c>
      <c r="BR103" t="s">
        <v>959</v>
      </c>
      <c r="BS103" t="s">
        <v>293</v>
      </c>
      <c r="BT103" t="s">
        <v>293</v>
      </c>
      <c r="BU103" t="s">
        <v>2902</v>
      </c>
      <c r="BV103" t="s">
        <v>2903</v>
      </c>
      <c r="BX103" t="s">
        <v>2904</v>
      </c>
      <c r="BY103" t="s">
        <v>2879</v>
      </c>
      <c r="BZ103" t="s">
        <v>2904</v>
      </c>
      <c r="CG103" t="s">
        <v>102</v>
      </c>
      <c r="CH103" t="s">
        <v>2905</v>
      </c>
      <c r="CJ103" t="s">
        <v>2881</v>
      </c>
      <c r="CK103" t="s">
        <v>2905</v>
      </c>
      <c r="CL103" t="s">
        <v>2872</v>
      </c>
      <c r="CM103" t="s">
        <v>410</v>
      </c>
      <c r="CN103" t="s">
        <v>2881</v>
      </c>
      <c r="CP103" t="s">
        <v>2905</v>
      </c>
      <c r="CQ103" t="s">
        <v>2905</v>
      </c>
    </row>
    <row r="104" spans="1:95">
      <c r="A104" t="s">
        <v>149</v>
      </c>
      <c r="B104">
        <v>226552</v>
      </c>
      <c r="C104" t="s">
        <v>2906</v>
      </c>
      <c r="D104" t="str">
        <f>VLOOKUP(B104,'2025'!B:C,2,0)</f>
        <v>Vaishali</v>
      </c>
      <c r="F104" t="s">
        <v>95</v>
      </c>
      <c r="G104" t="s">
        <v>2907</v>
      </c>
      <c r="H104" t="s">
        <v>193</v>
      </c>
      <c r="I104" t="s">
        <v>98</v>
      </c>
      <c r="J104" t="s">
        <v>2908</v>
      </c>
      <c r="K104" t="s">
        <v>100</v>
      </c>
      <c r="L104">
        <v>626152</v>
      </c>
      <c r="M104">
        <v>674203</v>
      </c>
      <c r="N104">
        <v>359200</v>
      </c>
      <c r="O104">
        <v>208</v>
      </c>
      <c r="P104" t="s">
        <v>2909</v>
      </c>
      <c r="Q104">
        <v>0</v>
      </c>
      <c r="R104">
        <v>0</v>
      </c>
      <c r="T104">
        <v>266952</v>
      </c>
      <c r="U104">
        <v>105</v>
      </c>
      <c r="V104" t="s">
        <v>2910</v>
      </c>
      <c r="W104" t="s">
        <v>102</v>
      </c>
      <c r="X104" t="s">
        <v>679</v>
      </c>
      <c r="Y104" t="s">
        <v>104</v>
      </c>
      <c r="Z104" t="s">
        <v>2911</v>
      </c>
      <c r="AA104" t="s">
        <v>2912</v>
      </c>
      <c r="AB104" t="s">
        <v>2913</v>
      </c>
      <c r="AC104" t="s">
        <v>2914</v>
      </c>
      <c r="AD104" t="s">
        <v>2913</v>
      </c>
      <c r="AE104" t="s">
        <v>109</v>
      </c>
      <c r="AF104" t="s">
        <v>102</v>
      </c>
      <c r="AG104" t="s">
        <v>109</v>
      </c>
      <c r="AH104" t="s">
        <v>102</v>
      </c>
      <c r="AI104" t="s">
        <v>2915</v>
      </c>
      <c r="AJ104" t="s">
        <v>2916</v>
      </c>
      <c r="AK104" t="s">
        <v>2917</v>
      </c>
      <c r="AL104" t="s">
        <v>2918</v>
      </c>
      <c r="AM104" t="s">
        <v>2919</v>
      </c>
      <c r="AN104" t="s">
        <v>2920</v>
      </c>
      <c r="AO104" t="s">
        <v>2921</v>
      </c>
      <c r="AP104" t="s">
        <v>2922</v>
      </c>
      <c r="AU104" t="s">
        <v>207</v>
      </c>
      <c r="AV104" t="s">
        <v>118</v>
      </c>
      <c r="AW104" t="s">
        <v>102</v>
      </c>
      <c r="AX104" t="s">
        <v>119</v>
      </c>
      <c r="BA104" t="s">
        <v>250</v>
      </c>
      <c r="BB104" t="s">
        <v>120</v>
      </c>
      <c r="BC104" t="s">
        <v>2204</v>
      </c>
      <c r="BD104" t="s">
        <v>121</v>
      </c>
      <c r="BE104" t="s">
        <v>122</v>
      </c>
      <c r="BF104" t="s">
        <v>123</v>
      </c>
      <c r="BG104" t="s">
        <v>124</v>
      </c>
      <c r="BH104" t="s">
        <v>232</v>
      </c>
      <c r="BI104" t="s">
        <v>2923</v>
      </c>
      <c r="BJ104" t="s">
        <v>127</v>
      </c>
      <c r="BK104" t="s">
        <v>2924</v>
      </c>
      <c r="BL104" t="s">
        <v>2925</v>
      </c>
      <c r="BM104" t="s">
        <v>2926</v>
      </c>
      <c r="BN104" t="s">
        <v>2907</v>
      </c>
      <c r="BO104" t="s">
        <v>2927</v>
      </c>
      <c r="BP104" t="s">
        <v>2928</v>
      </c>
      <c r="BQ104" t="s">
        <v>2929</v>
      </c>
      <c r="BR104" t="s">
        <v>2930</v>
      </c>
      <c r="BS104" t="s">
        <v>135</v>
      </c>
      <c r="BT104" t="s">
        <v>135</v>
      </c>
      <c r="BU104" t="s">
        <v>2931</v>
      </c>
      <c r="BV104" t="s">
        <v>2932</v>
      </c>
      <c r="BW104" t="s">
        <v>296</v>
      </c>
      <c r="BX104" t="s">
        <v>2933</v>
      </c>
      <c r="BY104" t="s">
        <v>2934</v>
      </c>
      <c r="BZ104" t="s">
        <v>2935</v>
      </c>
      <c r="CA104" t="s">
        <v>2936</v>
      </c>
      <c r="CB104" t="s">
        <v>2937</v>
      </c>
      <c r="CC104" t="s">
        <v>2934</v>
      </c>
      <c r="CD104" t="s">
        <v>2938</v>
      </c>
      <c r="CE104" t="s">
        <v>2939</v>
      </c>
      <c r="CF104" t="s">
        <v>2940</v>
      </c>
      <c r="CG104" t="s">
        <v>102</v>
      </c>
      <c r="CH104" t="s">
        <v>2941</v>
      </c>
      <c r="CJ104" t="s">
        <v>2942</v>
      </c>
      <c r="CK104" t="s">
        <v>2941</v>
      </c>
      <c r="CL104" t="s">
        <v>2204</v>
      </c>
      <c r="CM104" t="s">
        <v>121</v>
      </c>
      <c r="CN104" t="s">
        <v>2942</v>
      </c>
      <c r="CP104" t="s">
        <v>2941</v>
      </c>
      <c r="CQ104" t="s">
        <v>2941</v>
      </c>
    </row>
    <row r="105" spans="1:95">
      <c r="A105" t="s">
        <v>149</v>
      </c>
      <c r="B105">
        <v>2282758</v>
      </c>
      <c r="C105" t="s">
        <v>2943</v>
      </c>
      <c r="D105" t="str">
        <f>VLOOKUP(B105,'2025'!B:C,2,0)</f>
        <v>Shruti</v>
      </c>
      <c r="F105" t="s">
        <v>95</v>
      </c>
      <c r="G105" t="s">
        <v>2142</v>
      </c>
      <c r="H105" t="s">
        <v>2044</v>
      </c>
      <c r="I105" t="s">
        <v>98</v>
      </c>
      <c r="J105" t="s">
        <v>2944</v>
      </c>
      <c r="K105" t="s">
        <v>100</v>
      </c>
      <c r="L105">
        <v>1669690</v>
      </c>
      <c r="M105">
        <v>1669690</v>
      </c>
      <c r="N105">
        <v>1051800</v>
      </c>
      <c r="O105">
        <v>878</v>
      </c>
      <c r="P105" t="s">
        <v>2945</v>
      </c>
      <c r="Q105">
        <v>617890</v>
      </c>
      <c r="R105">
        <v>280</v>
      </c>
      <c r="S105" t="s">
        <v>2946</v>
      </c>
      <c r="T105">
        <v>0</v>
      </c>
      <c r="U105">
        <v>0</v>
      </c>
      <c r="W105" t="s">
        <v>102</v>
      </c>
      <c r="X105" t="s">
        <v>103</v>
      </c>
      <c r="Y105" t="s">
        <v>155</v>
      </c>
      <c r="AA105" t="s">
        <v>2947</v>
      </c>
      <c r="AB105" t="s">
        <v>2948</v>
      </c>
      <c r="AC105" t="s">
        <v>977</v>
      </c>
      <c r="AD105" t="s">
        <v>2948</v>
      </c>
      <c r="AE105" t="s">
        <v>853</v>
      </c>
      <c r="AF105" t="s">
        <v>2948</v>
      </c>
      <c r="AG105" t="s">
        <v>854</v>
      </c>
      <c r="AH105" t="s">
        <v>2948</v>
      </c>
      <c r="AI105" t="s">
        <v>2949</v>
      </c>
      <c r="AJ105" t="s">
        <v>911</v>
      </c>
      <c r="AK105" t="s">
        <v>2950</v>
      </c>
      <c r="AL105" t="s">
        <v>2951</v>
      </c>
      <c r="AM105" t="s">
        <v>2952</v>
      </c>
      <c r="AN105" t="s">
        <v>2953</v>
      </c>
      <c r="AO105" t="s">
        <v>2954</v>
      </c>
      <c r="AP105" t="s">
        <v>2954</v>
      </c>
      <c r="AU105" t="s">
        <v>117</v>
      </c>
      <c r="AV105" t="s">
        <v>118</v>
      </c>
      <c r="AW105" t="s">
        <v>155</v>
      </c>
      <c r="AX105" t="s">
        <v>447</v>
      </c>
      <c r="AY105" t="s">
        <v>170</v>
      </c>
      <c r="AZ105" t="s">
        <v>118</v>
      </c>
      <c r="BB105" t="s">
        <v>120</v>
      </c>
      <c r="BC105" t="s">
        <v>2955</v>
      </c>
      <c r="BD105" t="s">
        <v>449</v>
      </c>
      <c r="BE105" t="s">
        <v>122</v>
      </c>
      <c r="BF105" t="s">
        <v>253</v>
      </c>
      <c r="BG105" t="s">
        <v>124</v>
      </c>
      <c r="BH105" t="s">
        <v>232</v>
      </c>
      <c r="BI105" t="s">
        <v>126</v>
      </c>
      <c r="BJ105" t="s">
        <v>127</v>
      </c>
      <c r="BK105" t="s">
        <v>2956</v>
      </c>
      <c r="BL105" t="s">
        <v>2957</v>
      </c>
      <c r="BM105" t="s">
        <v>2958</v>
      </c>
      <c r="BN105" t="s">
        <v>2142</v>
      </c>
      <c r="BO105" t="s">
        <v>257</v>
      </c>
      <c r="BP105" t="s">
        <v>350</v>
      </c>
      <c r="BQ105" t="s">
        <v>259</v>
      </c>
      <c r="BR105" t="s">
        <v>260</v>
      </c>
      <c r="BS105" t="s">
        <v>566</v>
      </c>
      <c r="BU105" t="s">
        <v>2959</v>
      </c>
      <c r="BV105" t="s">
        <v>2960</v>
      </c>
      <c r="BW105" t="s">
        <v>138</v>
      </c>
      <c r="BX105" t="s">
        <v>2961</v>
      </c>
      <c r="BY105" t="s">
        <v>2962</v>
      </c>
      <c r="BZ105" t="s">
        <v>2961</v>
      </c>
      <c r="CA105" t="s">
        <v>2960</v>
      </c>
      <c r="CB105" t="s">
        <v>2961</v>
      </c>
      <c r="CC105" t="s">
        <v>2962</v>
      </c>
      <c r="CG105" t="s">
        <v>102</v>
      </c>
      <c r="CH105" t="s">
        <v>2963</v>
      </c>
      <c r="CJ105" t="s">
        <v>2964</v>
      </c>
      <c r="CK105" t="s">
        <v>2963</v>
      </c>
      <c r="CL105" t="s">
        <v>2955</v>
      </c>
      <c r="CM105" t="s">
        <v>449</v>
      </c>
      <c r="CN105" t="s">
        <v>2964</v>
      </c>
      <c r="CO105" t="s">
        <v>2965</v>
      </c>
      <c r="CP105" t="s">
        <v>2963</v>
      </c>
      <c r="CQ105" t="s">
        <v>2963</v>
      </c>
    </row>
    <row r="106" spans="1:95">
      <c r="A106" t="s">
        <v>495</v>
      </c>
      <c r="B106">
        <v>2285293</v>
      </c>
      <c r="C106" t="s">
        <v>2966</v>
      </c>
      <c r="D106" t="str">
        <f>VLOOKUP(B106,'2025'!B:C,2,0)</f>
        <v>Unnati Sharma</v>
      </c>
      <c r="F106" t="s">
        <v>95</v>
      </c>
      <c r="G106" t="s">
        <v>977</v>
      </c>
      <c r="H106" t="s">
        <v>97</v>
      </c>
      <c r="I106" t="s">
        <v>98</v>
      </c>
      <c r="J106" t="s">
        <v>2967</v>
      </c>
      <c r="K106" t="s">
        <v>100</v>
      </c>
      <c r="L106">
        <v>169200</v>
      </c>
      <c r="M106">
        <v>169200</v>
      </c>
      <c r="N106">
        <v>169200</v>
      </c>
      <c r="O106">
        <v>282</v>
      </c>
      <c r="P106" t="s">
        <v>310</v>
      </c>
      <c r="Q106">
        <v>0</v>
      </c>
      <c r="R106">
        <v>0</v>
      </c>
      <c r="T106">
        <v>0</v>
      </c>
      <c r="U106">
        <v>0</v>
      </c>
      <c r="W106" t="s">
        <v>102</v>
      </c>
      <c r="X106" t="s">
        <v>275</v>
      </c>
      <c r="Z106" t="s">
        <v>1358</v>
      </c>
      <c r="AA106" t="s">
        <v>109</v>
      </c>
      <c r="AB106" t="s">
        <v>102</v>
      </c>
      <c r="AC106" t="s">
        <v>109</v>
      </c>
      <c r="AD106" t="s">
        <v>102</v>
      </c>
      <c r="AE106" t="s">
        <v>109</v>
      </c>
      <c r="AF106" t="s">
        <v>102</v>
      </c>
      <c r="AG106" t="s">
        <v>109</v>
      </c>
      <c r="AH106" t="s">
        <v>102</v>
      </c>
      <c r="AI106" t="s">
        <v>2968</v>
      </c>
      <c r="AJ106" t="s">
        <v>723</v>
      </c>
      <c r="AK106" t="s">
        <v>723</v>
      </c>
      <c r="AL106" t="s">
        <v>2969</v>
      </c>
      <c r="AM106" t="s">
        <v>2970</v>
      </c>
      <c r="AN106" t="s">
        <v>2971</v>
      </c>
      <c r="AO106" t="s">
        <v>317</v>
      </c>
      <c r="AP106" t="s">
        <v>317</v>
      </c>
      <c r="AU106" t="s">
        <v>117</v>
      </c>
      <c r="AV106" t="s">
        <v>118</v>
      </c>
      <c r="AW106" t="s">
        <v>102</v>
      </c>
      <c r="AX106" t="s">
        <v>119</v>
      </c>
      <c r="BB106" t="s">
        <v>2565</v>
      </c>
      <c r="BC106" t="s">
        <v>2327</v>
      </c>
      <c r="BD106" t="s">
        <v>730</v>
      </c>
      <c r="BE106" t="s">
        <v>622</v>
      </c>
      <c r="BF106" t="s">
        <v>730</v>
      </c>
      <c r="BG106" t="s">
        <v>124</v>
      </c>
      <c r="BH106" t="s">
        <v>892</v>
      </c>
      <c r="BI106" t="s">
        <v>411</v>
      </c>
      <c r="BJ106" t="s">
        <v>127</v>
      </c>
      <c r="BK106" t="s">
        <v>2972</v>
      </c>
      <c r="BL106" t="s">
        <v>2973</v>
      </c>
      <c r="BM106" t="s">
        <v>2974</v>
      </c>
      <c r="BN106" t="s">
        <v>977</v>
      </c>
      <c r="BO106" t="s">
        <v>2262</v>
      </c>
      <c r="BP106" t="s">
        <v>350</v>
      </c>
      <c r="BQ106" t="s">
        <v>2263</v>
      </c>
      <c r="BR106" t="s">
        <v>2264</v>
      </c>
      <c r="BS106" t="s">
        <v>2569</v>
      </c>
      <c r="BT106" t="s">
        <v>985</v>
      </c>
      <c r="BU106" t="s">
        <v>2975</v>
      </c>
      <c r="BV106" t="s">
        <v>2976</v>
      </c>
      <c r="BX106" t="s">
        <v>2977</v>
      </c>
      <c r="BY106" t="s">
        <v>2978</v>
      </c>
      <c r="BZ106" t="s">
        <v>2979</v>
      </c>
      <c r="CG106" t="s">
        <v>2980</v>
      </c>
      <c r="CH106" t="s">
        <v>2981</v>
      </c>
      <c r="CJ106" t="s">
        <v>2982</v>
      </c>
      <c r="CK106" t="s">
        <v>2981</v>
      </c>
      <c r="CL106" t="s">
        <v>2327</v>
      </c>
      <c r="CM106" t="s">
        <v>730</v>
      </c>
      <c r="CN106" t="s">
        <v>2982</v>
      </c>
      <c r="CO106" t="s">
        <v>2983</v>
      </c>
      <c r="CP106" t="s">
        <v>2984</v>
      </c>
      <c r="CQ106" t="s">
        <v>2984</v>
      </c>
    </row>
    <row r="107" spans="1:95">
      <c r="A107" t="s">
        <v>149</v>
      </c>
      <c r="B107">
        <v>2291851</v>
      </c>
      <c r="C107" t="s">
        <v>2985</v>
      </c>
      <c r="D107" t="str">
        <f>VLOOKUP(B107,'2025'!B:C,2,0)</f>
        <v>Ishita Jethwa</v>
      </c>
      <c r="F107" t="s">
        <v>95</v>
      </c>
      <c r="G107" t="s">
        <v>156</v>
      </c>
      <c r="H107" t="s">
        <v>152</v>
      </c>
      <c r="I107" t="s">
        <v>98</v>
      </c>
      <c r="J107" t="s">
        <v>2986</v>
      </c>
      <c r="K107" t="s">
        <v>100</v>
      </c>
      <c r="L107">
        <v>670054</v>
      </c>
      <c r="M107">
        <v>670054</v>
      </c>
      <c r="N107">
        <v>0</v>
      </c>
      <c r="O107">
        <v>0</v>
      </c>
      <c r="Q107">
        <v>670054</v>
      </c>
      <c r="R107">
        <v>319</v>
      </c>
      <c r="S107" t="s">
        <v>2987</v>
      </c>
      <c r="T107">
        <v>0</v>
      </c>
      <c r="U107">
        <v>0</v>
      </c>
      <c r="W107" t="s">
        <v>102</v>
      </c>
      <c r="X107" t="s">
        <v>275</v>
      </c>
      <c r="Z107" t="s">
        <v>341</v>
      </c>
      <c r="AA107" t="s">
        <v>109</v>
      </c>
      <c r="AB107" t="s">
        <v>102</v>
      </c>
      <c r="AC107" t="s">
        <v>109</v>
      </c>
      <c r="AD107" t="s">
        <v>102</v>
      </c>
      <c r="AE107" t="s">
        <v>109</v>
      </c>
      <c r="AF107" t="s">
        <v>102</v>
      </c>
      <c r="AG107" t="s">
        <v>109</v>
      </c>
      <c r="AH107" t="s">
        <v>102</v>
      </c>
      <c r="AI107" t="s">
        <v>2988</v>
      </c>
      <c r="AJ107" t="s">
        <v>2989</v>
      </c>
      <c r="AK107" t="s">
        <v>2989</v>
      </c>
      <c r="AL107" t="s">
        <v>2990</v>
      </c>
      <c r="AM107" t="s">
        <v>2991</v>
      </c>
      <c r="AN107" t="s">
        <v>102</v>
      </c>
      <c r="AO107" t="s">
        <v>2992</v>
      </c>
      <c r="AP107" t="s">
        <v>2993</v>
      </c>
      <c r="AQ107" t="s">
        <v>343</v>
      </c>
      <c r="AU107" t="s">
        <v>102</v>
      </c>
      <c r="AW107" t="s">
        <v>1758</v>
      </c>
      <c r="AX107" t="s">
        <v>119</v>
      </c>
      <c r="AY107" t="s">
        <v>170</v>
      </c>
      <c r="AZ107" t="s">
        <v>118</v>
      </c>
      <c r="BB107" t="s">
        <v>209</v>
      </c>
      <c r="BC107" t="s">
        <v>2327</v>
      </c>
      <c r="BD107" t="s">
        <v>730</v>
      </c>
      <c r="BE107" t="s">
        <v>622</v>
      </c>
      <c r="BF107" t="s">
        <v>730</v>
      </c>
      <c r="BG107" t="s">
        <v>124</v>
      </c>
      <c r="BH107" t="s">
        <v>892</v>
      </c>
      <c r="BI107" t="s">
        <v>126</v>
      </c>
      <c r="BJ107" t="s">
        <v>127</v>
      </c>
      <c r="BK107" t="s">
        <v>2994</v>
      </c>
      <c r="BL107" t="s">
        <v>2995</v>
      </c>
      <c r="BM107" t="s">
        <v>2996</v>
      </c>
      <c r="BN107" t="s">
        <v>156</v>
      </c>
      <c r="BO107" t="s">
        <v>1733</v>
      </c>
      <c r="BP107" t="s">
        <v>258</v>
      </c>
      <c r="BQ107" t="s">
        <v>1734</v>
      </c>
      <c r="BR107" t="s">
        <v>1735</v>
      </c>
      <c r="BS107" t="s">
        <v>2525</v>
      </c>
      <c r="BU107" t="s">
        <v>2997</v>
      </c>
      <c r="BV107" t="s">
        <v>2998</v>
      </c>
      <c r="BW107" t="s">
        <v>296</v>
      </c>
      <c r="BX107" t="s">
        <v>2999</v>
      </c>
      <c r="BY107" t="s">
        <v>3000</v>
      </c>
      <c r="CG107" t="s">
        <v>102</v>
      </c>
      <c r="CH107" t="s">
        <v>3001</v>
      </c>
      <c r="CJ107" t="s">
        <v>2272</v>
      </c>
      <c r="CK107" t="s">
        <v>3001</v>
      </c>
      <c r="CL107" t="s">
        <v>2327</v>
      </c>
      <c r="CM107" t="s">
        <v>730</v>
      </c>
      <c r="CN107" t="s">
        <v>2272</v>
      </c>
      <c r="CP107" t="s">
        <v>3001</v>
      </c>
      <c r="CQ107" t="s">
        <v>3001</v>
      </c>
    </row>
    <row r="108" spans="1:95">
      <c r="A108" t="s">
        <v>337</v>
      </c>
      <c r="B108">
        <v>22983</v>
      </c>
      <c r="C108" t="s">
        <v>3002</v>
      </c>
      <c r="D108" t="str">
        <f>VLOOKUP(B108,'2025'!B:C,2,0)</f>
        <v>Ishita Jethwa</v>
      </c>
      <c r="F108" t="s">
        <v>95</v>
      </c>
      <c r="G108" t="s">
        <v>3003</v>
      </c>
      <c r="H108" t="s">
        <v>152</v>
      </c>
      <c r="I108" t="s">
        <v>98</v>
      </c>
      <c r="J108" t="s">
        <v>3004</v>
      </c>
      <c r="K108" t="s">
        <v>100</v>
      </c>
      <c r="L108">
        <v>232264</v>
      </c>
      <c r="M108">
        <v>232264</v>
      </c>
      <c r="N108">
        <v>0</v>
      </c>
      <c r="O108">
        <v>0</v>
      </c>
      <c r="Q108">
        <v>232264</v>
      </c>
      <c r="R108">
        <v>129</v>
      </c>
      <c r="S108" t="s">
        <v>3005</v>
      </c>
      <c r="T108">
        <v>0</v>
      </c>
      <c r="U108">
        <v>0</v>
      </c>
      <c r="W108" t="s">
        <v>102</v>
      </c>
      <c r="X108" t="s">
        <v>103</v>
      </c>
      <c r="Y108" t="s">
        <v>104</v>
      </c>
      <c r="AA108" t="s">
        <v>3006</v>
      </c>
      <c r="AB108" t="s">
        <v>3007</v>
      </c>
      <c r="AC108" t="s">
        <v>437</v>
      </c>
      <c r="AD108" t="s">
        <v>3007</v>
      </c>
      <c r="AE108" t="s">
        <v>109</v>
      </c>
      <c r="AF108" t="s">
        <v>102</v>
      </c>
      <c r="AG108" t="s">
        <v>109</v>
      </c>
      <c r="AH108" t="s">
        <v>102</v>
      </c>
      <c r="AI108" t="s">
        <v>3008</v>
      </c>
      <c r="AJ108" t="s">
        <v>2452</v>
      </c>
      <c r="AK108" t="s">
        <v>499</v>
      </c>
      <c r="AL108" t="s">
        <v>3009</v>
      </c>
      <c r="AM108" t="s">
        <v>3010</v>
      </c>
      <c r="AN108" t="s">
        <v>3011</v>
      </c>
      <c r="AO108" t="s">
        <v>3012</v>
      </c>
      <c r="AP108" t="s">
        <v>3012</v>
      </c>
      <c r="AU108" t="s">
        <v>102</v>
      </c>
      <c r="AW108" t="s">
        <v>155</v>
      </c>
      <c r="AX108" t="s">
        <v>119</v>
      </c>
      <c r="AY108" t="s">
        <v>170</v>
      </c>
      <c r="AZ108" t="s">
        <v>118</v>
      </c>
      <c r="BB108" t="s">
        <v>120</v>
      </c>
      <c r="BC108" t="s">
        <v>729</v>
      </c>
      <c r="BD108" t="s">
        <v>730</v>
      </c>
      <c r="BE108" t="s">
        <v>622</v>
      </c>
      <c r="BF108" t="s">
        <v>730</v>
      </c>
      <c r="BG108" t="s">
        <v>124</v>
      </c>
      <c r="BH108" t="s">
        <v>232</v>
      </c>
      <c r="BI108" t="s">
        <v>126</v>
      </c>
      <c r="BJ108" t="s">
        <v>127</v>
      </c>
      <c r="BK108" t="s">
        <v>3013</v>
      </c>
      <c r="BL108" t="s">
        <v>3014</v>
      </c>
      <c r="BM108" t="s">
        <v>3015</v>
      </c>
      <c r="BN108" t="s">
        <v>3003</v>
      </c>
      <c r="BO108" t="s">
        <v>734</v>
      </c>
      <c r="BP108" t="s">
        <v>350</v>
      </c>
      <c r="BQ108" t="s">
        <v>735</v>
      </c>
      <c r="BR108" t="s">
        <v>736</v>
      </c>
      <c r="BS108" t="s">
        <v>2569</v>
      </c>
      <c r="BU108" t="s">
        <v>3016</v>
      </c>
      <c r="BV108" t="s">
        <v>3017</v>
      </c>
      <c r="BW108" t="s">
        <v>138</v>
      </c>
      <c r="BX108" t="s">
        <v>3018</v>
      </c>
      <c r="BY108" t="s">
        <v>3019</v>
      </c>
      <c r="BZ108" t="s">
        <v>3020</v>
      </c>
      <c r="CA108" t="s">
        <v>3017</v>
      </c>
      <c r="CB108" t="s">
        <v>3018</v>
      </c>
      <c r="CC108" t="s">
        <v>3019</v>
      </c>
      <c r="CG108" t="s">
        <v>3021</v>
      </c>
      <c r="CH108" t="s">
        <v>3022</v>
      </c>
      <c r="CJ108" t="s">
        <v>3023</v>
      </c>
      <c r="CK108" t="s">
        <v>3022</v>
      </c>
      <c r="CL108" t="s">
        <v>729</v>
      </c>
      <c r="CM108" t="s">
        <v>730</v>
      </c>
      <c r="CN108" t="s">
        <v>3024</v>
      </c>
      <c r="CO108" t="s">
        <v>3025</v>
      </c>
      <c r="CP108" t="s">
        <v>3022</v>
      </c>
      <c r="CQ108" t="s">
        <v>3022</v>
      </c>
    </row>
    <row r="109" spans="1:95">
      <c r="A109" t="s">
        <v>149</v>
      </c>
      <c r="B109">
        <v>23246</v>
      </c>
      <c r="C109" t="s">
        <v>3026</v>
      </c>
      <c r="D109" t="str">
        <f>VLOOKUP(B109,'2025'!B:C,2,0)</f>
        <v>Vineeth T V</v>
      </c>
      <c r="F109" t="s">
        <v>95</v>
      </c>
      <c r="G109" t="s">
        <v>3027</v>
      </c>
      <c r="H109" t="s">
        <v>193</v>
      </c>
      <c r="I109" t="s">
        <v>98</v>
      </c>
      <c r="J109" t="s">
        <v>3028</v>
      </c>
      <c r="K109" t="s">
        <v>100</v>
      </c>
      <c r="L109">
        <v>2805796</v>
      </c>
      <c r="M109">
        <v>3078604</v>
      </c>
      <c r="N109">
        <v>1290194</v>
      </c>
      <c r="O109">
        <v>1173</v>
      </c>
      <c r="P109" t="s">
        <v>466</v>
      </c>
      <c r="Q109">
        <v>0</v>
      </c>
      <c r="R109">
        <v>0</v>
      </c>
      <c r="T109">
        <v>1515602</v>
      </c>
      <c r="U109">
        <v>739</v>
      </c>
      <c r="V109" t="s">
        <v>3029</v>
      </c>
      <c r="W109" t="s">
        <v>102</v>
      </c>
      <c r="X109" t="s">
        <v>103</v>
      </c>
      <c r="Y109" t="s">
        <v>398</v>
      </c>
      <c r="AA109" t="s">
        <v>1848</v>
      </c>
      <c r="AB109" t="s">
        <v>3030</v>
      </c>
      <c r="AC109" t="s">
        <v>158</v>
      </c>
      <c r="AD109" t="s">
        <v>3031</v>
      </c>
      <c r="AE109" t="s">
        <v>915</v>
      </c>
      <c r="AF109" t="s">
        <v>3031</v>
      </c>
      <c r="AG109" t="s">
        <v>109</v>
      </c>
      <c r="AH109" t="s">
        <v>102</v>
      </c>
      <c r="AI109" t="s">
        <v>102</v>
      </c>
      <c r="AJ109" t="s">
        <v>3032</v>
      </c>
      <c r="AK109" t="s">
        <v>3033</v>
      </c>
      <c r="AL109" t="s">
        <v>3034</v>
      </c>
      <c r="AM109" t="s">
        <v>3035</v>
      </c>
      <c r="AN109" t="s">
        <v>3036</v>
      </c>
      <c r="AO109" t="s">
        <v>3037</v>
      </c>
      <c r="AP109" t="s">
        <v>3037</v>
      </c>
      <c r="AU109" t="s">
        <v>247</v>
      </c>
      <c r="AV109" t="s">
        <v>118</v>
      </c>
      <c r="AW109" t="s">
        <v>102</v>
      </c>
      <c r="AX109" t="s">
        <v>119</v>
      </c>
      <c r="BA109" t="s">
        <v>250</v>
      </c>
      <c r="BB109" t="s">
        <v>171</v>
      </c>
      <c r="BC109" t="s">
        <v>920</v>
      </c>
      <c r="BD109" t="s">
        <v>211</v>
      </c>
      <c r="BE109" t="s">
        <v>212</v>
      </c>
      <c r="BF109" t="s">
        <v>213</v>
      </c>
      <c r="BG109" t="s">
        <v>124</v>
      </c>
      <c r="BH109" t="s">
        <v>125</v>
      </c>
      <c r="BI109" t="s">
        <v>411</v>
      </c>
      <c r="BJ109" t="s">
        <v>127</v>
      </c>
      <c r="BK109" t="s">
        <v>3038</v>
      </c>
      <c r="BL109" t="s">
        <v>3039</v>
      </c>
      <c r="BM109" t="s">
        <v>3040</v>
      </c>
      <c r="BN109" t="s">
        <v>3027</v>
      </c>
      <c r="BO109" t="s">
        <v>219</v>
      </c>
      <c r="BP109" t="s">
        <v>180</v>
      </c>
      <c r="BQ109" t="s">
        <v>220</v>
      </c>
      <c r="BR109" t="s">
        <v>221</v>
      </c>
      <c r="BS109" t="s">
        <v>222</v>
      </c>
      <c r="BU109" t="s">
        <v>3041</v>
      </c>
      <c r="BV109" t="s">
        <v>3042</v>
      </c>
      <c r="BX109" t="s">
        <v>3043</v>
      </c>
      <c r="BY109" t="s">
        <v>3044</v>
      </c>
      <c r="BZ109" t="s">
        <v>3045</v>
      </c>
      <c r="CA109" t="s">
        <v>3042</v>
      </c>
      <c r="CB109" t="s">
        <v>3043</v>
      </c>
      <c r="CC109" t="s">
        <v>3044</v>
      </c>
      <c r="CD109" t="s">
        <v>3046</v>
      </c>
      <c r="CE109" t="s">
        <v>3047</v>
      </c>
      <c r="CF109" t="s">
        <v>3048</v>
      </c>
      <c r="CG109" t="s">
        <v>102</v>
      </c>
      <c r="CH109" t="s">
        <v>3049</v>
      </c>
      <c r="CJ109" t="s">
        <v>3050</v>
      </c>
      <c r="CK109" t="s">
        <v>3049</v>
      </c>
      <c r="CL109" t="s">
        <v>920</v>
      </c>
      <c r="CM109" t="s">
        <v>211</v>
      </c>
      <c r="CN109" t="s">
        <v>3050</v>
      </c>
      <c r="CO109" t="s">
        <v>3051</v>
      </c>
      <c r="CP109" t="s">
        <v>3049</v>
      </c>
      <c r="CQ109" t="s">
        <v>3049</v>
      </c>
    </row>
    <row r="110" spans="1:95">
      <c r="A110" t="s">
        <v>337</v>
      </c>
      <c r="B110">
        <v>234775</v>
      </c>
      <c r="C110" t="s">
        <v>3052</v>
      </c>
      <c r="D110" t="str">
        <f>VLOOKUP(B110,'2025'!B:C,2,0)</f>
        <v>Chaitanya</v>
      </c>
      <c r="F110" t="s">
        <v>95</v>
      </c>
      <c r="G110" t="s">
        <v>3053</v>
      </c>
      <c r="H110" t="s">
        <v>2193</v>
      </c>
      <c r="I110" t="s">
        <v>98</v>
      </c>
      <c r="J110" t="s">
        <v>3054</v>
      </c>
      <c r="K110" t="s">
        <v>100</v>
      </c>
      <c r="L110">
        <v>400000</v>
      </c>
      <c r="M110">
        <v>472000</v>
      </c>
      <c r="N110">
        <v>0</v>
      </c>
      <c r="O110">
        <v>1315</v>
      </c>
      <c r="P110" t="s">
        <v>102</v>
      </c>
      <c r="Q110">
        <v>0</v>
      </c>
      <c r="R110">
        <v>0</v>
      </c>
      <c r="S110" t="s">
        <v>102</v>
      </c>
      <c r="T110">
        <v>0</v>
      </c>
      <c r="U110">
        <v>0</v>
      </c>
      <c r="V110" t="s">
        <v>102</v>
      </c>
      <c r="W110" t="s">
        <v>2195</v>
      </c>
      <c r="X110" t="s">
        <v>103</v>
      </c>
      <c r="Y110" t="s">
        <v>2196</v>
      </c>
      <c r="Z110" t="s">
        <v>377</v>
      </c>
      <c r="AA110" t="s">
        <v>3053</v>
      </c>
      <c r="AB110" t="s">
        <v>102</v>
      </c>
      <c r="AC110" t="s">
        <v>3055</v>
      </c>
      <c r="AD110" t="s">
        <v>102</v>
      </c>
      <c r="AE110" t="s">
        <v>3056</v>
      </c>
      <c r="AF110" t="s">
        <v>102</v>
      </c>
      <c r="AG110" t="s">
        <v>3057</v>
      </c>
      <c r="AH110" t="s">
        <v>102</v>
      </c>
      <c r="AI110" t="s">
        <v>102</v>
      </c>
      <c r="AJ110" t="s">
        <v>377</v>
      </c>
      <c r="AK110" t="s">
        <v>377</v>
      </c>
      <c r="AL110" t="s">
        <v>2195</v>
      </c>
      <c r="AM110" t="s">
        <v>102</v>
      </c>
      <c r="AN110" t="s">
        <v>2195</v>
      </c>
      <c r="AO110" t="s">
        <v>2202</v>
      </c>
      <c r="AP110" t="s">
        <v>2202</v>
      </c>
      <c r="AQ110" t="s">
        <v>102</v>
      </c>
      <c r="AR110" t="s">
        <v>102</v>
      </c>
      <c r="AS110" t="s">
        <v>102</v>
      </c>
      <c r="AT110" t="s">
        <v>102</v>
      </c>
      <c r="AU110" t="s">
        <v>247</v>
      </c>
      <c r="AV110" t="s">
        <v>118</v>
      </c>
      <c r="AW110" t="s">
        <v>102</v>
      </c>
      <c r="AX110" t="s">
        <v>119</v>
      </c>
      <c r="BB110" t="s">
        <v>120</v>
      </c>
      <c r="BC110" t="s">
        <v>3058</v>
      </c>
      <c r="BD110" t="s">
        <v>320</v>
      </c>
      <c r="BE110" t="s">
        <v>122</v>
      </c>
      <c r="BF110" t="s">
        <v>123</v>
      </c>
      <c r="BG110" t="s">
        <v>124</v>
      </c>
      <c r="BH110" t="s">
        <v>3059</v>
      </c>
      <c r="BI110" t="s">
        <v>3060</v>
      </c>
      <c r="BJ110" t="s">
        <v>2207</v>
      </c>
      <c r="BK110" t="s">
        <v>3061</v>
      </c>
      <c r="BL110" t="s">
        <v>3062</v>
      </c>
      <c r="BM110" t="s">
        <v>3063</v>
      </c>
      <c r="BN110" t="s">
        <v>3053</v>
      </c>
      <c r="BO110" t="s">
        <v>2766</v>
      </c>
      <c r="BP110" t="s">
        <v>3064</v>
      </c>
      <c r="BQ110" t="s">
        <v>2213</v>
      </c>
      <c r="BR110" t="s">
        <v>2214</v>
      </c>
      <c r="BS110" t="s">
        <v>2215</v>
      </c>
      <c r="BT110" t="s">
        <v>2216</v>
      </c>
      <c r="BU110" t="s">
        <v>3065</v>
      </c>
      <c r="BV110" t="s">
        <v>3066</v>
      </c>
      <c r="BW110" t="s">
        <v>138</v>
      </c>
      <c r="BX110" t="s">
        <v>225</v>
      </c>
      <c r="BY110" t="s">
        <v>226</v>
      </c>
      <c r="BZ110" t="s">
        <v>3067</v>
      </c>
      <c r="CG110" t="s">
        <v>3068</v>
      </c>
      <c r="CH110" t="s">
        <v>3069</v>
      </c>
      <c r="CJ110" t="s">
        <v>3070</v>
      </c>
      <c r="CK110" t="s">
        <v>3069</v>
      </c>
      <c r="CL110" t="s">
        <v>3058</v>
      </c>
      <c r="CM110" t="s">
        <v>320</v>
      </c>
      <c r="CN110" t="s">
        <v>3070</v>
      </c>
      <c r="CP110" t="s">
        <v>3069</v>
      </c>
      <c r="CQ110" t="s">
        <v>3069</v>
      </c>
    </row>
    <row r="111" spans="1:95">
      <c r="A111" t="s">
        <v>149</v>
      </c>
      <c r="B111">
        <v>236318</v>
      </c>
      <c r="C111" t="s">
        <v>3071</v>
      </c>
      <c r="D111" t="str">
        <f>VLOOKUP(B111,'2025'!B:C,2,0)</f>
        <v>Anushka</v>
      </c>
      <c r="F111" t="s">
        <v>95</v>
      </c>
      <c r="G111" t="s">
        <v>339</v>
      </c>
      <c r="H111" t="s">
        <v>97</v>
      </c>
      <c r="I111" t="s">
        <v>98</v>
      </c>
      <c r="J111" t="s">
        <v>3072</v>
      </c>
      <c r="K111" t="s">
        <v>100</v>
      </c>
      <c r="L111">
        <v>296035</v>
      </c>
      <c r="M111">
        <v>296035</v>
      </c>
      <c r="N111">
        <v>296035</v>
      </c>
      <c r="O111">
        <v>456</v>
      </c>
      <c r="P111" t="s">
        <v>3073</v>
      </c>
      <c r="Q111">
        <v>0</v>
      </c>
      <c r="R111">
        <v>0</v>
      </c>
      <c r="T111">
        <v>0</v>
      </c>
      <c r="U111">
        <v>0</v>
      </c>
      <c r="W111" t="s">
        <v>102</v>
      </c>
      <c r="X111" t="s">
        <v>275</v>
      </c>
      <c r="Z111" t="s">
        <v>1200</v>
      </c>
      <c r="AA111" t="s">
        <v>109</v>
      </c>
      <c r="AB111" t="s">
        <v>102</v>
      </c>
      <c r="AC111" t="s">
        <v>109</v>
      </c>
      <c r="AD111" t="s">
        <v>102</v>
      </c>
      <c r="AE111" t="s">
        <v>109</v>
      </c>
      <c r="AF111" t="s">
        <v>102</v>
      </c>
      <c r="AG111" t="s">
        <v>109</v>
      </c>
      <c r="AH111" t="s">
        <v>102</v>
      </c>
      <c r="AI111" t="s">
        <v>102</v>
      </c>
      <c r="AJ111" t="s">
        <v>3074</v>
      </c>
      <c r="AK111" t="s">
        <v>3074</v>
      </c>
      <c r="AL111" t="s">
        <v>3075</v>
      </c>
      <c r="AM111" t="s">
        <v>3076</v>
      </c>
      <c r="AN111" t="s">
        <v>3077</v>
      </c>
      <c r="AO111" t="s">
        <v>3078</v>
      </c>
      <c r="AP111" t="s">
        <v>3078</v>
      </c>
      <c r="AU111" t="s">
        <v>318</v>
      </c>
      <c r="AV111" t="s">
        <v>250</v>
      </c>
      <c r="AW111" t="s">
        <v>102</v>
      </c>
      <c r="AX111" t="s">
        <v>119</v>
      </c>
      <c r="BB111" t="s">
        <v>120</v>
      </c>
      <c r="BC111" t="s">
        <v>3079</v>
      </c>
      <c r="BD111" t="s">
        <v>1244</v>
      </c>
      <c r="BE111" t="s">
        <v>122</v>
      </c>
      <c r="BF111" t="s">
        <v>1244</v>
      </c>
      <c r="BG111" t="s">
        <v>124</v>
      </c>
      <c r="BH111" t="s">
        <v>232</v>
      </c>
      <c r="BI111" t="s">
        <v>126</v>
      </c>
      <c r="BJ111" t="s">
        <v>127</v>
      </c>
      <c r="BK111" t="s">
        <v>3080</v>
      </c>
      <c r="BL111" t="s">
        <v>3081</v>
      </c>
      <c r="BM111" t="s">
        <v>3082</v>
      </c>
      <c r="BN111" t="s">
        <v>339</v>
      </c>
      <c r="BO111" t="s">
        <v>3083</v>
      </c>
      <c r="BP111" t="s">
        <v>350</v>
      </c>
      <c r="BQ111" t="s">
        <v>3084</v>
      </c>
      <c r="BR111" t="s">
        <v>3085</v>
      </c>
      <c r="BS111" t="s">
        <v>1006</v>
      </c>
      <c r="BU111" t="s">
        <v>3086</v>
      </c>
      <c r="BV111" t="s">
        <v>3087</v>
      </c>
      <c r="BW111" t="s">
        <v>598</v>
      </c>
      <c r="BX111" t="s">
        <v>3088</v>
      </c>
      <c r="BY111" t="s">
        <v>3089</v>
      </c>
      <c r="BZ111" t="s">
        <v>3090</v>
      </c>
      <c r="CG111" t="s">
        <v>102</v>
      </c>
      <c r="CH111" t="s">
        <v>3091</v>
      </c>
      <c r="CJ111" t="s">
        <v>3092</v>
      </c>
      <c r="CK111" t="s">
        <v>3091</v>
      </c>
      <c r="CL111" t="s">
        <v>3079</v>
      </c>
      <c r="CM111" t="s">
        <v>1244</v>
      </c>
      <c r="CN111" t="s">
        <v>3092</v>
      </c>
      <c r="CP111" t="s">
        <v>3091</v>
      </c>
      <c r="CQ111" t="s">
        <v>3091</v>
      </c>
    </row>
    <row r="112" spans="1:95">
      <c r="A112" t="s">
        <v>149</v>
      </c>
      <c r="B112">
        <v>2379270</v>
      </c>
      <c r="C112" t="s">
        <v>3093</v>
      </c>
      <c r="F112" t="s">
        <v>95</v>
      </c>
      <c r="G112" t="s">
        <v>192</v>
      </c>
      <c r="H112" t="s">
        <v>193</v>
      </c>
      <c r="I112" t="s">
        <v>98</v>
      </c>
      <c r="J112" t="s">
        <v>3094</v>
      </c>
      <c r="K112" t="s">
        <v>100</v>
      </c>
      <c r="L112">
        <v>792902</v>
      </c>
      <c r="M112">
        <v>881612</v>
      </c>
      <c r="N112">
        <v>300067</v>
      </c>
      <c r="O112">
        <v>965</v>
      </c>
      <c r="P112" t="s">
        <v>195</v>
      </c>
      <c r="Q112">
        <v>0</v>
      </c>
      <c r="R112">
        <v>0</v>
      </c>
      <c r="T112">
        <v>492835</v>
      </c>
      <c r="U112">
        <v>969</v>
      </c>
      <c r="V112" t="s">
        <v>196</v>
      </c>
      <c r="W112" t="s">
        <v>102</v>
      </c>
      <c r="X112" t="s">
        <v>103</v>
      </c>
      <c r="Y112" t="s">
        <v>104</v>
      </c>
      <c r="AA112" t="s">
        <v>197</v>
      </c>
      <c r="AB112" t="s">
        <v>3095</v>
      </c>
      <c r="AC112" t="s">
        <v>199</v>
      </c>
      <c r="AD112" t="s">
        <v>3095</v>
      </c>
      <c r="AE112" t="s">
        <v>109</v>
      </c>
      <c r="AF112" t="s">
        <v>102</v>
      </c>
      <c r="AG112" t="s">
        <v>109</v>
      </c>
      <c r="AH112" t="s">
        <v>102</v>
      </c>
      <c r="AI112" t="s">
        <v>3096</v>
      </c>
      <c r="AJ112" t="s">
        <v>201</v>
      </c>
      <c r="AK112" t="s">
        <v>202</v>
      </c>
      <c r="AL112" t="s">
        <v>3097</v>
      </c>
      <c r="AM112" t="s">
        <v>3098</v>
      </c>
      <c r="AN112" t="s">
        <v>3099</v>
      </c>
      <c r="AO112" t="s">
        <v>206</v>
      </c>
      <c r="AP112" t="s">
        <v>206</v>
      </c>
      <c r="AU112" t="s">
        <v>207</v>
      </c>
      <c r="AV112" t="s">
        <v>118</v>
      </c>
      <c r="AW112" t="s">
        <v>102</v>
      </c>
      <c r="AX112" t="s">
        <v>119</v>
      </c>
      <c r="BA112" t="s">
        <v>208</v>
      </c>
      <c r="BB112" t="s">
        <v>120</v>
      </c>
      <c r="BC112" t="s">
        <v>920</v>
      </c>
      <c r="BD112" t="s">
        <v>211</v>
      </c>
      <c r="BE112" t="s">
        <v>212</v>
      </c>
      <c r="BF112" t="s">
        <v>213</v>
      </c>
      <c r="BG112" t="s">
        <v>124</v>
      </c>
      <c r="BH112" t="s">
        <v>214</v>
      </c>
      <c r="BI112" t="s">
        <v>215</v>
      </c>
      <c r="BJ112" t="s">
        <v>127</v>
      </c>
      <c r="BK112" t="s">
        <v>3100</v>
      </c>
      <c r="BL112" t="s">
        <v>3101</v>
      </c>
      <c r="BM112" t="s">
        <v>3102</v>
      </c>
      <c r="BN112" t="s">
        <v>192</v>
      </c>
      <c r="BO112" t="s">
        <v>219</v>
      </c>
      <c r="BP112" t="s">
        <v>180</v>
      </c>
      <c r="BQ112" t="s">
        <v>220</v>
      </c>
      <c r="BR112" t="s">
        <v>221</v>
      </c>
      <c r="BS112" t="s">
        <v>222</v>
      </c>
      <c r="BU112" t="s">
        <v>3103</v>
      </c>
      <c r="BV112" t="s">
        <v>224</v>
      </c>
      <c r="BX112" t="s">
        <v>225</v>
      </c>
      <c r="BY112" t="s">
        <v>226</v>
      </c>
      <c r="BZ112" t="s">
        <v>3104</v>
      </c>
      <c r="CG112" t="s">
        <v>102</v>
      </c>
      <c r="CH112" t="s">
        <v>3105</v>
      </c>
      <c r="CJ112" t="s">
        <v>3106</v>
      </c>
      <c r="CK112" t="s">
        <v>3105</v>
      </c>
      <c r="CL112" t="s">
        <v>920</v>
      </c>
      <c r="CM112" t="s">
        <v>211</v>
      </c>
      <c r="CN112" t="s">
        <v>3106</v>
      </c>
      <c r="CO112" t="s">
        <v>230</v>
      </c>
      <c r="CP112" t="s">
        <v>3105</v>
      </c>
      <c r="CQ112" t="s">
        <v>3105</v>
      </c>
    </row>
    <row r="113" spans="1:95">
      <c r="A113" t="s">
        <v>149</v>
      </c>
      <c r="B113">
        <v>2382287</v>
      </c>
      <c r="C113" t="s">
        <v>3107</v>
      </c>
      <c r="D113" t="str">
        <f>VLOOKUP(B113,'2025'!B:C,2,0)</f>
        <v>Sudhi</v>
      </c>
      <c r="F113" t="s">
        <v>95</v>
      </c>
      <c r="G113" t="s">
        <v>3108</v>
      </c>
      <c r="H113" t="s">
        <v>97</v>
      </c>
      <c r="I113" t="s">
        <v>98</v>
      </c>
      <c r="J113" t="s">
        <v>3109</v>
      </c>
      <c r="K113" t="s">
        <v>100</v>
      </c>
      <c r="L113">
        <v>460008</v>
      </c>
      <c r="M113">
        <v>460008</v>
      </c>
      <c r="N113">
        <v>460008</v>
      </c>
      <c r="O113">
        <v>1000</v>
      </c>
      <c r="P113" t="s">
        <v>3110</v>
      </c>
      <c r="Q113">
        <v>0</v>
      </c>
      <c r="R113">
        <v>0</v>
      </c>
      <c r="T113">
        <v>0</v>
      </c>
      <c r="U113">
        <v>0</v>
      </c>
      <c r="W113" t="s">
        <v>102</v>
      </c>
      <c r="X113" t="s">
        <v>275</v>
      </c>
      <c r="Z113" t="s">
        <v>341</v>
      </c>
      <c r="AA113" t="s">
        <v>109</v>
      </c>
      <c r="AB113" t="s">
        <v>102</v>
      </c>
      <c r="AC113" t="s">
        <v>109</v>
      </c>
      <c r="AD113" t="s">
        <v>102</v>
      </c>
      <c r="AE113" t="s">
        <v>109</v>
      </c>
      <c r="AF113" t="s">
        <v>102</v>
      </c>
      <c r="AG113" t="s">
        <v>109</v>
      </c>
      <c r="AH113" t="s">
        <v>102</v>
      </c>
      <c r="AI113" t="s">
        <v>3111</v>
      </c>
      <c r="AJ113" t="s">
        <v>2077</v>
      </c>
      <c r="AK113" t="s">
        <v>2077</v>
      </c>
      <c r="AL113" t="s">
        <v>3112</v>
      </c>
      <c r="AM113" t="s">
        <v>3113</v>
      </c>
      <c r="AN113" t="s">
        <v>2202</v>
      </c>
      <c r="AO113" t="s">
        <v>3114</v>
      </c>
      <c r="AP113" t="s">
        <v>3115</v>
      </c>
      <c r="AQ113" t="s">
        <v>343</v>
      </c>
      <c r="AT113" t="s">
        <v>169</v>
      </c>
      <c r="AU113" t="s">
        <v>318</v>
      </c>
      <c r="AV113" t="s">
        <v>118</v>
      </c>
      <c r="AW113" t="s">
        <v>102</v>
      </c>
      <c r="AX113" t="s">
        <v>119</v>
      </c>
      <c r="BB113" t="s">
        <v>120</v>
      </c>
      <c r="BC113" t="s">
        <v>2204</v>
      </c>
      <c r="BD113" t="s">
        <v>121</v>
      </c>
      <c r="BE113" t="s">
        <v>122</v>
      </c>
      <c r="BF113" t="s">
        <v>123</v>
      </c>
      <c r="BG113" t="s">
        <v>124</v>
      </c>
      <c r="BH113" t="s">
        <v>232</v>
      </c>
      <c r="BI113" t="s">
        <v>126</v>
      </c>
      <c r="BJ113" t="s">
        <v>127</v>
      </c>
      <c r="BK113" t="s">
        <v>3116</v>
      </c>
      <c r="BL113" t="s">
        <v>3117</v>
      </c>
      <c r="BM113" t="s">
        <v>3118</v>
      </c>
      <c r="BN113" t="s">
        <v>3108</v>
      </c>
      <c r="BO113" t="s">
        <v>1108</v>
      </c>
      <c r="BP113" t="s">
        <v>350</v>
      </c>
      <c r="BQ113" t="s">
        <v>1109</v>
      </c>
      <c r="BR113" t="s">
        <v>1110</v>
      </c>
      <c r="BS113" t="s">
        <v>328</v>
      </c>
      <c r="BU113" t="s">
        <v>3119</v>
      </c>
      <c r="BV113" t="s">
        <v>3120</v>
      </c>
      <c r="BW113" t="s">
        <v>3121</v>
      </c>
      <c r="BX113" t="s">
        <v>3122</v>
      </c>
      <c r="BY113" t="s">
        <v>3123</v>
      </c>
      <c r="BZ113" t="s">
        <v>3124</v>
      </c>
      <c r="CD113" t="s">
        <v>3125</v>
      </c>
      <c r="CE113" t="s">
        <v>3126</v>
      </c>
      <c r="CF113" t="s">
        <v>3127</v>
      </c>
      <c r="CG113" t="s">
        <v>102</v>
      </c>
      <c r="CH113" t="s">
        <v>3128</v>
      </c>
      <c r="CJ113" t="s">
        <v>2775</v>
      </c>
      <c r="CK113" t="s">
        <v>3128</v>
      </c>
      <c r="CL113" t="s">
        <v>2204</v>
      </c>
      <c r="CM113" t="s">
        <v>121</v>
      </c>
      <c r="CN113" t="s">
        <v>2775</v>
      </c>
      <c r="CO113" t="s">
        <v>3129</v>
      </c>
      <c r="CP113" t="s">
        <v>3130</v>
      </c>
      <c r="CQ113" t="s">
        <v>3130</v>
      </c>
    </row>
    <row r="114" spans="1:95">
      <c r="A114" t="s">
        <v>149</v>
      </c>
      <c r="B114">
        <v>2385289</v>
      </c>
      <c r="C114" t="s">
        <v>3131</v>
      </c>
      <c r="D114" t="str">
        <f>VLOOKUP(B114,'2025'!B:C,2,0)</f>
        <v>Gargi Ghosh</v>
      </c>
      <c r="F114" t="s">
        <v>95</v>
      </c>
      <c r="G114" t="s">
        <v>642</v>
      </c>
      <c r="H114" t="s">
        <v>848</v>
      </c>
      <c r="I114" t="s">
        <v>98</v>
      </c>
      <c r="J114" t="s">
        <v>3132</v>
      </c>
      <c r="K114" t="s">
        <v>100</v>
      </c>
      <c r="L114">
        <v>1181878</v>
      </c>
      <c r="M114">
        <v>1394616</v>
      </c>
      <c r="N114">
        <v>0</v>
      </c>
      <c r="O114">
        <v>0</v>
      </c>
      <c r="Q114">
        <v>0</v>
      </c>
      <c r="R114">
        <v>0</v>
      </c>
      <c r="T114">
        <v>1181878</v>
      </c>
      <c r="U114">
        <v>634</v>
      </c>
      <c r="V114" t="s">
        <v>800</v>
      </c>
      <c r="W114" t="s">
        <v>102</v>
      </c>
      <c r="X114" t="s">
        <v>103</v>
      </c>
      <c r="Y114" t="s">
        <v>155</v>
      </c>
      <c r="AA114" t="s">
        <v>558</v>
      </c>
      <c r="AB114" t="s">
        <v>3133</v>
      </c>
      <c r="AC114" t="s">
        <v>3134</v>
      </c>
      <c r="AD114" t="s">
        <v>3133</v>
      </c>
      <c r="AE114" t="s">
        <v>2867</v>
      </c>
      <c r="AF114" t="s">
        <v>3133</v>
      </c>
      <c r="AG114" t="s">
        <v>160</v>
      </c>
      <c r="AH114" t="s">
        <v>3133</v>
      </c>
      <c r="AI114" t="s">
        <v>3135</v>
      </c>
      <c r="AJ114" t="s">
        <v>583</v>
      </c>
      <c r="AK114" t="s">
        <v>1604</v>
      </c>
      <c r="AL114" t="s">
        <v>3136</v>
      </c>
      <c r="AM114" t="s">
        <v>3137</v>
      </c>
      <c r="AN114" t="s">
        <v>3138</v>
      </c>
      <c r="AO114" t="s">
        <v>3139</v>
      </c>
      <c r="AP114" t="s">
        <v>3140</v>
      </c>
      <c r="AT114" t="s">
        <v>169</v>
      </c>
      <c r="AU114" t="s">
        <v>102</v>
      </c>
      <c r="AW114" t="s">
        <v>102</v>
      </c>
      <c r="AX114" t="s">
        <v>119</v>
      </c>
      <c r="BA114" t="s">
        <v>250</v>
      </c>
      <c r="BB114" t="s">
        <v>171</v>
      </c>
      <c r="BC114" t="s">
        <v>375</v>
      </c>
      <c r="BD114" t="s">
        <v>376</v>
      </c>
      <c r="BE114" t="s">
        <v>174</v>
      </c>
      <c r="BF114" t="s">
        <v>376</v>
      </c>
      <c r="BG114" t="s">
        <v>124</v>
      </c>
      <c r="BH114" t="s">
        <v>558</v>
      </c>
      <c r="BI114" t="s">
        <v>126</v>
      </c>
      <c r="BJ114" t="s">
        <v>127</v>
      </c>
      <c r="BK114" t="s">
        <v>3141</v>
      </c>
      <c r="BL114" t="s">
        <v>3142</v>
      </c>
      <c r="BM114" t="s">
        <v>3143</v>
      </c>
      <c r="BN114" t="s">
        <v>642</v>
      </c>
      <c r="BO114" t="s">
        <v>381</v>
      </c>
      <c r="BP114" t="s">
        <v>350</v>
      </c>
      <c r="BQ114" t="s">
        <v>382</v>
      </c>
      <c r="BR114" t="s">
        <v>383</v>
      </c>
      <c r="BS114" t="s">
        <v>183</v>
      </c>
      <c r="BU114" t="s">
        <v>3144</v>
      </c>
      <c r="BV114" t="s">
        <v>3145</v>
      </c>
      <c r="BW114" t="s">
        <v>138</v>
      </c>
      <c r="BX114" t="s">
        <v>3146</v>
      </c>
      <c r="BY114" t="s">
        <v>3147</v>
      </c>
      <c r="BZ114" t="s">
        <v>3146</v>
      </c>
      <c r="CA114" t="s">
        <v>3145</v>
      </c>
      <c r="CB114" t="s">
        <v>3146</v>
      </c>
      <c r="CC114" t="s">
        <v>3147</v>
      </c>
      <c r="CD114" t="s">
        <v>3148</v>
      </c>
      <c r="CE114" t="s">
        <v>3149</v>
      </c>
      <c r="CF114" t="s">
        <v>3150</v>
      </c>
      <c r="CG114" t="s">
        <v>102</v>
      </c>
      <c r="CH114" t="s">
        <v>3151</v>
      </c>
      <c r="CJ114" t="s">
        <v>3152</v>
      </c>
      <c r="CK114" t="s">
        <v>3151</v>
      </c>
      <c r="CL114" t="s">
        <v>375</v>
      </c>
      <c r="CM114" t="s">
        <v>376</v>
      </c>
      <c r="CN114" t="s">
        <v>3152</v>
      </c>
      <c r="CO114" t="s">
        <v>3153</v>
      </c>
      <c r="CP114" t="s">
        <v>3151</v>
      </c>
      <c r="CQ114" t="s">
        <v>3151</v>
      </c>
    </row>
    <row r="115" spans="1:95">
      <c r="A115" t="s">
        <v>149</v>
      </c>
      <c r="B115">
        <v>2388998</v>
      </c>
      <c r="C115" t="s">
        <v>3154</v>
      </c>
      <c r="D115" t="str">
        <f>VLOOKUP(B115,'2025'!B:C,2,0)</f>
        <v>Hetal Parmar</v>
      </c>
      <c r="F115" t="s">
        <v>95</v>
      </c>
      <c r="G115" t="s">
        <v>3155</v>
      </c>
      <c r="H115" t="s">
        <v>193</v>
      </c>
      <c r="I115" t="s">
        <v>98</v>
      </c>
      <c r="J115" t="s">
        <v>3156</v>
      </c>
      <c r="K115" t="s">
        <v>100</v>
      </c>
      <c r="L115">
        <v>1391679</v>
      </c>
      <c r="M115">
        <v>1614097</v>
      </c>
      <c r="N115">
        <v>156024</v>
      </c>
      <c r="O115">
        <v>240</v>
      </c>
      <c r="P115" t="s">
        <v>1122</v>
      </c>
      <c r="Q115">
        <v>0</v>
      </c>
      <c r="R115">
        <v>0</v>
      </c>
      <c r="T115">
        <v>1235655</v>
      </c>
      <c r="U115">
        <v>360</v>
      </c>
      <c r="V115" t="s">
        <v>3157</v>
      </c>
      <c r="W115" t="s">
        <v>102</v>
      </c>
      <c r="X115" t="s">
        <v>103</v>
      </c>
      <c r="Y115" t="s">
        <v>104</v>
      </c>
      <c r="AA115" t="s">
        <v>2947</v>
      </c>
      <c r="AB115" t="s">
        <v>3158</v>
      </c>
      <c r="AC115" t="s">
        <v>3159</v>
      </c>
      <c r="AD115" t="s">
        <v>3158</v>
      </c>
      <c r="AE115" t="s">
        <v>109</v>
      </c>
      <c r="AF115" t="s">
        <v>102</v>
      </c>
      <c r="AG115" t="s">
        <v>109</v>
      </c>
      <c r="AH115" t="s">
        <v>102</v>
      </c>
      <c r="AI115" t="s">
        <v>3160</v>
      </c>
      <c r="AJ115" t="s">
        <v>3161</v>
      </c>
      <c r="AK115" t="s">
        <v>3162</v>
      </c>
      <c r="AL115" t="s">
        <v>3163</v>
      </c>
      <c r="AM115" t="s">
        <v>3164</v>
      </c>
      <c r="AN115" t="s">
        <v>3165</v>
      </c>
      <c r="AO115" t="s">
        <v>3166</v>
      </c>
      <c r="AP115" t="s">
        <v>3166</v>
      </c>
      <c r="AU115" t="s">
        <v>207</v>
      </c>
      <c r="AV115" t="s">
        <v>118</v>
      </c>
      <c r="AW115" t="s">
        <v>102</v>
      </c>
      <c r="AX115" t="s">
        <v>119</v>
      </c>
      <c r="BA115" t="s">
        <v>250</v>
      </c>
      <c r="BB115" t="s">
        <v>171</v>
      </c>
      <c r="BC115" t="s">
        <v>623</v>
      </c>
      <c r="BD115" t="s">
        <v>621</v>
      </c>
      <c r="BE115" t="s">
        <v>622</v>
      </c>
      <c r="BF115" t="s">
        <v>623</v>
      </c>
      <c r="BG115" t="s">
        <v>124</v>
      </c>
      <c r="BH115" t="s">
        <v>1745</v>
      </c>
      <c r="BI115" t="s">
        <v>3167</v>
      </c>
      <c r="BJ115" t="s">
        <v>127</v>
      </c>
      <c r="BK115" t="s">
        <v>3168</v>
      </c>
      <c r="BL115" t="s">
        <v>3169</v>
      </c>
      <c r="BM115" t="s">
        <v>3170</v>
      </c>
      <c r="BN115" t="s">
        <v>3155</v>
      </c>
      <c r="BO115" t="s">
        <v>1339</v>
      </c>
      <c r="BP115" t="s">
        <v>132</v>
      </c>
      <c r="BQ115" t="s">
        <v>1340</v>
      </c>
      <c r="BR115" t="s">
        <v>1341</v>
      </c>
      <c r="BS115" t="s">
        <v>1342</v>
      </c>
      <c r="BU115" t="s">
        <v>3171</v>
      </c>
      <c r="BV115" t="s">
        <v>3172</v>
      </c>
      <c r="BW115" t="s">
        <v>138</v>
      </c>
      <c r="BX115" t="s">
        <v>3173</v>
      </c>
      <c r="BY115" t="s">
        <v>3174</v>
      </c>
      <c r="BZ115" t="s">
        <v>3175</v>
      </c>
      <c r="CA115" t="s">
        <v>3172</v>
      </c>
      <c r="CB115" t="s">
        <v>3173</v>
      </c>
      <c r="CC115" t="s">
        <v>3174</v>
      </c>
      <c r="CG115" t="s">
        <v>102</v>
      </c>
      <c r="CH115" t="s">
        <v>3176</v>
      </c>
      <c r="CJ115" t="s">
        <v>3177</v>
      </c>
      <c r="CK115" t="s">
        <v>3176</v>
      </c>
      <c r="CL115" t="s">
        <v>623</v>
      </c>
      <c r="CM115" t="s">
        <v>621</v>
      </c>
      <c r="CN115" t="s">
        <v>3177</v>
      </c>
      <c r="CO115" t="s">
        <v>3178</v>
      </c>
      <c r="CP115" t="s">
        <v>3176</v>
      </c>
      <c r="CQ115" t="s">
        <v>3176</v>
      </c>
    </row>
    <row r="116" spans="1:95">
      <c r="A116" t="s">
        <v>149</v>
      </c>
      <c r="B116">
        <v>2389545</v>
      </c>
      <c r="C116" t="s">
        <v>3179</v>
      </c>
      <c r="D116" t="str">
        <f>VLOOKUP(B116,'2025'!B:C,2,0)</f>
        <v>Nisha Murali</v>
      </c>
      <c r="F116" t="s">
        <v>95</v>
      </c>
      <c r="G116" t="s">
        <v>3180</v>
      </c>
      <c r="H116" t="s">
        <v>97</v>
      </c>
      <c r="I116" t="s">
        <v>98</v>
      </c>
      <c r="J116" t="s">
        <v>3181</v>
      </c>
      <c r="K116" t="s">
        <v>100</v>
      </c>
      <c r="L116">
        <v>865458</v>
      </c>
      <c r="M116">
        <v>865458</v>
      </c>
      <c r="N116">
        <v>865458</v>
      </c>
      <c r="O116">
        <v>923</v>
      </c>
      <c r="P116" t="s">
        <v>3182</v>
      </c>
      <c r="Q116">
        <v>0</v>
      </c>
      <c r="R116">
        <v>0</v>
      </c>
      <c r="T116">
        <v>0</v>
      </c>
      <c r="U116">
        <v>0</v>
      </c>
      <c r="W116" t="s">
        <v>102</v>
      </c>
      <c r="X116" t="s">
        <v>103</v>
      </c>
      <c r="Y116" t="s">
        <v>104</v>
      </c>
      <c r="AA116" t="s">
        <v>214</v>
      </c>
      <c r="AB116" t="s">
        <v>3183</v>
      </c>
      <c r="AC116" t="s">
        <v>501</v>
      </c>
      <c r="AD116" t="s">
        <v>3183</v>
      </c>
      <c r="AE116" t="s">
        <v>109</v>
      </c>
      <c r="AF116" t="s">
        <v>102</v>
      </c>
      <c r="AG116" t="s">
        <v>109</v>
      </c>
      <c r="AH116" t="s">
        <v>102</v>
      </c>
      <c r="AI116" t="s">
        <v>3184</v>
      </c>
      <c r="AJ116" t="s">
        <v>886</v>
      </c>
      <c r="AK116" t="s">
        <v>3185</v>
      </c>
      <c r="AL116" t="s">
        <v>3186</v>
      </c>
      <c r="AM116" t="s">
        <v>3187</v>
      </c>
      <c r="AN116" t="s">
        <v>3184</v>
      </c>
      <c r="AO116" t="s">
        <v>3188</v>
      </c>
      <c r="AP116" t="s">
        <v>3188</v>
      </c>
      <c r="AU116" t="s">
        <v>318</v>
      </c>
      <c r="AV116" t="s">
        <v>118</v>
      </c>
      <c r="AW116" t="s">
        <v>102</v>
      </c>
      <c r="AX116" t="s">
        <v>119</v>
      </c>
      <c r="BB116" t="s">
        <v>120</v>
      </c>
      <c r="BC116" t="s">
        <v>409</v>
      </c>
      <c r="BD116" t="s">
        <v>410</v>
      </c>
      <c r="BE116" t="s">
        <v>212</v>
      </c>
      <c r="BF116" t="s">
        <v>410</v>
      </c>
      <c r="BG116" t="s">
        <v>124</v>
      </c>
      <c r="BH116" t="s">
        <v>214</v>
      </c>
      <c r="BI116" t="s">
        <v>411</v>
      </c>
      <c r="BJ116" t="s">
        <v>127</v>
      </c>
      <c r="BK116" t="s">
        <v>3189</v>
      </c>
      <c r="BL116" t="s">
        <v>3190</v>
      </c>
      <c r="BM116" t="s">
        <v>3191</v>
      </c>
      <c r="BN116" t="s">
        <v>3180</v>
      </c>
      <c r="BO116" t="s">
        <v>415</v>
      </c>
      <c r="BP116" t="s">
        <v>132</v>
      </c>
      <c r="BQ116" t="s">
        <v>416</v>
      </c>
      <c r="BR116" t="s">
        <v>417</v>
      </c>
      <c r="BS116" t="s">
        <v>293</v>
      </c>
      <c r="BU116" t="s">
        <v>3192</v>
      </c>
      <c r="BV116" t="s">
        <v>3193</v>
      </c>
      <c r="BW116" t="s">
        <v>138</v>
      </c>
      <c r="BX116" t="s">
        <v>3194</v>
      </c>
      <c r="BY116" t="s">
        <v>3195</v>
      </c>
      <c r="BZ116" t="s">
        <v>3196</v>
      </c>
      <c r="CA116" t="s">
        <v>3193</v>
      </c>
      <c r="CB116" t="s">
        <v>3194</v>
      </c>
      <c r="CC116" t="s">
        <v>3195</v>
      </c>
      <c r="CD116" t="s">
        <v>3197</v>
      </c>
      <c r="CE116" t="s">
        <v>3198</v>
      </c>
      <c r="CF116" t="s">
        <v>3199</v>
      </c>
      <c r="CG116" t="s">
        <v>102</v>
      </c>
      <c r="CH116" t="s">
        <v>3200</v>
      </c>
      <c r="CJ116" t="s">
        <v>3201</v>
      </c>
      <c r="CK116" t="s">
        <v>3200</v>
      </c>
      <c r="CL116" t="s">
        <v>409</v>
      </c>
      <c r="CM116" t="s">
        <v>410</v>
      </c>
      <c r="CN116" t="s">
        <v>3201</v>
      </c>
      <c r="CO116" t="s">
        <v>3202</v>
      </c>
      <c r="CP116" t="s">
        <v>3200</v>
      </c>
      <c r="CQ116" t="s">
        <v>3200</v>
      </c>
    </row>
    <row r="117" spans="1:95">
      <c r="A117" t="s">
        <v>93</v>
      </c>
      <c r="B117">
        <v>2390367</v>
      </c>
      <c r="C117" t="s">
        <v>3203</v>
      </c>
      <c r="E117" s="4" t="s">
        <v>17377</v>
      </c>
      <c r="F117" t="s">
        <v>95</v>
      </c>
      <c r="G117" t="s">
        <v>151</v>
      </c>
      <c r="H117" t="s">
        <v>97</v>
      </c>
      <c r="I117" t="s">
        <v>98</v>
      </c>
      <c r="J117" t="s">
        <v>3204</v>
      </c>
      <c r="K117" t="s">
        <v>100</v>
      </c>
      <c r="L117">
        <v>129300</v>
      </c>
      <c r="M117">
        <v>129300</v>
      </c>
      <c r="N117">
        <v>129300</v>
      </c>
      <c r="O117">
        <v>431</v>
      </c>
      <c r="P117" t="s">
        <v>3205</v>
      </c>
      <c r="Q117">
        <v>0</v>
      </c>
      <c r="R117">
        <v>0</v>
      </c>
      <c r="T117">
        <v>0</v>
      </c>
      <c r="U117">
        <v>0</v>
      </c>
      <c r="W117" t="s">
        <v>102</v>
      </c>
      <c r="X117" t="s">
        <v>103</v>
      </c>
      <c r="Y117" t="s">
        <v>398</v>
      </c>
      <c r="AA117" t="s">
        <v>892</v>
      </c>
      <c r="AB117" t="s">
        <v>3206</v>
      </c>
      <c r="AC117" t="s">
        <v>3207</v>
      </c>
      <c r="AD117" t="s">
        <v>3208</v>
      </c>
      <c r="AE117" t="s">
        <v>680</v>
      </c>
      <c r="AF117" t="s">
        <v>3209</v>
      </c>
      <c r="AG117" t="s">
        <v>109</v>
      </c>
      <c r="AH117" t="s">
        <v>102</v>
      </c>
      <c r="AI117" t="s">
        <v>3210</v>
      </c>
      <c r="AJ117" t="s">
        <v>559</v>
      </c>
      <c r="AK117" t="s">
        <v>559</v>
      </c>
      <c r="AL117" t="s">
        <v>3211</v>
      </c>
      <c r="AM117" t="s">
        <v>3212</v>
      </c>
      <c r="AN117" t="s">
        <v>102</v>
      </c>
      <c r="AO117" t="s">
        <v>3213</v>
      </c>
      <c r="AP117" t="s">
        <v>3213</v>
      </c>
      <c r="AU117" t="s">
        <v>117</v>
      </c>
      <c r="AV117" t="s">
        <v>118</v>
      </c>
      <c r="AW117" t="s">
        <v>102</v>
      </c>
      <c r="AX117" t="s">
        <v>119</v>
      </c>
      <c r="BB117" t="s">
        <v>120</v>
      </c>
      <c r="BC117" t="s">
        <v>3214</v>
      </c>
      <c r="BD117" t="s">
        <v>410</v>
      </c>
      <c r="BE117" t="s">
        <v>212</v>
      </c>
      <c r="BF117" t="s">
        <v>410</v>
      </c>
      <c r="BG117" t="s">
        <v>124</v>
      </c>
      <c r="BH117" t="s">
        <v>1719</v>
      </c>
      <c r="BI117" t="s">
        <v>3215</v>
      </c>
      <c r="BJ117" t="s">
        <v>127</v>
      </c>
      <c r="BK117" t="s">
        <v>3216</v>
      </c>
      <c r="BL117" t="s">
        <v>3217</v>
      </c>
      <c r="BM117" t="s">
        <v>3218</v>
      </c>
      <c r="BN117" t="s">
        <v>151</v>
      </c>
      <c r="BO117" t="s">
        <v>896</v>
      </c>
      <c r="BP117" t="s">
        <v>132</v>
      </c>
      <c r="BQ117" t="s">
        <v>897</v>
      </c>
      <c r="BR117" t="s">
        <v>898</v>
      </c>
      <c r="BS117" t="s">
        <v>899</v>
      </c>
      <c r="BT117" t="s">
        <v>418</v>
      </c>
      <c r="BU117" t="s">
        <v>3219</v>
      </c>
      <c r="BV117" t="s">
        <v>3220</v>
      </c>
      <c r="BW117" t="s">
        <v>138</v>
      </c>
      <c r="BX117" t="s">
        <v>3221</v>
      </c>
      <c r="BY117" t="s">
        <v>3222</v>
      </c>
      <c r="BZ117" t="s">
        <v>3221</v>
      </c>
      <c r="CG117" t="s">
        <v>3223</v>
      </c>
      <c r="CH117" t="s">
        <v>3224</v>
      </c>
      <c r="CJ117" t="s">
        <v>3225</v>
      </c>
      <c r="CK117" t="s">
        <v>3224</v>
      </c>
      <c r="CL117" t="s">
        <v>3214</v>
      </c>
      <c r="CM117" t="s">
        <v>410</v>
      </c>
      <c r="CN117" t="s">
        <v>3225</v>
      </c>
      <c r="CP117" t="s">
        <v>3224</v>
      </c>
      <c r="CQ117" t="s">
        <v>3224</v>
      </c>
    </row>
    <row r="118" spans="1:95">
      <c r="A118" t="s">
        <v>337</v>
      </c>
      <c r="B118">
        <v>2400949</v>
      </c>
      <c r="C118" t="s">
        <v>3226</v>
      </c>
      <c r="D118" t="str">
        <f>VLOOKUP(B118,'2025'!B:C,2,0)</f>
        <v>Tanya</v>
      </c>
      <c r="F118" t="s">
        <v>95</v>
      </c>
      <c r="G118" t="s">
        <v>3227</v>
      </c>
      <c r="H118" t="s">
        <v>152</v>
      </c>
      <c r="I118" t="s">
        <v>98</v>
      </c>
      <c r="J118" t="s">
        <v>3228</v>
      </c>
      <c r="K118" t="s">
        <v>100</v>
      </c>
      <c r="L118">
        <v>422357</v>
      </c>
      <c r="M118">
        <v>422357</v>
      </c>
      <c r="N118">
        <v>0</v>
      </c>
      <c r="O118">
        <v>0</v>
      </c>
      <c r="Q118">
        <v>422357</v>
      </c>
      <c r="R118">
        <v>613</v>
      </c>
      <c r="S118" t="s">
        <v>3229</v>
      </c>
      <c r="T118">
        <v>0</v>
      </c>
      <c r="U118">
        <v>0</v>
      </c>
      <c r="W118" t="s">
        <v>102</v>
      </c>
      <c r="X118" t="s">
        <v>103</v>
      </c>
      <c r="Y118" t="s">
        <v>398</v>
      </c>
      <c r="AA118" t="s">
        <v>883</v>
      </c>
      <c r="AB118" t="s">
        <v>3230</v>
      </c>
      <c r="AC118" t="s">
        <v>3231</v>
      </c>
      <c r="AD118" t="s">
        <v>3230</v>
      </c>
      <c r="AE118" t="s">
        <v>3232</v>
      </c>
      <c r="AF118" t="s">
        <v>3233</v>
      </c>
      <c r="AG118" t="s">
        <v>109</v>
      </c>
      <c r="AH118" t="s">
        <v>102</v>
      </c>
      <c r="AI118" t="s">
        <v>102</v>
      </c>
      <c r="AJ118" t="s">
        <v>3234</v>
      </c>
      <c r="AK118" t="s">
        <v>946</v>
      </c>
      <c r="AL118" t="s">
        <v>3235</v>
      </c>
      <c r="AM118" t="s">
        <v>3236</v>
      </c>
      <c r="AN118" t="s">
        <v>3237</v>
      </c>
      <c r="AO118" t="s">
        <v>3238</v>
      </c>
      <c r="AP118" t="s">
        <v>3238</v>
      </c>
      <c r="AU118" t="s">
        <v>102</v>
      </c>
      <c r="AW118" t="s">
        <v>104</v>
      </c>
      <c r="AX118" t="s">
        <v>119</v>
      </c>
      <c r="AY118" t="s">
        <v>170</v>
      </c>
      <c r="AZ118" t="s">
        <v>118</v>
      </c>
      <c r="BB118" t="s">
        <v>120</v>
      </c>
      <c r="BC118" t="s">
        <v>3239</v>
      </c>
      <c r="BD118" t="s">
        <v>449</v>
      </c>
      <c r="BE118" t="s">
        <v>122</v>
      </c>
      <c r="BF118" t="s">
        <v>253</v>
      </c>
      <c r="BG118" t="s">
        <v>124</v>
      </c>
      <c r="BH118" t="s">
        <v>892</v>
      </c>
      <c r="BI118" t="s">
        <v>1408</v>
      </c>
      <c r="BJ118" t="s">
        <v>127</v>
      </c>
      <c r="BK118" t="s">
        <v>3240</v>
      </c>
      <c r="BL118" t="s">
        <v>3241</v>
      </c>
      <c r="BM118" t="s">
        <v>3242</v>
      </c>
      <c r="BN118" t="s">
        <v>3227</v>
      </c>
      <c r="BO118" t="s">
        <v>3243</v>
      </c>
      <c r="BP118" t="s">
        <v>258</v>
      </c>
      <c r="BQ118" t="s">
        <v>3244</v>
      </c>
      <c r="BR118" t="s">
        <v>3245</v>
      </c>
      <c r="BS118" t="s">
        <v>3246</v>
      </c>
      <c r="BT118" t="s">
        <v>135</v>
      </c>
      <c r="BU118" t="s">
        <v>3247</v>
      </c>
      <c r="BV118" t="s">
        <v>3248</v>
      </c>
      <c r="BW118" t="s">
        <v>138</v>
      </c>
      <c r="BX118" t="s">
        <v>3249</v>
      </c>
      <c r="BY118" t="s">
        <v>3250</v>
      </c>
      <c r="BZ118" t="s">
        <v>3249</v>
      </c>
      <c r="CA118" t="s">
        <v>3248</v>
      </c>
      <c r="CB118" t="s">
        <v>3249</v>
      </c>
      <c r="CC118" t="s">
        <v>3250</v>
      </c>
      <c r="CG118" t="s">
        <v>3251</v>
      </c>
      <c r="CH118" t="s">
        <v>3252</v>
      </c>
      <c r="CJ118" t="s">
        <v>3253</v>
      </c>
      <c r="CK118" t="s">
        <v>3252</v>
      </c>
      <c r="CL118" t="s">
        <v>3239</v>
      </c>
      <c r="CM118" t="s">
        <v>449</v>
      </c>
      <c r="CN118" t="s">
        <v>3253</v>
      </c>
      <c r="CP118" t="s">
        <v>3252</v>
      </c>
      <c r="CQ118" t="s">
        <v>3252</v>
      </c>
    </row>
    <row r="119" spans="1:95">
      <c r="A119" t="s">
        <v>149</v>
      </c>
      <c r="B119">
        <v>2408882</v>
      </c>
      <c r="C119" t="s">
        <v>3254</v>
      </c>
      <c r="D119" t="str">
        <f>VLOOKUP(B119,'2025'!B:C,2,0)</f>
        <v>Vaishali</v>
      </c>
      <c r="F119" t="s">
        <v>95</v>
      </c>
      <c r="G119" t="s">
        <v>3255</v>
      </c>
      <c r="H119" t="s">
        <v>97</v>
      </c>
      <c r="I119" t="s">
        <v>98</v>
      </c>
      <c r="J119" t="s">
        <v>3256</v>
      </c>
      <c r="K119" t="s">
        <v>100</v>
      </c>
      <c r="L119">
        <v>651222</v>
      </c>
      <c r="M119">
        <v>651222</v>
      </c>
      <c r="N119">
        <v>651222</v>
      </c>
      <c r="O119">
        <v>1163</v>
      </c>
      <c r="P119" t="s">
        <v>3257</v>
      </c>
      <c r="Q119">
        <v>0</v>
      </c>
      <c r="R119">
        <v>0</v>
      </c>
      <c r="T119">
        <v>0</v>
      </c>
      <c r="U119">
        <v>0</v>
      </c>
      <c r="W119" t="s">
        <v>102</v>
      </c>
      <c r="X119" t="s">
        <v>275</v>
      </c>
      <c r="Z119" t="s">
        <v>3255</v>
      </c>
      <c r="AA119" t="s">
        <v>109</v>
      </c>
      <c r="AB119" t="s">
        <v>102</v>
      </c>
      <c r="AC119" t="s">
        <v>109</v>
      </c>
      <c r="AD119" t="s">
        <v>102</v>
      </c>
      <c r="AE119" t="s">
        <v>109</v>
      </c>
      <c r="AF119" t="s">
        <v>102</v>
      </c>
      <c r="AG119" t="s">
        <v>109</v>
      </c>
      <c r="AH119" t="s">
        <v>102</v>
      </c>
      <c r="AI119" t="s">
        <v>102</v>
      </c>
      <c r="AJ119" t="s">
        <v>3185</v>
      </c>
      <c r="AK119" t="s">
        <v>3258</v>
      </c>
      <c r="AL119" t="s">
        <v>3259</v>
      </c>
      <c r="AM119" t="s">
        <v>3260</v>
      </c>
      <c r="AN119" t="s">
        <v>3261</v>
      </c>
      <c r="AO119" t="s">
        <v>3262</v>
      </c>
      <c r="AP119" t="s">
        <v>3262</v>
      </c>
      <c r="AU119" t="s">
        <v>117</v>
      </c>
      <c r="AV119" t="s">
        <v>118</v>
      </c>
      <c r="AW119" t="s">
        <v>102</v>
      </c>
      <c r="AX119" t="s">
        <v>119</v>
      </c>
      <c r="BB119" t="s">
        <v>120</v>
      </c>
      <c r="BC119" t="s">
        <v>3263</v>
      </c>
      <c r="BD119" t="s">
        <v>320</v>
      </c>
      <c r="BE119" t="s">
        <v>122</v>
      </c>
      <c r="BF119" t="s">
        <v>123</v>
      </c>
      <c r="BG119" t="s">
        <v>124</v>
      </c>
      <c r="BH119" t="s">
        <v>648</v>
      </c>
      <c r="BI119" t="s">
        <v>126</v>
      </c>
      <c r="BJ119" t="s">
        <v>127</v>
      </c>
      <c r="BK119" t="s">
        <v>3264</v>
      </c>
      <c r="BL119" t="s">
        <v>3265</v>
      </c>
      <c r="BM119" t="s">
        <v>3266</v>
      </c>
      <c r="BN119" t="s">
        <v>3255</v>
      </c>
      <c r="BO119" t="s">
        <v>3267</v>
      </c>
      <c r="BP119" t="s">
        <v>350</v>
      </c>
      <c r="BQ119" t="s">
        <v>3268</v>
      </c>
      <c r="BR119" t="s">
        <v>3269</v>
      </c>
      <c r="BS119" t="s">
        <v>135</v>
      </c>
      <c r="BU119" t="s">
        <v>3270</v>
      </c>
      <c r="BV119" t="s">
        <v>3271</v>
      </c>
      <c r="BW119" t="s">
        <v>138</v>
      </c>
      <c r="BX119" t="s">
        <v>3272</v>
      </c>
      <c r="BY119" t="s">
        <v>3273</v>
      </c>
      <c r="BZ119" t="s">
        <v>3274</v>
      </c>
      <c r="CA119" t="s">
        <v>3271</v>
      </c>
      <c r="CB119" t="s">
        <v>3272</v>
      </c>
      <c r="CC119" t="s">
        <v>3273</v>
      </c>
      <c r="CD119" t="s">
        <v>3271</v>
      </c>
      <c r="CE119" t="s">
        <v>3272</v>
      </c>
      <c r="CF119" t="s">
        <v>3273</v>
      </c>
      <c r="CG119" t="s">
        <v>102</v>
      </c>
      <c r="CH119" t="s">
        <v>3275</v>
      </c>
      <c r="CJ119" t="s">
        <v>2071</v>
      </c>
      <c r="CK119" t="s">
        <v>3275</v>
      </c>
      <c r="CL119" t="s">
        <v>3263</v>
      </c>
      <c r="CM119" t="s">
        <v>320</v>
      </c>
      <c r="CN119" t="s">
        <v>2071</v>
      </c>
      <c r="CO119" t="s">
        <v>3276</v>
      </c>
      <c r="CP119" t="s">
        <v>3275</v>
      </c>
      <c r="CQ119" t="s">
        <v>3275</v>
      </c>
    </row>
    <row r="120" spans="1:95">
      <c r="A120" t="s">
        <v>149</v>
      </c>
      <c r="B120">
        <v>2409420</v>
      </c>
      <c r="C120" t="s">
        <v>3277</v>
      </c>
      <c r="D120" t="str">
        <f>VLOOKUP(B120,'2025'!B:C,2,0)</f>
        <v>Shruti</v>
      </c>
      <c r="F120" t="s">
        <v>95</v>
      </c>
      <c r="G120" t="s">
        <v>2074</v>
      </c>
      <c r="H120" t="s">
        <v>97</v>
      </c>
      <c r="I120" t="s">
        <v>98</v>
      </c>
      <c r="J120" t="s">
        <v>3278</v>
      </c>
      <c r="K120" t="s">
        <v>100</v>
      </c>
      <c r="L120">
        <v>288900</v>
      </c>
      <c r="M120">
        <v>288900</v>
      </c>
      <c r="N120">
        <v>288900</v>
      </c>
      <c r="O120">
        <v>535</v>
      </c>
      <c r="P120" t="s">
        <v>2322</v>
      </c>
      <c r="Q120">
        <v>0</v>
      </c>
      <c r="R120">
        <v>0</v>
      </c>
      <c r="T120">
        <v>0</v>
      </c>
      <c r="U120">
        <v>0</v>
      </c>
      <c r="W120" t="s">
        <v>102</v>
      </c>
      <c r="X120" t="s">
        <v>275</v>
      </c>
      <c r="Z120" t="s">
        <v>341</v>
      </c>
      <c r="AA120" t="s">
        <v>109</v>
      </c>
      <c r="AB120" t="s">
        <v>102</v>
      </c>
      <c r="AC120" t="s">
        <v>109</v>
      </c>
      <c r="AD120" t="s">
        <v>102</v>
      </c>
      <c r="AE120" t="s">
        <v>109</v>
      </c>
      <c r="AF120" t="s">
        <v>102</v>
      </c>
      <c r="AG120" t="s">
        <v>109</v>
      </c>
      <c r="AH120" t="s">
        <v>102</v>
      </c>
      <c r="AI120" t="s">
        <v>3279</v>
      </c>
      <c r="AJ120" t="s">
        <v>3280</v>
      </c>
      <c r="AK120" t="s">
        <v>3280</v>
      </c>
      <c r="AL120" t="s">
        <v>3281</v>
      </c>
      <c r="AM120" t="s">
        <v>3282</v>
      </c>
      <c r="AN120" t="s">
        <v>3283</v>
      </c>
      <c r="AO120" t="s">
        <v>317</v>
      </c>
      <c r="AP120" t="s">
        <v>116</v>
      </c>
      <c r="AQ120" t="s">
        <v>343</v>
      </c>
      <c r="AU120" t="s">
        <v>318</v>
      </c>
      <c r="AV120" t="s">
        <v>250</v>
      </c>
      <c r="AW120" t="s">
        <v>102</v>
      </c>
      <c r="AX120" t="s">
        <v>119</v>
      </c>
      <c r="BB120" t="s">
        <v>120</v>
      </c>
      <c r="BC120" t="s">
        <v>3284</v>
      </c>
      <c r="BD120" t="s">
        <v>449</v>
      </c>
      <c r="BE120" t="s">
        <v>122</v>
      </c>
      <c r="BF120" t="s">
        <v>253</v>
      </c>
      <c r="BG120" t="s">
        <v>124</v>
      </c>
      <c r="BH120" t="s">
        <v>232</v>
      </c>
      <c r="BI120" t="s">
        <v>126</v>
      </c>
      <c r="BJ120" t="s">
        <v>127</v>
      </c>
      <c r="BK120" t="s">
        <v>3285</v>
      </c>
      <c r="BL120" t="s">
        <v>3286</v>
      </c>
      <c r="BM120" t="s">
        <v>3287</v>
      </c>
      <c r="BN120" t="s">
        <v>2074</v>
      </c>
      <c r="BO120" t="s">
        <v>257</v>
      </c>
      <c r="BP120" t="s">
        <v>350</v>
      </c>
      <c r="BQ120" t="s">
        <v>259</v>
      </c>
      <c r="BR120" t="s">
        <v>260</v>
      </c>
      <c r="BS120" t="s">
        <v>566</v>
      </c>
      <c r="BU120" t="s">
        <v>3288</v>
      </c>
      <c r="BV120" t="s">
        <v>3289</v>
      </c>
      <c r="BW120" t="s">
        <v>598</v>
      </c>
      <c r="BX120" t="s">
        <v>3290</v>
      </c>
      <c r="BY120" t="s">
        <v>3291</v>
      </c>
      <c r="BZ120" t="s">
        <v>3292</v>
      </c>
      <c r="CA120" t="s">
        <v>3293</v>
      </c>
      <c r="CB120" t="s">
        <v>3294</v>
      </c>
      <c r="CD120" t="s">
        <v>3295</v>
      </c>
      <c r="CE120" t="s">
        <v>3296</v>
      </c>
      <c r="CF120" t="s">
        <v>3291</v>
      </c>
      <c r="CG120" t="s">
        <v>102</v>
      </c>
      <c r="CH120" t="s">
        <v>3297</v>
      </c>
      <c r="CJ120" t="s">
        <v>3298</v>
      </c>
      <c r="CK120" t="s">
        <v>3297</v>
      </c>
      <c r="CL120" t="s">
        <v>3284</v>
      </c>
      <c r="CM120" t="s">
        <v>449</v>
      </c>
      <c r="CN120" t="s">
        <v>3298</v>
      </c>
      <c r="CO120" t="s">
        <v>3299</v>
      </c>
      <c r="CP120" t="s">
        <v>3297</v>
      </c>
      <c r="CQ120" t="s">
        <v>3297</v>
      </c>
    </row>
    <row r="121" spans="1:95">
      <c r="A121" t="s">
        <v>149</v>
      </c>
      <c r="B121">
        <v>24299</v>
      </c>
      <c r="C121" t="s">
        <v>3300</v>
      </c>
      <c r="F121" t="s">
        <v>95</v>
      </c>
      <c r="G121" t="s">
        <v>851</v>
      </c>
      <c r="H121" t="s">
        <v>97</v>
      </c>
      <c r="I121" t="s">
        <v>98</v>
      </c>
      <c r="J121" t="s">
        <v>3301</v>
      </c>
      <c r="K121" t="s">
        <v>100</v>
      </c>
      <c r="L121">
        <v>71405</v>
      </c>
      <c r="M121">
        <v>71405</v>
      </c>
      <c r="N121">
        <v>71405</v>
      </c>
      <c r="O121">
        <v>102</v>
      </c>
      <c r="P121" t="s">
        <v>799</v>
      </c>
      <c r="Q121">
        <v>0</v>
      </c>
      <c r="R121">
        <v>0</v>
      </c>
      <c r="T121">
        <v>0</v>
      </c>
      <c r="U121">
        <v>0</v>
      </c>
      <c r="W121" t="s">
        <v>102</v>
      </c>
      <c r="X121" t="s">
        <v>275</v>
      </c>
      <c r="Z121" t="s">
        <v>2605</v>
      </c>
      <c r="AA121" t="s">
        <v>109</v>
      </c>
      <c r="AB121" t="s">
        <v>102</v>
      </c>
      <c r="AC121" t="s">
        <v>109</v>
      </c>
      <c r="AD121" t="s">
        <v>102</v>
      </c>
      <c r="AE121" t="s">
        <v>109</v>
      </c>
      <c r="AF121" t="s">
        <v>102</v>
      </c>
      <c r="AG121" t="s">
        <v>109</v>
      </c>
      <c r="AH121" t="s">
        <v>102</v>
      </c>
      <c r="AI121" t="s">
        <v>102</v>
      </c>
      <c r="AJ121" t="s">
        <v>892</v>
      </c>
      <c r="AK121" t="s">
        <v>892</v>
      </c>
      <c r="AL121" t="s">
        <v>3302</v>
      </c>
      <c r="AM121" t="s">
        <v>3303</v>
      </c>
      <c r="AN121" t="s">
        <v>3304</v>
      </c>
      <c r="AO121" t="s">
        <v>3305</v>
      </c>
      <c r="AP121" t="s">
        <v>3306</v>
      </c>
      <c r="AT121" t="s">
        <v>169</v>
      </c>
      <c r="AU121" t="s">
        <v>117</v>
      </c>
      <c r="AV121" t="s">
        <v>118</v>
      </c>
      <c r="AW121" t="s">
        <v>102</v>
      </c>
      <c r="AX121" t="s">
        <v>119</v>
      </c>
      <c r="BB121" t="s">
        <v>120</v>
      </c>
      <c r="BC121" t="s">
        <v>920</v>
      </c>
      <c r="BD121" t="s">
        <v>211</v>
      </c>
      <c r="BE121" t="s">
        <v>212</v>
      </c>
      <c r="BF121" t="s">
        <v>213</v>
      </c>
      <c r="BG121" t="s">
        <v>124</v>
      </c>
      <c r="BH121" t="s">
        <v>214</v>
      </c>
      <c r="BI121" t="s">
        <v>625</v>
      </c>
      <c r="BJ121" t="s">
        <v>127</v>
      </c>
      <c r="BK121" t="s">
        <v>3307</v>
      </c>
      <c r="BL121" t="s">
        <v>3308</v>
      </c>
      <c r="BM121" t="s">
        <v>3309</v>
      </c>
      <c r="BN121" t="s">
        <v>851</v>
      </c>
      <c r="BO121" t="s">
        <v>219</v>
      </c>
      <c r="BP121" t="s">
        <v>258</v>
      </c>
      <c r="BQ121" t="s">
        <v>220</v>
      </c>
      <c r="BR121" t="s">
        <v>221</v>
      </c>
      <c r="BS121" t="s">
        <v>2151</v>
      </c>
      <c r="BU121" t="s">
        <v>3310</v>
      </c>
      <c r="BV121" t="s">
        <v>3311</v>
      </c>
      <c r="BW121" t="s">
        <v>138</v>
      </c>
      <c r="BX121" t="s">
        <v>3312</v>
      </c>
      <c r="BY121" t="s">
        <v>3313</v>
      </c>
      <c r="BZ121" t="s">
        <v>3314</v>
      </c>
      <c r="CA121" t="s">
        <v>3311</v>
      </c>
      <c r="CB121" t="s">
        <v>3312</v>
      </c>
      <c r="CC121" t="s">
        <v>3313</v>
      </c>
      <c r="CG121" t="s">
        <v>102</v>
      </c>
      <c r="CH121" t="s">
        <v>3315</v>
      </c>
      <c r="CJ121" t="s">
        <v>2248</v>
      </c>
      <c r="CK121" t="s">
        <v>3315</v>
      </c>
      <c r="CL121" t="s">
        <v>920</v>
      </c>
      <c r="CM121" t="s">
        <v>211</v>
      </c>
      <c r="CN121" t="s">
        <v>2248</v>
      </c>
      <c r="CP121" t="s">
        <v>3315</v>
      </c>
      <c r="CQ121" t="s">
        <v>3315</v>
      </c>
    </row>
    <row r="122" spans="1:95">
      <c r="A122" t="s">
        <v>149</v>
      </c>
      <c r="B122">
        <v>2435954</v>
      </c>
      <c r="C122" t="s">
        <v>3316</v>
      </c>
      <c r="E122" s="4" t="s">
        <v>23421</v>
      </c>
      <c r="F122" t="s">
        <v>95</v>
      </c>
      <c r="G122" t="s">
        <v>232</v>
      </c>
      <c r="H122" t="s">
        <v>233</v>
      </c>
      <c r="I122" t="s">
        <v>98</v>
      </c>
      <c r="J122" t="s">
        <v>3317</v>
      </c>
      <c r="K122" t="s">
        <v>100</v>
      </c>
      <c r="L122">
        <v>117856</v>
      </c>
      <c r="M122">
        <v>126919</v>
      </c>
      <c r="N122">
        <v>15300</v>
      </c>
      <c r="O122">
        <v>27</v>
      </c>
      <c r="P122" t="s">
        <v>3318</v>
      </c>
      <c r="Q122">
        <v>52207</v>
      </c>
      <c r="R122">
        <v>27</v>
      </c>
      <c r="S122" t="s">
        <v>3319</v>
      </c>
      <c r="T122">
        <v>50349</v>
      </c>
      <c r="U122">
        <v>27</v>
      </c>
      <c r="V122" t="s">
        <v>237</v>
      </c>
      <c r="W122" t="s">
        <v>102</v>
      </c>
      <c r="X122" t="s">
        <v>103</v>
      </c>
      <c r="Y122" t="s">
        <v>155</v>
      </c>
      <c r="AA122" t="s">
        <v>238</v>
      </c>
      <c r="AB122" t="s">
        <v>3320</v>
      </c>
      <c r="AC122" t="s">
        <v>197</v>
      </c>
      <c r="AD122" t="s">
        <v>3320</v>
      </c>
      <c r="AE122" t="s">
        <v>240</v>
      </c>
      <c r="AF122" t="s">
        <v>3320</v>
      </c>
      <c r="AG122" t="s">
        <v>160</v>
      </c>
      <c r="AH122" t="s">
        <v>3320</v>
      </c>
      <c r="AI122" t="s">
        <v>102</v>
      </c>
      <c r="AL122" t="s">
        <v>3321</v>
      </c>
      <c r="AM122" t="s">
        <v>102</v>
      </c>
      <c r="AN122" t="s">
        <v>3321</v>
      </c>
      <c r="AO122" t="s">
        <v>3322</v>
      </c>
      <c r="AP122" t="s">
        <v>3322</v>
      </c>
      <c r="AU122" t="s">
        <v>247</v>
      </c>
      <c r="AV122" t="s">
        <v>118</v>
      </c>
      <c r="AW122" t="s">
        <v>248</v>
      </c>
      <c r="AX122" t="s">
        <v>249</v>
      </c>
      <c r="AZ122" t="s">
        <v>250</v>
      </c>
      <c r="BA122" t="s">
        <v>250</v>
      </c>
      <c r="BB122" t="s">
        <v>171</v>
      </c>
      <c r="BC122" t="s">
        <v>251</v>
      </c>
      <c r="BD122" t="s">
        <v>252</v>
      </c>
      <c r="BE122" t="s">
        <v>122</v>
      </c>
      <c r="BF122" t="s">
        <v>253</v>
      </c>
      <c r="BG122" t="s">
        <v>124</v>
      </c>
      <c r="BH122" t="s">
        <v>232</v>
      </c>
      <c r="BI122" t="s">
        <v>126</v>
      </c>
      <c r="BJ122" t="s">
        <v>127</v>
      </c>
      <c r="BK122" t="s">
        <v>3323</v>
      </c>
      <c r="BL122" t="s">
        <v>3324</v>
      </c>
      <c r="BM122" t="s">
        <v>3325</v>
      </c>
      <c r="BN122" t="s">
        <v>232</v>
      </c>
      <c r="BO122" t="s">
        <v>257</v>
      </c>
      <c r="BP122" t="s">
        <v>258</v>
      </c>
      <c r="BQ122" t="s">
        <v>259</v>
      </c>
      <c r="BR122" t="s">
        <v>260</v>
      </c>
      <c r="BS122" t="s">
        <v>1111</v>
      </c>
      <c r="BT122" t="s">
        <v>135</v>
      </c>
      <c r="BU122" t="s">
        <v>3326</v>
      </c>
      <c r="BV122" t="s">
        <v>3327</v>
      </c>
      <c r="BW122" t="s">
        <v>138</v>
      </c>
      <c r="BX122" t="s">
        <v>264</v>
      </c>
      <c r="BY122" t="s">
        <v>265</v>
      </c>
      <c r="BZ122" t="s">
        <v>3328</v>
      </c>
      <c r="CA122" t="s">
        <v>3327</v>
      </c>
      <c r="CB122" t="s">
        <v>264</v>
      </c>
      <c r="CC122" t="s">
        <v>265</v>
      </c>
      <c r="CD122" t="s">
        <v>266</v>
      </c>
      <c r="CE122" t="s">
        <v>267</v>
      </c>
      <c r="CF122" t="s">
        <v>268</v>
      </c>
      <c r="CG122" t="s">
        <v>102</v>
      </c>
      <c r="CH122" t="s">
        <v>3329</v>
      </c>
      <c r="CJ122" t="s">
        <v>270</v>
      </c>
      <c r="CK122" t="s">
        <v>3329</v>
      </c>
      <c r="CL122" t="s">
        <v>251</v>
      </c>
      <c r="CM122" t="s">
        <v>252</v>
      </c>
      <c r="CN122" t="s">
        <v>270</v>
      </c>
      <c r="CP122" t="s">
        <v>3329</v>
      </c>
      <c r="CQ122" t="s">
        <v>3329</v>
      </c>
    </row>
    <row r="123" spans="1:95">
      <c r="A123" t="s">
        <v>149</v>
      </c>
      <c r="B123">
        <v>24374</v>
      </c>
      <c r="C123" t="s">
        <v>3330</v>
      </c>
      <c r="F123" t="s">
        <v>95</v>
      </c>
      <c r="G123" t="s">
        <v>2298</v>
      </c>
      <c r="H123" t="s">
        <v>848</v>
      </c>
      <c r="I123" t="s">
        <v>98</v>
      </c>
      <c r="J123" t="s">
        <v>3331</v>
      </c>
      <c r="K123" t="s">
        <v>100</v>
      </c>
      <c r="L123">
        <v>1238176</v>
      </c>
      <c r="M123">
        <v>1461048</v>
      </c>
      <c r="N123">
        <v>0</v>
      </c>
      <c r="O123">
        <v>0</v>
      </c>
      <c r="Q123">
        <v>0</v>
      </c>
      <c r="R123">
        <v>0</v>
      </c>
      <c r="T123">
        <v>1238176</v>
      </c>
      <c r="U123">
        <v>786</v>
      </c>
      <c r="V123" t="s">
        <v>3332</v>
      </c>
      <c r="W123" t="s">
        <v>102</v>
      </c>
      <c r="X123" t="s">
        <v>103</v>
      </c>
      <c r="Y123" t="s">
        <v>104</v>
      </c>
      <c r="AA123" t="s">
        <v>2605</v>
      </c>
      <c r="AB123" t="s">
        <v>3333</v>
      </c>
      <c r="AC123" t="s">
        <v>160</v>
      </c>
      <c r="AD123" t="s">
        <v>3333</v>
      </c>
      <c r="AE123" t="s">
        <v>109</v>
      </c>
      <c r="AF123" t="s">
        <v>102</v>
      </c>
      <c r="AG123" t="s">
        <v>109</v>
      </c>
      <c r="AH123" t="s">
        <v>102</v>
      </c>
      <c r="AI123" t="s">
        <v>3334</v>
      </c>
      <c r="AJ123" t="s">
        <v>3335</v>
      </c>
      <c r="AK123" t="s">
        <v>1631</v>
      </c>
      <c r="AL123" t="s">
        <v>3336</v>
      </c>
      <c r="AM123" t="s">
        <v>3337</v>
      </c>
      <c r="AN123" t="s">
        <v>3338</v>
      </c>
      <c r="AO123" t="s">
        <v>3339</v>
      </c>
      <c r="AP123" t="s">
        <v>3339</v>
      </c>
      <c r="AU123" t="s">
        <v>102</v>
      </c>
      <c r="AW123" t="s">
        <v>102</v>
      </c>
      <c r="AX123" t="s">
        <v>119</v>
      </c>
      <c r="BA123" t="s">
        <v>250</v>
      </c>
      <c r="BB123" t="s">
        <v>171</v>
      </c>
      <c r="BC123" t="s">
        <v>3340</v>
      </c>
      <c r="BD123" t="s">
        <v>410</v>
      </c>
      <c r="BE123" t="s">
        <v>212</v>
      </c>
      <c r="BF123" t="s">
        <v>410</v>
      </c>
      <c r="BG123" t="s">
        <v>124</v>
      </c>
      <c r="BH123" t="s">
        <v>892</v>
      </c>
      <c r="BI123" t="s">
        <v>1941</v>
      </c>
      <c r="BJ123" t="s">
        <v>127</v>
      </c>
      <c r="BK123" t="s">
        <v>3341</v>
      </c>
      <c r="BL123" t="s">
        <v>3342</v>
      </c>
      <c r="BM123" t="s">
        <v>3343</v>
      </c>
      <c r="BN123" t="s">
        <v>2298</v>
      </c>
      <c r="BO123" t="s">
        <v>956</v>
      </c>
      <c r="BP123" t="s">
        <v>132</v>
      </c>
      <c r="BQ123" t="s">
        <v>958</v>
      </c>
      <c r="BR123" t="s">
        <v>959</v>
      </c>
      <c r="BS123" t="s">
        <v>418</v>
      </c>
      <c r="BU123" t="s">
        <v>3344</v>
      </c>
      <c r="BV123" t="s">
        <v>3345</v>
      </c>
      <c r="BX123" t="s">
        <v>3346</v>
      </c>
      <c r="BY123" t="s">
        <v>3347</v>
      </c>
      <c r="BZ123" t="s">
        <v>3348</v>
      </c>
      <c r="CG123" t="s">
        <v>102</v>
      </c>
      <c r="CH123" t="s">
        <v>3349</v>
      </c>
      <c r="CJ123" t="s">
        <v>3350</v>
      </c>
      <c r="CK123" t="s">
        <v>3349</v>
      </c>
      <c r="CL123" t="s">
        <v>3340</v>
      </c>
      <c r="CM123" t="s">
        <v>410</v>
      </c>
      <c r="CN123" t="s">
        <v>3350</v>
      </c>
      <c r="CP123" t="s">
        <v>3349</v>
      </c>
      <c r="CQ123" t="s">
        <v>3349</v>
      </c>
    </row>
    <row r="124" spans="1:95">
      <c r="A124" t="s">
        <v>149</v>
      </c>
      <c r="B124">
        <v>2439093</v>
      </c>
      <c r="C124" t="s">
        <v>3351</v>
      </c>
      <c r="E124" s="4" t="s">
        <v>17377</v>
      </c>
      <c r="F124" t="s">
        <v>95</v>
      </c>
      <c r="G124" t="s">
        <v>1822</v>
      </c>
      <c r="H124" t="s">
        <v>97</v>
      </c>
      <c r="I124" t="s">
        <v>98</v>
      </c>
      <c r="J124" t="s">
        <v>3352</v>
      </c>
      <c r="K124" t="s">
        <v>100</v>
      </c>
      <c r="L124">
        <v>191100</v>
      </c>
      <c r="M124">
        <v>191100</v>
      </c>
      <c r="N124">
        <v>191100</v>
      </c>
      <c r="O124">
        <v>245</v>
      </c>
      <c r="P124" t="s">
        <v>2110</v>
      </c>
      <c r="Q124">
        <v>0</v>
      </c>
      <c r="R124">
        <v>0</v>
      </c>
      <c r="T124">
        <v>0</v>
      </c>
      <c r="U124">
        <v>0</v>
      </c>
      <c r="W124" t="s">
        <v>102</v>
      </c>
      <c r="X124" t="s">
        <v>103</v>
      </c>
      <c r="Y124" t="s">
        <v>104</v>
      </c>
      <c r="AA124" t="s">
        <v>362</v>
      </c>
      <c r="AB124" t="s">
        <v>3353</v>
      </c>
      <c r="AC124" t="s">
        <v>158</v>
      </c>
      <c r="AD124" t="s">
        <v>3354</v>
      </c>
      <c r="AE124" t="s">
        <v>109</v>
      </c>
      <c r="AF124" t="s">
        <v>102</v>
      </c>
      <c r="AG124" t="s">
        <v>109</v>
      </c>
      <c r="AH124" t="s">
        <v>102</v>
      </c>
      <c r="AI124" t="s">
        <v>102</v>
      </c>
      <c r="AJ124" t="s">
        <v>362</v>
      </c>
      <c r="AK124" t="s">
        <v>1572</v>
      </c>
      <c r="AL124" t="s">
        <v>2818</v>
      </c>
      <c r="AM124" t="s">
        <v>3355</v>
      </c>
      <c r="AN124" t="s">
        <v>3356</v>
      </c>
      <c r="AO124" t="s">
        <v>3357</v>
      </c>
      <c r="AP124" t="s">
        <v>3357</v>
      </c>
      <c r="AU124" t="s">
        <v>318</v>
      </c>
      <c r="AV124" t="s">
        <v>118</v>
      </c>
      <c r="AW124" t="s">
        <v>102</v>
      </c>
      <c r="AX124" t="s">
        <v>119</v>
      </c>
      <c r="BB124" t="s">
        <v>171</v>
      </c>
      <c r="BC124" t="s">
        <v>3358</v>
      </c>
      <c r="BD124" t="s">
        <v>285</v>
      </c>
      <c r="BE124" t="s">
        <v>212</v>
      </c>
      <c r="BF124" t="s">
        <v>286</v>
      </c>
      <c r="BG124" t="s">
        <v>124</v>
      </c>
      <c r="BH124" t="s">
        <v>232</v>
      </c>
      <c r="BI124" t="s">
        <v>126</v>
      </c>
      <c r="BJ124" t="s">
        <v>127</v>
      </c>
      <c r="BK124" t="s">
        <v>3359</v>
      </c>
      <c r="BL124" t="s">
        <v>3360</v>
      </c>
      <c r="BM124" t="s">
        <v>3361</v>
      </c>
      <c r="BN124" t="s">
        <v>1822</v>
      </c>
      <c r="BO124" t="s">
        <v>290</v>
      </c>
      <c r="BP124" t="s">
        <v>258</v>
      </c>
      <c r="BQ124" t="s">
        <v>291</v>
      </c>
      <c r="BR124" t="s">
        <v>292</v>
      </c>
      <c r="BS124" t="s">
        <v>3362</v>
      </c>
      <c r="BU124" t="s">
        <v>3363</v>
      </c>
      <c r="BV124" t="s">
        <v>3364</v>
      </c>
      <c r="BW124" t="s">
        <v>138</v>
      </c>
      <c r="BX124" t="s">
        <v>3365</v>
      </c>
      <c r="BY124" t="s">
        <v>3366</v>
      </c>
      <c r="BZ124" t="s">
        <v>3367</v>
      </c>
      <c r="CA124" t="s">
        <v>3368</v>
      </c>
      <c r="CB124" t="s">
        <v>3365</v>
      </c>
      <c r="CC124" t="s">
        <v>3366</v>
      </c>
      <c r="CD124" t="s">
        <v>3368</v>
      </c>
      <c r="CE124" t="s">
        <v>3365</v>
      </c>
      <c r="CF124" t="s">
        <v>3366</v>
      </c>
      <c r="CG124" t="s">
        <v>573</v>
      </c>
      <c r="CH124" t="s">
        <v>3369</v>
      </c>
      <c r="CJ124" t="s">
        <v>3370</v>
      </c>
      <c r="CK124" t="s">
        <v>3369</v>
      </c>
      <c r="CL124" t="s">
        <v>3358</v>
      </c>
      <c r="CM124" t="s">
        <v>285</v>
      </c>
      <c r="CN124" t="s">
        <v>3370</v>
      </c>
      <c r="CP124" t="s">
        <v>3371</v>
      </c>
      <c r="CQ124" t="s">
        <v>3371</v>
      </c>
    </row>
    <row r="125" spans="1:95">
      <c r="A125" t="s">
        <v>149</v>
      </c>
      <c r="B125">
        <v>2448365</v>
      </c>
      <c r="C125" t="s">
        <v>3372</v>
      </c>
      <c r="D125" t="str">
        <f>VLOOKUP(B125,'2025'!B:C,2,0)</f>
        <v>Shruti</v>
      </c>
      <c r="F125" t="s">
        <v>95</v>
      </c>
      <c r="G125" t="s">
        <v>3373</v>
      </c>
      <c r="H125" t="s">
        <v>152</v>
      </c>
      <c r="I125" t="s">
        <v>98</v>
      </c>
      <c r="J125" t="s">
        <v>3374</v>
      </c>
      <c r="K125" t="s">
        <v>100</v>
      </c>
      <c r="L125">
        <v>474193</v>
      </c>
      <c r="M125">
        <v>474193</v>
      </c>
      <c r="N125">
        <v>0</v>
      </c>
      <c r="O125">
        <v>0</v>
      </c>
      <c r="Q125">
        <v>474193</v>
      </c>
      <c r="R125">
        <v>678</v>
      </c>
      <c r="S125" t="s">
        <v>3375</v>
      </c>
      <c r="T125">
        <v>0</v>
      </c>
      <c r="U125">
        <v>0</v>
      </c>
      <c r="W125" t="s">
        <v>102</v>
      </c>
      <c r="X125" t="s">
        <v>103</v>
      </c>
      <c r="Y125" t="s">
        <v>155</v>
      </c>
      <c r="AA125" t="s">
        <v>3376</v>
      </c>
      <c r="AB125" t="s">
        <v>3377</v>
      </c>
      <c r="AC125" t="s">
        <v>3378</v>
      </c>
      <c r="AD125" t="s">
        <v>3377</v>
      </c>
      <c r="AE125" t="s">
        <v>437</v>
      </c>
      <c r="AF125" t="s">
        <v>3377</v>
      </c>
      <c r="AG125" t="s">
        <v>943</v>
      </c>
      <c r="AH125" t="s">
        <v>3377</v>
      </c>
      <c r="AI125" t="s">
        <v>3379</v>
      </c>
      <c r="AJ125" t="s">
        <v>1692</v>
      </c>
      <c r="AK125" t="s">
        <v>857</v>
      </c>
      <c r="AL125" t="s">
        <v>3380</v>
      </c>
      <c r="AM125" t="s">
        <v>3381</v>
      </c>
      <c r="AN125" t="s">
        <v>3382</v>
      </c>
      <c r="AO125" t="s">
        <v>3383</v>
      </c>
      <c r="AP125" t="s">
        <v>3383</v>
      </c>
      <c r="AU125" t="s">
        <v>102</v>
      </c>
      <c r="AW125" t="s">
        <v>155</v>
      </c>
      <c r="AX125" t="s">
        <v>119</v>
      </c>
      <c r="AY125" t="s">
        <v>3384</v>
      </c>
      <c r="AZ125" t="s">
        <v>118</v>
      </c>
      <c r="BB125" t="s">
        <v>120</v>
      </c>
      <c r="BC125" t="s">
        <v>1433</v>
      </c>
      <c r="BD125" t="s">
        <v>556</v>
      </c>
      <c r="BE125" t="s">
        <v>122</v>
      </c>
      <c r="BF125" t="s">
        <v>557</v>
      </c>
      <c r="BG125" t="s">
        <v>124</v>
      </c>
      <c r="BH125" t="s">
        <v>232</v>
      </c>
      <c r="BI125" t="s">
        <v>126</v>
      </c>
      <c r="BJ125" t="s">
        <v>127</v>
      </c>
      <c r="BK125" t="s">
        <v>3385</v>
      </c>
      <c r="BL125" t="s">
        <v>3386</v>
      </c>
      <c r="BM125" t="s">
        <v>3387</v>
      </c>
      <c r="BN125" t="s">
        <v>3373</v>
      </c>
      <c r="BO125" t="s">
        <v>1142</v>
      </c>
      <c r="BP125" t="s">
        <v>132</v>
      </c>
      <c r="BQ125" t="s">
        <v>1143</v>
      </c>
      <c r="BR125" t="s">
        <v>1144</v>
      </c>
      <c r="BS125" t="s">
        <v>566</v>
      </c>
      <c r="BU125" t="s">
        <v>3388</v>
      </c>
      <c r="BV125" t="s">
        <v>3389</v>
      </c>
      <c r="BW125" t="s">
        <v>354</v>
      </c>
      <c r="BX125" t="s">
        <v>3390</v>
      </c>
      <c r="BY125" t="s">
        <v>3391</v>
      </c>
      <c r="BZ125" t="s">
        <v>3392</v>
      </c>
      <c r="CG125" t="s">
        <v>102</v>
      </c>
      <c r="CH125" t="s">
        <v>3393</v>
      </c>
      <c r="CJ125" t="s">
        <v>1445</v>
      </c>
      <c r="CK125" t="s">
        <v>3393</v>
      </c>
      <c r="CL125" t="s">
        <v>1433</v>
      </c>
      <c r="CM125" t="s">
        <v>556</v>
      </c>
      <c r="CN125" t="s">
        <v>1445</v>
      </c>
      <c r="CO125" t="s">
        <v>3394</v>
      </c>
      <c r="CP125" t="s">
        <v>3393</v>
      </c>
      <c r="CQ125" t="s">
        <v>3393</v>
      </c>
    </row>
    <row r="126" spans="1:95">
      <c r="A126" t="s">
        <v>337</v>
      </c>
      <c r="B126">
        <v>2449</v>
      </c>
      <c r="C126" t="s">
        <v>3395</v>
      </c>
      <c r="D126" t="str">
        <f>VLOOKUP(B126,'2025'!B:C,2,0)</f>
        <v>Chaitanya</v>
      </c>
      <c r="F126" t="s">
        <v>95</v>
      </c>
      <c r="G126" t="s">
        <v>3396</v>
      </c>
      <c r="H126" t="s">
        <v>2193</v>
      </c>
      <c r="I126" t="s">
        <v>98</v>
      </c>
      <c r="J126" t="s">
        <v>3397</v>
      </c>
      <c r="K126" t="s">
        <v>100</v>
      </c>
      <c r="L126">
        <v>400000</v>
      </c>
      <c r="M126">
        <v>472000</v>
      </c>
      <c r="N126">
        <v>0</v>
      </c>
      <c r="O126">
        <v>1237</v>
      </c>
      <c r="P126" t="s">
        <v>102</v>
      </c>
      <c r="Q126">
        <v>0</v>
      </c>
      <c r="R126">
        <v>0</v>
      </c>
      <c r="S126" t="s">
        <v>102</v>
      </c>
      <c r="T126">
        <v>0</v>
      </c>
      <c r="U126">
        <v>0</v>
      </c>
      <c r="V126" t="s">
        <v>102</v>
      </c>
      <c r="W126" t="s">
        <v>2195</v>
      </c>
      <c r="X126" t="s">
        <v>103</v>
      </c>
      <c r="Y126" t="s">
        <v>2196</v>
      </c>
      <c r="Z126" t="s">
        <v>517</v>
      </c>
      <c r="AA126" t="s">
        <v>3396</v>
      </c>
      <c r="AB126" t="s">
        <v>102</v>
      </c>
      <c r="AC126" t="s">
        <v>3398</v>
      </c>
      <c r="AD126" t="s">
        <v>102</v>
      </c>
      <c r="AE126" t="s">
        <v>3399</v>
      </c>
      <c r="AF126" t="s">
        <v>102</v>
      </c>
      <c r="AG126" t="s">
        <v>2912</v>
      </c>
      <c r="AH126" t="s">
        <v>102</v>
      </c>
      <c r="AI126" t="s">
        <v>102</v>
      </c>
      <c r="AJ126" t="s">
        <v>517</v>
      </c>
      <c r="AK126" t="s">
        <v>517</v>
      </c>
      <c r="AL126" t="s">
        <v>2195</v>
      </c>
      <c r="AM126" t="s">
        <v>102</v>
      </c>
      <c r="AN126" t="s">
        <v>2195</v>
      </c>
      <c r="AO126" t="s">
        <v>2202</v>
      </c>
      <c r="AP126" t="s">
        <v>2202</v>
      </c>
      <c r="AQ126" t="s">
        <v>102</v>
      </c>
      <c r="AR126" t="s">
        <v>102</v>
      </c>
      <c r="AS126" t="s">
        <v>102</v>
      </c>
      <c r="AT126" t="s">
        <v>102</v>
      </c>
      <c r="AU126" t="s">
        <v>247</v>
      </c>
      <c r="AV126" t="s">
        <v>118</v>
      </c>
      <c r="AW126" t="s">
        <v>102</v>
      </c>
      <c r="AX126" t="s">
        <v>119</v>
      </c>
      <c r="BB126" t="s">
        <v>120</v>
      </c>
      <c r="BC126" t="s">
        <v>2204</v>
      </c>
      <c r="BD126" t="s">
        <v>121</v>
      </c>
      <c r="BE126" t="s">
        <v>122</v>
      </c>
      <c r="BF126" t="s">
        <v>123</v>
      </c>
      <c r="BG126" t="s">
        <v>124</v>
      </c>
      <c r="BH126" t="s">
        <v>3400</v>
      </c>
      <c r="BI126" t="s">
        <v>3401</v>
      </c>
      <c r="BJ126" t="s">
        <v>2207</v>
      </c>
      <c r="BK126" t="s">
        <v>3402</v>
      </c>
      <c r="BL126" t="s">
        <v>3403</v>
      </c>
      <c r="BM126" t="s">
        <v>3404</v>
      </c>
      <c r="BN126" t="s">
        <v>3396</v>
      </c>
      <c r="BO126" t="s">
        <v>2766</v>
      </c>
      <c r="BP126" t="s">
        <v>3064</v>
      </c>
      <c r="BQ126" t="s">
        <v>2213</v>
      </c>
      <c r="BR126" t="s">
        <v>2214</v>
      </c>
      <c r="BS126" t="s">
        <v>2215</v>
      </c>
      <c r="BT126" t="s">
        <v>3405</v>
      </c>
      <c r="BU126" t="s">
        <v>3406</v>
      </c>
      <c r="BV126" t="s">
        <v>3407</v>
      </c>
      <c r="BW126" t="s">
        <v>138</v>
      </c>
      <c r="BX126" t="s">
        <v>225</v>
      </c>
      <c r="BY126" t="s">
        <v>226</v>
      </c>
      <c r="BZ126" t="s">
        <v>3408</v>
      </c>
      <c r="CG126" t="s">
        <v>3409</v>
      </c>
      <c r="CH126" t="s">
        <v>3410</v>
      </c>
      <c r="CJ126" t="s">
        <v>3411</v>
      </c>
      <c r="CK126" t="s">
        <v>3410</v>
      </c>
      <c r="CL126" t="s">
        <v>2204</v>
      </c>
      <c r="CM126" t="s">
        <v>121</v>
      </c>
      <c r="CN126" t="s">
        <v>3411</v>
      </c>
      <c r="CP126" t="s">
        <v>3410</v>
      </c>
      <c r="CQ126" t="s">
        <v>3410</v>
      </c>
    </row>
    <row r="127" spans="1:95">
      <c r="A127" t="s">
        <v>149</v>
      </c>
      <c r="B127">
        <v>2451376</v>
      </c>
      <c r="C127" t="s">
        <v>3412</v>
      </c>
      <c r="F127" t="s">
        <v>95</v>
      </c>
      <c r="G127" t="s">
        <v>1470</v>
      </c>
      <c r="H127" t="s">
        <v>97</v>
      </c>
      <c r="I127" t="s">
        <v>98</v>
      </c>
      <c r="J127" t="s">
        <v>3413</v>
      </c>
      <c r="K127" t="s">
        <v>100</v>
      </c>
      <c r="L127">
        <v>109522</v>
      </c>
      <c r="M127">
        <v>109522</v>
      </c>
      <c r="N127">
        <v>109522</v>
      </c>
      <c r="O127">
        <v>219</v>
      </c>
      <c r="P127" t="s">
        <v>364</v>
      </c>
      <c r="Q127">
        <v>0</v>
      </c>
      <c r="R127">
        <v>0</v>
      </c>
      <c r="T127">
        <v>0</v>
      </c>
      <c r="U127">
        <v>0</v>
      </c>
      <c r="W127" t="s">
        <v>102</v>
      </c>
      <c r="X127" t="s">
        <v>103</v>
      </c>
      <c r="Y127" t="s">
        <v>104</v>
      </c>
      <c r="AA127" t="s">
        <v>892</v>
      </c>
      <c r="AB127" t="s">
        <v>3414</v>
      </c>
      <c r="AC127" t="s">
        <v>437</v>
      </c>
      <c r="AD127" t="s">
        <v>3415</v>
      </c>
      <c r="AE127" t="s">
        <v>109</v>
      </c>
      <c r="AF127" t="s">
        <v>102</v>
      </c>
      <c r="AG127" t="s">
        <v>109</v>
      </c>
      <c r="AH127" t="s">
        <v>102</v>
      </c>
      <c r="AI127" t="s">
        <v>3416</v>
      </c>
      <c r="AJ127" t="s">
        <v>112</v>
      </c>
      <c r="AK127" t="s">
        <v>112</v>
      </c>
      <c r="AL127" t="s">
        <v>3417</v>
      </c>
      <c r="AM127" t="s">
        <v>3418</v>
      </c>
      <c r="AN127" t="s">
        <v>3419</v>
      </c>
      <c r="AO127" t="s">
        <v>2353</v>
      </c>
      <c r="AP127" t="s">
        <v>2353</v>
      </c>
      <c r="AU127" t="s">
        <v>117</v>
      </c>
      <c r="AV127" t="s">
        <v>118</v>
      </c>
      <c r="AW127" t="s">
        <v>102</v>
      </c>
      <c r="AX127" t="s">
        <v>119</v>
      </c>
      <c r="BB127" t="s">
        <v>209</v>
      </c>
      <c r="BC127" t="s">
        <v>1759</v>
      </c>
      <c r="BD127" t="s">
        <v>410</v>
      </c>
      <c r="BE127" t="s">
        <v>212</v>
      </c>
      <c r="BF127" t="s">
        <v>410</v>
      </c>
      <c r="BG127" t="s">
        <v>124</v>
      </c>
      <c r="BH127" t="s">
        <v>214</v>
      </c>
      <c r="BI127" t="s">
        <v>411</v>
      </c>
      <c r="BJ127" t="s">
        <v>127</v>
      </c>
      <c r="BK127" t="s">
        <v>3420</v>
      </c>
      <c r="BL127" t="s">
        <v>3421</v>
      </c>
      <c r="BM127" t="s">
        <v>3422</v>
      </c>
      <c r="BN127" t="s">
        <v>1470</v>
      </c>
      <c r="BO127" t="s">
        <v>415</v>
      </c>
      <c r="BP127" t="s">
        <v>350</v>
      </c>
      <c r="BQ127" t="s">
        <v>416</v>
      </c>
      <c r="BR127" t="s">
        <v>417</v>
      </c>
      <c r="BS127" t="s">
        <v>222</v>
      </c>
      <c r="BU127" t="s">
        <v>3423</v>
      </c>
      <c r="BV127" t="s">
        <v>3424</v>
      </c>
      <c r="BW127" t="s">
        <v>138</v>
      </c>
      <c r="BX127" t="s">
        <v>3425</v>
      </c>
      <c r="BY127" t="s">
        <v>3426</v>
      </c>
      <c r="BZ127" t="s">
        <v>3427</v>
      </c>
      <c r="CA127" t="s">
        <v>3424</v>
      </c>
      <c r="CB127" t="s">
        <v>3425</v>
      </c>
      <c r="CC127" t="s">
        <v>3426</v>
      </c>
      <c r="CG127" t="s">
        <v>102</v>
      </c>
      <c r="CH127" t="s">
        <v>3428</v>
      </c>
      <c r="CJ127" t="s">
        <v>2740</v>
      </c>
      <c r="CK127" t="s">
        <v>3428</v>
      </c>
      <c r="CL127" t="s">
        <v>1759</v>
      </c>
      <c r="CM127" t="s">
        <v>410</v>
      </c>
      <c r="CN127" t="s">
        <v>2740</v>
      </c>
      <c r="CO127" t="s">
        <v>1775</v>
      </c>
      <c r="CP127" t="s">
        <v>3428</v>
      </c>
      <c r="CQ127" t="s">
        <v>3428</v>
      </c>
    </row>
    <row r="128" spans="1:95">
      <c r="A128" t="s">
        <v>93</v>
      </c>
      <c r="B128">
        <v>2456473</v>
      </c>
      <c r="C128" t="s">
        <v>3429</v>
      </c>
      <c r="F128" t="s">
        <v>95</v>
      </c>
      <c r="G128" t="s">
        <v>1493</v>
      </c>
      <c r="H128" t="s">
        <v>97</v>
      </c>
      <c r="I128" t="s">
        <v>98</v>
      </c>
      <c r="J128" t="s">
        <v>3430</v>
      </c>
      <c r="K128" t="s">
        <v>100</v>
      </c>
      <c r="L128">
        <v>429039</v>
      </c>
      <c r="M128">
        <v>429039</v>
      </c>
      <c r="N128">
        <v>429039</v>
      </c>
      <c r="O128">
        <v>780</v>
      </c>
      <c r="P128" t="s">
        <v>3431</v>
      </c>
      <c r="Q128">
        <v>0</v>
      </c>
      <c r="R128">
        <v>0</v>
      </c>
      <c r="T128">
        <v>0</v>
      </c>
      <c r="U128">
        <v>0</v>
      </c>
      <c r="W128" t="s">
        <v>102</v>
      </c>
      <c r="X128" t="s">
        <v>103</v>
      </c>
      <c r="Y128" t="s">
        <v>104</v>
      </c>
      <c r="AA128" t="s">
        <v>2605</v>
      </c>
      <c r="AB128" t="s">
        <v>3432</v>
      </c>
      <c r="AC128" t="s">
        <v>160</v>
      </c>
      <c r="AD128" t="s">
        <v>3432</v>
      </c>
      <c r="AE128" t="s">
        <v>109</v>
      </c>
      <c r="AF128" t="s">
        <v>102</v>
      </c>
      <c r="AG128" t="s">
        <v>109</v>
      </c>
      <c r="AH128" t="s">
        <v>102</v>
      </c>
      <c r="AI128" t="s">
        <v>3433</v>
      </c>
      <c r="AJ128" t="s">
        <v>2364</v>
      </c>
      <c r="AK128" t="s">
        <v>3434</v>
      </c>
      <c r="AL128" t="s">
        <v>3435</v>
      </c>
      <c r="AM128" t="s">
        <v>3436</v>
      </c>
      <c r="AN128" t="s">
        <v>3437</v>
      </c>
      <c r="AO128" t="s">
        <v>3438</v>
      </c>
      <c r="AP128" t="s">
        <v>3438</v>
      </c>
      <c r="AU128" t="s">
        <v>3439</v>
      </c>
      <c r="AV128" t="s">
        <v>118</v>
      </c>
      <c r="AW128" t="s">
        <v>102</v>
      </c>
      <c r="AX128" t="s">
        <v>119</v>
      </c>
      <c r="BB128" t="s">
        <v>171</v>
      </c>
      <c r="BC128" t="s">
        <v>920</v>
      </c>
      <c r="BD128" t="s">
        <v>211</v>
      </c>
      <c r="BE128" t="s">
        <v>212</v>
      </c>
      <c r="BF128" t="s">
        <v>213</v>
      </c>
      <c r="BG128" t="s">
        <v>124</v>
      </c>
      <c r="BH128" t="s">
        <v>214</v>
      </c>
      <c r="BI128" t="s">
        <v>126</v>
      </c>
      <c r="BJ128" t="s">
        <v>127</v>
      </c>
      <c r="BK128" t="s">
        <v>3440</v>
      </c>
      <c r="BL128" t="s">
        <v>3441</v>
      </c>
      <c r="BM128" t="s">
        <v>3442</v>
      </c>
      <c r="BN128" t="s">
        <v>1493</v>
      </c>
      <c r="BO128" t="s">
        <v>3443</v>
      </c>
      <c r="BP128" t="s">
        <v>180</v>
      </c>
      <c r="BQ128" t="s">
        <v>3444</v>
      </c>
      <c r="BR128" t="s">
        <v>3445</v>
      </c>
      <c r="BS128" t="s">
        <v>2151</v>
      </c>
      <c r="BU128" t="s">
        <v>3446</v>
      </c>
      <c r="BV128" t="s">
        <v>3447</v>
      </c>
      <c r="BW128" t="s">
        <v>138</v>
      </c>
      <c r="BX128" t="s">
        <v>3448</v>
      </c>
      <c r="BY128" t="s">
        <v>3449</v>
      </c>
      <c r="BZ128" t="s">
        <v>3450</v>
      </c>
      <c r="CA128" t="s">
        <v>3447</v>
      </c>
      <c r="CB128" t="s">
        <v>3448</v>
      </c>
      <c r="CC128" t="s">
        <v>3449</v>
      </c>
      <c r="CD128" t="s">
        <v>3451</v>
      </c>
      <c r="CE128" t="s">
        <v>3448</v>
      </c>
      <c r="CF128" t="s">
        <v>3449</v>
      </c>
      <c r="CG128" t="s">
        <v>2270</v>
      </c>
      <c r="CH128" t="s">
        <v>3452</v>
      </c>
      <c r="CJ128" t="s">
        <v>3453</v>
      </c>
      <c r="CK128" t="s">
        <v>3454</v>
      </c>
      <c r="CL128" t="s">
        <v>920</v>
      </c>
      <c r="CM128" t="s">
        <v>211</v>
      </c>
      <c r="CN128" t="s">
        <v>3453</v>
      </c>
      <c r="CO128" t="s">
        <v>3455</v>
      </c>
      <c r="CP128" t="s">
        <v>3452</v>
      </c>
      <c r="CQ128" t="s">
        <v>3454</v>
      </c>
    </row>
    <row r="129" spans="1:95">
      <c r="A129" t="s">
        <v>93</v>
      </c>
      <c r="B129">
        <v>2457713</v>
      </c>
      <c r="C129" t="s">
        <v>3456</v>
      </c>
      <c r="D129" t="str">
        <f>VLOOKUP(B129,'2025'!B:C,2,0)</f>
        <v>Jasper Jessie</v>
      </c>
      <c r="F129" t="s">
        <v>95</v>
      </c>
      <c r="G129" t="s">
        <v>3457</v>
      </c>
      <c r="H129" t="s">
        <v>152</v>
      </c>
      <c r="I129" t="s">
        <v>98</v>
      </c>
      <c r="J129" t="s">
        <v>3458</v>
      </c>
      <c r="K129" t="s">
        <v>100</v>
      </c>
      <c r="L129">
        <v>1802507</v>
      </c>
      <c r="M129">
        <v>1802507</v>
      </c>
      <c r="N129">
        <v>0</v>
      </c>
      <c r="O129">
        <v>0</v>
      </c>
      <c r="Q129">
        <v>1802507</v>
      </c>
      <c r="R129">
        <v>1176</v>
      </c>
      <c r="S129" t="s">
        <v>2794</v>
      </c>
      <c r="T129">
        <v>0</v>
      </c>
      <c r="U129">
        <v>0</v>
      </c>
      <c r="W129" t="s">
        <v>102</v>
      </c>
      <c r="X129" t="s">
        <v>103</v>
      </c>
      <c r="Y129" t="s">
        <v>155</v>
      </c>
      <c r="AA129" t="s">
        <v>96</v>
      </c>
      <c r="AB129" t="s">
        <v>3459</v>
      </c>
      <c r="AC129" t="s">
        <v>1330</v>
      </c>
      <c r="AD129" t="s">
        <v>3459</v>
      </c>
      <c r="AE129" t="s">
        <v>2304</v>
      </c>
      <c r="AF129" t="s">
        <v>3459</v>
      </c>
      <c r="AG129" t="s">
        <v>680</v>
      </c>
      <c r="AH129" t="s">
        <v>3459</v>
      </c>
      <c r="AI129" t="s">
        <v>102</v>
      </c>
      <c r="AJ129" t="s">
        <v>339</v>
      </c>
      <c r="AK129" t="s">
        <v>3460</v>
      </c>
      <c r="AL129" t="s">
        <v>3461</v>
      </c>
      <c r="AM129" t="s">
        <v>3462</v>
      </c>
      <c r="AN129" t="s">
        <v>3463</v>
      </c>
      <c r="AO129" t="s">
        <v>3464</v>
      </c>
      <c r="AP129" t="s">
        <v>3464</v>
      </c>
      <c r="AU129" t="s">
        <v>102</v>
      </c>
      <c r="AW129" t="s">
        <v>155</v>
      </c>
      <c r="AX129" t="s">
        <v>447</v>
      </c>
      <c r="AY129" t="s">
        <v>170</v>
      </c>
      <c r="AZ129" t="s">
        <v>118</v>
      </c>
      <c r="BB129" t="s">
        <v>120</v>
      </c>
      <c r="BC129" t="s">
        <v>3465</v>
      </c>
      <c r="BD129" t="s">
        <v>211</v>
      </c>
      <c r="BE129" t="s">
        <v>212</v>
      </c>
      <c r="BF129" t="s">
        <v>213</v>
      </c>
      <c r="BG129" t="s">
        <v>124</v>
      </c>
      <c r="BH129" t="s">
        <v>1848</v>
      </c>
      <c r="BI129" t="s">
        <v>126</v>
      </c>
      <c r="BJ129" t="s">
        <v>127</v>
      </c>
      <c r="BK129" t="s">
        <v>3466</v>
      </c>
      <c r="BL129" t="s">
        <v>3467</v>
      </c>
      <c r="BM129" t="s">
        <v>3468</v>
      </c>
      <c r="BN129" t="s">
        <v>3457</v>
      </c>
      <c r="BO129" t="s">
        <v>381</v>
      </c>
      <c r="BP129" t="s">
        <v>132</v>
      </c>
      <c r="BQ129" t="s">
        <v>382</v>
      </c>
      <c r="BR129" t="s">
        <v>383</v>
      </c>
      <c r="BS129" t="s">
        <v>2151</v>
      </c>
      <c r="BU129" t="s">
        <v>3469</v>
      </c>
      <c r="BV129" t="s">
        <v>3470</v>
      </c>
      <c r="BW129" t="s">
        <v>138</v>
      </c>
      <c r="BX129" t="s">
        <v>3471</v>
      </c>
      <c r="BY129" t="s">
        <v>3472</v>
      </c>
      <c r="BZ129" t="s">
        <v>3473</v>
      </c>
      <c r="CA129" t="s">
        <v>3470</v>
      </c>
      <c r="CB129" t="s">
        <v>3471</v>
      </c>
      <c r="CC129" t="s">
        <v>3472</v>
      </c>
      <c r="CG129" t="s">
        <v>3474</v>
      </c>
      <c r="CH129" t="s">
        <v>3475</v>
      </c>
      <c r="CJ129" t="s">
        <v>3476</v>
      </c>
      <c r="CK129" t="s">
        <v>3475</v>
      </c>
      <c r="CL129" t="s">
        <v>3465</v>
      </c>
      <c r="CM129" t="s">
        <v>211</v>
      </c>
      <c r="CN129" t="s">
        <v>3476</v>
      </c>
      <c r="CO129" t="s">
        <v>3477</v>
      </c>
      <c r="CP129" t="s">
        <v>3475</v>
      </c>
      <c r="CQ129" t="s">
        <v>3475</v>
      </c>
    </row>
    <row r="130" spans="1:95">
      <c r="A130" t="s">
        <v>337</v>
      </c>
      <c r="B130">
        <v>2458794</v>
      </c>
      <c r="C130" t="s">
        <v>3478</v>
      </c>
      <c r="D130" t="str">
        <f>VLOOKUP(B130,'2025'!B:C,2,0)</f>
        <v>Bhavishya</v>
      </c>
      <c r="F130" t="s">
        <v>95</v>
      </c>
      <c r="G130" t="s">
        <v>3479</v>
      </c>
      <c r="H130" t="s">
        <v>152</v>
      </c>
      <c r="I130" t="s">
        <v>98</v>
      </c>
      <c r="J130" t="s">
        <v>3480</v>
      </c>
      <c r="K130" t="s">
        <v>100</v>
      </c>
      <c r="L130">
        <v>822210</v>
      </c>
      <c r="M130">
        <v>822210</v>
      </c>
      <c r="N130">
        <v>0</v>
      </c>
      <c r="O130">
        <v>0</v>
      </c>
      <c r="Q130">
        <v>822210</v>
      </c>
      <c r="R130">
        <v>401</v>
      </c>
      <c r="S130" t="s">
        <v>3481</v>
      </c>
      <c r="T130">
        <v>0</v>
      </c>
      <c r="U130">
        <v>0</v>
      </c>
      <c r="W130" t="s">
        <v>102</v>
      </c>
      <c r="X130" t="s">
        <v>103</v>
      </c>
      <c r="Y130" t="s">
        <v>155</v>
      </c>
      <c r="AA130" t="s">
        <v>2947</v>
      </c>
      <c r="AB130" t="s">
        <v>3482</v>
      </c>
      <c r="AC130" t="s">
        <v>977</v>
      </c>
      <c r="AD130" t="s">
        <v>3482</v>
      </c>
      <c r="AE130" t="s">
        <v>3483</v>
      </c>
      <c r="AF130" t="s">
        <v>3482</v>
      </c>
      <c r="AG130" t="s">
        <v>160</v>
      </c>
      <c r="AH130" t="s">
        <v>3482</v>
      </c>
      <c r="AI130" t="s">
        <v>102</v>
      </c>
      <c r="AJ130" t="s">
        <v>3484</v>
      </c>
      <c r="AK130" t="s">
        <v>3485</v>
      </c>
      <c r="AL130" t="s">
        <v>3486</v>
      </c>
      <c r="AM130" t="s">
        <v>3487</v>
      </c>
      <c r="AN130" t="s">
        <v>3488</v>
      </c>
      <c r="AO130" t="s">
        <v>3489</v>
      </c>
      <c r="AP130" t="s">
        <v>3489</v>
      </c>
      <c r="AU130" t="s">
        <v>102</v>
      </c>
      <c r="AW130" t="s">
        <v>155</v>
      </c>
      <c r="AX130" t="s">
        <v>447</v>
      </c>
      <c r="AY130" t="s">
        <v>170</v>
      </c>
      <c r="AZ130" t="s">
        <v>118</v>
      </c>
      <c r="BB130" t="s">
        <v>120</v>
      </c>
      <c r="BC130" t="s">
        <v>3490</v>
      </c>
      <c r="BD130" t="s">
        <v>345</v>
      </c>
      <c r="BE130" t="s">
        <v>122</v>
      </c>
      <c r="BF130" t="s">
        <v>346</v>
      </c>
      <c r="BG130" t="s">
        <v>124</v>
      </c>
      <c r="BH130" t="s">
        <v>232</v>
      </c>
      <c r="BI130" t="s">
        <v>126</v>
      </c>
      <c r="BJ130" t="s">
        <v>127</v>
      </c>
      <c r="BK130" t="s">
        <v>3491</v>
      </c>
      <c r="BL130" t="s">
        <v>3492</v>
      </c>
      <c r="BM130" t="s">
        <v>3493</v>
      </c>
      <c r="BN130" t="s">
        <v>3479</v>
      </c>
      <c r="BO130" t="s">
        <v>325</v>
      </c>
      <c r="BP130" t="s">
        <v>505</v>
      </c>
      <c r="BQ130" t="s">
        <v>326</v>
      </c>
      <c r="BR130" t="s">
        <v>327</v>
      </c>
      <c r="BS130" t="s">
        <v>328</v>
      </c>
      <c r="BU130" t="s">
        <v>3494</v>
      </c>
      <c r="BV130" t="s">
        <v>3495</v>
      </c>
      <c r="BW130" t="s">
        <v>354</v>
      </c>
      <c r="BX130" t="s">
        <v>3496</v>
      </c>
      <c r="BY130" t="s">
        <v>3497</v>
      </c>
      <c r="BZ130" t="s">
        <v>3498</v>
      </c>
      <c r="CG130" t="s">
        <v>3499</v>
      </c>
      <c r="CH130" t="s">
        <v>3500</v>
      </c>
      <c r="CJ130" t="s">
        <v>3501</v>
      </c>
      <c r="CK130" t="s">
        <v>3500</v>
      </c>
      <c r="CL130" t="s">
        <v>3490</v>
      </c>
      <c r="CM130" t="s">
        <v>345</v>
      </c>
      <c r="CN130" t="s">
        <v>3501</v>
      </c>
      <c r="CO130" t="s">
        <v>3502</v>
      </c>
      <c r="CP130" t="s">
        <v>3500</v>
      </c>
      <c r="CQ130" t="s">
        <v>3500</v>
      </c>
    </row>
    <row r="131" spans="1:95">
      <c r="A131" t="s">
        <v>337</v>
      </c>
      <c r="B131">
        <v>2461397</v>
      </c>
      <c r="C131" t="s">
        <v>3503</v>
      </c>
      <c r="E131" s="4" t="s">
        <v>17377</v>
      </c>
      <c r="F131" t="s">
        <v>95</v>
      </c>
      <c r="G131" t="s">
        <v>1447</v>
      </c>
      <c r="H131" t="s">
        <v>152</v>
      </c>
      <c r="I131" t="s">
        <v>98</v>
      </c>
      <c r="J131" t="s">
        <v>3504</v>
      </c>
      <c r="K131" t="s">
        <v>100</v>
      </c>
      <c r="L131">
        <v>279864</v>
      </c>
      <c r="M131">
        <v>279864</v>
      </c>
      <c r="N131">
        <v>0</v>
      </c>
      <c r="O131">
        <v>0</v>
      </c>
      <c r="Q131">
        <v>279864</v>
      </c>
      <c r="R131">
        <v>276</v>
      </c>
      <c r="S131" t="s">
        <v>3505</v>
      </c>
      <c r="T131">
        <v>0</v>
      </c>
      <c r="U131">
        <v>0</v>
      </c>
      <c r="W131" t="s">
        <v>102</v>
      </c>
      <c r="X131" t="s">
        <v>103</v>
      </c>
      <c r="Y131" t="s">
        <v>155</v>
      </c>
      <c r="AA131" t="s">
        <v>2349</v>
      </c>
      <c r="AB131" t="s">
        <v>3506</v>
      </c>
      <c r="AC131" t="s">
        <v>339</v>
      </c>
      <c r="AD131" t="s">
        <v>3506</v>
      </c>
      <c r="AE131" t="s">
        <v>159</v>
      </c>
      <c r="AF131" t="s">
        <v>3506</v>
      </c>
      <c r="AG131" t="s">
        <v>160</v>
      </c>
      <c r="AH131" t="s">
        <v>3506</v>
      </c>
      <c r="AI131" t="s">
        <v>102</v>
      </c>
      <c r="AJ131" t="s">
        <v>886</v>
      </c>
      <c r="AK131" t="s">
        <v>886</v>
      </c>
      <c r="AL131" t="s">
        <v>3507</v>
      </c>
      <c r="AM131" t="s">
        <v>3508</v>
      </c>
      <c r="AN131" t="s">
        <v>3509</v>
      </c>
      <c r="AO131" t="s">
        <v>3510</v>
      </c>
      <c r="AP131" t="s">
        <v>3510</v>
      </c>
      <c r="AU131" t="s">
        <v>102</v>
      </c>
      <c r="AW131" t="s">
        <v>155</v>
      </c>
      <c r="AX131" t="s">
        <v>119</v>
      </c>
      <c r="AY131" t="s">
        <v>170</v>
      </c>
      <c r="AZ131" t="s">
        <v>118</v>
      </c>
      <c r="BB131" t="s">
        <v>120</v>
      </c>
      <c r="BC131" t="s">
        <v>3511</v>
      </c>
      <c r="BD131" t="s">
        <v>410</v>
      </c>
      <c r="BE131" t="s">
        <v>212</v>
      </c>
      <c r="BF131" t="s">
        <v>410</v>
      </c>
      <c r="BG131" t="s">
        <v>124</v>
      </c>
      <c r="BH131" t="s">
        <v>214</v>
      </c>
      <c r="BI131" t="s">
        <v>625</v>
      </c>
      <c r="BJ131" t="s">
        <v>127</v>
      </c>
      <c r="BK131" t="s">
        <v>3512</v>
      </c>
      <c r="BL131" t="s">
        <v>3513</v>
      </c>
      <c r="BM131" t="s">
        <v>3514</v>
      </c>
      <c r="BN131" t="s">
        <v>1447</v>
      </c>
      <c r="BO131" t="s">
        <v>1699</v>
      </c>
      <c r="BP131" t="s">
        <v>505</v>
      </c>
      <c r="BQ131" t="s">
        <v>1700</v>
      </c>
      <c r="BR131" t="s">
        <v>1701</v>
      </c>
      <c r="BS131" t="s">
        <v>1702</v>
      </c>
      <c r="BU131" t="s">
        <v>3515</v>
      </c>
      <c r="BV131" t="s">
        <v>3516</v>
      </c>
      <c r="BW131" t="s">
        <v>138</v>
      </c>
      <c r="BX131" t="s">
        <v>3517</v>
      </c>
      <c r="BY131" t="s">
        <v>3518</v>
      </c>
      <c r="BZ131" t="s">
        <v>3519</v>
      </c>
      <c r="CG131" t="s">
        <v>334</v>
      </c>
      <c r="CH131" t="s">
        <v>3520</v>
      </c>
      <c r="CJ131" t="s">
        <v>3521</v>
      </c>
      <c r="CK131" t="s">
        <v>3520</v>
      </c>
      <c r="CL131" t="s">
        <v>3511</v>
      </c>
      <c r="CM131" t="s">
        <v>410</v>
      </c>
      <c r="CN131" t="s">
        <v>3521</v>
      </c>
      <c r="CP131" t="s">
        <v>3520</v>
      </c>
      <c r="CQ131" t="s">
        <v>3520</v>
      </c>
    </row>
    <row r="132" spans="1:95">
      <c r="A132" t="s">
        <v>149</v>
      </c>
      <c r="B132">
        <v>2470596</v>
      </c>
      <c r="C132" t="s">
        <v>3522</v>
      </c>
      <c r="F132" t="s">
        <v>95</v>
      </c>
      <c r="G132" t="s">
        <v>2298</v>
      </c>
      <c r="H132" t="s">
        <v>1086</v>
      </c>
      <c r="I132" t="s">
        <v>98</v>
      </c>
      <c r="J132" t="s">
        <v>3523</v>
      </c>
      <c r="K132" t="s">
        <v>100</v>
      </c>
      <c r="L132">
        <v>1149558</v>
      </c>
      <c r="M132">
        <v>1266960</v>
      </c>
      <c r="N132">
        <v>113054</v>
      </c>
      <c r="O132">
        <v>386</v>
      </c>
      <c r="P132" t="s">
        <v>3524</v>
      </c>
      <c r="Q132">
        <v>384271</v>
      </c>
      <c r="R132">
        <v>386</v>
      </c>
      <c r="S132" t="s">
        <v>3525</v>
      </c>
      <c r="T132">
        <v>652233</v>
      </c>
      <c r="U132">
        <v>515</v>
      </c>
      <c r="V132" t="s">
        <v>3526</v>
      </c>
      <c r="W132" t="s">
        <v>102</v>
      </c>
      <c r="X132" t="s">
        <v>103</v>
      </c>
      <c r="Y132" t="s">
        <v>104</v>
      </c>
      <c r="AA132" t="s">
        <v>3527</v>
      </c>
      <c r="AB132" t="s">
        <v>3528</v>
      </c>
      <c r="AC132" t="s">
        <v>160</v>
      </c>
      <c r="AD132" t="s">
        <v>3528</v>
      </c>
      <c r="AE132" t="s">
        <v>109</v>
      </c>
      <c r="AF132" t="s">
        <v>102</v>
      </c>
      <c r="AG132" t="s">
        <v>109</v>
      </c>
      <c r="AH132" t="s">
        <v>102</v>
      </c>
      <c r="AI132" t="s">
        <v>3529</v>
      </c>
      <c r="AJ132" t="s">
        <v>3530</v>
      </c>
      <c r="AK132" t="s">
        <v>3531</v>
      </c>
      <c r="AL132" t="s">
        <v>3532</v>
      </c>
      <c r="AM132" t="s">
        <v>3533</v>
      </c>
      <c r="AN132" t="s">
        <v>3534</v>
      </c>
      <c r="AO132" t="s">
        <v>3535</v>
      </c>
      <c r="AP132" t="s">
        <v>3535</v>
      </c>
      <c r="AU132" t="s">
        <v>207</v>
      </c>
      <c r="AV132" t="s">
        <v>250</v>
      </c>
      <c r="AW132" t="s">
        <v>3536</v>
      </c>
      <c r="AX132" t="s">
        <v>119</v>
      </c>
      <c r="AZ132" t="s">
        <v>250</v>
      </c>
      <c r="BA132" t="s">
        <v>250</v>
      </c>
      <c r="BB132" t="s">
        <v>171</v>
      </c>
      <c r="BC132" t="s">
        <v>3537</v>
      </c>
      <c r="BD132" t="s">
        <v>410</v>
      </c>
      <c r="BE132" t="s">
        <v>212</v>
      </c>
      <c r="BF132" t="s">
        <v>410</v>
      </c>
      <c r="BG132" t="s">
        <v>124</v>
      </c>
      <c r="BH132" t="s">
        <v>214</v>
      </c>
      <c r="BI132" t="s">
        <v>625</v>
      </c>
      <c r="BJ132" t="s">
        <v>127</v>
      </c>
      <c r="BK132" t="s">
        <v>3538</v>
      </c>
      <c r="BL132" t="s">
        <v>3539</v>
      </c>
      <c r="BM132" t="s">
        <v>3540</v>
      </c>
      <c r="BN132" t="s">
        <v>2298</v>
      </c>
      <c r="BO132" t="s">
        <v>956</v>
      </c>
      <c r="BP132" t="s">
        <v>258</v>
      </c>
      <c r="BQ132" t="s">
        <v>958</v>
      </c>
      <c r="BR132" t="s">
        <v>959</v>
      </c>
      <c r="BS132" t="s">
        <v>418</v>
      </c>
      <c r="BU132" t="s">
        <v>3541</v>
      </c>
      <c r="BV132" t="s">
        <v>3542</v>
      </c>
      <c r="BW132" t="s">
        <v>138</v>
      </c>
      <c r="BX132" t="s">
        <v>3543</v>
      </c>
      <c r="BY132" t="s">
        <v>3544</v>
      </c>
      <c r="BZ132" t="s">
        <v>3545</v>
      </c>
      <c r="CA132" t="s">
        <v>3542</v>
      </c>
      <c r="CB132" t="s">
        <v>3543</v>
      </c>
      <c r="CC132" t="s">
        <v>3544</v>
      </c>
      <c r="CG132" t="s">
        <v>102</v>
      </c>
      <c r="CH132" t="s">
        <v>3546</v>
      </c>
      <c r="CJ132" t="s">
        <v>3547</v>
      </c>
      <c r="CK132" t="s">
        <v>3546</v>
      </c>
      <c r="CL132" t="s">
        <v>3537</v>
      </c>
      <c r="CM132" t="s">
        <v>410</v>
      </c>
      <c r="CN132" t="s">
        <v>3547</v>
      </c>
      <c r="CP132" t="s">
        <v>3546</v>
      </c>
      <c r="CQ132" t="s">
        <v>3546</v>
      </c>
    </row>
    <row r="133" spans="1:95">
      <c r="A133" t="s">
        <v>149</v>
      </c>
      <c r="B133">
        <v>2470921</v>
      </c>
      <c r="C133" t="s">
        <v>3548</v>
      </c>
      <c r="D133" t="str">
        <f>VLOOKUP(B133,'2025'!B:C,2,0)</f>
        <v>Unnati Sharma</v>
      </c>
      <c r="F133" t="s">
        <v>95</v>
      </c>
      <c r="G133" t="s">
        <v>1354</v>
      </c>
      <c r="H133" t="s">
        <v>3549</v>
      </c>
      <c r="I133" t="s">
        <v>98</v>
      </c>
      <c r="J133" t="s">
        <v>3550</v>
      </c>
      <c r="K133" t="s">
        <v>100</v>
      </c>
      <c r="L133">
        <v>1365657</v>
      </c>
      <c r="M133">
        <v>1523779</v>
      </c>
      <c r="N133">
        <v>487202</v>
      </c>
      <c r="O133">
        <v>582</v>
      </c>
      <c r="P133" t="s">
        <v>3551</v>
      </c>
      <c r="Q133">
        <v>0</v>
      </c>
      <c r="R133">
        <v>0</v>
      </c>
      <c r="T133">
        <v>878455</v>
      </c>
      <c r="U133">
        <v>584</v>
      </c>
      <c r="V133" t="s">
        <v>3552</v>
      </c>
      <c r="W133" t="s">
        <v>102</v>
      </c>
      <c r="X133" t="s">
        <v>275</v>
      </c>
      <c r="Z133" t="s">
        <v>341</v>
      </c>
      <c r="AA133" t="s">
        <v>109</v>
      </c>
      <c r="AB133" t="s">
        <v>102</v>
      </c>
      <c r="AC133" t="s">
        <v>109</v>
      </c>
      <c r="AD133" t="s">
        <v>102</v>
      </c>
      <c r="AE133" t="s">
        <v>109</v>
      </c>
      <c r="AF133" t="s">
        <v>102</v>
      </c>
      <c r="AG133" t="s">
        <v>109</v>
      </c>
      <c r="AH133" t="s">
        <v>102</v>
      </c>
      <c r="AI133" t="s">
        <v>3553</v>
      </c>
      <c r="AJ133" t="s">
        <v>1500</v>
      </c>
      <c r="AK133" t="s">
        <v>1500</v>
      </c>
      <c r="AL133" t="s">
        <v>3554</v>
      </c>
      <c r="AM133" t="s">
        <v>3555</v>
      </c>
      <c r="AN133" t="s">
        <v>102</v>
      </c>
      <c r="AO133" t="s">
        <v>3556</v>
      </c>
      <c r="AP133" t="s">
        <v>3557</v>
      </c>
      <c r="AQ133" t="s">
        <v>343</v>
      </c>
      <c r="AS133" t="s">
        <v>169</v>
      </c>
      <c r="AT133" t="s">
        <v>3558</v>
      </c>
      <c r="AU133" t="s">
        <v>318</v>
      </c>
      <c r="AV133" t="s">
        <v>118</v>
      </c>
      <c r="AW133" t="s">
        <v>102</v>
      </c>
      <c r="AX133" t="s">
        <v>119</v>
      </c>
      <c r="BA133" t="s">
        <v>250</v>
      </c>
      <c r="BB133" t="s">
        <v>120</v>
      </c>
      <c r="BC133" t="s">
        <v>2327</v>
      </c>
      <c r="BD133" t="s">
        <v>730</v>
      </c>
      <c r="BE133" t="s">
        <v>622</v>
      </c>
      <c r="BF133" t="s">
        <v>730</v>
      </c>
      <c r="BG133" t="s">
        <v>124</v>
      </c>
      <c r="BH133" t="s">
        <v>1354</v>
      </c>
      <c r="BI133" t="s">
        <v>126</v>
      </c>
      <c r="BJ133" t="s">
        <v>127</v>
      </c>
      <c r="BK133" t="s">
        <v>3559</v>
      </c>
      <c r="BL133" t="s">
        <v>3560</v>
      </c>
      <c r="BM133" t="s">
        <v>3561</v>
      </c>
      <c r="BN133" t="s">
        <v>1354</v>
      </c>
      <c r="BO133" t="s">
        <v>1733</v>
      </c>
      <c r="BP133" t="s">
        <v>258</v>
      </c>
      <c r="BQ133" t="s">
        <v>1734</v>
      </c>
      <c r="BR133" t="s">
        <v>1735</v>
      </c>
      <c r="BS133" t="s">
        <v>3562</v>
      </c>
      <c r="BU133" t="s">
        <v>3563</v>
      </c>
      <c r="BV133" t="s">
        <v>3564</v>
      </c>
      <c r="BW133" t="s">
        <v>138</v>
      </c>
      <c r="BX133" t="s">
        <v>3565</v>
      </c>
      <c r="BY133" t="s">
        <v>3566</v>
      </c>
      <c r="BZ133" t="s">
        <v>3567</v>
      </c>
      <c r="CA133" t="s">
        <v>3564</v>
      </c>
      <c r="CB133" t="s">
        <v>3565</v>
      </c>
      <c r="CC133" t="s">
        <v>3566</v>
      </c>
      <c r="CG133" t="s">
        <v>102</v>
      </c>
      <c r="CH133" t="s">
        <v>3568</v>
      </c>
      <c r="CJ133" t="s">
        <v>3569</v>
      </c>
      <c r="CK133" t="s">
        <v>3568</v>
      </c>
      <c r="CL133" t="s">
        <v>2327</v>
      </c>
      <c r="CM133" t="s">
        <v>730</v>
      </c>
      <c r="CN133" t="s">
        <v>3569</v>
      </c>
      <c r="CP133" t="s">
        <v>3568</v>
      </c>
      <c r="CQ133" t="s">
        <v>3568</v>
      </c>
    </row>
    <row r="134" spans="1:95">
      <c r="A134" t="s">
        <v>149</v>
      </c>
      <c r="B134">
        <v>2472169</v>
      </c>
      <c r="C134" t="s">
        <v>3570</v>
      </c>
      <c r="D134" t="str">
        <f>VLOOKUP(B134,'2025'!B:C,2,0)</f>
        <v>Vineeth T V</v>
      </c>
      <c r="F134" t="s">
        <v>95</v>
      </c>
      <c r="G134" t="s">
        <v>367</v>
      </c>
      <c r="H134" t="s">
        <v>97</v>
      </c>
      <c r="I134" t="s">
        <v>98</v>
      </c>
      <c r="J134" t="s">
        <v>3571</v>
      </c>
      <c r="K134" t="s">
        <v>100</v>
      </c>
      <c r="L134">
        <v>787020</v>
      </c>
      <c r="M134">
        <v>787020</v>
      </c>
      <c r="N134">
        <v>787020</v>
      </c>
      <c r="O134">
        <v>1119</v>
      </c>
      <c r="P134" t="s">
        <v>3572</v>
      </c>
      <c r="Q134">
        <v>0</v>
      </c>
      <c r="R134">
        <v>0</v>
      </c>
      <c r="T134">
        <v>0</v>
      </c>
      <c r="U134">
        <v>0</v>
      </c>
      <c r="W134" t="s">
        <v>102</v>
      </c>
      <c r="X134" t="s">
        <v>103</v>
      </c>
      <c r="Y134" t="s">
        <v>104</v>
      </c>
      <c r="AA134" t="s">
        <v>367</v>
      </c>
      <c r="AB134" t="s">
        <v>3573</v>
      </c>
      <c r="AC134" t="s">
        <v>158</v>
      </c>
      <c r="AD134" t="s">
        <v>3574</v>
      </c>
      <c r="AE134" t="s">
        <v>109</v>
      </c>
      <c r="AF134" t="s">
        <v>102</v>
      </c>
      <c r="AG134" t="s">
        <v>109</v>
      </c>
      <c r="AH134" t="s">
        <v>102</v>
      </c>
      <c r="AI134" t="s">
        <v>3575</v>
      </c>
      <c r="AJ134" t="s">
        <v>3576</v>
      </c>
      <c r="AK134" t="s">
        <v>2911</v>
      </c>
      <c r="AL134" t="s">
        <v>3577</v>
      </c>
      <c r="AM134" t="s">
        <v>3578</v>
      </c>
      <c r="AN134" t="s">
        <v>3579</v>
      </c>
      <c r="AO134" t="s">
        <v>3580</v>
      </c>
      <c r="AP134" t="s">
        <v>3580</v>
      </c>
      <c r="AU134" t="s">
        <v>318</v>
      </c>
      <c r="AV134" t="s">
        <v>118</v>
      </c>
      <c r="AW134" t="s">
        <v>102</v>
      </c>
      <c r="AX134" t="s">
        <v>119</v>
      </c>
      <c r="BB134" t="s">
        <v>120</v>
      </c>
      <c r="BC134" t="s">
        <v>409</v>
      </c>
      <c r="BD134" t="s">
        <v>410</v>
      </c>
      <c r="BE134" t="s">
        <v>212</v>
      </c>
      <c r="BF134" t="s">
        <v>410</v>
      </c>
      <c r="BG134" t="s">
        <v>124</v>
      </c>
      <c r="BH134" t="s">
        <v>400</v>
      </c>
      <c r="BI134" t="s">
        <v>126</v>
      </c>
      <c r="BJ134" t="s">
        <v>127</v>
      </c>
      <c r="BK134" t="s">
        <v>3581</v>
      </c>
      <c r="BL134" t="s">
        <v>3582</v>
      </c>
      <c r="BM134" t="s">
        <v>3583</v>
      </c>
      <c r="BN134" t="s">
        <v>367</v>
      </c>
      <c r="BO134" t="s">
        <v>866</v>
      </c>
      <c r="BP134" t="s">
        <v>132</v>
      </c>
      <c r="BQ134" t="s">
        <v>867</v>
      </c>
      <c r="BR134" t="s">
        <v>868</v>
      </c>
      <c r="BS134" t="s">
        <v>418</v>
      </c>
      <c r="BU134" t="s">
        <v>3584</v>
      </c>
      <c r="BV134" t="s">
        <v>3585</v>
      </c>
      <c r="BW134" t="s">
        <v>598</v>
      </c>
      <c r="BX134" t="s">
        <v>225</v>
      </c>
      <c r="BY134" t="s">
        <v>226</v>
      </c>
      <c r="BZ134" t="s">
        <v>3586</v>
      </c>
      <c r="CG134" t="s">
        <v>102</v>
      </c>
      <c r="CH134" t="s">
        <v>3587</v>
      </c>
      <c r="CJ134" t="s">
        <v>3588</v>
      </c>
      <c r="CK134" t="s">
        <v>3587</v>
      </c>
      <c r="CL134" t="s">
        <v>409</v>
      </c>
      <c r="CM134" t="s">
        <v>410</v>
      </c>
      <c r="CN134" t="s">
        <v>3588</v>
      </c>
      <c r="CO134" t="s">
        <v>3589</v>
      </c>
      <c r="CP134" t="s">
        <v>3587</v>
      </c>
      <c r="CQ134" t="s">
        <v>3587</v>
      </c>
    </row>
    <row r="135" spans="1:95">
      <c r="A135" t="s">
        <v>149</v>
      </c>
      <c r="B135">
        <v>2472480</v>
      </c>
      <c r="C135" t="s">
        <v>3590</v>
      </c>
      <c r="D135" t="str">
        <f>VLOOKUP(B135,'2025'!B:C,2,0)</f>
        <v>Ishita Jethwa</v>
      </c>
      <c r="F135" t="s">
        <v>95</v>
      </c>
      <c r="G135" t="s">
        <v>977</v>
      </c>
      <c r="H135" t="s">
        <v>1746</v>
      </c>
      <c r="I135" t="s">
        <v>98</v>
      </c>
      <c r="J135" t="s">
        <v>3591</v>
      </c>
      <c r="K135" t="s">
        <v>100</v>
      </c>
      <c r="L135">
        <v>664361</v>
      </c>
      <c r="M135">
        <v>741324</v>
      </c>
      <c r="N135">
        <v>105106</v>
      </c>
      <c r="O135">
        <v>353</v>
      </c>
      <c r="P135" t="s">
        <v>3592</v>
      </c>
      <c r="Q135">
        <v>131685</v>
      </c>
      <c r="R135">
        <v>353</v>
      </c>
      <c r="S135" t="s">
        <v>3593</v>
      </c>
      <c r="T135">
        <v>427570</v>
      </c>
      <c r="U135">
        <v>353</v>
      </c>
      <c r="V135" t="s">
        <v>3594</v>
      </c>
      <c r="W135" t="s">
        <v>102</v>
      </c>
      <c r="X135" t="s">
        <v>103</v>
      </c>
      <c r="Y135" t="s">
        <v>398</v>
      </c>
      <c r="AA135" t="s">
        <v>977</v>
      </c>
      <c r="AB135" t="s">
        <v>3595</v>
      </c>
      <c r="AC135" t="s">
        <v>3483</v>
      </c>
      <c r="AD135" t="s">
        <v>3596</v>
      </c>
      <c r="AE135" t="s">
        <v>680</v>
      </c>
      <c r="AF135" t="s">
        <v>3596</v>
      </c>
      <c r="AG135" t="s">
        <v>109</v>
      </c>
      <c r="AH135" t="s">
        <v>102</v>
      </c>
      <c r="AI135" t="s">
        <v>3597</v>
      </c>
      <c r="AJ135" t="s">
        <v>911</v>
      </c>
      <c r="AK135" t="s">
        <v>370</v>
      </c>
      <c r="AL135" t="s">
        <v>3598</v>
      </c>
      <c r="AM135" t="s">
        <v>3599</v>
      </c>
      <c r="AN135" t="s">
        <v>3600</v>
      </c>
      <c r="AO135" t="s">
        <v>3601</v>
      </c>
      <c r="AP135" t="s">
        <v>3602</v>
      </c>
      <c r="AS135" t="s">
        <v>169</v>
      </c>
      <c r="AT135" t="s">
        <v>169</v>
      </c>
      <c r="AU135" t="s">
        <v>318</v>
      </c>
      <c r="AV135" t="s">
        <v>118</v>
      </c>
      <c r="AW135" t="s">
        <v>104</v>
      </c>
      <c r="AX135" t="s">
        <v>119</v>
      </c>
      <c r="AY135" t="s">
        <v>170</v>
      </c>
      <c r="AZ135" t="s">
        <v>118</v>
      </c>
      <c r="BA135" t="s">
        <v>250</v>
      </c>
      <c r="BB135" t="s">
        <v>120</v>
      </c>
      <c r="BC135" t="s">
        <v>2327</v>
      </c>
      <c r="BD135" t="s">
        <v>730</v>
      </c>
      <c r="BE135" t="s">
        <v>622</v>
      </c>
      <c r="BF135" t="s">
        <v>730</v>
      </c>
      <c r="BG135" t="s">
        <v>124</v>
      </c>
      <c r="BH135" t="s">
        <v>977</v>
      </c>
      <c r="BI135" t="s">
        <v>126</v>
      </c>
      <c r="BJ135" t="s">
        <v>127</v>
      </c>
      <c r="BK135" t="s">
        <v>3603</v>
      </c>
      <c r="BL135" t="s">
        <v>3604</v>
      </c>
      <c r="BM135" t="s">
        <v>3605</v>
      </c>
      <c r="BN135" t="s">
        <v>977</v>
      </c>
      <c r="BO135" t="s">
        <v>3606</v>
      </c>
      <c r="BP135" t="s">
        <v>350</v>
      </c>
      <c r="BQ135" t="s">
        <v>3607</v>
      </c>
      <c r="BR135" t="s">
        <v>3608</v>
      </c>
      <c r="BS135" t="s">
        <v>3562</v>
      </c>
      <c r="BU135" t="s">
        <v>3609</v>
      </c>
      <c r="BV135" t="s">
        <v>3610</v>
      </c>
      <c r="BW135" t="s">
        <v>138</v>
      </c>
      <c r="BX135" t="s">
        <v>3611</v>
      </c>
      <c r="BY135" t="s">
        <v>3612</v>
      </c>
      <c r="BZ135" t="s">
        <v>3613</v>
      </c>
      <c r="CG135" t="s">
        <v>102</v>
      </c>
      <c r="CH135" t="s">
        <v>3614</v>
      </c>
      <c r="CJ135" t="s">
        <v>3615</v>
      </c>
      <c r="CK135" t="s">
        <v>3614</v>
      </c>
      <c r="CL135" t="s">
        <v>2327</v>
      </c>
      <c r="CM135" t="s">
        <v>730</v>
      </c>
      <c r="CN135" t="s">
        <v>3615</v>
      </c>
      <c r="CO135" t="s">
        <v>3616</v>
      </c>
      <c r="CP135" t="s">
        <v>3614</v>
      </c>
      <c r="CQ135" t="s">
        <v>3614</v>
      </c>
    </row>
    <row r="136" spans="1:95">
      <c r="A136" t="s">
        <v>149</v>
      </c>
      <c r="B136">
        <v>2473015</v>
      </c>
      <c r="C136" t="s">
        <v>3617</v>
      </c>
      <c r="D136" t="str">
        <f>VLOOKUP(B136,'2025'!B:C,2,0)</f>
        <v>Vaishali</v>
      </c>
      <c r="F136" t="s">
        <v>95</v>
      </c>
      <c r="G136" t="s">
        <v>578</v>
      </c>
      <c r="H136" t="s">
        <v>848</v>
      </c>
      <c r="I136" t="s">
        <v>98</v>
      </c>
      <c r="J136" t="s">
        <v>3618</v>
      </c>
      <c r="K136" t="s">
        <v>100</v>
      </c>
      <c r="L136">
        <v>808548</v>
      </c>
      <c r="M136">
        <v>954087</v>
      </c>
      <c r="N136">
        <v>0</v>
      </c>
      <c r="O136">
        <v>0</v>
      </c>
      <c r="Q136">
        <v>0</v>
      </c>
      <c r="R136">
        <v>0</v>
      </c>
      <c r="T136">
        <v>808548</v>
      </c>
      <c r="U136">
        <v>367</v>
      </c>
      <c r="V136" t="s">
        <v>608</v>
      </c>
      <c r="W136" t="s">
        <v>102</v>
      </c>
      <c r="X136" t="s">
        <v>103</v>
      </c>
      <c r="Y136" t="s">
        <v>155</v>
      </c>
      <c r="AA136" t="s">
        <v>232</v>
      </c>
      <c r="AB136" t="s">
        <v>3619</v>
      </c>
      <c r="AC136" t="s">
        <v>892</v>
      </c>
      <c r="AD136" t="s">
        <v>3619</v>
      </c>
      <c r="AE136" t="s">
        <v>437</v>
      </c>
      <c r="AF136" t="s">
        <v>3619</v>
      </c>
      <c r="AG136" t="s">
        <v>402</v>
      </c>
      <c r="AH136" t="s">
        <v>3619</v>
      </c>
      <c r="AI136" t="s">
        <v>3620</v>
      </c>
      <c r="AJ136" t="s">
        <v>2298</v>
      </c>
      <c r="AK136" t="s">
        <v>3621</v>
      </c>
      <c r="AL136" t="s">
        <v>3622</v>
      </c>
      <c r="AM136" t="s">
        <v>3623</v>
      </c>
      <c r="AN136" t="s">
        <v>3624</v>
      </c>
      <c r="AO136" t="s">
        <v>3625</v>
      </c>
      <c r="AP136" t="s">
        <v>3626</v>
      </c>
      <c r="AT136" t="s">
        <v>169</v>
      </c>
      <c r="AU136" t="s">
        <v>102</v>
      </c>
      <c r="AW136" t="s">
        <v>102</v>
      </c>
      <c r="AX136" t="s">
        <v>119</v>
      </c>
      <c r="BA136" t="s">
        <v>250</v>
      </c>
      <c r="BB136" t="s">
        <v>120</v>
      </c>
      <c r="BC136" t="s">
        <v>2840</v>
      </c>
      <c r="BD136" t="s">
        <v>449</v>
      </c>
      <c r="BE136" t="s">
        <v>122</v>
      </c>
      <c r="BF136" t="s">
        <v>253</v>
      </c>
      <c r="BG136" t="s">
        <v>124</v>
      </c>
      <c r="BH136" t="s">
        <v>232</v>
      </c>
      <c r="BI136" t="s">
        <v>126</v>
      </c>
      <c r="BJ136" t="s">
        <v>127</v>
      </c>
      <c r="BK136" t="s">
        <v>3627</v>
      </c>
      <c r="BL136" t="s">
        <v>3628</v>
      </c>
      <c r="BM136" t="s">
        <v>3629</v>
      </c>
      <c r="BN136" t="s">
        <v>578</v>
      </c>
      <c r="BO136" t="s">
        <v>1108</v>
      </c>
      <c r="BP136" t="s">
        <v>350</v>
      </c>
      <c r="BQ136" t="s">
        <v>1109</v>
      </c>
      <c r="BR136" t="s">
        <v>1110</v>
      </c>
      <c r="BS136" t="s">
        <v>135</v>
      </c>
      <c r="BU136" t="s">
        <v>3630</v>
      </c>
      <c r="BV136" t="s">
        <v>3631</v>
      </c>
      <c r="BW136" t="s">
        <v>296</v>
      </c>
      <c r="BX136" t="s">
        <v>3632</v>
      </c>
      <c r="BY136" t="s">
        <v>3633</v>
      </c>
      <c r="BZ136" t="s">
        <v>3634</v>
      </c>
      <c r="CB136" t="s">
        <v>3635</v>
      </c>
      <c r="CG136" t="s">
        <v>102</v>
      </c>
      <c r="CH136" t="s">
        <v>3636</v>
      </c>
      <c r="CJ136" t="s">
        <v>2855</v>
      </c>
      <c r="CK136" t="s">
        <v>3636</v>
      </c>
      <c r="CL136" t="s">
        <v>2840</v>
      </c>
      <c r="CM136" t="s">
        <v>449</v>
      </c>
      <c r="CN136" t="s">
        <v>2855</v>
      </c>
      <c r="CO136" t="s">
        <v>3637</v>
      </c>
      <c r="CP136" t="s">
        <v>3638</v>
      </c>
      <c r="CQ136" t="s">
        <v>3636</v>
      </c>
    </row>
    <row r="137" spans="1:95">
      <c r="A137" t="s">
        <v>337</v>
      </c>
      <c r="B137">
        <v>2473458</v>
      </c>
      <c r="C137" t="s">
        <v>3639</v>
      </c>
      <c r="F137" t="s">
        <v>95</v>
      </c>
      <c r="G137" t="s">
        <v>3640</v>
      </c>
      <c r="H137" t="s">
        <v>97</v>
      </c>
      <c r="I137" t="s">
        <v>98</v>
      </c>
      <c r="J137" t="s">
        <v>3641</v>
      </c>
      <c r="K137" t="s">
        <v>100</v>
      </c>
      <c r="L137">
        <v>955940</v>
      </c>
      <c r="M137">
        <v>955940</v>
      </c>
      <c r="N137">
        <v>955940</v>
      </c>
      <c r="O137">
        <v>1195</v>
      </c>
      <c r="P137" t="s">
        <v>1297</v>
      </c>
      <c r="Q137">
        <v>0</v>
      </c>
      <c r="R137">
        <v>0</v>
      </c>
      <c r="T137">
        <v>0</v>
      </c>
      <c r="U137">
        <v>0</v>
      </c>
      <c r="W137" t="s">
        <v>102</v>
      </c>
      <c r="X137" t="s">
        <v>275</v>
      </c>
      <c r="Z137" t="s">
        <v>2605</v>
      </c>
      <c r="AA137" t="s">
        <v>109</v>
      </c>
      <c r="AB137" t="s">
        <v>102</v>
      </c>
      <c r="AC137" t="s">
        <v>109</v>
      </c>
      <c r="AD137" t="s">
        <v>102</v>
      </c>
      <c r="AE137" t="s">
        <v>109</v>
      </c>
      <c r="AF137" t="s">
        <v>102</v>
      </c>
      <c r="AG137" t="s">
        <v>109</v>
      </c>
      <c r="AH137" t="s">
        <v>102</v>
      </c>
      <c r="AI137" t="s">
        <v>102</v>
      </c>
      <c r="AJ137" t="s">
        <v>1574</v>
      </c>
      <c r="AK137" t="s">
        <v>1574</v>
      </c>
      <c r="AL137" t="s">
        <v>3642</v>
      </c>
      <c r="AM137" t="s">
        <v>3643</v>
      </c>
      <c r="AN137" t="s">
        <v>3644</v>
      </c>
      <c r="AO137" t="s">
        <v>1304</v>
      </c>
      <c r="AP137" t="s">
        <v>3645</v>
      </c>
      <c r="AR137" t="s">
        <v>169</v>
      </c>
      <c r="AU137" t="s">
        <v>318</v>
      </c>
      <c r="AV137" t="s">
        <v>118</v>
      </c>
      <c r="AW137" t="s">
        <v>102</v>
      </c>
      <c r="AX137" t="s">
        <v>119</v>
      </c>
      <c r="BB137" t="s">
        <v>120</v>
      </c>
      <c r="BC137" t="s">
        <v>1759</v>
      </c>
      <c r="BD137" t="s">
        <v>410</v>
      </c>
      <c r="BE137" t="s">
        <v>212</v>
      </c>
      <c r="BF137" t="s">
        <v>410</v>
      </c>
      <c r="BG137" t="s">
        <v>124</v>
      </c>
      <c r="BH137" t="s">
        <v>232</v>
      </c>
      <c r="BI137" t="s">
        <v>126</v>
      </c>
      <c r="BJ137" t="s">
        <v>127</v>
      </c>
      <c r="BK137" t="s">
        <v>3646</v>
      </c>
      <c r="BL137" t="s">
        <v>3647</v>
      </c>
      <c r="BM137" t="s">
        <v>3648</v>
      </c>
      <c r="BN137" t="s">
        <v>3640</v>
      </c>
      <c r="BO137" t="s">
        <v>1582</v>
      </c>
      <c r="BP137" t="s">
        <v>258</v>
      </c>
      <c r="BQ137" t="s">
        <v>1583</v>
      </c>
      <c r="BR137" t="s">
        <v>1584</v>
      </c>
      <c r="BS137" t="s">
        <v>1585</v>
      </c>
      <c r="BU137" t="s">
        <v>3649</v>
      </c>
      <c r="BV137" t="s">
        <v>3650</v>
      </c>
      <c r="BW137" t="s">
        <v>138</v>
      </c>
      <c r="BX137" t="s">
        <v>3651</v>
      </c>
      <c r="BY137" t="s">
        <v>3652</v>
      </c>
      <c r="BZ137" t="s">
        <v>3651</v>
      </c>
      <c r="CA137" t="s">
        <v>3650</v>
      </c>
      <c r="CB137" t="s">
        <v>3651</v>
      </c>
      <c r="CC137" t="s">
        <v>3652</v>
      </c>
      <c r="CG137" t="s">
        <v>573</v>
      </c>
      <c r="CH137" t="s">
        <v>3653</v>
      </c>
      <c r="CJ137" t="s">
        <v>3654</v>
      </c>
      <c r="CK137" t="s">
        <v>3653</v>
      </c>
      <c r="CL137" t="s">
        <v>1759</v>
      </c>
      <c r="CM137" t="s">
        <v>410</v>
      </c>
      <c r="CN137" t="s">
        <v>3654</v>
      </c>
      <c r="CP137" t="s">
        <v>3653</v>
      </c>
      <c r="CQ137" t="s">
        <v>3653</v>
      </c>
    </row>
    <row r="138" spans="1:95">
      <c r="A138" t="s">
        <v>337</v>
      </c>
      <c r="B138">
        <v>2473629</v>
      </c>
      <c r="C138" t="s">
        <v>3655</v>
      </c>
      <c r="E138" s="4" t="s">
        <v>17377</v>
      </c>
      <c r="F138" t="s">
        <v>95</v>
      </c>
      <c r="G138" t="s">
        <v>3656</v>
      </c>
      <c r="H138" t="s">
        <v>152</v>
      </c>
      <c r="I138" t="s">
        <v>98</v>
      </c>
      <c r="J138" t="s">
        <v>3657</v>
      </c>
      <c r="K138" t="s">
        <v>100</v>
      </c>
      <c r="L138">
        <v>144000</v>
      </c>
      <c r="M138">
        <v>144000</v>
      </c>
      <c r="N138">
        <v>0</v>
      </c>
      <c r="O138">
        <v>0</v>
      </c>
      <c r="Q138">
        <v>144000</v>
      </c>
      <c r="R138">
        <v>120</v>
      </c>
      <c r="S138" t="s">
        <v>880</v>
      </c>
      <c r="T138">
        <v>0</v>
      </c>
      <c r="U138">
        <v>0</v>
      </c>
      <c r="W138" t="s">
        <v>102</v>
      </c>
      <c r="X138" t="s">
        <v>103</v>
      </c>
      <c r="Y138" t="s">
        <v>104</v>
      </c>
      <c r="AA138" t="s">
        <v>197</v>
      </c>
      <c r="AB138" t="s">
        <v>3658</v>
      </c>
      <c r="AC138" t="s">
        <v>2582</v>
      </c>
      <c r="AD138" t="s">
        <v>3658</v>
      </c>
      <c r="AE138" t="s">
        <v>109</v>
      </c>
      <c r="AF138" t="s">
        <v>102</v>
      </c>
      <c r="AG138" t="s">
        <v>109</v>
      </c>
      <c r="AH138" t="s">
        <v>102</v>
      </c>
      <c r="AI138" t="s">
        <v>3659</v>
      </c>
      <c r="AJ138" t="s">
        <v>400</v>
      </c>
      <c r="AK138" t="s">
        <v>857</v>
      </c>
      <c r="AL138" t="s">
        <v>3660</v>
      </c>
      <c r="AM138" t="s">
        <v>3661</v>
      </c>
      <c r="AN138" t="s">
        <v>102</v>
      </c>
      <c r="AO138" t="s">
        <v>102</v>
      </c>
      <c r="AU138" t="s">
        <v>102</v>
      </c>
      <c r="AW138" t="s">
        <v>104</v>
      </c>
      <c r="AX138" t="s">
        <v>119</v>
      </c>
      <c r="AZ138" t="s">
        <v>250</v>
      </c>
      <c r="BB138" t="s">
        <v>120</v>
      </c>
      <c r="BC138" t="s">
        <v>729</v>
      </c>
      <c r="BD138" t="s">
        <v>730</v>
      </c>
      <c r="BE138" t="s">
        <v>622</v>
      </c>
      <c r="BF138" t="s">
        <v>730</v>
      </c>
      <c r="BG138" t="s">
        <v>124</v>
      </c>
      <c r="BH138" t="s">
        <v>232</v>
      </c>
      <c r="BI138" t="s">
        <v>126</v>
      </c>
      <c r="BJ138" t="s">
        <v>127</v>
      </c>
      <c r="BK138" t="s">
        <v>3662</v>
      </c>
      <c r="BL138" t="s">
        <v>3663</v>
      </c>
      <c r="BM138" t="s">
        <v>3664</v>
      </c>
      <c r="BN138" t="s">
        <v>3656</v>
      </c>
      <c r="BO138" t="s">
        <v>734</v>
      </c>
      <c r="BP138" t="s">
        <v>350</v>
      </c>
      <c r="BQ138" t="s">
        <v>735</v>
      </c>
      <c r="BR138" t="s">
        <v>736</v>
      </c>
      <c r="BS138" t="s">
        <v>2331</v>
      </c>
      <c r="BT138" t="s">
        <v>2525</v>
      </c>
      <c r="BU138" t="s">
        <v>3665</v>
      </c>
      <c r="BV138" t="s">
        <v>3666</v>
      </c>
      <c r="BW138" t="s">
        <v>138</v>
      </c>
      <c r="BX138" t="s">
        <v>3667</v>
      </c>
      <c r="BY138" t="s">
        <v>3668</v>
      </c>
      <c r="BZ138" t="s">
        <v>3669</v>
      </c>
      <c r="CG138" t="s">
        <v>102</v>
      </c>
      <c r="CH138" t="s">
        <v>3670</v>
      </c>
      <c r="CJ138" t="s">
        <v>3671</v>
      </c>
      <c r="CK138" t="s">
        <v>3670</v>
      </c>
      <c r="CL138" t="s">
        <v>729</v>
      </c>
      <c r="CM138" t="s">
        <v>730</v>
      </c>
      <c r="CN138" t="s">
        <v>3671</v>
      </c>
      <c r="CP138" t="s">
        <v>3670</v>
      </c>
      <c r="CQ138" t="s">
        <v>3670</v>
      </c>
    </row>
    <row r="139" spans="1:95">
      <c r="A139" t="s">
        <v>337</v>
      </c>
      <c r="B139">
        <v>2475745</v>
      </c>
      <c r="C139" t="s">
        <v>3672</v>
      </c>
      <c r="D139" t="str">
        <f>VLOOKUP(B139,'2025'!B:C,2,0)</f>
        <v>Jasper Jessie</v>
      </c>
      <c r="F139" t="s">
        <v>95</v>
      </c>
      <c r="G139" t="s">
        <v>111</v>
      </c>
      <c r="H139" t="s">
        <v>848</v>
      </c>
      <c r="I139" t="s">
        <v>98</v>
      </c>
      <c r="J139" t="s">
        <v>3673</v>
      </c>
      <c r="K139" t="s">
        <v>100</v>
      </c>
      <c r="L139">
        <v>520730</v>
      </c>
      <c r="M139">
        <v>614461</v>
      </c>
      <c r="N139">
        <v>0</v>
      </c>
      <c r="O139">
        <v>0</v>
      </c>
      <c r="Q139">
        <v>0</v>
      </c>
      <c r="R139">
        <v>0</v>
      </c>
      <c r="T139">
        <v>520730</v>
      </c>
      <c r="U139">
        <v>256</v>
      </c>
      <c r="V139" t="s">
        <v>1399</v>
      </c>
      <c r="W139" t="s">
        <v>102</v>
      </c>
      <c r="X139" t="s">
        <v>275</v>
      </c>
      <c r="Z139" t="s">
        <v>1602</v>
      </c>
      <c r="AA139" t="s">
        <v>109</v>
      </c>
      <c r="AB139" t="s">
        <v>102</v>
      </c>
      <c r="AC139" t="s">
        <v>109</v>
      </c>
      <c r="AD139" t="s">
        <v>102</v>
      </c>
      <c r="AE139" t="s">
        <v>109</v>
      </c>
      <c r="AF139" t="s">
        <v>102</v>
      </c>
      <c r="AG139" t="s">
        <v>109</v>
      </c>
      <c r="AH139" t="s">
        <v>102</v>
      </c>
      <c r="AI139" t="s">
        <v>3674</v>
      </c>
      <c r="AJ139" t="s">
        <v>2252</v>
      </c>
      <c r="AK139" t="s">
        <v>2252</v>
      </c>
      <c r="AL139" t="s">
        <v>3675</v>
      </c>
      <c r="AM139" t="s">
        <v>3676</v>
      </c>
      <c r="AN139" t="s">
        <v>102</v>
      </c>
      <c r="AO139" t="s">
        <v>3677</v>
      </c>
      <c r="AP139" t="s">
        <v>3677</v>
      </c>
      <c r="AU139" t="s">
        <v>102</v>
      </c>
      <c r="AW139" t="s">
        <v>102</v>
      </c>
      <c r="AX139" t="s">
        <v>119</v>
      </c>
      <c r="BA139" t="s">
        <v>250</v>
      </c>
      <c r="BB139" t="s">
        <v>3678</v>
      </c>
      <c r="BC139" t="s">
        <v>920</v>
      </c>
      <c r="BD139" t="s">
        <v>211</v>
      </c>
      <c r="BE139" t="s">
        <v>212</v>
      </c>
      <c r="BF139" t="s">
        <v>213</v>
      </c>
      <c r="BG139" t="s">
        <v>124</v>
      </c>
      <c r="BH139" t="s">
        <v>400</v>
      </c>
      <c r="BI139" t="s">
        <v>3679</v>
      </c>
      <c r="BJ139" t="s">
        <v>127</v>
      </c>
      <c r="BK139" t="s">
        <v>3680</v>
      </c>
      <c r="BL139" t="s">
        <v>3681</v>
      </c>
      <c r="BM139" t="s">
        <v>3682</v>
      </c>
      <c r="BN139" t="s">
        <v>111</v>
      </c>
      <c r="BO139" t="s">
        <v>1309</v>
      </c>
      <c r="BP139" t="s">
        <v>180</v>
      </c>
      <c r="BQ139" t="s">
        <v>1310</v>
      </c>
      <c r="BR139" t="s">
        <v>1311</v>
      </c>
      <c r="BS139" t="s">
        <v>1312</v>
      </c>
      <c r="BT139" t="s">
        <v>2151</v>
      </c>
      <c r="BU139" t="s">
        <v>3683</v>
      </c>
      <c r="BV139" t="s">
        <v>3684</v>
      </c>
      <c r="BW139" t="s">
        <v>138</v>
      </c>
      <c r="BX139" t="s">
        <v>3685</v>
      </c>
      <c r="BY139" t="s">
        <v>3686</v>
      </c>
      <c r="BZ139" t="s">
        <v>3687</v>
      </c>
      <c r="CG139" t="s">
        <v>3688</v>
      </c>
      <c r="CH139" t="s">
        <v>3689</v>
      </c>
      <c r="CJ139" t="s">
        <v>3690</v>
      </c>
      <c r="CK139" t="s">
        <v>3689</v>
      </c>
      <c r="CL139" t="s">
        <v>920</v>
      </c>
      <c r="CM139" t="s">
        <v>2474</v>
      </c>
      <c r="CN139" t="s">
        <v>3690</v>
      </c>
      <c r="CO139" t="s">
        <v>102</v>
      </c>
      <c r="CP139" t="s">
        <v>3689</v>
      </c>
      <c r="CQ139" t="s">
        <v>3689</v>
      </c>
    </row>
    <row r="140" spans="1:95">
      <c r="A140" t="s">
        <v>149</v>
      </c>
      <c r="B140">
        <v>2476940</v>
      </c>
      <c r="C140" t="s">
        <v>3691</v>
      </c>
      <c r="D140" t="str">
        <f>VLOOKUP(B140,'2025'!B:C,2,0)</f>
        <v>Vineeth T V</v>
      </c>
      <c r="F140" t="s">
        <v>95</v>
      </c>
      <c r="G140" t="s">
        <v>367</v>
      </c>
      <c r="H140" t="s">
        <v>97</v>
      </c>
      <c r="I140" t="s">
        <v>98</v>
      </c>
      <c r="J140" t="s">
        <v>3692</v>
      </c>
      <c r="K140" t="s">
        <v>100</v>
      </c>
      <c r="L140">
        <v>324218</v>
      </c>
      <c r="M140">
        <v>324218</v>
      </c>
      <c r="N140">
        <v>324218</v>
      </c>
      <c r="O140">
        <v>457</v>
      </c>
      <c r="P140" t="s">
        <v>3693</v>
      </c>
      <c r="Q140">
        <v>0</v>
      </c>
      <c r="R140">
        <v>0</v>
      </c>
      <c r="T140">
        <v>0</v>
      </c>
      <c r="U140">
        <v>0</v>
      </c>
      <c r="W140" t="s">
        <v>102</v>
      </c>
      <c r="X140" t="s">
        <v>103</v>
      </c>
      <c r="Y140" t="s">
        <v>104</v>
      </c>
      <c r="AA140" t="s">
        <v>367</v>
      </c>
      <c r="AB140" t="s">
        <v>3694</v>
      </c>
      <c r="AC140" t="s">
        <v>158</v>
      </c>
      <c r="AD140" t="s">
        <v>3695</v>
      </c>
      <c r="AE140" t="s">
        <v>109</v>
      </c>
      <c r="AF140" t="s">
        <v>102</v>
      </c>
      <c r="AG140" t="s">
        <v>109</v>
      </c>
      <c r="AH140" t="s">
        <v>102</v>
      </c>
      <c r="AI140" t="s">
        <v>3696</v>
      </c>
      <c r="AJ140" t="s">
        <v>1523</v>
      </c>
      <c r="AK140" t="s">
        <v>1523</v>
      </c>
      <c r="AL140" t="s">
        <v>3697</v>
      </c>
      <c r="AM140" t="s">
        <v>3698</v>
      </c>
      <c r="AN140" t="s">
        <v>3699</v>
      </c>
      <c r="AO140" t="s">
        <v>3700</v>
      </c>
      <c r="AP140" t="s">
        <v>3700</v>
      </c>
      <c r="AU140" t="s">
        <v>318</v>
      </c>
      <c r="AV140" t="s">
        <v>118</v>
      </c>
      <c r="AW140" t="s">
        <v>102</v>
      </c>
      <c r="AX140" t="s">
        <v>119</v>
      </c>
      <c r="BB140" t="s">
        <v>120</v>
      </c>
      <c r="BC140" t="s">
        <v>409</v>
      </c>
      <c r="BD140" t="s">
        <v>410</v>
      </c>
      <c r="BE140" t="s">
        <v>212</v>
      </c>
      <c r="BF140" t="s">
        <v>410</v>
      </c>
      <c r="BG140" t="s">
        <v>124</v>
      </c>
      <c r="BH140" t="s">
        <v>400</v>
      </c>
      <c r="BI140" t="s">
        <v>126</v>
      </c>
      <c r="BJ140" t="s">
        <v>127</v>
      </c>
      <c r="BK140" t="s">
        <v>3701</v>
      </c>
      <c r="BL140" t="s">
        <v>3702</v>
      </c>
      <c r="BM140" t="s">
        <v>3703</v>
      </c>
      <c r="BN140" t="s">
        <v>367</v>
      </c>
      <c r="BO140" t="s">
        <v>866</v>
      </c>
      <c r="BP140" t="s">
        <v>132</v>
      </c>
      <c r="BQ140" t="s">
        <v>867</v>
      </c>
      <c r="BR140" t="s">
        <v>868</v>
      </c>
      <c r="BS140" t="s">
        <v>418</v>
      </c>
      <c r="BU140" t="s">
        <v>3704</v>
      </c>
      <c r="BV140" t="s">
        <v>3585</v>
      </c>
      <c r="BW140" t="s">
        <v>598</v>
      </c>
      <c r="BX140" t="s">
        <v>225</v>
      </c>
      <c r="BY140" t="s">
        <v>226</v>
      </c>
      <c r="BZ140" t="s">
        <v>3705</v>
      </c>
      <c r="CG140" t="s">
        <v>102</v>
      </c>
      <c r="CH140" t="s">
        <v>3706</v>
      </c>
      <c r="CJ140" t="s">
        <v>3707</v>
      </c>
      <c r="CK140" t="s">
        <v>3706</v>
      </c>
      <c r="CL140" t="s">
        <v>409</v>
      </c>
      <c r="CM140" t="s">
        <v>410</v>
      </c>
      <c r="CN140" t="s">
        <v>3707</v>
      </c>
      <c r="CO140" t="s">
        <v>3589</v>
      </c>
      <c r="CP140" t="s">
        <v>3706</v>
      </c>
      <c r="CQ140" t="s">
        <v>3706</v>
      </c>
    </row>
    <row r="141" spans="1:95">
      <c r="A141" t="s">
        <v>149</v>
      </c>
      <c r="B141">
        <v>249296</v>
      </c>
      <c r="C141" t="s">
        <v>3708</v>
      </c>
      <c r="D141" t="str">
        <f>VLOOKUP(B141,'2025'!B:C,2,0)</f>
        <v>Ishita Jethwa</v>
      </c>
      <c r="F141" t="s">
        <v>95</v>
      </c>
      <c r="G141" t="s">
        <v>162</v>
      </c>
      <c r="H141" t="s">
        <v>97</v>
      </c>
      <c r="I141" t="s">
        <v>98</v>
      </c>
      <c r="J141" t="s">
        <v>3709</v>
      </c>
      <c r="K141" t="s">
        <v>100</v>
      </c>
      <c r="L141">
        <v>135675</v>
      </c>
      <c r="M141">
        <v>135675</v>
      </c>
      <c r="N141">
        <v>135675</v>
      </c>
      <c r="O141">
        <v>201</v>
      </c>
      <c r="P141" t="s">
        <v>340</v>
      </c>
      <c r="Q141">
        <v>0</v>
      </c>
      <c r="R141">
        <v>0</v>
      </c>
      <c r="T141">
        <v>0</v>
      </c>
      <c r="U141">
        <v>0</v>
      </c>
      <c r="W141" t="s">
        <v>102</v>
      </c>
      <c r="X141" t="s">
        <v>275</v>
      </c>
      <c r="Z141" t="s">
        <v>2364</v>
      </c>
      <c r="AA141" t="s">
        <v>109</v>
      </c>
      <c r="AB141" t="s">
        <v>102</v>
      </c>
      <c r="AC141" t="s">
        <v>109</v>
      </c>
      <c r="AD141" t="s">
        <v>102</v>
      </c>
      <c r="AE141" t="s">
        <v>109</v>
      </c>
      <c r="AF141" t="s">
        <v>102</v>
      </c>
      <c r="AG141" t="s">
        <v>109</v>
      </c>
      <c r="AH141" t="s">
        <v>102</v>
      </c>
      <c r="AI141" t="s">
        <v>3710</v>
      </c>
      <c r="AJ141" t="s">
        <v>3711</v>
      </c>
      <c r="AK141" t="s">
        <v>3711</v>
      </c>
      <c r="AL141" t="s">
        <v>3712</v>
      </c>
      <c r="AM141" t="s">
        <v>3713</v>
      </c>
      <c r="AN141" t="s">
        <v>102</v>
      </c>
      <c r="AO141" t="s">
        <v>2147</v>
      </c>
      <c r="AP141" t="s">
        <v>116</v>
      </c>
      <c r="AT141" t="s">
        <v>169</v>
      </c>
      <c r="AU141" t="s">
        <v>318</v>
      </c>
      <c r="AV141" t="s">
        <v>118</v>
      </c>
      <c r="AW141" t="s">
        <v>102</v>
      </c>
      <c r="AX141" t="s">
        <v>119</v>
      </c>
      <c r="BB141" t="s">
        <v>120</v>
      </c>
      <c r="BC141" t="s">
        <v>3714</v>
      </c>
      <c r="BD141" t="s">
        <v>730</v>
      </c>
      <c r="BE141" t="s">
        <v>622</v>
      </c>
      <c r="BF141" t="s">
        <v>730</v>
      </c>
      <c r="BG141" t="s">
        <v>124</v>
      </c>
      <c r="BH141" t="s">
        <v>892</v>
      </c>
      <c r="BI141" t="s">
        <v>411</v>
      </c>
      <c r="BJ141" t="s">
        <v>127</v>
      </c>
      <c r="BK141" t="s">
        <v>3715</v>
      </c>
      <c r="BL141" t="s">
        <v>3716</v>
      </c>
      <c r="BM141" t="s">
        <v>3717</v>
      </c>
      <c r="BN141" t="s">
        <v>162</v>
      </c>
      <c r="BO141" t="s">
        <v>1733</v>
      </c>
      <c r="BP141" t="s">
        <v>350</v>
      </c>
      <c r="BQ141" t="s">
        <v>1734</v>
      </c>
      <c r="BR141" t="s">
        <v>1735</v>
      </c>
      <c r="BS141" t="s">
        <v>2525</v>
      </c>
      <c r="BU141" t="s">
        <v>3718</v>
      </c>
      <c r="BV141" t="s">
        <v>3719</v>
      </c>
      <c r="BX141" t="s">
        <v>3720</v>
      </c>
      <c r="BY141" t="s">
        <v>3721</v>
      </c>
      <c r="BZ141" t="s">
        <v>3722</v>
      </c>
      <c r="CG141" t="s">
        <v>102</v>
      </c>
      <c r="CH141" t="s">
        <v>3723</v>
      </c>
      <c r="CJ141" t="s">
        <v>3724</v>
      </c>
      <c r="CK141" t="s">
        <v>3723</v>
      </c>
      <c r="CL141" t="s">
        <v>3714</v>
      </c>
      <c r="CM141" t="s">
        <v>730</v>
      </c>
      <c r="CN141" t="s">
        <v>3724</v>
      </c>
      <c r="CP141" t="s">
        <v>3723</v>
      </c>
      <c r="CQ141" t="s">
        <v>3723</v>
      </c>
    </row>
    <row r="142" spans="1:95">
      <c r="A142" t="s">
        <v>149</v>
      </c>
      <c r="B142">
        <v>2496983</v>
      </c>
      <c r="C142" t="s">
        <v>3725</v>
      </c>
      <c r="F142" t="s">
        <v>95</v>
      </c>
      <c r="G142" t="s">
        <v>367</v>
      </c>
      <c r="H142" t="s">
        <v>97</v>
      </c>
      <c r="I142" t="s">
        <v>98</v>
      </c>
      <c r="J142" t="s">
        <v>3726</v>
      </c>
      <c r="K142" t="s">
        <v>100</v>
      </c>
      <c r="L142">
        <v>318229</v>
      </c>
      <c r="M142">
        <v>318229</v>
      </c>
      <c r="N142">
        <v>318229</v>
      </c>
      <c r="O142">
        <v>454</v>
      </c>
      <c r="P142" t="s">
        <v>3727</v>
      </c>
      <c r="Q142">
        <v>0</v>
      </c>
      <c r="R142">
        <v>0</v>
      </c>
      <c r="T142">
        <v>0</v>
      </c>
      <c r="U142">
        <v>0</v>
      </c>
      <c r="W142" t="s">
        <v>102</v>
      </c>
      <c r="X142" t="s">
        <v>103</v>
      </c>
      <c r="Y142" t="s">
        <v>104</v>
      </c>
      <c r="AA142" t="s">
        <v>367</v>
      </c>
      <c r="AB142" t="s">
        <v>3728</v>
      </c>
      <c r="AC142" t="s">
        <v>158</v>
      </c>
      <c r="AD142" t="s">
        <v>3729</v>
      </c>
      <c r="AE142" t="s">
        <v>109</v>
      </c>
      <c r="AF142" t="s">
        <v>102</v>
      </c>
      <c r="AG142" t="s">
        <v>109</v>
      </c>
      <c r="AH142" t="s">
        <v>102</v>
      </c>
      <c r="AI142" t="s">
        <v>3730</v>
      </c>
      <c r="AJ142" t="s">
        <v>3731</v>
      </c>
      <c r="AK142" t="s">
        <v>3731</v>
      </c>
      <c r="AL142" t="s">
        <v>3732</v>
      </c>
      <c r="AM142" t="s">
        <v>3733</v>
      </c>
      <c r="AN142" t="s">
        <v>3729</v>
      </c>
      <c r="AO142" t="s">
        <v>3734</v>
      </c>
      <c r="AP142" t="s">
        <v>3734</v>
      </c>
      <c r="AU142" t="s">
        <v>318</v>
      </c>
      <c r="AV142" t="s">
        <v>118</v>
      </c>
      <c r="AW142" t="s">
        <v>102</v>
      </c>
      <c r="AX142" t="s">
        <v>119</v>
      </c>
      <c r="BB142" t="s">
        <v>120</v>
      </c>
      <c r="BC142" t="s">
        <v>3735</v>
      </c>
      <c r="BD142" t="s">
        <v>410</v>
      </c>
      <c r="BE142" t="s">
        <v>212</v>
      </c>
      <c r="BF142" t="s">
        <v>410</v>
      </c>
      <c r="BG142" t="s">
        <v>124</v>
      </c>
      <c r="BH142" t="s">
        <v>400</v>
      </c>
      <c r="BI142" t="s">
        <v>126</v>
      </c>
      <c r="BJ142" t="s">
        <v>127</v>
      </c>
      <c r="BK142" t="s">
        <v>3736</v>
      </c>
      <c r="BL142" t="s">
        <v>3737</v>
      </c>
      <c r="BM142" t="s">
        <v>3738</v>
      </c>
      <c r="BN142" t="s">
        <v>367</v>
      </c>
      <c r="BO142" t="s">
        <v>956</v>
      </c>
      <c r="BP142" t="s">
        <v>132</v>
      </c>
      <c r="BQ142" t="s">
        <v>958</v>
      </c>
      <c r="BR142" t="s">
        <v>959</v>
      </c>
      <c r="BS142" t="s">
        <v>418</v>
      </c>
      <c r="BU142" t="s">
        <v>3739</v>
      </c>
      <c r="BV142" t="s">
        <v>3585</v>
      </c>
      <c r="BW142" t="s">
        <v>598</v>
      </c>
      <c r="BX142" t="s">
        <v>225</v>
      </c>
      <c r="BY142" t="s">
        <v>226</v>
      </c>
      <c r="BZ142" t="s">
        <v>3740</v>
      </c>
      <c r="CG142" t="s">
        <v>102</v>
      </c>
      <c r="CH142" t="s">
        <v>3741</v>
      </c>
      <c r="CJ142" t="s">
        <v>3742</v>
      </c>
      <c r="CK142" t="s">
        <v>3741</v>
      </c>
      <c r="CL142" t="s">
        <v>3735</v>
      </c>
      <c r="CM142" t="s">
        <v>410</v>
      </c>
      <c r="CN142" t="s">
        <v>3742</v>
      </c>
      <c r="CO142" t="s">
        <v>3589</v>
      </c>
      <c r="CP142" t="s">
        <v>3741</v>
      </c>
      <c r="CQ142" t="s">
        <v>3741</v>
      </c>
    </row>
    <row r="143" spans="1:95">
      <c r="A143" t="s">
        <v>149</v>
      </c>
      <c r="B143">
        <v>2497679</v>
      </c>
      <c r="C143" t="s">
        <v>3743</v>
      </c>
      <c r="D143" t="str">
        <f>VLOOKUP(B143,'2025'!B:C,2,0)</f>
        <v>Sumit Rana</v>
      </c>
      <c r="F143" t="s">
        <v>95</v>
      </c>
      <c r="G143" t="s">
        <v>583</v>
      </c>
      <c r="H143" t="s">
        <v>1746</v>
      </c>
      <c r="I143" t="s">
        <v>98</v>
      </c>
      <c r="J143" t="s">
        <v>3744</v>
      </c>
      <c r="K143" t="s">
        <v>100</v>
      </c>
      <c r="L143">
        <v>2124788</v>
      </c>
      <c r="M143">
        <v>2307179</v>
      </c>
      <c r="N143">
        <v>287158</v>
      </c>
      <c r="O143">
        <v>890</v>
      </c>
      <c r="P143" t="s">
        <v>3745</v>
      </c>
      <c r="Q143">
        <v>824349</v>
      </c>
      <c r="R143">
        <v>871</v>
      </c>
      <c r="S143" t="s">
        <v>3746</v>
      </c>
      <c r="T143">
        <v>1013281</v>
      </c>
      <c r="U143">
        <v>772</v>
      </c>
      <c r="V143" t="s">
        <v>3747</v>
      </c>
      <c r="W143" t="s">
        <v>102</v>
      </c>
      <c r="X143" t="s">
        <v>275</v>
      </c>
      <c r="Z143" t="s">
        <v>3748</v>
      </c>
      <c r="AA143" t="s">
        <v>109</v>
      </c>
      <c r="AB143" t="s">
        <v>102</v>
      </c>
      <c r="AC143" t="s">
        <v>109</v>
      </c>
      <c r="AD143" t="s">
        <v>102</v>
      </c>
      <c r="AE143" t="s">
        <v>109</v>
      </c>
      <c r="AF143" t="s">
        <v>102</v>
      </c>
      <c r="AG143" t="s">
        <v>109</v>
      </c>
      <c r="AH143" t="s">
        <v>102</v>
      </c>
      <c r="AI143" t="s">
        <v>3749</v>
      </c>
      <c r="AJ143" t="s">
        <v>321</v>
      </c>
      <c r="AK143" t="s">
        <v>321</v>
      </c>
      <c r="AL143" t="s">
        <v>3750</v>
      </c>
      <c r="AM143" t="s">
        <v>3751</v>
      </c>
      <c r="AN143" t="s">
        <v>3752</v>
      </c>
      <c r="AO143" t="s">
        <v>3753</v>
      </c>
      <c r="AP143" t="s">
        <v>3753</v>
      </c>
      <c r="AU143" t="s">
        <v>117</v>
      </c>
      <c r="AV143" t="s">
        <v>118</v>
      </c>
      <c r="AW143" t="s">
        <v>155</v>
      </c>
      <c r="AX143" t="s">
        <v>447</v>
      </c>
      <c r="AY143" t="s">
        <v>170</v>
      </c>
      <c r="AZ143" t="s">
        <v>118</v>
      </c>
      <c r="BA143" t="s">
        <v>250</v>
      </c>
      <c r="BB143" t="s">
        <v>120</v>
      </c>
      <c r="BC143" t="s">
        <v>3754</v>
      </c>
      <c r="BD143" t="s">
        <v>173</v>
      </c>
      <c r="BE143" t="s">
        <v>174</v>
      </c>
      <c r="BF143" t="s">
        <v>173</v>
      </c>
      <c r="BG143" t="s">
        <v>124</v>
      </c>
      <c r="BH143" t="s">
        <v>125</v>
      </c>
      <c r="BI143" t="s">
        <v>1941</v>
      </c>
      <c r="BJ143" t="s">
        <v>127</v>
      </c>
      <c r="BK143" t="s">
        <v>3755</v>
      </c>
      <c r="BL143" t="s">
        <v>3756</v>
      </c>
      <c r="BM143" t="s">
        <v>3757</v>
      </c>
      <c r="BN143" t="s">
        <v>583</v>
      </c>
      <c r="BO143" t="s">
        <v>179</v>
      </c>
      <c r="BP143" t="s">
        <v>180</v>
      </c>
      <c r="BQ143" t="s">
        <v>181</v>
      </c>
      <c r="BR143" t="s">
        <v>182</v>
      </c>
      <c r="BS143" t="s">
        <v>183</v>
      </c>
      <c r="BU143" t="s">
        <v>3758</v>
      </c>
      <c r="BV143" t="s">
        <v>3759</v>
      </c>
      <c r="BW143" t="s">
        <v>138</v>
      </c>
      <c r="BX143" t="s">
        <v>3760</v>
      </c>
      <c r="BY143" t="s">
        <v>3761</v>
      </c>
      <c r="BZ143" t="s">
        <v>3762</v>
      </c>
      <c r="CA143" t="s">
        <v>3763</v>
      </c>
      <c r="CB143" t="s">
        <v>3762</v>
      </c>
      <c r="CC143" t="s">
        <v>3761</v>
      </c>
      <c r="CD143" t="s">
        <v>3764</v>
      </c>
      <c r="CE143" t="s">
        <v>3765</v>
      </c>
      <c r="CF143" t="s">
        <v>3766</v>
      </c>
      <c r="CG143" t="s">
        <v>102</v>
      </c>
      <c r="CH143" t="s">
        <v>3767</v>
      </c>
      <c r="CJ143" t="s">
        <v>3768</v>
      </c>
      <c r="CK143" t="s">
        <v>3767</v>
      </c>
      <c r="CL143" t="s">
        <v>3754</v>
      </c>
      <c r="CM143" t="s">
        <v>173</v>
      </c>
      <c r="CN143" t="s">
        <v>3768</v>
      </c>
      <c r="CO143" t="s">
        <v>3769</v>
      </c>
      <c r="CP143" t="s">
        <v>3770</v>
      </c>
      <c r="CQ143" t="s">
        <v>3767</v>
      </c>
    </row>
    <row r="144" spans="1:95">
      <c r="A144" t="s">
        <v>149</v>
      </c>
      <c r="B144">
        <v>2501573</v>
      </c>
      <c r="C144" t="s">
        <v>3771</v>
      </c>
      <c r="D144" t="str">
        <f>VLOOKUP(B144,'2025'!B:C,2,0)</f>
        <v>Anushka</v>
      </c>
      <c r="F144" t="s">
        <v>95</v>
      </c>
      <c r="G144" t="s">
        <v>2585</v>
      </c>
      <c r="H144" t="s">
        <v>97</v>
      </c>
      <c r="I144" t="s">
        <v>98</v>
      </c>
      <c r="J144" t="s">
        <v>3772</v>
      </c>
      <c r="K144" t="s">
        <v>100</v>
      </c>
      <c r="L144">
        <v>441675</v>
      </c>
      <c r="M144">
        <v>441675</v>
      </c>
      <c r="N144">
        <v>441675</v>
      </c>
      <c r="O144">
        <v>755</v>
      </c>
      <c r="P144" t="s">
        <v>3773</v>
      </c>
      <c r="Q144">
        <v>0</v>
      </c>
      <c r="R144">
        <v>0</v>
      </c>
      <c r="T144">
        <v>0</v>
      </c>
      <c r="U144">
        <v>0</v>
      </c>
      <c r="W144" t="s">
        <v>102</v>
      </c>
      <c r="X144" t="s">
        <v>275</v>
      </c>
      <c r="Z144" t="s">
        <v>347</v>
      </c>
      <c r="AA144" t="s">
        <v>109</v>
      </c>
      <c r="AB144" t="s">
        <v>102</v>
      </c>
      <c r="AC144" t="s">
        <v>109</v>
      </c>
      <c r="AD144" t="s">
        <v>102</v>
      </c>
      <c r="AE144" t="s">
        <v>109</v>
      </c>
      <c r="AF144" t="s">
        <v>102</v>
      </c>
      <c r="AG144" t="s">
        <v>109</v>
      </c>
      <c r="AH144" t="s">
        <v>102</v>
      </c>
      <c r="AI144" t="s">
        <v>102</v>
      </c>
      <c r="AJ144" t="s">
        <v>915</v>
      </c>
      <c r="AK144" t="s">
        <v>3774</v>
      </c>
      <c r="AL144" t="s">
        <v>3775</v>
      </c>
      <c r="AM144" t="s">
        <v>3776</v>
      </c>
      <c r="AN144" t="s">
        <v>3777</v>
      </c>
      <c r="AO144" t="s">
        <v>3510</v>
      </c>
      <c r="AP144" t="s">
        <v>3510</v>
      </c>
      <c r="AU144" t="s">
        <v>117</v>
      </c>
      <c r="AV144" t="s">
        <v>118</v>
      </c>
      <c r="AW144" t="s">
        <v>102</v>
      </c>
      <c r="AX144" t="s">
        <v>119</v>
      </c>
      <c r="BB144" t="s">
        <v>120</v>
      </c>
      <c r="BC144" t="s">
        <v>1407</v>
      </c>
      <c r="BD144" t="s">
        <v>449</v>
      </c>
      <c r="BE144" t="s">
        <v>122</v>
      </c>
      <c r="BF144" t="s">
        <v>450</v>
      </c>
      <c r="BG144" t="s">
        <v>124</v>
      </c>
      <c r="BH144" t="s">
        <v>2585</v>
      </c>
      <c r="BI144" t="s">
        <v>126</v>
      </c>
      <c r="BJ144" t="s">
        <v>127</v>
      </c>
      <c r="BK144" t="s">
        <v>3778</v>
      </c>
      <c r="BL144" t="s">
        <v>3779</v>
      </c>
      <c r="BM144" t="s">
        <v>3780</v>
      </c>
      <c r="BN144" t="s">
        <v>2585</v>
      </c>
      <c r="BO144" t="s">
        <v>3083</v>
      </c>
      <c r="BP144" t="s">
        <v>350</v>
      </c>
      <c r="BQ144" t="s">
        <v>3084</v>
      </c>
      <c r="BR144" t="s">
        <v>3085</v>
      </c>
      <c r="BS144" t="s">
        <v>1111</v>
      </c>
      <c r="BU144" t="s">
        <v>3781</v>
      </c>
      <c r="BV144" t="s">
        <v>3782</v>
      </c>
      <c r="BW144" t="s">
        <v>569</v>
      </c>
      <c r="BX144" t="s">
        <v>3783</v>
      </c>
      <c r="BY144" t="s">
        <v>3784</v>
      </c>
      <c r="BZ144" t="s">
        <v>3783</v>
      </c>
      <c r="CG144" t="s">
        <v>102</v>
      </c>
      <c r="CH144" t="s">
        <v>3785</v>
      </c>
      <c r="CJ144" t="s">
        <v>3786</v>
      </c>
      <c r="CK144" t="s">
        <v>3785</v>
      </c>
      <c r="CL144" t="s">
        <v>1407</v>
      </c>
      <c r="CM144" t="s">
        <v>449</v>
      </c>
      <c r="CN144" t="s">
        <v>3786</v>
      </c>
      <c r="CP144" t="s">
        <v>3787</v>
      </c>
      <c r="CQ144" t="s">
        <v>3785</v>
      </c>
    </row>
    <row r="145" spans="1:95">
      <c r="A145" t="s">
        <v>337</v>
      </c>
      <c r="B145">
        <v>2503335</v>
      </c>
      <c r="C145" t="s">
        <v>3788</v>
      </c>
      <c r="F145" t="s">
        <v>95</v>
      </c>
      <c r="G145" t="s">
        <v>3789</v>
      </c>
      <c r="H145" t="s">
        <v>848</v>
      </c>
      <c r="I145" t="s">
        <v>98</v>
      </c>
      <c r="J145" t="s">
        <v>3790</v>
      </c>
      <c r="K145" t="s">
        <v>100</v>
      </c>
      <c r="L145">
        <v>187636</v>
      </c>
      <c r="M145">
        <v>221410</v>
      </c>
      <c r="N145">
        <v>0</v>
      </c>
      <c r="O145">
        <v>0</v>
      </c>
      <c r="Q145">
        <v>0</v>
      </c>
      <c r="R145">
        <v>0</v>
      </c>
      <c r="T145">
        <v>187636</v>
      </c>
      <c r="U145">
        <v>123</v>
      </c>
      <c r="V145" t="s">
        <v>3791</v>
      </c>
      <c r="W145" t="s">
        <v>102</v>
      </c>
      <c r="X145" t="s">
        <v>103</v>
      </c>
      <c r="Y145" t="s">
        <v>155</v>
      </c>
      <c r="AA145" t="s">
        <v>1778</v>
      </c>
      <c r="AB145" t="s">
        <v>3792</v>
      </c>
      <c r="AC145" t="s">
        <v>847</v>
      </c>
      <c r="AD145" t="s">
        <v>3792</v>
      </c>
      <c r="AE145" t="s">
        <v>347</v>
      </c>
      <c r="AF145" t="s">
        <v>3792</v>
      </c>
      <c r="AG145" t="s">
        <v>439</v>
      </c>
      <c r="AH145" t="s">
        <v>3792</v>
      </c>
      <c r="AI145" t="s">
        <v>3793</v>
      </c>
      <c r="AJ145" t="s">
        <v>2579</v>
      </c>
      <c r="AK145" t="s">
        <v>550</v>
      </c>
      <c r="AL145" t="s">
        <v>3794</v>
      </c>
      <c r="AM145" t="s">
        <v>3795</v>
      </c>
      <c r="AN145" t="s">
        <v>3796</v>
      </c>
      <c r="AO145" t="s">
        <v>116</v>
      </c>
      <c r="AP145" t="s">
        <v>116</v>
      </c>
      <c r="AU145" t="s">
        <v>102</v>
      </c>
      <c r="AW145" t="s">
        <v>102</v>
      </c>
      <c r="AX145" t="s">
        <v>119</v>
      </c>
      <c r="BA145" t="s">
        <v>250</v>
      </c>
      <c r="BB145" t="s">
        <v>120</v>
      </c>
      <c r="BC145" t="s">
        <v>3735</v>
      </c>
      <c r="BD145" t="s">
        <v>410</v>
      </c>
      <c r="BE145" t="s">
        <v>212</v>
      </c>
      <c r="BF145" t="s">
        <v>410</v>
      </c>
      <c r="BG145" t="s">
        <v>124</v>
      </c>
      <c r="BH145" t="s">
        <v>232</v>
      </c>
      <c r="BI145" t="s">
        <v>126</v>
      </c>
      <c r="BJ145" t="s">
        <v>127</v>
      </c>
      <c r="BK145" t="s">
        <v>3797</v>
      </c>
      <c r="BL145" t="s">
        <v>3798</v>
      </c>
      <c r="BM145" t="s">
        <v>3799</v>
      </c>
      <c r="BN145" t="s">
        <v>3789</v>
      </c>
      <c r="BO145" t="s">
        <v>896</v>
      </c>
      <c r="BP145" t="s">
        <v>132</v>
      </c>
      <c r="BQ145" t="s">
        <v>897</v>
      </c>
      <c r="BR145" t="s">
        <v>898</v>
      </c>
      <c r="BS145" t="s">
        <v>899</v>
      </c>
      <c r="BU145" t="s">
        <v>3800</v>
      </c>
      <c r="BV145" t="s">
        <v>3801</v>
      </c>
      <c r="BW145" t="s">
        <v>138</v>
      </c>
      <c r="BX145" t="s">
        <v>3802</v>
      </c>
      <c r="BY145" t="s">
        <v>3803</v>
      </c>
      <c r="BZ145" t="s">
        <v>3804</v>
      </c>
      <c r="CA145" t="s">
        <v>3801</v>
      </c>
      <c r="CB145" t="s">
        <v>3802</v>
      </c>
      <c r="CC145" t="s">
        <v>3803</v>
      </c>
      <c r="CD145" t="s">
        <v>3801</v>
      </c>
      <c r="CE145" t="s">
        <v>3802</v>
      </c>
      <c r="CF145" t="s">
        <v>3803</v>
      </c>
      <c r="CG145" t="s">
        <v>3805</v>
      </c>
      <c r="CH145" t="s">
        <v>3806</v>
      </c>
      <c r="CJ145" t="s">
        <v>3807</v>
      </c>
      <c r="CK145" t="s">
        <v>3806</v>
      </c>
      <c r="CL145" t="s">
        <v>3735</v>
      </c>
      <c r="CM145" t="s">
        <v>410</v>
      </c>
      <c r="CN145" t="s">
        <v>3807</v>
      </c>
      <c r="CO145" t="s">
        <v>3808</v>
      </c>
      <c r="CP145" t="s">
        <v>3806</v>
      </c>
      <c r="CQ145" t="s">
        <v>3806</v>
      </c>
    </row>
    <row r="146" spans="1:95">
      <c r="A146" t="s">
        <v>149</v>
      </c>
      <c r="B146">
        <v>2503955</v>
      </c>
      <c r="C146" t="s">
        <v>3809</v>
      </c>
      <c r="D146" t="str">
        <f>VLOOKUP(B146,'2025'!B:C,2,0)</f>
        <v>Hetal Parmar</v>
      </c>
      <c r="F146" t="s">
        <v>95</v>
      </c>
      <c r="G146" t="s">
        <v>441</v>
      </c>
      <c r="H146" t="s">
        <v>97</v>
      </c>
      <c r="I146" t="s">
        <v>98</v>
      </c>
      <c r="J146" t="s">
        <v>3810</v>
      </c>
      <c r="K146" t="s">
        <v>100</v>
      </c>
      <c r="L146">
        <v>112200</v>
      </c>
      <c r="M146">
        <v>112200</v>
      </c>
      <c r="N146">
        <v>112200</v>
      </c>
      <c r="O146">
        <v>136</v>
      </c>
      <c r="P146" t="s">
        <v>3811</v>
      </c>
      <c r="Q146">
        <v>0</v>
      </c>
      <c r="R146">
        <v>0</v>
      </c>
      <c r="T146">
        <v>0</v>
      </c>
      <c r="U146">
        <v>0</v>
      </c>
      <c r="W146" t="s">
        <v>102</v>
      </c>
      <c r="X146" t="s">
        <v>275</v>
      </c>
      <c r="Z146" t="s">
        <v>441</v>
      </c>
      <c r="AA146" t="s">
        <v>109</v>
      </c>
      <c r="AB146" t="s">
        <v>102</v>
      </c>
      <c r="AC146" t="s">
        <v>109</v>
      </c>
      <c r="AD146" t="s">
        <v>102</v>
      </c>
      <c r="AE146" t="s">
        <v>109</v>
      </c>
      <c r="AF146" t="s">
        <v>102</v>
      </c>
      <c r="AG146" t="s">
        <v>109</v>
      </c>
      <c r="AH146" t="s">
        <v>102</v>
      </c>
      <c r="AI146" t="s">
        <v>102</v>
      </c>
      <c r="AJ146" t="s">
        <v>2079</v>
      </c>
      <c r="AK146" t="s">
        <v>2079</v>
      </c>
      <c r="AL146" t="s">
        <v>3812</v>
      </c>
      <c r="AM146" t="s">
        <v>3812</v>
      </c>
      <c r="AN146" t="s">
        <v>102</v>
      </c>
      <c r="AO146" t="s">
        <v>1826</v>
      </c>
      <c r="AP146" t="s">
        <v>1826</v>
      </c>
      <c r="AU146" t="s">
        <v>318</v>
      </c>
      <c r="AV146" t="s">
        <v>118</v>
      </c>
      <c r="AW146" t="s">
        <v>102</v>
      </c>
      <c r="AX146" t="s">
        <v>119</v>
      </c>
      <c r="BB146" t="s">
        <v>171</v>
      </c>
      <c r="BC146" t="s">
        <v>623</v>
      </c>
      <c r="BD146" t="s">
        <v>621</v>
      </c>
      <c r="BE146" t="s">
        <v>622</v>
      </c>
      <c r="BF146" t="s">
        <v>623</v>
      </c>
      <c r="BG146" t="s">
        <v>124</v>
      </c>
      <c r="BH146" t="s">
        <v>1374</v>
      </c>
      <c r="BI146" t="s">
        <v>625</v>
      </c>
      <c r="BJ146" t="s">
        <v>127</v>
      </c>
      <c r="BK146" t="s">
        <v>3813</v>
      </c>
      <c r="BL146" t="s">
        <v>3814</v>
      </c>
      <c r="BM146" t="s">
        <v>3815</v>
      </c>
      <c r="BN146" t="s">
        <v>441</v>
      </c>
      <c r="BO146" t="s">
        <v>629</v>
      </c>
      <c r="BP146" t="s">
        <v>132</v>
      </c>
      <c r="BQ146" t="s">
        <v>630</v>
      </c>
      <c r="BR146" t="s">
        <v>631</v>
      </c>
      <c r="BS146" t="s">
        <v>1279</v>
      </c>
      <c r="BU146" t="s">
        <v>3816</v>
      </c>
      <c r="BV146" t="s">
        <v>3817</v>
      </c>
      <c r="BW146" t="s">
        <v>138</v>
      </c>
      <c r="BX146" t="s">
        <v>3818</v>
      </c>
      <c r="BY146" t="s">
        <v>3819</v>
      </c>
      <c r="BZ146" t="s">
        <v>3818</v>
      </c>
      <c r="CG146" t="s">
        <v>102</v>
      </c>
      <c r="CH146" t="s">
        <v>3820</v>
      </c>
      <c r="CJ146" t="s">
        <v>3821</v>
      </c>
      <c r="CK146" t="s">
        <v>3820</v>
      </c>
      <c r="CL146" t="s">
        <v>623</v>
      </c>
      <c r="CM146" t="s">
        <v>621</v>
      </c>
      <c r="CN146" t="s">
        <v>3821</v>
      </c>
      <c r="CP146" t="s">
        <v>3820</v>
      </c>
      <c r="CQ146" t="s">
        <v>3820</v>
      </c>
    </row>
    <row r="147" spans="1:95">
      <c r="A147" t="s">
        <v>93</v>
      </c>
      <c r="B147">
        <v>2504070</v>
      </c>
      <c r="C147" t="s">
        <v>3822</v>
      </c>
      <c r="E147" s="4" t="s">
        <v>17377</v>
      </c>
      <c r="F147" t="s">
        <v>95</v>
      </c>
      <c r="G147" t="s">
        <v>558</v>
      </c>
      <c r="H147" t="s">
        <v>848</v>
      </c>
      <c r="I147" t="s">
        <v>98</v>
      </c>
      <c r="J147" t="s">
        <v>3823</v>
      </c>
      <c r="K147" t="s">
        <v>100</v>
      </c>
      <c r="L147">
        <v>820719</v>
      </c>
      <c r="M147">
        <v>968448</v>
      </c>
      <c r="N147">
        <v>0</v>
      </c>
      <c r="O147">
        <v>0</v>
      </c>
      <c r="Q147">
        <v>0</v>
      </c>
      <c r="R147">
        <v>0</v>
      </c>
      <c r="T147">
        <v>820719</v>
      </c>
      <c r="U147">
        <v>538</v>
      </c>
      <c r="V147" t="s">
        <v>1907</v>
      </c>
      <c r="W147" t="s">
        <v>102</v>
      </c>
      <c r="X147" t="s">
        <v>103</v>
      </c>
      <c r="Y147" t="s">
        <v>104</v>
      </c>
      <c r="AA147" t="s">
        <v>238</v>
      </c>
      <c r="AB147" t="s">
        <v>3824</v>
      </c>
      <c r="AC147" t="s">
        <v>1473</v>
      </c>
      <c r="AD147" t="s">
        <v>3824</v>
      </c>
      <c r="AE147" t="s">
        <v>109</v>
      </c>
      <c r="AF147" t="s">
        <v>102</v>
      </c>
      <c r="AG147" t="s">
        <v>109</v>
      </c>
      <c r="AH147" t="s">
        <v>102</v>
      </c>
      <c r="AI147" t="s">
        <v>3825</v>
      </c>
      <c r="AJ147" t="s">
        <v>3826</v>
      </c>
      <c r="AK147" t="s">
        <v>2083</v>
      </c>
      <c r="AL147" t="s">
        <v>3827</v>
      </c>
      <c r="AM147" t="s">
        <v>3828</v>
      </c>
      <c r="AN147" t="s">
        <v>3829</v>
      </c>
      <c r="AO147" t="s">
        <v>116</v>
      </c>
      <c r="AP147" t="s">
        <v>116</v>
      </c>
      <c r="AU147" t="s">
        <v>102</v>
      </c>
      <c r="AW147" t="s">
        <v>102</v>
      </c>
      <c r="AX147" t="s">
        <v>119</v>
      </c>
      <c r="BA147" t="s">
        <v>250</v>
      </c>
      <c r="BB147" t="s">
        <v>120</v>
      </c>
      <c r="BC147" t="s">
        <v>3830</v>
      </c>
      <c r="BD147" t="s">
        <v>410</v>
      </c>
      <c r="BE147" t="s">
        <v>212</v>
      </c>
      <c r="BF147" t="s">
        <v>410</v>
      </c>
      <c r="BG147" t="s">
        <v>124</v>
      </c>
      <c r="BH147" t="s">
        <v>214</v>
      </c>
      <c r="BI147" t="s">
        <v>625</v>
      </c>
      <c r="BJ147" t="s">
        <v>127</v>
      </c>
      <c r="BK147" t="s">
        <v>3831</v>
      </c>
      <c r="BL147" t="s">
        <v>3832</v>
      </c>
      <c r="BM147" t="s">
        <v>3833</v>
      </c>
      <c r="BN147" t="s">
        <v>558</v>
      </c>
      <c r="BO147" t="s">
        <v>896</v>
      </c>
      <c r="BP147" t="s">
        <v>132</v>
      </c>
      <c r="BQ147" t="s">
        <v>897</v>
      </c>
      <c r="BR147" t="s">
        <v>898</v>
      </c>
      <c r="BS147" t="s">
        <v>418</v>
      </c>
      <c r="BT147" t="s">
        <v>418</v>
      </c>
      <c r="BU147" t="s">
        <v>3834</v>
      </c>
      <c r="BV147" t="s">
        <v>3835</v>
      </c>
      <c r="BW147" t="s">
        <v>138</v>
      </c>
      <c r="BX147" t="s">
        <v>3836</v>
      </c>
      <c r="BY147" t="s">
        <v>3837</v>
      </c>
      <c r="BZ147" t="s">
        <v>3838</v>
      </c>
      <c r="CA147" t="s">
        <v>3835</v>
      </c>
      <c r="CB147" t="s">
        <v>3836</v>
      </c>
      <c r="CC147" t="s">
        <v>3837</v>
      </c>
      <c r="CD147" t="s">
        <v>3839</v>
      </c>
      <c r="CE147" t="s">
        <v>3836</v>
      </c>
      <c r="CF147" t="s">
        <v>3840</v>
      </c>
      <c r="CG147" t="s">
        <v>3841</v>
      </c>
      <c r="CH147" t="s">
        <v>3842</v>
      </c>
      <c r="CJ147" t="s">
        <v>3843</v>
      </c>
      <c r="CK147" t="s">
        <v>3842</v>
      </c>
      <c r="CL147" t="s">
        <v>3830</v>
      </c>
      <c r="CM147" t="s">
        <v>410</v>
      </c>
      <c r="CN147" t="s">
        <v>3843</v>
      </c>
      <c r="CO147" t="s">
        <v>3844</v>
      </c>
      <c r="CP147" t="s">
        <v>3842</v>
      </c>
      <c r="CQ147" t="s">
        <v>3842</v>
      </c>
    </row>
    <row r="148" spans="1:95">
      <c r="A148" t="s">
        <v>149</v>
      </c>
      <c r="B148">
        <v>2509576</v>
      </c>
      <c r="C148" t="s">
        <v>3845</v>
      </c>
      <c r="D148" t="str">
        <f>VLOOKUP(B148,'2025'!B:C,2,0)</f>
        <v>Anushka</v>
      </c>
      <c r="F148" t="s">
        <v>95</v>
      </c>
      <c r="G148" t="s">
        <v>2452</v>
      </c>
      <c r="H148" t="s">
        <v>152</v>
      </c>
      <c r="I148" t="s">
        <v>98</v>
      </c>
      <c r="J148" t="s">
        <v>3846</v>
      </c>
      <c r="K148" t="s">
        <v>100</v>
      </c>
      <c r="L148">
        <v>537929</v>
      </c>
      <c r="M148">
        <v>537929</v>
      </c>
      <c r="N148">
        <v>0</v>
      </c>
      <c r="O148">
        <v>0</v>
      </c>
      <c r="Q148">
        <v>537929</v>
      </c>
      <c r="R148">
        <v>489</v>
      </c>
      <c r="S148" t="s">
        <v>466</v>
      </c>
      <c r="T148">
        <v>0</v>
      </c>
      <c r="U148">
        <v>0</v>
      </c>
      <c r="W148" t="s">
        <v>102</v>
      </c>
      <c r="X148" t="s">
        <v>103</v>
      </c>
      <c r="Y148" t="s">
        <v>155</v>
      </c>
      <c r="AA148" t="s">
        <v>238</v>
      </c>
      <c r="AB148" t="s">
        <v>3847</v>
      </c>
      <c r="AC148" t="s">
        <v>197</v>
      </c>
      <c r="AD148" t="s">
        <v>3847</v>
      </c>
      <c r="AE148" t="s">
        <v>240</v>
      </c>
      <c r="AF148" t="s">
        <v>3847</v>
      </c>
      <c r="AG148" t="s">
        <v>680</v>
      </c>
      <c r="AH148" t="s">
        <v>3847</v>
      </c>
      <c r="AI148" t="s">
        <v>3848</v>
      </c>
      <c r="AJ148" t="s">
        <v>3258</v>
      </c>
      <c r="AK148" t="s">
        <v>3849</v>
      </c>
      <c r="AL148" t="s">
        <v>3850</v>
      </c>
      <c r="AM148" t="s">
        <v>3851</v>
      </c>
      <c r="AN148" t="s">
        <v>3852</v>
      </c>
      <c r="AO148" t="s">
        <v>3853</v>
      </c>
      <c r="AP148" t="s">
        <v>3853</v>
      </c>
      <c r="AU148" t="s">
        <v>102</v>
      </c>
      <c r="AW148" t="s">
        <v>155</v>
      </c>
      <c r="AX148" t="s">
        <v>447</v>
      </c>
      <c r="AY148" t="s">
        <v>1138</v>
      </c>
      <c r="AZ148" t="s">
        <v>118</v>
      </c>
      <c r="BB148" t="s">
        <v>120</v>
      </c>
      <c r="BC148" t="s">
        <v>3854</v>
      </c>
      <c r="BD148" t="s">
        <v>449</v>
      </c>
      <c r="BE148" t="s">
        <v>122</v>
      </c>
      <c r="BF148" t="s">
        <v>450</v>
      </c>
      <c r="BG148" t="s">
        <v>124</v>
      </c>
      <c r="BH148" t="s">
        <v>232</v>
      </c>
      <c r="BI148" t="s">
        <v>126</v>
      </c>
      <c r="BJ148" t="s">
        <v>127</v>
      </c>
      <c r="BK148" t="s">
        <v>3855</v>
      </c>
      <c r="BL148" t="s">
        <v>3856</v>
      </c>
      <c r="BM148" t="s">
        <v>3857</v>
      </c>
      <c r="BN148" t="s">
        <v>2452</v>
      </c>
      <c r="BO148" t="s">
        <v>257</v>
      </c>
      <c r="BP148" t="s">
        <v>350</v>
      </c>
      <c r="BQ148" t="s">
        <v>259</v>
      </c>
      <c r="BR148" t="s">
        <v>260</v>
      </c>
      <c r="BS148" t="s">
        <v>1006</v>
      </c>
      <c r="BU148" t="s">
        <v>3858</v>
      </c>
      <c r="BV148" t="s">
        <v>3859</v>
      </c>
      <c r="BW148" t="s">
        <v>138</v>
      </c>
      <c r="BX148" t="s">
        <v>3860</v>
      </c>
      <c r="BY148" t="s">
        <v>3861</v>
      </c>
      <c r="BZ148" t="s">
        <v>3862</v>
      </c>
      <c r="CG148" t="s">
        <v>102</v>
      </c>
      <c r="CH148" t="s">
        <v>3863</v>
      </c>
      <c r="CJ148" t="s">
        <v>3864</v>
      </c>
      <c r="CK148" t="s">
        <v>3863</v>
      </c>
      <c r="CL148" t="s">
        <v>3854</v>
      </c>
      <c r="CM148" t="s">
        <v>449</v>
      </c>
      <c r="CN148" t="s">
        <v>3864</v>
      </c>
      <c r="CO148" t="s">
        <v>3865</v>
      </c>
      <c r="CP148" t="s">
        <v>3863</v>
      </c>
      <c r="CQ148" t="s">
        <v>3863</v>
      </c>
    </row>
    <row r="149" spans="1:95">
      <c r="A149" t="s">
        <v>149</v>
      </c>
      <c r="B149">
        <v>2509774</v>
      </c>
      <c r="C149" t="s">
        <v>3866</v>
      </c>
      <c r="F149" t="s">
        <v>95</v>
      </c>
      <c r="G149" t="s">
        <v>192</v>
      </c>
      <c r="H149" t="s">
        <v>193</v>
      </c>
      <c r="I149" t="s">
        <v>98</v>
      </c>
      <c r="J149" t="s">
        <v>3867</v>
      </c>
      <c r="K149" t="s">
        <v>100</v>
      </c>
      <c r="L149">
        <v>507838</v>
      </c>
      <c r="M149">
        <v>565330</v>
      </c>
      <c r="N149">
        <v>188436</v>
      </c>
      <c r="O149">
        <v>606</v>
      </c>
      <c r="P149" t="s">
        <v>195</v>
      </c>
      <c r="Q149">
        <v>0</v>
      </c>
      <c r="R149">
        <v>0</v>
      </c>
      <c r="T149">
        <v>319402</v>
      </c>
      <c r="U149">
        <v>628</v>
      </c>
      <c r="V149" t="s">
        <v>196</v>
      </c>
      <c r="W149" t="s">
        <v>102</v>
      </c>
      <c r="X149" t="s">
        <v>103</v>
      </c>
      <c r="Y149" t="s">
        <v>104</v>
      </c>
      <c r="AA149" t="s">
        <v>197</v>
      </c>
      <c r="AB149" t="s">
        <v>3868</v>
      </c>
      <c r="AC149" t="s">
        <v>199</v>
      </c>
      <c r="AD149" t="s">
        <v>3868</v>
      </c>
      <c r="AE149" t="s">
        <v>109</v>
      </c>
      <c r="AF149" t="s">
        <v>102</v>
      </c>
      <c r="AG149" t="s">
        <v>109</v>
      </c>
      <c r="AH149" t="s">
        <v>102</v>
      </c>
      <c r="AI149" t="s">
        <v>3869</v>
      </c>
      <c r="AJ149" t="s">
        <v>201</v>
      </c>
      <c r="AK149" t="s">
        <v>202</v>
      </c>
      <c r="AL149" t="s">
        <v>3870</v>
      </c>
      <c r="AM149" t="s">
        <v>3871</v>
      </c>
      <c r="AN149" t="s">
        <v>3872</v>
      </c>
      <c r="AO149" t="s">
        <v>206</v>
      </c>
      <c r="AP149" t="s">
        <v>206</v>
      </c>
      <c r="AU149" t="s">
        <v>207</v>
      </c>
      <c r="AV149" t="s">
        <v>118</v>
      </c>
      <c r="AW149" t="s">
        <v>102</v>
      </c>
      <c r="AX149" t="s">
        <v>119</v>
      </c>
      <c r="BA149" t="s">
        <v>208</v>
      </c>
      <c r="BB149" t="s">
        <v>120</v>
      </c>
      <c r="BC149" t="s">
        <v>210</v>
      </c>
      <c r="BD149" t="s">
        <v>211</v>
      </c>
      <c r="BE149" t="s">
        <v>212</v>
      </c>
      <c r="BF149" t="s">
        <v>213</v>
      </c>
      <c r="BG149" t="s">
        <v>124</v>
      </c>
      <c r="BH149" t="s">
        <v>214</v>
      </c>
      <c r="BI149" t="s">
        <v>215</v>
      </c>
      <c r="BJ149" t="s">
        <v>127</v>
      </c>
      <c r="BK149" t="s">
        <v>3873</v>
      </c>
      <c r="BL149" t="s">
        <v>3874</v>
      </c>
      <c r="BM149" t="s">
        <v>3875</v>
      </c>
      <c r="BN149" t="s">
        <v>192</v>
      </c>
      <c r="BO149" t="s">
        <v>219</v>
      </c>
      <c r="BP149" t="s">
        <v>180</v>
      </c>
      <c r="BQ149" t="s">
        <v>220</v>
      </c>
      <c r="BR149" t="s">
        <v>221</v>
      </c>
      <c r="BS149" t="s">
        <v>222</v>
      </c>
      <c r="BU149" t="s">
        <v>3876</v>
      </c>
      <c r="BV149" t="s">
        <v>224</v>
      </c>
      <c r="BX149" t="s">
        <v>225</v>
      </c>
      <c r="BY149" t="s">
        <v>226</v>
      </c>
      <c r="BZ149" t="s">
        <v>3877</v>
      </c>
      <c r="CG149" t="s">
        <v>102</v>
      </c>
      <c r="CH149" t="s">
        <v>3878</v>
      </c>
      <c r="CJ149" t="s">
        <v>229</v>
      </c>
      <c r="CK149" t="s">
        <v>3878</v>
      </c>
      <c r="CL149" t="s">
        <v>210</v>
      </c>
      <c r="CM149" t="s">
        <v>211</v>
      </c>
      <c r="CN149" t="s">
        <v>229</v>
      </c>
      <c r="CO149" t="s">
        <v>230</v>
      </c>
      <c r="CP149" t="s">
        <v>3878</v>
      </c>
      <c r="CQ149" t="s">
        <v>3878</v>
      </c>
    </row>
    <row r="150" spans="1:95">
      <c r="A150" t="s">
        <v>149</v>
      </c>
      <c r="B150">
        <v>2516584</v>
      </c>
      <c r="C150" t="s">
        <v>3883</v>
      </c>
      <c r="F150" t="s">
        <v>95</v>
      </c>
      <c r="G150" t="s">
        <v>517</v>
      </c>
      <c r="H150" t="s">
        <v>97</v>
      </c>
      <c r="I150" t="s">
        <v>98</v>
      </c>
      <c r="J150" t="s">
        <v>3884</v>
      </c>
      <c r="K150" t="s">
        <v>100</v>
      </c>
      <c r="L150">
        <v>444030</v>
      </c>
      <c r="M150">
        <v>444030</v>
      </c>
      <c r="N150">
        <v>444030</v>
      </c>
      <c r="O150">
        <v>779</v>
      </c>
      <c r="P150" t="s">
        <v>519</v>
      </c>
      <c r="Q150">
        <v>0</v>
      </c>
      <c r="R150">
        <v>0</v>
      </c>
      <c r="T150">
        <v>0</v>
      </c>
      <c r="U150">
        <v>0</v>
      </c>
      <c r="W150" t="s">
        <v>102</v>
      </c>
      <c r="X150" t="s">
        <v>275</v>
      </c>
      <c r="Z150" t="s">
        <v>520</v>
      </c>
      <c r="AA150" t="s">
        <v>109</v>
      </c>
      <c r="AB150" t="s">
        <v>102</v>
      </c>
      <c r="AC150" t="s">
        <v>109</v>
      </c>
      <c r="AD150" t="s">
        <v>102</v>
      </c>
      <c r="AE150" t="s">
        <v>109</v>
      </c>
      <c r="AF150" t="s">
        <v>102</v>
      </c>
      <c r="AG150" t="s">
        <v>109</v>
      </c>
      <c r="AH150" t="s">
        <v>102</v>
      </c>
      <c r="AI150" t="s">
        <v>3885</v>
      </c>
      <c r="AJ150" t="s">
        <v>522</v>
      </c>
      <c r="AK150" t="s">
        <v>522</v>
      </c>
      <c r="AL150" t="s">
        <v>3886</v>
      </c>
      <c r="AM150" t="s">
        <v>3887</v>
      </c>
      <c r="AN150" t="s">
        <v>102</v>
      </c>
      <c r="AO150" t="s">
        <v>525</v>
      </c>
      <c r="AP150" t="s">
        <v>525</v>
      </c>
      <c r="AU150" t="s">
        <v>318</v>
      </c>
      <c r="AV150" t="s">
        <v>118</v>
      </c>
      <c r="AW150" t="s">
        <v>102</v>
      </c>
      <c r="AX150" t="s">
        <v>119</v>
      </c>
      <c r="BB150" t="s">
        <v>120</v>
      </c>
      <c r="BC150" t="s">
        <v>284</v>
      </c>
      <c r="BD150" t="s">
        <v>285</v>
      </c>
      <c r="BE150" t="s">
        <v>212</v>
      </c>
      <c r="BF150" t="s">
        <v>286</v>
      </c>
      <c r="BG150" t="s">
        <v>124</v>
      </c>
      <c r="BH150" t="s">
        <v>214</v>
      </c>
      <c r="BI150" t="s">
        <v>126</v>
      </c>
      <c r="BJ150" t="s">
        <v>127</v>
      </c>
      <c r="BK150" t="s">
        <v>3888</v>
      </c>
      <c r="BL150" t="s">
        <v>3889</v>
      </c>
      <c r="BM150" t="s">
        <v>3890</v>
      </c>
      <c r="BN150" t="s">
        <v>517</v>
      </c>
      <c r="BO150" t="s">
        <v>290</v>
      </c>
      <c r="BP150" t="s">
        <v>132</v>
      </c>
      <c r="BQ150" t="s">
        <v>291</v>
      </c>
      <c r="BR150" t="s">
        <v>292</v>
      </c>
      <c r="BS150" t="s">
        <v>293</v>
      </c>
      <c r="BU150" t="s">
        <v>3891</v>
      </c>
      <c r="BV150" t="s">
        <v>3892</v>
      </c>
      <c r="BW150" t="s">
        <v>354</v>
      </c>
      <c r="BX150" t="s">
        <v>531</v>
      </c>
      <c r="BY150" t="s">
        <v>532</v>
      </c>
      <c r="CA150" t="s">
        <v>3893</v>
      </c>
      <c r="CB150" t="s">
        <v>3894</v>
      </c>
      <c r="CD150" t="s">
        <v>3895</v>
      </c>
      <c r="CE150" t="s">
        <v>3896</v>
      </c>
      <c r="CF150" t="s">
        <v>3897</v>
      </c>
      <c r="CG150" t="s">
        <v>102</v>
      </c>
      <c r="CH150" t="s">
        <v>3898</v>
      </c>
      <c r="CJ150" t="s">
        <v>3899</v>
      </c>
      <c r="CK150" t="s">
        <v>3898</v>
      </c>
      <c r="CL150" t="s">
        <v>284</v>
      </c>
      <c r="CM150" t="s">
        <v>285</v>
      </c>
      <c r="CN150" t="s">
        <v>3899</v>
      </c>
      <c r="CO150" t="s">
        <v>540</v>
      </c>
      <c r="CP150" t="s">
        <v>3898</v>
      </c>
      <c r="CQ150" t="s">
        <v>3898</v>
      </c>
    </row>
    <row r="151" spans="1:95">
      <c r="A151" t="s">
        <v>337</v>
      </c>
      <c r="B151">
        <v>2517443</v>
      </c>
      <c r="C151" t="s">
        <v>3900</v>
      </c>
      <c r="E151" s="4" t="s">
        <v>17377</v>
      </c>
      <c r="F151" t="s">
        <v>95</v>
      </c>
      <c r="G151" t="s">
        <v>3901</v>
      </c>
      <c r="H151" t="s">
        <v>152</v>
      </c>
      <c r="I151" t="s">
        <v>98</v>
      </c>
      <c r="J151" t="s">
        <v>3902</v>
      </c>
      <c r="K151" t="s">
        <v>100</v>
      </c>
      <c r="L151">
        <v>477064</v>
      </c>
      <c r="M151">
        <v>477064</v>
      </c>
      <c r="N151">
        <v>0</v>
      </c>
      <c r="O151">
        <v>0</v>
      </c>
      <c r="Q151">
        <v>477064</v>
      </c>
      <c r="R151">
        <v>265</v>
      </c>
      <c r="S151" t="s">
        <v>3005</v>
      </c>
      <c r="T151">
        <v>0</v>
      </c>
      <c r="U151">
        <v>0</v>
      </c>
      <c r="W151" t="s">
        <v>102</v>
      </c>
      <c r="X151" t="s">
        <v>275</v>
      </c>
      <c r="Z151" t="s">
        <v>238</v>
      </c>
      <c r="AA151" t="s">
        <v>109</v>
      </c>
      <c r="AB151" t="s">
        <v>102</v>
      </c>
      <c r="AC151" t="s">
        <v>109</v>
      </c>
      <c r="AD151" t="s">
        <v>102</v>
      </c>
      <c r="AE151" t="s">
        <v>109</v>
      </c>
      <c r="AF151" t="s">
        <v>102</v>
      </c>
      <c r="AG151" t="s">
        <v>109</v>
      </c>
      <c r="AH151" t="s">
        <v>102</v>
      </c>
      <c r="AI151" t="s">
        <v>102</v>
      </c>
      <c r="AJ151" t="s">
        <v>851</v>
      </c>
      <c r="AK151" t="s">
        <v>404</v>
      </c>
      <c r="AL151" t="s">
        <v>3903</v>
      </c>
      <c r="AM151" t="s">
        <v>3904</v>
      </c>
      <c r="AN151" t="s">
        <v>3905</v>
      </c>
      <c r="AO151" t="s">
        <v>3906</v>
      </c>
      <c r="AP151" t="s">
        <v>3906</v>
      </c>
      <c r="AU151" t="s">
        <v>102</v>
      </c>
      <c r="AW151" t="s">
        <v>155</v>
      </c>
      <c r="AX151" t="s">
        <v>119</v>
      </c>
      <c r="AY151" t="s">
        <v>170</v>
      </c>
      <c r="AZ151" t="s">
        <v>118</v>
      </c>
      <c r="BB151" t="s">
        <v>120</v>
      </c>
      <c r="BC151" t="s">
        <v>1729</v>
      </c>
      <c r="BD151" t="s">
        <v>730</v>
      </c>
      <c r="BE151" t="s">
        <v>622</v>
      </c>
      <c r="BF151" t="s">
        <v>730</v>
      </c>
      <c r="BG151" t="s">
        <v>124</v>
      </c>
      <c r="BH151" t="s">
        <v>232</v>
      </c>
      <c r="BI151" t="s">
        <v>126</v>
      </c>
      <c r="BJ151" t="s">
        <v>127</v>
      </c>
      <c r="BK151" t="s">
        <v>3907</v>
      </c>
      <c r="BL151" t="s">
        <v>3908</v>
      </c>
      <c r="BM151" t="s">
        <v>3909</v>
      </c>
      <c r="BN151" t="s">
        <v>3901</v>
      </c>
      <c r="BO151" t="s">
        <v>3910</v>
      </c>
      <c r="BP151" t="s">
        <v>180</v>
      </c>
      <c r="BQ151" t="s">
        <v>3911</v>
      </c>
      <c r="BR151" t="s">
        <v>3912</v>
      </c>
      <c r="BS151" t="s">
        <v>2331</v>
      </c>
      <c r="BT151" t="s">
        <v>2525</v>
      </c>
      <c r="BU151" t="s">
        <v>3913</v>
      </c>
      <c r="BV151" t="s">
        <v>3914</v>
      </c>
      <c r="BX151" t="s">
        <v>3915</v>
      </c>
      <c r="BY151" t="s">
        <v>3916</v>
      </c>
      <c r="BZ151" t="s">
        <v>3917</v>
      </c>
      <c r="CG151" t="s">
        <v>3918</v>
      </c>
      <c r="CH151" t="s">
        <v>3919</v>
      </c>
      <c r="CJ151" t="s">
        <v>1743</v>
      </c>
      <c r="CK151" t="s">
        <v>3919</v>
      </c>
      <c r="CL151" t="s">
        <v>1729</v>
      </c>
      <c r="CM151" t="s">
        <v>2273</v>
      </c>
      <c r="CN151" t="s">
        <v>1743</v>
      </c>
      <c r="CP151" t="s">
        <v>3919</v>
      </c>
      <c r="CQ151" t="s">
        <v>3919</v>
      </c>
    </row>
    <row r="152" spans="1:95">
      <c r="A152" t="s">
        <v>149</v>
      </c>
      <c r="B152">
        <v>252071</v>
      </c>
      <c r="C152" t="s">
        <v>3920</v>
      </c>
      <c r="D152" t="str">
        <f>VLOOKUP(B152,'2025'!B:C,2,0)</f>
        <v>Aruna</v>
      </c>
      <c r="F152" t="s">
        <v>95</v>
      </c>
      <c r="G152" t="s">
        <v>3921</v>
      </c>
      <c r="H152" t="s">
        <v>643</v>
      </c>
      <c r="I152" t="s">
        <v>98</v>
      </c>
      <c r="J152" t="s">
        <v>3922</v>
      </c>
      <c r="K152" t="s">
        <v>100</v>
      </c>
      <c r="L152">
        <v>1833646</v>
      </c>
      <c r="M152">
        <v>2036273</v>
      </c>
      <c r="N152">
        <v>0</v>
      </c>
      <c r="O152">
        <v>0</v>
      </c>
      <c r="Q152">
        <v>707940</v>
      </c>
      <c r="R152">
        <v>1098</v>
      </c>
      <c r="S152" t="s">
        <v>3923</v>
      </c>
      <c r="T152">
        <v>1125706</v>
      </c>
      <c r="U152">
        <v>1107</v>
      </c>
      <c r="V152" t="s">
        <v>3924</v>
      </c>
      <c r="W152" t="s">
        <v>102</v>
      </c>
      <c r="X152" t="s">
        <v>103</v>
      </c>
      <c r="Y152" t="s">
        <v>398</v>
      </c>
      <c r="AA152" t="s">
        <v>2605</v>
      </c>
      <c r="AB152" t="s">
        <v>3925</v>
      </c>
      <c r="AC152" t="s">
        <v>3926</v>
      </c>
      <c r="AD152" t="s">
        <v>3927</v>
      </c>
      <c r="AE152" t="s">
        <v>3159</v>
      </c>
      <c r="AF152" t="s">
        <v>3925</v>
      </c>
      <c r="AG152" t="s">
        <v>109</v>
      </c>
      <c r="AH152" t="s">
        <v>102</v>
      </c>
      <c r="AI152" t="s">
        <v>3928</v>
      </c>
      <c r="AJ152" t="s">
        <v>3929</v>
      </c>
      <c r="AK152" t="s">
        <v>3930</v>
      </c>
      <c r="AL152" t="s">
        <v>3931</v>
      </c>
      <c r="AM152" t="s">
        <v>3932</v>
      </c>
      <c r="AN152" t="s">
        <v>3933</v>
      </c>
      <c r="AO152" t="s">
        <v>3934</v>
      </c>
      <c r="AP152" t="s">
        <v>3935</v>
      </c>
      <c r="AR152" t="s">
        <v>169</v>
      </c>
      <c r="AT152" t="s">
        <v>169</v>
      </c>
      <c r="AU152" t="s">
        <v>102</v>
      </c>
      <c r="AW152" t="s">
        <v>951</v>
      </c>
      <c r="AX152" t="s">
        <v>249</v>
      </c>
      <c r="AY152" t="s">
        <v>170</v>
      </c>
      <c r="AZ152" t="s">
        <v>118</v>
      </c>
      <c r="BA152" t="s">
        <v>250</v>
      </c>
      <c r="BB152" t="s">
        <v>1964</v>
      </c>
      <c r="BC152" t="s">
        <v>920</v>
      </c>
      <c r="BD152" t="s">
        <v>211</v>
      </c>
      <c r="BE152" t="s">
        <v>212</v>
      </c>
      <c r="BF152" t="s">
        <v>213</v>
      </c>
      <c r="BG152" t="s">
        <v>124</v>
      </c>
      <c r="BH152" t="s">
        <v>3936</v>
      </c>
      <c r="BI152" t="s">
        <v>3937</v>
      </c>
      <c r="BJ152" t="s">
        <v>127</v>
      </c>
      <c r="BK152" t="s">
        <v>3938</v>
      </c>
      <c r="BL152" t="s">
        <v>3939</v>
      </c>
      <c r="BM152" t="s">
        <v>3940</v>
      </c>
      <c r="BN152" t="s">
        <v>3921</v>
      </c>
      <c r="BO152" t="s">
        <v>219</v>
      </c>
      <c r="BP152" t="s">
        <v>3941</v>
      </c>
      <c r="BQ152" t="s">
        <v>220</v>
      </c>
      <c r="BR152" t="s">
        <v>221</v>
      </c>
      <c r="BS152" t="s">
        <v>2151</v>
      </c>
      <c r="BU152" t="s">
        <v>3942</v>
      </c>
      <c r="BV152" t="s">
        <v>3943</v>
      </c>
      <c r="BW152" t="s">
        <v>138</v>
      </c>
      <c r="BX152" t="s">
        <v>3944</v>
      </c>
      <c r="BY152" t="s">
        <v>3945</v>
      </c>
      <c r="BZ152" t="s">
        <v>3946</v>
      </c>
      <c r="CA152" t="s">
        <v>3943</v>
      </c>
      <c r="CB152" t="s">
        <v>3944</v>
      </c>
      <c r="CC152" t="s">
        <v>3945</v>
      </c>
      <c r="CG152" t="s">
        <v>102</v>
      </c>
      <c r="CH152" t="s">
        <v>3947</v>
      </c>
      <c r="CJ152" t="s">
        <v>2473</v>
      </c>
      <c r="CK152" t="s">
        <v>3947</v>
      </c>
      <c r="CL152" t="s">
        <v>920</v>
      </c>
      <c r="CM152" t="s">
        <v>211</v>
      </c>
      <c r="CN152" t="s">
        <v>2473</v>
      </c>
      <c r="CP152" t="s">
        <v>3947</v>
      </c>
      <c r="CQ152" t="s">
        <v>3947</v>
      </c>
    </row>
    <row r="153" spans="1:95">
      <c r="A153" t="s">
        <v>93</v>
      </c>
      <c r="B153">
        <v>2528645</v>
      </c>
      <c r="C153" t="s">
        <v>3948</v>
      </c>
      <c r="D153" t="str">
        <f>VLOOKUP(B153,'2025'!B:C,2,0)</f>
        <v>Ishita Jethwa</v>
      </c>
      <c r="F153" t="s">
        <v>95</v>
      </c>
      <c r="G153" t="s">
        <v>3789</v>
      </c>
      <c r="H153" t="s">
        <v>1746</v>
      </c>
      <c r="I153" t="s">
        <v>98</v>
      </c>
      <c r="J153" t="s">
        <v>3949</v>
      </c>
      <c r="K153" t="s">
        <v>100</v>
      </c>
      <c r="L153">
        <v>3597003</v>
      </c>
      <c r="M153">
        <v>3948813</v>
      </c>
      <c r="N153">
        <v>582094</v>
      </c>
      <c r="O153">
        <v>1085</v>
      </c>
      <c r="P153" t="s">
        <v>3950</v>
      </c>
      <c r="Q153">
        <v>1060408</v>
      </c>
      <c r="R153">
        <v>1091</v>
      </c>
      <c r="S153" t="s">
        <v>3951</v>
      </c>
      <c r="T153">
        <v>1954501</v>
      </c>
      <c r="U153">
        <v>1450</v>
      </c>
      <c r="V153" t="s">
        <v>3952</v>
      </c>
      <c r="W153" t="s">
        <v>102</v>
      </c>
      <c r="X153" t="s">
        <v>103</v>
      </c>
      <c r="Y153" t="s">
        <v>104</v>
      </c>
      <c r="AA153" t="s">
        <v>545</v>
      </c>
      <c r="AB153" t="s">
        <v>3953</v>
      </c>
      <c r="AC153" t="s">
        <v>240</v>
      </c>
      <c r="AD153" t="s">
        <v>3953</v>
      </c>
      <c r="AE153" t="s">
        <v>109</v>
      </c>
      <c r="AF153" t="s">
        <v>102</v>
      </c>
      <c r="AG153" t="s">
        <v>109</v>
      </c>
      <c r="AH153" t="s">
        <v>102</v>
      </c>
      <c r="AI153" t="s">
        <v>3954</v>
      </c>
      <c r="AJ153" t="s">
        <v>517</v>
      </c>
      <c r="AK153" t="s">
        <v>1850</v>
      </c>
      <c r="AL153" t="s">
        <v>3955</v>
      </c>
      <c r="AM153" t="s">
        <v>3956</v>
      </c>
      <c r="AN153" t="s">
        <v>3957</v>
      </c>
      <c r="AO153" t="s">
        <v>3958</v>
      </c>
      <c r="AP153" t="s">
        <v>3959</v>
      </c>
      <c r="AR153" t="s">
        <v>169</v>
      </c>
      <c r="AS153" t="s">
        <v>169</v>
      </c>
      <c r="AT153" t="s">
        <v>169</v>
      </c>
      <c r="AU153" t="s">
        <v>318</v>
      </c>
      <c r="AV153" t="s">
        <v>118</v>
      </c>
      <c r="AW153" t="s">
        <v>155</v>
      </c>
      <c r="AX153" t="s">
        <v>119</v>
      </c>
      <c r="AY153" t="s">
        <v>170</v>
      </c>
      <c r="AZ153" t="s">
        <v>118</v>
      </c>
      <c r="BA153" t="s">
        <v>250</v>
      </c>
      <c r="BB153" t="s">
        <v>120</v>
      </c>
      <c r="BC153" t="s">
        <v>729</v>
      </c>
      <c r="BD153" t="s">
        <v>730</v>
      </c>
      <c r="BE153" t="s">
        <v>622</v>
      </c>
      <c r="BF153" t="s">
        <v>730</v>
      </c>
      <c r="BG153" t="s">
        <v>124</v>
      </c>
      <c r="BH153" t="s">
        <v>232</v>
      </c>
      <c r="BI153" t="s">
        <v>126</v>
      </c>
      <c r="BJ153" t="s">
        <v>127</v>
      </c>
      <c r="BK153" t="s">
        <v>3960</v>
      </c>
      <c r="BL153" t="s">
        <v>3961</v>
      </c>
      <c r="BM153" t="s">
        <v>3962</v>
      </c>
      <c r="BN153" t="s">
        <v>3789</v>
      </c>
      <c r="BO153" t="s">
        <v>734</v>
      </c>
      <c r="BP153" t="s">
        <v>350</v>
      </c>
      <c r="BQ153" t="s">
        <v>735</v>
      </c>
      <c r="BR153" t="s">
        <v>736</v>
      </c>
      <c r="BS153" t="s">
        <v>2569</v>
      </c>
      <c r="BU153" t="s">
        <v>3963</v>
      </c>
      <c r="BV153" t="s">
        <v>3964</v>
      </c>
      <c r="BW153" t="s">
        <v>354</v>
      </c>
      <c r="BX153" t="s">
        <v>3965</v>
      </c>
      <c r="BY153" t="s">
        <v>3966</v>
      </c>
      <c r="BZ153" t="s">
        <v>3967</v>
      </c>
      <c r="CG153" t="s">
        <v>3968</v>
      </c>
      <c r="CH153" t="s">
        <v>3969</v>
      </c>
      <c r="CJ153" t="s">
        <v>3970</v>
      </c>
      <c r="CK153" t="s">
        <v>3969</v>
      </c>
      <c r="CL153" t="s">
        <v>729</v>
      </c>
      <c r="CM153" t="s">
        <v>730</v>
      </c>
      <c r="CN153" t="s">
        <v>3970</v>
      </c>
      <c r="CO153" t="s">
        <v>3971</v>
      </c>
      <c r="CP153" t="s">
        <v>3969</v>
      </c>
      <c r="CQ153" t="s">
        <v>3969</v>
      </c>
    </row>
    <row r="154" spans="1:95">
      <c r="A154" t="s">
        <v>337</v>
      </c>
      <c r="B154">
        <v>2546862</v>
      </c>
      <c r="C154" t="s">
        <v>3984</v>
      </c>
      <c r="F154" t="s">
        <v>95</v>
      </c>
      <c r="G154" t="s">
        <v>162</v>
      </c>
      <c r="H154" t="s">
        <v>97</v>
      </c>
      <c r="I154" t="s">
        <v>98</v>
      </c>
      <c r="J154" t="s">
        <v>3985</v>
      </c>
      <c r="K154" t="s">
        <v>100</v>
      </c>
      <c r="L154">
        <v>378270</v>
      </c>
      <c r="M154">
        <v>378270</v>
      </c>
      <c r="N154">
        <v>378270</v>
      </c>
      <c r="O154">
        <v>540</v>
      </c>
      <c r="P154" t="s">
        <v>799</v>
      </c>
      <c r="Q154">
        <v>0</v>
      </c>
      <c r="R154">
        <v>0</v>
      </c>
      <c r="T154">
        <v>0</v>
      </c>
      <c r="U154">
        <v>0</v>
      </c>
      <c r="W154" t="s">
        <v>102</v>
      </c>
      <c r="X154" t="s">
        <v>103</v>
      </c>
      <c r="Y154" t="s">
        <v>104</v>
      </c>
      <c r="AA154" t="s">
        <v>311</v>
      </c>
      <c r="AB154" t="s">
        <v>3986</v>
      </c>
      <c r="AC154" t="s">
        <v>1201</v>
      </c>
      <c r="AD154" t="s">
        <v>3986</v>
      </c>
      <c r="AE154" t="s">
        <v>109</v>
      </c>
      <c r="AF154" t="s">
        <v>102</v>
      </c>
      <c r="AG154" t="s">
        <v>109</v>
      </c>
      <c r="AH154" t="s">
        <v>102</v>
      </c>
      <c r="AI154" t="s">
        <v>3987</v>
      </c>
      <c r="AJ154" t="s">
        <v>1500</v>
      </c>
      <c r="AK154" t="s">
        <v>3988</v>
      </c>
      <c r="AL154" t="s">
        <v>3989</v>
      </c>
      <c r="AM154" t="s">
        <v>3990</v>
      </c>
      <c r="AN154" t="s">
        <v>3991</v>
      </c>
      <c r="AO154" t="s">
        <v>3992</v>
      </c>
      <c r="AP154" t="s">
        <v>3992</v>
      </c>
      <c r="AU154" t="s">
        <v>117</v>
      </c>
      <c r="AV154" t="s">
        <v>118</v>
      </c>
      <c r="AW154" t="s">
        <v>102</v>
      </c>
      <c r="AX154" t="s">
        <v>119</v>
      </c>
      <c r="BB154" t="s">
        <v>120</v>
      </c>
      <c r="BC154" t="s">
        <v>284</v>
      </c>
      <c r="BD154" t="s">
        <v>285</v>
      </c>
      <c r="BE154" t="s">
        <v>212</v>
      </c>
      <c r="BF154" t="s">
        <v>286</v>
      </c>
      <c r="BG154" t="s">
        <v>124</v>
      </c>
      <c r="BH154" t="s">
        <v>400</v>
      </c>
      <c r="BI154" t="s">
        <v>3993</v>
      </c>
      <c r="BJ154" t="s">
        <v>127</v>
      </c>
      <c r="BK154" t="s">
        <v>3994</v>
      </c>
      <c r="BL154" t="s">
        <v>3995</v>
      </c>
      <c r="BM154" t="s">
        <v>3996</v>
      </c>
      <c r="BN154" t="s">
        <v>162</v>
      </c>
      <c r="BO154" t="s">
        <v>3997</v>
      </c>
      <c r="BP154" t="s">
        <v>132</v>
      </c>
      <c r="BQ154" t="s">
        <v>3998</v>
      </c>
      <c r="BR154" t="s">
        <v>3999</v>
      </c>
      <c r="BS154" t="s">
        <v>3362</v>
      </c>
      <c r="BU154" t="s">
        <v>4000</v>
      </c>
      <c r="BV154" t="s">
        <v>4001</v>
      </c>
      <c r="BW154" t="s">
        <v>138</v>
      </c>
      <c r="BX154" t="s">
        <v>4002</v>
      </c>
      <c r="BY154" t="s">
        <v>4003</v>
      </c>
      <c r="BZ154" t="s">
        <v>4002</v>
      </c>
      <c r="CG154" t="s">
        <v>573</v>
      </c>
      <c r="CH154" t="s">
        <v>4004</v>
      </c>
      <c r="CJ154" t="s">
        <v>4005</v>
      </c>
      <c r="CK154" t="s">
        <v>4004</v>
      </c>
      <c r="CL154" t="s">
        <v>284</v>
      </c>
      <c r="CM154" t="s">
        <v>285</v>
      </c>
      <c r="CN154" t="s">
        <v>4005</v>
      </c>
      <c r="CO154" t="s">
        <v>4006</v>
      </c>
      <c r="CP154" t="s">
        <v>4004</v>
      </c>
      <c r="CQ154" t="s">
        <v>4004</v>
      </c>
    </row>
    <row r="155" spans="1:95">
      <c r="A155" t="s">
        <v>149</v>
      </c>
      <c r="B155">
        <v>2548143</v>
      </c>
      <c r="C155" t="s">
        <v>4007</v>
      </c>
      <c r="D155" t="str">
        <f>VLOOKUP(B155,'2025'!B:C,2,0)</f>
        <v>Vineeth T V</v>
      </c>
      <c r="F155" t="s">
        <v>95</v>
      </c>
      <c r="G155" t="s">
        <v>2298</v>
      </c>
      <c r="H155" t="s">
        <v>97</v>
      </c>
      <c r="I155" t="s">
        <v>98</v>
      </c>
      <c r="J155" t="s">
        <v>4008</v>
      </c>
      <c r="K155" t="s">
        <v>100</v>
      </c>
      <c r="L155">
        <v>387961</v>
      </c>
      <c r="M155">
        <v>387961</v>
      </c>
      <c r="N155">
        <v>387961</v>
      </c>
      <c r="O155">
        <v>776</v>
      </c>
      <c r="P155" t="s">
        <v>364</v>
      </c>
      <c r="Q155">
        <v>0</v>
      </c>
      <c r="R155">
        <v>0</v>
      </c>
      <c r="T155">
        <v>0</v>
      </c>
      <c r="U155">
        <v>0</v>
      </c>
      <c r="W155" t="s">
        <v>102</v>
      </c>
      <c r="X155" t="s">
        <v>103</v>
      </c>
      <c r="Y155" t="s">
        <v>104</v>
      </c>
      <c r="AA155" t="s">
        <v>1493</v>
      </c>
      <c r="AB155" t="s">
        <v>4009</v>
      </c>
      <c r="AC155" t="s">
        <v>501</v>
      </c>
      <c r="AD155" t="s">
        <v>4010</v>
      </c>
      <c r="AE155" t="s">
        <v>109</v>
      </c>
      <c r="AF155" t="s">
        <v>102</v>
      </c>
      <c r="AG155" t="s">
        <v>109</v>
      </c>
      <c r="AH155" t="s">
        <v>102</v>
      </c>
      <c r="AI155" t="s">
        <v>4011</v>
      </c>
      <c r="AJ155" t="s">
        <v>2303</v>
      </c>
      <c r="AK155" t="s">
        <v>2304</v>
      </c>
      <c r="AL155" t="s">
        <v>4012</v>
      </c>
      <c r="AM155" t="s">
        <v>4013</v>
      </c>
      <c r="AN155" t="s">
        <v>4014</v>
      </c>
      <c r="AO155" t="s">
        <v>2307</v>
      </c>
      <c r="AP155" t="s">
        <v>2307</v>
      </c>
      <c r="AU155" t="s">
        <v>318</v>
      </c>
      <c r="AV155" t="s">
        <v>118</v>
      </c>
      <c r="AW155" t="s">
        <v>102</v>
      </c>
      <c r="AX155" t="s">
        <v>119</v>
      </c>
      <c r="BB155" t="s">
        <v>120</v>
      </c>
      <c r="BC155" t="s">
        <v>409</v>
      </c>
      <c r="BD155" t="s">
        <v>410</v>
      </c>
      <c r="BE155" t="s">
        <v>212</v>
      </c>
      <c r="BF155" t="s">
        <v>410</v>
      </c>
      <c r="BG155" t="s">
        <v>124</v>
      </c>
      <c r="BH155" t="s">
        <v>214</v>
      </c>
      <c r="BI155" t="s">
        <v>126</v>
      </c>
      <c r="BJ155" t="s">
        <v>127</v>
      </c>
      <c r="BK155" t="s">
        <v>4015</v>
      </c>
      <c r="BL155" t="s">
        <v>4016</v>
      </c>
      <c r="BM155" t="s">
        <v>4017</v>
      </c>
      <c r="BN155" t="s">
        <v>2298</v>
      </c>
      <c r="BO155" t="s">
        <v>415</v>
      </c>
      <c r="BP155" t="s">
        <v>132</v>
      </c>
      <c r="BQ155" t="s">
        <v>416</v>
      </c>
      <c r="BR155" t="s">
        <v>417</v>
      </c>
      <c r="BS155" t="s">
        <v>222</v>
      </c>
      <c r="BU155" t="s">
        <v>4018</v>
      </c>
      <c r="BV155" t="s">
        <v>2312</v>
      </c>
      <c r="BW155" t="s">
        <v>598</v>
      </c>
      <c r="BX155" t="s">
        <v>2313</v>
      </c>
      <c r="BY155" t="s">
        <v>2314</v>
      </c>
      <c r="BZ155" t="s">
        <v>4019</v>
      </c>
      <c r="CB155" t="s">
        <v>4020</v>
      </c>
      <c r="CG155" t="s">
        <v>102</v>
      </c>
      <c r="CH155" t="s">
        <v>4021</v>
      </c>
      <c r="CJ155" t="s">
        <v>4022</v>
      </c>
      <c r="CK155" t="s">
        <v>4021</v>
      </c>
      <c r="CL155" t="s">
        <v>409</v>
      </c>
      <c r="CM155" t="s">
        <v>410</v>
      </c>
      <c r="CN155" t="s">
        <v>4022</v>
      </c>
      <c r="CO155" t="s">
        <v>2319</v>
      </c>
      <c r="CP155" t="s">
        <v>4021</v>
      </c>
      <c r="CQ155" t="s">
        <v>4021</v>
      </c>
    </row>
    <row r="156" spans="1:95">
      <c r="A156" t="s">
        <v>337</v>
      </c>
      <c r="B156">
        <v>2551930</v>
      </c>
      <c r="C156" t="s">
        <v>4023</v>
      </c>
      <c r="F156" t="s">
        <v>95</v>
      </c>
      <c r="G156" t="s">
        <v>441</v>
      </c>
      <c r="H156" t="s">
        <v>152</v>
      </c>
      <c r="I156" t="s">
        <v>98</v>
      </c>
      <c r="J156" t="s">
        <v>4024</v>
      </c>
      <c r="K156" t="s">
        <v>100</v>
      </c>
      <c r="L156">
        <v>393062</v>
      </c>
      <c r="M156">
        <v>393062</v>
      </c>
      <c r="N156">
        <v>0</v>
      </c>
      <c r="O156">
        <v>0</v>
      </c>
      <c r="Q156">
        <v>393062</v>
      </c>
      <c r="R156">
        <v>397</v>
      </c>
      <c r="S156" t="s">
        <v>4025</v>
      </c>
      <c r="T156">
        <v>0</v>
      </c>
      <c r="U156">
        <v>0</v>
      </c>
      <c r="W156" t="s">
        <v>102</v>
      </c>
      <c r="X156" t="s">
        <v>275</v>
      </c>
      <c r="Z156" t="s">
        <v>111</v>
      </c>
      <c r="AA156" t="s">
        <v>109</v>
      </c>
      <c r="AB156" t="s">
        <v>102</v>
      </c>
      <c r="AC156" t="s">
        <v>109</v>
      </c>
      <c r="AD156" t="s">
        <v>102</v>
      </c>
      <c r="AE156" t="s">
        <v>109</v>
      </c>
      <c r="AF156" t="s">
        <v>102</v>
      </c>
      <c r="AG156" t="s">
        <v>109</v>
      </c>
      <c r="AH156" t="s">
        <v>102</v>
      </c>
      <c r="AI156" t="s">
        <v>4026</v>
      </c>
      <c r="AJ156" t="s">
        <v>2605</v>
      </c>
      <c r="AK156" t="s">
        <v>2605</v>
      </c>
      <c r="AL156" t="s">
        <v>4027</v>
      </c>
      <c r="AM156" t="s">
        <v>4028</v>
      </c>
      <c r="AN156" t="s">
        <v>102</v>
      </c>
      <c r="AO156" t="s">
        <v>4029</v>
      </c>
      <c r="AP156" t="s">
        <v>4029</v>
      </c>
      <c r="AU156" t="s">
        <v>102</v>
      </c>
      <c r="AW156" t="s">
        <v>155</v>
      </c>
      <c r="AX156" t="s">
        <v>119</v>
      </c>
      <c r="AY156" t="s">
        <v>1138</v>
      </c>
      <c r="AZ156" t="s">
        <v>118</v>
      </c>
      <c r="BB156" t="s">
        <v>120</v>
      </c>
      <c r="BC156" t="s">
        <v>284</v>
      </c>
      <c r="BD156" t="s">
        <v>285</v>
      </c>
      <c r="BE156" t="s">
        <v>212</v>
      </c>
      <c r="BF156" t="s">
        <v>286</v>
      </c>
      <c r="BG156" t="s">
        <v>124</v>
      </c>
      <c r="BH156" t="s">
        <v>1493</v>
      </c>
      <c r="BI156" t="s">
        <v>126</v>
      </c>
      <c r="BJ156" t="s">
        <v>127</v>
      </c>
      <c r="BK156" t="s">
        <v>4030</v>
      </c>
      <c r="BL156" t="s">
        <v>4031</v>
      </c>
      <c r="BM156" t="s">
        <v>4032</v>
      </c>
      <c r="BN156" t="s">
        <v>441</v>
      </c>
      <c r="BO156" t="s">
        <v>3997</v>
      </c>
      <c r="BP156" t="s">
        <v>350</v>
      </c>
      <c r="BQ156" t="s">
        <v>3998</v>
      </c>
      <c r="BR156" t="s">
        <v>3999</v>
      </c>
      <c r="BS156" t="s">
        <v>3362</v>
      </c>
      <c r="BU156" t="s">
        <v>4033</v>
      </c>
      <c r="BV156" t="s">
        <v>4034</v>
      </c>
      <c r="BW156" t="s">
        <v>354</v>
      </c>
      <c r="BX156" t="s">
        <v>4035</v>
      </c>
      <c r="BY156" t="s">
        <v>4036</v>
      </c>
      <c r="BZ156" t="s">
        <v>4037</v>
      </c>
      <c r="CG156" t="s">
        <v>102</v>
      </c>
      <c r="CH156" t="s">
        <v>4038</v>
      </c>
      <c r="CJ156" t="s">
        <v>4039</v>
      </c>
      <c r="CK156" t="s">
        <v>4038</v>
      </c>
      <c r="CL156" t="s">
        <v>284</v>
      </c>
      <c r="CM156" t="s">
        <v>285</v>
      </c>
      <c r="CN156" t="s">
        <v>4039</v>
      </c>
      <c r="CP156" t="s">
        <v>4038</v>
      </c>
      <c r="CQ156" t="s">
        <v>4038</v>
      </c>
    </row>
    <row r="157" spans="1:95">
      <c r="A157" t="s">
        <v>337</v>
      </c>
      <c r="B157">
        <v>2559923</v>
      </c>
      <c r="C157" t="s">
        <v>4040</v>
      </c>
      <c r="F157" t="s">
        <v>95</v>
      </c>
      <c r="G157" t="s">
        <v>2479</v>
      </c>
      <c r="H157" t="s">
        <v>848</v>
      </c>
      <c r="I157" t="s">
        <v>98</v>
      </c>
      <c r="J157" t="s">
        <v>4041</v>
      </c>
      <c r="K157" t="s">
        <v>100</v>
      </c>
      <c r="L157">
        <v>323896</v>
      </c>
      <c r="M157">
        <v>382197</v>
      </c>
      <c r="N157">
        <v>0</v>
      </c>
      <c r="O157">
        <v>0</v>
      </c>
      <c r="Q157">
        <v>0</v>
      </c>
      <c r="R157">
        <v>0</v>
      </c>
      <c r="T157">
        <v>323896</v>
      </c>
      <c r="U157">
        <v>182</v>
      </c>
      <c r="V157" t="s">
        <v>4042</v>
      </c>
      <c r="W157" t="s">
        <v>102</v>
      </c>
      <c r="X157" t="s">
        <v>103</v>
      </c>
      <c r="Y157" t="s">
        <v>155</v>
      </c>
      <c r="AA157" t="s">
        <v>1518</v>
      </c>
      <c r="AB157" t="s">
        <v>4043</v>
      </c>
      <c r="AC157" t="s">
        <v>175</v>
      </c>
      <c r="AD157" t="s">
        <v>4043</v>
      </c>
      <c r="AE157" t="s">
        <v>1326</v>
      </c>
      <c r="AF157" t="s">
        <v>4043</v>
      </c>
      <c r="AG157" t="s">
        <v>1328</v>
      </c>
      <c r="AH157" t="s">
        <v>4043</v>
      </c>
      <c r="AI157" t="s">
        <v>4044</v>
      </c>
      <c r="AJ157" t="s">
        <v>467</v>
      </c>
      <c r="AK157" t="s">
        <v>4045</v>
      </c>
      <c r="AL157" t="s">
        <v>4046</v>
      </c>
      <c r="AM157" t="s">
        <v>4047</v>
      </c>
      <c r="AN157" t="s">
        <v>4048</v>
      </c>
      <c r="AO157" t="s">
        <v>3645</v>
      </c>
      <c r="AP157" t="s">
        <v>3645</v>
      </c>
      <c r="AU157" t="s">
        <v>102</v>
      </c>
      <c r="AW157" t="s">
        <v>102</v>
      </c>
      <c r="AX157" t="s">
        <v>119</v>
      </c>
      <c r="BA157" t="s">
        <v>250</v>
      </c>
      <c r="BB157" t="s">
        <v>120</v>
      </c>
      <c r="BC157" t="s">
        <v>4049</v>
      </c>
      <c r="BD157" t="s">
        <v>410</v>
      </c>
      <c r="BE157" t="s">
        <v>212</v>
      </c>
      <c r="BF157" t="s">
        <v>410</v>
      </c>
      <c r="BG157" t="s">
        <v>124</v>
      </c>
      <c r="BH157" t="s">
        <v>232</v>
      </c>
      <c r="BI157" t="s">
        <v>126</v>
      </c>
      <c r="BJ157" t="s">
        <v>127</v>
      </c>
      <c r="BK157" t="s">
        <v>4050</v>
      </c>
      <c r="BL157" t="s">
        <v>4051</v>
      </c>
      <c r="BM157" t="s">
        <v>4052</v>
      </c>
      <c r="BN157" t="s">
        <v>2479</v>
      </c>
      <c r="BO157" t="s">
        <v>4053</v>
      </c>
      <c r="BP157" t="s">
        <v>132</v>
      </c>
      <c r="BQ157" t="s">
        <v>4054</v>
      </c>
      <c r="BR157" t="s">
        <v>4055</v>
      </c>
      <c r="BS157" t="s">
        <v>4056</v>
      </c>
      <c r="BT157" t="s">
        <v>418</v>
      </c>
      <c r="BU157" t="s">
        <v>4057</v>
      </c>
      <c r="BV157" t="s">
        <v>4058</v>
      </c>
      <c r="BW157" t="s">
        <v>138</v>
      </c>
      <c r="BX157" t="s">
        <v>4059</v>
      </c>
      <c r="BY157" t="s">
        <v>4060</v>
      </c>
      <c r="BZ157" t="s">
        <v>4061</v>
      </c>
      <c r="CA157" t="s">
        <v>4058</v>
      </c>
      <c r="CB157" t="s">
        <v>4059</v>
      </c>
      <c r="CC157" t="s">
        <v>4060</v>
      </c>
      <c r="CG157" t="s">
        <v>4062</v>
      </c>
      <c r="CH157" t="s">
        <v>4063</v>
      </c>
      <c r="CJ157" t="s">
        <v>4064</v>
      </c>
      <c r="CK157" t="s">
        <v>4065</v>
      </c>
      <c r="CL157" t="s">
        <v>4049</v>
      </c>
      <c r="CM157" t="s">
        <v>410</v>
      </c>
      <c r="CN157" t="s">
        <v>4064</v>
      </c>
      <c r="CO157" t="s">
        <v>4066</v>
      </c>
      <c r="CP157" t="s">
        <v>4063</v>
      </c>
      <c r="CQ157" t="s">
        <v>4065</v>
      </c>
    </row>
    <row r="158" spans="1:95">
      <c r="A158" t="s">
        <v>149</v>
      </c>
      <c r="B158">
        <v>2560999</v>
      </c>
      <c r="C158" t="s">
        <v>4067</v>
      </c>
      <c r="D158" t="str">
        <f>VLOOKUP(B158,'2025'!B:C,2,0)</f>
        <v>Chaitanya</v>
      </c>
      <c r="F158" t="s">
        <v>95</v>
      </c>
      <c r="G158" t="s">
        <v>469</v>
      </c>
      <c r="H158" t="s">
        <v>97</v>
      </c>
      <c r="I158" t="s">
        <v>98</v>
      </c>
      <c r="J158" t="s">
        <v>4068</v>
      </c>
      <c r="K158" t="s">
        <v>100</v>
      </c>
      <c r="L158">
        <v>0</v>
      </c>
      <c r="M158">
        <v>0</v>
      </c>
      <c r="N158">
        <v>0</v>
      </c>
      <c r="O158">
        <v>810</v>
      </c>
      <c r="P158" t="s">
        <v>102</v>
      </c>
      <c r="Q158">
        <v>0</v>
      </c>
      <c r="R158">
        <v>0</v>
      </c>
      <c r="T158">
        <v>0</v>
      </c>
      <c r="U158">
        <v>0</v>
      </c>
      <c r="W158" t="s">
        <v>102</v>
      </c>
      <c r="X158" t="s">
        <v>275</v>
      </c>
      <c r="Z158" t="s">
        <v>158</v>
      </c>
      <c r="AA158" t="s">
        <v>109</v>
      </c>
      <c r="AB158" t="s">
        <v>102</v>
      </c>
      <c r="AC158" t="s">
        <v>109</v>
      </c>
      <c r="AD158" t="s">
        <v>102</v>
      </c>
      <c r="AE158" t="s">
        <v>109</v>
      </c>
      <c r="AF158" t="s">
        <v>102</v>
      </c>
      <c r="AG158" t="s">
        <v>109</v>
      </c>
      <c r="AH158" t="s">
        <v>102</v>
      </c>
      <c r="AI158" t="s">
        <v>102</v>
      </c>
      <c r="AL158" t="s">
        <v>102</v>
      </c>
      <c r="AM158" t="s">
        <v>102</v>
      </c>
      <c r="AN158" t="s">
        <v>102</v>
      </c>
      <c r="AO158" t="s">
        <v>115</v>
      </c>
      <c r="AP158" t="s">
        <v>115</v>
      </c>
      <c r="AU158" t="s">
        <v>318</v>
      </c>
      <c r="AV158" t="s">
        <v>250</v>
      </c>
      <c r="AW158" t="s">
        <v>102</v>
      </c>
      <c r="AX158" t="s">
        <v>119</v>
      </c>
      <c r="BB158" t="s">
        <v>120</v>
      </c>
      <c r="BC158" t="s">
        <v>1407</v>
      </c>
      <c r="BD158" t="s">
        <v>449</v>
      </c>
      <c r="BE158" t="s">
        <v>122</v>
      </c>
      <c r="BF158" t="s">
        <v>450</v>
      </c>
      <c r="BG158" t="s">
        <v>124</v>
      </c>
      <c r="BH158" t="s">
        <v>232</v>
      </c>
      <c r="BI158" t="s">
        <v>126</v>
      </c>
      <c r="BJ158" t="s">
        <v>127</v>
      </c>
      <c r="BK158" t="s">
        <v>4069</v>
      </c>
      <c r="BL158" t="s">
        <v>4070</v>
      </c>
      <c r="BM158" t="s">
        <v>4071</v>
      </c>
      <c r="BN158" t="s">
        <v>469</v>
      </c>
      <c r="BO158" t="s">
        <v>1108</v>
      </c>
      <c r="BP158" t="s">
        <v>505</v>
      </c>
      <c r="BQ158" t="s">
        <v>1109</v>
      </c>
      <c r="BR158" t="s">
        <v>1110</v>
      </c>
      <c r="BS158" t="s">
        <v>1111</v>
      </c>
      <c r="BU158" t="s">
        <v>4072</v>
      </c>
      <c r="BV158" t="s">
        <v>4073</v>
      </c>
      <c r="BW158" t="s">
        <v>296</v>
      </c>
      <c r="BX158" t="s">
        <v>4074</v>
      </c>
      <c r="BY158" t="s">
        <v>4075</v>
      </c>
      <c r="BZ158" t="s">
        <v>4076</v>
      </c>
      <c r="CG158" t="s">
        <v>102</v>
      </c>
      <c r="CH158" t="s">
        <v>4077</v>
      </c>
      <c r="CJ158" t="s">
        <v>4078</v>
      </c>
      <c r="CK158" t="s">
        <v>4077</v>
      </c>
      <c r="CL158" t="s">
        <v>1407</v>
      </c>
      <c r="CM158" t="s">
        <v>449</v>
      </c>
      <c r="CN158" t="s">
        <v>4078</v>
      </c>
      <c r="CP158" t="s">
        <v>4077</v>
      </c>
      <c r="CQ158" t="s">
        <v>4077</v>
      </c>
    </row>
    <row r="159" spans="1:95">
      <c r="A159" t="s">
        <v>495</v>
      </c>
      <c r="B159">
        <v>2561674</v>
      </c>
      <c r="C159" t="s">
        <v>4079</v>
      </c>
      <c r="D159" t="str">
        <f>VLOOKUP(B159,'2025'!B:C,2,0)</f>
        <v>Unnati Sharma</v>
      </c>
      <c r="F159" t="s">
        <v>95</v>
      </c>
      <c r="G159" t="s">
        <v>4080</v>
      </c>
      <c r="H159" t="s">
        <v>848</v>
      </c>
      <c r="I159" t="s">
        <v>98</v>
      </c>
      <c r="J159" t="s">
        <v>4081</v>
      </c>
      <c r="K159" t="s">
        <v>100</v>
      </c>
      <c r="L159">
        <v>59068</v>
      </c>
      <c r="M159">
        <v>69700</v>
      </c>
      <c r="N159">
        <v>0</v>
      </c>
      <c r="O159">
        <v>0</v>
      </c>
      <c r="Q159">
        <v>0</v>
      </c>
      <c r="R159">
        <v>0</v>
      </c>
      <c r="T159">
        <v>59068</v>
      </c>
      <c r="U159">
        <v>41</v>
      </c>
      <c r="V159" t="s">
        <v>4082</v>
      </c>
      <c r="W159" t="s">
        <v>102</v>
      </c>
      <c r="X159" t="s">
        <v>275</v>
      </c>
      <c r="Z159" t="s">
        <v>4083</v>
      </c>
      <c r="AA159" t="s">
        <v>109</v>
      </c>
      <c r="AB159" t="s">
        <v>102</v>
      </c>
      <c r="AC159" t="s">
        <v>109</v>
      </c>
      <c r="AD159" t="s">
        <v>102</v>
      </c>
      <c r="AE159" t="s">
        <v>109</v>
      </c>
      <c r="AF159" t="s">
        <v>102</v>
      </c>
      <c r="AG159" t="s">
        <v>109</v>
      </c>
      <c r="AH159" t="s">
        <v>102</v>
      </c>
      <c r="AI159" t="s">
        <v>102</v>
      </c>
      <c r="AJ159" t="s">
        <v>4084</v>
      </c>
      <c r="AK159" t="s">
        <v>3485</v>
      </c>
      <c r="AL159" t="s">
        <v>4085</v>
      </c>
      <c r="AM159" t="s">
        <v>4086</v>
      </c>
      <c r="AN159" t="s">
        <v>4087</v>
      </c>
      <c r="AO159" t="s">
        <v>4088</v>
      </c>
      <c r="AP159" t="s">
        <v>4089</v>
      </c>
      <c r="AQ159" t="s">
        <v>343</v>
      </c>
      <c r="AT159" t="s">
        <v>169</v>
      </c>
      <c r="AU159" t="s">
        <v>102</v>
      </c>
      <c r="AW159" t="s">
        <v>102</v>
      </c>
      <c r="AX159" t="s">
        <v>119</v>
      </c>
      <c r="BA159" t="s">
        <v>250</v>
      </c>
      <c r="BB159" t="s">
        <v>209</v>
      </c>
      <c r="BC159" t="s">
        <v>1729</v>
      </c>
      <c r="BD159" t="s">
        <v>730</v>
      </c>
      <c r="BE159" t="s">
        <v>622</v>
      </c>
      <c r="BF159" t="s">
        <v>730</v>
      </c>
      <c r="BG159" t="s">
        <v>124</v>
      </c>
      <c r="BH159" t="s">
        <v>892</v>
      </c>
      <c r="BI159" t="s">
        <v>1408</v>
      </c>
      <c r="BJ159" t="s">
        <v>127</v>
      </c>
      <c r="BK159" t="s">
        <v>4090</v>
      </c>
      <c r="BL159" t="s">
        <v>4091</v>
      </c>
      <c r="BM159" t="s">
        <v>4092</v>
      </c>
      <c r="BN159" t="s">
        <v>4080</v>
      </c>
      <c r="BO159" t="s">
        <v>4093</v>
      </c>
      <c r="BP159" t="s">
        <v>350</v>
      </c>
      <c r="BQ159" t="s">
        <v>4094</v>
      </c>
      <c r="BR159" t="s">
        <v>4095</v>
      </c>
      <c r="BS159" t="s">
        <v>737</v>
      </c>
      <c r="BU159" t="s">
        <v>4096</v>
      </c>
      <c r="BV159" t="s">
        <v>4097</v>
      </c>
      <c r="BW159" t="s">
        <v>569</v>
      </c>
      <c r="BX159" t="s">
        <v>4098</v>
      </c>
      <c r="BY159" t="s">
        <v>4099</v>
      </c>
      <c r="BZ159" t="s">
        <v>1740</v>
      </c>
      <c r="CA159" t="s">
        <v>2525</v>
      </c>
      <c r="CB159" t="s">
        <v>3607</v>
      </c>
      <c r="CC159" t="s">
        <v>4100</v>
      </c>
      <c r="CD159" t="s">
        <v>2525</v>
      </c>
      <c r="CE159" t="s">
        <v>3607</v>
      </c>
      <c r="CF159" t="s">
        <v>4100</v>
      </c>
      <c r="CG159" t="s">
        <v>4101</v>
      </c>
      <c r="CH159" t="s">
        <v>4102</v>
      </c>
      <c r="CJ159" t="s">
        <v>4103</v>
      </c>
      <c r="CK159" t="s">
        <v>4102</v>
      </c>
      <c r="CL159" t="s">
        <v>1729</v>
      </c>
      <c r="CM159" t="s">
        <v>730</v>
      </c>
      <c r="CN159" t="s">
        <v>4103</v>
      </c>
      <c r="CO159" t="s">
        <v>4104</v>
      </c>
      <c r="CP159" t="s">
        <v>4102</v>
      </c>
      <c r="CQ159" t="s">
        <v>4102</v>
      </c>
    </row>
    <row r="160" spans="1:95">
      <c r="A160" t="s">
        <v>149</v>
      </c>
      <c r="B160">
        <v>2562124</v>
      </c>
      <c r="C160" t="s">
        <v>4105</v>
      </c>
      <c r="D160" t="str">
        <f>VLOOKUP(B160,'2025'!B:C,2,0)</f>
        <v>Hetal Parmar</v>
      </c>
      <c r="F160" t="s">
        <v>95</v>
      </c>
      <c r="G160" t="s">
        <v>3789</v>
      </c>
      <c r="H160" t="s">
        <v>193</v>
      </c>
      <c r="I160" t="s">
        <v>98</v>
      </c>
      <c r="J160" t="s">
        <v>4106</v>
      </c>
      <c r="K160" t="s">
        <v>100</v>
      </c>
      <c r="L160">
        <v>1292188</v>
      </c>
      <c r="M160">
        <v>1490100</v>
      </c>
      <c r="N160">
        <v>192675</v>
      </c>
      <c r="O160">
        <v>367</v>
      </c>
      <c r="P160" t="s">
        <v>4107</v>
      </c>
      <c r="Q160">
        <v>0</v>
      </c>
      <c r="R160">
        <v>0</v>
      </c>
      <c r="T160">
        <v>1099513</v>
      </c>
      <c r="U160">
        <v>499</v>
      </c>
      <c r="V160" t="s">
        <v>608</v>
      </c>
      <c r="W160" t="s">
        <v>102</v>
      </c>
      <c r="X160" t="s">
        <v>103</v>
      </c>
      <c r="Y160" t="s">
        <v>104</v>
      </c>
      <c r="AA160" t="s">
        <v>1470</v>
      </c>
      <c r="AB160" t="s">
        <v>4108</v>
      </c>
      <c r="AC160" t="s">
        <v>520</v>
      </c>
      <c r="AD160" t="s">
        <v>4109</v>
      </c>
      <c r="AE160" t="s">
        <v>109</v>
      </c>
      <c r="AF160" t="s">
        <v>102</v>
      </c>
      <c r="AG160" t="s">
        <v>109</v>
      </c>
      <c r="AH160" t="s">
        <v>102</v>
      </c>
      <c r="AI160" t="s">
        <v>4110</v>
      </c>
      <c r="AJ160" t="s">
        <v>545</v>
      </c>
      <c r="AK160" t="s">
        <v>3280</v>
      </c>
      <c r="AL160" t="s">
        <v>4111</v>
      </c>
      <c r="AM160" t="s">
        <v>4112</v>
      </c>
      <c r="AN160" t="s">
        <v>4113</v>
      </c>
      <c r="AO160" t="s">
        <v>4114</v>
      </c>
      <c r="AP160" t="s">
        <v>4114</v>
      </c>
      <c r="AU160" t="s">
        <v>247</v>
      </c>
      <c r="AV160" t="s">
        <v>118</v>
      </c>
      <c r="AW160" t="s">
        <v>102</v>
      </c>
      <c r="AX160" t="s">
        <v>119</v>
      </c>
      <c r="BA160" t="s">
        <v>250</v>
      </c>
      <c r="BB160" t="s">
        <v>171</v>
      </c>
      <c r="BC160" t="s">
        <v>623</v>
      </c>
      <c r="BD160" t="s">
        <v>621</v>
      </c>
      <c r="BE160" t="s">
        <v>622</v>
      </c>
      <c r="BF160" t="s">
        <v>623</v>
      </c>
      <c r="BG160" t="s">
        <v>124</v>
      </c>
      <c r="BH160" t="s">
        <v>232</v>
      </c>
      <c r="BI160" t="s">
        <v>126</v>
      </c>
      <c r="BJ160" t="s">
        <v>127</v>
      </c>
      <c r="BK160" t="s">
        <v>4115</v>
      </c>
      <c r="BL160" t="s">
        <v>4116</v>
      </c>
      <c r="BM160" t="s">
        <v>4117</v>
      </c>
      <c r="BN160" t="s">
        <v>3789</v>
      </c>
      <c r="BO160" t="s">
        <v>1339</v>
      </c>
      <c r="BP160" t="s">
        <v>132</v>
      </c>
      <c r="BQ160" t="s">
        <v>1340</v>
      </c>
      <c r="BR160" t="s">
        <v>1341</v>
      </c>
      <c r="BS160" t="s">
        <v>1342</v>
      </c>
      <c r="BU160" t="s">
        <v>4118</v>
      </c>
      <c r="BV160" t="s">
        <v>4119</v>
      </c>
      <c r="BW160" t="s">
        <v>138</v>
      </c>
      <c r="BX160" t="s">
        <v>4120</v>
      </c>
      <c r="BY160" t="s">
        <v>4121</v>
      </c>
      <c r="BZ160" t="s">
        <v>4122</v>
      </c>
      <c r="CA160" t="s">
        <v>4119</v>
      </c>
      <c r="CB160" t="s">
        <v>4120</v>
      </c>
      <c r="CC160" t="s">
        <v>4121</v>
      </c>
      <c r="CD160" t="s">
        <v>4123</v>
      </c>
      <c r="CE160" t="s">
        <v>4124</v>
      </c>
      <c r="CG160" t="s">
        <v>102</v>
      </c>
      <c r="CH160" t="s">
        <v>4125</v>
      </c>
      <c r="CJ160" t="s">
        <v>4126</v>
      </c>
      <c r="CK160" t="s">
        <v>4125</v>
      </c>
      <c r="CL160" t="s">
        <v>623</v>
      </c>
      <c r="CM160" t="s">
        <v>621</v>
      </c>
      <c r="CN160" t="s">
        <v>4126</v>
      </c>
      <c r="CO160" t="s">
        <v>4127</v>
      </c>
      <c r="CP160" t="s">
        <v>4125</v>
      </c>
      <c r="CQ160" t="s">
        <v>4125</v>
      </c>
    </row>
    <row r="161" spans="1:95">
      <c r="A161" t="s">
        <v>149</v>
      </c>
      <c r="B161">
        <v>2562273</v>
      </c>
      <c r="C161" t="s">
        <v>4128</v>
      </c>
      <c r="D161" t="str">
        <f>VLOOKUP(B161,'2025'!B:C,2,0)</f>
        <v>Shruti</v>
      </c>
      <c r="F161" t="s">
        <v>95</v>
      </c>
      <c r="G161" t="s">
        <v>1422</v>
      </c>
      <c r="H161" t="s">
        <v>97</v>
      </c>
      <c r="I161" t="s">
        <v>98</v>
      </c>
      <c r="J161" t="s">
        <v>4129</v>
      </c>
      <c r="K161" t="s">
        <v>100</v>
      </c>
      <c r="L161">
        <v>236763</v>
      </c>
      <c r="M161">
        <v>236763</v>
      </c>
      <c r="N161">
        <v>236763</v>
      </c>
      <c r="O161">
        <v>375</v>
      </c>
      <c r="P161" t="s">
        <v>4130</v>
      </c>
      <c r="Q161">
        <v>0</v>
      </c>
      <c r="R161">
        <v>0</v>
      </c>
      <c r="T161">
        <v>0</v>
      </c>
      <c r="U161">
        <v>0</v>
      </c>
      <c r="W161" t="s">
        <v>102</v>
      </c>
      <c r="X161" t="s">
        <v>275</v>
      </c>
      <c r="Z161" t="s">
        <v>341</v>
      </c>
      <c r="AA161" t="s">
        <v>109</v>
      </c>
      <c r="AB161" t="s">
        <v>102</v>
      </c>
      <c r="AC161" t="s">
        <v>109</v>
      </c>
      <c r="AD161" t="s">
        <v>102</v>
      </c>
      <c r="AE161" t="s">
        <v>109</v>
      </c>
      <c r="AF161" t="s">
        <v>102</v>
      </c>
      <c r="AG161" t="s">
        <v>109</v>
      </c>
      <c r="AH161" t="s">
        <v>102</v>
      </c>
      <c r="AI161" t="s">
        <v>4131</v>
      </c>
      <c r="AJ161" t="s">
        <v>105</v>
      </c>
      <c r="AK161" t="s">
        <v>105</v>
      </c>
      <c r="AL161" t="s">
        <v>4132</v>
      </c>
      <c r="AM161" t="s">
        <v>4133</v>
      </c>
      <c r="AN161" t="s">
        <v>115</v>
      </c>
      <c r="AO161" t="s">
        <v>4134</v>
      </c>
      <c r="AP161" t="s">
        <v>4135</v>
      </c>
      <c r="AQ161" t="s">
        <v>343</v>
      </c>
      <c r="AU161" t="s">
        <v>318</v>
      </c>
      <c r="AV161" t="s">
        <v>250</v>
      </c>
      <c r="AW161" t="s">
        <v>102</v>
      </c>
      <c r="AX161" t="s">
        <v>119</v>
      </c>
      <c r="BB161" t="s">
        <v>120</v>
      </c>
      <c r="BC161" t="s">
        <v>4136</v>
      </c>
      <c r="BD161" t="s">
        <v>449</v>
      </c>
      <c r="BE161" t="s">
        <v>122</v>
      </c>
      <c r="BF161" t="s">
        <v>253</v>
      </c>
      <c r="BG161" t="s">
        <v>124</v>
      </c>
      <c r="BH161" t="s">
        <v>232</v>
      </c>
      <c r="BI161" t="s">
        <v>126</v>
      </c>
      <c r="BJ161" t="s">
        <v>127</v>
      </c>
      <c r="BK161" t="s">
        <v>4137</v>
      </c>
      <c r="BL161" t="s">
        <v>4138</v>
      </c>
      <c r="BM161" t="s">
        <v>4139</v>
      </c>
      <c r="BN161" t="s">
        <v>1422</v>
      </c>
      <c r="BO161" t="s">
        <v>257</v>
      </c>
      <c r="BP161" t="s">
        <v>350</v>
      </c>
      <c r="BQ161" t="s">
        <v>259</v>
      </c>
      <c r="BR161" t="s">
        <v>260</v>
      </c>
      <c r="BS161" t="s">
        <v>566</v>
      </c>
      <c r="BU161" t="s">
        <v>4140</v>
      </c>
      <c r="BV161" t="s">
        <v>4141</v>
      </c>
      <c r="BW161" t="s">
        <v>598</v>
      </c>
      <c r="BX161" t="s">
        <v>4142</v>
      </c>
      <c r="BY161" t="s">
        <v>4143</v>
      </c>
      <c r="BZ161" t="s">
        <v>4144</v>
      </c>
      <c r="CA161" t="s">
        <v>4145</v>
      </c>
      <c r="CB161" t="s">
        <v>4146</v>
      </c>
      <c r="CD161" t="s">
        <v>4141</v>
      </c>
      <c r="CE161" t="s">
        <v>4147</v>
      </c>
      <c r="CF161" t="s">
        <v>4148</v>
      </c>
      <c r="CG161" t="s">
        <v>102</v>
      </c>
      <c r="CH161" t="s">
        <v>4149</v>
      </c>
      <c r="CJ161" t="s">
        <v>4150</v>
      </c>
      <c r="CK161" t="s">
        <v>4149</v>
      </c>
      <c r="CL161" t="s">
        <v>4136</v>
      </c>
      <c r="CM161" t="s">
        <v>449</v>
      </c>
      <c r="CN161" t="s">
        <v>4150</v>
      </c>
      <c r="CO161" t="s">
        <v>3299</v>
      </c>
      <c r="CP161" t="s">
        <v>4149</v>
      </c>
      <c r="CQ161" t="s">
        <v>4149</v>
      </c>
    </row>
    <row r="162" spans="1:95">
      <c r="A162" t="s">
        <v>149</v>
      </c>
      <c r="B162">
        <v>2565214</v>
      </c>
      <c r="C162" t="s">
        <v>4151</v>
      </c>
      <c r="D162" t="str">
        <f>VLOOKUP(B162,'2025'!B:C,2,0)</f>
        <v>Chaitanya</v>
      </c>
      <c r="F162" t="s">
        <v>95</v>
      </c>
      <c r="G162" t="s">
        <v>469</v>
      </c>
      <c r="H162" t="s">
        <v>97</v>
      </c>
      <c r="I162" t="s">
        <v>98</v>
      </c>
      <c r="J162" t="s">
        <v>4152</v>
      </c>
      <c r="K162" t="s">
        <v>100</v>
      </c>
      <c r="L162">
        <v>0</v>
      </c>
      <c r="M162">
        <v>0</v>
      </c>
      <c r="N162">
        <v>0</v>
      </c>
      <c r="O162">
        <v>778</v>
      </c>
      <c r="P162" t="s">
        <v>102</v>
      </c>
      <c r="Q162">
        <v>0</v>
      </c>
      <c r="R162">
        <v>0</v>
      </c>
      <c r="T162">
        <v>0</v>
      </c>
      <c r="U162">
        <v>0</v>
      </c>
      <c r="W162" t="s">
        <v>102</v>
      </c>
      <c r="X162" t="s">
        <v>275</v>
      </c>
      <c r="Z162" t="s">
        <v>158</v>
      </c>
      <c r="AA162" t="s">
        <v>109</v>
      </c>
      <c r="AB162" t="s">
        <v>102</v>
      </c>
      <c r="AC162" t="s">
        <v>109</v>
      </c>
      <c r="AD162" t="s">
        <v>102</v>
      </c>
      <c r="AE162" t="s">
        <v>109</v>
      </c>
      <c r="AF162" t="s">
        <v>102</v>
      </c>
      <c r="AG162" t="s">
        <v>109</v>
      </c>
      <c r="AH162" t="s">
        <v>102</v>
      </c>
      <c r="AI162" t="s">
        <v>102</v>
      </c>
      <c r="AL162" t="s">
        <v>102</v>
      </c>
      <c r="AM162" t="s">
        <v>102</v>
      </c>
      <c r="AN162" t="s">
        <v>102</v>
      </c>
      <c r="AO162" t="s">
        <v>115</v>
      </c>
      <c r="AP162" t="s">
        <v>115</v>
      </c>
      <c r="AU162" t="s">
        <v>318</v>
      </c>
      <c r="AV162" t="s">
        <v>250</v>
      </c>
      <c r="AW162" t="s">
        <v>102</v>
      </c>
      <c r="AX162" t="s">
        <v>119</v>
      </c>
      <c r="BB162" t="s">
        <v>120</v>
      </c>
      <c r="BC162" t="s">
        <v>4153</v>
      </c>
      <c r="BD162" t="s">
        <v>320</v>
      </c>
      <c r="BE162" t="s">
        <v>122</v>
      </c>
      <c r="BF162" t="s">
        <v>123</v>
      </c>
      <c r="BG162" t="s">
        <v>124</v>
      </c>
      <c r="BH162" t="s">
        <v>232</v>
      </c>
      <c r="BI162" t="s">
        <v>126</v>
      </c>
      <c r="BJ162" t="s">
        <v>127</v>
      </c>
      <c r="BK162" t="s">
        <v>4154</v>
      </c>
      <c r="BL162" t="s">
        <v>4155</v>
      </c>
      <c r="BM162" t="s">
        <v>4156</v>
      </c>
      <c r="BN162" t="s">
        <v>469</v>
      </c>
      <c r="BO162" t="s">
        <v>1108</v>
      </c>
      <c r="BP162" t="s">
        <v>505</v>
      </c>
      <c r="BQ162" t="s">
        <v>1109</v>
      </c>
      <c r="BR162" t="s">
        <v>1110</v>
      </c>
      <c r="BS162" t="s">
        <v>1111</v>
      </c>
      <c r="BU162" t="s">
        <v>4157</v>
      </c>
      <c r="BV162" t="s">
        <v>4073</v>
      </c>
      <c r="BW162" t="s">
        <v>296</v>
      </c>
      <c r="BX162" t="s">
        <v>4074</v>
      </c>
      <c r="BY162" t="s">
        <v>4075</v>
      </c>
      <c r="BZ162" t="s">
        <v>4158</v>
      </c>
      <c r="CG162" t="s">
        <v>102</v>
      </c>
      <c r="CH162" t="s">
        <v>4159</v>
      </c>
      <c r="CJ162" t="s">
        <v>4160</v>
      </c>
      <c r="CK162" t="s">
        <v>4159</v>
      </c>
      <c r="CL162" t="s">
        <v>4153</v>
      </c>
      <c r="CM162" t="s">
        <v>320</v>
      </c>
      <c r="CN162" t="s">
        <v>4160</v>
      </c>
      <c r="CP162" t="s">
        <v>4159</v>
      </c>
      <c r="CQ162" t="s">
        <v>4159</v>
      </c>
    </row>
    <row r="163" spans="1:95">
      <c r="A163" t="s">
        <v>149</v>
      </c>
      <c r="B163">
        <v>2565760</v>
      </c>
      <c r="C163" t="s">
        <v>4161</v>
      </c>
      <c r="F163" t="s">
        <v>95</v>
      </c>
      <c r="G163" t="s">
        <v>4162</v>
      </c>
      <c r="H163" t="s">
        <v>97</v>
      </c>
      <c r="I163" t="s">
        <v>98</v>
      </c>
      <c r="J163" t="s">
        <v>4163</v>
      </c>
      <c r="K163" t="s">
        <v>100</v>
      </c>
      <c r="L163">
        <v>945360</v>
      </c>
      <c r="M163">
        <v>945360</v>
      </c>
      <c r="N163">
        <v>945360</v>
      </c>
      <c r="O163">
        <v>1313</v>
      </c>
      <c r="P163" t="s">
        <v>995</v>
      </c>
      <c r="Q163">
        <v>0</v>
      </c>
      <c r="R163">
        <v>0</v>
      </c>
      <c r="T163">
        <v>0</v>
      </c>
      <c r="U163">
        <v>0</v>
      </c>
      <c r="W163" t="s">
        <v>102</v>
      </c>
      <c r="X163" t="s">
        <v>275</v>
      </c>
      <c r="Z163" t="s">
        <v>214</v>
      </c>
      <c r="AA163" t="s">
        <v>109</v>
      </c>
      <c r="AB163" t="s">
        <v>102</v>
      </c>
      <c r="AC163" t="s">
        <v>109</v>
      </c>
      <c r="AD163" t="s">
        <v>102</v>
      </c>
      <c r="AE163" t="s">
        <v>109</v>
      </c>
      <c r="AF163" t="s">
        <v>102</v>
      </c>
      <c r="AG163" t="s">
        <v>109</v>
      </c>
      <c r="AH163" t="s">
        <v>102</v>
      </c>
      <c r="AI163" t="s">
        <v>4164</v>
      </c>
      <c r="AJ163" t="s">
        <v>1299</v>
      </c>
      <c r="AK163" t="s">
        <v>1299</v>
      </c>
      <c r="AL163" t="s">
        <v>4165</v>
      </c>
      <c r="AM163" t="s">
        <v>4166</v>
      </c>
      <c r="AN163" t="s">
        <v>4167</v>
      </c>
      <c r="AO163" t="s">
        <v>4168</v>
      </c>
      <c r="AP163" t="s">
        <v>4168</v>
      </c>
      <c r="AU163" t="s">
        <v>117</v>
      </c>
      <c r="AV163" t="s">
        <v>118</v>
      </c>
      <c r="AW163" t="s">
        <v>102</v>
      </c>
      <c r="AX163" t="s">
        <v>119</v>
      </c>
      <c r="BB163" t="s">
        <v>120</v>
      </c>
      <c r="BC163" t="s">
        <v>284</v>
      </c>
      <c r="BD163" t="s">
        <v>285</v>
      </c>
      <c r="BE163" t="s">
        <v>212</v>
      </c>
      <c r="BF163" t="s">
        <v>286</v>
      </c>
      <c r="BG163" t="s">
        <v>124</v>
      </c>
      <c r="BH163" t="s">
        <v>214</v>
      </c>
      <c r="BI163" t="s">
        <v>126</v>
      </c>
      <c r="BJ163" t="s">
        <v>127</v>
      </c>
      <c r="BK163" t="s">
        <v>4169</v>
      </c>
      <c r="BL163" t="s">
        <v>4170</v>
      </c>
      <c r="BM163" t="s">
        <v>4171</v>
      </c>
      <c r="BN163" t="s">
        <v>4162</v>
      </c>
      <c r="BO163" t="s">
        <v>290</v>
      </c>
      <c r="BP163" t="s">
        <v>132</v>
      </c>
      <c r="BQ163" t="s">
        <v>291</v>
      </c>
      <c r="BR163" t="s">
        <v>292</v>
      </c>
      <c r="BS163" t="s">
        <v>293</v>
      </c>
      <c r="BU163" t="s">
        <v>4172</v>
      </c>
      <c r="BV163" t="s">
        <v>4173</v>
      </c>
      <c r="BW163" t="s">
        <v>138</v>
      </c>
      <c r="BX163" t="s">
        <v>4174</v>
      </c>
      <c r="BY163" t="s">
        <v>4175</v>
      </c>
      <c r="BZ163" t="s">
        <v>4176</v>
      </c>
      <c r="CA163" t="s">
        <v>4173</v>
      </c>
      <c r="CB163" t="s">
        <v>4174</v>
      </c>
      <c r="CC163" t="s">
        <v>4177</v>
      </c>
      <c r="CD163" t="s">
        <v>4178</v>
      </c>
      <c r="CE163" t="s">
        <v>4179</v>
      </c>
      <c r="CF163" t="s">
        <v>4180</v>
      </c>
      <c r="CG163" t="s">
        <v>102</v>
      </c>
      <c r="CH163" t="s">
        <v>4181</v>
      </c>
      <c r="CJ163" t="s">
        <v>4182</v>
      </c>
      <c r="CK163" t="s">
        <v>4181</v>
      </c>
      <c r="CL163" t="s">
        <v>284</v>
      </c>
      <c r="CM163" t="s">
        <v>285</v>
      </c>
      <c r="CN163" t="s">
        <v>4182</v>
      </c>
      <c r="CP163" t="s">
        <v>4181</v>
      </c>
      <c r="CQ163" t="s">
        <v>4181</v>
      </c>
    </row>
    <row r="164" spans="1:95">
      <c r="A164" t="s">
        <v>149</v>
      </c>
      <c r="B164">
        <v>258293</v>
      </c>
      <c r="C164" t="s">
        <v>4183</v>
      </c>
      <c r="D164" t="str">
        <f>VLOOKUP(B164,'2025'!B:C,2,0)</f>
        <v>Vineeth T V</v>
      </c>
      <c r="F164" t="s">
        <v>95</v>
      </c>
      <c r="G164" t="s">
        <v>1059</v>
      </c>
      <c r="H164" t="s">
        <v>2044</v>
      </c>
      <c r="I164" t="s">
        <v>98</v>
      </c>
      <c r="J164" t="s">
        <v>4184</v>
      </c>
      <c r="K164" t="s">
        <v>100</v>
      </c>
      <c r="L164">
        <v>1019350</v>
      </c>
      <c r="M164">
        <v>1019350</v>
      </c>
      <c r="N164">
        <v>956615</v>
      </c>
      <c r="O164">
        <v>1239</v>
      </c>
      <c r="P164" t="s">
        <v>4185</v>
      </c>
      <c r="Q164">
        <v>62735</v>
      </c>
      <c r="R164">
        <v>140</v>
      </c>
      <c r="S164" t="s">
        <v>4186</v>
      </c>
      <c r="T164">
        <v>0</v>
      </c>
      <c r="U164">
        <v>0</v>
      </c>
      <c r="W164" t="s">
        <v>102</v>
      </c>
      <c r="X164" t="s">
        <v>103</v>
      </c>
      <c r="Y164" t="s">
        <v>104</v>
      </c>
      <c r="AA164" t="s">
        <v>451</v>
      </c>
      <c r="AB164" t="s">
        <v>4187</v>
      </c>
      <c r="AC164" t="s">
        <v>4188</v>
      </c>
      <c r="AD164" t="s">
        <v>4189</v>
      </c>
      <c r="AE164" t="s">
        <v>109</v>
      </c>
      <c r="AF164" t="s">
        <v>102</v>
      </c>
      <c r="AG164" t="s">
        <v>109</v>
      </c>
      <c r="AH164" t="s">
        <v>102</v>
      </c>
      <c r="AI164" t="s">
        <v>4190</v>
      </c>
      <c r="AJ164" t="s">
        <v>2815</v>
      </c>
      <c r="AK164" t="s">
        <v>107</v>
      </c>
      <c r="AL164" t="s">
        <v>4191</v>
      </c>
      <c r="AM164" t="s">
        <v>4192</v>
      </c>
      <c r="AN164" t="s">
        <v>4193</v>
      </c>
      <c r="AO164" t="s">
        <v>4194</v>
      </c>
      <c r="AP164" t="s">
        <v>4194</v>
      </c>
      <c r="AU164" t="s">
        <v>318</v>
      </c>
      <c r="AV164" t="s">
        <v>118</v>
      </c>
      <c r="AW164" t="s">
        <v>104</v>
      </c>
      <c r="AX164" t="s">
        <v>119</v>
      </c>
      <c r="AY164" t="s">
        <v>170</v>
      </c>
      <c r="AZ164" t="s">
        <v>118</v>
      </c>
      <c r="BB164" t="s">
        <v>120</v>
      </c>
      <c r="BC164" t="s">
        <v>409</v>
      </c>
      <c r="BD164" t="s">
        <v>410</v>
      </c>
      <c r="BE164" t="s">
        <v>212</v>
      </c>
      <c r="BF164" t="s">
        <v>410</v>
      </c>
      <c r="BG164" t="s">
        <v>124</v>
      </c>
      <c r="BH164" t="s">
        <v>214</v>
      </c>
      <c r="BI164" t="s">
        <v>126</v>
      </c>
      <c r="BJ164" t="s">
        <v>127</v>
      </c>
      <c r="BK164" t="s">
        <v>4195</v>
      </c>
      <c r="BL164" t="s">
        <v>4196</v>
      </c>
      <c r="BM164" t="s">
        <v>4197</v>
      </c>
      <c r="BN164" t="s">
        <v>1059</v>
      </c>
      <c r="BO164" t="s">
        <v>415</v>
      </c>
      <c r="BP164" t="s">
        <v>350</v>
      </c>
      <c r="BQ164" t="s">
        <v>416</v>
      </c>
      <c r="BR164" t="s">
        <v>417</v>
      </c>
      <c r="BS164" t="s">
        <v>418</v>
      </c>
      <c r="BU164" t="s">
        <v>4198</v>
      </c>
      <c r="BV164" t="s">
        <v>4199</v>
      </c>
      <c r="BW164" t="s">
        <v>138</v>
      </c>
      <c r="BX164" t="s">
        <v>4200</v>
      </c>
      <c r="BY164" t="s">
        <v>4201</v>
      </c>
      <c r="BZ164" t="s">
        <v>4202</v>
      </c>
      <c r="CA164" t="s">
        <v>4199</v>
      </c>
      <c r="CB164" t="s">
        <v>4200</v>
      </c>
      <c r="CC164" t="s">
        <v>4201</v>
      </c>
      <c r="CG164" t="s">
        <v>102</v>
      </c>
      <c r="CH164" t="s">
        <v>4203</v>
      </c>
      <c r="CJ164" t="s">
        <v>4204</v>
      </c>
      <c r="CK164" t="s">
        <v>4203</v>
      </c>
      <c r="CL164" t="s">
        <v>409</v>
      </c>
      <c r="CM164" t="s">
        <v>410</v>
      </c>
      <c r="CN164" t="s">
        <v>4204</v>
      </c>
      <c r="CO164" t="s">
        <v>4205</v>
      </c>
      <c r="CP164" t="s">
        <v>4203</v>
      </c>
      <c r="CQ164" t="s">
        <v>4203</v>
      </c>
    </row>
    <row r="165" spans="1:95">
      <c r="A165" t="s">
        <v>149</v>
      </c>
      <c r="B165">
        <v>2614572</v>
      </c>
      <c r="C165" t="s">
        <v>4206</v>
      </c>
      <c r="D165" t="str">
        <f>VLOOKUP(B165,'2025'!B:C,2,0)</f>
        <v>Rohit</v>
      </c>
      <c r="F165" t="s">
        <v>95</v>
      </c>
      <c r="G165" t="s">
        <v>993</v>
      </c>
      <c r="H165" t="s">
        <v>152</v>
      </c>
      <c r="I165" t="s">
        <v>98</v>
      </c>
      <c r="J165" t="s">
        <v>4207</v>
      </c>
      <c r="K165" t="s">
        <v>100</v>
      </c>
      <c r="L165">
        <v>181155</v>
      </c>
      <c r="M165">
        <v>181155</v>
      </c>
      <c r="N165">
        <v>0</v>
      </c>
      <c r="O165">
        <v>0</v>
      </c>
      <c r="Q165">
        <v>181155</v>
      </c>
      <c r="R165">
        <v>150</v>
      </c>
      <c r="S165" t="s">
        <v>4208</v>
      </c>
      <c r="T165">
        <v>0</v>
      </c>
      <c r="U165">
        <v>0</v>
      </c>
      <c r="W165" t="s">
        <v>102</v>
      </c>
      <c r="X165" t="s">
        <v>103</v>
      </c>
      <c r="Y165" t="s">
        <v>155</v>
      </c>
      <c r="AA165" t="s">
        <v>197</v>
      </c>
      <c r="AB165" t="s">
        <v>4209</v>
      </c>
      <c r="AC165" t="s">
        <v>1602</v>
      </c>
      <c r="AD165" t="s">
        <v>4209</v>
      </c>
      <c r="AE165" t="s">
        <v>240</v>
      </c>
      <c r="AF165" t="s">
        <v>4209</v>
      </c>
      <c r="AG165" t="s">
        <v>1719</v>
      </c>
      <c r="AH165" t="s">
        <v>4209</v>
      </c>
      <c r="AI165" t="s">
        <v>4210</v>
      </c>
      <c r="AJ165" t="s">
        <v>4211</v>
      </c>
      <c r="AK165" t="s">
        <v>559</v>
      </c>
      <c r="AL165" t="s">
        <v>4212</v>
      </c>
      <c r="AM165" t="s">
        <v>4213</v>
      </c>
      <c r="AN165" t="s">
        <v>4214</v>
      </c>
      <c r="AO165" t="s">
        <v>4215</v>
      </c>
      <c r="AP165" t="s">
        <v>4215</v>
      </c>
      <c r="AU165" t="s">
        <v>102</v>
      </c>
      <c r="AW165" t="s">
        <v>1758</v>
      </c>
      <c r="AX165" t="s">
        <v>119</v>
      </c>
      <c r="AY165" t="s">
        <v>170</v>
      </c>
      <c r="AZ165" t="s">
        <v>118</v>
      </c>
      <c r="BB165" t="s">
        <v>120</v>
      </c>
      <c r="BC165" t="s">
        <v>4216</v>
      </c>
      <c r="BD165" t="s">
        <v>556</v>
      </c>
      <c r="BE165" t="s">
        <v>122</v>
      </c>
      <c r="BF165" t="s">
        <v>557</v>
      </c>
      <c r="BG165" t="s">
        <v>124</v>
      </c>
      <c r="BH165" t="s">
        <v>214</v>
      </c>
      <c r="BI165" t="s">
        <v>126</v>
      </c>
      <c r="BJ165" t="s">
        <v>127</v>
      </c>
      <c r="BK165" t="s">
        <v>4217</v>
      </c>
      <c r="BL165" t="s">
        <v>4218</v>
      </c>
      <c r="BM165" t="s">
        <v>4219</v>
      </c>
      <c r="BN165" t="s">
        <v>993</v>
      </c>
      <c r="BO165" t="s">
        <v>1142</v>
      </c>
      <c r="BP165" t="s">
        <v>350</v>
      </c>
      <c r="BQ165" t="s">
        <v>1143</v>
      </c>
      <c r="BR165" t="s">
        <v>1144</v>
      </c>
      <c r="BS165" t="s">
        <v>1075</v>
      </c>
      <c r="BU165" t="s">
        <v>4220</v>
      </c>
      <c r="BV165" t="s">
        <v>4221</v>
      </c>
      <c r="BX165" t="s">
        <v>4222</v>
      </c>
      <c r="BY165" t="s">
        <v>4223</v>
      </c>
      <c r="BZ165" t="s">
        <v>4224</v>
      </c>
      <c r="CA165" t="s">
        <v>4225</v>
      </c>
      <c r="CB165" t="s">
        <v>4226</v>
      </c>
      <c r="CC165" t="s">
        <v>4223</v>
      </c>
      <c r="CD165" t="s">
        <v>4227</v>
      </c>
      <c r="CE165" t="s">
        <v>4226</v>
      </c>
      <c r="CF165" t="s">
        <v>4228</v>
      </c>
      <c r="CG165" t="s">
        <v>102</v>
      </c>
      <c r="CH165" t="s">
        <v>4229</v>
      </c>
      <c r="CJ165" t="s">
        <v>4230</v>
      </c>
      <c r="CK165" t="s">
        <v>4229</v>
      </c>
      <c r="CL165" t="s">
        <v>4216</v>
      </c>
      <c r="CM165" t="s">
        <v>556</v>
      </c>
      <c r="CN165" t="s">
        <v>4230</v>
      </c>
      <c r="CO165" t="s">
        <v>4231</v>
      </c>
      <c r="CP165" t="s">
        <v>4229</v>
      </c>
      <c r="CQ165" t="s">
        <v>4229</v>
      </c>
    </row>
    <row r="166" spans="1:95">
      <c r="A166" t="s">
        <v>149</v>
      </c>
      <c r="B166">
        <v>2618631</v>
      </c>
      <c r="C166" t="s">
        <v>4232</v>
      </c>
      <c r="F166" t="s">
        <v>95</v>
      </c>
      <c r="G166" t="s">
        <v>367</v>
      </c>
      <c r="H166" t="s">
        <v>97</v>
      </c>
      <c r="I166" t="s">
        <v>98</v>
      </c>
      <c r="J166" t="s">
        <v>4233</v>
      </c>
      <c r="K166" t="s">
        <v>100</v>
      </c>
      <c r="L166">
        <v>174695</v>
      </c>
      <c r="M166">
        <v>174695</v>
      </c>
      <c r="N166">
        <v>174695</v>
      </c>
      <c r="O166">
        <v>249</v>
      </c>
      <c r="P166" t="s">
        <v>4234</v>
      </c>
      <c r="Q166">
        <v>0</v>
      </c>
      <c r="R166">
        <v>0</v>
      </c>
      <c r="T166">
        <v>0</v>
      </c>
      <c r="U166">
        <v>0</v>
      </c>
      <c r="W166" t="s">
        <v>102</v>
      </c>
      <c r="X166" t="s">
        <v>103</v>
      </c>
      <c r="Y166" t="s">
        <v>104</v>
      </c>
      <c r="AA166" t="s">
        <v>367</v>
      </c>
      <c r="AB166" t="s">
        <v>4235</v>
      </c>
      <c r="AC166" t="s">
        <v>158</v>
      </c>
      <c r="AD166" t="s">
        <v>4236</v>
      </c>
      <c r="AE166" t="s">
        <v>109</v>
      </c>
      <c r="AF166" t="s">
        <v>102</v>
      </c>
      <c r="AG166" t="s">
        <v>109</v>
      </c>
      <c r="AH166" t="s">
        <v>102</v>
      </c>
      <c r="AI166" t="s">
        <v>4237</v>
      </c>
      <c r="AJ166" t="s">
        <v>3731</v>
      </c>
      <c r="AK166" t="s">
        <v>685</v>
      </c>
      <c r="AL166" t="s">
        <v>4238</v>
      </c>
      <c r="AM166" t="s">
        <v>4239</v>
      </c>
      <c r="AN166" t="s">
        <v>115</v>
      </c>
      <c r="AO166" t="s">
        <v>4240</v>
      </c>
      <c r="AP166" t="s">
        <v>4240</v>
      </c>
      <c r="AU166" t="s">
        <v>318</v>
      </c>
      <c r="AV166" t="s">
        <v>118</v>
      </c>
      <c r="AW166" t="s">
        <v>102</v>
      </c>
      <c r="AX166" t="s">
        <v>119</v>
      </c>
      <c r="BB166" t="s">
        <v>120</v>
      </c>
      <c r="BC166" t="s">
        <v>3830</v>
      </c>
      <c r="BD166" t="s">
        <v>410</v>
      </c>
      <c r="BE166" t="s">
        <v>212</v>
      </c>
      <c r="BF166" t="s">
        <v>410</v>
      </c>
      <c r="BG166" t="s">
        <v>124</v>
      </c>
      <c r="BH166" t="s">
        <v>400</v>
      </c>
      <c r="BI166" t="s">
        <v>126</v>
      </c>
      <c r="BJ166" t="s">
        <v>127</v>
      </c>
      <c r="BK166" t="s">
        <v>4241</v>
      </c>
      <c r="BL166" t="s">
        <v>4242</v>
      </c>
      <c r="BM166" t="s">
        <v>4243</v>
      </c>
      <c r="BN166" t="s">
        <v>367</v>
      </c>
      <c r="BO166" t="s">
        <v>956</v>
      </c>
      <c r="BP166" t="s">
        <v>132</v>
      </c>
      <c r="BQ166" t="s">
        <v>958</v>
      </c>
      <c r="BR166" t="s">
        <v>959</v>
      </c>
      <c r="BS166" t="s">
        <v>418</v>
      </c>
      <c r="BU166" t="s">
        <v>4244</v>
      </c>
      <c r="BV166" t="s">
        <v>3585</v>
      </c>
      <c r="BW166" t="s">
        <v>598</v>
      </c>
      <c r="BX166" t="s">
        <v>225</v>
      </c>
      <c r="BY166" t="s">
        <v>226</v>
      </c>
      <c r="BZ166" t="s">
        <v>4245</v>
      </c>
      <c r="CG166" t="s">
        <v>102</v>
      </c>
      <c r="CH166" t="s">
        <v>4246</v>
      </c>
      <c r="CJ166" t="s">
        <v>4247</v>
      </c>
      <c r="CK166" t="s">
        <v>4246</v>
      </c>
      <c r="CL166" t="s">
        <v>3830</v>
      </c>
      <c r="CM166" t="s">
        <v>410</v>
      </c>
      <c r="CN166" t="s">
        <v>4247</v>
      </c>
      <c r="CO166" t="s">
        <v>3589</v>
      </c>
      <c r="CP166" t="s">
        <v>4246</v>
      </c>
      <c r="CQ166" t="s">
        <v>4246</v>
      </c>
    </row>
    <row r="167" spans="1:95">
      <c r="A167" t="s">
        <v>337</v>
      </c>
      <c r="B167">
        <v>265162</v>
      </c>
      <c r="C167" t="s">
        <v>4248</v>
      </c>
      <c r="D167" t="str">
        <f>VLOOKUP(B167,'2025'!B:C,2,0)</f>
        <v>Chaitanya</v>
      </c>
      <c r="F167" t="s">
        <v>95</v>
      </c>
      <c r="G167" t="s">
        <v>4249</v>
      </c>
      <c r="H167" t="s">
        <v>2193</v>
      </c>
      <c r="I167" t="s">
        <v>98</v>
      </c>
      <c r="J167" t="s">
        <v>4250</v>
      </c>
      <c r="K167" t="s">
        <v>100</v>
      </c>
      <c r="L167">
        <v>400000</v>
      </c>
      <c r="M167">
        <v>472000</v>
      </c>
      <c r="N167">
        <v>0</v>
      </c>
      <c r="O167">
        <v>1907</v>
      </c>
      <c r="P167" t="s">
        <v>102</v>
      </c>
      <c r="Q167">
        <v>0</v>
      </c>
      <c r="R167">
        <v>0</v>
      </c>
      <c r="S167" t="s">
        <v>102</v>
      </c>
      <c r="T167">
        <v>0</v>
      </c>
      <c r="U167">
        <v>0</v>
      </c>
      <c r="V167" t="s">
        <v>102</v>
      </c>
      <c r="W167" t="s">
        <v>2195</v>
      </c>
      <c r="X167" t="s">
        <v>679</v>
      </c>
      <c r="Y167" t="s">
        <v>2196</v>
      </c>
      <c r="Z167" t="s">
        <v>4251</v>
      </c>
      <c r="AA167" t="s">
        <v>4252</v>
      </c>
      <c r="AB167" t="s">
        <v>102</v>
      </c>
      <c r="AC167" t="s">
        <v>4253</v>
      </c>
      <c r="AD167" t="s">
        <v>102</v>
      </c>
      <c r="AE167" t="s">
        <v>4254</v>
      </c>
      <c r="AF167" t="s">
        <v>102</v>
      </c>
      <c r="AG167" t="s">
        <v>4255</v>
      </c>
      <c r="AH167" t="s">
        <v>102</v>
      </c>
      <c r="AI167" t="s">
        <v>102</v>
      </c>
      <c r="AJ167" t="s">
        <v>1397</v>
      </c>
      <c r="AK167" t="s">
        <v>1397</v>
      </c>
      <c r="AL167" t="s">
        <v>2195</v>
      </c>
      <c r="AM167" t="s">
        <v>102</v>
      </c>
      <c r="AN167" t="s">
        <v>2195</v>
      </c>
      <c r="AO167" t="s">
        <v>2202</v>
      </c>
      <c r="AP167" t="s">
        <v>2202</v>
      </c>
      <c r="AQ167" t="s">
        <v>102</v>
      </c>
      <c r="AR167" t="s">
        <v>102</v>
      </c>
      <c r="AS167" t="s">
        <v>102</v>
      </c>
      <c r="AT167" t="s">
        <v>102</v>
      </c>
      <c r="AU167" t="s">
        <v>588</v>
      </c>
      <c r="AV167" t="s">
        <v>2203</v>
      </c>
      <c r="AW167" t="s">
        <v>102</v>
      </c>
      <c r="AX167" t="s">
        <v>119</v>
      </c>
      <c r="BB167" t="s">
        <v>120</v>
      </c>
      <c r="BC167" t="s">
        <v>3854</v>
      </c>
      <c r="BD167" t="s">
        <v>449</v>
      </c>
      <c r="BE167" t="s">
        <v>122</v>
      </c>
      <c r="BF167" t="s">
        <v>4256</v>
      </c>
      <c r="BG167" t="s">
        <v>124</v>
      </c>
      <c r="BH167" t="s">
        <v>4257</v>
      </c>
      <c r="BI167" t="s">
        <v>4258</v>
      </c>
      <c r="BJ167" t="s">
        <v>2207</v>
      </c>
      <c r="BK167" t="s">
        <v>4259</v>
      </c>
      <c r="BL167" t="s">
        <v>4260</v>
      </c>
      <c r="BM167" t="s">
        <v>4261</v>
      </c>
      <c r="BN167" t="s">
        <v>4249</v>
      </c>
      <c r="BO167" t="s">
        <v>2211</v>
      </c>
      <c r="BP167" t="s">
        <v>2212</v>
      </c>
      <c r="BQ167" t="s">
        <v>2213</v>
      </c>
      <c r="BR167" t="s">
        <v>2214</v>
      </c>
      <c r="BS167" t="s">
        <v>2215</v>
      </c>
      <c r="BT167" t="s">
        <v>2216</v>
      </c>
      <c r="BU167" t="s">
        <v>4262</v>
      </c>
      <c r="BV167" t="s">
        <v>4263</v>
      </c>
      <c r="BW167" t="s">
        <v>138</v>
      </c>
      <c r="BX167" t="s">
        <v>4264</v>
      </c>
      <c r="BY167" t="s">
        <v>226</v>
      </c>
      <c r="BZ167" t="s">
        <v>4265</v>
      </c>
      <c r="CA167" t="s">
        <v>4266</v>
      </c>
      <c r="CB167" t="s">
        <v>225</v>
      </c>
      <c r="CC167" t="s">
        <v>4267</v>
      </c>
      <c r="CD167" t="s">
        <v>4268</v>
      </c>
      <c r="CE167" t="s">
        <v>225</v>
      </c>
      <c r="CF167" t="s">
        <v>4267</v>
      </c>
      <c r="CG167" t="s">
        <v>4269</v>
      </c>
      <c r="CH167" t="s">
        <v>4270</v>
      </c>
      <c r="CJ167" t="s">
        <v>4271</v>
      </c>
      <c r="CK167" t="s">
        <v>4270</v>
      </c>
      <c r="CL167" t="s">
        <v>3854</v>
      </c>
      <c r="CM167" t="s">
        <v>449</v>
      </c>
      <c r="CN167" t="s">
        <v>4271</v>
      </c>
      <c r="CP167" t="s">
        <v>4270</v>
      </c>
      <c r="CQ167" t="s">
        <v>4270</v>
      </c>
    </row>
    <row r="168" spans="1:95">
      <c r="A168" t="s">
        <v>149</v>
      </c>
      <c r="B168">
        <v>2672</v>
      </c>
      <c r="C168" t="s">
        <v>2831</v>
      </c>
      <c r="D168" t="str">
        <f>VLOOKUP(B168,'2025'!B:C,2,0)</f>
        <v>Anushka</v>
      </c>
      <c r="F168" t="s">
        <v>95</v>
      </c>
      <c r="G168" t="s">
        <v>162</v>
      </c>
      <c r="H168" t="s">
        <v>97</v>
      </c>
      <c r="I168" t="s">
        <v>98</v>
      </c>
      <c r="J168" t="s">
        <v>4272</v>
      </c>
      <c r="K168" t="s">
        <v>100</v>
      </c>
      <c r="L168">
        <v>84480</v>
      </c>
      <c r="M168">
        <v>84480</v>
      </c>
      <c r="N168">
        <v>84480</v>
      </c>
      <c r="O168">
        <v>128</v>
      </c>
      <c r="P168" t="s">
        <v>4273</v>
      </c>
      <c r="Q168">
        <v>0</v>
      </c>
      <c r="R168">
        <v>0</v>
      </c>
      <c r="T168">
        <v>0</v>
      </c>
      <c r="U168">
        <v>0</v>
      </c>
      <c r="W168" t="s">
        <v>102</v>
      </c>
      <c r="X168" t="s">
        <v>275</v>
      </c>
      <c r="Z168" t="s">
        <v>1330</v>
      </c>
      <c r="AA168" t="s">
        <v>109</v>
      </c>
      <c r="AB168" t="s">
        <v>102</v>
      </c>
      <c r="AC168" t="s">
        <v>109</v>
      </c>
      <c r="AD168" t="s">
        <v>102</v>
      </c>
      <c r="AE168" t="s">
        <v>109</v>
      </c>
      <c r="AF168" t="s">
        <v>102</v>
      </c>
      <c r="AG168" t="s">
        <v>109</v>
      </c>
      <c r="AH168" t="s">
        <v>102</v>
      </c>
      <c r="AI168" t="s">
        <v>102</v>
      </c>
      <c r="AL168" t="s">
        <v>4274</v>
      </c>
      <c r="AM168" t="s">
        <v>102</v>
      </c>
      <c r="AN168" t="s">
        <v>4274</v>
      </c>
      <c r="AO168" t="s">
        <v>4275</v>
      </c>
      <c r="AP168" t="s">
        <v>4275</v>
      </c>
      <c r="AU168" t="s">
        <v>318</v>
      </c>
      <c r="AV168" t="s">
        <v>118</v>
      </c>
      <c r="AW168" t="s">
        <v>102</v>
      </c>
      <c r="AX168" t="s">
        <v>119</v>
      </c>
      <c r="BB168" t="s">
        <v>120</v>
      </c>
      <c r="BC168" t="s">
        <v>1243</v>
      </c>
      <c r="BD168" t="s">
        <v>1244</v>
      </c>
      <c r="BE168" t="s">
        <v>122</v>
      </c>
      <c r="BF168" t="s">
        <v>1244</v>
      </c>
      <c r="BG168" t="s">
        <v>124</v>
      </c>
      <c r="BH168" t="s">
        <v>232</v>
      </c>
      <c r="BI168" t="s">
        <v>126</v>
      </c>
      <c r="BJ168" t="s">
        <v>127</v>
      </c>
      <c r="BK168" t="s">
        <v>4276</v>
      </c>
      <c r="BL168" t="s">
        <v>4277</v>
      </c>
      <c r="BM168" t="s">
        <v>4278</v>
      </c>
      <c r="BN168" t="s">
        <v>162</v>
      </c>
      <c r="BO168" t="s">
        <v>257</v>
      </c>
      <c r="BP168" t="s">
        <v>350</v>
      </c>
      <c r="BQ168" t="s">
        <v>259</v>
      </c>
      <c r="BR168" t="s">
        <v>260</v>
      </c>
      <c r="BS168" t="s">
        <v>1006</v>
      </c>
      <c r="BU168" t="s">
        <v>4279</v>
      </c>
      <c r="BV168" t="s">
        <v>4280</v>
      </c>
      <c r="BW168" t="s">
        <v>296</v>
      </c>
      <c r="BX168" t="s">
        <v>4281</v>
      </c>
      <c r="BY168" t="s">
        <v>4282</v>
      </c>
      <c r="BZ168" t="s">
        <v>4283</v>
      </c>
      <c r="CG168" t="s">
        <v>102</v>
      </c>
      <c r="CH168" t="s">
        <v>4284</v>
      </c>
      <c r="CJ168" t="s">
        <v>4285</v>
      </c>
      <c r="CK168" t="s">
        <v>4284</v>
      </c>
      <c r="CL168" t="s">
        <v>1243</v>
      </c>
      <c r="CM168" t="s">
        <v>1244</v>
      </c>
      <c r="CN168" t="s">
        <v>4285</v>
      </c>
      <c r="CO168" t="s">
        <v>4286</v>
      </c>
      <c r="CP168" t="s">
        <v>4284</v>
      </c>
      <c r="CQ168" t="s">
        <v>4284</v>
      </c>
    </row>
    <row r="169" spans="1:95">
      <c r="A169" t="s">
        <v>337</v>
      </c>
      <c r="B169">
        <v>2697793</v>
      </c>
      <c r="C169" t="s">
        <v>4287</v>
      </c>
      <c r="E169" s="4" t="s">
        <v>17377</v>
      </c>
      <c r="F169" t="s">
        <v>95</v>
      </c>
      <c r="G169" t="s">
        <v>1818</v>
      </c>
      <c r="H169" t="s">
        <v>152</v>
      </c>
      <c r="I169" t="s">
        <v>98</v>
      </c>
      <c r="J169" t="s">
        <v>4288</v>
      </c>
      <c r="K169" t="s">
        <v>100</v>
      </c>
      <c r="L169">
        <v>1437903</v>
      </c>
      <c r="M169">
        <v>1437903</v>
      </c>
      <c r="N169">
        <v>0</v>
      </c>
      <c r="O169">
        <v>0</v>
      </c>
      <c r="Q169">
        <v>1437903</v>
      </c>
      <c r="R169">
        <v>1027</v>
      </c>
      <c r="S169" t="s">
        <v>4289</v>
      </c>
      <c r="T169">
        <v>0</v>
      </c>
      <c r="U169">
        <v>0</v>
      </c>
      <c r="W169" t="s">
        <v>102</v>
      </c>
      <c r="X169" t="s">
        <v>103</v>
      </c>
      <c r="Y169" t="s">
        <v>398</v>
      </c>
      <c r="AA169" t="s">
        <v>1493</v>
      </c>
      <c r="AB169" t="s">
        <v>4290</v>
      </c>
      <c r="AC169" t="s">
        <v>1602</v>
      </c>
      <c r="AD169" t="s">
        <v>4291</v>
      </c>
      <c r="AE169" t="s">
        <v>2324</v>
      </c>
      <c r="AF169" t="s">
        <v>4291</v>
      </c>
      <c r="AG169" t="s">
        <v>109</v>
      </c>
      <c r="AH169" t="s">
        <v>102</v>
      </c>
      <c r="AI169" t="s">
        <v>4292</v>
      </c>
      <c r="AJ169" t="s">
        <v>4293</v>
      </c>
      <c r="AK169" t="s">
        <v>4294</v>
      </c>
      <c r="AL169" t="s">
        <v>4295</v>
      </c>
      <c r="AM169" t="s">
        <v>4296</v>
      </c>
      <c r="AN169" t="s">
        <v>4297</v>
      </c>
      <c r="AO169" t="s">
        <v>4298</v>
      </c>
      <c r="AP169" t="s">
        <v>4298</v>
      </c>
      <c r="AU169" t="s">
        <v>102</v>
      </c>
      <c r="AW169" t="s">
        <v>155</v>
      </c>
      <c r="AX169" t="s">
        <v>119</v>
      </c>
      <c r="AY169" t="s">
        <v>170</v>
      </c>
      <c r="AZ169" t="s">
        <v>118</v>
      </c>
      <c r="BB169" t="s">
        <v>120</v>
      </c>
      <c r="BC169" t="s">
        <v>555</v>
      </c>
      <c r="BD169" t="s">
        <v>556</v>
      </c>
      <c r="BE169" t="s">
        <v>122</v>
      </c>
      <c r="BF169" t="s">
        <v>557</v>
      </c>
      <c r="BG169" t="s">
        <v>124</v>
      </c>
      <c r="BH169" t="s">
        <v>856</v>
      </c>
      <c r="BI169" t="s">
        <v>559</v>
      </c>
      <c r="BJ169" t="s">
        <v>127</v>
      </c>
      <c r="BK169" t="s">
        <v>4299</v>
      </c>
      <c r="BL169" t="s">
        <v>4300</v>
      </c>
      <c r="BM169" t="s">
        <v>4301</v>
      </c>
      <c r="BN169" t="s">
        <v>1818</v>
      </c>
      <c r="BO169" t="s">
        <v>563</v>
      </c>
      <c r="BP169" t="s">
        <v>350</v>
      </c>
      <c r="BQ169" t="s">
        <v>564</v>
      </c>
      <c r="BR169" t="s">
        <v>565</v>
      </c>
      <c r="BS169" t="s">
        <v>563</v>
      </c>
      <c r="BT169" t="s">
        <v>566</v>
      </c>
      <c r="BU169" t="s">
        <v>4302</v>
      </c>
      <c r="BV169" t="s">
        <v>4303</v>
      </c>
      <c r="BW169" t="s">
        <v>598</v>
      </c>
      <c r="BX169" t="s">
        <v>4304</v>
      </c>
      <c r="BY169" t="s">
        <v>4305</v>
      </c>
      <c r="BZ169" t="s">
        <v>4306</v>
      </c>
      <c r="CG169" t="s">
        <v>3841</v>
      </c>
      <c r="CH169" t="s">
        <v>4307</v>
      </c>
      <c r="CJ169" t="s">
        <v>2447</v>
      </c>
      <c r="CK169" t="s">
        <v>4307</v>
      </c>
      <c r="CL169" t="s">
        <v>555</v>
      </c>
      <c r="CM169" t="s">
        <v>556</v>
      </c>
      <c r="CN169" t="s">
        <v>2447</v>
      </c>
      <c r="CP169" t="s">
        <v>4307</v>
      </c>
      <c r="CQ169" t="s">
        <v>4307</v>
      </c>
    </row>
    <row r="170" spans="1:95">
      <c r="A170" t="s">
        <v>337</v>
      </c>
      <c r="B170">
        <v>27245</v>
      </c>
      <c r="C170" t="s">
        <v>4308</v>
      </c>
      <c r="D170" t="str">
        <f>VLOOKUP(B170,'2025'!B:C,2,0)</f>
        <v>Preeti Kapoor</v>
      </c>
      <c r="F170" t="s">
        <v>95</v>
      </c>
      <c r="G170" t="s">
        <v>4309</v>
      </c>
      <c r="H170" t="s">
        <v>193</v>
      </c>
      <c r="I170" t="s">
        <v>98</v>
      </c>
      <c r="J170" t="s">
        <v>4310</v>
      </c>
      <c r="K170" t="s">
        <v>100</v>
      </c>
      <c r="L170">
        <v>1165915</v>
      </c>
      <c r="M170">
        <v>1276312</v>
      </c>
      <c r="N170">
        <v>552600</v>
      </c>
      <c r="O170">
        <v>614</v>
      </c>
      <c r="P170" t="s">
        <v>2451</v>
      </c>
      <c r="Q170">
        <v>0</v>
      </c>
      <c r="R170">
        <v>0</v>
      </c>
      <c r="T170">
        <v>613315</v>
      </c>
      <c r="U170">
        <v>222</v>
      </c>
      <c r="V170" t="s">
        <v>4311</v>
      </c>
      <c r="W170" t="s">
        <v>102</v>
      </c>
      <c r="X170" t="s">
        <v>103</v>
      </c>
      <c r="Y170" t="s">
        <v>104</v>
      </c>
      <c r="AA170" t="s">
        <v>4312</v>
      </c>
      <c r="AB170" t="s">
        <v>4313</v>
      </c>
      <c r="AC170" t="s">
        <v>520</v>
      </c>
      <c r="AD170" t="s">
        <v>4314</v>
      </c>
      <c r="AE170" t="s">
        <v>109</v>
      </c>
      <c r="AF170" t="s">
        <v>102</v>
      </c>
      <c r="AG170" t="s">
        <v>109</v>
      </c>
      <c r="AH170" t="s">
        <v>102</v>
      </c>
      <c r="AI170" t="s">
        <v>4315</v>
      </c>
      <c r="AJ170" t="s">
        <v>549</v>
      </c>
      <c r="AK170" t="s">
        <v>4316</v>
      </c>
      <c r="AL170" t="s">
        <v>4317</v>
      </c>
      <c r="AM170" t="s">
        <v>4318</v>
      </c>
      <c r="AN170" t="s">
        <v>4319</v>
      </c>
      <c r="AO170" t="s">
        <v>4320</v>
      </c>
      <c r="AP170" t="s">
        <v>4320</v>
      </c>
      <c r="AU170" t="s">
        <v>207</v>
      </c>
      <c r="AV170" t="s">
        <v>118</v>
      </c>
      <c r="AW170" t="s">
        <v>102</v>
      </c>
      <c r="AX170" t="s">
        <v>119</v>
      </c>
      <c r="BA170" t="s">
        <v>250</v>
      </c>
      <c r="BB170" t="s">
        <v>171</v>
      </c>
      <c r="BC170" t="s">
        <v>623</v>
      </c>
      <c r="BD170" t="s">
        <v>621</v>
      </c>
      <c r="BE170" t="s">
        <v>622</v>
      </c>
      <c r="BF170" t="s">
        <v>623</v>
      </c>
      <c r="BG170" t="s">
        <v>124</v>
      </c>
      <c r="BH170" t="s">
        <v>4321</v>
      </c>
      <c r="BI170" t="s">
        <v>4322</v>
      </c>
      <c r="BJ170" t="s">
        <v>127</v>
      </c>
      <c r="BK170" t="s">
        <v>4323</v>
      </c>
      <c r="BL170" t="s">
        <v>4324</v>
      </c>
      <c r="BM170" t="s">
        <v>4325</v>
      </c>
      <c r="BN170" t="s">
        <v>4309</v>
      </c>
      <c r="BO170" t="s">
        <v>4326</v>
      </c>
      <c r="BP170" t="s">
        <v>132</v>
      </c>
      <c r="BQ170" t="s">
        <v>4327</v>
      </c>
      <c r="BR170" t="s">
        <v>4328</v>
      </c>
      <c r="BS170" t="s">
        <v>507</v>
      </c>
      <c r="BU170" t="s">
        <v>4329</v>
      </c>
      <c r="BV170" t="s">
        <v>4330</v>
      </c>
      <c r="BW170" t="s">
        <v>1282</v>
      </c>
      <c r="BX170" t="s">
        <v>4331</v>
      </c>
      <c r="BY170" t="s">
        <v>4332</v>
      </c>
      <c r="BZ170" t="s">
        <v>4333</v>
      </c>
      <c r="CA170" t="s">
        <v>4334</v>
      </c>
      <c r="CB170" t="s">
        <v>4335</v>
      </c>
      <c r="CC170" t="s">
        <v>4336</v>
      </c>
      <c r="CD170" t="s">
        <v>4337</v>
      </c>
      <c r="CE170" t="s">
        <v>4338</v>
      </c>
      <c r="CF170" t="s">
        <v>4339</v>
      </c>
      <c r="CG170" t="s">
        <v>4340</v>
      </c>
      <c r="CH170" t="s">
        <v>4341</v>
      </c>
      <c r="CJ170" t="s">
        <v>4342</v>
      </c>
      <c r="CK170" t="s">
        <v>4343</v>
      </c>
      <c r="CL170" t="s">
        <v>623</v>
      </c>
      <c r="CM170" t="s">
        <v>621</v>
      </c>
      <c r="CN170" t="s">
        <v>4342</v>
      </c>
      <c r="CO170" t="s">
        <v>4344</v>
      </c>
      <c r="CP170" t="s">
        <v>4345</v>
      </c>
      <c r="CQ170" t="s">
        <v>4343</v>
      </c>
    </row>
    <row r="171" spans="1:95">
      <c r="A171" t="s">
        <v>149</v>
      </c>
      <c r="B171">
        <v>2737981</v>
      </c>
      <c r="C171" t="s">
        <v>4346</v>
      </c>
      <c r="E171" s="4" t="s">
        <v>17377</v>
      </c>
      <c r="F171" t="s">
        <v>95</v>
      </c>
      <c r="G171" t="s">
        <v>4347</v>
      </c>
      <c r="H171" t="s">
        <v>2884</v>
      </c>
      <c r="I171" t="s">
        <v>98</v>
      </c>
      <c r="J171" t="s">
        <v>4348</v>
      </c>
      <c r="K171" t="s">
        <v>100</v>
      </c>
      <c r="L171">
        <v>760900</v>
      </c>
      <c r="M171">
        <v>833962</v>
      </c>
      <c r="N171">
        <v>102929</v>
      </c>
      <c r="O171">
        <v>180</v>
      </c>
      <c r="P171" t="s">
        <v>4349</v>
      </c>
      <c r="Q171">
        <v>252072</v>
      </c>
      <c r="R171">
        <v>300</v>
      </c>
      <c r="S171" t="s">
        <v>4350</v>
      </c>
      <c r="T171">
        <v>405899</v>
      </c>
      <c r="U171">
        <v>300</v>
      </c>
      <c r="V171" t="s">
        <v>4351</v>
      </c>
      <c r="W171" t="s">
        <v>102</v>
      </c>
      <c r="X171" t="s">
        <v>679</v>
      </c>
      <c r="Y171" t="s">
        <v>104</v>
      </c>
      <c r="Z171" t="s">
        <v>1542</v>
      </c>
      <c r="AA171" t="s">
        <v>2889</v>
      </c>
      <c r="AB171" t="s">
        <v>4352</v>
      </c>
      <c r="AC171" t="s">
        <v>2891</v>
      </c>
      <c r="AD171" t="s">
        <v>4353</v>
      </c>
      <c r="AE171" t="s">
        <v>109</v>
      </c>
      <c r="AF171" t="s">
        <v>102</v>
      </c>
      <c r="AG171" t="s">
        <v>109</v>
      </c>
      <c r="AH171" t="s">
        <v>102</v>
      </c>
      <c r="AI171" t="s">
        <v>4354</v>
      </c>
      <c r="AJ171" t="s">
        <v>520</v>
      </c>
      <c r="AK171" t="s">
        <v>2867</v>
      </c>
      <c r="AL171" t="s">
        <v>4355</v>
      </c>
      <c r="AM171" t="s">
        <v>4356</v>
      </c>
      <c r="AN171" t="s">
        <v>4357</v>
      </c>
      <c r="AO171" t="s">
        <v>4358</v>
      </c>
      <c r="AP171" t="s">
        <v>4358</v>
      </c>
      <c r="AU171" t="s">
        <v>247</v>
      </c>
      <c r="AV171" t="s">
        <v>118</v>
      </c>
      <c r="AW171" t="s">
        <v>1758</v>
      </c>
      <c r="AX171" t="s">
        <v>119</v>
      </c>
      <c r="AZ171" t="s">
        <v>250</v>
      </c>
      <c r="BA171" t="s">
        <v>250</v>
      </c>
      <c r="BB171" t="s">
        <v>209</v>
      </c>
      <c r="BC171" t="s">
        <v>2872</v>
      </c>
      <c r="BD171" t="s">
        <v>410</v>
      </c>
      <c r="BE171" t="s">
        <v>212</v>
      </c>
      <c r="BF171" t="s">
        <v>410</v>
      </c>
      <c r="BG171" t="s">
        <v>124</v>
      </c>
      <c r="BH171" t="s">
        <v>1374</v>
      </c>
      <c r="BI171" t="s">
        <v>411</v>
      </c>
      <c r="BJ171" t="s">
        <v>127</v>
      </c>
      <c r="BK171" t="s">
        <v>4359</v>
      </c>
      <c r="BL171" t="s">
        <v>4360</v>
      </c>
      <c r="BM171" t="s">
        <v>4361</v>
      </c>
      <c r="BN171" t="s">
        <v>4347</v>
      </c>
      <c r="BO171" t="s">
        <v>956</v>
      </c>
      <c r="BP171" t="s">
        <v>505</v>
      </c>
      <c r="BQ171" t="s">
        <v>958</v>
      </c>
      <c r="BR171" t="s">
        <v>959</v>
      </c>
      <c r="BS171" t="s">
        <v>293</v>
      </c>
      <c r="BT171" t="s">
        <v>293</v>
      </c>
      <c r="BU171" t="s">
        <v>4362</v>
      </c>
      <c r="BV171" t="s">
        <v>4363</v>
      </c>
      <c r="BX171" t="s">
        <v>4364</v>
      </c>
      <c r="BY171" t="s">
        <v>4365</v>
      </c>
      <c r="BZ171" t="s">
        <v>4366</v>
      </c>
      <c r="CG171" t="s">
        <v>102</v>
      </c>
      <c r="CH171" t="s">
        <v>4367</v>
      </c>
      <c r="CJ171" t="s">
        <v>4368</v>
      </c>
      <c r="CK171" t="s">
        <v>4367</v>
      </c>
      <c r="CL171" t="s">
        <v>2872</v>
      </c>
      <c r="CM171" t="s">
        <v>410</v>
      </c>
      <c r="CN171" t="s">
        <v>4368</v>
      </c>
      <c r="CP171" t="s">
        <v>4367</v>
      </c>
      <c r="CQ171" t="s">
        <v>4367</v>
      </c>
    </row>
    <row r="172" spans="1:95">
      <c r="A172" t="s">
        <v>93</v>
      </c>
      <c r="B172">
        <v>2758617</v>
      </c>
      <c r="C172" t="s">
        <v>4369</v>
      </c>
      <c r="D172" t="str">
        <f>VLOOKUP(B172,'2025'!B:C,2,0)</f>
        <v>Aarti Iyer</v>
      </c>
      <c r="F172" t="s">
        <v>95</v>
      </c>
      <c r="G172" t="s">
        <v>4370</v>
      </c>
      <c r="H172" t="s">
        <v>152</v>
      </c>
      <c r="I172" t="s">
        <v>98</v>
      </c>
      <c r="J172" t="s">
        <v>4371</v>
      </c>
      <c r="K172" t="s">
        <v>100</v>
      </c>
      <c r="L172">
        <v>1977765</v>
      </c>
      <c r="M172">
        <v>1977765</v>
      </c>
      <c r="N172">
        <v>0</v>
      </c>
      <c r="O172">
        <v>0</v>
      </c>
      <c r="Q172">
        <v>1977765</v>
      </c>
      <c r="R172">
        <v>824</v>
      </c>
      <c r="S172" t="s">
        <v>4372</v>
      </c>
      <c r="T172">
        <v>0</v>
      </c>
      <c r="U172">
        <v>0</v>
      </c>
      <c r="W172" t="s">
        <v>102</v>
      </c>
      <c r="X172" t="s">
        <v>103</v>
      </c>
      <c r="Y172" t="s">
        <v>155</v>
      </c>
      <c r="AA172" t="s">
        <v>4370</v>
      </c>
      <c r="AB172" t="s">
        <v>4373</v>
      </c>
      <c r="AC172" t="s">
        <v>1819</v>
      </c>
      <c r="AD172" t="s">
        <v>4373</v>
      </c>
      <c r="AE172" t="s">
        <v>2630</v>
      </c>
      <c r="AF172" t="s">
        <v>4373</v>
      </c>
      <c r="AG172" t="s">
        <v>160</v>
      </c>
      <c r="AH172" t="s">
        <v>4373</v>
      </c>
      <c r="AI172" t="s">
        <v>102</v>
      </c>
      <c r="AJ172" t="s">
        <v>197</v>
      </c>
      <c r="AK172" t="s">
        <v>4374</v>
      </c>
      <c r="AL172" t="s">
        <v>4375</v>
      </c>
      <c r="AM172" t="s">
        <v>4376</v>
      </c>
      <c r="AN172" t="s">
        <v>4377</v>
      </c>
      <c r="AO172" t="s">
        <v>4378</v>
      </c>
      <c r="AP172" t="s">
        <v>4378</v>
      </c>
      <c r="AU172" t="s">
        <v>102</v>
      </c>
      <c r="AW172" t="s">
        <v>155</v>
      </c>
      <c r="AX172" t="s">
        <v>447</v>
      </c>
      <c r="AY172" t="s">
        <v>170</v>
      </c>
      <c r="AZ172" t="s">
        <v>118</v>
      </c>
      <c r="BB172" t="s">
        <v>120</v>
      </c>
      <c r="BC172" t="s">
        <v>2127</v>
      </c>
      <c r="BD172" t="s">
        <v>621</v>
      </c>
      <c r="BE172" t="s">
        <v>622</v>
      </c>
      <c r="BF172" t="s">
        <v>976</v>
      </c>
      <c r="BG172" t="s">
        <v>124</v>
      </c>
      <c r="BH172" t="s">
        <v>4370</v>
      </c>
      <c r="BI172" t="s">
        <v>126</v>
      </c>
      <c r="BJ172" t="s">
        <v>127</v>
      </c>
      <c r="BK172" t="s">
        <v>4379</v>
      </c>
      <c r="BL172" t="s">
        <v>4380</v>
      </c>
      <c r="BM172" t="s">
        <v>4381</v>
      </c>
      <c r="BN172" t="s">
        <v>4370</v>
      </c>
      <c r="BO172" t="s">
        <v>4382</v>
      </c>
      <c r="BP172" t="s">
        <v>258</v>
      </c>
      <c r="BQ172" t="s">
        <v>4383</v>
      </c>
      <c r="BR172" t="s">
        <v>4384</v>
      </c>
      <c r="BS172" t="s">
        <v>984</v>
      </c>
      <c r="BU172" t="s">
        <v>4385</v>
      </c>
      <c r="BV172" t="s">
        <v>4386</v>
      </c>
      <c r="BW172" t="s">
        <v>138</v>
      </c>
      <c r="BX172" t="s">
        <v>4387</v>
      </c>
      <c r="BY172" t="s">
        <v>4388</v>
      </c>
      <c r="BZ172" t="s">
        <v>4389</v>
      </c>
      <c r="CA172" t="s">
        <v>4386</v>
      </c>
      <c r="CB172" t="s">
        <v>4387</v>
      </c>
      <c r="CC172" t="s">
        <v>4388</v>
      </c>
      <c r="CG172" t="s">
        <v>4390</v>
      </c>
      <c r="CH172" t="s">
        <v>4391</v>
      </c>
      <c r="CJ172" t="s">
        <v>4392</v>
      </c>
      <c r="CK172" t="s">
        <v>4391</v>
      </c>
      <c r="CL172" t="s">
        <v>2127</v>
      </c>
      <c r="CM172" t="s">
        <v>621</v>
      </c>
      <c r="CN172" t="s">
        <v>4392</v>
      </c>
      <c r="CP172" t="s">
        <v>4391</v>
      </c>
      <c r="CQ172" t="s">
        <v>4391</v>
      </c>
    </row>
    <row r="173" spans="1:95">
      <c r="A173" t="s">
        <v>337</v>
      </c>
      <c r="B173">
        <v>276791</v>
      </c>
      <c r="C173" t="s">
        <v>4393</v>
      </c>
      <c r="E173" s="4" t="s">
        <v>17377</v>
      </c>
      <c r="F173" t="s">
        <v>95</v>
      </c>
      <c r="G173" t="s">
        <v>4394</v>
      </c>
      <c r="H173" t="s">
        <v>643</v>
      </c>
      <c r="I173" t="s">
        <v>98</v>
      </c>
      <c r="J173" t="s">
        <v>4395</v>
      </c>
      <c r="K173" t="s">
        <v>100</v>
      </c>
      <c r="L173">
        <v>1634268</v>
      </c>
      <c r="M173">
        <v>1768268</v>
      </c>
      <c r="N173">
        <v>0</v>
      </c>
      <c r="O173">
        <v>0</v>
      </c>
      <c r="Q173">
        <v>889824</v>
      </c>
      <c r="R173">
        <v>496</v>
      </c>
      <c r="S173" t="s">
        <v>4396</v>
      </c>
      <c r="T173">
        <v>744444</v>
      </c>
      <c r="U173">
        <v>488</v>
      </c>
      <c r="V173" t="s">
        <v>1907</v>
      </c>
      <c r="W173" t="s">
        <v>102</v>
      </c>
      <c r="X173" t="s">
        <v>103</v>
      </c>
      <c r="Y173" t="s">
        <v>155</v>
      </c>
      <c r="AA173" t="s">
        <v>3457</v>
      </c>
      <c r="AB173" t="s">
        <v>4397</v>
      </c>
      <c r="AC173" t="s">
        <v>1330</v>
      </c>
      <c r="AD173" t="s">
        <v>4397</v>
      </c>
      <c r="AE173" t="s">
        <v>2304</v>
      </c>
      <c r="AF173" t="s">
        <v>4397</v>
      </c>
      <c r="AG173" t="s">
        <v>4398</v>
      </c>
      <c r="AH173" t="s">
        <v>4397</v>
      </c>
      <c r="AI173" t="s">
        <v>102</v>
      </c>
      <c r="AJ173" t="s">
        <v>1397</v>
      </c>
      <c r="AK173" t="s">
        <v>439</v>
      </c>
      <c r="AL173" t="s">
        <v>4399</v>
      </c>
      <c r="AM173" t="s">
        <v>4400</v>
      </c>
      <c r="AN173" t="s">
        <v>4401</v>
      </c>
      <c r="AO173" t="s">
        <v>4402</v>
      </c>
      <c r="AP173" t="s">
        <v>4402</v>
      </c>
      <c r="AU173" t="s">
        <v>102</v>
      </c>
      <c r="AW173" t="s">
        <v>655</v>
      </c>
      <c r="AX173" t="s">
        <v>119</v>
      </c>
      <c r="AY173" t="s">
        <v>170</v>
      </c>
      <c r="AZ173" t="s">
        <v>118</v>
      </c>
      <c r="BA173" t="s">
        <v>250</v>
      </c>
      <c r="BB173" t="s">
        <v>120</v>
      </c>
      <c r="BC173" t="s">
        <v>4403</v>
      </c>
      <c r="BD173" t="s">
        <v>4404</v>
      </c>
      <c r="BE173" t="s">
        <v>174</v>
      </c>
      <c r="BF173" t="s">
        <v>4405</v>
      </c>
      <c r="BG173" t="s">
        <v>124</v>
      </c>
      <c r="BH173" t="s">
        <v>4406</v>
      </c>
      <c r="BI173" t="s">
        <v>126</v>
      </c>
      <c r="BJ173" t="s">
        <v>127</v>
      </c>
      <c r="BK173" t="s">
        <v>4407</v>
      </c>
      <c r="BL173" t="s">
        <v>4408</v>
      </c>
      <c r="BM173" t="s">
        <v>4409</v>
      </c>
      <c r="BN173" t="s">
        <v>4394</v>
      </c>
      <c r="BO173" t="s">
        <v>4410</v>
      </c>
      <c r="BP173" t="s">
        <v>258</v>
      </c>
      <c r="BQ173" t="s">
        <v>4411</v>
      </c>
      <c r="BR173" t="s">
        <v>4412</v>
      </c>
      <c r="BS173" t="s">
        <v>4413</v>
      </c>
      <c r="BT173" t="s">
        <v>1111</v>
      </c>
      <c r="BU173" t="s">
        <v>4414</v>
      </c>
      <c r="BV173" t="s">
        <v>4415</v>
      </c>
      <c r="BW173" t="s">
        <v>4416</v>
      </c>
      <c r="BX173" t="s">
        <v>4417</v>
      </c>
      <c r="BY173" t="s">
        <v>4418</v>
      </c>
      <c r="BZ173" t="s">
        <v>4419</v>
      </c>
      <c r="CA173" t="s">
        <v>4420</v>
      </c>
      <c r="CB173" t="s">
        <v>4421</v>
      </c>
      <c r="CC173" t="s">
        <v>4422</v>
      </c>
      <c r="CD173" t="s">
        <v>4423</v>
      </c>
      <c r="CE173" t="s">
        <v>4421</v>
      </c>
      <c r="CF173" t="s">
        <v>4424</v>
      </c>
      <c r="CG173" t="s">
        <v>4425</v>
      </c>
      <c r="CH173" t="s">
        <v>4426</v>
      </c>
      <c r="CJ173" t="s">
        <v>4427</v>
      </c>
      <c r="CK173" t="s">
        <v>4428</v>
      </c>
      <c r="CL173" t="s">
        <v>4403</v>
      </c>
      <c r="CM173" t="s">
        <v>4404</v>
      </c>
      <c r="CN173" t="s">
        <v>4427</v>
      </c>
      <c r="CP173" t="s">
        <v>4426</v>
      </c>
      <c r="CQ173" t="s">
        <v>4428</v>
      </c>
    </row>
    <row r="174" spans="1:95">
      <c r="A174" t="s">
        <v>149</v>
      </c>
      <c r="B174">
        <v>2821214</v>
      </c>
      <c r="C174" t="s">
        <v>4429</v>
      </c>
      <c r="F174" t="s">
        <v>95</v>
      </c>
      <c r="G174" t="s">
        <v>1164</v>
      </c>
      <c r="H174" t="s">
        <v>848</v>
      </c>
      <c r="I174" t="s">
        <v>98</v>
      </c>
      <c r="J174" t="s">
        <v>4430</v>
      </c>
      <c r="K174" t="s">
        <v>100</v>
      </c>
      <c r="L174">
        <v>469854</v>
      </c>
      <c r="M174">
        <v>554428</v>
      </c>
      <c r="N174">
        <v>0</v>
      </c>
      <c r="O174">
        <v>0</v>
      </c>
      <c r="Q174">
        <v>0</v>
      </c>
      <c r="R174">
        <v>0</v>
      </c>
      <c r="T174">
        <v>469854</v>
      </c>
      <c r="U174">
        <v>308</v>
      </c>
      <c r="V174" t="s">
        <v>1907</v>
      </c>
      <c r="W174" t="s">
        <v>102</v>
      </c>
      <c r="X174" t="s">
        <v>275</v>
      </c>
      <c r="Z174" t="s">
        <v>3134</v>
      </c>
      <c r="AA174" t="s">
        <v>109</v>
      </c>
      <c r="AB174" t="s">
        <v>102</v>
      </c>
      <c r="AC174" t="s">
        <v>109</v>
      </c>
      <c r="AD174" t="s">
        <v>102</v>
      </c>
      <c r="AE174" t="s">
        <v>109</v>
      </c>
      <c r="AF174" t="s">
        <v>102</v>
      </c>
      <c r="AG174" t="s">
        <v>109</v>
      </c>
      <c r="AH174" t="s">
        <v>102</v>
      </c>
      <c r="AI174" t="s">
        <v>4431</v>
      </c>
      <c r="AJ174" t="s">
        <v>347</v>
      </c>
      <c r="AK174" t="s">
        <v>347</v>
      </c>
      <c r="AL174" t="s">
        <v>4432</v>
      </c>
      <c r="AM174" t="s">
        <v>4433</v>
      </c>
      <c r="AN174" t="s">
        <v>102</v>
      </c>
      <c r="AO174" t="s">
        <v>116</v>
      </c>
      <c r="AP174" t="s">
        <v>116</v>
      </c>
      <c r="AU174" t="s">
        <v>102</v>
      </c>
      <c r="AW174" t="s">
        <v>102</v>
      </c>
      <c r="AX174" t="s">
        <v>119</v>
      </c>
      <c r="BA174" t="s">
        <v>250</v>
      </c>
      <c r="BB174" t="s">
        <v>120</v>
      </c>
      <c r="BC174" t="s">
        <v>3537</v>
      </c>
      <c r="BD174" t="s">
        <v>410</v>
      </c>
      <c r="BE174" t="s">
        <v>212</v>
      </c>
      <c r="BF174" t="s">
        <v>410</v>
      </c>
      <c r="BG174" t="s">
        <v>124</v>
      </c>
      <c r="BH174" t="s">
        <v>214</v>
      </c>
      <c r="BI174" t="s">
        <v>625</v>
      </c>
      <c r="BJ174" t="s">
        <v>127</v>
      </c>
      <c r="BK174" t="s">
        <v>4434</v>
      </c>
      <c r="BL174" t="s">
        <v>4435</v>
      </c>
      <c r="BM174" t="s">
        <v>4436</v>
      </c>
      <c r="BN174" t="s">
        <v>1164</v>
      </c>
      <c r="BO174" t="s">
        <v>956</v>
      </c>
      <c r="BP174" t="s">
        <v>350</v>
      </c>
      <c r="BQ174" t="s">
        <v>958</v>
      </c>
      <c r="BR174" t="s">
        <v>959</v>
      </c>
      <c r="BS174" t="s">
        <v>418</v>
      </c>
      <c r="BU174" t="s">
        <v>4437</v>
      </c>
      <c r="BV174" t="s">
        <v>4438</v>
      </c>
      <c r="BX174" t="s">
        <v>4439</v>
      </c>
      <c r="BY174" t="s">
        <v>4440</v>
      </c>
      <c r="BZ174" t="s">
        <v>4441</v>
      </c>
      <c r="CG174" t="s">
        <v>102</v>
      </c>
      <c r="CH174" t="s">
        <v>4442</v>
      </c>
      <c r="CJ174" t="s">
        <v>4443</v>
      </c>
      <c r="CK174" t="s">
        <v>4442</v>
      </c>
      <c r="CL174" t="s">
        <v>3537</v>
      </c>
      <c r="CM174" t="s">
        <v>410</v>
      </c>
      <c r="CN174" t="s">
        <v>4443</v>
      </c>
      <c r="CO174" t="s">
        <v>4066</v>
      </c>
      <c r="CP174" t="s">
        <v>4442</v>
      </c>
      <c r="CQ174" t="s">
        <v>4442</v>
      </c>
    </row>
    <row r="175" spans="1:95">
      <c r="A175" t="s">
        <v>337</v>
      </c>
      <c r="B175">
        <v>282495</v>
      </c>
      <c r="C175" t="s">
        <v>4444</v>
      </c>
      <c r="D175" t="str">
        <f>VLOOKUP(B175,'2025'!B:C,2,0)</f>
        <v>Unnati Sharma</v>
      </c>
      <c r="F175" t="s">
        <v>95</v>
      </c>
      <c r="G175" t="s">
        <v>4445</v>
      </c>
      <c r="H175" t="s">
        <v>848</v>
      </c>
      <c r="I175" t="s">
        <v>98</v>
      </c>
      <c r="J175" t="s">
        <v>4446</v>
      </c>
      <c r="K175" t="s">
        <v>100</v>
      </c>
      <c r="L175">
        <v>228788</v>
      </c>
      <c r="M175">
        <v>269970</v>
      </c>
      <c r="N175">
        <v>0</v>
      </c>
      <c r="O175">
        <v>0</v>
      </c>
      <c r="Q175">
        <v>0</v>
      </c>
      <c r="R175">
        <v>0</v>
      </c>
      <c r="T175">
        <v>228788</v>
      </c>
      <c r="U175">
        <v>90</v>
      </c>
      <c r="V175" t="s">
        <v>2910</v>
      </c>
      <c r="W175" t="s">
        <v>102</v>
      </c>
      <c r="X175" t="s">
        <v>275</v>
      </c>
      <c r="Z175" t="s">
        <v>883</v>
      </c>
      <c r="AA175" t="s">
        <v>109</v>
      </c>
      <c r="AB175" t="s">
        <v>102</v>
      </c>
      <c r="AC175" t="s">
        <v>109</v>
      </c>
      <c r="AD175" t="s">
        <v>102</v>
      </c>
      <c r="AE175" t="s">
        <v>109</v>
      </c>
      <c r="AF175" t="s">
        <v>102</v>
      </c>
      <c r="AG175" t="s">
        <v>109</v>
      </c>
      <c r="AH175" t="s">
        <v>102</v>
      </c>
      <c r="AI175" t="s">
        <v>4447</v>
      </c>
      <c r="AJ175" t="s">
        <v>1574</v>
      </c>
      <c r="AK175" t="s">
        <v>1574</v>
      </c>
      <c r="AL175" t="s">
        <v>4448</v>
      </c>
      <c r="AM175" t="s">
        <v>4449</v>
      </c>
      <c r="AN175" t="s">
        <v>102</v>
      </c>
      <c r="AO175" t="s">
        <v>4450</v>
      </c>
      <c r="AP175" t="s">
        <v>4450</v>
      </c>
      <c r="AU175" t="s">
        <v>102</v>
      </c>
      <c r="AW175" t="s">
        <v>102</v>
      </c>
      <c r="AX175" t="s">
        <v>119</v>
      </c>
      <c r="BA175" t="s">
        <v>250</v>
      </c>
      <c r="BB175" t="s">
        <v>120</v>
      </c>
      <c r="BC175" t="s">
        <v>1729</v>
      </c>
      <c r="BD175" t="s">
        <v>730</v>
      </c>
      <c r="BE175" t="s">
        <v>622</v>
      </c>
      <c r="BF175" t="s">
        <v>730</v>
      </c>
      <c r="BG175" t="s">
        <v>124</v>
      </c>
      <c r="BH175" t="s">
        <v>214</v>
      </c>
      <c r="BI175" t="s">
        <v>625</v>
      </c>
      <c r="BJ175" t="s">
        <v>127</v>
      </c>
      <c r="BK175" t="s">
        <v>4451</v>
      </c>
      <c r="BL175" t="s">
        <v>4452</v>
      </c>
      <c r="BM175" t="s">
        <v>4453</v>
      </c>
      <c r="BN175" t="s">
        <v>4445</v>
      </c>
      <c r="BO175" t="s">
        <v>3910</v>
      </c>
      <c r="BP175" t="s">
        <v>350</v>
      </c>
      <c r="BQ175" t="s">
        <v>3911</v>
      </c>
      <c r="BR175" t="s">
        <v>3912</v>
      </c>
      <c r="BS175" t="s">
        <v>2569</v>
      </c>
      <c r="BU175" t="s">
        <v>4454</v>
      </c>
      <c r="BV175" t="s">
        <v>4455</v>
      </c>
      <c r="BW175" t="s">
        <v>354</v>
      </c>
      <c r="BX175" t="s">
        <v>4456</v>
      </c>
      <c r="BY175" t="s">
        <v>4457</v>
      </c>
      <c r="BZ175" t="s">
        <v>4458</v>
      </c>
      <c r="CG175" t="s">
        <v>1594</v>
      </c>
      <c r="CH175" t="s">
        <v>4459</v>
      </c>
      <c r="CJ175" t="s">
        <v>1743</v>
      </c>
      <c r="CK175" t="s">
        <v>4459</v>
      </c>
      <c r="CL175" t="s">
        <v>1729</v>
      </c>
      <c r="CM175" t="s">
        <v>730</v>
      </c>
      <c r="CN175" t="s">
        <v>1743</v>
      </c>
      <c r="CP175" t="s">
        <v>4459</v>
      </c>
      <c r="CQ175" t="s">
        <v>4459</v>
      </c>
    </row>
    <row r="176" spans="1:95">
      <c r="A176" t="s">
        <v>149</v>
      </c>
      <c r="B176">
        <v>28275</v>
      </c>
      <c r="C176" t="s">
        <v>4460</v>
      </c>
      <c r="D176" t="str">
        <f>VLOOKUP(B176,'2025'!B:C,2,0)</f>
        <v>Tanya</v>
      </c>
      <c r="F176" t="s">
        <v>95</v>
      </c>
      <c r="G176" t="s">
        <v>4461</v>
      </c>
      <c r="H176" t="s">
        <v>97</v>
      </c>
      <c r="I176" t="s">
        <v>98</v>
      </c>
      <c r="J176" t="s">
        <v>4462</v>
      </c>
      <c r="K176" t="s">
        <v>100</v>
      </c>
      <c r="L176">
        <v>175500</v>
      </c>
      <c r="M176">
        <v>175500</v>
      </c>
      <c r="N176">
        <v>175500</v>
      </c>
      <c r="O176">
        <v>195</v>
      </c>
      <c r="P176" t="s">
        <v>2451</v>
      </c>
      <c r="Q176">
        <v>0</v>
      </c>
      <c r="R176">
        <v>0</v>
      </c>
      <c r="T176">
        <v>0</v>
      </c>
      <c r="U176">
        <v>0</v>
      </c>
      <c r="W176" t="s">
        <v>102</v>
      </c>
      <c r="X176" t="s">
        <v>275</v>
      </c>
      <c r="Z176" t="s">
        <v>4461</v>
      </c>
      <c r="AA176" t="s">
        <v>109</v>
      </c>
      <c r="AB176" t="s">
        <v>102</v>
      </c>
      <c r="AC176" t="s">
        <v>109</v>
      </c>
      <c r="AD176" t="s">
        <v>102</v>
      </c>
      <c r="AE176" t="s">
        <v>109</v>
      </c>
      <c r="AF176" t="s">
        <v>102</v>
      </c>
      <c r="AG176" t="s">
        <v>109</v>
      </c>
      <c r="AH176" t="s">
        <v>102</v>
      </c>
      <c r="AI176" t="s">
        <v>4463</v>
      </c>
      <c r="AJ176" t="s">
        <v>339</v>
      </c>
      <c r="AK176" t="s">
        <v>339</v>
      </c>
      <c r="AL176" t="s">
        <v>4464</v>
      </c>
      <c r="AM176" t="s">
        <v>4465</v>
      </c>
      <c r="AN176" t="s">
        <v>102</v>
      </c>
      <c r="AO176" t="s">
        <v>554</v>
      </c>
      <c r="AP176" t="s">
        <v>554</v>
      </c>
      <c r="AU176" t="s">
        <v>318</v>
      </c>
      <c r="AV176" t="s">
        <v>118</v>
      </c>
      <c r="AW176" t="s">
        <v>102</v>
      </c>
      <c r="AX176" t="s">
        <v>119</v>
      </c>
      <c r="BB176" t="s">
        <v>1664</v>
      </c>
      <c r="BC176" t="s">
        <v>251</v>
      </c>
      <c r="BD176" t="s">
        <v>252</v>
      </c>
      <c r="BE176" t="s">
        <v>122</v>
      </c>
      <c r="BF176" t="s">
        <v>253</v>
      </c>
      <c r="BG176" t="s">
        <v>124</v>
      </c>
      <c r="BH176" t="s">
        <v>232</v>
      </c>
      <c r="BI176" t="s">
        <v>126</v>
      </c>
      <c r="BJ176" t="s">
        <v>127</v>
      </c>
      <c r="BK176" t="s">
        <v>4466</v>
      </c>
      <c r="BL176" t="s">
        <v>4467</v>
      </c>
      <c r="BM176" t="s">
        <v>4468</v>
      </c>
      <c r="BN176" t="s">
        <v>4461</v>
      </c>
      <c r="BO176" t="s">
        <v>3267</v>
      </c>
      <c r="BP176" t="s">
        <v>350</v>
      </c>
      <c r="BQ176" t="s">
        <v>3268</v>
      </c>
      <c r="BR176" t="s">
        <v>3269</v>
      </c>
      <c r="BS176" t="s">
        <v>1111</v>
      </c>
      <c r="BU176" t="s">
        <v>4469</v>
      </c>
      <c r="BV176" t="s">
        <v>4470</v>
      </c>
      <c r="BW176" t="s">
        <v>598</v>
      </c>
      <c r="BX176" t="s">
        <v>4471</v>
      </c>
      <c r="BY176" t="s">
        <v>4472</v>
      </c>
      <c r="BZ176" t="s">
        <v>4473</v>
      </c>
      <c r="CG176" t="s">
        <v>102</v>
      </c>
      <c r="CH176" t="s">
        <v>4474</v>
      </c>
      <c r="CJ176" t="s">
        <v>270</v>
      </c>
      <c r="CK176" t="s">
        <v>4474</v>
      </c>
      <c r="CL176" t="s">
        <v>251</v>
      </c>
      <c r="CM176" t="s">
        <v>252</v>
      </c>
      <c r="CN176" t="s">
        <v>270</v>
      </c>
      <c r="CP176" t="s">
        <v>4474</v>
      </c>
      <c r="CQ176" t="s">
        <v>4474</v>
      </c>
    </row>
    <row r="177" spans="1:95">
      <c r="A177" t="s">
        <v>149</v>
      </c>
      <c r="B177">
        <v>2844474</v>
      </c>
      <c r="C177" t="s">
        <v>4475</v>
      </c>
      <c r="D177" t="str">
        <f>VLOOKUP(B177,'2025'!B:C,2,0)</f>
        <v>Vineeth T V</v>
      </c>
      <c r="F177" t="s">
        <v>95</v>
      </c>
      <c r="G177" t="s">
        <v>367</v>
      </c>
      <c r="H177" t="s">
        <v>97</v>
      </c>
      <c r="I177" t="s">
        <v>98</v>
      </c>
      <c r="J177" t="s">
        <v>4476</v>
      </c>
      <c r="K177" t="s">
        <v>100</v>
      </c>
      <c r="L177">
        <v>378100</v>
      </c>
      <c r="M177">
        <v>378100</v>
      </c>
      <c r="N177">
        <v>378100</v>
      </c>
      <c r="O177">
        <v>535</v>
      </c>
      <c r="P177" t="s">
        <v>4477</v>
      </c>
      <c r="Q177">
        <v>0</v>
      </c>
      <c r="R177">
        <v>0</v>
      </c>
      <c r="T177">
        <v>0</v>
      </c>
      <c r="U177">
        <v>0</v>
      </c>
      <c r="W177" t="s">
        <v>102</v>
      </c>
      <c r="X177" t="s">
        <v>103</v>
      </c>
      <c r="Y177" t="s">
        <v>104</v>
      </c>
      <c r="AA177" t="s">
        <v>367</v>
      </c>
      <c r="AB177" t="s">
        <v>4478</v>
      </c>
      <c r="AC177" t="s">
        <v>158</v>
      </c>
      <c r="AD177" t="s">
        <v>4479</v>
      </c>
      <c r="AE177" t="s">
        <v>109</v>
      </c>
      <c r="AF177" t="s">
        <v>102</v>
      </c>
      <c r="AG177" t="s">
        <v>109</v>
      </c>
      <c r="AH177" t="s">
        <v>102</v>
      </c>
      <c r="AI177" t="s">
        <v>4480</v>
      </c>
      <c r="AJ177" t="s">
        <v>3731</v>
      </c>
      <c r="AK177" t="s">
        <v>685</v>
      </c>
      <c r="AL177" t="s">
        <v>4481</v>
      </c>
      <c r="AM177" t="s">
        <v>4482</v>
      </c>
      <c r="AN177" t="s">
        <v>4483</v>
      </c>
      <c r="AO177" t="s">
        <v>4484</v>
      </c>
      <c r="AP177" t="s">
        <v>4484</v>
      </c>
      <c r="AU177" t="s">
        <v>318</v>
      </c>
      <c r="AV177" t="s">
        <v>118</v>
      </c>
      <c r="AW177" t="s">
        <v>102</v>
      </c>
      <c r="AX177" t="s">
        <v>119</v>
      </c>
      <c r="BB177" t="s">
        <v>120</v>
      </c>
      <c r="BC177" t="s">
        <v>920</v>
      </c>
      <c r="BD177" t="s">
        <v>211</v>
      </c>
      <c r="BE177" t="s">
        <v>212</v>
      </c>
      <c r="BF177" t="s">
        <v>213</v>
      </c>
      <c r="BG177" t="s">
        <v>124</v>
      </c>
      <c r="BH177" t="s">
        <v>892</v>
      </c>
      <c r="BI177" t="s">
        <v>126</v>
      </c>
      <c r="BJ177" t="s">
        <v>127</v>
      </c>
      <c r="BK177" t="s">
        <v>4485</v>
      </c>
      <c r="BL177" t="s">
        <v>4486</v>
      </c>
      <c r="BM177" t="s">
        <v>4487</v>
      </c>
      <c r="BN177" t="s">
        <v>367</v>
      </c>
      <c r="BO177" t="s">
        <v>924</v>
      </c>
      <c r="BP177" t="s">
        <v>180</v>
      </c>
      <c r="BQ177" t="s">
        <v>925</v>
      </c>
      <c r="BR177" t="s">
        <v>926</v>
      </c>
      <c r="BS177" t="s">
        <v>2151</v>
      </c>
      <c r="BU177" t="s">
        <v>4488</v>
      </c>
      <c r="BV177" t="s">
        <v>224</v>
      </c>
      <c r="BX177" t="s">
        <v>225</v>
      </c>
      <c r="BY177" t="s">
        <v>226</v>
      </c>
      <c r="BZ177" t="s">
        <v>4489</v>
      </c>
      <c r="CG177" t="s">
        <v>102</v>
      </c>
      <c r="CH177" t="s">
        <v>4490</v>
      </c>
      <c r="CJ177" t="s">
        <v>4491</v>
      </c>
      <c r="CK177" t="s">
        <v>4490</v>
      </c>
      <c r="CL177" t="s">
        <v>920</v>
      </c>
      <c r="CM177" t="s">
        <v>211</v>
      </c>
      <c r="CN177" t="s">
        <v>4491</v>
      </c>
      <c r="CO177" t="s">
        <v>3589</v>
      </c>
      <c r="CP177" t="s">
        <v>4490</v>
      </c>
      <c r="CQ177" t="s">
        <v>4490</v>
      </c>
    </row>
    <row r="178" spans="1:95">
      <c r="A178" t="s">
        <v>149</v>
      </c>
      <c r="B178">
        <v>28968</v>
      </c>
      <c r="C178" t="s">
        <v>4492</v>
      </c>
      <c r="D178" t="str">
        <f>VLOOKUP(B178,'2025'!B:C,2,0)</f>
        <v>Anushka</v>
      </c>
      <c r="F178" t="s">
        <v>95</v>
      </c>
      <c r="G178" t="s">
        <v>4493</v>
      </c>
      <c r="H178" t="s">
        <v>152</v>
      </c>
      <c r="I178" t="s">
        <v>98</v>
      </c>
      <c r="J178" t="s">
        <v>4494</v>
      </c>
      <c r="K178" t="s">
        <v>100</v>
      </c>
      <c r="L178">
        <v>474382</v>
      </c>
      <c r="M178">
        <v>474382</v>
      </c>
      <c r="N178">
        <v>0</v>
      </c>
      <c r="O178">
        <v>0</v>
      </c>
      <c r="Q178">
        <v>474382</v>
      </c>
      <c r="R178">
        <v>315</v>
      </c>
      <c r="S178" t="s">
        <v>4495</v>
      </c>
      <c r="T178">
        <v>0</v>
      </c>
      <c r="U178">
        <v>0</v>
      </c>
      <c r="W178" t="s">
        <v>102</v>
      </c>
      <c r="X178" t="s">
        <v>103</v>
      </c>
      <c r="Y178" t="s">
        <v>155</v>
      </c>
      <c r="AA178" t="s">
        <v>1493</v>
      </c>
      <c r="AB178" t="s">
        <v>4496</v>
      </c>
      <c r="AC178" t="s">
        <v>4211</v>
      </c>
      <c r="AD178" t="s">
        <v>4496</v>
      </c>
      <c r="AE178" t="s">
        <v>4497</v>
      </c>
      <c r="AF178" t="s">
        <v>4496</v>
      </c>
      <c r="AG178" t="s">
        <v>160</v>
      </c>
      <c r="AH178" t="s">
        <v>4496</v>
      </c>
      <c r="AI178" t="s">
        <v>102</v>
      </c>
      <c r="AJ178" t="s">
        <v>2304</v>
      </c>
      <c r="AK178" t="s">
        <v>4498</v>
      </c>
      <c r="AL178" t="s">
        <v>4499</v>
      </c>
      <c r="AM178" t="s">
        <v>4500</v>
      </c>
      <c r="AN178" t="s">
        <v>4501</v>
      </c>
      <c r="AO178" t="s">
        <v>4502</v>
      </c>
      <c r="AP178" t="s">
        <v>4502</v>
      </c>
      <c r="AU178" t="s">
        <v>102</v>
      </c>
      <c r="AW178" t="s">
        <v>155</v>
      </c>
      <c r="AX178" t="s">
        <v>119</v>
      </c>
      <c r="AZ178" t="s">
        <v>250</v>
      </c>
      <c r="BB178" t="s">
        <v>120</v>
      </c>
      <c r="BC178" t="s">
        <v>448</v>
      </c>
      <c r="BD178" t="s">
        <v>449</v>
      </c>
      <c r="BE178" t="s">
        <v>122</v>
      </c>
      <c r="BF178" t="s">
        <v>450</v>
      </c>
      <c r="BG178" t="s">
        <v>124</v>
      </c>
      <c r="BH178" t="s">
        <v>232</v>
      </c>
      <c r="BI178" t="s">
        <v>126</v>
      </c>
      <c r="BJ178" t="s">
        <v>127</v>
      </c>
      <c r="BK178" t="s">
        <v>4503</v>
      </c>
      <c r="BL178" t="s">
        <v>4504</v>
      </c>
      <c r="BM178" t="s">
        <v>4505</v>
      </c>
      <c r="BN178" t="s">
        <v>4493</v>
      </c>
      <c r="BO178" t="s">
        <v>257</v>
      </c>
      <c r="BP178" t="s">
        <v>132</v>
      </c>
      <c r="BQ178" t="s">
        <v>259</v>
      </c>
      <c r="BR178" t="s">
        <v>260</v>
      </c>
      <c r="BS178" t="s">
        <v>1006</v>
      </c>
      <c r="BU178" t="s">
        <v>4506</v>
      </c>
      <c r="BV178" t="s">
        <v>4507</v>
      </c>
      <c r="BW178" t="s">
        <v>138</v>
      </c>
      <c r="BX178" t="s">
        <v>4508</v>
      </c>
      <c r="BY178" t="s">
        <v>4509</v>
      </c>
      <c r="BZ178" t="s">
        <v>4510</v>
      </c>
      <c r="CG178" t="s">
        <v>102</v>
      </c>
      <c r="CH178" t="s">
        <v>4511</v>
      </c>
      <c r="CJ178" t="s">
        <v>4512</v>
      </c>
      <c r="CK178" t="s">
        <v>4511</v>
      </c>
      <c r="CL178" t="s">
        <v>448</v>
      </c>
      <c r="CM178" t="s">
        <v>449</v>
      </c>
      <c r="CN178" t="s">
        <v>4512</v>
      </c>
      <c r="CO178" t="s">
        <v>4513</v>
      </c>
      <c r="CP178" t="s">
        <v>4511</v>
      </c>
      <c r="CQ178" t="s">
        <v>4511</v>
      </c>
    </row>
    <row r="179" spans="1:95">
      <c r="A179" t="s">
        <v>149</v>
      </c>
      <c r="B179">
        <v>29318</v>
      </c>
      <c r="C179" t="s">
        <v>4514</v>
      </c>
      <c r="E179" s="4" t="s">
        <v>17377</v>
      </c>
      <c r="F179" t="s">
        <v>95</v>
      </c>
      <c r="G179" t="s">
        <v>847</v>
      </c>
      <c r="H179" t="s">
        <v>1746</v>
      </c>
      <c r="I179" t="s">
        <v>98</v>
      </c>
      <c r="J179" t="s">
        <v>4515</v>
      </c>
      <c r="K179" t="s">
        <v>100</v>
      </c>
      <c r="L179">
        <v>1435732</v>
      </c>
      <c r="M179">
        <v>1562885</v>
      </c>
      <c r="N179">
        <v>173649</v>
      </c>
      <c r="O179">
        <v>521</v>
      </c>
      <c r="P179" t="s">
        <v>4516</v>
      </c>
      <c r="Q179">
        <v>555678</v>
      </c>
      <c r="R179">
        <v>521</v>
      </c>
      <c r="S179" t="s">
        <v>4517</v>
      </c>
      <c r="T179">
        <v>706405</v>
      </c>
      <c r="U179">
        <v>521</v>
      </c>
      <c r="V179" t="s">
        <v>4518</v>
      </c>
      <c r="W179" t="s">
        <v>102</v>
      </c>
      <c r="X179" t="s">
        <v>103</v>
      </c>
      <c r="Y179" t="s">
        <v>155</v>
      </c>
      <c r="AA179" t="s">
        <v>1493</v>
      </c>
      <c r="AB179" t="s">
        <v>4519</v>
      </c>
      <c r="AC179" t="s">
        <v>158</v>
      </c>
      <c r="AD179" t="s">
        <v>4519</v>
      </c>
      <c r="AE179" t="s">
        <v>648</v>
      </c>
      <c r="AF179" t="s">
        <v>4519</v>
      </c>
      <c r="AG179" t="s">
        <v>160</v>
      </c>
      <c r="AH179" t="s">
        <v>4519</v>
      </c>
      <c r="AI179" t="s">
        <v>102</v>
      </c>
      <c r="AJ179" t="s">
        <v>1799</v>
      </c>
      <c r="AK179" t="s">
        <v>4520</v>
      </c>
      <c r="AL179" t="s">
        <v>4521</v>
      </c>
      <c r="AM179" t="s">
        <v>4522</v>
      </c>
      <c r="AN179" t="s">
        <v>4523</v>
      </c>
      <c r="AO179" t="s">
        <v>4524</v>
      </c>
      <c r="AP179" t="s">
        <v>4524</v>
      </c>
      <c r="AU179" t="s">
        <v>318</v>
      </c>
      <c r="AV179" t="s">
        <v>250</v>
      </c>
      <c r="AW179" t="s">
        <v>1758</v>
      </c>
      <c r="AX179" t="s">
        <v>119</v>
      </c>
      <c r="AZ179" t="s">
        <v>250</v>
      </c>
      <c r="BA179" t="s">
        <v>250</v>
      </c>
      <c r="BB179" t="s">
        <v>120</v>
      </c>
      <c r="BC179" t="s">
        <v>3735</v>
      </c>
      <c r="BD179" t="s">
        <v>410</v>
      </c>
      <c r="BE179" t="s">
        <v>212</v>
      </c>
      <c r="BF179" t="s">
        <v>410</v>
      </c>
      <c r="BG179" t="s">
        <v>124</v>
      </c>
      <c r="BH179" t="s">
        <v>1493</v>
      </c>
      <c r="BI179" t="s">
        <v>625</v>
      </c>
      <c r="BJ179" t="s">
        <v>127</v>
      </c>
      <c r="BK179" t="s">
        <v>4525</v>
      </c>
      <c r="BL179" t="s">
        <v>4526</v>
      </c>
      <c r="BM179" t="s">
        <v>4527</v>
      </c>
      <c r="BN179" t="s">
        <v>847</v>
      </c>
      <c r="BO179" t="s">
        <v>956</v>
      </c>
      <c r="BP179" t="s">
        <v>180</v>
      </c>
      <c r="BQ179" t="s">
        <v>958</v>
      </c>
      <c r="BR179" t="s">
        <v>959</v>
      </c>
      <c r="BS179" t="s">
        <v>418</v>
      </c>
      <c r="BT179" t="s">
        <v>418</v>
      </c>
      <c r="BU179" t="s">
        <v>4528</v>
      </c>
      <c r="BV179" t="s">
        <v>4529</v>
      </c>
      <c r="BX179" t="s">
        <v>4530</v>
      </c>
      <c r="BY179" t="s">
        <v>4531</v>
      </c>
      <c r="BZ179" t="s">
        <v>4530</v>
      </c>
      <c r="CG179" t="s">
        <v>102</v>
      </c>
      <c r="CH179" t="s">
        <v>3735</v>
      </c>
      <c r="CJ179" t="s">
        <v>4532</v>
      </c>
      <c r="CK179" t="s">
        <v>3735</v>
      </c>
      <c r="CL179" t="s">
        <v>3735</v>
      </c>
      <c r="CM179" t="s">
        <v>410</v>
      </c>
      <c r="CN179" t="s">
        <v>4532</v>
      </c>
      <c r="CP179" t="s">
        <v>3735</v>
      </c>
      <c r="CQ179" t="s">
        <v>3735</v>
      </c>
    </row>
    <row r="180" spans="1:95">
      <c r="A180" t="s">
        <v>149</v>
      </c>
      <c r="B180">
        <v>2952557</v>
      </c>
      <c r="C180" t="s">
        <v>4533</v>
      </c>
      <c r="D180" t="str">
        <f>VLOOKUP(B180,'2025'!B:C,2,0)</f>
        <v>Hetal Parmar</v>
      </c>
      <c r="F180" t="s">
        <v>95</v>
      </c>
      <c r="G180" t="s">
        <v>583</v>
      </c>
      <c r="H180" t="s">
        <v>97</v>
      </c>
      <c r="I180" t="s">
        <v>98</v>
      </c>
      <c r="J180" t="s">
        <v>4534</v>
      </c>
      <c r="K180" t="s">
        <v>100</v>
      </c>
      <c r="L180">
        <v>246640</v>
      </c>
      <c r="M180">
        <v>246640</v>
      </c>
      <c r="N180">
        <v>246640</v>
      </c>
      <c r="O180">
        <v>345</v>
      </c>
      <c r="P180" t="s">
        <v>1954</v>
      </c>
      <c r="Q180">
        <v>0</v>
      </c>
      <c r="R180">
        <v>0</v>
      </c>
      <c r="T180">
        <v>0</v>
      </c>
      <c r="U180">
        <v>0</v>
      </c>
      <c r="W180" t="s">
        <v>102</v>
      </c>
      <c r="X180" t="s">
        <v>275</v>
      </c>
      <c r="Z180" t="s">
        <v>648</v>
      </c>
      <c r="AA180" t="s">
        <v>109</v>
      </c>
      <c r="AB180" t="s">
        <v>102</v>
      </c>
      <c r="AC180" t="s">
        <v>109</v>
      </c>
      <c r="AD180" t="s">
        <v>102</v>
      </c>
      <c r="AE180" t="s">
        <v>109</v>
      </c>
      <c r="AF180" t="s">
        <v>102</v>
      </c>
      <c r="AG180" t="s">
        <v>109</v>
      </c>
      <c r="AH180" t="s">
        <v>102</v>
      </c>
      <c r="AI180" t="s">
        <v>4535</v>
      </c>
      <c r="AJ180" t="s">
        <v>4536</v>
      </c>
      <c r="AK180" t="s">
        <v>4536</v>
      </c>
      <c r="AL180" t="s">
        <v>4537</v>
      </c>
      <c r="AM180" t="s">
        <v>4538</v>
      </c>
      <c r="AN180" t="s">
        <v>4539</v>
      </c>
      <c r="AO180" t="s">
        <v>4540</v>
      </c>
      <c r="AP180" t="s">
        <v>4540</v>
      </c>
      <c r="AU180" t="s">
        <v>117</v>
      </c>
      <c r="AV180" t="s">
        <v>118</v>
      </c>
      <c r="AW180" t="s">
        <v>102</v>
      </c>
      <c r="AX180" t="s">
        <v>119</v>
      </c>
      <c r="BB180" t="s">
        <v>3678</v>
      </c>
      <c r="BC180" t="s">
        <v>623</v>
      </c>
      <c r="BD180" t="s">
        <v>621</v>
      </c>
      <c r="BE180" t="s">
        <v>622</v>
      </c>
      <c r="BF180" t="s">
        <v>623</v>
      </c>
      <c r="BG180" t="s">
        <v>124</v>
      </c>
      <c r="BH180" t="s">
        <v>232</v>
      </c>
      <c r="BI180" t="s">
        <v>126</v>
      </c>
      <c r="BJ180" t="s">
        <v>127</v>
      </c>
      <c r="BK180" t="s">
        <v>4541</v>
      </c>
      <c r="BL180" t="s">
        <v>4542</v>
      </c>
      <c r="BM180" t="s">
        <v>4543</v>
      </c>
      <c r="BN180" t="s">
        <v>583</v>
      </c>
      <c r="BO180" t="s">
        <v>1339</v>
      </c>
      <c r="BP180" t="s">
        <v>132</v>
      </c>
      <c r="BQ180" t="s">
        <v>1340</v>
      </c>
      <c r="BR180" t="s">
        <v>1341</v>
      </c>
      <c r="BS180" t="s">
        <v>1279</v>
      </c>
      <c r="BU180" t="s">
        <v>4544</v>
      </c>
      <c r="BV180" t="s">
        <v>4545</v>
      </c>
      <c r="BW180" t="s">
        <v>138</v>
      </c>
      <c r="BX180" t="s">
        <v>4546</v>
      </c>
      <c r="BY180" t="s">
        <v>4547</v>
      </c>
      <c r="BZ180" t="s">
        <v>4548</v>
      </c>
      <c r="CA180" t="s">
        <v>4545</v>
      </c>
      <c r="CB180" t="s">
        <v>4546</v>
      </c>
      <c r="CC180" t="s">
        <v>4547</v>
      </c>
      <c r="CG180" t="s">
        <v>102</v>
      </c>
      <c r="CH180" t="s">
        <v>4549</v>
      </c>
      <c r="CJ180" t="s">
        <v>4550</v>
      </c>
      <c r="CK180" t="s">
        <v>4549</v>
      </c>
      <c r="CL180" t="s">
        <v>623</v>
      </c>
      <c r="CM180" t="s">
        <v>621</v>
      </c>
      <c r="CN180" t="s">
        <v>4550</v>
      </c>
      <c r="CO180" t="s">
        <v>4551</v>
      </c>
      <c r="CP180" t="s">
        <v>4549</v>
      </c>
      <c r="CQ180" t="s">
        <v>4549</v>
      </c>
    </row>
    <row r="181" spans="1:95">
      <c r="A181" t="s">
        <v>93</v>
      </c>
      <c r="B181">
        <v>2966684</v>
      </c>
      <c r="C181" t="s">
        <v>4552</v>
      </c>
      <c r="E181" s="4" t="s">
        <v>17377</v>
      </c>
      <c r="F181" t="s">
        <v>95</v>
      </c>
      <c r="G181" t="s">
        <v>441</v>
      </c>
      <c r="H181" t="s">
        <v>152</v>
      </c>
      <c r="I181" t="s">
        <v>98</v>
      </c>
      <c r="J181" t="s">
        <v>4553</v>
      </c>
      <c r="K181" t="s">
        <v>100</v>
      </c>
      <c r="L181">
        <v>481401</v>
      </c>
      <c r="M181">
        <v>481401</v>
      </c>
      <c r="N181">
        <v>0</v>
      </c>
      <c r="O181">
        <v>0</v>
      </c>
      <c r="Q181">
        <v>481401</v>
      </c>
      <c r="R181">
        <v>311</v>
      </c>
      <c r="S181" t="s">
        <v>4554</v>
      </c>
      <c r="T181">
        <v>0</v>
      </c>
      <c r="U181">
        <v>0</v>
      </c>
      <c r="W181" t="s">
        <v>102</v>
      </c>
      <c r="X181" t="s">
        <v>103</v>
      </c>
      <c r="Y181" t="s">
        <v>155</v>
      </c>
      <c r="AA181" t="s">
        <v>175</v>
      </c>
      <c r="AB181" t="s">
        <v>4555</v>
      </c>
      <c r="AC181" t="s">
        <v>3731</v>
      </c>
      <c r="AD181" t="s">
        <v>4555</v>
      </c>
      <c r="AE181" t="s">
        <v>4556</v>
      </c>
      <c r="AF181" t="s">
        <v>4555</v>
      </c>
      <c r="AG181" t="s">
        <v>471</v>
      </c>
      <c r="AH181" t="s">
        <v>4555</v>
      </c>
      <c r="AI181" t="s">
        <v>4557</v>
      </c>
      <c r="AJ181" t="s">
        <v>1542</v>
      </c>
      <c r="AK181" t="s">
        <v>685</v>
      </c>
      <c r="AL181" t="s">
        <v>4558</v>
      </c>
      <c r="AM181" t="s">
        <v>4559</v>
      </c>
      <c r="AN181" t="s">
        <v>4560</v>
      </c>
      <c r="AO181" t="s">
        <v>4561</v>
      </c>
      <c r="AP181" t="s">
        <v>4561</v>
      </c>
      <c r="AU181" t="s">
        <v>102</v>
      </c>
      <c r="AW181" t="s">
        <v>155</v>
      </c>
      <c r="AX181" t="s">
        <v>447</v>
      </c>
      <c r="AY181" t="s">
        <v>170</v>
      </c>
      <c r="AZ181" t="s">
        <v>118</v>
      </c>
      <c r="BB181" t="s">
        <v>120</v>
      </c>
      <c r="BC181" t="s">
        <v>4562</v>
      </c>
      <c r="BD181" t="s">
        <v>556</v>
      </c>
      <c r="BE181" t="s">
        <v>122</v>
      </c>
      <c r="BF181" t="s">
        <v>557</v>
      </c>
      <c r="BG181" t="s">
        <v>124</v>
      </c>
      <c r="BH181" t="s">
        <v>175</v>
      </c>
      <c r="BI181" t="s">
        <v>4563</v>
      </c>
      <c r="BJ181" t="s">
        <v>127</v>
      </c>
      <c r="BK181" t="s">
        <v>4564</v>
      </c>
      <c r="BL181" t="s">
        <v>4565</v>
      </c>
      <c r="BM181" t="s">
        <v>4566</v>
      </c>
      <c r="BN181" t="s">
        <v>441</v>
      </c>
      <c r="BO181" t="s">
        <v>1071</v>
      </c>
      <c r="BP181" t="s">
        <v>350</v>
      </c>
      <c r="BQ181" t="s">
        <v>1072</v>
      </c>
      <c r="BR181" t="s">
        <v>1073</v>
      </c>
      <c r="BS181" t="s">
        <v>1074</v>
      </c>
      <c r="BT181" t="s">
        <v>1075</v>
      </c>
      <c r="BU181" t="s">
        <v>4567</v>
      </c>
      <c r="BV181" t="s">
        <v>4568</v>
      </c>
      <c r="BW181" t="s">
        <v>354</v>
      </c>
      <c r="BX181" t="s">
        <v>4569</v>
      </c>
      <c r="BY181" t="s">
        <v>4570</v>
      </c>
      <c r="BZ181" t="s">
        <v>4571</v>
      </c>
      <c r="CG181" t="s">
        <v>4572</v>
      </c>
      <c r="CH181" t="s">
        <v>4573</v>
      </c>
      <c r="CJ181" t="s">
        <v>4574</v>
      </c>
      <c r="CK181" t="s">
        <v>4573</v>
      </c>
      <c r="CL181" t="s">
        <v>4562</v>
      </c>
      <c r="CM181" t="s">
        <v>556</v>
      </c>
      <c r="CN181" t="s">
        <v>4574</v>
      </c>
      <c r="CP181" t="s">
        <v>4573</v>
      </c>
      <c r="CQ181" t="s">
        <v>4573</v>
      </c>
    </row>
    <row r="182" spans="1:95">
      <c r="A182" t="s">
        <v>495</v>
      </c>
      <c r="B182">
        <v>2984015</v>
      </c>
      <c r="C182" t="s">
        <v>4575</v>
      </c>
      <c r="D182" t="str">
        <f>VLOOKUP(B182,'2025'!B:C,2,0)</f>
        <v>Ishita Jethwa</v>
      </c>
      <c r="F182" t="s">
        <v>95</v>
      </c>
      <c r="G182" t="s">
        <v>4576</v>
      </c>
      <c r="H182" t="s">
        <v>152</v>
      </c>
      <c r="I182" t="s">
        <v>98</v>
      </c>
      <c r="J182" t="s">
        <v>4577</v>
      </c>
      <c r="K182" t="s">
        <v>100</v>
      </c>
      <c r="L182">
        <v>826268</v>
      </c>
      <c r="M182">
        <v>826268</v>
      </c>
      <c r="N182">
        <v>0</v>
      </c>
      <c r="O182">
        <v>0</v>
      </c>
      <c r="Q182">
        <v>826268</v>
      </c>
      <c r="R182">
        <v>568</v>
      </c>
      <c r="S182" t="s">
        <v>4578</v>
      </c>
      <c r="T182">
        <v>0</v>
      </c>
      <c r="U182">
        <v>0</v>
      </c>
      <c r="W182" t="s">
        <v>102</v>
      </c>
      <c r="X182" t="s">
        <v>679</v>
      </c>
      <c r="Y182" t="s">
        <v>104</v>
      </c>
      <c r="Z182" t="s">
        <v>1358</v>
      </c>
      <c r="AA182" t="s">
        <v>2009</v>
      </c>
      <c r="AB182" t="s">
        <v>4579</v>
      </c>
      <c r="AC182" t="s">
        <v>1266</v>
      </c>
      <c r="AD182" t="s">
        <v>4579</v>
      </c>
      <c r="AE182" t="s">
        <v>109</v>
      </c>
      <c r="AF182" t="s">
        <v>102</v>
      </c>
      <c r="AG182" t="s">
        <v>109</v>
      </c>
      <c r="AH182" t="s">
        <v>102</v>
      </c>
      <c r="AI182" t="s">
        <v>4580</v>
      </c>
      <c r="AJ182" t="s">
        <v>4581</v>
      </c>
      <c r="AK182" t="s">
        <v>4582</v>
      </c>
      <c r="AL182" t="s">
        <v>4583</v>
      </c>
      <c r="AM182" t="s">
        <v>4584</v>
      </c>
      <c r="AN182" t="s">
        <v>4585</v>
      </c>
      <c r="AO182" t="s">
        <v>4586</v>
      </c>
      <c r="AP182" t="s">
        <v>4586</v>
      </c>
      <c r="AU182" t="s">
        <v>102</v>
      </c>
      <c r="AW182" t="s">
        <v>801</v>
      </c>
      <c r="AX182" t="s">
        <v>447</v>
      </c>
      <c r="AY182" t="s">
        <v>170</v>
      </c>
      <c r="AZ182" t="s">
        <v>118</v>
      </c>
      <c r="BB182" t="s">
        <v>120</v>
      </c>
      <c r="BC182" t="s">
        <v>2327</v>
      </c>
      <c r="BD182" t="s">
        <v>730</v>
      </c>
      <c r="BE182" t="s">
        <v>622</v>
      </c>
      <c r="BF182" t="s">
        <v>730</v>
      </c>
      <c r="BG182" t="s">
        <v>124</v>
      </c>
      <c r="BH182" t="s">
        <v>232</v>
      </c>
      <c r="BI182" t="s">
        <v>126</v>
      </c>
      <c r="BJ182" t="s">
        <v>127</v>
      </c>
      <c r="BK182" t="s">
        <v>4587</v>
      </c>
      <c r="BL182" t="s">
        <v>4588</v>
      </c>
      <c r="BM182" t="s">
        <v>4589</v>
      </c>
      <c r="BN182" t="s">
        <v>4576</v>
      </c>
      <c r="BO182" t="s">
        <v>2262</v>
      </c>
      <c r="BP182" t="s">
        <v>350</v>
      </c>
      <c r="BQ182" t="s">
        <v>2263</v>
      </c>
      <c r="BR182" t="s">
        <v>2264</v>
      </c>
      <c r="BS182" t="s">
        <v>737</v>
      </c>
      <c r="BU182" t="s">
        <v>4590</v>
      </c>
      <c r="BV182" t="s">
        <v>4591</v>
      </c>
      <c r="BW182" t="s">
        <v>3121</v>
      </c>
      <c r="BX182" t="s">
        <v>4592</v>
      </c>
      <c r="BY182" t="s">
        <v>4593</v>
      </c>
      <c r="BZ182" t="s">
        <v>4594</v>
      </c>
      <c r="CA182" t="s">
        <v>4595</v>
      </c>
      <c r="CB182" t="s">
        <v>4596</v>
      </c>
      <c r="CC182" t="s">
        <v>4597</v>
      </c>
      <c r="CD182" t="s">
        <v>4598</v>
      </c>
      <c r="CE182" t="s">
        <v>4599</v>
      </c>
      <c r="CF182" t="s">
        <v>4600</v>
      </c>
      <c r="CG182" t="s">
        <v>573</v>
      </c>
      <c r="CH182" t="s">
        <v>4601</v>
      </c>
      <c r="CJ182" t="s">
        <v>4602</v>
      </c>
      <c r="CK182" t="s">
        <v>4601</v>
      </c>
      <c r="CL182" t="s">
        <v>2327</v>
      </c>
      <c r="CM182" t="s">
        <v>730</v>
      </c>
      <c r="CN182" t="s">
        <v>4602</v>
      </c>
      <c r="CO182" t="s">
        <v>4603</v>
      </c>
      <c r="CP182" t="s">
        <v>4604</v>
      </c>
      <c r="CQ182" t="s">
        <v>4604</v>
      </c>
    </row>
    <row r="183" spans="1:95">
      <c r="A183" t="s">
        <v>149</v>
      </c>
      <c r="B183">
        <v>3072629</v>
      </c>
      <c r="C183" t="s">
        <v>4605</v>
      </c>
      <c r="D183" t="str">
        <f>VLOOKUP(B183,'2025'!B:C,2,0)</f>
        <v>Vaishali</v>
      </c>
      <c r="F183" t="s">
        <v>95</v>
      </c>
      <c r="G183" t="s">
        <v>4606</v>
      </c>
      <c r="H183" t="s">
        <v>193</v>
      </c>
      <c r="I183" t="s">
        <v>98</v>
      </c>
      <c r="J183" t="s">
        <v>4607</v>
      </c>
      <c r="K183" t="s">
        <v>100</v>
      </c>
      <c r="L183">
        <v>2201363</v>
      </c>
      <c r="M183">
        <v>2472316</v>
      </c>
      <c r="N183">
        <v>696068</v>
      </c>
      <c r="O183">
        <v>1638</v>
      </c>
      <c r="P183" t="s">
        <v>4608</v>
      </c>
      <c r="Q183">
        <v>0</v>
      </c>
      <c r="R183">
        <v>0</v>
      </c>
      <c r="T183">
        <v>1505295</v>
      </c>
      <c r="U183">
        <v>1631</v>
      </c>
      <c r="V183" t="s">
        <v>4609</v>
      </c>
      <c r="W183" t="s">
        <v>102</v>
      </c>
      <c r="X183" t="s">
        <v>103</v>
      </c>
      <c r="Y183" t="s">
        <v>801</v>
      </c>
      <c r="AA183" t="s">
        <v>4610</v>
      </c>
      <c r="AB183" t="s">
        <v>4611</v>
      </c>
      <c r="AC183" t="s">
        <v>4612</v>
      </c>
      <c r="AD183" t="s">
        <v>4611</v>
      </c>
      <c r="AE183" t="s">
        <v>1094</v>
      </c>
      <c r="AF183" t="s">
        <v>4613</v>
      </c>
      <c r="AG183" t="s">
        <v>807</v>
      </c>
      <c r="AH183" t="s">
        <v>4613</v>
      </c>
      <c r="AI183" t="s">
        <v>4614</v>
      </c>
      <c r="AJ183" t="s">
        <v>1374</v>
      </c>
      <c r="AK183" t="s">
        <v>4615</v>
      </c>
      <c r="AL183" t="s">
        <v>4616</v>
      </c>
      <c r="AM183" t="s">
        <v>4617</v>
      </c>
      <c r="AN183" t="s">
        <v>4618</v>
      </c>
      <c r="AO183" t="s">
        <v>4619</v>
      </c>
      <c r="AP183" t="s">
        <v>4620</v>
      </c>
      <c r="AR183" t="s">
        <v>169</v>
      </c>
      <c r="AT183" t="s">
        <v>169</v>
      </c>
      <c r="AU183" t="s">
        <v>247</v>
      </c>
      <c r="AV183" t="s">
        <v>118</v>
      </c>
      <c r="AW183" t="s">
        <v>102</v>
      </c>
      <c r="AX183" t="s">
        <v>119</v>
      </c>
      <c r="BA183" t="s">
        <v>250</v>
      </c>
      <c r="BB183" t="s">
        <v>120</v>
      </c>
      <c r="BC183" t="s">
        <v>2204</v>
      </c>
      <c r="BD183" t="s">
        <v>121</v>
      </c>
      <c r="BE183" t="s">
        <v>122</v>
      </c>
      <c r="BF183" t="s">
        <v>123</v>
      </c>
      <c r="BG183" t="s">
        <v>124</v>
      </c>
      <c r="BH183" t="s">
        <v>232</v>
      </c>
      <c r="BI183" t="s">
        <v>126</v>
      </c>
      <c r="BJ183" t="s">
        <v>127</v>
      </c>
      <c r="BK183" t="s">
        <v>4621</v>
      </c>
      <c r="BL183" t="s">
        <v>4622</v>
      </c>
      <c r="BM183" t="s">
        <v>4623</v>
      </c>
      <c r="BN183" t="s">
        <v>4606</v>
      </c>
      <c r="BO183" t="s">
        <v>1108</v>
      </c>
      <c r="BP183" t="s">
        <v>350</v>
      </c>
      <c r="BQ183" t="s">
        <v>1109</v>
      </c>
      <c r="BR183" t="s">
        <v>1110</v>
      </c>
      <c r="BS183" t="s">
        <v>1111</v>
      </c>
      <c r="BU183" t="s">
        <v>4624</v>
      </c>
      <c r="BV183" t="s">
        <v>4625</v>
      </c>
      <c r="BW183" t="s">
        <v>138</v>
      </c>
      <c r="BX183" t="s">
        <v>4626</v>
      </c>
      <c r="BY183" t="s">
        <v>4627</v>
      </c>
      <c r="BZ183" t="s">
        <v>4626</v>
      </c>
      <c r="CA183" t="s">
        <v>4625</v>
      </c>
      <c r="CB183" t="s">
        <v>4628</v>
      </c>
      <c r="CC183" t="s">
        <v>4627</v>
      </c>
      <c r="CD183" t="s">
        <v>4629</v>
      </c>
      <c r="CE183" t="s">
        <v>4630</v>
      </c>
      <c r="CF183" t="s">
        <v>4631</v>
      </c>
      <c r="CG183" t="s">
        <v>102</v>
      </c>
      <c r="CH183" t="s">
        <v>4632</v>
      </c>
      <c r="CJ183" t="s">
        <v>4633</v>
      </c>
      <c r="CK183" t="s">
        <v>4632</v>
      </c>
      <c r="CL183" t="s">
        <v>2204</v>
      </c>
      <c r="CM183" t="s">
        <v>121</v>
      </c>
      <c r="CN183" t="s">
        <v>4633</v>
      </c>
      <c r="CO183" t="s">
        <v>4634</v>
      </c>
      <c r="CP183" t="s">
        <v>4632</v>
      </c>
      <c r="CQ183" t="s">
        <v>4632</v>
      </c>
    </row>
    <row r="184" spans="1:95">
      <c r="A184" t="s">
        <v>93</v>
      </c>
      <c r="B184">
        <v>308823</v>
      </c>
      <c r="C184" t="s">
        <v>4635</v>
      </c>
      <c r="D184" t="str">
        <f>VLOOKUP(B184,'2025'!B:C,2,0)</f>
        <v>Bhavishya</v>
      </c>
      <c r="F184" t="s">
        <v>95</v>
      </c>
      <c r="G184" t="s">
        <v>4636</v>
      </c>
      <c r="H184" t="s">
        <v>152</v>
      </c>
      <c r="I184" t="s">
        <v>98</v>
      </c>
      <c r="J184" t="s">
        <v>4637</v>
      </c>
      <c r="K184" t="s">
        <v>100</v>
      </c>
      <c r="L184">
        <v>934108</v>
      </c>
      <c r="M184">
        <v>934108</v>
      </c>
      <c r="N184">
        <v>0</v>
      </c>
      <c r="O184">
        <v>0</v>
      </c>
      <c r="Q184">
        <v>934108</v>
      </c>
      <c r="R184">
        <v>584</v>
      </c>
      <c r="S184" t="s">
        <v>678</v>
      </c>
      <c r="T184">
        <v>0</v>
      </c>
      <c r="U184">
        <v>0</v>
      </c>
      <c r="W184" t="s">
        <v>102</v>
      </c>
      <c r="X184" t="s">
        <v>103</v>
      </c>
      <c r="Y184" t="s">
        <v>104</v>
      </c>
      <c r="AA184" t="s">
        <v>1493</v>
      </c>
      <c r="AB184" t="s">
        <v>4638</v>
      </c>
      <c r="AC184" t="s">
        <v>240</v>
      </c>
      <c r="AD184" t="s">
        <v>4639</v>
      </c>
      <c r="AE184" t="s">
        <v>109</v>
      </c>
      <c r="AF184" t="s">
        <v>102</v>
      </c>
      <c r="AG184" t="s">
        <v>109</v>
      </c>
      <c r="AH184" t="s">
        <v>102</v>
      </c>
      <c r="AI184" t="s">
        <v>573</v>
      </c>
      <c r="AJ184" t="s">
        <v>2173</v>
      </c>
      <c r="AK184" t="s">
        <v>2304</v>
      </c>
      <c r="AL184" t="s">
        <v>4640</v>
      </c>
      <c r="AM184" t="s">
        <v>4641</v>
      </c>
      <c r="AN184" t="s">
        <v>4642</v>
      </c>
      <c r="AO184" t="s">
        <v>4643</v>
      </c>
      <c r="AP184" t="s">
        <v>4643</v>
      </c>
      <c r="AU184" t="s">
        <v>102</v>
      </c>
      <c r="AW184" t="s">
        <v>155</v>
      </c>
      <c r="AX184" t="s">
        <v>447</v>
      </c>
      <c r="AY184" t="s">
        <v>170</v>
      </c>
      <c r="AZ184" t="s">
        <v>118</v>
      </c>
      <c r="BB184" t="s">
        <v>120</v>
      </c>
      <c r="BC184" t="s">
        <v>4644</v>
      </c>
      <c r="BD184" t="s">
        <v>320</v>
      </c>
      <c r="BE184" t="s">
        <v>122</v>
      </c>
      <c r="BF184" t="s">
        <v>123</v>
      </c>
      <c r="BG184" t="s">
        <v>124</v>
      </c>
      <c r="BH184" t="s">
        <v>467</v>
      </c>
      <c r="BI184" t="s">
        <v>126</v>
      </c>
      <c r="BJ184" t="s">
        <v>127</v>
      </c>
      <c r="BK184" t="s">
        <v>4645</v>
      </c>
      <c r="BL184" t="s">
        <v>4646</v>
      </c>
      <c r="BM184" t="s">
        <v>4647</v>
      </c>
      <c r="BN184" t="s">
        <v>4636</v>
      </c>
      <c r="BO184" t="s">
        <v>325</v>
      </c>
      <c r="BP184" t="s">
        <v>258</v>
      </c>
      <c r="BQ184" t="s">
        <v>326</v>
      </c>
      <c r="BR184" t="s">
        <v>327</v>
      </c>
      <c r="BS184" t="s">
        <v>328</v>
      </c>
      <c r="BU184" t="s">
        <v>4648</v>
      </c>
      <c r="BV184" t="s">
        <v>4649</v>
      </c>
      <c r="BW184" t="s">
        <v>138</v>
      </c>
      <c r="BX184" t="s">
        <v>4650</v>
      </c>
      <c r="BY184" t="s">
        <v>4651</v>
      </c>
      <c r="BZ184" t="s">
        <v>4652</v>
      </c>
      <c r="CA184" t="s">
        <v>4649</v>
      </c>
      <c r="CB184" t="s">
        <v>4650</v>
      </c>
      <c r="CC184" t="s">
        <v>4651</v>
      </c>
      <c r="CG184" t="s">
        <v>4653</v>
      </c>
      <c r="CH184" t="s">
        <v>4654</v>
      </c>
      <c r="CJ184" t="s">
        <v>4655</v>
      </c>
      <c r="CK184" t="s">
        <v>4654</v>
      </c>
      <c r="CL184" t="s">
        <v>4644</v>
      </c>
      <c r="CM184" t="s">
        <v>320</v>
      </c>
      <c r="CN184" t="s">
        <v>4655</v>
      </c>
      <c r="CP184" t="s">
        <v>4654</v>
      </c>
      <c r="CQ184" t="s">
        <v>4654</v>
      </c>
    </row>
    <row r="185" spans="1:95">
      <c r="A185" t="s">
        <v>337</v>
      </c>
      <c r="B185">
        <v>31041</v>
      </c>
      <c r="C185" t="s">
        <v>4656</v>
      </c>
      <c r="E185" s="4" t="s">
        <v>17377</v>
      </c>
      <c r="F185" t="s">
        <v>95</v>
      </c>
      <c r="G185" t="s">
        <v>549</v>
      </c>
      <c r="H185" t="s">
        <v>97</v>
      </c>
      <c r="I185" t="s">
        <v>98</v>
      </c>
      <c r="J185" t="s">
        <v>4657</v>
      </c>
      <c r="K185" t="s">
        <v>100</v>
      </c>
      <c r="L185">
        <v>716100</v>
      </c>
      <c r="M185">
        <v>716100</v>
      </c>
      <c r="N185">
        <v>716100</v>
      </c>
      <c r="O185">
        <v>682</v>
      </c>
      <c r="P185" t="s">
        <v>433</v>
      </c>
      <c r="Q185">
        <v>0</v>
      </c>
      <c r="R185">
        <v>0</v>
      </c>
      <c r="T185">
        <v>0</v>
      </c>
      <c r="U185">
        <v>0</v>
      </c>
      <c r="W185" t="s">
        <v>102</v>
      </c>
      <c r="X185" t="s">
        <v>103</v>
      </c>
      <c r="Y185" t="s">
        <v>104</v>
      </c>
      <c r="AA185" t="s">
        <v>1745</v>
      </c>
      <c r="AB185" t="s">
        <v>4658</v>
      </c>
      <c r="AC185" t="s">
        <v>240</v>
      </c>
      <c r="AD185" t="s">
        <v>4659</v>
      </c>
      <c r="AE185" t="s">
        <v>109</v>
      </c>
      <c r="AF185" t="s">
        <v>102</v>
      </c>
      <c r="AG185" t="s">
        <v>109</v>
      </c>
      <c r="AH185" t="s">
        <v>102</v>
      </c>
      <c r="AI185" t="s">
        <v>102</v>
      </c>
      <c r="AJ185" t="s">
        <v>549</v>
      </c>
      <c r="AK185" t="s">
        <v>4660</v>
      </c>
      <c r="AL185" t="s">
        <v>4661</v>
      </c>
      <c r="AM185" t="s">
        <v>4662</v>
      </c>
      <c r="AN185" t="s">
        <v>4663</v>
      </c>
      <c r="AO185" t="s">
        <v>4664</v>
      </c>
      <c r="AP185" t="s">
        <v>4664</v>
      </c>
      <c r="AU185" t="s">
        <v>117</v>
      </c>
      <c r="AV185" t="s">
        <v>118</v>
      </c>
      <c r="AW185" t="s">
        <v>102</v>
      </c>
      <c r="AX185" t="s">
        <v>119</v>
      </c>
      <c r="BB185" t="s">
        <v>171</v>
      </c>
      <c r="BC185" t="s">
        <v>623</v>
      </c>
      <c r="BD185" t="s">
        <v>621</v>
      </c>
      <c r="BE185" t="s">
        <v>622</v>
      </c>
      <c r="BF185" t="s">
        <v>623</v>
      </c>
      <c r="BG185" t="s">
        <v>124</v>
      </c>
      <c r="BH185" t="s">
        <v>3901</v>
      </c>
      <c r="BI185" t="s">
        <v>4665</v>
      </c>
      <c r="BJ185" t="s">
        <v>127</v>
      </c>
      <c r="BK185" t="s">
        <v>4666</v>
      </c>
      <c r="BL185" t="s">
        <v>4667</v>
      </c>
      <c r="BM185" t="s">
        <v>4668</v>
      </c>
      <c r="BN185" t="s">
        <v>549</v>
      </c>
      <c r="BO185" t="s">
        <v>1670</v>
      </c>
      <c r="BP185" t="s">
        <v>258</v>
      </c>
      <c r="BQ185" t="s">
        <v>1671</v>
      </c>
      <c r="BR185" t="s">
        <v>1672</v>
      </c>
      <c r="BS185" t="s">
        <v>507</v>
      </c>
      <c r="BT185" t="s">
        <v>1279</v>
      </c>
      <c r="BU185" t="s">
        <v>4669</v>
      </c>
      <c r="BV185" t="s">
        <v>4670</v>
      </c>
      <c r="BW185" t="s">
        <v>138</v>
      </c>
      <c r="BX185" t="s">
        <v>4671</v>
      </c>
      <c r="BY185" t="s">
        <v>4672</v>
      </c>
      <c r="BZ185" t="s">
        <v>4673</v>
      </c>
      <c r="CA185" t="s">
        <v>4670</v>
      </c>
      <c r="CB185" t="s">
        <v>4671</v>
      </c>
      <c r="CC185" t="s">
        <v>4672</v>
      </c>
      <c r="CD185" t="s">
        <v>4674</v>
      </c>
      <c r="CE185" t="s">
        <v>4675</v>
      </c>
      <c r="CF185" t="s">
        <v>4676</v>
      </c>
      <c r="CG185" t="s">
        <v>4677</v>
      </c>
      <c r="CH185" t="s">
        <v>4678</v>
      </c>
      <c r="CJ185" t="s">
        <v>4679</v>
      </c>
      <c r="CK185" t="s">
        <v>4678</v>
      </c>
      <c r="CL185" t="s">
        <v>623</v>
      </c>
      <c r="CM185" t="s">
        <v>621</v>
      </c>
      <c r="CN185" t="s">
        <v>4679</v>
      </c>
      <c r="CO185" t="s">
        <v>4680</v>
      </c>
      <c r="CP185" t="s">
        <v>4678</v>
      </c>
      <c r="CQ185" t="s">
        <v>4678</v>
      </c>
    </row>
    <row r="186" spans="1:95">
      <c r="A186" t="s">
        <v>149</v>
      </c>
      <c r="B186">
        <v>3106413</v>
      </c>
      <c r="C186" t="s">
        <v>4681</v>
      </c>
      <c r="D186" t="str">
        <f>VLOOKUP(B186,'2025'!B:C,2,0)</f>
        <v>Ishita Jethwa</v>
      </c>
      <c r="F186" t="s">
        <v>95</v>
      </c>
      <c r="G186" t="s">
        <v>4682</v>
      </c>
      <c r="H186" t="s">
        <v>193</v>
      </c>
      <c r="I186" t="s">
        <v>98</v>
      </c>
      <c r="J186" t="s">
        <v>4683</v>
      </c>
      <c r="K186" t="s">
        <v>100</v>
      </c>
      <c r="L186">
        <v>1537347</v>
      </c>
      <c r="M186">
        <v>1758383</v>
      </c>
      <c r="N186">
        <v>309369</v>
      </c>
      <c r="O186">
        <v>453</v>
      </c>
      <c r="P186" t="s">
        <v>4684</v>
      </c>
      <c r="Q186">
        <v>0</v>
      </c>
      <c r="R186">
        <v>0</v>
      </c>
      <c r="T186">
        <v>1227978</v>
      </c>
      <c r="U186">
        <v>483</v>
      </c>
      <c r="V186" t="s">
        <v>2910</v>
      </c>
      <c r="W186" t="s">
        <v>102</v>
      </c>
      <c r="X186" t="s">
        <v>679</v>
      </c>
      <c r="Y186" t="s">
        <v>155</v>
      </c>
      <c r="Z186" t="s">
        <v>341</v>
      </c>
      <c r="AA186" t="s">
        <v>4685</v>
      </c>
      <c r="AB186" t="s">
        <v>4686</v>
      </c>
      <c r="AC186" t="s">
        <v>4687</v>
      </c>
      <c r="AD186" t="s">
        <v>4686</v>
      </c>
      <c r="AE186" t="s">
        <v>1128</v>
      </c>
      <c r="AF186" t="s">
        <v>4686</v>
      </c>
      <c r="AG186" t="s">
        <v>1095</v>
      </c>
      <c r="AH186" t="s">
        <v>4686</v>
      </c>
      <c r="AI186" t="s">
        <v>4688</v>
      </c>
      <c r="AJ186" t="s">
        <v>4689</v>
      </c>
      <c r="AK186" t="s">
        <v>4690</v>
      </c>
      <c r="AL186" t="s">
        <v>4691</v>
      </c>
      <c r="AM186" t="s">
        <v>4692</v>
      </c>
      <c r="AN186" t="s">
        <v>4693</v>
      </c>
      <c r="AO186" t="s">
        <v>4694</v>
      </c>
      <c r="AP186" t="s">
        <v>4695</v>
      </c>
      <c r="AQ186" t="s">
        <v>343</v>
      </c>
      <c r="AT186" t="s">
        <v>4696</v>
      </c>
      <c r="AU186" t="s">
        <v>247</v>
      </c>
      <c r="AV186" t="s">
        <v>118</v>
      </c>
      <c r="AW186" t="s">
        <v>102</v>
      </c>
      <c r="AX186" t="s">
        <v>119</v>
      </c>
      <c r="BA186" t="s">
        <v>250</v>
      </c>
      <c r="BB186" t="s">
        <v>120</v>
      </c>
      <c r="BC186" t="s">
        <v>2327</v>
      </c>
      <c r="BD186" t="s">
        <v>730</v>
      </c>
      <c r="BE186" t="s">
        <v>622</v>
      </c>
      <c r="BF186" t="s">
        <v>730</v>
      </c>
      <c r="BG186" t="s">
        <v>124</v>
      </c>
      <c r="BH186" t="s">
        <v>232</v>
      </c>
      <c r="BI186" t="s">
        <v>126</v>
      </c>
      <c r="BJ186" t="s">
        <v>127</v>
      </c>
      <c r="BK186" t="s">
        <v>4697</v>
      </c>
      <c r="BL186" t="s">
        <v>4698</v>
      </c>
      <c r="BM186" t="s">
        <v>4699</v>
      </c>
      <c r="BN186" t="s">
        <v>4682</v>
      </c>
      <c r="BO186" t="s">
        <v>1733</v>
      </c>
      <c r="BP186" t="s">
        <v>132</v>
      </c>
      <c r="BQ186" t="s">
        <v>1734</v>
      </c>
      <c r="BR186" t="s">
        <v>1735</v>
      </c>
      <c r="BS186" t="s">
        <v>2525</v>
      </c>
      <c r="BU186" t="s">
        <v>4700</v>
      </c>
      <c r="BV186" t="s">
        <v>4701</v>
      </c>
      <c r="BW186" t="s">
        <v>296</v>
      </c>
      <c r="BX186" t="s">
        <v>4702</v>
      </c>
      <c r="BY186" t="s">
        <v>4703</v>
      </c>
      <c r="BZ186" t="s">
        <v>4704</v>
      </c>
      <c r="CA186" t="s">
        <v>4705</v>
      </c>
      <c r="CB186" t="s">
        <v>4706</v>
      </c>
      <c r="CC186" t="s">
        <v>4707</v>
      </c>
      <c r="CD186" t="s">
        <v>4708</v>
      </c>
      <c r="CE186" t="s">
        <v>4709</v>
      </c>
      <c r="CF186" t="s">
        <v>4710</v>
      </c>
      <c r="CG186" t="s">
        <v>102</v>
      </c>
      <c r="CH186" t="s">
        <v>4711</v>
      </c>
      <c r="CJ186" t="s">
        <v>4712</v>
      </c>
      <c r="CK186" t="s">
        <v>4711</v>
      </c>
      <c r="CL186" t="s">
        <v>2327</v>
      </c>
      <c r="CM186" t="s">
        <v>730</v>
      </c>
      <c r="CN186" t="s">
        <v>4712</v>
      </c>
      <c r="CO186" t="s">
        <v>4713</v>
      </c>
      <c r="CP186" t="s">
        <v>4711</v>
      </c>
      <c r="CQ186" t="s">
        <v>4711</v>
      </c>
    </row>
    <row r="187" spans="1:95">
      <c r="A187" t="s">
        <v>149</v>
      </c>
      <c r="B187">
        <v>3139</v>
      </c>
      <c r="C187" t="s">
        <v>4714</v>
      </c>
      <c r="D187" t="str">
        <f>VLOOKUP(B187,'2025'!B:C,2,0)</f>
        <v>Anushka</v>
      </c>
      <c r="F187" t="s">
        <v>95</v>
      </c>
      <c r="G187" t="s">
        <v>4715</v>
      </c>
      <c r="H187" t="s">
        <v>193</v>
      </c>
      <c r="I187" t="s">
        <v>98</v>
      </c>
      <c r="J187" t="s">
        <v>4716</v>
      </c>
      <c r="K187" t="s">
        <v>100</v>
      </c>
      <c r="L187">
        <v>1501030</v>
      </c>
      <c r="M187">
        <v>1743000</v>
      </c>
      <c r="N187">
        <v>156750</v>
      </c>
      <c r="O187">
        <v>209</v>
      </c>
      <c r="P187" t="s">
        <v>101</v>
      </c>
      <c r="Q187">
        <v>0</v>
      </c>
      <c r="R187">
        <v>0</v>
      </c>
      <c r="T187">
        <v>1344280</v>
      </c>
      <c r="U187">
        <v>721</v>
      </c>
      <c r="V187" t="s">
        <v>800</v>
      </c>
      <c r="W187" t="s">
        <v>102</v>
      </c>
      <c r="X187" t="s">
        <v>103</v>
      </c>
      <c r="Y187" t="s">
        <v>155</v>
      </c>
      <c r="AA187" t="s">
        <v>2947</v>
      </c>
      <c r="AB187" t="s">
        <v>4717</v>
      </c>
      <c r="AC187" t="s">
        <v>977</v>
      </c>
      <c r="AD187" t="s">
        <v>4717</v>
      </c>
      <c r="AE187" t="s">
        <v>3483</v>
      </c>
      <c r="AF187" t="s">
        <v>4717</v>
      </c>
      <c r="AG187" t="s">
        <v>160</v>
      </c>
      <c r="AH187" t="s">
        <v>4717</v>
      </c>
      <c r="AI187" t="s">
        <v>4718</v>
      </c>
      <c r="AJ187" t="s">
        <v>1521</v>
      </c>
      <c r="AK187" t="s">
        <v>4719</v>
      </c>
      <c r="AL187" t="s">
        <v>4720</v>
      </c>
      <c r="AM187" t="s">
        <v>4721</v>
      </c>
      <c r="AN187" t="s">
        <v>4722</v>
      </c>
      <c r="AO187" t="s">
        <v>4723</v>
      </c>
      <c r="AP187" t="s">
        <v>4723</v>
      </c>
      <c r="AU187" t="s">
        <v>207</v>
      </c>
      <c r="AV187" t="s">
        <v>118</v>
      </c>
      <c r="AW187" t="s">
        <v>102</v>
      </c>
      <c r="AX187" t="s">
        <v>119</v>
      </c>
      <c r="BA187" t="s">
        <v>250</v>
      </c>
      <c r="BB187" t="s">
        <v>120</v>
      </c>
      <c r="BC187" t="s">
        <v>2204</v>
      </c>
      <c r="BD187" t="s">
        <v>121</v>
      </c>
      <c r="BE187" t="s">
        <v>122</v>
      </c>
      <c r="BF187" t="s">
        <v>123</v>
      </c>
      <c r="BG187" t="s">
        <v>124</v>
      </c>
      <c r="BH187" t="s">
        <v>232</v>
      </c>
      <c r="BI187" t="s">
        <v>126</v>
      </c>
      <c r="BJ187" t="s">
        <v>127</v>
      </c>
      <c r="BK187" t="s">
        <v>4724</v>
      </c>
      <c r="BL187" t="s">
        <v>4725</v>
      </c>
      <c r="BM187" t="s">
        <v>4726</v>
      </c>
      <c r="BN187" t="s">
        <v>4715</v>
      </c>
      <c r="BO187" t="s">
        <v>257</v>
      </c>
      <c r="BP187" t="s">
        <v>350</v>
      </c>
      <c r="BQ187" t="s">
        <v>259</v>
      </c>
      <c r="BR187" t="s">
        <v>260</v>
      </c>
      <c r="BS187" t="s">
        <v>566</v>
      </c>
      <c r="BU187" t="s">
        <v>4727</v>
      </c>
      <c r="BV187" t="s">
        <v>4728</v>
      </c>
      <c r="BW187" t="s">
        <v>598</v>
      </c>
      <c r="BX187" t="s">
        <v>4729</v>
      </c>
      <c r="BY187" t="s">
        <v>4730</v>
      </c>
      <c r="BZ187" t="s">
        <v>4731</v>
      </c>
      <c r="CA187" t="s">
        <v>4732</v>
      </c>
      <c r="CB187" t="s">
        <v>4733</v>
      </c>
      <c r="CD187" t="s">
        <v>4728</v>
      </c>
      <c r="CE187" t="s">
        <v>4729</v>
      </c>
      <c r="CF187" t="s">
        <v>4730</v>
      </c>
      <c r="CG187" t="s">
        <v>102</v>
      </c>
      <c r="CH187" t="s">
        <v>4734</v>
      </c>
      <c r="CJ187" t="s">
        <v>4735</v>
      </c>
      <c r="CK187" t="s">
        <v>4734</v>
      </c>
      <c r="CL187" t="s">
        <v>2204</v>
      </c>
      <c r="CM187" t="s">
        <v>121</v>
      </c>
      <c r="CN187" t="s">
        <v>4735</v>
      </c>
      <c r="CO187" t="s">
        <v>4736</v>
      </c>
      <c r="CP187" t="s">
        <v>4734</v>
      </c>
      <c r="CQ187" t="s">
        <v>4734</v>
      </c>
    </row>
    <row r="188" spans="1:95">
      <c r="A188" t="s">
        <v>149</v>
      </c>
      <c r="B188">
        <v>3147476</v>
      </c>
      <c r="C188" t="s">
        <v>4737</v>
      </c>
      <c r="D188" t="str">
        <f>VLOOKUP(B188,'2025'!B:C,2,0)</f>
        <v>Aruna</v>
      </c>
      <c r="F188" t="s">
        <v>95</v>
      </c>
      <c r="G188" t="s">
        <v>1521</v>
      </c>
      <c r="H188" t="s">
        <v>2163</v>
      </c>
      <c r="I188" t="s">
        <v>98</v>
      </c>
      <c r="J188" t="s">
        <v>4738</v>
      </c>
      <c r="K188" t="s">
        <v>100</v>
      </c>
      <c r="L188">
        <v>1355827</v>
      </c>
      <c r="M188">
        <v>1445826</v>
      </c>
      <c r="N188">
        <v>549366</v>
      </c>
      <c r="O188">
        <v>818</v>
      </c>
      <c r="P188" t="s">
        <v>2165</v>
      </c>
      <c r="Q188">
        <v>306468</v>
      </c>
      <c r="R188">
        <v>227</v>
      </c>
      <c r="S188" t="s">
        <v>397</v>
      </c>
      <c r="T188">
        <v>499993</v>
      </c>
      <c r="U188">
        <v>236</v>
      </c>
      <c r="V188" t="s">
        <v>2166</v>
      </c>
      <c r="W188" t="s">
        <v>102</v>
      </c>
      <c r="X188" t="s">
        <v>679</v>
      </c>
      <c r="Y188" t="s">
        <v>155</v>
      </c>
      <c r="Z188" t="s">
        <v>883</v>
      </c>
      <c r="AA188" t="s">
        <v>2167</v>
      </c>
      <c r="AB188" t="s">
        <v>4739</v>
      </c>
      <c r="AC188" t="s">
        <v>2169</v>
      </c>
      <c r="AD188" t="s">
        <v>4739</v>
      </c>
      <c r="AE188" t="s">
        <v>2170</v>
      </c>
      <c r="AF188" t="s">
        <v>4739</v>
      </c>
      <c r="AG188" t="s">
        <v>2171</v>
      </c>
      <c r="AH188" t="s">
        <v>4739</v>
      </c>
      <c r="AI188" t="s">
        <v>4740</v>
      </c>
      <c r="AJ188" t="s">
        <v>4741</v>
      </c>
      <c r="AK188" t="s">
        <v>4742</v>
      </c>
      <c r="AL188" t="s">
        <v>4743</v>
      </c>
      <c r="AM188" t="s">
        <v>4744</v>
      </c>
      <c r="AN188" t="s">
        <v>4745</v>
      </c>
      <c r="AO188" t="s">
        <v>2178</v>
      </c>
      <c r="AP188" t="s">
        <v>2179</v>
      </c>
      <c r="AR188" t="s">
        <v>169</v>
      </c>
      <c r="AU188" t="s">
        <v>247</v>
      </c>
      <c r="AV188" t="s">
        <v>250</v>
      </c>
      <c r="AW188" t="s">
        <v>655</v>
      </c>
      <c r="AX188" t="s">
        <v>119</v>
      </c>
      <c r="AZ188" t="s">
        <v>250</v>
      </c>
      <c r="BA188" t="s">
        <v>250</v>
      </c>
      <c r="BB188" t="s">
        <v>120</v>
      </c>
      <c r="BC188" t="s">
        <v>920</v>
      </c>
      <c r="BD188" t="s">
        <v>211</v>
      </c>
      <c r="BE188" t="s">
        <v>212</v>
      </c>
      <c r="BF188" t="s">
        <v>213</v>
      </c>
      <c r="BG188" t="s">
        <v>124</v>
      </c>
      <c r="BH188" t="s">
        <v>214</v>
      </c>
      <c r="BI188" t="s">
        <v>625</v>
      </c>
      <c r="BJ188" t="s">
        <v>127</v>
      </c>
      <c r="BK188" t="s">
        <v>4746</v>
      </c>
      <c r="BL188" t="s">
        <v>4747</v>
      </c>
      <c r="BM188" t="s">
        <v>4748</v>
      </c>
      <c r="BN188" t="s">
        <v>1521</v>
      </c>
      <c r="BO188" t="s">
        <v>219</v>
      </c>
      <c r="BP188" t="s">
        <v>180</v>
      </c>
      <c r="BQ188" t="s">
        <v>220</v>
      </c>
      <c r="BR188" t="s">
        <v>221</v>
      </c>
      <c r="BS188" t="s">
        <v>222</v>
      </c>
      <c r="BU188" t="s">
        <v>4749</v>
      </c>
      <c r="BV188" t="s">
        <v>4750</v>
      </c>
      <c r="BW188" t="s">
        <v>138</v>
      </c>
      <c r="BX188" t="s">
        <v>4751</v>
      </c>
      <c r="BY188" t="s">
        <v>4752</v>
      </c>
      <c r="BZ188" t="s">
        <v>4751</v>
      </c>
      <c r="CA188" t="s">
        <v>4750</v>
      </c>
      <c r="CB188" t="s">
        <v>4751</v>
      </c>
      <c r="CC188" t="s">
        <v>4752</v>
      </c>
      <c r="CG188" t="s">
        <v>102</v>
      </c>
      <c r="CH188" t="s">
        <v>4753</v>
      </c>
      <c r="CJ188" t="s">
        <v>3982</v>
      </c>
      <c r="CK188" t="s">
        <v>4753</v>
      </c>
      <c r="CL188" t="s">
        <v>920</v>
      </c>
      <c r="CM188" t="s">
        <v>211</v>
      </c>
      <c r="CN188" t="s">
        <v>3982</v>
      </c>
      <c r="CO188" t="s">
        <v>2190</v>
      </c>
      <c r="CP188" t="s">
        <v>4753</v>
      </c>
      <c r="CQ188" t="s">
        <v>4753</v>
      </c>
    </row>
    <row r="189" spans="1:95">
      <c r="A189" t="s">
        <v>149</v>
      </c>
      <c r="B189">
        <v>3150210</v>
      </c>
      <c r="C189" t="s">
        <v>4754</v>
      </c>
      <c r="D189" t="str">
        <f>VLOOKUP(B189,'2025'!B:C,2,0)</f>
        <v>Chaitanya</v>
      </c>
      <c r="F189" t="s">
        <v>95</v>
      </c>
      <c r="G189" t="s">
        <v>716</v>
      </c>
      <c r="H189" t="s">
        <v>152</v>
      </c>
      <c r="I189" t="s">
        <v>98</v>
      </c>
      <c r="J189" t="s">
        <v>4755</v>
      </c>
      <c r="K189" t="s">
        <v>100</v>
      </c>
      <c r="L189">
        <v>553498</v>
      </c>
      <c r="M189">
        <v>553498</v>
      </c>
      <c r="N189">
        <v>0</v>
      </c>
      <c r="O189">
        <v>0</v>
      </c>
      <c r="Q189">
        <v>553498</v>
      </c>
      <c r="R189">
        <v>527</v>
      </c>
      <c r="S189" t="s">
        <v>433</v>
      </c>
      <c r="T189">
        <v>0</v>
      </c>
      <c r="U189">
        <v>0</v>
      </c>
      <c r="W189" t="s">
        <v>102</v>
      </c>
      <c r="X189" t="s">
        <v>103</v>
      </c>
      <c r="Y189" t="s">
        <v>155</v>
      </c>
      <c r="AA189" t="s">
        <v>719</v>
      </c>
      <c r="AB189" t="s">
        <v>4756</v>
      </c>
      <c r="AC189" t="s">
        <v>197</v>
      </c>
      <c r="AD189" t="s">
        <v>4756</v>
      </c>
      <c r="AE189" t="s">
        <v>240</v>
      </c>
      <c r="AF189" t="s">
        <v>4756</v>
      </c>
      <c r="AG189" t="s">
        <v>1473</v>
      </c>
      <c r="AH189" t="s">
        <v>4756</v>
      </c>
      <c r="AI189" t="s">
        <v>102</v>
      </c>
      <c r="AJ189" t="s">
        <v>197</v>
      </c>
      <c r="AK189" t="s">
        <v>4757</v>
      </c>
      <c r="AL189" t="s">
        <v>4758</v>
      </c>
      <c r="AM189" t="s">
        <v>4759</v>
      </c>
      <c r="AN189" t="s">
        <v>4760</v>
      </c>
      <c r="AO189" t="s">
        <v>4761</v>
      </c>
      <c r="AP189" t="s">
        <v>4761</v>
      </c>
      <c r="AU189" t="s">
        <v>102</v>
      </c>
      <c r="AW189" t="s">
        <v>155</v>
      </c>
      <c r="AX189" t="s">
        <v>119</v>
      </c>
      <c r="AY189" t="s">
        <v>170</v>
      </c>
      <c r="AZ189" t="s">
        <v>118</v>
      </c>
      <c r="BB189" t="s">
        <v>120</v>
      </c>
      <c r="BC189" t="s">
        <v>284</v>
      </c>
      <c r="BD189" t="s">
        <v>285</v>
      </c>
      <c r="BE189" t="s">
        <v>212</v>
      </c>
      <c r="BF189" t="s">
        <v>286</v>
      </c>
      <c r="BG189" t="s">
        <v>124</v>
      </c>
      <c r="BH189" t="s">
        <v>214</v>
      </c>
      <c r="BI189" t="s">
        <v>126</v>
      </c>
      <c r="BJ189" t="s">
        <v>127</v>
      </c>
      <c r="BK189" t="s">
        <v>4762</v>
      </c>
      <c r="BL189" t="s">
        <v>4763</v>
      </c>
      <c r="BM189" t="s">
        <v>4764</v>
      </c>
      <c r="BN189" t="s">
        <v>716</v>
      </c>
      <c r="BO189" t="s">
        <v>290</v>
      </c>
      <c r="BP189" t="s">
        <v>258</v>
      </c>
      <c r="BQ189" t="s">
        <v>291</v>
      </c>
      <c r="BR189" t="s">
        <v>292</v>
      </c>
      <c r="BS189" t="s">
        <v>4765</v>
      </c>
      <c r="BU189" t="s">
        <v>4766</v>
      </c>
      <c r="BV189" t="s">
        <v>4767</v>
      </c>
      <c r="BW189" t="s">
        <v>138</v>
      </c>
      <c r="BX189" t="s">
        <v>4768</v>
      </c>
      <c r="BY189" t="s">
        <v>4769</v>
      </c>
      <c r="CA189" t="s">
        <v>4767</v>
      </c>
      <c r="CB189" t="s">
        <v>4768</v>
      </c>
      <c r="CC189" t="s">
        <v>4769</v>
      </c>
      <c r="CD189" t="s">
        <v>4770</v>
      </c>
      <c r="CE189" t="s">
        <v>4771</v>
      </c>
      <c r="CF189" t="s">
        <v>4772</v>
      </c>
      <c r="CG189" t="s">
        <v>102</v>
      </c>
      <c r="CH189" t="s">
        <v>4773</v>
      </c>
      <c r="CJ189" t="s">
        <v>4774</v>
      </c>
      <c r="CK189" t="s">
        <v>4773</v>
      </c>
      <c r="CL189" t="s">
        <v>284</v>
      </c>
      <c r="CM189" t="s">
        <v>285</v>
      </c>
      <c r="CN189" t="s">
        <v>4774</v>
      </c>
      <c r="CP189" t="s">
        <v>4773</v>
      </c>
      <c r="CQ189" t="s">
        <v>4773</v>
      </c>
    </row>
    <row r="190" spans="1:95">
      <c r="A190" t="s">
        <v>337</v>
      </c>
      <c r="B190">
        <v>3152932</v>
      </c>
      <c r="C190" t="s">
        <v>4775</v>
      </c>
      <c r="D190" t="str">
        <f>VLOOKUP(B190,'2025'!B:C,2,0)</f>
        <v>Anushka</v>
      </c>
      <c r="F190" t="s">
        <v>95</v>
      </c>
      <c r="G190" t="s">
        <v>4776</v>
      </c>
      <c r="H190" t="s">
        <v>848</v>
      </c>
      <c r="I190" t="s">
        <v>98</v>
      </c>
      <c r="J190" t="s">
        <v>4777</v>
      </c>
      <c r="K190" t="s">
        <v>100</v>
      </c>
      <c r="L190">
        <v>2012501</v>
      </c>
      <c r="M190">
        <v>2374751</v>
      </c>
      <c r="N190">
        <v>0</v>
      </c>
      <c r="O190">
        <v>0</v>
      </c>
      <c r="Q190">
        <v>0</v>
      </c>
      <c r="R190">
        <v>0</v>
      </c>
      <c r="T190">
        <v>2012501</v>
      </c>
      <c r="U190">
        <v>1118</v>
      </c>
      <c r="V190" t="s">
        <v>3005</v>
      </c>
      <c r="W190" t="s">
        <v>102</v>
      </c>
      <c r="X190" t="s">
        <v>103</v>
      </c>
      <c r="Y190" t="s">
        <v>155</v>
      </c>
      <c r="AA190" t="s">
        <v>4778</v>
      </c>
      <c r="AB190" t="s">
        <v>4779</v>
      </c>
      <c r="AC190" t="s">
        <v>1374</v>
      </c>
      <c r="AD190" t="s">
        <v>4779</v>
      </c>
      <c r="AE190" t="s">
        <v>853</v>
      </c>
      <c r="AF190" t="s">
        <v>4779</v>
      </c>
      <c r="AG190" t="s">
        <v>854</v>
      </c>
      <c r="AH190" t="s">
        <v>4779</v>
      </c>
      <c r="AI190" t="s">
        <v>4780</v>
      </c>
      <c r="AJ190" t="s">
        <v>4781</v>
      </c>
      <c r="AK190" t="s">
        <v>4782</v>
      </c>
      <c r="AL190" t="s">
        <v>4783</v>
      </c>
      <c r="AM190" t="s">
        <v>4784</v>
      </c>
      <c r="AN190" t="s">
        <v>4785</v>
      </c>
      <c r="AO190" t="s">
        <v>4786</v>
      </c>
      <c r="AP190" t="s">
        <v>4787</v>
      </c>
      <c r="AR190" t="s">
        <v>169</v>
      </c>
      <c r="AU190" t="s">
        <v>102</v>
      </c>
      <c r="AW190" t="s">
        <v>102</v>
      </c>
      <c r="AX190" t="s">
        <v>119</v>
      </c>
      <c r="BA190" t="s">
        <v>250</v>
      </c>
      <c r="BB190" t="s">
        <v>120</v>
      </c>
      <c r="BC190" t="s">
        <v>3854</v>
      </c>
      <c r="BD190" t="s">
        <v>449</v>
      </c>
      <c r="BE190" t="s">
        <v>122</v>
      </c>
      <c r="BF190" t="s">
        <v>450</v>
      </c>
      <c r="BG190" t="s">
        <v>124</v>
      </c>
      <c r="BH190" t="s">
        <v>232</v>
      </c>
      <c r="BI190" t="s">
        <v>126</v>
      </c>
      <c r="BJ190" t="s">
        <v>127</v>
      </c>
      <c r="BK190" t="s">
        <v>4788</v>
      </c>
      <c r="BL190" t="s">
        <v>4789</v>
      </c>
      <c r="BM190" t="s">
        <v>4790</v>
      </c>
      <c r="BN190" t="s">
        <v>4776</v>
      </c>
      <c r="BO190" t="s">
        <v>131</v>
      </c>
      <c r="BP190" t="s">
        <v>350</v>
      </c>
      <c r="BQ190" t="s">
        <v>133</v>
      </c>
      <c r="BR190" t="s">
        <v>134</v>
      </c>
      <c r="BS190" t="s">
        <v>455</v>
      </c>
      <c r="BU190" t="s">
        <v>4791</v>
      </c>
      <c r="BV190" t="s">
        <v>4792</v>
      </c>
      <c r="BW190" t="s">
        <v>354</v>
      </c>
      <c r="BX190" t="s">
        <v>4793</v>
      </c>
      <c r="BY190" t="s">
        <v>4794</v>
      </c>
      <c r="BZ190" t="s">
        <v>4795</v>
      </c>
      <c r="CA190" t="s">
        <v>4796</v>
      </c>
      <c r="CB190" t="s">
        <v>4797</v>
      </c>
      <c r="CC190" t="s">
        <v>4798</v>
      </c>
      <c r="CD190" t="s">
        <v>4799</v>
      </c>
      <c r="CE190" t="s">
        <v>4800</v>
      </c>
      <c r="CF190" t="s">
        <v>4801</v>
      </c>
      <c r="CG190" t="s">
        <v>4802</v>
      </c>
      <c r="CH190" t="s">
        <v>4803</v>
      </c>
      <c r="CJ190" t="s">
        <v>4271</v>
      </c>
      <c r="CK190" t="s">
        <v>4803</v>
      </c>
      <c r="CL190" t="s">
        <v>3854</v>
      </c>
      <c r="CM190" t="s">
        <v>449</v>
      </c>
      <c r="CN190" t="s">
        <v>4271</v>
      </c>
      <c r="CO190" t="s">
        <v>4804</v>
      </c>
      <c r="CP190" t="s">
        <v>4803</v>
      </c>
      <c r="CQ190" t="s">
        <v>4803</v>
      </c>
    </row>
    <row r="191" spans="1:95">
      <c r="A191" t="s">
        <v>337</v>
      </c>
      <c r="B191">
        <v>3155272</v>
      </c>
      <c r="C191" t="s">
        <v>4805</v>
      </c>
      <c r="D191" t="str">
        <f>VLOOKUP(B191,'2025'!B:C,2,0)</f>
        <v>Ishita Jethwa</v>
      </c>
      <c r="F191" t="s">
        <v>95</v>
      </c>
      <c r="G191" t="s">
        <v>4806</v>
      </c>
      <c r="H191" t="s">
        <v>1746</v>
      </c>
      <c r="I191" t="s">
        <v>98</v>
      </c>
      <c r="J191" t="s">
        <v>4807</v>
      </c>
      <c r="K191" t="s">
        <v>100</v>
      </c>
      <c r="L191">
        <v>1730396</v>
      </c>
      <c r="M191">
        <v>1862837</v>
      </c>
      <c r="N191">
        <v>367588</v>
      </c>
      <c r="O191">
        <v>629</v>
      </c>
      <c r="P191" t="s">
        <v>4808</v>
      </c>
      <c r="Q191">
        <v>627022</v>
      </c>
      <c r="R191">
        <v>619</v>
      </c>
      <c r="S191" t="s">
        <v>4809</v>
      </c>
      <c r="T191">
        <v>735786</v>
      </c>
      <c r="U191">
        <v>619</v>
      </c>
      <c r="V191" t="s">
        <v>4810</v>
      </c>
      <c r="W191" t="s">
        <v>102</v>
      </c>
      <c r="X191" t="s">
        <v>103</v>
      </c>
      <c r="Y191" t="s">
        <v>155</v>
      </c>
      <c r="AA191" t="s">
        <v>125</v>
      </c>
      <c r="AB191" t="s">
        <v>4811</v>
      </c>
      <c r="AC191" t="s">
        <v>400</v>
      </c>
      <c r="AD191" t="s">
        <v>4811</v>
      </c>
      <c r="AE191" t="s">
        <v>721</v>
      </c>
      <c r="AF191" t="s">
        <v>4811</v>
      </c>
      <c r="AG191" t="s">
        <v>680</v>
      </c>
      <c r="AH191" t="s">
        <v>4811</v>
      </c>
      <c r="AI191" t="s">
        <v>4812</v>
      </c>
      <c r="AJ191" t="s">
        <v>3161</v>
      </c>
      <c r="AK191" t="s">
        <v>4813</v>
      </c>
      <c r="AL191" t="s">
        <v>4814</v>
      </c>
      <c r="AM191" t="s">
        <v>4815</v>
      </c>
      <c r="AN191" t="s">
        <v>4816</v>
      </c>
      <c r="AO191" t="s">
        <v>4817</v>
      </c>
      <c r="AP191" t="s">
        <v>4818</v>
      </c>
      <c r="AS191" t="s">
        <v>169</v>
      </c>
      <c r="AU191" t="s">
        <v>318</v>
      </c>
      <c r="AV191" t="s">
        <v>118</v>
      </c>
      <c r="AW191" t="s">
        <v>155</v>
      </c>
      <c r="AX191" t="s">
        <v>119</v>
      </c>
      <c r="AY191" t="s">
        <v>170</v>
      </c>
      <c r="AZ191" t="s">
        <v>118</v>
      </c>
      <c r="BA191" t="s">
        <v>250</v>
      </c>
      <c r="BB191" t="s">
        <v>120</v>
      </c>
      <c r="BC191" t="s">
        <v>729</v>
      </c>
      <c r="BD191" t="s">
        <v>730</v>
      </c>
      <c r="BE191" t="s">
        <v>622</v>
      </c>
      <c r="BF191" t="s">
        <v>730</v>
      </c>
      <c r="BG191" t="s">
        <v>124</v>
      </c>
      <c r="BH191" t="s">
        <v>125</v>
      </c>
      <c r="BI191" t="s">
        <v>411</v>
      </c>
      <c r="BJ191" t="s">
        <v>127</v>
      </c>
      <c r="BK191" t="s">
        <v>4819</v>
      </c>
      <c r="BL191" t="s">
        <v>4820</v>
      </c>
      <c r="BM191" t="s">
        <v>4821</v>
      </c>
      <c r="BN191" t="s">
        <v>4806</v>
      </c>
      <c r="BO191" t="s">
        <v>734</v>
      </c>
      <c r="BP191" t="s">
        <v>350</v>
      </c>
      <c r="BQ191" t="s">
        <v>735</v>
      </c>
      <c r="BR191" t="s">
        <v>736</v>
      </c>
      <c r="BS191" t="s">
        <v>2569</v>
      </c>
      <c r="BU191" t="s">
        <v>4822</v>
      </c>
      <c r="BV191" t="s">
        <v>4823</v>
      </c>
      <c r="BW191" t="s">
        <v>354</v>
      </c>
      <c r="BX191" t="s">
        <v>4824</v>
      </c>
      <c r="BY191" t="s">
        <v>4825</v>
      </c>
      <c r="BZ191" t="s">
        <v>4824</v>
      </c>
      <c r="CD191" t="s">
        <v>4826</v>
      </c>
      <c r="CE191" t="s">
        <v>4827</v>
      </c>
      <c r="CF191" t="s">
        <v>4828</v>
      </c>
      <c r="CG191" t="s">
        <v>4829</v>
      </c>
      <c r="CH191" t="s">
        <v>4830</v>
      </c>
      <c r="CJ191" t="s">
        <v>3970</v>
      </c>
      <c r="CK191" t="s">
        <v>4830</v>
      </c>
      <c r="CL191" t="s">
        <v>729</v>
      </c>
      <c r="CM191" t="s">
        <v>730</v>
      </c>
      <c r="CN191" t="s">
        <v>3970</v>
      </c>
      <c r="CO191" t="s">
        <v>4831</v>
      </c>
      <c r="CP191" t="s">
        <v>4830</v>
      </c>
      <c r="CQ191" t="s">
        <v>4830</v>
      </c>
    </row>
    <row r="192" spans="1:95">
      <c r="A192" t="s">
        <v>337</v>
      </c>
      <c r="B192">
        <v>3155338</v>
      </c>
      <c r="C192" t="s">
        <v>4832</v>
      </c>
      <c r="D192" t="str">
        <f>VLOOKUP(B192,'2025'!B:C,2,0)</f>
        <v>Sudhi</v>
      </c>
      <c r="F192" t="s">
        <v>95</v>
      </c>
      <c r="G192" t="s">
        <v>2579</v>
      </c>
      <c r="H192" t="s">
        <v>848</v>
      </c>
      <c r="I192" t="s">
        <v>98</v>
      </c>
      <c r="J192" t="s">
        <v>4833</v>
      </c>
      <c r="K192" t="s">
        <v>100</v>
      </c>
      <c r="L192">
        <v>1440996</v>
      </c>
      <c r="M192">
        <v>1700375</v>
      </c>
      <c r="N192">
        <v>0</v>
      </c>
      <c r="O192">
        <v>0</v>
      </c>
      <c r="Q192">
        <v>0</v>
      </c>
      <c r="R192">
        <v>0</v>
      </c>
      <c r="T192">
        <v>1440996</v>
      </c>
      <c r="U192">
        <v>773</v>
      </c>
      <c r="V192" t="s">
        <v>800</v>
      </c>
      <c r="W192" t="s">
        <v>102</v>
      </c>
      <c r="X192" t="s">
        <v>103</v>
      </c>
      <c r="Y192" t="s">
        <v>155</v>
      </c>
      <c r="AA192" t="s">
        <v>2605</v>
      </c>
      <c r="AB192" t="s">
        <v>4834</v>
      </c>
      <c r="AC192" t="s">
        <v>648</v>
      </c>
      <c r="AD192" t="s">
        <v>4834</v>
      </c>
      <c r="AE192" t="s">
        <v>680</v>
      </c>
      <c r="AF192" t="s">
        <v>4834</v>
      </c>
      <c r="AG192" t="s">
        <v>160</v>
      </c>
      <c r="AH192" t="s">
        <v>4834</v>
      </c>
      <c r="AI192" t="s">
        <v>4835</v>
      </c>
      <c r="AJ192" t="s">
        <v>162</v>
      </c>
      <c r="AK192" t="s">
        <v>4836</v>
      </c>
      <c r="AL192" t="s">
        <v>4837</v>
      </c>
      <c r="AM192" t="s">
        <v>4838</v>
      </c>
      <c r="AN192" t="s">
        <v>4839</v>
      </c>
      <c r="AO192" t="s">
        <v>4840</v>
      </c>
      <c r="AP192" t="s">
        <v>4840</v>
      </c>
      <c r="AU192" t="s">
        <v>102</v>
      </c>
      <c r="AW192" t="s">
        <v>102</v>
      </c>
      <c r="AX192" t="s">
        <v>119</v>
      </c>
      <c r="BA192" t="s">
        <v>250</v>
      </c>
      <c r="BB192" t="s">
        <v>120</v>
      </c>
      <c r="BC192" t="s">
        <v>4841</v>
      </c>
      <c r="BD192" t="s">
        <v>2800</v>
      </c>
      <c r="BE192" t="s">
        <v>122</v>
      </c>
      <c r="BF192" t="s">
        <v>346</v>
      </c>
      <c r="BG192" t="s">
        <v>124</v>
      </c>
      <c r="BH192" t="s">
        <v>545</v>
      </c>
      <c r="BI192" t="s">
        <v>126</v>
      </c>
      <c r="BJ192" t="s">
        <v>127</v>
      </c>
      <c r="BK192" t="s">
        <v>4842</v>
      </c>
      <c r="BL192" t="s">
        <v>4843</v>
      </c>
      <c r="BM192" t="s">
        <v>4844</v>
      </c>
      <c r="BN192" t="s">
        <v>2579</v>
      </c>
      <c r="BO192" t="s">
        <v>4845</v>
      </c>
      <c r="BP192" t="s">
        <v>350</v>
      </c>
      <c r="BQ192" t="s">
        <v>4846</v>
      </c>
      <c r="BR192" t="s">
        <v>4847</v>
      </c>
      <c r="BS192" t="s">
        <v>328</v>
      </c>
      <c r="BU192" t="s">
        <v>4848</v>
      </c>
      <c r="BV192" t="s">
        <v>4849</v>
      </c>
      <c r="BW192" t="s">
        <v>138</v>
      </c>
      <c r="BX192" t="s">
        <v>4850</v>
      </c>
      <c r="BY192" t="s">
        <v>4851</v>
      </c>
      <c r="BZ192" t="s">
        <v>4852</v>
      </c>
      <c r="CA192" t="s">
        <v>4849</v>
      </c>
      <c r="CB192" t="s">
        <v>4850</v>
      </c>
      <c r="CC192" t="s">
        <v>4851</v>
      </c>
      <c r="CD192" t="s">
        <v>4853</v>
      </c>
      <c r="CF192" t="s">
        <v>4854</v>
      </c>
      <c r="CG192" t="s">
        <v>573</v>
      </c>
      <c r="CH192" t="s">
        <v>4855</v>
      </c>
      <c r="CJ192" t="s">
        <v>4856</v>
      </c>
      <c r="CK192" t="s">
        <v>4855</v>
      </c>
      <c r="CL192" t="s">
        <v>4841</v>
      </c>
      <c r="CM192" t="s">
        <v>2800</v>
      </c>
      <c r="CN192" t="s">
        <v>4856</v>
      </c>
      <c r="CO192" t="s">
        <v>4857</v>
      </c>
      <c r="CP192" t="s">
        <v>4855</v>
      </c>
      <c r="CQ192" t="s">
        <v>4855</v>
      </c>
    </row>
    <row r="193" spans="1:95">
      <c r="A193" t="s">
        <v>495</v>
      </c>
      <c r="B193">
        <v>3166721</v>
      </c>
      <c r="C193" t="s">
        <v>4858</v>
      </c>
      <c r="E193" s="4" t="s">
        <v>17377</v>
      </c>
      <c r="F193" t="s">
        <v>95</v>
      </c>
      <c r="G193" t="s">
        <v>497</v>
      </c>
      <c r="H193" t="s">
        <v>97</v>
      </c>
      <c r="I193" t="s">
        <v>98</v>
      </c>
      <c r="J193" t="s">
        <v>4859</v>
      </c>
      <c r="K193" t="s">
        <v>100</v>
      </c>
      <c r="L193">
        <v>73127</v>
      </c>
      <c r="M193">
        <v>73127</v>
      </c>
      <c r="N193">
        <v>73127</v>
      </c>
      <c r="O193">
        <v>88</v>
      </c>
      <c r="P193" t="s">
        <v>4860</v>
      </c>
      <c r="Q193">
        <v>0</v>
      </c>
      <c r="R193">
        <v>0</v>
      </c>
      <c r="T193">
        <v>0</v>
      </c>
      <c r="U193">
        <v>0</v>
      </c>
      <c r="W193" t="s">
        <v>102</v>
      </c>
      <c r="X193" t="s">
        <v>275</v>
      </c>
      <c r="Z193" t="s">
        <v>3074</v>
      </c>
      <c r="AA193" t="s">
        <v>109</v>
      </c>
      <c r="AB193" t="s">
        <v>102</v>
      </c>
      <c r="AC193" t="s">
        <v>109</v>
      </c>
      <c r="AD193" t="s">
        <v>102</v>
      </c>
      <c r="AE193" t="s">
        <v>109</v>
      </c>
      <c r="AF193" t="s">
        <v>102</v>
      </c>
      <c r="AG193" t="s">
        <v>109</v>
      </c>
      <c r="AH193" t="s">
        <v>102</v>
      </c>
      <c r="AI193" t="s">
        <v>102</v>
      </c>
      <c r="AJ193" t="s">
        <v>3074</v>
      </c>
      <c r="AK193" t="s">
        <v>3074</v>
      </c>
      <c r="AL193" t="s">
        <v>4861</v>
      </c>
      <c r="AM193" t="s">
        <v>4862</v>
      </c>
      <c r="AN193" t="s">
        <v>3579</v>
      </c>
      <c r="AO193" t="s">
        <v>4863</v>
      </c>
      <c r="AP193" t="s">
        <v>4863</v>
      </c>
      <c r="AU193" t="s">
        <v>117</v>
      </c>
      <c r="AV193" t="s">
        <v>118</v>
      </c>
      <c r="AW193" t="s">
        <v>102</v>
      </c>
      <c r="AX193" t="s">
        <v>119</v>
      </c>
      <c r="BB193" t="s">
        <v>120</v>
      </c>
      <c r="BC193" t="s">
        <v>4864</v>
      </c>
      <c r="BD193" t="s">
        <v>621</v>
      </c>
      <c r="BE193" t="s">
        <v>622</v>
      </c>
      <c r="BF193" t="s">
        <v>623</v>
      </c>
      <c r="BG193" t="s">
        <v>124</v>
      </c>
      <c r="BH193" t="s">
        <v>214</v>
      </c>
      <c r="BI193" t="s">
        <v>625</v>
      </c>
      <c r="BJ193" t="s">
        <v>127</v>
      </c>
      <c r="BK193" t="s">
        <v>4865</v>
      </c>
      <c r="BL193" t="s">
        <v>4866</v>
      </c>
      <c r="BM193" t="s">
        <v>4867</v>
      </c>
      <c r="BN193" t="s">
        <v>497</v>
      </c>
      <c r="BO193" t="s">
        <v>629</v>
      </c>
      <c r="BP193" t="s">
        <v>505</v>
      </c>
      <c r="BQ193" t="s">
        <v>630</v>
      </c>
      <c r="BR193" t="s">
        <v>631</v>
      </c>
      <c r="BS193" t="s">
        <v>507</v>
      </c>
      <c r="BU193" t="s">
        <v>4868</v>
      </c>
      <c r="BV193" t="s">
        <v>4869</v>
      </c>
      <c r="BX193" t="s">
        <v>1734</v>
      </c>
      <c r="BY193" t="s">
        <v>4870</v>
      </c>
      <c r="BZ193" t="s">
        <v>4871</v>
      </c>
      <c r="CA193" t="s">
        <v>4872</v>
      </c>
      <c r="CB193" t="s">
        <v>4873</v>
      </c>
      <c r="CC193" t="s">
        <v>4874</v>
      </c>
      <c r="CD193" t="s">
        <v>4875</v>
      </c>
      <c r="CE193" t="s">
        <v>4876</v>
      </c>
      <c r="CF193" t="s">
        <v>4877</v>
      </c>
      <c r="CG193" t="s">
        <v>102</v>
      </c>
      <c r="CH193" t="s">
        <v>4878</v>
      </c>
      <c r="CJ193" t="s">
        <v>4879</v>
      </c>
      <c r="CK193" t="s">
        <v>4878</v>
      </c>
      <c r="CL193" t="s">
        <v>4864</v>
      </c>
      <c r="CM193" t="s">
        <v>621</v>
      </c>
      <c r="CN193" t="s">
        <v>4879</v>
      </c>
      <c r="CP193" t="s">
        <v>4878</v>
      </c>
      <c r="CQ193" t="s">
        <v>4878</v>
      </c>
    </row>
    <row r="194" spans="1:95">
      <c r="A194" t="s">
        <v>337</v>
      </c>
      <c r="B194">
        <v>3167641</v>
      </c>
      <c r="C194" t="s">
        <v>4880</v>
      </c>
      <c r="D194" t="str">
        <f>VLOOKUP(B194,'2025'!B:C,2,0)</f>
        <v>Unnati Sharma</v>
      </c>
      <c r="F194" t="s">
        <v>95</v>
      </c>
      <c r="G194" t="s">
        <v>4312</v>
      </c>
      <c r="H194" t="s">
        <v>848</v>
      </c>
      <c r="I194" t="s">
        <v>98</v>
      </c>
      <c r="J194" t="s">
        <v>4881</v>
      </c>
      <c r="K194" t="s">
        <v>100</v>
      </c>
      <c r="L194">
        <v>1144906</v>
      </c>
      <c r="M194">
        <v>1350989</v>
      </c>
      <c r="N194">
        <v>0</v>
      </c>
      <c r="O194">
        <v>0</v>
      </c>
      <c r="Q194">
        <v>0</v>
      </c>
      <c r="R194">
        <v>0</v>
      </c>
      <c r="T194">
        <v>1144906</v>
      </c>
      <c r="U194">
        <v>477</v>
      </c>
      <c r="V194" t="s">
        <v>4372</v>
      </c>
      <c r="W194" t="s">
        <v>102</v>
      </c>
      <c r="X194" t="s">
        <v>103</v>
      </c>
      <c r="Y194" t="s">
        <v>155</v>
      </c>
      <c r="AA194" t="s">
        <v>1745</v>
      </c>
      <c r="AB194" t="s">
        <v>4882</v>
      </c>
      <c r="AC194" t="s">
        <v>892</v>
      </c>
      <c r="AD194" t="s">
        <v>4882</v>
      </c>
      <c r="AE194" t="s">
        <v>437</v>
      </c>
      <c r="AF194" t="s">
        <v>4882</v>
      </c>
      <c r="AG194" t="s">
        <v>1473</v>
      </c>
      <c r="AH194" t="s">
        <v>4882</v>
      </c>
      <c r="AI194" t="s">
        <v>4883</v>
      </c>
      <c r="AJ194" t="s">
        <v>993</v>
      </c>
      <c r="AK194" t="s">
        <v>4884</v>
      </c>
      <c r="AL194" t="s">
        <v>4885</v>
      </c>
      <c r="AM194" t="s">
        <v>4886</v>
      </c>
      <c r="AN194" t="s">
        <v>4887</v>
      </c>
      <c r="AO194" t="s">
        <v>4888</v>
      </c>
      <c r="AP194" t="s">
        <v>4888</v>
      </c>
      <c r="AU194" t="s">
        <v>102</v>
      </c>
      <c r="AW194" t="s">
        <v>102</v>
      </c>
      <c r="AX194" t="s">
        <v>119</v>
      </c>
      <c r="BA194" t="s">
        <v>250</v>
      </c>
      <c r="BB194" t="s">
        <v>120</v>
      </c>
      <c r="BC194" t="s">
        <v>4889</v>
      </c>
      <c r="BD194" t="s">
        <v>730</v>
      </c>
      <c r="BE194" t="s">
        <v>622</v>
      </c>
      <c r="BF194" t="s">
        <v>730</v>
      </c>
      <c r="BG194" t="s">
        <v>124</v>
      </c>
      <c r="BH194" t="s">
        <v>232</v>
      </c>
      <c r="BI194" t="s">
        <v>126</v>
      </c>
      <c r="BJ194" t="s">
        <v>127</v>
      </c>
      <c r="BK194" t="s">
        <v>4890</v>
      </c>
      <c r="BL194" t="s">
        <v>4891</v>
      </c>
      <c r="BM194" t="s">
        <v>4892</v>
      </c>
      <c r="BN194" t="s">
        <v>4312</v>
      </c>
      <c r="BO194" t="s">
        <v>4893</v>
      </c>
      <c r="BP194" t="s">
        <v>350</v>
      </c>
      <c r="BQ194" t="s">
        <v>4894</v>
      </c>
      <c r="BR194" t="s">
        <v>4895</v>
      </c>
      <c r="BS194" t="s">
        <v>2569</v>
      </c>
      <c r="BU194" t="s">
        <v>4896</v>
      </c>
      <c r="BV194" t="s">
        <v>4897</v>
      </c>
      <c r="BW194" t="s">
        <v>354</v>
      </c>
      <c r="BX194" t="s">
        <v>4898</v>
      </c>
      <c r="BY194" t="s">
        <v>4899</v>
      </c>
      <c r="BZ194" t="s">
        <v>4900</v>
      </c>
      <c r="CG194" t="s">
        <v>4901</v>
      </c>
      <c r="CH194" t="s">
        <v>4902</v>
      </c>
      <c r="CJ194" t="s">
        <v>4903</v>
      </c>
      <c r="CK194" t="s">
        <v>4902</v>
      </c>
      <c r="CL194" t="s">
        <v>4889</v>
      </c>
      <c r="CM194" t="s">
        <v>730</v>
      </c>
      <c r="CN194" t="s">
        <v>4903</v>
      </c>
      <c r="CP194" t="s">
        <v>4902</v>
      </c>
      <c r="CQ194" t="s">
        <v>4902</v>
      </c>
    </row>
    <row r="195" spans="1:95">
      <c r="A195" t="s">
        <v>337</v>
      </c>
      <c r="B195">
        <v>3182579</v>
      </c>
      <c r="C195" t="s">
        <v>4904</v>
      </c>
      <c r="E195" s="4" t="s">
        <v>17377</v>
      </c>
      <c r="F195" t="s">
        <v>95</v>
      </c>
      <c r="G195" t="s">
        <v>2579</v>
      </c>
      <c r="H195" t="s">
        <v>97</v>
      </c>
      <c r="I195" t="s">
        <v>98</v>
      </c>
      <c r="J195" t="s">
        <v>4905</v>
      </c>
      <c r="K195" t="s">
        <v>100</v>
      </c>
      <c r="L195">
        <v>174483</v>
      </c>
      <c r="M195">
        <v>174483</v>
      </c>
      <c r="N195">
        <v>174483</v>
      </c>
      <c r="O195">
        <v>349</v>
      </c>
      <c r="P195" t="s">
        <v>364</v>
      </c>
      <c r="Q195">
        <v>0</v>
      </c>
      <c r="R195">
        <v>0</v>
      </c>
      <c r="T195">
        <v>0</v>
      </c>
      <c r="U195">
        <v>0</v>
      </c>
      <c r="W195" t="s">
        <v>102</v>
      </c>
      <c r="X195" t="s">
        <v>103</v>
      </c>
      <c r="Y195" t="s">
        <v>104</v>
      </c>
      <c r="AA195" t="s">
        <v>545</v>
      </c>
      <c r="AB195" t="s">
        <v>4906</v>
      </c>
      <c r="AC195" t="s">
        <v>2582</v>
      </c>
      <c r="AD195" t="s">
        <v>4907</v>
      </c>
      <c r="AE195" t="s">
        <v>109</v>
      </c>
      <c r="AF195" t="s">
        <v>102</v>
      </c>
      <c r="AG195" t="s">
        <v>109</v>
      </c>
      <c r="AH195" t="s">
        <v>102</v>
      </c>
      <c r="AI195" t="s">
        <v>4908</v>
      </c>
      <c r="AJ195" t="s">
        <v>377</v>
      </c>
      <c r="AK195" t="s">
        <v>4909</v>
      </c>
      <c r="AL195" t="s">
        <v>4910</v>
      </c>
      <c r="AM195" t="s">
        <v>4911</v>
      </c>
      <c r="AN195" t="s">
        <v>4912</v>
      </c>
      <c r="AO195" t="s">
        <v>2307</v>
      </c>
      <c r="AP195" t="s">
        <v>2307</v>
      </c>
      <c r="AU195" t="s">
        <v>117</v>
      </c>
      <c r="AV195" t="s">
        <v>118</v>
      </c>
      <c r="AW195" t="s">
        <v>102</v>
      </c>
      <c r="AX195" t="s">
        <v>119</v>
      </c>
      <c r="BB195" t="s">
        <v>120</v>
      </c>
      <c r="BC195" t="s">
        <v>4913</v>
      </c>
      <c r="BD195" t="s">
        <v>211</v>
      </c>
      <c r="BE195" t="s">
        <v>212</v>
      </c>
      <c r="BF195" t="s">
        <v>213</v>
      </c>
      <c r="BG195" t="s">
        <v>124</v>
      </c>
      <c r="BH195" t="s">
        <v>232</v>
      </c>
      <c r="BI195" t="s">
        <v>126</v>
      </c>
      <c r="BJ195" t="s">
        <v>127</v>
      </c>
      <c r="BK195" t="s">
        <v>4914</v>
      </c>
      <c r="BL195" t="s">
        <v>4915</v>
      </c>
      <c r="BM195" t="s">
        <v>4916</v>
      </c>
      <c r="BN195" t="s">
        <v>2579</v>
      </c>
      <c r="BO195" t="s">
        <v>480</v>
      </c>
      <c r="BP195" t="s">
        <v>180</v>
      </c>
      <c r="BQ195" t="s">
        <v>481</v>
      </c>
      <c r="BR195" t="s">
        <v>482</v>
      </c>
      <c r="BS195" t="s">
        <v>2593</v>
      </c>
      <c r="BT195" t="s">
        <v>900</v>
      </c>
      <c r="BU195" t="s">
        <v>4917</v>
      </c>
      <c r="BV195" t="s">
        <v>4918</v>
      </c>
      <c r="BW195" t="s">
        <v>598</v>
      </c>
      <c r="BX195" t="s">
        <v>4919</v>
      </c>
      <c r="BY195" t="s">
        <v>4920</v>
      </c>
      <c r="BZ195" t="s">
        <v>4921</v>
      </c>
      <c r="CA195" t="s">
        <v>4918</v>
      </c>
      <c r="CB195" t="s">
        <v>4919</v>
      </c>
      <c r="CC195" t="s">
        <v>4920</v>
      </c>
      <c r="CG195" t="s">
        <v>907</v>
      </c>
      <c r="CH195" t="s">
        <v>4922</v>
      </c>
      <c r="CJ195" t="s">
        <v>4923</v>
      </c>
      <c r="CK195" t="s">
        <v>4922</v>
      </c>
      <c r="CL195" t="s">
        <v>4913</v>
      </c>
      <c r="CM195" t="s">
        <v>211</v>
      </c>
      <c r="CN195" t="s">
        <v>4923</v>
      </c>
      <c r="CP195" t="s">
        <v>4922</v>
      </c>
      <c r="CQ195" t="s">
        <v>4922</v>
      </c>
    </row>
    <row r="196" spans="1:95">
      <c r="A196" t="s">
        <v>93</v>
      </c>
      <c r="B196">
        <v>3182761</v>
      </c>
      <c r="C196" t="s">
        <v>4924</v>
      </c>
      <c r="D196" t="str">
        <f>VLOOKUP(B196,'2025'!B:C,2,0)</f>
        <v>Shruti</v>
      </c>
      <c r="F196" t="s">
        <v>95</v>
      </c>
      <c r="G196" t="s">
        <v>4312</v>
      </c>
      <c r="H196" t="s">
        <v>152</v>
      </c>
      <c r="I196" t="s">
        <v>98</v>
      </c>
      <c r="J196" t="s">
        <v>4925</v>
      </c>
      <c r="K196" t="s">
        <v>100</v>
      </c>
      <c r="L196">
        <v>819000</v>
      </c>
      <c r="M196">
        <v>819000</v>
      </c>
      <c r="N196">
        <v>0</v>
      </c>
      <c r="O196">
        <v>0</v>
      </c>
      <c r="Q196">
        <v>819000</v>
      </c>
      <c r="R196">
        <v>525</v>
      </c>
      <c r="S196" t="s">
        <v>544</v>
      </c>
      <c r="T196">
        <v>0</v>
      </c>
      <c r="U196">
        <v>0</v>
      </c>
      <c r="W196" t="s">
        <v>102</v>
      </c>
      <c r="X196" t="s">
        <v>103</v>
      </c>
      <c r="Y196" t="s">
        <v>155</v>
      </c>
      <c r="AA196" t="s">
        <v>4606</v>
      </c>
      <c r="AB196" t="s">
        <v>4926</v>
      </c>
      <c r="AC196" t="s">
        <v>968</v>
      </c>
      <c r="AD196" t="s">
        <v>4926</v>
      </c>
      <c r="AE196" t="s">
        <v>2630</v>
      </c>
      <c r="AF196" t="s">
        <v>4926</v>
      </c>
      <c r="AG196" t="s">
        <v>680</v>
      </c>
      <c r="AH196" t="s">
        <v>4926</v>
      </c>
      <c r="AI196" t="s">
        <v>102</v>
      </c>
      <c r="AJ196" t="s">
        <v>3155</v>
      </c>
      <c r="AK196" t="s">
        <v>1300</v>
      </c>
      <c r="AL196" t="s">
        <v>4927</v>
      </c>
      <c r="AM196" t="s">
        <v>4928</v>
      </c>
      <c r="AN196" t="s">
        <v>4929</v>
      </c>
      <c r="AO196" t="s">
        <v>554</v>
      </c>
      <c r="AP196" t="s">
        <v>554</v>
      </c>
      <c r="AU196" t="s">
        <v>102</v>
      </c>
      <c r="AW196" t="s">
        <v>155</v>
      </c>
      <c r="AX196" t="s">
        <v>119</v>
      </c>
      <c r="AY196" t="s">
        <v>170</v>
      </c>
      <c r="AZ196" t="s">
        <v>118</v>
      </c>
      <c r="BB196" t="s">
        <v>120</v>
      </c>
      <c r="BC196" t="s">
        <v>555</v>
      </c>
      <c r="BD196" t="s">
        <v>556</v>
      </c>
      <c r="BE196" t="s">
        <v>122</v>
      </c>
      <c r="BF196" t="s">
        <v>557</v>
      </c>
      <c r="BG196" t="s">
        <v>124</v>
      </c>
      <c r="BH196" t="s">
        <v>549</v>
      </c>
      <c r="BI196" t="s">
        <v>559</v>
      </c>
      <c r="BJ196" t="s">
        <v>127</v>
      </c>
      <c r="BK196" t="s">
        <v>4930</v>
      </c>
      <c r="BL196" t="s">
        <v>4931</v>
      </c>
      <c r="BM196" t="s">
        <v>4932</v>
      </c>
      <c r="BN196" t="s">
        <v>4312</v>
      </c>
      <c r="BO196" t="s">
        <v>563</v>
      </c>
      <c r="BP196" t="s">
        <v>258</v>
      </c>
      <c r="BQ196" t="s">
        <v>564</v>
      </c>
      <c r="BR196" t="s">
        <v>565</v>
      </c>
      <c r="BS196" t="s">
        <v>566</v>
      </c>
      <c r="BU196" t="s">
        <v>4933</v>
      </c>
      <c r="BV196" t="s">
        <v>4934</v>
      </c>
      <c r="BW196" t="s">
        <v>138</v>
      </c>
      <c r="BX196" t="s">
        <v>4935</v>
      </c>
      <c r="BY196" t="s">
        <v>4936</v>
      </c>
      <c r="BZ196" t="s">
        <v>4935</v>
      </c>
      <c r="CA196" t="s">
        <v>4934</v>
      </c>
      <c r="CB196" t="s">
        <v>4935</v>
      </c>
      <c r="CC196" t="s">
        <v>4936</v>
      </c>
      <c r="CG196" t="s">
        <v>4937</v>
      </c>
      <c r="CH196" t="s">
        <v>4938</v>
      </c>
      <c r="CJ196" t="s">
        <v>1154</v>
      </c>
      <c r="CK196" t="s">
        <v>4938</v>
      </c>
      <c r="CL196" t="s">
        <v>555</v>
      </c>
      <c r="CM196" t="s">
        <v>556</v>
      </c>
      <c r="CN196" t="s">
        <v>1154</v>
      </c>
      <c r="CP196" t="s">
        <v>4938</v>
      </c>
      <c r="CQ196" t="s">
        <v>4938</v>
      </c>
    </row>
    <row r="197" spans="1:95">
      <c r="A197" t="s">
        <v>337</v>
      </c>
      <c r="B197">
        <v>3187497</v>
      </c>
      <c r="C197" t="s">
        <v>4939</v>
      </c>
      <c r="D197" t="str">
        <f>VLOOKUP(B197,'2025'!B:C,2,0)</f>
        <v>Vineeth T V</v>
      </c>
      <c r="F197" t="s">
        <v>95</v>
      </c>
      <c r="G197" t="s">
        <v>2142</v>
      </c>
      <c r="H197" t="s">
        <v>97</v>
      </c>
      <c r="I197" t="s">
        <v>98</v>
      </c>
      <c r="J197" t="s">
        <v>4940</v>
      </c>
      <c r="K197" t="s">
        <v>100</v>
      </c>
      <c r="L197">
        <v>1310322</v>
      </c>
      <c r="M197">
        <v>1310322</v>
      </c>
      <c r="N197">
        <v>1310322</v>
      </c>
      <c r="O197">
        <v>761</v>
      </c>
      <c r="P197" t="s">
        <v>4941</v>
      </c>
      <c r="Q197">
        <v>0</v>
      </c>
      <c r="R197">
        <v>0</v>
      </c>
      <c r="T197">
        <v>0</v>
      </c>
      <c r="U197">
        <v>0</v>
      </c>
      <c r="W197" t="s">
        <v>102</v>
      </c>
      <c r="X197" t="s">
        <v>103</v>
      </c>
      <c r="Y197" t="s">
        <v>104</v>
      </c>
      <c r="AA197" t="s">
        <v>4942</v>
      </c>
      <c r="AB197" t="s">
        <v>4943</v>
      </c>
      <c r="AC197" t="s">
        <v>4944</v>
      </c>
      <c r="AD197" t="s">
        <v>4943</v>
      </c>
      <c r="AE197" t="s">
        <v>109</v>
      </c>
      <c r="AF197" t="s">
        <v>102</v>
      </c>
      <c r="AG197" t="s">
        <v>109</v>
      </c>
      <c r="AH197" t="s">
        <v>102</v>
      </c>
      <c r="AI197" t="s">
        <v>4945</v>
      </c>
      <c r="AJ197" t="s">
        <v>2452</v>
      </c>
      <c r="AK197" t="s">
        <v>4946</v>
      </c>
      <c r="AL197" t="s">
        <v>4947</v>
      </c>
      <c r="AM197" t="s">
        <v>4948</v>
      </c>
      <c r="AN197" t="s">
        <v>4949</v>
      </c>
      <c r="AO197" t="s">
        <v>4950</v>
      </c>
      <c r="AP197" t="s">
        <v>4950</v>
      </c>
      <c r="AU197" t="s">
        <v>318</v>
      </c>
      <c r="AV197" t="s">
        <v>118</v>
      </c>
      <c r="AW197" t="s">
        <v>102</v>
      </c>
      <c r="AX197" t="s">
        <v>119</v>
      </c>
      <c r="BB197" t="s">
        <v>120</v>
      </c>
      <c r="BC197" t="s">
        <v>4951</v>
      </c>
      <c r="BD197" t="s">
        <v>410</v>
      </c>
      <c r="BE197" t="s">
        <v>212</v>
      </c>
      <c r="BF197" t="s">
        <v>410</v>
      </c>
      <c r="BG197" t="s">
        <v>124</v>
      </c>
      <c r="BH197" t="s">
        <v>232</v>
      </c>
      <c r="BI197" t="s">
        <v>126</v>
      </c>
      <c r="BJ197" t="s">
        <v>127</v>
      </c>
      <c r="BK197" t="s">
        <v>4952</v>
      </c>
      <c r="BL197" t="s">
        <v>4953</v>
      </c>
      <c r="BM197" t="s">
        <v>4954</v>
      </c>
      <c r="BN197" t="s">
        <v>2142</v>
      </c>
      <c r="BO197" t="s">
        <v>4955</v>
      </c>
      <c r="BP197" t="s">
        <v>258</v>
      </c>
      <c r="BQ197" t="s">
        <v>4956</v>
      </c>
      <c r="BR197" t="s">
        <v>4957</v>
      </c>
      <c r="BS197" t="s">
        <v>1702</v>
      </c>
      <c r="BU197" t="s">
        <v>4958</v>
      </c>
      <c r="BV197" t="s">
        <v>4959</v>
      </c>
      <c r="BW197" t="s">
        <v>138</v>
      </c>
      <c r="BX197" t="s">
        <v>4960</v>
      </c>
      <c r="BY197" t="s">
        <v>4961</v>
      </c>
      <c r="BZ197" t="s">
        <v>4962</v>
      </c>
      <c r="CA197" t="s">
        <v>4959</v>
      </c>
      <c r="CB197" t="s">
        <v>4960</v>
      </c>
      <c r="CC197" t="s">
        <v>4961</v>
      </c>
      <c r="CG197" t="s">
        <v>2270</v>
      </c>
      <c r="CH197" t="s">
        <v>4963</v>
      </c>
      <c r="CJ197" t="s">
        <v>4964</v>
      </c>
      <c r="CK197" t="s">
        <v>4963</v>
      </c>
      <c r="CL197" t="s">
        <v>4951</v>
      </c>
      <c r="CM197" t="s">
        <v>1711</v>
      </c>
      <c r="CN197" t="s">
        <v>4964</v>
      </c>
      <c r="CP197" t="s">
        <v>4963</v>
      </c>
      <c r="CQ197" t="s">
        <v>4963</v>
      </c>
    </row>
    <row r="198" spans="1:95">
      <c r="A198" t="s">
        <v>149</v>
      </c>
      <c r="B198">
        <v>3188843</v>
      </c>
      <c r="C198" t="s">
        <v>4965</v>
      </c>
      <c r="D198" t="str">
        <f>VLOOKUP(B198,'2025'!B:C,2,0)</f>
        <v>Unnati Sharma</v>
      </c>
      <c r="F198" t="s">
        <v>95</v>
      </c>
      <c r="G198" t="s">
        <v>2082</v>
      </c>
      <c r="H198" t="s">
        <v>97</v>
      </c>
      <c r="I198" t="s">
        <v>98</v>
      </c>
      <c r="J198" t="s">
        <v>4966</v>
      </c>
      <c r="K198" t="s">
        <v>100</v>
      </c>
      <c r="L198">
        <v>279192</v>
      </c>
      <c r="M198">
        <v>279192</v>
      </c>
      <c r="N198">
        <v>279192</v>
      </c>
      <c r="O198">
        <v>476</v>
      </c>
      <c r="P198" t="s">
        <v>4967</v>
      </c>
      <c r="Q198">
        <v>0</v>
      </c>
      <c r="R198">
        <v>0</v>
      </c>
      <c r="T198">
        <v>0</v>
      </c>
      <c r="U198">
        <v>0</v>
      </c>
      <c r="W198" t="s">
        <v>102</v>
      </c>
      <c r="X198" t="s">
        <v>103</v>
      </c>
      <c r="Y198" t="s">
        <v>104</v>
      </c>
      <c r="AA198" t="s">
        <v>892</v>
      </c>
      <c r="AB198" t="s">
        <v>4968</v>
      </c>
      <c r="AC198" t="s">
        <v>159</v>
      </c>
      <c r="AD198" t="s">
        <v>4969</v>
      </c>
      <c r="AE198" t="s">
        <v>109</v>
      </c>
      <c r="AF198" t="s">
        <v>102</v>
      </c>
      <c r="AG198" t="s">
        <v>109</v>
      </c>
      <c r="AH198" t="s">
        <v>102</v>
      </c>
      <c r="AI198" t="s">
        <v>102</v>
      </c>
      <c r="AJ198" t="s">
        <v>4970</v>
      </c>
      <c r="AK198" t="s">
        <v>3485</v>
      </c>
      <c r="AL198" t="s">
        <v>4971</v>
      </c>
      <c r="AM198" t="s">
        <v>4972</v>
      </c>
      <c r="AN198" t="s">
        <v>4973</v>
      </c>
      <c r="AO198" t="s">
        <v>4974</v>
      </c>
      <c r="AP198" t="s">
        <v>4975</v>
      </c>
      <c r="AT198" t="s">
        <v>169</v>
      </c>
      <c r="AU198" t="s">
        <v>117</v>
      </c>
      <c r="AV198" t="s">
        <v>250</v>
      </c>
      <c r="AW198" t="s">
        <v>102</v>
      </c>
      <c r="AX198" t="s">
        <v>119</v>
      </c>
      <c r="BB198" t="s">
        <v>171</v>
      </c>
      <c r="BC198" t="s">
        <v>2327</v>
      </c>
      <c r="BD198" t="s">
        <v>730</v>
      </c>
      <c r="BE198" t="s">
        <v>622</v>
      </c>
      <c r="BF198" t="s">
        <v>730</v>
      </c>
      <c r="BG198" t="s">
        <v>124</v>
      </c>
      <c r="BH198" t="s">
        <v>232</v>
      </c>
      <c r="BI198" t="s">
        <v>126</v>
      </c>
      <c r="BJ198" t="s">
        <v>127</v>
      </c>
      <c r="BK198" t="s">
        <v>4976</v>
      </c>
      <c r="BL198" t="s">
        <v>4977</v>
      </c>
      <c r="BM198" t="s">
        <v>4978</v>
      </c>
      <c r="BN198" t="s">
        <v>2082</v>
      </c>
      <c r="BO198" t="s">
        <v>1733</v>
      </c>
      <c r="BP198" t="s">
        <v>350</v>
      </c>
      <c r="BQ198" t="s">
        <v>1734</v>
      </c>
      <c r="BR198" t="s">
        <v>1735</v>
      </c>
      <c r="BS198" t="s">
        <v>3562</v>
      </c>
      <c r="BU198" t="s">
        <v>4979</v>
      </c>
      <c r="BV198" t="s">
        <v>4980</v>
      </c>
      <c r="BW198" t="s">
        <v>598</v>
      </c>
      <c r="BX198" t="s">
        <v>4981</v>
      </c>
      <c r="BY198" t="s">
        <v>4982</v>
      </c>
      <c r="BZ198" t="s">
        <v>4983</v>
      </c>
      <c r="CG198" t="s">
        <v>102</v>
      </c>
      <c r="CH198" t="s">
        <v>4984</v>
      </c>
      <c r="CJ198" t="s">
        <v>4985</v>
      </c>
      <c r="CK198" t="s">
        <v>4984</v>
      </c>
      <c r="CL198" t="s">
        <v>2327</v>
      </c>
      <c r="CM198" t="s">
        <v>730</v>
      </c>
      <c r="CN198" t="s">
        <v>4985</v>
      </c>
      <c r="CO198" t="s">
        <v>4986</v>
      </c>
      <c r="CP198" t="s">
        <v>4984</v>
      </c>
      <c r="CQ198" t="s">
        <v>4984</v>
      </c>
    </row>
    <row r="199" spans="1:95">
      <c r="A199" t="s">
        <v>337</v>
      </c>
      <c r="B199">
        <v>3194499</v>
      </c>
      <c r="C199" t="s">
        <v>4987</v>
      </c>
      <c r="E199" s="4" t="s">
        <v>17377</v>
      </c>
      <c r="F199" t="s">
        <v>95</v>
      </c>
      <c r="G199" t="s">
        <v>2008</v>
      </c>
      <c r="H199" t="s">
        <v>97</v>
      </c>
      <c r="I199" t="s">
        <v>98</v>
      </c>
      <c r="J199" t="s">
        <v>4988</v>
      </c>
      <c r="K199" t="s">
        <v>100</v>
      </c>
      <c r="L199">
        <v>766423</v>
      </c>
      <c r="M199">
        <v>766423</v>
      </c>
      <c r="N199">
        <v>766423</v>
      </c>
      <c r="O199">
        <v>1533</v>
      </c>
      <c r="P199" t="s">
        <v>364</v>
      </c>
      <c r="Q199">
        <v>0</v>
      </c>
      <c r="R199">
        <v>0</v>
      </c>
      <c r="T199">
        <v>0</v>
      </c>
      <c r="U199">
        <v>0</v>
      </c>
      <c r="W199" t="s">
        <v>102</v>
      </c>
      <c r="X199" t="s">
        <v>103</v>
      </c>
      <c r="Y199" t="s">
        <v>104</v>
      </c>
      <c r="AA199" t="s">
        <v>1201</v>
      </c>
      <c r="AB199" t="s">
        <v>4989</v>
      </c>
      <c r="AC199" t="s">
        <v>680</v>
      </c>
      <c r="AD199" t="s">
        <v>4990</v>
      </c>
      <c r="AE199" t="s">
        <v>109</v>
      </c>
      <c r="AF199" t="s">
        <v>102</v>
      </c>
      <c r="AG199" t="s">
        <v>109</v>
      </c>
      <c r="AH199" t="s">
        <v>102</v>
      </c>
      <c r="AI199" t="s">
        <v>4991</v>
      </c>
      <c r="AJ199" t="s">
        <v>202</v>
      </c>
      <c r="AK199" t="s">
        <v>202</v>
      </c>
      <c r="AL199" t="s">
        <v>4992</v>
      </c>
      <c r="AM199" t="s">
        <v>4993</v>
      </c>
      <c r="AN199" t="s">
        <v>102</v>
      </c>
      <c r="AO199" t="s">
        <v>2307</v>
      </c>
      <c r="AP199" t="s">
        <v>2307</v>
      </c>
      <c r="AU199" t="s">
        <v>117</v>
      </c>
      <c r="AV199" t="s">
        <v>118</v>
      </c>
      <c r="AW199" t="s">
        <v>102</v>
      </c>
      <c r="AX199" t="s">
        <v>119</v>
      </c>
      <c r="BB199" t="s">
        <v>120</v>
      </c>
      <c r="BC199" t="s">
        <v>920</v>
      </c>
      <c r="BD199" t="s">
        <v>211</v>
      </c>
      <c r="BE199" t="s">
        <v>212</v>
      </c>
      <c r="BF199" t="s">
        <v>213</v>
      </c>
      <c r="BG199" t="s">
        <v>124</v>
      </c>
      <c r="BH199" t="s">
        <v>232</v>
      </c>
      <c r="BI199" t="s">
        <v>126</v>
      </c>
      <c r="BJ199" t="s">
        <v>127</v>
      </c>
      <c r="BK199" t="s">
        <v>4994</v>
      </c>
      <c r="BL199" t="s">
        <v>4995</v>
      </c>
      <c r="BM199" t="s">
        <v>4996</v>
      </c>
      <c r="BN199" t="s">
        <v>2008</v>
      </c>
      <c r="BO199" t="s">
        <v>734</v>
      </c>
      <c r="BP199" t="s">
        <v>505</v>
      </c>
      <c r="BQ199" t="s">
        <v>735</v>
      </c>
      <c r="BR199" t="s">
        <v>736</v>
      </c>
      <c r="BS199" t="s">
        <v>737</v>
      </c>
      <c r="BT199" t="s">
        <v>4997</v>
      </c>
      <c r="BU199" t="s">
        <v>4998</v>
      </c>
      <c r="BV199" t="s">
        <v>4999</v>
      </c>
      <c r="BW199" t="s">
        <v>138</v>
      </c>
      <c r="BX199" t="s">
        <v>5000</v>
      </c>
      <c r="BY199" t="s">
        <v>5001</v>
      </c>
      <c r="BZ199" t="s">
        <v>5002</v>
      </c>
      <c r="CA199" t="s">
        <v>5003</v>
      </c>
      <c r="CB199" t="s">
        <v>5000</v>
      </c>
      <c r="CC199" t="s">
        <v>5001</v>
      </c>
      <c r="CD199" t="s">
        <v>5004</v>
      </c>
      <c r="CE199" t="s">
        <v>5005</v>
      </c>
      <c r="CF199" t="s">
        <v>5006</v>
      </c>
      <c r="CG199" t="s">
        <v>5007</v>
      </c>
      <c r="CH199" t="s">
        <v>5008</v>
      </c>
      <c r="CJ199" t="s">
        <v>5009</v>
      </c>
      <c r="CK199" t="s">
        <v>5008</v>
      </c>
      <c r="CL199" t="s">
        <v>920</v>
      </c>
      <c r="CM199" t="s">
        <v>211</v>
      </c>
      <c r="CN199" t="s">
        <v>5009</v>
      </c>
      <c r="CP199" t="s">
        <v>5008</v>
      </c>
      <c r="CQ199" t="s">
        <v>5008</v>
      </c>
    </row>
    <row r="200" spans="1:95">
      <c r="A200" t="s">
        <v>337</v>
      </c>
      <c r="B200">
        <v>3216662</v>
      </c>
      <c r="C200" t="s">
        <v>5010</v>
      </c>
      <c r="D200" t="str">
        <f>VLOOKUP(B200,'2025'!B:C,2,0)</f>
        <v>Gargi Ghosh</v>
      </c>
      <c r="F200" t="s">
        <v>95</v>
      </c>
      <c r="G200" t="s">
        <v>646</v>
      </c>
      <c r="H200" t="s">
        <v>152</v>
      </c>
      <c r="I200" t="s">
        <v>98</v>
      </c>
      <c r="J200" t="s">
        <v>5011</v>
      </c>
      <c r="K200" t="s">
        <v>100</v>
      </c>
      <c r="L200">
        <v>154865</v>
      </c>
      <c r="M200">
        <v>154865</v>
      </c>
      <c r="N200">
        <v>0</v>
      </c>
      <c r="O200">
        <v>0</v>
      </c>
      <c r="Q200">
        <v>154865</v>
      </c>
      <c r="R200">
        <v>86</v>
      </c>
      <c r="S200" t="s">
        <v>5012</v>
      </c>
      <c r="T200">
        <v>0</v>
      </c>
      <c r="U200">
        <v>0</v>
      </c>
      <c r="W200" t="s">
        <v>102</v>
      </c>
      <c r="X200" t="s">
        <v>103</v>
      </c>
      <c r="Y200" t="s">
        <v>155</v>
      </c>
      <c r="AA200" t="s">
        <v>1745</v>
      </c>
      <c r="AB200" t="s">
        <v>5013</v>
      </c>
      <c r="AC200" t="s">
        <v>1374</v>
      </c>
      <c r="AD200" t="s">
        <v>5013</v>
      </c>
      <c r="AE200" t="s">
        <v>1200</v>
      </c>
      <c r="AF200" t="s">
        <v>5013</v>
      </c>
      <c r="AG200" t="s">
        <v>1201</v>
      </c>
      <c r="AH200" t="s">
        <v>5013</v>
      </c>
      <c r="AI200" t="s">
        <v>5014</v>
      </c>
      <c r="AJ200" t="s">
        <v>1745</v>
      </c>
      <c r="AK200" t="s">
        <v>5015</v>
      </c>
      <c r="AL200" t="s">
        <v>5016</v>
      </c>
      <c r="AM200" t="s">
        <v>5017</v>
      </c>
      <c r="AN200" t="s">
        <v>5018</v>
      </c>
      <c r="AO200" t="s">
        <v>5019</v>
      </c>
      <c r="AP200" t="s">
        <v>5019</v>
      </c>
      <c r="AU200" t="s">
        <v>102</v>
      </c>
      <c r="AW200" t="s">
        <v>104</v>
      </c>
      <c r="AX200" t="s">
        <v>447</v>
      </c>
      <c r="AY200" t="s">
        <v>170</v>
      </c>
      <c r="AZ200" t="s">
        <v>118</v>
      </c>
      <c r="BB200" t="s">
        <v>171</v>
      </c>
      <c r="BC200" t="s">
        <v>5020</v>
      </c>
      <c r="BD200" t="s">
        <v>376</v>
      </c>
      <c r="BE200" t="s">
        <v>174</v>
      </c>
      <c r="BF200" t="s">
        <v>376</v>
      </c>
      <c r="BG200" t="s">
        <v>124</v>
      </c>
      <c r="BH200" t="s">
        <v>5021</v>
      </c>
      <c r="BI200" t="s">
        <v>5022</v>
      </c>
      <c r="BJ200" t="s">
        <v>127</v>
      </c>
      <c r="BK200" t="s">
        <v>5023</v>
      </c>
      <c r="BL200" t="s">
        <v>5024</v>
      </c>
      <c r="BM200" t="s">
        <v>5025</v>
      </c>
      <c r="BN200" t="s">
        <v>646</v>
      </c>
      <c r="BO200" t="s">
        <v>5026</v>
      </c>
      <c r="BP200" t="s">
        <v>180</v>
      </c>
      <c r="BQ200" t="s">
        <v>5027</v>
      </c>
      <c r="BR200" t="s">
        <v>5028</v>
      </c>
      <c r="BS200" t="s">
        <v>5029</v>
      </c>
      <c r="BU200" t="s">
        <v>5030</v>
      </c>
      <c r="BV200" t="s">
        <v>5031</v>
      </c>
      <c r="BW200" t="s">
        <v>138</v>
      </c>
      <c r="BX200" t="s">
        <v>5032</v>
      </c>
      <c r="BY200" t="s">
        <v>5033</v>
      </c>
      <c r="BZ200" t="s">
        <v>5032</v>
      </c>
      <c r="CA200" t="s">
        <v>5031</v>
      </c>
      <c r="CB200" t="s">
        <v>5032</v>
      </c>
      <c r="CC200" t="s">
        <v>5033</v>
      </c>
      <c r="CD200" t="s">
        <v>5034</v>
      </c>
      <c r="CE200" t="s">
        <v>5035</v>
      </c>
      <c r="CF200" t="s">
        <v>5036</v>
      </c>
      <c r="CG200" t="s">
        <v>358</v>
      </c>
      <c r="CH200" t="s">
        <v>5037</v>
      </c>
      <c r="CJ200" t="s">
        <v>5038</v>
      </c>
      <c r="CK200" t="s">
        <v>5037</v>
      </c>
      <c r="CL200" t="s">
        <v>5020</v>
      </c>
      <c r="CM200" t="s">
        <v>376</v>
      </c>
      <c r="CN200" t="s">
        <v>5038</v>
      </c>
      <c r="CO200" t="s">
        <v>5039</v>
      </c>
      <c r="CP200" t="s">
        <v>5037</v>
      </c>
      <c r="CQ200" t="s">
        <v>5037</v>
      </c>
    </row>
    <row r="201" spans="1:95">
      <c r="A201" t="s">
        <v>149</v>
      </c>
      <c r="B201">
        <v>3242514</v>
      </c>
      <c r="C201" t="s">
        <v>5040</v>
      </c>
      <c r="D201" t="str">
        <f>VLOOKUP(B201,'2025'!B:C,2,0)</f>
        <v>Pooja Kapoor</v>
      </c>
      <c r="F201" t="s">
        <v>95</v>
      </c>
      <c r="G201" t="s">
        <v>4636</v>
      </c>
      <c r="H201" t="s">
        <v>152</v>
      </c>
      <c r="I201" t="s">
        <v>98</v>
      </c>
      <c r="J201" t="s">
        <v>5041</v>
      </c>
      <c r="K201" t="s">
        <v>100</v>
      </c>
      <c r="L201">
        <v>301066</v>
      </c>
      <c r="M201">
        <v>301066</v>
      </c>
      <c r="N201">
        <v>0</v>
      </c>
      <c r="O201">
        <v>0</v>
      </c>
      <c r="Q201">
        <v>301066</v>
      </c>
      <c r="R201">
        <v>301</v>
      </c>
      <c r="S201" t="s">
        <v>5042</v>
      </c>
      <c r="T201">
        <v>0</v>
      </c>
      <c r="U201">
        <v>0</v>
      </c>
      <c r="W201" t="s">
        <v>102</v>
      </c>
      <c r="X201" t="s">
        <v>275</v>
      </c>
      <c r="Z201" t="s">
        <v>545</v>
      </c>
      <c r="AA201" t="s">
        <v>109</v>
      </c>
      <c r="AB201" t="s">
        <v>102</v>
      </c>
      <c r="AC201" t="s">
        <v>109</v>
      </c>
      <c r="AD201" t="s">
        <v>102</v>
      </c>
      <c r="AE201" t="s">
        <v>109</v>
      </c>
      <c r="AF201" t="s">
        <v>102</v>
      </c>
      <c r="AG201" t="s">
        <v>109</v>
      </c>
      <c r="AH201" t="s">
        <v>102</v>
      </c>
      <c r="AI201" t="s">
        <v>102</v>
      </c>
      <c r="AJ201" t="s">
        <v>341</v>
      </c>
      <c r="AK201" t="s">
        <v>341</v>
      </c>
      <c r="AL201" t="s">
        <v>5043</v>
      </c>
      <c r="AM201" t="s">
        <v>5044</v>
      </c>
      <c r="AN201" t="s">
        <v>5045</v>
      </c>
      <c r="AO201" t="s">
        <v>5046</v>
      </c>
      <c r="AP201" t="s">
        <v>5046</v>
      </c>
      <c r="AU201" t="s">
        <v>102</v>
      </c>
      <c r="AW201" t="s">
        <v>155</v>
      </c>
      <c r="AX201" t="s">
        <v>119</v>
      </c>
      <c r="AY201" t="s">
        <v>1138</v>
      </c>
      <c r="AZ201" t="s">
        <v>118</v>
      </c>
      <c r="BB201" t="s">
        <v>120</v>
      </c>
      <c r="BC201" t="s">
        <v>5047</v>
      </c>
      <c r="BD201" t="s">
        <v>4404</v>
      </c>
      <c r="BE201" t="s">
        <v>174</v>
      </c>
      <c r="BF201" t="s">
        <v>4405</v>
      </c>
      <c r="BG201" t="s">
        <v>124</v>
      </c>
      <c r="BH201" t="s">
        <v>232</v>
      </c>
      <c r="BI201" t="s">
        <v>126</v>
      </c>
      <c r="BJ201" t="s">
        <v>127</v>
      </c>
      <c r="BK201" t="s">
        <v>5048</v>
      </c>
      <c r="BL201" t="s">
        <v>5049</v>
      </c>
      <c r="BM201" t="s">
        <v>5050</v>
      </c>
      <c r="BN201" t="s">
        <v>4636</v>
      </c>
      <c r="BO201" t="s">
        <v>1108</v>
      </c>
      <c r="BP201" t="s">
        <v>258</v>
      </c>
      <c r="BQ201" t="s">
        <v>1109</v>
      </c>
      <c r="BR201" t="s">
        <v>1110</v>
      </c>
      <c r="BS201" t="s">
        <v>4413</v>
      </c>
      <c r="BU201" t="s">
        <v>5051</v>
      </c>
      <c r="BV201" t="s">
        <v>5052</v>
      </c>
      <c r="BW201" t="s">
        <v>138</v>
      </c>
      <c r="BX201" t="s">
        <v>5053</v>
      </c>
      <c r="BY201" t="s">
        <v>5054</v>
      </c>
      <c r="BZ201" t="s">
        <v>5053</v>
      </c>
      <c r="CA201" t="s">
        <v>5052</v>
      </c>
      <c r="CB201" t="s">
        <v>5053</v>
      </c>
      <c r="CC201" t="s">
        <v>5054</v>
      </c>
      <c r="CD201" t="s">
        <v>5055</v>
      </c>
      <c r="CE201" t="s">
        <v>5056</v>
      </c>
      <c r="CF201" t="s">
        <v>5057</v>
      </c>
      <c r="CG201" t="s">
        <v>102</v>
      </c>
      <c r="CH201" t="s">
        <v>5058</v>
      </c>
      <c r="CJ201" t="s">
        <v>5059</v>
      </c>
      <c r="CK201" t="s">
        <v>5058</v>
      </c>
      <c r="CL201" t="s">
        <v>5047</v>
      </c>
      <c r="CM201" t="s">
        <v>4404</v>
      </c>
      <c r="CN201" t="s">
        <v>5059</v>
      </c>
      <c r="CP201" t="s">
        <v>5058</v>
      </c>
      <c r="CQ201" t="s">
        <v>5058</v>
      </c>
    </row>
    <row r="202" spans="1:95">
      <c r="A202" t="s">
        <v>149</v>
      </c>
      <c r="B202">
        <v>3249655</v>
      </c>
      <c r="C202" t="s">
        <v>5060</v>
      </c>
      <c r="D202" t="str">
        <f>VLOOKUP(B202,'2025'!B:C,2,0)</f>
        <v>Unnati Sharma</v>
      </c>
      <c r="F202" t="s">
        <v>95</v>
      </c>
      <c r="G202" t="s">
        <v>2479</v>
      </c>
      <c r="H202" t="s">
        <v>2044</v>
      </c>
      <c r="I202" t="s">
        <v>98</v>
      </c>
      <c r="J202" t="s">
        <v>5061</v>
      </c>
      <c r="K202" t="s">
        <v>100</v>
      </c>
      <c r="L202">
        <v>1374413</v>
      </c>
      <c r="M202">
        <v>1374413</v>
      </c>
      <c r="N202">
        <v>659122</v>
      </c>
      <c r="O202">
        <v>1150</v>
      </c>
      <c r="P202" t="s">
        <v>5062</v>
      </c>
      <c r="Q202">
        <v>715291</v>
      </c>
      <c r="R202">
        <v>1040</v>
      </c>
      <c r="S202" t="s">
        <v>1750</v>
      </c>
      <c r="T202">
        <v>0</v>
      </c>
      <c r="U202">
        <v>0</v>
      </c>
      <c r="W202" t="s">
        <v>102</v>
      </c>
      <c r="X202" t="s">
        <v>103</v>
      </c>
      <c r="Y202" t="s">
        <v>104</v>
      </c>
      <c r="AA202" t="s">
        <v>2479</v>
      </c>
      <c r="AB202" t="s">
        <v>5063</v>
      </c>
      <c r="AC202" t="s">
        <v>501</v>
      </c>
      <c r="AD202" t="s">
        <v>5064</v>
      </c>
      <c r="AE202" t="s">
        <v>109</v>
      </c>
      <c r="AF202" t="s">
        <v>102</v>
      </c>
      <c r="AG202" t="s">
        <v>109</v>
      </c>
      <c r="AH202" t="s">
        <v>102</v>
      </c>
      <c r="AI202" t="s">
        <v>5065</v>
      </c>
      <c r="AJ202" t="s">
        <v>1521</v>
      </c>
      <c r="AK202" t="s">
        <v>3185</v>
      </c>
      <c r="AL202" t="s">
        <v>5066</v>
      </c>
      <c r="AM202" t="s">
        <v>5067</v>
      </c>
      <c r="AN202" t="s">
        <v>5068</v>
      </c>
      <c r="AO202" t="s">
        <v>5069</v>
      </c>
      <c r="AP202" t="s">
        <v>5070</v>
      </c>
      <c r="AR202" t="s">
        <v>169</v>
      </c>
      <c r="AS202" t="s">
        <v>169</v>
      </c>
      <c r="AT202" t="s">
        <v>169</v>
      </c>
      <c r="AU202" t="s">
        <v>318</v>
      </c>
      <c r="AV202" t="s">
        <v>118</v>
      </c>
      <c r="AW202" t="s">
        <v>155</v>
      </c>
      <c r="AX202" t="s">
        <v>119</v>
      </c>
      <c r="AY202" t="s">
        <v>170</v>
      </c>
      <c r="AZ202" t="s">
        <v>118</v>
      </c>
      <c r="BB202" t="s">
        <v>171</v>
      </c>
      <c r="BC202" t="s">
        <v>5071</v>
      </c>
      <c r="BD202" t="s">
        <v>730</v>
      </c>
      <c r="BE202" t="s">
        <v>622</v>
      </c>
      <c r="BF202" t="s">
        <v>730</v>
      </c>
      <c r="BG202" t="s">
        <v>124</v>
      </c>
      <c r="BH202" t="s">
        <v>232</v>
      </c>
      <c r="BI202" t="s">
        <v>126</v>
      </c>
      <c r="BJ202" t="s">
        <v>127</v>
      </c>
      <c r="BK202" t="s">
        <v>5072</v>
      </c>
      <c r="BL202" t="s">
        <v>5073</v>
      </c>
      <c r="BM202" t="s">
        <v>5074</v>
      </c>
      <c r="BN202" t="s">
        <v>2479</v>
      </c>
      <c r="BO202" t="s">
        <v>3606</v>
      </c>
      <c r="BP202" t="s">
        <v>350</v>
      </c>
      <c r="BQ202" t="s">
        <v>3607</v>
      </c>
      <c r="BR202" t="s">
        <v>3608</v>
      </c>
      <c r="BS202" t="s">
        <v>3562</v>
      </c>
      <c r="BU202" t="s">
        <v>5075</v>
      </c>
      <c r="BV202" t="s">
        <v>5076</v>
      </c>
      <c r="BW202" t="s">
        <v>138</v>
      </c>
      <c r="BX202" t="s">
        <v>5077</v>
      </c>
      <c r="BY202" t="s">
        <v>5078</v>
      </c>
      <c r="BZ202" t="s">
        <v>5079</v>
      </c>
      <c r="CA202" t="s">
        <v>5076</v>
      </c>
      <c r="CB202" t="s">
        <v>5077</v>
      </c>
      <c r="CC202" t="s">
        <v>5078</v>
      </c>
      <c r="CD202" t="s">
        <v>5080</v>
      </c>
      <c r="CE202" t="s">
        <v>5081</v>
      </c>
      <c r="CF202" t="s">
        <v>5082</v>
      </c>
      <c r="CG202" t="s">
        <v>102</v>
      </c>
      <c r="CH202" t="s">
        <v>5083</v>
      </c>
      <c r="CJ202" t="s">
        <v>5084</v>
      </c>
      <c r="CK202" t="s">
        <v>5083</v>
      </c>
      <c r="CL202" t="s">
        <v>5071</v>
      </c>
      <c r="CM202" t="s">
        <v>730</v>
      </c>
      <c r="CN202" t="s">
        <v>5084</v>
      </c>
      <c r="CO202" t="s">
        <v>5085</v>
      </c>
      <c r="CP202" t="s">
        <v>5083</v>
      </c>
      <c r="CQ202" t="s">
        <v>5083</v>
      </c>
    </row>
    <row r="203" spans="1:95">
      <c r="A203" t="s">
        <v>337</v>
      </c>
      <c r="B203">
        <v>3254316</v>
      </c>
      <c r="C203" t="s">
        <v>5086</v>
      </c>
      <c r="D203" t="str">
        <f>VLOOKUP(B203,'2025'!B:C,2,0)</f>
        <v>Chaitanya</v>
      </c>
      <c r="F203" t="s">
        <v>95</v>
      </c>
      <c r="G203" t="s">
        <v>5087</v>
      </c>
      <c r="H203" t="s">
        <v>2193</v>
      </c>
      <c r="I203" t="s">
        <v>98</v>
      </c>
      <c r="J203" t="s">
        <v>5088</v>
      </c>
      <c r="K203" t="s">
        <v>100</v>
      </c>
      <c r="L203">
        <v>400000</v>
      </c>
      <c r="M203">
        <v>472000</v>
      </c>
      <c r="N203">
        <v>0</v>
      </c>
      <c r="O203">
        <v>1198</v>
      </c>
      <c r="P203" t="s">
        <v>102</v>
      </c>
      <c r="Q203">
        <v>0</v>
      </c>
      <c r="R203">
        <v>0</v>
      </c>
      <c r="S203" t="s">
        <v>102</v>
      </c>
      <c r="T203">
        <v>0</v>
      </c>
      <c r="U203">
        <v>0</v>
      </c>
      <c r="V203" t="s">
        <v>102</v>
      </c>
      <c r="W203" t="s">
        <v>2195</v>
      </c>
      <c r="X203" t="s">
        <v>103</v>
      </c>
      <c r="Y203" t="s">
        <v>2196</v>
      </c>
      <c r="Z203" t="s">
        <v>2077</v>
      </c>
      <c r="AA203" t="s">
        <v>5087</v>
      </c>
      <c r="AB203" t="s">
        <v>102</v>
      </c>
      <c r="AC203" t="s">
        <v>5089</v>
      </c>
      <c r="AD203" t="s">
        <v>102</v>
      </c>
      <c r="AE203" t="s">
        <v>5090</v>
      </c>
      <c r="AF203" t="s">
        <v>102</v>
      </c>
      <c r="AG203" t="s">
        <v>5091</v>
      </c>
      <c r="AH203" t="s">
        <v>102</v>
      </c>
      <c r="AI203" t="s">
        <v>102</v>
      </c>
      <c r="AJ203" t="s">
        <v>2077</v>
      </c>
      <c r="AK203" t="s">
        <v>2077</v>
      </c>
      <c r="AL203" t="s">
        <v>2195</v>
      </c>
      <c r="AM203" t="s">
        <v>102</v>
      </c>
      <c r="AN203" t="s">
        <v>2195</v>
      </c>
      <c r="AO203" t="s">
        <v>2202</v>
      </c>
      <c r="AP203" t="s">
        <v>2202</v>
      </c>
      <c r="AQ203" t="s">
        <v>102</v>
      </c>
      <c r="AR203" t="s">
        <v>102</v>
      </c>
      <c r="AS203" t="s">
        <v>102</v>
      </c>
      <c r="AT203" t="s">
        <v>102</v>
      </c>
      <c r="AU203" t="s">
        <v>247</v>
      </c>
      <c r="AV203" t="s">
        <v>118</v>
      </c>
      <c r="AW203" t="s">
        <v>102</v>
      </c>
      <c r="AX203" t="s">
        <v>119</v>
      </c>
      <c r="BB203" t="s">
        <v>5092</v>
      </c>
      <c r="BC203" t="s">
        <v>5093</v>
      </c>
      <c r="BD203" t="s">
        <v>449</v>
      </c>
      <c r="BE203" t="s">
        <v>122</v>
      </c>
      <c r="BF203" t="s">
        <v>5094</v>
      </c>
      <c r="BG203" t="s">
        <v>124</v>
      </c>
      <c r="BH203" t="s">
        <v>5095</v>
      </c>
      <c r="BI203" t="s">
        <v>5096</v>
      </c>
      <c r="BJ203" t="s">
        <v>2207</v>
      </c>
      <c r="BK203" t="s">
        <v>5097</v>
      </c>
      <c r="BL203" t="s">
        <v>5098</v>
      </c>
      <c r="BM203" t="s">
        <v>5099</v>
      </c>
      <c r="BN203" t="s">
        <v>5087</v>
      </c>
      <c r="BO203" t="s">
        <v>2766</v>
      </c>
      <c r="BP203" t="s">
        <v>3064</v>
      </c>
      <c r="BQ203" t="s">
        <v>2213</v>
      </c>
      <c r="BR203" t="s">
        <v>2214</v>
      </c>
      <c r="BS203" t="s">
        <v>2215</v>
      </c>
      <c r="BT203" t="s">
        <v>2216</v>
      </c>
      <c r="BU203" t="s">
        <v>5100</v>
      </c>
      <c r="BV203" t="s">
        <v>5101</v>
      </c>
      <c r="BW203" t="s">
        <v>138</v>
      </c>
      <c r="BX203" t="s">
        <v>225</v>
      </c>
      <c r="BY203" t="s">
        <v>226</v>
      </c>
      <c r="BZ203" t="s">
        <v>5102</v>
      </c>
      <c r="CG203" t="s">
        <v>5103</v>
      </c>
      <c r="CH203" t="s">
        <v>5104</v>
      </c>
      <c r="CJ203" t="s">
        <v>5105</v>
      </c>
      <c r="CK203" t="s">
        <v>5104</v>
      </c>
      <c r="CM203" t="s">
        <v>449</v>
      </c>
      <c r="CN203" t="s">
        <v>5105</v>
      </c>
      <c r="CP203" t="s">
        <v>5104</v>
      </c>
      <c r="CQ203" t="s">
        <v>5104</v>
      </c>
    </row>
    <row r="204" spans="1:95">
      <c r="A204" t="s">
        <v>337</v>
      </c>
      <c r="B204">
        <v>3265832</v>
      </c>
      <c r="C204" t="s">
        <v>5106</v>
      </c>
      <c r="E204" s="4" t="s">
        <v>17377</v>
      </c>
      <c r="F204" t="s">
        <v>95</v>
      </c>
      <c r="G204" t="s">
        <v>1816</v>
      </c>
      <c r="H204" t="s">
        <v>97</v>
      </c>
      <c r="I204" t="s">
        <v>98</v>
      </c>
      <c r="J204" t="s">
        <v>5107</v>
      </c>
      <c r="K204" t="s">
        <v>100</v>
      </c>
      <c r="L204">
        <v>330441</v>
      </c>
      <c r="M204">
        <v>330441</v>
      </c>
      <c r="N204">
        <v>330441</v>
      </c>
      <c r="O204">
        <v>413</v>
      </c>
      <c r="P204" t="s">
        <v>1297</v>
      </c>
      <c r="Q204">
        <v>0</v>
      </c>
      <c r="R204">
        <v>0</v>
      </c>
      <c r="T204">
        <v>0</v>
      </c>
      <c r="U204">
        <v>0</v>
      </c>
      <c r="W204" t="s">
        <v>102</v>
      </c>
      <c r="X204" t="s">
        <v>103</v>
      </c>
      <c r="Y204" t="s">
        <v>104</v>
      </c>
      <c r="AA204" t="s">
        <v>549</v>
      </c>
      <c r="AB204" t="s">
        <v>5108</v>
      </c>
      <c r="AC204" t="s">
        <v>197</v>
      </c>
      <c r="AD204" t="s">
        <v>5108</v>
      </c>
      <c r="AE204" t="s">
        <v>109</v>
      </c>
      <c r="AF204" t="s">
        <v>102</v>
      </c>
      <c r="AG204" t="s">
        <v>109</v>
      </c>
      <c r="AH204" t="s">
        <v>102</v>
      </c>
      <c r="AI204" t="s">
        <v>5109</v>
      </c>
      <c r="AJ204" t="s">
        <v>2077</v>
      </c>
      <c r="AK204" t="s">
        <v>3185</v>
      </c>
      <c r="AL204" t="s">
        <v>5110</v>
      </c>
      <c r="AM204" t="s">
        <v>5111</v>
      </c>
      <c r="AN204" t="s">
        <v>115</v>
      </c>
      <c r="AO204" t="s">
        <v>168</v>
      </c>
      <c r="AP204" t="s">
        <v>168</v>
      </c>
      <c r="AU204" t="s">
        <v>318</v>
      </c>
      <c r="AV204" t="s">
        <v>118</v>
      </c>
      <c r="AW204" t="s">
        <v>102</v>
      </c>
      <c r="AX204" t="s">
        <v>119</v>
      </c>
      <c r="BB204" t="s">
        <v>120</v>
      </c>
      <c r="BC204" t="s">
        <v>3735</v>
      </c>
      <c r="BD204" t="s">
        <v>410</v>
      </c>
      <c r="BE204" t="s">
        <v>212</v>
      </c>
      <c r="BF204" t="s">
        <v>410</v>
      </c>
      <c r="BG204" t="s">
        <v>124</v>
      </c>
      <c r="BH204" t="s">
        <v>214</v>
      </c>
      <c r="BI204" t="s">
        <v>158</v>
      </c>
      <c r="BJ204" t="s">
        <v>127</v>
      </c>
      <c r="BK204" t="s">
        <v>5112</v>
      </c>
      <c r="BL204" t="s">
        <v>5113</v>
      </c>
      <c r="BM204" t="s">
        <v>5114</v>
      </c>
      <c r="BN204" t="s">
        <v>1816</v>
      </c>
      <c r="BO204" t="s">
        <v>896</v>
      </c>
      <c r="BP204" t="s">
        <v>258</v>
      </c>
      <c r="BQ204" t="s">
        <v>897</v>
      </c>
      <c r="BR204" t="s">
        <v>898</v>
      </c>
      <c r="BS204" t="s">
        <v>899</v>
      </c>
      <c r="BT204" t="s">
        <v>2151</v>
      </c>
      <c r="BU204" t="s">
        <v>5115</v>
      </c>
      <c r="BV204" t="s">
        <v>5116</v>
      </c>
      <c r="BW204" t="s">
        <v>138</v>
      </c>
      <c r="BX204" t="s">
        <v>5117</v>
      </c>
      <c r="BY204" t="s">
        <v>5118</v>
      </c>
      <c r="BZ204" t="s">
        <v>5119</v>
      </c>
      <c r="CA204" t="s">
        <v>5116</v>
      </c>
      <c r="CB204" t="s">
        <v>5117</v>
      </c>
      <c r="CC204" t="s">
        <v>5118</v>
      </c>
      <c r="CD204" t="s">
        <v>5120</v>
      </c>
      <c r="CE204" t="s">
        <v>5121</v>
      </c>
      <c r="CF204" t="s">
        <v>5122</v>
      </c>
      <c r="CG204" t="s">
        <v>3841</v>
      </c>
      <c r="CH204" t="s">
        <v>5123</v>
      </c>
      <c r="CJ204" t="s">
        <v>5124</v>
      </c>
      <c r="CK204" t="s">
        <v>5123</v>
      </c>
      <c r="CL204" t="s">
        <v>3735</v>
      </c>
      <c r="CM204" t="s">
        <v>410</v>
      </c>
      <c r="CN204" t="s">
        <v>5124</v>
      </c>
      <c r="CO204" t="s">
        <v>5125</v>
      </c>
      <c r="CP204" t="s">
        <v>5123</v>
      </c>
      <c r="CQ204" t="s">
        <v>5123</v>
      </c>
    </row>
    <row r="205" spans="1:95">
      <c r="A205" t="s">
        <v>495</v>
      </c>
      <c r="B205">
        <v>3269723</v>
      </c>
      <c r="C205" t="s">
        <v>5126</v>
      </c>
      <c r="E205" s="4" t="s">
        <v>17377</v>
      </c>
      <c r="F205" t="s">
        <v>95</v>
      </c>
      <c r="G205" t="s">
        <v>5127</v>
      </c>
      <c r="H205" t="s">
        <v>97</v>
      </c>
      <c r="I205" t="s">
        <v>98</v>
      </c>
      <c r="J205" t="s">
        <v>5128</v>
      </c>
      <c r="K205" t="s">
        <v>100</v>
      </c>
      <c r="L205">
        <v>510600</v>
      </c>
      <c r="M205">
        <v>510600</v>
      </c>
      <c r="N205">
        <v>510600</v>
      </c>
      <c r="O205">
        <v>851</v>
      </c>
      <c r="P205" t="s">
        <v>310</v>
      </c>
      <c r="Q205">
        <v>0</v>
      </c>
      <c r="R205">
        <v>0</v>
      </c>
      <c r="T205">
        <v>0</v>
      </c>
      <c r="U205">
        <v>0</v>
      </c>
      <c r="W205" t="s">
        <v>102</v>
      </c>
      <c r="X205" t="s">
        <v>275</v>
      </c>
      <c r="Z205" t="s">
        <v>2989</v>
      </c>
      <c r="AA205" t="s">
        <v>109</v>
      </c>
      <c r="AB205" t="s">
        <v>102</v>
      </c>
      <c r="AC205" t="s">
        <v>109</v>
      </c>
      <c r="AD205" t="s">
        <v>102</v>
      </c>
      <c r="AE205" t="s">
        <v>109</v>
      </c>
      <c r="AF205" t="s">
        <v>102</v>
      </c>
      <c r="AG205" t="s">
        <v>109</v>
      </c>
      <c r="AH205" t="s">
        <v>102</v>
      </c>
      <c r="AI205" t="s">
        <v>5129</v>
      </c>
      <c r="AJ205" t="s">
        <v>5130</v>
      </c>
      <c r="AK205" t="s">
        <v>5130</v>
      </c>
      <c r="AL205" t="s">
        <v>5131</v>
      </c>
      <c r="AM205" t="s">
        <v>5132</v>
      </c>
      <c r="AN205" t="s">
        <v>5133</v>
      </c>
      <c r="AO205" t="s">
        <v>317</v>
      </c>
      <c r="AP205" t="s">
        <v>116</v>
      </c>
      <c r="AR205" t="s">
        <v>169</v>
      </c>
      <c r="AT205" t="s">
        <v>169</v>
      </c>
      <c r="AU205" t="s">
        <v>117</v>
      </c>
      <c r="AV205" t="s">
        <v>118</v>
      </c>
      <c r="AW205" t="s">
        <v>102</v>
      </c>
      <c r="AX205" t="s">
        <v>119</v>
      </c>
      <c r="BB205" t="s">
        <v>120</v>
      </c>
      <c r="BC205" t="s">
        <v>2327</v>
      </c>
      <c r="BD205" t="s">
        <v>730</v>
      </c>
      <c r="BE205" t="s">
        <v>622</v>
      </c>
      <c r="BF205" t="s">
        <v>730</v>
      </c>
      <c r="BG205" t="s">
        <v>124</v>
      </c>
      <c r="BH205" t="s">
        <v>232</v>
      </c>
      <c r="BI205" t="s">
        <v>126</v>
      </c>
      <c r="BJ205" t="s">
        <v>127</v>
      </c>
      <c r="BK205" t="s">
        <v>5134</v>
      </c>
      <c r="BL205" t="s">
        <v>5135</v>
      </c>
      <c r="BM205" t="s">
        <v>5136</v>
      </c>
      <c r="BN205" t="s">
        <v>5127</v>
      </c>
      <c r="BO205" t="s">
        <v>1733</v>
      </c>
      <c r="BP205" t="s">
        <v>180</v>
      </c>
      <c r="BQ205" t="s">
        <v>1734</v>
      </c>
      <c r="BR205" t="s">
        <v>1735</v>
      </c>
      <c r="BS205" t="s">
        <v>2569</v>
      </c>
      <c r="BT205" t="s">
        <v>985</v>
      </c>
      <c r="BU205" t="s">
        <v>5137</v>
      </c>
      <c r="BV205" t="s">
        <v>5138</v>
      </c>
      <c r="BW205" t="s">
        <v>138</v>
      </c>
      <c r="BX205" t="s">
        <v>5139</v>
      </c>
      <c r="BY205" t="s">
        <v>5140</v>
      </c>
      <c r="BZ205" t="s">
        <v>5141</v>
      </c>
      <c r="CG205" t="s">
        <v>3841</v>
      </c>
      <c r="CH205" t="s">
        <v>5142</v>
      </c>
      <c r="CJ205" t="s">
        <v>5143</v>
      </c>
      <c r="CK205" t="s">
        <v>5142</v>
      </c>
      <c r="CL205" t="s">
        <v>2327</v>
      </c>
      <c r="CM205" t="s">
        <v>730</v>
      </c>
      <c r="CN205" t="s">
        <v>5143</v>
      </c>
      <c r="CO205" t="s">
        <v>5144</v>
      </c>
      <c r="CP205" t="s">
        <v>5142</v>
      </c>
      <c r="CQ205" t="s">
        <v>5142</v>
      </c>
    </row>
    <row r="206" spans="1:95">
      <c r="A206" t="s">
        <v>149</v>
      </c>
      <c r="B206">
        <v>3269893</v>
      </c>
      <c r="C206" t="s">
        <v>5145</v>
      </c>
      <c r="D206" t="str">
        <f>VLOOKUP(B206,'2025'!B:C,2,0)</f>
        <v>Vaishali</v>
      </c>
      <c r="F206" t="s">
        <v>95</v>
      </c>
      <c r="G206" t="s">
        <v>1518</v>
      </c>
      <c r="H206" t="s">
        <v>97</v>
      </c>
      <c r="I206" t="s">
        <v>98</v>
      </c>
      <c r="J206" t="s">
        <v>5146</v>
      </c>
      <c r="K206" t="s">
        <v>100</v>
      </c>
      <c r="L206">
        <v>245686</v>
      </c>
      <c r="M206">
        <v>245686</v>
      </c>
      <c r="N206">
        <v>245686</v>
      </c>
      <c r="O206">
        <v>351</v>
      </c>
      <c r="P206" t="s">
        <v>799</v>
      </c>
      <c r="Q206">
        <v>0</v>
      </c>
      <c r="R206">
        <v>0</v>
      </c>
      <c r="T206">
        <v>0</v>
      </c>
      <c r="U206">
        <v>0</v>
      </c>
      <c r="W206" t="s">
        <v>102</v>
      </c>
      <c r="X206" t="s">
        <v>103</v>
      </c>
      <c r="Y206" t="s">
        <v>104</v>
      </c>
      <c r="AA206" t="s">
        <v>3134</v>
      </c>
      <c r="AB206" t="s">
        <v>5147</v>
      </c>
      <c r="AC206" t="s">
        <v>347</v>
      </c>
      <c r="AD206" t="s">
        <v>5147</v>
      </c>
      <c r="AE206" t="s">
        <v>109</v>
      </c>
      <c r="AF206" t="s">
        <v>102</v>
      </c>
      <c r="AG206" t="s">
        <v>109</v>
      </c>
      <c r="AH206" t="s">
        <v>102</v>
      </c>
      <c r="AI206" t="s">
        <v>102</v>
      </c>
      <c r="AJ206" t="s">
        <v>3134</v>
      </c>
      <c r="AK206" t="s">
        <v>342</v>
      </c>
      <c r="AL206" t="s">
        <v>5148</v>
      </c>
      <c r="AM206" t="s">
        <v>5149</v>
      </c>
      <c r="AN206" t="s">
        <v>5150</v>
      </c>
      <c r="AO206" t="s">
        <v>3645</v>
      </c>
      <c r="AP206" t="s">
        <v>5151</v>
      </c>
      <c r="AT206" t="s">
        <v>169</v>
      </c>
      <c r="AU206" t="s">
        <v>318</v>
      </c>
      <c r="AV206" t="s">
        <v>250</v>
      </c>
      <c r="AW206" t="s">
        <v>102</v>
      </c>
      <c r="AX206" t="s">
        <v>119</v>
      </c>
      <c r="BB206" t="s">
        <v>120</v>
      </c>
      <c r="BC206" t="s">
        <v>4153</v>
      </c>
      <c r="BD206" t="s">
        <v>320</v>
      </c>
      <c r="BE206" t="s">
        <v>122</v>
      </c>
      <c r="BF206" t="s">
        <v>123</v>
      </c>
      <c r="BG206" t="s">
        <v>124</v>
      </c>
      <c r="BH206" t="s">
        <v>214</v>
      </c>
      <c r="BI206" t="s">
        <v>126</v>
      </c>
      <c r="BJ206" t="s">
        <v>127</v>
      </c>
      <c r="BK206" t="s">
        <v>5152</v>
      </c>
      <c r="BL206" t="s">
        <v>5153</v>
      </c>
      <c r="BM206" t="s">
        <v>5154</v>
      </c>
      <c r="BN206" t="s">
        <v>1518</v>
      </c>
      <c r="BO206" t="s">
        <v>1108</v>
      </c>
      <c r="BP206" t="s">
        <v>350</v>
      </c>
      <c r="BQ206" t="s">
        <v>1109</v>
      </c>
      <c r="BR206" t="s">
        <v>1110</v>
      </c>
      <c r="BS206" t="s">
        <v>135</v>
      </c>
      <c r="BU206" t="s">
        <v>5155</v>
      </c>
      <c r="BV206" t="s">
        <v>5156</v>
      </c>
      <c r="BW206" t="s">
        <v>598</v>
      </c>
      <c r="BX206" t="s">
        <v>5157</v>
      </c>
      <c r="BY206" t="s">
        <v>5158</v>
      </c>
      <c r="BZ206" t="s">
        <v>5159</v>
      </c>
      <c r="CG206" t="s">
        <v>102</v>
      </c>
      <c r="CH206" t="s">
        <v>5160</v>
      </c>
      <c r="CJ206" t="s">
        <v>5161</v>
      </c>
      <c r="CK206" t="s">
        <v>5160</v>
      </c>
      <c r="CL206" t="s">
        <v>4153</v>
      </c>
      <c r="CM206" t="s">
        <v>320</v>
      </c>
      <c r="CN206" t="s">
        <v>5161</v>
      </c>
      <c r="CO206" t="s">
        <v>5162</v>
      </c>
      <c r="CP206" t="s">
        <v>5160</v>
      </c>
      <c r="CQ206" t="s">
        <v>5160</v>
      </c>
    </row>
    <row r="207" spans="1:95">
      <c r="A207" t="s">
        <v>93</v>
      </c>
      <c r="B207">
        <v>3270957</v>
      </c>
      <c r="C207" t="s">
        <v>5163</v>
      </c>
      <c r="D207" t="str">
        <f>VLOOKUP(B207,'2025'!B:C,2,0)</f>
        <v>Gargi Ghosh</v>
      </c>
      <c r="F207" t="s">
        <v>95</v>
      </c>
      <c r="G207" t="s">
        <v>5164</v>
      </c>
      <c r="H207" t="s">
        <v>675</v>
      </c>
      <c r="I207" t="s">
        <v>98</v>
      </c>
      <c r="J207" t="s">
        <v>5165</v>
      </c>
      <c r="K207" t="s">
        <v>100</v>
      </c>
      <c r="L207">
        <v>1514243</v>
      </c>
      <c r="M207">
        <v>1514243</v>
      </c>
      <c r="N207">
        <v>574118</v>
      </c>
      <c r="O207">
        <v>1025</v>
      </c>
      <c r="P207" t="s">
        <v>3257</v>
      </c>
      <c r="Q207">
        <v>940125</v>
      </c>
      <c r="R207">
        <v>500</v>
      </c>
      <c r="S207" t="s">
        <v>5166</v>
      </c>
      <c r="T207">
        <v>0</v>
      </c>
      <c r="U207">
        <v>0</v>
      </c>
      <c r="W207" t="s">
        <v>102</v>
      </c>
      <c r="X207" t="s">
        <v>275</v>
      </c>
      <c r="Z207" t="s">
        <v>646</v>
      </c>
      <c r="AA207" t="s">
        <v>109</v>
      </c>
      <c r="AB207" t="s">
        <v>102</v>
      </c>
      <c r="AC207" t="s">
        <v>109</v>
      </c>
      <c r="AD207" t="s">
        <v>102</v>
      </c>
      <c r="AE207" t="s">
        <v>109</v>
      </c>
      <c r="AF207" t="s">
        <v>102</v>
      </c>
      <c r="AG207" t="s">
        <v>109</v>
      </c>
      <c r="AH207" t="s">
        <v>102</v>
      </c>
      <c r="AI207" t="s">
        <v>102</v>
      </c>
      <c r="AJ207" t="s">
        <v>646</v>
      </c>
      <c r="AK207" t="s">
        <v>5167</v>
      </c>
      <c r="AL207" t="s">
        <v>5168</v>
      </c>
      <c r="AM207" t="s">
        <v>5169</v>
      </c>
      <c r="AN207" t="s">
        <v>5170</v>
      </c>
      <c r="AO207" t="s">
        <v>5171</v>
      </c>
      <c r="AP207" t="s">
        <v>5172</v>
      </c>
      <c r="AQ207" t="s">
        <v>343</v>
      </c>
      <c r="AU207" t="s">
        <v>247</v>
      </c>
      <c r="AV207" t="s">
        <v>118</v>
      </c>
      <c r="AW207" t="s">
        <v>3536</v>
      </c>
      <c r="AX207" t="s">
        <v>249</v>
      </c>
      <c r="AY207" t="s">
        <v>170</v>
      </c>
      <c r="AZ207" t="s">
        <v>118</v>
      </c>
      <c r="BB207" t="s">
        <v>120</v>
      </c>
      <c r="BC207" t="s">
        <v>5173</v>
      </c>
      <c r="BD207" t="s">
        <v>1171</v>
      </c>
      <c r="BE207" t="s">
        <v>174</v>
      </c>
      <c r="BF207" t="s">
        <v>1172</v>
      </c>
      <c r="BG207" t="s">
        <v>124</v>
      </c>
      <c r="BH207" t="s">
        <v>232</v>
      </c>
      <c r="BI207" t="s">
        <v>126</v>
      </c>
      <c r="BJ207" t="s">
        <v>127</v>
      </c>
      <c r="BK207" t="s">
        <v>5174</v>
      </c>
      <c r="BL207" t="s">
        <v>5175</v>
      </c>
      <c r="BM207" t="s">
        <v>5176</v>
      </c>
      <c r="BN207" t="s">
        <v>5164</v>
      </c>
      <c r="BO207" t="s">
        <v>1831</v>
      </c>
      <c r="BP207" t="s">
        <v>258</v>
      </c>
      <c r="BQ207" t="s">
        <v>1832</v>
      </c>
      <c r="BR207" t="s">
        <v>1833</v>
      </c>
      <c r="BS207" t="s">
        <v>5177</v>
      </c>
      <c r="BU207" t="s">
        <v>5178</v>
      </c>
      <c r="BV207" t="s">
        <v>5179</v>
      </c>
      <c r="BW207" t="s">
        <v>354</v>
      </c>
      <c r="BX207" t="s">
        <v>5180</v>
      </c>
      <c r="BY207" t="s">
        <v>5181</v>
      </c>
      <c r="BZ207" t="s">
        <v>5182</v>
      </c>
      <c r="CA207" t="s">
        <v>5183</v>
      </c>
      <c r="CB207" t="s">
        <v>5184</v>
      </c>
      <c r="CC207" t="s">
        <v>5181</v>
      </c>
      <c r="CD207" t="s">
        <v>5183</v>
      </c>
      <c r="CE207" t="s">
        <v>5184</v>
      </c>
      <c r="CF207" t="s">
        <v>5181</v>
      </c>
      <c r="CG207" t="s">
        <v>358</v>
      </c>
      <c r="CH207" t="s">
        <v>5185</v>
      </c>
      <c r="CJ207" t="s">
        <v>5186</v>
      </c>
      <c r="CK207" t="s">
        <v>5185</v>
      </c>
      <c r="CL207" t="s">
        <v>5173</v>
      </c>
      <c r="CM207" t="s">
        <v>1171</v>
      </c>
      <c r="CN207" t="s">
        <v>5186</v>
      </c>
      <c r="CP207" t="s">
        <v>5187</v>
      </c>
      <c r="CQ207" t="s">
        <v>5185</v>
      </c>
    </row>
    <row r="208" spans="1:95">
      <c r="A208" t="s">
        <v>93</v>
      </c>
      <c r="B208">
        <v>3283255</v>
      </c>
      <c r="C208" t="s">
        <v>5188</v>
      </c>
      <c r="D208" t="str">
        <f>VLOOKUP(B208,'2025'!B:C,2,0)</f>
        <v>Unnati Sharma</v>
      </c>
      <c r="F208" t="s">
        <v>95</v>
      </c>
      <c r="G208" t="s">
        <v>1474</v>
      </c>
      <c r="H208" t="s">
        <v>97</v>
      </c>
      <c r="I208" t="s">
        <v>98</v>
      </c>
      <c r="J208" t="s">
        <v>5189</v>
      </c>
      <c r="K208" t="s">
        <v>100</v>
      </c>
      <c r="L208">
        <v>144216</v>
      </c>
      <c r="M208">
        <v>144216</v>
      </c>
      <c r="N208">
        <v>144216</v>
      </c>
      <c r="O208">
        <v>206</v>
      </c>
      <c r="P208" t="s">
        <v>799</v>
      </c>
      <c r="Q208">
        <v>0</v>
      </c>
      <c r="R208">
        <v>0</v>
      </c>
      <c r="T208">
        <v>0</v>
      </c>
      <c r="U208">
        <v>0</v>
      </c>
      <c r="W208" t="s">
        <v>102</v>
      </c>
      <c r="X208" t="s">
        <v>275</v>
      </c>
      <c r="Z208" t="s">
        <v>160</v>
      </c>
      <c r="AA208" t="s">
        <v>109</v>
      </c>
      <c r="AB208" t="s">
        <v>102</v>
      </c>
      <c r="AC208" t="s">
        <v>109</v>
      </c>
      <c r="AD208" t="s">
        <v>102</v>
      </c>
      <c r="AE208" t="s">
        <v>109</v>
      </c>
      <c r="AF208" t="s">
        <v>102</v>
      </c>
      <c r="AG208" t="s">
        <v>109</v>
      </c>
      <c r="AH208" t="s">
        <v>102</v>
      </c>
      <c r="AI208" t="s">
        <v>102</v>
      </c>
      <c r="AJ208" t="s">
        <v>163</v>
      </c>
      <c r="AK208" t="s">
        <v>1379</v>
      </c>
      <c r="AL208" t="s">
        <v>5190</v>
      </c>
      <c r="AM208" t="s">
        <v>5191</v>
      </c>
      <c r="AN208" t="s">
        <v>5192</v>
      </c>
      <c r="AO208" t="s">
        <v>5193</v>
      </c>
      <c r="AP208" t="s">
        <v>5193</v>
      </c>
      <c r="AU208" t="s">
        <v>117</v>
      </c>
      <c r="AV208" t="s">
        <v>250</v>
      </c>
      <c r="AW208" t="s">
        <v>102</v>
      </c>
      <c r="AX208" t="s">
        <v>119</v>
      </c>
      <c r="BB208" t="s">
        <v>120</v>
      </c>
      <c r="BC208" t="s">
        <v>4889</v>
      </c>
      <c r="BD208" t="s">
        <v>730</v>
      </c>
      <c r="BE208" t="s">
        <v>622</v>
      </c>
      <c r="BF208" t="s">
        <v>730</v>
      </c>
      <c r="BG208" t="s">
        <v>124</v>
      </c>
      <c r="BH208" t="s">
        <v>4757</v>
      </c>
      <c r="BI208" t="s">
        <v>126</v>
      </c>
      <c r="BJ208" t="s">
        <v>127</v>
      </c>
      <c r="BK208" t="s">
        <v>5194</v>
      </c>
      <c r="BL208" t="s">
        <v>5195</v>
      </c>
      <c r="BM208" t="s">
        <v>5196</v>
      </c>
      <c r="BN208" t="s">
        <v>1474</v>
      </c>
      <c r="BO208" t="s">
        <v>5197</v>
      </c>
      <c r="BP208" t="s">
        <v>350</v>
      </c>
      <c r="BQ208" t="s">
        <v>5198</v>
      </c>
      <c r="BR208" t="s">
        <v>5199</v>
      </c>
      <c r="BS208" t="s">
        <v>2569</v>
      </c>
      <c r="BU208" t="s">
        <v>5200</v>
      </c>
      <c r="BV208" t="s">
        <v>5201</v>
      </c>
      <c r="BW208" t="s">
        <v>138</v>
      </c>
      <c r="BX208" t="s">
        <v>5202</v>
      </c>
      <c r="BY208" t="s">
        <v>5203</v>
      </c>
      <c r="BZ208" t="s">
        <v>5204</v>
      </c>
      <c r="CA208" t="s">
        <v>5205</v>
      </c>
      <c r="CB208" t="s">
        <v>5202</v>
      </c>
      <c r="CC208" t="s">
        <v>5203</v>
      </c>
      <c r="CD208" t="s">
        <v>5206</v>
      </c>
      <c r="CE208" t="s">
        <v>5202</v>
      </c>
      <c r="CF208" t="s">
        <v>5203</v>
      </c>
      <c r="CG208" t="s">
        <v>5207</v>
      </c>
      <c r="CH208" t="s">
        <v>5208</v>
      </c>
      <c r="CJ208" t="s">
        <v>4903</v>
      </c>
      <c r="CK208" t="s">
        <v>5209</v>
      </c>
      <c r="CL208" t="s">
        <v>4889</v>
      </c>
      <c r="CM208" t="s">
        <v>730</v>
      </c>
      <c r="CN208" t="s">
        <v>4903</v>
      </c>
      <c r="CP208" t="s">
        <v>5210</v>
      </c>
      <c r="CQ208" t="s">
        <v>5211</v>
      </c>
    </row>
    <row r="209" spans="1:95">
      <c r="A209" t="s">
        <v>149</v>
      </c>
      <c r="B209">
        <v>3283922</v>
      </c>
      <c r="C209" t="s">
        <v>5212</v>
      </c>
      <c r="D209" t="str">
        <f>VLOOKUP(B209,'2025'!B:C,2,0)</f>
        <v>Anushka</v>
      </c>
      <c r="F209" t="s">
        <v>95</v>
      </c>
      <c r="G209" t="s">
        <v>5213</v>
      </c>
      <c r="H209" t="s">
        <v>675</v>
      </c>
      <c r="I209" t="s">
        <v>98</v>
      </c>
      <c r="J209" t="s">
        <v>5214</v>
      </c>
      <c r="K209" t="s">
        <v>100</v>
      </c>
      <c r="L209">
        <v>980927</v>
      </c>
      <c r="M209">
        <v>980927</v>
      </c>
      <c r="N209">
        <v>699888</v>
      </c>
      <c r="O209">
        <v>994</v>
      </c>
      <c r="P209" t="s">
        <v>5215</v>
      </c>
      <c r="Q209">
        <v>281039</v>
      </c>
      <c r="R209">
        <v>186</v>
      </c>
      <c r="S209" t="s">
        <v>5216</v>
      </c>
      <c r="T209">
        <v>0</v>
      </c>
      <c r="U209">
        <v>0</v>
      </c>
      <c r="W209" t="s">
        <v>102</v>
      </c>
      <c r="X209" t="s">
        <v>679</v>
      </c>
      <c r="Y209" t="s">
        <v>104</v>
      </c>
      <c r="Z209" t="s">
        <v>1330</v>
      </c>
      <c r="AA209" t="s">
        <v>5217</v>
      </c>
      <c r="AB209" t="s">
        <v>5218</v>
      </c>
      <c r="AC209" t="s">
        <v>5219</v>
      </c>
      <c r="AD209" t="s">
        <v>5218</v>
      </c>
      <c r="AE209" t="s">
        <v>109</v>
      </c>
      <c r="AF209" t="s">
        <v>102</v>
      </c>
      <c r="AG209" t="s">
        <v>109</v>
      </c>
      <c r="AH209" t="s">
        <v>102</v>
      </c>
      <c r="AI209" t="s">
        <v>5220</v>
      </c>
      <c r="AJ209" t="s">
        <v>5221</v>
      </c>
      <c r="AK209" t="s">
        <v>5221</v>
      </c>
      <c r="AL209" t="s">
        <v>5222</v>
      </c>
      <c r="AM209" t="s">
        <v>5223</v>
      </c>
      <c r="AN209" t="s">
        <v>5224</v>
      </c>
      <c r="AO209" t="s">
        <v>5225</v>
      </c>
      <c r="AP209" t="s">
        <v>5225</v>
      </c>
      <c r="AU209" t="s">
        <v>247</v>
      </c>
      <c r="AV209" t="s">
        <v>118</v>
      </c>
      <c r="AW209" t="s">
        <v>655</v>
      </c>
      <c r="AX209" t="s">
        <v>119</v>
      </c>
      <c r="AY209" t="s">
        <v>170</v>
      </c>
      <c r="AZ209" t="s">
        <v>118</v>
      </c>
      <c r="BB209" t="s">
        <v>120</v>
      </c>
      <c r="BC209" t="s">
        <v>1407</v>
      </c>
      <c r="BD209" t="s">
        <v>449</v>
      </c>
      <c r="BE209" t="s">
        <v>122</v>
      </c>
      <c r="BF209" t="s">
        <v>450</v>
      </c>
      <c r="BG209" t="s">
        <v>124</v>
      </c>
      <c r="BH209" t="s">
        <v>232</v>
      </c>
      <c r="BI209" t="s">
        <v>126</v>
      </c>
      <c r="BJ209" t="s">
        <v>127</v>
      </c>
      <c r="BK209" t="s">
        <v>5226</v>
      </c>
      <c r="BL209" t="s">
        <v>5227</v>
      </c>
      <c r="BM209" t="s">
        <v>5228</v>
      </c>
      <c r="BN209" t="s">
        <v>5213</v>
      </c>
      <c r="BO209" t="s">
        <v>257</v>
      </c>
      <c r="BP209" t="s">
        <v>350</v>
      </c>
      <c r="BQ209" t="s">
        <v>259</v>
      </c>
      <c r="BR209" t="s">
        <v>260</v>
      </c>
      <c r="BS209" t="s">
        <v>1006</v>
      </c>
      <c r="BU209" t="s">
        <v>5229</v>
      </c>
      <c r="BV209" t="s">
        <v>5230</v>
      </c>
      <c r="BW209" t="s">
        <v>598</v>
      </c>
      <c r="BX209" t="s">
        <v>5231</v>
      </c>
      <c r="BY209" t="s">
        <v>5232</v>
      </c>
      <c r="BZ209" t="s">
        <v>5233</v>
      </c>
      <c r="CG209" t="s">
        <v>102</v>
      </c>
      <c r="CH209" t="s">
        <v>5234</v>
      </c>
      <c r="CJ209" t="s">
        <v>5235</v>
      </c>
      <c r="CK209" t="s">
        <v>5234</v>
      </c>
      <c r="CL209" t="s">
        <v>1407</v>
      </c>
      <c r="CM209" t="s">
        <v>449</v>
      </c>
      <c r="CN209" t="s">
        <v>5235</v>
      </c>
      <c r="CO209" t="s">
        <v>5236</v>
      </c>
      <c r="CP209" t="s">
        <v>5234</v>
      </c>
      <c r="CQ209" t="s">
        <v>5234</v>
      </c>
    </row>
    <row r="210" spans="1:95">
      <c r="A210" t="s">
        <v>149</v>
      </c>
      <c r="B210">
        <v>3284326</v>
      </c>
      <c r="C210" t="s">
        <v>5237</v>
      </c>
      <c r="D210" t="str">
        <f>VLOOKUP(B210,'2025'!B:C,2,0)</f>
        <v>Gargi Ghosh</v>
      </c>
      <c r="F210" t="s">
        <v>95</v>
      </c>
      <c r="G210" t="s">
        <v>578</v>
      </c>
      <c r="H210" t="s">
        <v>1086</v>
      </c>
      <c r="I210" t="s">
        <v>98</v>
      </c>
      <c r="J210" t="s">
        <v>5238</v>
      </c>
      <c r="K210" t="s">
        <v>100</v>
      </c>
      <c r="L210">
        <v>755588</v>
      </c>
      <c r="M210">
        <v>831415</v>
      </c>
      <c r="N210">
        <v>30076</v>
      </c>
      <c r="O210">
        <v>142</v>
      </c>
      <c r="P210" t="s">
        <v>5239</v>
      </c>
      <c r="Q210">
        <v>304251</v>
      </c>
      <c r="R210">
        <v>231</v>
      </c>
      <c r="S210" t="s">
        <v>5240</v>
      </c>
      <c r="T210">
        <v>421261</v>
      </c>
      <c r="U210">
        <v>347</v>
      </c>
      <c r="V210" t="s">
        <v>5241</v>
      </c>
      <c r="W210" t="s">
        <v>102</v>
      </c>
      <c r="X210" t="s">
        <v>103</v>
      </c>
      <c r="Y210" t="s">
        <v>104</v>
      </c>
      <c r="AA210" t="s">
        <v>238</v>
      </c>
      <c r="AB210" t="s">
        <v>5242</v>
      </c>
      <c r="AC210" t="s">
        <v>1600</v>
      </c>
      <c r="AD210" t="s">
        <v>5242</v>
      </c>
      <c r="AE210" t="s">
        <v>109</v>
      </c>
      <c r="AF210" t="s">
        <v>102</v>
      </c>
      <c r="AG210" t="s">
        <v>109</v>
      </c>
      <c r="AH210" t="s">
        <v>102</v>
      </c>
      <c r="AI210" t="s">
        <v>102</v>
      </c>
      <c r="AJ210" t="s">
        <v>1848</v>
      </c>
      <c r="AK210" t="s">
        <v>5243</v>
      </c>
      <c r="AL210" t="s">
        <v>5244</v>
      </c>
      <c r="AM210" t="s">
        <v>5245</v>
      </c>
      <c r="AN210" t="s">
        <v>5246</v>
      </c>
      <c r="AO210" t="s">
        <v>5247</v>
      </c>
      <c r="AP210" t="s">
        <v>5247</v>
      </c>
      <c r="AU210" t="s">
        <v>247</v>
      </c>
      <c r="AV210" t="s">
        <v>250</v>
      </c>
      <c r="AW210" t="s">
        <v>3536</v>
      </c>
      <c r="AX210" t="s">
        <v>119</v>
      </c>
      <c r="AY210" t="s">
        <v>1138</v>
      </c>
      <c r="AZ210" t="s">
        <v>118</v>
      </c>
      <c r="BA210" t="s">
        <v>250</v>
      </c>
      <c r="BB210" t="s">
        <v>171</v>
      </c>
      <c r="BC210" t="s">
        <v>5248</v>
      </c>
      <c r="BD210" t="s">
        <v>1208</v>
      </c>
      <c r="BE210" t="s">
        <v>174</v>
      </c>
      <c r="BF210" t="s">
        <v>1172</v>
      </c>
      <c r="BG210" t="s">
        <v>124</v>
      </c>
      <c r="BH210" t="s">
        <v>377</v>
      </c>
      <c r="BI210" t="s">
        <v>126</v>
      </c>
      <c r="BJ210" t="s">
        <v>127</v>
      </c>
      <c r="BK210" t="s">
        <v>5249</v>
      </c>
      <c r="BL210" t="s">
        <v>5250</v>
      </c>
      <c r="BM210" t="s">
        <v>5251</v>
      </c>
      <c r="BN210" t="s">
        <v>578</v>
      </c>
      <c r="BO210" t="s">
        <v>1917</v>
      </c>
      <c r="BP210" t="s">
        <v>258</v>
      </c>
      <c r="BQ210" t="s">
        <v>1918</v>
      </c>
      <c r="BR210" t="s">
        <v>1919</v>
      </c>
      <c r="BS210" t="s">
        <v>384</v>
      </c>
      <c r="BU210" t="s">
        <v>5252</v>
      </c>
      <c r="BV210" t="s">
        <v>5253</v>
      </c>
      <c r="BW210" t="s">
        <v>354</v>
      </c>
      <c r="BX210" t="s">
        <v>5254</v>
      </c>
      <c r="BY210" t="s">
        <v>5255</v>
      </c>
      <c r="BZ210" t="s">
        <v>5256</v>
      </c>
      <c r="CA210" t="s">
        <v>5257</v>
      </c>
      <c r="CB210" t="s">
        <v>5256</v>
      </c>
      <c r="CC210" t="s">
        <v>5255</v>
      </c>
      <c r="CD210" t="s">
        <v>5258</v>
      </c>
      <c r="CE210" t="s">
        <v>5259</v>
      </c>
      <c r="CF210" t="s">
        <v>5260</v>
      </c>
      <c r="CG210" t="s">
        <v>102</v>
      </c>
      <c r="CH210" t="s">
        <v>5261</v>
      </c>
      <c r="CJ210" t="s">
        <v>5262</v>
      </c>
      <c r="CK210" t="s">
        <v>5261</v>
      </c>
      <c r="CL210" t="s">
        <v>5248</v>
      </c>
      <c r="CM210" t="s">
        <v>1208</v>
      </c>
      <c r="CN210" t="s">
        <v>5262</v>
      </c>
      <c r="CP210" t="s">
        <v>5263</v>
      </c>
      <c r="CQ210" t="s">
        <v>5261</v>
      </c>
    </row>
    <row r="211" spans="1:95">
      <c r="A211" t="s">
        <v>149</v>
      </c>
      <c r="B211">
        <v>3284749</v>
      </c>
      <c r="C211" t="s">
        <v>5264</v>
      </c>
      <c r="D211" t="str">
        <f>VLOOKUP(B211,'2025'!B:C,2,0)</f>
        <v>Aarti Iyer</v>
      </c>
      <c r="F211" t="s">
        <v>95</v>
      </c>
      <c r="G211" t="s">
        <v>883</v>
      </c>
      <c r="H211" t="s">
        <v>97</v>
      </c>
      <c r="I211" t="s">
        <v>98</v>
      </c>
      <c r="J211" t="s">
        <v>5265</v>
      </c>
      <c r="K211" t="s">
        <v>100</v>
      </c>
      <c r="L211">
        <v>487740</v>
      </c>
      <c r="M211">
        <v>487740</v>
      </c>
      <c r="N211">
        <v>487740</v>
      </c>
      <c r="O211">
        <v>739</v>
      </c>
      <c r="P211" t="s">
        <v>4273</v>
      </c>
      <c r="Q211">
        <v>0</v>
      </c>
      <c r="R211">
        <v>0</v>
      </c>
      <c r="T211">
        <v>0</v>
      </c>
      <c r="U211">
        <v>0</v>
      </c>
      <c r="W211" t="s">
        <v>102</v>
      </c>
      <c r="X211" t="s">
        <v>103</v>
      </c>
      <c r="Y211" t="s">
        <v>104</v>
      </c>
      <c r="AA211" t="s">
        <v>151</v>
      </c>
      <c r="AB211" t="s">
        <v>5266</v>
      </c>
      <c r="AC211" t="s">
        <v>197</v>
      </c>
      <c r="AD211" t="s">
        <v>5266</v>
      </c>
      <c r="AE211" t="s">
        <v>109</v>
      </c>
      <c r="AF211" t="s">
        <v>102</v>
      </c>
      <c r="AG211" t="s">
        <v>109</v>
      </c>
      <c r="AH211" t="s">
        <v>102</v>
      </c>
      <c r="AI211" t="s">
        <v>5267</v>
      </c>
      <c r="AJ211" t="s">
        <v>5268</v>
      </c>
      <c r="AK211" t="s">
        <v>1571</v>
      </c>
      <c r="AL211" t="s">
        <v>5269</v>
      </c>
      <c r="AM211" t="s">
        <v>5270</v>
      </c>
      <c r="AN211" t="s">
        <v>5271</v>
      </c>
      <c r="AO211" t="s">
        <v>4275</v>
      </c>
      <c r="AP211" t="s">
        <v>4275</v>
      </c>
      <c r="AU211" t="s">
        <v>318</v>
      </c>
      <c r="AV211" t="s">
        <v>118</v>
      </c>
      <c r="AW211" t="s">
        <v>102</v>
      </c>
      <c r="AX211" t="s">
        <v>119</v>
      </c>
      <c r="BB211" t="s">
        <v>120</v>
      </c>
      <c r="BC211" t="s">
        <v>2127</v>
      </c>
      <c r="BD211" t="s">
        <v>621</v>
      </c>
      <c r="BE211" t="s">
        <v>622</v>
      </c>
      <c r="BF211" t="s">
        <v>976</v>
      </c>
      <c r="BG211" t="s">
        <v>124</v>
      </c>
      <c r="BH211" t="s">
        <v>214</v>
      </c>
      <c r="BI211" t="s">
        <v>625</v>
      </c>
      <c r="BJ211" t="s">
        <v>127</v>
      </c>
      <c r="BK211" t="s">
        <v>5272</v>
      </c>
      <c r="BL211" t="s">
        <v>5273</v>
      </c>
      <c r="BM211" t="s">
        <v>5274</v>
      </c>
      <c r="BN211" t="s">
        <v>883</v>
      </c>
      <c r="BO211" t="s">
        <v>981</v>
      </c>
      <c r="BP211" t="s">
        <v>132</v>
      </c>
      <c r="BQ211" t="s">
        <v>982</v>
      </c>
      <c r="BR211" t="s">
        <v>983</v>
      </c>
      <c r="BS211" t="s">
        <v>984</v>
      </c>
      <c r="BU211" t="s">
        <v>5275</v>
      </c>
      <c r="BV211" t="s">
        <v>5276</v>
      </c>
      <c r="BW211" t="s">
        <v>138</v>
      </c>
      <c r="BX211" t="s">
        <v>5277</v>
      </c>
      <c r="BY211" t="s">
        <v>5278</v>
      </c>
      <c r="BZ211" t="s">
        <v>5279</v>
      </c>
      <c r="CA211" t="s">
        <v>5276</v>
      </c>
      <c r="CB211" t="s">
        <v>5277</v>
      </c>
      <c r="CC211" t="s">
        <v>5278</v>
      </c>
      <c r="CG211" t="s">
        <v>102</v>
      </c>
      <c r="CH211" t="s">
        <v>5280</v>
      </c>
      <c r="CJ211" t="s">
        <v>5281</v>
      </c>
      <c r="CK211" t="s">
        <v>5280</v>
      </c>
      <c r="CL211" t="s">
        <v>2127</v>
      </c>
      <c r="CM211" t="s">
        <v>621</v>
      </c>
      <c r="CN211" t="s">
        <v>5281</v>
      </c>
      <c r="CO211" t="s">
        <v>5282</v>
      </c>
      <c r="CP211" t="s">
        <v>5280</v>
      </c>
      <c r="CQ211" t="s">
        <v>5280</v>
      </c>
    </row>
    <row r="212" spans="1:95">
      <c r="A212" t="s">
        <v>149</v>
      </c>
      <c r="B212">
        <v>3285152</v>
      </c>
      <c r="C212" t="s">
        <v>5283</v>
      </c>
      <c r="D212" t="str">
        <f>VLOOKUP(B212,'2025'!B:C,2,0)</f>
        <v>Anushka</v>
      </c>
      <c r="F212" t="s">
        <v>95</v>
      </c>
      <c r="G212" t="s">
        <v>5284</v>
      </c>
      <c r="H212" t="s">
        <v>2163</v>
      </c>
      <c r="I212" t="s">
        <v>98</v>
      </c>
      <c r="J212" t="s">
        <v>5285</v>
      </c>
      <c r="K212" t="s">
        <v>100</v>
      </c>
      <c r="L212">
        <v>477414</v>
      </c>
      <c r="M212">
        <v>536319</v>
      </c>
      <c r="N212">
        <v>80445</v>
      </c>
      <c r="O212">
        <v>173</v>
      </c>
      <c r="P212" t="s">
        <v>5286</v>
      </c>
      <c r="Q212">
        <v>69719</v>
      </c>
      <c r="R212">
        <v>173</v>
      </c>
      <c r="S212" t="s">
        <v>5287</v>
      </c>
      <c r="T212">
        <v>327250</v>
      </c>
      <c r="U212">
        <v>173</v>
      </c>
      <c r="V212" t="s">
        <v>5288</v>
      </c>
      <c r="W212" t="s">
        <v>102</v>
      </c>
      <c r="X212" t="s">
        <v>103</v>
      </c>
      <c r="Y212" t="s">
        <v>801</v>
      </c>
      <c r="AA212" t="s">
        <v>5289</v>
      </c>
      <c r="AB212" t="s">
        <v>5290</v>
      </c>
      <c r="AC212" t="s">
        <v>5291</v>
      </c>
      <c r="AD212" t="s">
        <v>5290</v>
      </c>
      <c r="AE212" t="s">
        <v>5292</v>
      </c>
      <c r="AF212" t="s">
        <v>5293</v>
      </c>
      <c r="AG212" t="s">
        <v>5294</v>
      </c>
      <c r="AH212" t="s">
        <v>5293</v>
      </c>
      <c r="AI212" t="s">
        <v>5295</v>
      </c>
      <c r="AJ212" t="s">
        <v>5296</v>
      </c>
      <c r="AK212" t="s">
        <v>5296</v>
      </c>
      <c r="AL212" t="s">
        <v>5297</v>
      </c>
      <c r="AM212" t="s">
        <v>5298</v>
      </c>
      <c r="AN212" t="s">
        <v>5299</v>
      </c>
      <c r="AO212" t="s">
        <v>5300</v>
      </c>
      <c r="AP212" t="s">
        <v>5301</v>
      </c>
      <c r="AT212" t="s">
        <v>169</v>
      </c>
      <c r="AU212" t="s">
        <v>247</v>
      </c>
      <c r="AV212" t="s">
        <v>118</v>
      </c>
      <c r="AW212" t="s">
        <v>1103</v>
      </c>
      <c r="AX212" t="s">
        <v>119</v>
      </c>
      <c r="AY212" t="s">
        <v>170</v>
      </c>
      <c r="AZ212" t="s">
        <v>118</v>
      </c>
      <c r="BA212" t="s">
        <v>250</v>
      </c>
      <c r="BB212" t="s">
        <v>120</v>
      </c>
      <c r="BC212" t="s">
        <v>121</v>
      </c>
      <c r="BD212" t="s">
        <v>121</v>
      </c>
      <c r="BE212" t="s">
        <v>122</v>
      </c>
      <c r="BF212" t="s">
        <v>123</v>
      </c>
      <c r="BG212" t="s">
        <v>124</v>
      </c>
      <c r="BH212" t="s">
        <v>232</v>
      </c>
      <c r="BI212" t="s">
        <v>126</v>
      </c>
      <c r="BJ212" t="s">
        <v>127</v>
      </c>
      <c r="BK212" t="s">
        <v>5302</v>
      </c>
      <c r="BL212" t="s">
        <v>5303</v>
      </c>
      <c r="BM212" t="s">
        <v>5304</v>
      </c>
      <c r="BN212" t="s">
        <v>5284</v>
      </c>
      <c r="BO212" t="s">
        <v>593</v>
      </c>
      <c r="BP212" t="s">
        <v>350</v>
      </c>
      <c r="BQ212" t="s">
        <v>594</v>
      </c>
      <c r="BR212" t="s">
        <v>595</v>
      </c>
      <c r="BS212" t="s">
        <v>1006</v>
      </c>
      <c r="BU212" t="s">
        <v>5305</v>
      </c>
      <c r="BV212" t="s">
        <v>5306</v>
      </c>
      <c r="BW212" t="s">
        <v>598</v>
      </c>
      <c r="BX212" t="s">
        <v>5307</v>
      </c>
      <c r="BY212" t="s">
        <v>5308</v>
      </c>
      <c r="BZ212" t="s">
        <v>5309</v>
      </c>
      <c r="CG212" t="s">
        <v>102</v>
      </c>
      <c r="CH212" t="s">
        <v>5310</v>
      </c>
      <c r="CJ212" t="s">
        <v>5311</v>
      </c>
      <c r="CK212" t="s">
        <v>5310</v>
      </c>
      <c r="CL212" t="s">
        <v>121</v>
      </c>
      <c r="CM212" t="s">
        <v>121</v>
      </c>
      <c r="CN212" t="s">
        <v>5311</v>
      </c>
      <c r="CO212" t="s">
        <v>5312</v>
      </c>
      <c r="CP212" t="s">
        <v>5310</v>
      </c>
      <c r="CQ212" t="s">
        <v>5310</v>
      </c>
    </row>
    <row r="213" spans="1:95">
      <c r="A213" t="s">
        <v>149</v>
      </c>
      <c r="B213">
        <v>3286324</v>
      </c>
      <c r="C213" t="s">
        <v>5313</v>
      </c>
      <c r="D213" t="str">
        <f>VLOOKUP(B213,'2025'!B:C,2,0)</f>
        <v>Vineeth T V</v>
      </c>
      <c r="F213" t="s">
        <v>95</v>
      </c>
      <c r="G213" t="s">
        <v>5314</v>
      </c>
      <c r="H213" t="s">
        <v>193</v>
      </c>
      <c r="I213" t="s">
        <v>98</v>
      </c>
      <c r="J213" t="s">
        <v>5315</v>
      </c>
      <c r="K213" t="s">
        <v>100</v>
      </c>
      <c r="L213">
        <v>1681849</v>
      </c>
      <c r="M213">
        <v>1878947</v>
      </c>
      <c r="N213">
        <v>586858</v>
      </c>
      <c r="O213">
        <v>1030</v>
      </c>
      <c r="P213" t="s">
        <v>519</v>
      </c>
      <c r="Q213">
        <v>0</v>
      </c>
      <c r="R213">
        <v>0</v>
      </c>
      <c r="T213">
        <v>1094991</v>
      </c>
      <c r="U213">
        <v>879</v>
      </c>
      <c r="V213" t="s">
        <v>5316</v>
      </c>
      <c r="W213" t="s">
        <v>102</v>
      </c>
      <c r="X213" t="s">
        <v>103</v>
      </c>
      <c r="Y213" t="s">
        <v>5317</v>
      </c>
      <c r="AA213" t="s">
        <v>451</v>
      </c>
      <c r="AB213" t="s">
        <v>5318</v>
      </c>
      <c r="AC213" t="s">
        <v>5319</v>
      </c>
      <c r="AD213" t="s">
        <v>5320</v>
      </c>
      <c r="AE213" t="s">
        <v>5321</v>
      </c>
      <c r="AF213" t="s">
        <v>5322</v>
      </c>
      <c r="AG213" t="s">
        <v>109</v>
      </c>
      <c r="AH213" t="s">
        <v>102</v>
      </c>
      <c r="AI213" t="s">
        <v>5323</v>
      </c>
      <c r="AJ213" t="s">
        <v>1521</v>
      </c>
      <c r="AK213" t="s">
        <v>5324</v>
      </c>
      <c r="AL213" t="s">
        <v>5325</v>
      </c>
      <c r="AM213" t="s">
        <v>5326</v>
      </c>
      <c r="AN213" t="s">
        <v>5327</v>
      </c>
      <c r="AO213" t="s">
        <v>5328</v>
      </c>
      <c r="AP213" t="s">
        <v>5328</v>
      </c>
      <c r="AU213" t="s">
        <v>247</v>
      </c>
      <c r="AV213" t="s">
        <v>118</v>
      </c>
      <c r="AW213" t="s">
        <v>102</v>
      </c>
      <c r="AX213" t="s">
        <v>119</v>
      </c>
      <c r="BA213" t="s">
        <v>250</v>
      </c>
      <c r="BB213" t="s">
        <v>120</v>
      </c>
      <c r="BC213" t="s">
        <v>920</v>
      </c>
      <c r="BD213" t="s">
        <v>211</v>
      </c>
      <c r="BE213" t="s">
        <v>212</v>
      </c>
      <c r="BF213" t="s">
        <v>213</v>
      </c>
      <c r="BG213" t="s">
        <v>124</v>
      </c>
      <c r="BH213" t="s">
        <v>5329</v>
      </c>
      <c r="BI213" t="s">
        <v>5330</v>
      </c>
      <c r="BJ213" t="s">
        <v>127</v>
      </c>
      <c r="BK213" t="s">
        <v>5331</v>
      </c>
      <c r="BL213" t="s">
        <v>5332</v>
      </c>
      <c r="BM213" t="s">
        <v>5333</v>
      </c>
      <c r="BN213" t="s">
        <v>5314</v>
      </c>
      <c r="BO213" t="s">
        <v>924</v>
      </c>
      <c r="BP213" t="s">
        <v>180</v>
      </c>
      <c r="BQ213" t="s">
        <v>925</v>
      </c>
      <c r="BR213" t="s">
        <v>926</v>
      </c>
      <c r="BS213" t="s">
        <v>2151</v>
      </c>
      <c r="BU213" t="s">
        <v>5334</v>
      </c>
      <c r="BV213" t="s">
        <v>5335</v>
      </c>
      <c r="BW213" t="s">
        <v>296</v>
      </c>
      <c r="BX213" t="s">
        <v>5336</v>
      </c>
      <c r="BY213" t="s">
        <v>5337</v>
      </c>
      <c r="BZ213" t="s">
        <v>5338</v>
      </c>
      <c r="CA213" t="s">
        <v>5339</v>
      </c>
      <c r="CB213" t="s">
        <v>5340</v>
      </c>
      <c r="CC213" t="s">
        <v>5341</v>
      </c>
      <c r="CD213" t="s">
        <v>5342</v>
      </c>
      <c r="CE213" t="s">
        <v>5343</v>
      </c>
      <c r="CF213" t="s">
        <v>5341</v>
      </c>
      <c r="CG213" t="s">
        <v>102</v>
      </c>
      <c r="CH213" t="s">
        <v>5344</v>
      </c>
      <c r="CJ213" t="s">
        <v>5345</v>
      </c>
      <c r="CK213" t="s">
        <v>5344</v>
      </c>
      <c r="CL213" t="s">
        <v>920</v>
      </c>
      <c r="CM213" t="s">
        <v>211</v>
      </c>
      <c r="CN213" t="s">
        <v>5345</v>
      </c>
      <c r="CO213" t="s">
        <v>5346</v>
      </c>
      <c r="CP213" t="s">
        <v>5344</v>
      </c>
      <c r="CQ213" t="s">
        <v>5344</v>
      </c>
    </row>
    <row r="214" spans="1:95">
      <c r="A214" t="s">
        <v>149</v>
      </c>
      <c r="B214">
        <v>3292556</v>
      </c>
      <c r="C214" t="s">
        <v>5347</v>
      </c>
      <c r="D214" t="str">
        <f>VLOOKUP(B214,'2025'!B:C,2,0)</f>
        <v>Anushka</v>
      </c>
      <c r="F214" t="s">
        <v>95</v>
      </c>
      <c r="G214" t="s">
        <v>996</v>
      </c>
      <c r="H214" t="s">
        <v>97</v>
      </c>
      <c r="I214" t="s">
        <v>98</v>
      </c>
      <c r="J214" t="s">
        <v>5348</v>
      </c>
      <c r="K214" t="s">
        <v>100</v>
      </c>
      <c r="L214">
        <v>370471</v>
      </c>
      <c r="M214">
        <v>370471</v>
      </c>
      <c r="N214">
        <v>370471</v>
      </c>
      <c r="O214">
        <v>570</v>
      </c>
      <c r="P214" t="s">
        <v>1122</v>
      </c>
      <c r="Q214">
        <v>0</v>
      </c>
      <c r="R214">
        <v>0</v>
      </c>
      <c r="T214">
        <v>0</v>
      </c>
      <c r="U214">
        <v>0</v>
      </c>
      <c r="W214" t="s">
        <v>102</v>
      </c>
      <c r="X214" t="s">
        <v>103</v>
      </c>
      <c r="Y214" t="s">
        <v>104</v>
      </c>
      <c r="AA214" t="s">
        <v>892</v>
      </c>
      <c r="AB214" t="s">
        <v>5349</v>
      </c>
      <c r="AC214" t="s">
        <v>501</v>
      </c>
      <c r="AD214" t="s">
        <v>5349</v>
      </c>
      <c r="AE214" t="s">
        <v>109</v>
      </c>
      <c r="AF214" t="s">
        <v>102</v>
      </c>
      <c r="AG214" t="s">
        <v>109</v>
      </c>
      <c r="AH214" t="s">
        <v>102</v>
      </c>
      <c r="AI214" t="s">
        <v>5350</v>
      </c>
      <c r="AJ214" t="s">
        <v>648</v>
      </c>
      <c r="AK214" t="s">
        <v>5351</v>
      </c>
      <c r="AL214" t="s">
        <v>5352</v>
      </c>
      <c r="AM214" t="s">
        <v>5353</v>
      </c>
      <c r="AN214" t="s">
        <v>5354</v>
      </c>
      <c r="AO214" t="s">
        <v>5355</v>
      </c>
      <c r="AP214" t="s">
        <v>5356</v>
      </c>
      <c r="AT214" t="s">
        <v>169</v>
      </c>
      <c r="AU214" t="s">
        <v>117</v>
      </c>
      <c r="AV214" t="s">
        <v>118</v>
      </c>
      <c r="AW214" t="s">
        <v>102</v>
      </c>
      <c r="AX214" t="s">
        <v>119</v>
      </c>
      <c r="BB214" t="s">
        <v>120</v>
      </c>
      <c r="BC214" t="s">
        <v>4153</v>
      </c>
      <c r="BD214" t="s">
        <v>320</v>
      </c>
      <c r="BE214" t="s">
        <v>122</v>
      </c>
      <c r="BF214" t="s">
        <v>123</v>
      </c>
      <c r="BG214" t="s">
        <v>124</v>
      </c>
      <c r="BH214" t="s">
        <v>232</v>
      </c>
      <c r="BI214" t="s">
        <v>126</v>
      </c>
      <c r="BJ214" t="s">
        <v>127</v>
      </c>
      <c r="BK214" t="s">
        <v>5357</v>
      </c>
      <c r="BL214" t="s">
        <v>5358</v>
      </c>
      <c r="BM214" t="s">
        <v>5359</v>
      </c>
      <c r="BN214" t="s">
        <v>996</v>
      </c>
      <c r="BO214" t="s">
        <v>1108</v>
      </c>
      <c r="BP214" t="s">
        <v>350</v>
      </c>
      <c r="BQ214" t="s">
        <v>1109</v>
      </c>
      <c r="BR214" t="s">
        <v>1110</v>
      </c>
      <c r="BS214" t="s">
        <v>1006</v>
      </c>
      <c r="BU214" t="s">
        <v>5360</v>
      </c>
      <c r="BV214" t="s">
        <v>5361</v>
      </c>
      <c r="BX214" t="s">
        <v>5362</v>
      </c>
      <c r="BY214" t="s">
        <v>5363</v>
      </c>
      <c r="BZ214" t="s">
        <v>5364</v>
      </c>
      <c r="CG214" t="s">
        <v>102</v>
      </c>
      <c r="CH214" t="s">
        <v>5365</v>
      </c>
      <c r="CJ214" t="s">
        <v>5366</v>
      </c>
      <c r="CK214" t="s">
        <v>5365</v>
      </c>
      <c r="CL214" t="s">
        <v>4153</v>
      </c>
      <c r="CM214" t="s">
        <v>320</v>
      </c>
      <c r="CN214" t="s">
        <v>5366</v>
      </c>
      <c r="CP214" t="s">
        <v>5365</v>
      </c>
      <c r="CQ214" t="s">
        <v>5365</v>
      </c>
    </row>
    <row r="215" spans="1:95">
      <c r="A215" t="s">
        <v>149</v>
      </c>
      <c r="B215">
        <v>3294066</v>
      </c>
      <c r="C215" t="s">
        <v>5367</v>
      </c>
      <c r="D215" t="str">
        <f>VLOOKUP(B215,'2025'!B:C,2,0)</f>
        <v>Vineeth T V</v>
      </c>
      <c r="F215" t="s">
        <v>95</v>
      </c>
      <c r="G215" t="s">
        <v>105</v>
      </c>
      <c r="H215" t="s">
        <v>5368</v>
      </c>
      <c r="I215" t="s">
        <v>98</v>
      </c>
      <c r="J215" t="s">
        <v>5369</v>
      </c>
      <c r="K215" t="s">
        <v>100</v>
      </c>
      <c r="L215">
        <v>2003435</v>
      </c>
      <c r="M215">
        <v>2249850</v>
      </c>
      <c r="N215">
        <v>330773</v>
      </c>
      <c r="O215">
        <v>465</v>
      </c>
      <c r="P215" t="s">
        <v>5370</v>
      </c>
      <c r="Q215">
        <v>303688</v>
      </c>
      <c r="R215">
        <v>170</v>
      </c>
      <c r="S215" t="s">
        <v>5371</v>
      </c>
      <c r="T215">
        <v>1368974</v>
      </c>
      <c r="U215">
        <v>630</v>
      </c>
      <c r="V215" t="s">
        <v>5372</v>
      </c>
      <c r="W215" t="s">
        <v>102</v>
      </c>
      <c r="X215" t="s">
        <v>103</v>
      </c>
      <c r="Y215" t="s">
        <v>155</v>
      </c>
      <c r="AA215" t="s">
        <v>883</v>
      </c>
      <c r="AB215" t="s">
        <v>5373</v>
      </c>
      <c r="AC215" t="s">
        <v>1472</v>
      </c>
      <c r="AD215" t="s">
        <v>5373</v>
      </c>
      <c r="AE215" t="s">
        <v>1473</v>
      </c>
      <c r="AF215" t="s">
        <v>5373</v>
      </c>
      <c r="AG215" t="s">
        <v>160</v>
      </c>
      <c r="AH215" t="s">
        <v>5373</v>
      </c>
      <c r="AI215" t="s">
        <v>5374</v>
      </c>
      <c r="AJ215" t="s">
        <v>520</v>
      </c>
      <c r="AK215" t="s">
        <v>411</v>
      </c>
      <c r="AL215" t="s">
        <v>5375</v>
      </c>
      <c r="AM215" t="s">
        <v>5376</v>
      </c>
      <c r="AN215" t="s">
        <v>5377</v>
      </c>
      <c r="AO215" t="s">
        <v>5378</v>
      </c>
      <c r="AP215" t="s">
        <v>5378</v>
      </c>
      <c r="AU215" t="s">
        <v>247</v>
      </c>
      <c r="AV215" t="s">
        <v>118</v>
      </c>
      <c r="AW215" t="s">
        <v>248</v>
      </c>
      <c r="AX215" t="s">
        <v>119</v>
      </c>
      <c r="AZ215" t="s">
        <v>250</v>
      </c>
      <c r="BA215" t="s">
        <v>250</v>
      </c>
      <c r="BB215" t="s">
        <v>120</v>
      </c>
      <c r="BC215" t="s">
        <v>920</v>
      </c>
      <c r="BD215" t="s">
        <v>211</v>
      </c>
      <c r="BE215" t="s">
        <v>212</v>
      </c>
      <c r="BF215" t="s">
        <v>213</v>
      </c>
      <c r="BG215" t="s">
        <v>124</v>
      </c>
      <c r="BH215" t="s">
        <v>214</v>
      </c>
      <c r="BI215" t="s">
        <v>625</v>
      </c>
      <c r="BJ215" t="s">
        <v>127</v>
      </c>
      <c r="BK215" t="s">
        <v>5379</v>
      </c>
      <c r="BL215" t="s">
        <v>5380</v>
      </c>
      <c r="BM215" t="s">
        <v>5381</v>
      </c>
      <c r="BN215" t="s">
        <v>105</v>
      </c>
      <c r="BO215" t="s">
        <v>924</v>
      </c>
      <c r="BP215" t="s">
        <v>350</v>
      </c>
      <c r="BQ215" t="s">
        <v>925</v>
      </c>
      <c r="BR215" t="s">
        <v>926</v>
      </c>
      <c r="BS215" t="s">
        <v>2151</v>
      </c>
      <c r="BU215" t="s">
        <v>5382</v>
      </c>
      <c r="BV215" t="s">
        <v>5383</v>
      </c>
      <c r="BW215" t="s">
        <v>598</v>
      </c>
      <c r="BX215" t="s">
        <v>5384</v>
      </c>
      <c r="BY215" t="s">
        <v>5385</v>
      </c>
      <c r="BZ215" t="s">
        <v>5386</v>
      </c>
      <c r="CA215" t="s">
        <v>5383</v>
      </c>
      <c r="CB215" t="s">
        <v>5384</v>
      </c>
      <c r="CC215" t="s">
        <v>5387</v>
      </c>
      <c r="CD215" t="s">
        <v>5388</v>
      </c>
      <c r="CE215" t="s">
        <v>5389</v>
      </c>
      <c r="CF215" t="s">
        <v>5390</v>
      </c>
      <c r="CG215" t="s">
        <v>102</v>
      </c>
      <c r="CH215" t="s">
        <v>5391</v>
      </c>
      <c r="CJ215" t="s">
        <v>5392</v>
      </c>
      <c r="CK215" t="s">
        <v>5391</v>
      </c>
      <c r="CL215" t="s">
        <v>920</v>
      </c>
      <c r="CM215" t="s">
        <v>211</v>
      </c>
      <c r="CN215" t="s">
        <v>5392</v>
      </c>
      <c r="CO215" t="s">
        <v>5393</v>
      </c>
      <c r="CP215" t="s">
        <v>5391</v>
      </c>
      <c r="CQ215" t="s">
        <v>5391</v>
      </c>
    </row>
    <row r="216" spans="1:95">
      <c r="A216" t="s">
        <v>495</v>
      </c>
      <c r="B216">
        <v>3302667</v>
      </c>
      <c r="C216" t="s">
        <v>5394</v>
      </c>
      <c r="D216" t="str">
        <f>VLOOKUP(B216,'2025'!B:C,2,0)</f>
        <v>Ishita Jethwa</v>
      </c>
      <c r="F216" t="s">
        <v>95</v>
      </c>
      <c r="G216" t="s">
        <v>1626</v>
      </c>
      <c r="H216" t="s">
        <v>152</v>
      </c>
      <c r="I216" t="s">
        <v>98</v>
      </c>
      <c r="J216" t="s">
        <v>5395</v>
      </c>
      <c r="K216" t="s">
        <v>100</v>
      </c>
      <c r="L216">
        <v>491176</v>
      </c>
      <c r="M216">
        <v>491176</v>
      </c>
      <c r="N216">
        <v>0</v>
      </c>
      <c r="O216">
        <v>0</v>
      </c>
      <c r="Q216">
        <v>491176</v>
      </c>
      <c r="R216">
        <v>520</v>
      </c>
      <c r="S216" t="s">
        <v>5396</v>
      </c>
      <c r="T216">
        <v>0</v>
      </c>
      <c r="U216">
        <v>0</v>
      </c>
      <c r="W216" t="s">
        <v>102</v>
      </c>
      <c r="X216" t="s">
        <v>103</v>
      </c>
      <c r="Y216" t="s">
        <v>104</v>
      </c>
      <c r="AA216" t="s">
        <v>2388</v>
      </c>
      <c r="AB216" t="s">
        <v>5397</v>
      </c>
      <c r="AC216" t="s">
        <v>721</v>
      </c>
      <c r="AD216" t="s">
        <v>5397</v>
      </c>
      <c r="AE216" t="s">
        <v>109</v>
      </c>
      <c r="AF216" t="s">
        <v>102</v>
      </c>
      <c r="AG216" t="s">
        <v>109</v>
      </c>
      <c r="AH216" t="s">
        <v>102</v>
      </c>
      <c r="AI216" t="s">
        <v>5398</v>
      </c>
      <c r="AJ216" t="s">
        <v>197</v>
      </c>
      <c r="AK216" t="s">
        <v>404</v>
      </c>
      <c r="AL216" t="s">
        <v>5399</v>
      </c>
      <c r="AM216" t="s">
        <v>5400</v>
      </c>
      <c r="AN216" t="s">
        <v>5401</v>
      </c>
      <c r="AO216" t="s">
        <v>727</v>
      </c>
      <c r="AP216" t="s">
        <v>727</v>
      </c>
      <c r="AU216" t="s">
        <v>102</v>
      </c>
      <c r="AW216" t="s">
        <v>155</v>
      </c>
      <c r="AX216" t="s">
        <v>119</v>
      </c>
      <c r="AY216" t="s">
        <v>170</v>
      </c>
      <c r="AZ216" t="s">
        <v>118</v>
      </c>
      <c r="BB216" t="s">
        <v>120</v>
      </c>
      <c r="BC216" t="s">
        <v>729</v>
      </c>
      <c r="BD216" t="s">
        <v>730</v>
      </c>
      <c r="BE216" t="s">
        <v>622</v>
      </c>
      <c r="BF216" t="s">
        <v>730</v>
      </c>
      <c r="BG216" t="s">
        <v>124</v>
      </c>
      <c r="BH216" t="s">
        <v>232</v>
      </c>
      <c r="BI216" t="s">
        <v>126</v>
      </c>
      <c r="BJ216" t="s">
        <v>127</v>
      </c>
      <c r="BK216" t="s">
        <v>5402</v>
      </c>
      <c r="BL216" t="s">
        <v>5403</v>
      </c>
      <c r="BM216" t="s">
        <v>5404</v>
      </c>
      <c r="BN216" t="s">
        <v>1626</v>
      </c>
      <c r="BO216" t="s">
        <v>734</v>
      </c>
      <c r="BP216" t="s">
        <v>350</v>
      </c>
      <c r="BQ216" t="s">
        <v>735</v>
      </c>
      <c r="BR216" t="s">
        <v>736</v>
      </c>
      <c r="BS216" t="s">
        <v>737</v>
      </c>
      <c r="BU216" t="s">
        <v>5405</v>
      </c>
      <c r="BV216" t="s">
        <v>5406</v>
      </c>
      <c r="BW216" t="s">
        <v>138</v>
      </c>
      <c r="BX216" t="s">
        <v>5407</v>
      </c>
      <c r="BY216" t="s">
        <v>5408</v>
      </c>
      <c r="BZ216" t="s">
        <v>5409</v>
      </c>
      <c r="CA216" t="s">
        <v>5406</v>
      </c>
      <c r="CB216" t="s">
        <v>5407</v>
      </c>
      <c r="CC216" t="s">
        <v>5408</v>
      </c>
      <c r="CD216" t="s">
        <v>5410</v>
      </c>
      <c r="CE216" t="s">
        <v>5407</v>
      </c>
      <c r="CF216" t="s">
        <v>5411</v>
      </c>
      <c r="CG216" t="s">
        <v>5412</v>
      </c>
      <c r="CH216" t="s">
        <v>5413</v>
      </c>
      <c r="CJ216" t="s">
        <v>3970</v>
      </c>
      <c r="CK216" t="s">
        <v>5413</v>
      </c>
      <c r="CL216" t="s">
        <v>729</v>
      </c>
      <c r="CM216" t="s">
        <v>730</v>
      </c>
      <c r="CN216" t="s">
        <v>3970</v>
      </c>
      <c r="CO216" t="s">
        <v>5414</v>
      </c>
      <c r="CP216" t="s">
        <v>5413</v>
      </c>
      <c r="CQ216" t="s">
        <v>5413</v>
      </c>
    </row>
    <row r="217" spans="1:95">
      <c r="A217" t="s">
        <v>93</v>
      </c>
      <c r="B217">
        <v>3303259</v>
      </c>
      <c r="C217" t="s">
        <v>5415</v>
      </c>
      <c r="D217" t="str">
        <f>VLOOKUP(B217,'2025'!B:C,2,0)</f>
        <v>Rohit</v>
      </c>
      <c r="F217" t="s">
        <v>95</v>
      </c>
      <c r="G217" t="s">
        <v>5416</v>
      </c>
      <c r="H217" t="s">
        <v>97</v>
      </c>
      <c r="I217" t="s">
        <v>98</v>
      </c>
      <c r="J217" t="s">
        <v>5417</v>
      </c>
      <c r="K217" t="s">
        <v>100</v>
      </c>
      <c r="L217">
        <v>1046531</v>
      </c>
      <c r="M217">
        <v>1046531</v>
      </c>
      <c r="N217">
        <v>1046531</v>
      </c>
      <c r="O217">
        <v>1308</v>
      </c>
      <c r="P217" t="s">
        <v>1297</v>
      </c>
      <c r="Q217">
        <v>0</v>
      </c>
      <c r="R217">
        <v>0</v>
      </c>
      <c r="T217">
        <v>0</v>
      </c>
      <c r="U217">
        <v>0</v>
      </c>
      <c r="W217" t="s">
        <v>102</v>
      </c>
      <c r="X217" t="s">
        <v>103</v>
      </c>
      <c r="Y217" t="s">
        <v>104</v>
      </c>
      <c r="AA217" t="s">
        <v>5416</v>
      </c>
      <c r="AB217" t="s">
        <v>5418</v>
      </c>
      <c r="AC217" t="s">
        <v>2582</v>
      </c>
      <c r="AD217" t="s">
        <v>5419</v>
      </c>
      <c r="AE217" t="s">
        <v>109</v>
      </c>
      <c r="AF217" t="s">
        <v>102</v>
      </c>
      <c r="AG217" t="s">
        <v>109</v>
      </c>
      <c r="AH217" t="s">
        <v>102</v>
      </c>
      <c r="AI217" t="s">
        <v>102</v>
      </c>
      <c r="AJ217" t="s">
        <v>2455</v>
      </c>
      <c r="AK217" t="s">
        <v>1631</v>
      </c>
      <c r="AL217" t="s">
        <v>5420</v>
      </c>
      <c r="AM217" t="s">
        <v>5421</v>
      </c>
      <c r="AN217" t="s">
        <v>5422</v>
      </c>
      <c r="AO217" t="s">
        <v>168</v>
      </c>
      <c r="AP217" t="s">
        <v>168</v>
      </c>
      <c r="AU217" t="s">
        <v>117</v>
      </c>
      <c r="AV217" t="s">
        <v>118</v>
      </c>
      <c r="AW217" t="s">
        <v>102</v>
      </c>
      <c r="AX217" t="s">
        <v>119</v>
      </c>
      <c r="BB217" t="s">
        <v>120</v>
      </c>
      <c r="BC217" t="s">
        <v>5423</v>
      </c>
      <c r="BD217" t="s">
        <v>2543</v>
      </c>
      <c r="BE217" t="s">
        <v>122</v>
      </c>
      <c r="BF217" t="s">
        <v>557</v>
      </c>
      <c r="BG217" t="s">
        <v>124</v>
      </c>
      <c r="BH217" t="s">
        <v>232</v>
      </c>
      <c r="BI217" t="s">
        <v>126</v>
      </c>
      <c r="BJ217" t="s">
        <v>127</v>
      </c>
      <c r="BK217" t="s">
        <v>5424</v>
      </c>
      <c r="BL217" t="s">
        <v>5425</v>
      </c>
      <c r="BM217" t="s">
        <v>5426</v>
      </c>
      <c r="BN217" t="s">
        <v>5416</v>
      </c>
      <c r="BO217" t="s">
        <v>2547</v>
      </c>
      <c r="BP217" t="s">
        <v>258</v>
      </c>
      <c r="BQ217" t="s">
        <v>2548</v>
      </c>
      <c r="BR217" t="s">
        <v>2549</v>
      </c>
      <c r="BS217" t="s">
        <v>1075</v>
      </c>
      <c r="BU217" t="s">
        <v>5427</v>
      </c>
      <c r="BV217" t="s">
        <v>5428</v>
      </c>
      <c r="BW217" t="s">
        <v>138</v>
      </c>
      <c r="BX217" t="s">
        <v>5429</v>
      </c>
      <c r="BY217" t="s">
        <v>5430</v>
      </c>
      <c r="BZ217" t="s">
        <v>5431</v>
      </c>
      <c r="CA217" t="s">
        <v>5428</v>
      </c>
      <c r="CB217" t="s">
        <v>5429</v>
      </c>
      <c r="CC217" t="s">
        <v>5430</v>
      </c>
      <c r="CG217" t="s">
        <v>573</v>
      </c>
      <c r="CH217" t="s">
        <v>5432</v>
      </c>
      <c r="CJ217" t="s">
        <v>5433</v>
      </c>
      <c r="CK217" t="s">
        <v>5432</v>
      </c>
      <c r="CL217" t="s">
        <v>5423</v>
      </c>
      <c r="CM217" t="s">
        <v>2543</v>
      </c>
      <c r="CN217" t="s">
        <v>5433</v>
      </c>
      <c r="CP217" t="s">
        <v>5432</v>
      </c>
      <c r="CQ217" t="s">
        <v>5432</v>
      </c>
    </row>
    <row r="218" spans="1:95">
      <c r="A218" t="s">
        <v>149</v>
      </c>
      <c r="B218">
        <v>3303814</v>
      </c>
      <c r="C218" t="s">
        <v>5434</v>
      </c>
      <c r="E218" s="4" t="s">
        <v>17377</v>
      </c>
      <c r="F218" t="s">
        <v>95</v>
      </c>
      <c r="G218" t="s">
        <v>2602</v>
      </c>
      <c r="H218" t="s">
        <v>848</v>
      </c>
      <c r="I218" t="s">
        <v>98</v>
      </c>
      <c r="J218" t="s">
        <v>5435</v>
      </c>
      <c r="K218" t="s">
        <v>100</v>
      </c>
      <c r="L218">
        <v>526297</v>
      </c>
      <c r="M218">
        <v>621030</v>
      </c>
      <c r="N218">
        <v>0</v>
      </c>
      <c r="O218">
        <v>0</v>
      </c>
      <c r="Q218">
        <v>0</v>
      </c>
      <c r="R218">
        <v>0</v>
      </c>
      <c r="T218">
        <v>526297</v>
      </c>
      <c r="U218">
        <v>600</v>
      </c>
      <c r="V218" t="s">
        <v>5436</v>
      </c>
      <c r="W218" t="s">
        <v>102</v>
      </c>
      <c r="X218" t="s">
        <v>275</v>
      </c>
      <c r="Z218" t="s">
        <v>238</v>
      </c>
      <c r="AA218" t="s">
        <v>109</v>
      </c>
      <c r="AB218" t="s">
        <v>102</v>
      </c>
      <c r="AC218" t="s">
        <v>109</v>
      </c>
      <c r="AD218" t="s">
        <v>102</v>
      </c>
      <c r="AE218" t="s">
        <v>109</v>
      </c>
      <c r="AF218" t="s">
        <v>102</v>
      </c>
      <c r="AG218" t="s">
        <v>109</v>
      </c>
      <c r="AH218" t="s">
        <v>102</v>
      </c>
      <c r="AI218" t="s">
        <v>5437</v>
      </c>
      <c r="AJ218" t="s">
        <v>3926</v>
      </c>
      <c r="AK218" t="s">
        <v>3926</v>
      </c>
      <c r="AL218" t="s">
        <v>5438</v>
      </c>
      <c r="AM218" t="s">
        <v>5439</v>
      </c>
      <c r="AN218" t="s">
        <v>5440</v>
      </c>
      <c r="AO218" t="s">
        <v>5441</v>
      </c>
      <c r="AP218" t="s">
        <v>5441</v>
      </c>
      <c r="AU218" t="s">
        <v>102</v>
      </c>
      <c r="AW218" t="s">
        <v>102</v>
      </c>
      <c r="AX218" t="s">
        <v>119</v>
      </c>
      <c r="BA218" t="s">
        <v>250</v>
      </c>
      <c r="BB218" t="s">
        <v>120</v>
      </c>
      <c r="BC218" t="s">
        <v>3058</v>
      </c>
      <c r="BD218" t="s">
        <v>320</v>
      </c>
      <c r="BE218" t="s">
        <v>122</v>
      </c>
      <c r="BF218" t="s">
        <v>123</v>
      </c>
      <c r="BG218" t="s">
        <v>124</v>
      </c>
      <c r="BH218" t="s">
        <v>232</v>
      </c>
      <c r="BI218" t="s">
        <v>126</v>
      </c>
      <c r="BJ218" t="s">
        <v>127</v>
      </c>
      <c r="BK218" t="s">
        <v>5442</v>
      </c>
      <c r="BL218" t="s">
        <v>5443</v>
      </c>
      <c r="BM218" t="s">
        <v>5444</v>
      </c>
      <c r="BN218" t="s">
        <v>2602</v>
      </c>
      <c r="BO218" t="s">
        <v>257</v>
      </c>
      <c r="BP218" t="s">
        <v>258</v>
      </c>
      <c r="BQ218" t="s">
        <v>259</v>
      </c>
      <c r="BR218" t="s">
        <v>260</v>
      </c>
      <c r="BS218" t="s">
        <v>1006</v>
      </c>
      <c r="BT218" t="s">
        <v>1006</v>
      </c>
      <c r="BU218" t="s">
        <v>5445</v>
      </c>
      <c r="BV218" t="s">
        <v>5446</v>
      </c>
      <c r="BW218" t="s">
        <v>296</v>
      </c>
      <c r="BX218" t="s">
        <v>5447</v>
      </c>
      <c r="BY218" t="s">
        <v>5448</v>
      </c>
      <c r="BZ218" t="s">
        <v>5449</v>
      </c>
      <c r="CA218" t="s">
        <v>5450</v>
      </c>
      <c r="CB218" t="s">
        <v>5451</v>
      </c>
      <c r="CD218" t="s">
        <v>5452</v>
      </c>
      <c r="CE218" t="s">
        <v>5453</v>
      </c>
      <c r="CF218" t="s">
        <v>5454</v>
      </c>
      <c r="CG218" t="s">
        <v>102</v>
      </c>
      <c r="CH218" t="s">
        <v>5455</v>
      </c>
      <c r="CJ218" t="s">
        <v>5456</v>
      </c>
      <c r="CK218" t="s">
        <v>5455</v>
      </c>
      <c r="CL218" t="s">
        <v>3058</v>
      </c>
      <c r="CM218" t="s">
        <v>320</v>
      </c>
      <c r="CN218" t="s">
        <v>5456</v>
      </c>
      <c r="CP218" t="s">
        <v>5455</v>
      </c>
      <c r="CQ218" t="s">
        <v>5455</v>
      </c>
    </row>
    <row r="219" spans="1:95">
      <c r="A219" t="s">
        <v>337</v>
      </c>
      <c r="B219">
        <v>3306257</v>
      </c>
      <c r="C219" t="s">
        <v>2831</v>
      </c>
      <c r="D219" t="str">
        <f>VLOOKUP(B219,'2025'!B:C,2,0)</f>
        <v>Rohit</v>
      </c>
      <c r="F219" t="s">
        <v>95</v>
      </c>
      <c r="G219" t="s">
        <v>4497</v>
      </c>
      <c r="H219" t="s">
        <v>152</v>
      </c>
      <c r="I219" t="s">
        <v>98</v>
      </c>
      <c r="J219" t="s">
        <v>5457</v>
      </c>
      <c r="K219" t="s">
        <v>100</v>
      </c>
      <c r="L219">
        <v>233667</v>
      </c>
      <c r="M219">
        <v>233667</v>
      </c>
      <c r="N219">
        <v>0</v>
      </c>
      <c r="O219">
        <v>0</v>
      </c>
      <c r="Q219">
        <v>233667</v>
      </c>
      <c r="R219">
        <v>410</v>
      </c>
      <c r="S219" t="s">
        <v>519</v>
      </c>
      <c r="T219">
        <v>0</v>
      </c>
      <c r="U219">
        <v>0</v>
      </c>
      <c r="W219" t="s">
        <v>102</v>
      </c>
      <c r="X219" t="s">
        <v>275</v>
      </c>
      <c r="Z219" t="s">
        <v>4497</v>
      </c>
      <c r="AA219" t="s">
        <v>109</v>
      </c>
      <c r="AB219" t="s">
        <v>102</v>
      </c>
      <c r="AC219" t="s">
        <v>109</v>
      </c>
      <c r="AD219" t="s">
        <v>102</v>
      </c>
      <c r="AE219" t="s">
        <v>109</v>
      </c>
      <c r="AF219" t="s">
        <v>102</v>
      </c>
      <c r="AG219" t="s">
        <v>109</v>
      </c>
      <c r="AH219" t="s">
        <v>102</v>
      </c>
      <c r="AI219" t="s">
        <v>102</v>
      </c>
      <c r="AJ219" t="s">
        <v>2304</v>
      </c>
      <c r="AK219" t="s">
        <v>2304</v>
      </c>
      <c r="AL219" t="s">
        <v>5458</v>
      </c>
      <c r="AM219" t="s">
        <v>2980</v>
      </c>
      <c r="AN219" t="s">
        <v>5459</v>
      </c>
      <c r="AO219" t="s">
        <v>5460</v>
      </c>
      <c r="AP219" t="s">
        <v>5460</v>
      </c>
      <c r="AU219" t="s">
        <v>102</v>
      </c>
      <c r="AW219" t="s">
        <v>104</v>
      </c>
      <c r="AX219" t="s">
        <v>119</v>
      </c>
      <c r="AY219" t="s">
        <v>170</v>
      </c>
      <c r="AZ219" t="s">
        <v>118</v>
      </c>
      <c r="BB219" t="s">
        <v>120</v>
      </c>
      <c r="BC219" t="s">
        <v>5461</v>
      </c>
      <c r="BD219" t="s">
        <v>556</v>
      </c>
      <c r="BE219" t="s">
        <v>122</v>
      </c>
      <c r="BF219" t="s">
        <v>557</v>
      </c>
      <c r="BG219" t="s">
        <v>124</v>
      </c>
      <c r="BH219" t="s">
        <v>4497</v>
      </c>
      <c r="BI219" t="s">
        <v>126</v>
      </c>
      <c r="BJ219" t="s">
        <v>127</v>
      </c>
      <c r="BK219" t="s">
        <v>5462</v>
      </c>
      <c r="BL219" t="s">
        <v>5463</v>
      </c>
      <c r="BM219" t="s">
        <v>5464</v>
      </c>
      <c r="BN219" t="s">
        <v>4497</v>
      </c>
      <c r="BO219" t="s">
        <v>1071</v>
      </c>
      <c r="BP219" t="s">
        <v>350</v>
      </c>
      <c r="BQ219" t="s">
        <v>1072</v>
      </c>
      <c r="BR219" t="s">
        <v>1073</v>
      </c>
      <c r="BS219" t="s">
        <v>1074</v>
      </c>
      <c r="BT219" t="s">
        <v>1075</v>
      </c>
      <c r="BU219" t="s">
        <v>5465</v>
      </c>
      <c r="BV219" t="s">
        <v>5466</v>
      </c>
      <c r="BW219" t="s">
        <v>138</v>
      </c>
      <c r="BX219" t="s">
        <v>5467</v>
      </c>
      <c r="BY219" t="s">
        <v>5468</v>
      </c>
      <c r="BZ219" t="s">
        <v>5469</v>
      </c>
      <c r="CA219" t="s">
        <v>5470</v>
      </c>
      <c r="CB219" t="s">
        <v>5467</v>
      </c>
      <c r="CC219" t="s">
        <v>5468</v>
      </c>
      <c r="CD219" t="s">
        <v>5470</v>
      </c>
      <c r="CE219" t="s">
        <v>5467</v>
      </c>
      <c r="CF219" t="s">
        <v>5468</v>
      </c>
      <c r="CG219" t="s">
        <v>5471</v>
      </c>
      <c r="CH219" t="s">
        <v>5472</v>
      </c>
      <c r="CJ219" t="s">
        <v>5473</v>
      </c>
      <c r="CK219" t="s">
        <v>5472</v>
      </c>
      <c r="CL219" t="s">
        <v>5461</v>
      </c>
      <c r="CM219" t="s">
        <v>556</v>
      </c>
      <c r="CN219" t="s">
        <v>5473</v>
      </c>
      <c r="CP219" t="s">
        <v>5472</v>
      </c>
      <c r="CQ219" t="s">
        <v>5472</v>
      </c>
    </row>
    <row r="220" spans="1:95">
      <c r="A220" t="s">
        <v>93</v>
      </c>
      <c r="B220">
        <v>3308610</v>
      </c>
      <c r="C220" t="s">
        <v>5474</v>
      </c>
      <c r="D220" t="str">
        <f>VLOOKUP(B220,'2025'!B:C,2,0)</f>
        <v>Rohit</v>
      </c>
      <c r="F220" t="s">
        <v>95</v>
      </c>
      <c r="G220" t="s">
        <v>464</v>
      </c>
      <c r="H220" t="s">
        <v>152</v>
      </c>
      <c r="I220" t="s">
        <v>98</v>
      </c>
      <c r="J220" t="s">
        <v>5475</v>
      </c>
      <c r="K220" t="s">
        <v>100</v>
      </c>
      <c r="L220">
        <v>1354784</v>
      </c>
      <c r="M220">
        <v>1354784</v>
      </c>
      <c r="N220">
        <v>0</v>
      </c>
      <c r="O220">
        <v>0</v>
      </c>
      <c r="Q220">
        <v>1354784</v>
      </c>
      <c r="R220">
        <v>871</v>
      </c>
      <c r="S220" t="s">
        <v>5476</v>
      </c>
      <c r="T220">
        <v>0</v>
      </c>
      <c r="U220">
        <v>0</v>
      </c>
      <c r="W220" t="s">
        <v>102</v>
      </c>
      <c r="X220" t="s">
        <v>103</v>
      </c>
      <c r="Y220" t="s">
        <v>155</v>
      </c>
      <c r="AA220" t="s">
        <v>646</v>
      </c>
      <c r="AB220" t="s">
        <v>5477</v>
      </c>
      <c r="AC220" t="s">
        <v>968</v>
      </c>
      <c r="AD220" t="s">
        <v>5477</v>
      </c>
      <c r="AE220" t="s">
        <v>2867</v>
      </c>
      <c r="AF220" t="s">
        <v>5477</v>
      </c>
      <c r="AG220" t="s">
        <v>471</v>
      </c>
      <c r="AH220" t="s">
        <v>5477</v>
      </c>
      <c r="AI220" t="s">
        <v>5478</v>
      </c>
      <c r="AJ220" t="s">
        <v>1692</v>
      </c>
      <c r="AK220" t="s">
        <v>3258</v>
      </c>
      <c r="AL220" t="s">
        <v>5479</v>
      </c>
      <c r="AM220" t="s">
        <v>5480</v>
      </c>
      <c r="AN220" t="s">
        <v>5481</v>
      </c>
      <c r="AO220" t="s">
        <v>5482</v>
      </c>
      <c r="AP220" t="s">
        <v>5482</v>
      </c>
      <c r="AU220" t="s">
        <v>102</v>
      </c>
      <c r="AW220" t="s">
        <v>155</v>
      </c>
      <c r="AX220" t="s">
        <v>447</v>
      </c>
      <c r="AY220" t="s">
        <v>170</v>
      </c>
      <c r="AZ220" t="s">
        <v>118</v>
      </c>
      <c r="BB220" t="s">
        <v>120</v>
      </c>
      <c r="BC220" t="s">
        <v>5483</v>
      </c>
      <c r="BD220" t="s">
        <v>556</v>
      </c>
      <c r="BE220" t="s">
        <v>122</v>
      </c>
      <c r="BF220" t="s">
        <v>557</v>
      </c>
      <c r="BG220" t="s">
        <v>124</v>
      </c>
      <c r="BH220" t="s">
        <v>232</v>
      </c>
      <c r="BI220" t="s">
        <v>126</v>
      </c>
      <c r="BJ220" t="s">
        <v>127</v>
      </c>
      <c r="BK220" t="s">
        <v>5484</v>
      </c>
      <c r="BL220" t="s">
        <v>5485</v>
      </c>
      <c r="BM220" t="s">
        <v>5486</v>
      </c>
      <c r="BN220" t="s">
        <v>464</v>
      </c>
      <c r="BO220" t="s">
        <v>1071</v>
      </c>
      <c r="BP220" t="s">
        <v>350</v>
      </c>
      <c r="BQ220" t="s">
        <v>1072</v>
      </c>
      <c r="BR220" t="s">
        <v>1073</v>
      </c>
      <c r="BS220" t="s">
        <v>1075</v>
      </c>
      <c r="BU220" t="s">
        <v>5487</v>
      </c>
      <c r="BV220" t="s">
        <v>5488</v>
      </c>
      <c r="BW220" t="s">
        <v>354</v>
      </c>
      <c r="BX220" t="s">
        <v>5489</v>
      </c>
      <c r="BY220" t="s">
        <v>5490</v>
      </c>
      <c r="BZ220" t="s">
        <v>5491</v>
      </c>
      <c r="CG220" t="s">
        <v>5492</v>
      </c>
      <c r="CH220" t="s">
        <v>5493</v>
      </c>
      <c r="CJ220" t="s">
        <v>5494</v>
      </c>
      <c r="CK220" t="s">
        <v>5493</v>
      </c>
      <c r="CL220" t="s">
        <v>5483</v>
      </c>
      <c r="CM220" t="s">
        <v>556</v>
      </c>
      <c r="CN220" t="s">
        <v>5494</v>
      </c>
      <c r="CO220" t="s">
        <v>5495</v>
      </c>
      <c r="CP220" t="s">
        <v>5493</v>
      </c>
      <c r="CQ220" t="s">
        <v>5493</v>
      </c>
    </row>
    <row r="221" spans="1:95">
      <c r="A221" t="s">
        <v>337</v>
      </c>
      <c r="B221">
        <v>3311014</v>
      </c>
      <c r="C221" t="s">
        <v>5496</v>
      </c>
      <c r="E221" s="4" t="s">
        <v>17377</v>
      </c>
      <c r="F221" t="s">
        <v>95</v>
      </c>
      <c r="G221" t="s">
        <v>2074</v>
      </c>
      <c r="H221" t="s">
        <v>152</v>
      </c>
      <c r="I221" t="s">
        <v>98</v>
      </c>
      <c r="J221" t="s">
        <v>5497</v>
      </c>
      <c r="K221" t="s">
        <v>100</v>
      </c>
      <c r="L221">
        <v>600080</v>
      </c>
      <c r="M221">
        <v>600080</v>
      </c>
      <c r="N221">
        <v>0</v>
      </c>
      <c r="O221">
        <v>0</v>
      </c>
      <c r="Q221">
        <v>600080</v>
      </c>
      <c r="R221">
        <v>500</v>
      </c>
      <c r="S221" t="s">
        <v>880</v>
      </c>
      <c r="T221">
        <v>0</v>
      </c>
      <c r="U221">
        <v>0</v>
      </c>
      <c r="W221" t="s">
        <v>102</v>
      </c>
      <c r="X221" t="s">
        <v>103</v>
      </c>
      <c r="Y221" t="s">
        <v>155</v>
      </c>
      <c r="AA221" t="s">
        <v>517</v>
      </c>
      <c r="AB221" t="s">
        <v>5498</v>
      </c>
      <c r="AC221" t="s">
        <v>5499</v>
      </c>
      <c r="AD221" t="s">
        <v>5498</v>
      </c>
      <c r="AE221" t="s">
        <v>5500</v>
      </c>
      <c r="AF221" t="s">
        <v>5498</v>
      </c>
      <c r="AG221" t="s">
        <v>680</v>
      </c>
      <c r="AH221" t="s">
        <v>5498</v>
      </c>
      <c r="AI221" t="s">
        <v>2971</v>
      </c>
      <c r="AJ221" t="s">
        <v>4942</v>
      </c>
      <c r="AK221" t="s">
        <v>4884</v>
      </c>
      <c r="AL221" t="s">
        <v>5501</v>
      </c>
      <c r="AM221" t="s">
        <v>5502</v>
      </c>
      <c r="AN221" t="s">
        <v>5503</v>
      </c>
      <c r="AO221" t="s">
        <v>1963</v>
      </c>
      <c r="AP221" t="s">
        <v>1963</v>
      </c>
      <c r="AU221" t="s">
        <v>102</v>
      </c>
      <c r="AW221" t="s">
        <v>155</v>
      </c>
      <c r="AX221" t="s">
        <v>119</v>
      </c>
      <c r="AY221" t="s">
        <v>170</v>
      </c>
      <c r="AZ221" t="s">
        <v>118</v>
      </c>
      <c r="BB221" t="s">
        <v>120</v>
      </c>
      <c r="BC221" t="s">
        <v>5504</v>
      </c>
      <c r="BD221" t="s">
        <v>449</v>
      </c>
      <c r="BE221" t="s">
        <v>122</v>
      </c>
      <c r="BF221" t="s">
        <v>253</v>
      </c>
      <c r="BG221" t="s">
        <v>124</v>
      </c>
      <c r="BH221" t="s">
        <v>232</v>
      </c>
      <c r="BI221" t="s">
        <v>126</v>
      </c>
      <c r="BJ221" t="s">
        <v>127</v>
      </c>
      <c r="BK221" t="s">
        <v>5505</v>
      </c>
      <c r="BL221" t="s">
        <v>5506</v>
      </c>
      <c r="BM221" t="s">
        <v>5507</v>
      </c>
      <c r="BN221" t="s">
        <v>2074</v>
      </c>
      <c r="BO221" t="s">
        <v>3243</v>
      </c>
      <c r="BP221" t="s">
        <v>258</v>
      </c>
      <c r="BQ221" t="s">
        <v>3244</v>
      </c>
      <c r="BR221" t="s">
        <v>3245</v>
      </c>
      <c r="BS221" t="s">
        <v>3246</v>
      </c>
      <c r="BT221" t="s">
        <v>135</v>
      </c>
      <c r="BU221" t="s">
        <v>5508</v>
      </c>
      <c r="BV221" t="s">
        <v>5509</v>
      </c>
      <c r="BW221" t="s">
        <v>354</v>
      </c>
      <c r="BX221" t="s">
        <v>5510</v>
      </c>
      <c r="BY221" t="s">
        <v>5511</v>
      </c>
      <c r="BZ221" t="s">
        <v>5512</v>
      </c>
      <c r="CA221" t="s">
        <v>5513</v>
      </c>
      <c r="CB221" t="s">
        <v>5514</v>
      </c>
      <c r="CC221" t="s">
        <v>5515</v>
      </c>
      <c r="CG221" t="s">
        <v>334</v>
      </c>
      <c r="CH221" t="s">
        <v>5516</v>
      </c>
      <c r="CJ221" t="s">
        <v>5517</v>
      </c>
      <c r="CK221" t="s">
        <v>5516</v>
      </c>
      <c r="CL221" t="s">
        <v>5504</v>
      </c>
      <c r="CM221" t="s">
        <v>449</v>
      </c>
      <c r="CN221" t="s">
        <v>5517</v>
      </c>
      <c r="CP221" t="s">
        <v>5516</v>
      </c>
      <c r="CQ221" t="s">
        <v>5516</v>
      </c>
    </row>
    <row r="222" spans="1:95">
      <c r="A222" t="s">
        <v>93</v>
      </c>
      <c r="B222">
        <v>3319128</v>
      </c>
      <c r="C222" t="s">
        <v>5518</v>
      </c>
      <c r="E222" s="4" t="s">
        <v>17377</v>
      </c>
      <c r="F222" t="s">
        <v>95</v>
      </c>
      <c r="G222" t="s">
        <v>2077</v>
      </c>
      <c r="H222" t="s">
        <v>152</v>
      </c>
      <c r="I222" t="s">
        <v>98</v>
      </c>
      <c r="J222" t="s">
        <v>5519</v>
      </c>
      <c r="K222" t="s">
        <v>100</v>
      </c>
      <c r="L222">
        <v>1289487</v>
      </c>
      <c r="M222">
        <v>1289487</v>
      </c>
      <c r="N222">
        <v>0</v>
      </c>
      <c r="O222">
        <v>0</v>
      </c>
      <c r="Q222">
        <v>1289487</v>
      </c>
      <c r="R222">
        <v>841</v>
      </c>
      <c r="S222" t="s">
        <v>5520</v>
      </c>
      <c r="T222">
        <v>0</v>
      </c>
      <c r="U222">
        <v>0</v>
      </c>
      <c r="W222" t="s">
        <v>102</v>
      </c>
      <c r="X222" t="s">
        <v>103</v>
      </c>
      <c r="Y222" t="s">
        <v>155</v>
      </c>
      <c r="AA222" t="s">
        <v>125</v>
      </c>
      <c r="AB222" t="s">
        <v>5521</v>
      </c>
      <c r="AC222" t="s">
        <v>892</v>
      </c>
      <c r="AD222" t="s">
        <v>5521</v>
      </c>
      <c r="AE222" t="s">
        <v>437</v>
      </c>
      <c r="AF222" t="s">
        <v>5521</v>
      </c>
      <c r="AG222" t="s">
        <v>160</v>
      </c>
      <c r="AH222" t="s">
        <v>5521</v>
      </c>
      <c r="AI222" t="s">
        <v>102</v>
      </c>
      <c r="AJ222" t="s">
        <v>1760</v>
      </c>
      <c r="AK222" t="s">
        <v>5522</v>
      </c>
      <c r="AL222" t="s">
        <v>5523</v>
      </c>
      <c r="AM222" t="s">
        <v>5524</v>
      </c>
      <c r="AN222" t="s">
        <v>5525</v>
      </c>
      <c r="AO222" t="s">
        <v>5526</v>
      </c>
      <c r="AP222" t="s">
        <v>5526</v>
      </c>
      <c r="AU222" t="s">
        <v>102</v>
      </c>
      <c r="AW222" t="s">
        <v>155</v>
      </c>
      <c r="AX222" t="s">
        <v>119</v>
      </c>
      <c r="AY222" t="s">
        <v>170</v>
      </c>
      <c r="AZ222" t="s">
        <v>118</v>
      </c>
      <c r="BB222" t="s">
        <v>209</v>
      </c>
      <c r="BC222" t="s">
        <v>5527</v>
      </c>
      <c r="BD222" t="s">
        <v>4404</v>
      </c>
      <c r="BE222" t="s">
        <v>174</v>
      </c>
      <c r="BF222" t="s">
        <v>4405</v>
      </c>
      <c r="BG222" t="s">
        <v>124</v>
      </c>
      <c r="BH222" t="s">
        <v>365</v>
      </c>
      <c r="BI222" t="s">
        <v>126</v>
      </c>
      <c r="BJ222" t="s">
        <v>127</v>
      </c>
      <c r="BK222" t="s">
        <v>5528</v>
      </c>
      <c r="BL222" t="s">
        <v>5529</v>
      </c>
      <c r="BM222" t="s">
        <v>5530</v>
      </c>
      <c r="BN222" t="s">
        <v>2077</v>
      </c>
      <c r="BO222" t="s">
        <v>5531</v>
      </c>
      <c r="BP222" t="s">
        <v>180</v>
      </c>
      <c r="BQ222" t="s">
        <v>5532</v>
      </c>
      <c r="BR222" t="s">
        <v>5533</v>
      </c>
      <c r="BS222" t="s">
        <v>4413</v>
      </c>
      <c r="BT222" t="s">
        <v>5534</v>
      </c>
      <c r="BU222" t="s">
        <v>5535</v>
      </c>
      <c r="BV222" t="s">
        <v>5536</v>
      </c>
      <c r="BX222" t="s">
        <v>5537</v>
      </c>
      <c r="BY222" t="s">
        <v>5538</v>
      </c>
      <c r="BZ222" t="s">
        <v>5539</v>
      </c>
      <c r="CA222" t="s">
        <v>5540</v>
      </c>
      <c r="CB222" t="s">
        <v>5537</v>
      </c>
      <c r="CC222" t="s">
        <v>5538</v>
      </c>
      <c r="CD222" t="s">
        <v>5540</v>
      </c>
      <c r="CE222" t="s">
        <v>5537</v>
      </c>
      <c r="CF222" t="s">
        <v>5538</v>
      </c>
      <c r="CG222" t="s">
        <v>5541</v>
      </c>
      <c r="CH222" t="s">
        <v>5542</v>
      </c>
      <c r="CJ222" t="s">
        <v>5543</v>
      </c>
      <c r="CK222" t="s">
        <v>5542</v>
      </c>
      <c r="CL222" t="s">
        <v>5527</v>
      </c>
      <c r="CM222" t="s">
        <v>4404</v>
      </c>
      <c r="CN222" t="s">
        <v>5543</v>
      </c>
      <c r="CO222" t="s">
        <v>5544</v>
      </c>
      <c r="CP222" t="s">
        <v>5542</v>
      </c>
      <c r="CQ222" t="s">
        <v>5542</v>
      </c>
    </row>
    <row r="223" spans="1:95">
      <c r="A223" t="s">
        <v>337</v>
      </c>
      <c r="B223">
        <v>3328278</v>
      </c>
      <c r="C223" t="s">
        <v>5545</v>
      </c>
      <c r="D223" t="str">
        <f>VLOOKUP(B223,'2025'!B:C,2,0)</f>
        <v>Lopamudra Das</v>
      </c>
      <c r="F223" t="s">
        <v>95</v>
      </c>
      <c r="G223" t="s">
        <v>977</v>
      </c>
      <c r="H223" t="s">
        <v>152</v>
      </c>
      <c r="I223" t="s">
        <v>98</v>
      </c>
      <c r="J223" t="s">
        <v>5546</v>
      </c>
      <c r="K223" t="s">
        <v>100</v>
      </c>
      <c r="L223">
        <v>236380</v>
      </c>
      <c r="M223">
        <v>236380</v>
      </c>
      <c r="N223">
        <v>0</v>
      </c>
      <c r="O223">
        <v>0</v>
      </c>
      <c r="Q223">
        <v>236380</v>
      </c>
      <c r="R223">
        <v>394</v>
      </c>
      <c r="S223" t="s">
        <v>310</v>
      </c>
      <c r="T223">
        <v>0</v>
      </c>
      <c r="U223">
        <v>0</v>
      </c>
      <c r="W223" t="s">
        <v>102</v>
      </c>
      <c r="X223" t="s">
        <v>103</v>
      </c>
      <c r="Y223" t="s">
        <v>155</v>
      </c>
      <c r="AA223" t="s">
        <v>1164</v>
      </c>
      <c r="AB223" t="s">
        <v>5547</v>
      </c>
      <c r="AC223" t="s">
        <v>648</v>
      </c>
      <c r="AD223" t="s">
        <v>5547</v>
      </c>
      <c r="AE223" t="s">
        <v>685</v>
      </c>
      <c r="AF223" t="s">
        <v>5547</v>
      </c>
      <c r="AG223" t="s">
        <v>160</v>
      </c>
      <c r="AH223" t="s">
        <v>5547</v>
      </c>
      <c r="AI223" t="s">
        <v>102</v>
      </c>
      <c r="AJ223" t="s">
        <v>1164</v>
      </c>
      <c r="AK223" t="s">
        <v>5548</v>
      </c>
      <c r="AL223" t="s">
        <v>5549</v>
      </c>
      <c r="AM223" t="s">
        <v>5550</v>
      </c>
      <c r="AN223" t="s">
        <v>5551</v>
      </c>
      <c r="AO223" t="s">
        <v>5552</v>
      </c>
      <c r="AP223" t="s">
        <v>5552</v>
      </c>
      <c r="AU223" t="s">
        <v>102</v>
      </c>
      <c r="AW223" t="s">
        <v>104</v>
      </c>
      <c r="AX223" t="s">
        <v>119</v>
      </c>
      <c r="AY223" t="s">
        <v>170</v>
      </c>
      <c r="AZ223" t="s">
        <v>118</v>
      </c>
      <c r="BB223" t="s">
        <v>120</v>
      </c>
      <c r="BC223" t="s">
        <v>5553</v>
      </c>
      <c r="BD223" t="s">
        <v>1171</v>
      </c>
      <c r="BE223" t="s">
        <v>174</v>
      </c>
      <c r="BF223" t="s">
        <v>1172</v>
      </c>
      <c r="BG223" t="s">
        <v>124</v>
      </c>
      <c r="BH223" t="s">
        <v>232</v>
      </c>
      <c r="BI223" t="s">
        <v>126</v>
      </c>
      <c r="BJ223" t="s">
        <v>127</v>
      </c>
      <c r="BK223" t="s">
        <v>5554</v>
      </c>
      <c r="BL223" t="s">
        <v>5555</v>
      </c>
      <c r="BM223" t="s">
        <v>5556</v>
      </c>
      <c r="BN223" t="s">
        <v>977</v>
      </c>
      <c r="BO223" t="s">
        <v>5557</v>
      </c>
      <c r="BP223" t="s">
        <v>180</v>
      </c>
      <c r="BQ223" t="s">
        <v>5558</v>
      </c>
      <c r="BR223" t="s">
        <v>5559</v>
      </c>
      <c r="BS223" t="s">
        <v>5560</v>
      </c>
      <c r="BU223" t="s">
        <v>5561</v>
      </c>
      <c r="BV223" t="s">
        <v>5562</v>
      </c>
      <c r="BW223" t="s">
        <v>138</v>
      </c>
      <c r="BX223" t="s">
        <v>5563</v>
      </c>
      <c r="BY223" t="s">
        <v>5564</v>
      </c>
      <c r="BZ223" t="s">
        <v>5563</v>
      </c>
      <c r="CG223" t="s">
        <v>5565</v>
      </c>
      <c r="CH223" t="s">
        <v>5566</v>
      </c>
      <c r="CJ223" t="s">
        <v>5567</v>
      </c>
      <c r="CK223" t="s">
        <v>5566</v>
      </c>
      <c r="CL223" t="s">
        <v>5553</v>
      </c>
      <c r="CM223" t="s">
        <v>1171</v>
      </c>
      <c r="CN223" t="s">
        <v>5567</v>
      </c>
      <c r="CP223" t="s">
        <v>5566</v>
      </c>
      <c r="CQ223" t="s">
        <v>5566</v>
      </c>
    </row>
    <row r="224" spans="1:95">
      <c r="A224" t="s">
        <v>337</v>
      </c>
      <c r="B224">
        <v>3337294</v>
      </c>
      <c r="C224" t="s">
        <v>5568</v>
      </c>
      <c r="E224" s="4" t="s">
        <v>17377</v>
      </c>
      <c r="F224" t="s">
        <v>95</v>
      </c>
      <c r="G224" t="s">
        <v>3973</v>
      </c>
      <c r="H224" t="s">
        <v>152</v>
      </c>
      <c r="I224" t="s">
        <v>98</v>
      </c>
      <c r="J224" t="s">
        <v>5569</v>
      </c>
      <c r="K224" t="s">
        <v>100</v>
      </c>
      <c r="L224">
        <v>0</v>
      </c>
      <c r="M224">
        <v>0</v>
      </c>
      <c r="N224">
        <v>0</v>
      </c>
      <c r="O224">
        <v>0</v>
      </c>
      <c r="Q224">
        <v>0</v>
      </c>
      <c r="R224">
        <v>243</v>
      </c>
      <c r="S224" t="s">
        <v>102</v>
      </c>
      <c r="T224">
        <v>0</v>
      </c>
      <c r="U224">
        <v>0</v>
      </c>
      <c r="W224" t="s">
        <v>102</v>
      </c>
      <c r="X224" t="s">
        <v>275</v>
      </c>
      <c r="Z224" t="s">
        <v>4946</v>
      </c>
      <c r="AA224" t="s">
        <v>109</v>
      </c>
      <c r="AB224" t="s">
        <v>102</v>
      </c>
      <c r="AC224" t="s">
        <v>109</v>
      </c>
      <c r="AD224" t="s">
        <v>102</v>
      </c>
      <c r="AE224" t="s">
        <v>109</v>
      </c>
      <c r="AF224" t="s">
        <v>102</v>
      </c>
      <c r="AG224" t="s">
        <v>109</v>
      </c>
      <c r="AH224" t="s">
        <v>102</v>
      </c>
      <c r="AI224" t="s">
        <v>102</v>
      </c>
      <c r="AL224" t="s">
        <v>102</v>
      </c>
      <c r="AM224" t="s">
        <v>102</v>
      </c>
      <c r="AN224" t="s">
        <v>102</v>
      </c>
      <c r="AO224" t="s">
        <v>115</v>
      </c>
      <c r="AP224" t="s">
        <v>115</v>
      </c>
      <c r="AU224" t="s">
        <v>102</v>
      </c>
      <c r="AW224" t="s">
        <v>104</v>
      </c>
      <c r="AX224" t="s">
        <v>447</v>
      </c>
      <c r="AY224" t="s">
        <v>170</v>
      </c>
      <c r="AZ224" t="s">
        <v>118</v>
      </c>
      <c r="BB224" t="s">
        <v>120</v>
      </c>
      <c r="BC224" t="s">
        <v>5570</v>
      </c>
      <c r="BD224" t="s">
        <v>449</v>
      </c>
      <c r="BE224" t="s">
        <v>122</v>
      </c>
      <c r="BF224" t="s">
        <v>253</v>
      </c>
      <c r="BG224" t="s">
        <v>124</v>
      </c>
      <c r="BH224" t="s">
        <v>4946</v>
      </c>
      <c r="BI224" t="s">
        <v>126</v>
      </c>
      <c r="BJ224" t="s">
        <v>127</v>
      </c>
      <c r="BK224" t="s">
        <v>5571</v>
      </c>
      <c r="BL224" t="s">
        <v>5572</v>
      </c>
      <c r="BM224" t="s">
        <v>5573</v>
      </c>
      <c r="BN224" t="s">
        <v>3973</v>
      </c>
      <c r="BO224" t="s">
        <v>3243</v>
      </c>
      <c r="BP224" t="s">
        <v>505</v>
      </c>
      <c r="BQ224" t="s">
        <v>3244</v>
      </c>
      <c r="BR224" t="s">
        <v>3245</v>
      </c>
      <c r="BS224" t="s">
        <v>3246</v>
      </c>
      <c r="BT224" t="s">
        <v>5574</v>
      </c>
      <c r="BU224" t="s">
        <v>5575</v>
      </c>
      <c r="BV224" t="s">
        <v>5576</v>
      </c>
      <c r="BX224" t="s">
        <v>225</v>
      </c>
      <c r="BY224" t="s">
        <v>5577</v>
      </c>
      <c r="BZ224" t="s">
        <v>5578</v>
      </c>
      <c r="CA224" t="s">
        <v>5579</v>
      </c>
      <c r="CB224" t="s">
        <v>5578</v>
      </c>
      <c r="CC224" t="s">
        <v>5580</v>
      </c>
      <c r="CD224" t="s">
        <v>5579</v>
      </c>
      <c r="CE224" t="s">
        <v>5578</v>
      </c>
      <c r="CF224" t="s">
        <v>5580</v>
      </c>
      <c r="CG224" t="s">
        <v>5581</v>
      </c>
      <c r="CH224" t="s">
        <v>5582</v>
      </c>
      <c r="CJ224" t="s">
        <v>5583</v>
      </c>
      <c r="CK224" t="s">
        <v>5582</v>
      </c>
      <c r="CL224" t="s">
        <v>5570</v>
      </c>
      <c r="CM224" t="s">
        <v>449</v>
      </c>
      <c r="CN224" t="s">
        <v>5583</v>
      </c>
      <c r="CP224" t="s">
        <v>5582</v>
      </c>
      <c r="CQ224" t="s">
        <v>5582</v>
      </c>
    </row>
    <row r="225" spans="1:95">
      <c r="A225" t="s">
        <v>149</v>
      </c>
      <c r="B225">
        <v>3347570</v>
      </c>
      <c r="C225" t="s">
        <v>5584</v>
      </c>
      <c r="F225" t="s">
        <v>95</v>
      </c>
      <c r="G225" t="s">
        <v>192</v>
      </c>
      <c r="H225" t="s">
        <v>193</v>
      </c>
      <c r="I225" t="s">
        <v>98</v>
      </c>
      <c r="J225" t="s">
        <v>5585</v>
      </c>
      <c r="K225" t="s">
        <v>100</v>
      </c>
      <c r="L225">
        <v>430604</v>
      </c>
      <c r="M225">
        <v>478392</v>
      </c>
      <c r="N225">
        <v>165114</v>
      </c>
      <c r="O225">
        <v>531</v>
      </c>
      <c r="P225" t="s">
        <v>195</v>
      </c>
      <c r="Q225">
        <v>0</v>
      </c>
      <c r="R225">
        <v>0</v>
      </c>
      <c r="T225">
        <v>265490</v>
      </c>
      <c r="U225">
        <v>522</v>
      </c>
      <c r="V225" t="s">
        <v>196</v>
      </c>
      <c r="W225" t="s">
        <v>102</v>
      </c>
      <c r="X225" t="s">
        <v>103</v>
      </c>
      <c r="Y225" t="s">
        <v>104</v>
      </c>
      <c r="AA225" t="s">
        <v>197</v>
      </c>
      <c r="AB225" t="s">
        <v>5586</v>
      </c>
      <c r="AC225" t="s">
        <v>199</v>
      </c>
      <c r="AD225" t="s">
        <v>5586</v>
      </c>
      <c r="AE225" t="s">
        <v>109</v>
      </c>
      <c r="AF225" t="s">
        <v>102</v>
      </c>
      <c r="AG225" t="s">
        <v>109</v>
      </c>
      <c r="AH225" t="s">
        <v>102</v>
      </c>
      <c r="AI225" t="s">
        <v>5587</v>
      </c>
      <c r="AJ225" t="s">
        <v>201</v>
      </c>
      <c r="AK225" t="s">
        <v>202</v>
      </c>
      <c r="AL225" t="s">
        <v>5588</v>
      </c>
      <c r="AM225" t="s">
        <v>5589</v>
      </c>
      <c r="AN225" t="s">
        <v>5590</v>
      </c>
      <c r="AO225" t="s">
        <v>206</v>
      </c>
      <c r="AP225" t="s">
        <v>206</v>
      </c>
      <c r="AU225" t="s">
        <v>207</v>
      </c>
      <c r="AV225" t="s">
        <v>118</v>
      </c>
      <c r="AW225" t="s">
        <v>102</v>
      </c>
      <c r="AX225" t="s">
        <v>119</v>
      </c>
      <c r="BA225" t="s">
        <v>250</v>
      </c>
      <c r="BB225" t="s">
        <v>120</v>
      </c>
      <c r="BC225" t="s">
        <v>5591</v>
      </c>
      <c r="BD225" t="s">
        <v>211</v>
      </c>
      <c r="BE225" t="s">
        <v>212</v>
      </c>
      <c r="BF225" t="s">
        <v>213</v>
      </c>
      <c r="BG225" t="s">
        <v>124</v>
      </c>
      <c r="BH225" t="s">
        <v>214</v>
      </c>
      <c r="BI225" t="s">
        <v>215</v>
      </c>
      <c r="BJ225" t="s">
        <v>127</v>
      </c>
      <c r="BK225" t="s">
        <v>5592</v>
      </c>
      <c r="BL225" t="s">
        <v>5593</v>
      </c>
      <c r="BM225" t="s">
        <v>5594</v>
      </c>
      <c r="BN225" t="s">
        <v>192</v>
      </c>
      <c r="BO225" t="s">
        <v>219</v>
      </c>
      <c r="BP225" t="s">
        <v>180</v>
      </c>
      <c r="BQ225" t="s">
        <v>220</v>
      </c>
      <c r="BR225" t="s">
        <v>221</v>
      </c>
      <c r="BS225" t="s">
        <v>222</v>
      </c>
      <c r="BU225" t="s">
        <v>5595</v>
      </c>
      <c r="BV225" t="s">
        <v>224</v>
      </c>
      <c r="BX225" t="s">
        <v>225</v>
      </c>
      <c r="BY225" t="s">
        <v>226</v>
      </c>
      <c r="BZ225" t="s">
        <v>5596</v>
      </c>
      <c r="CG225" t="s">
        <v>102</v>
      </c>
      <c r="CH225" t="s">
        <v>5597</v>
      </c>
      <c r="CJ225" t="s">
        <v>5598</v>
      </c>
      <c r="CK225" t="s">
        <v>5597</v>
      </c>
      <c r="CL225" t="s">
        <v>5591</v>
      </c>
      <c r="CM225" t="s">
        <v>211</v>
      </c>
      <c r="CN225" t="s">
        <v>5598</v>
      </c>
      <c r="CO225" t="s">
        <v>230</v>
      </c>
      <c r="CP225" t="s">
        <v>5597</v>
      </c>
      <c r="CQ225" t="s">
        <v>5597</v>
      </c>
    </row>
    <row r="226" spans="1:95">
      <c r="A226" t="s">
        <v>149</v>
      </c>
      <c r="B226">
        <v>3347647</v>
      </c>
      <c r="C226" t="s">
        <v>5599</v>
      </c>
      <c r="F226" t="s">
        <v>95</v>
      </c>
      <c r="G226" t="s">
        <v>192</v>
      </c>
      <c r="H226" t="s">
        <v>193</v>
      </c>
      <c r="I226" t="s">
        <v>98</v>
      </c>
      <c r="J226" t="s">
        <v>5600</v>
      </c>
      <c r="K226" t="s">
        <v>100</v>
      </c>
      <c r="L226">
        <v>520924</v>
      </c>
      <c r="M226">
        <v>579149</v>
      </c>
      <c r="N226">
        <v>197453</v>
      </c>
      <c r="O226">
        <v>635</v>
      </c>
      <c r="P226" t="s">
        <v>195</v>
      </c>
      <c r="Q226">
        <v>0</v>
      </c>
      <c r="R226">
        <v>0</v>
      </c>
      <c r="T226">
        <v>323471</v>
      </c>
      <c r="U226">
        <v>636</v>
      </c>
      <c r="V226" t="s">
        <v>196</v>
      </c>
      <c r="W226" t="s">
        <v>102</v>
      </c>
      <c r="X226" t="s">
        <v>103</v>
      </c>
      <c r="Y226" t="s">
        <v>104</v>
      </c>
      <c r="AA226" t="s">
        <v>197</v>
      </c>
      <c r="AB226" t="s">
        <v>5601</v>
      </c>
      <c r="AC226" t="s">
        <v>199</v>
      </c>
      <c r="AD226" t="s">
        <v>5601</v>
      </c>
      <c r="AE226" t="s">
        <v>109</v>
      </c>
      <c r="AF226" t="s">
        <v>102</v>
      </c>
      <c r="AG226" t="s">
        <v>109</v>
      </c>
      <c r="AH226" t="s">
        <v>102</v>
      </c>
      <c r="AI226" t="s">
        <v>5602</v>
      </c>
      <c r="AJ226" t="s">
        <v>201</v>
      </c>
      <c r="AK226" t="s">
        <v>202</v>
      </c>
      <c r="AL226" t="s">
        <v>5603</v>
      </c>
      <c r="AM226" t="s">
        <v>5604</v>
      </c>
      <c r="AN226" t="s">
        <v>5605</v>
      </c>
      <c r="AO226" t="s">
        <v>206</v>
      </c>
      <c r="AP226" t="s">
        <v>206</v>
      </c>
      <c r="AU226" t="s">
        <v>207</v>
      </c>
      <c r="AV226" t="s">
        <v>118</v>
      </c>
      <c r="AW226" t="s">
        <v>102</v>
      </c>
      <c r="AX226" t="s">
        <v>119</v>
      </c>
      <c r="BA226" t="s">
        <v>250</v>
      </c>
      <c r="BB226" t="s">
        <v>120</v>
      </c>
      <c r="BC226" t="s">
        <v>5606</v>
      </c>
      <c r="BD226" t="s">
        <v>211</v>
      </c>
      <c r="BE226" t="s">
        <v>212</v>
      </c>
      <c r="BF226" t="s">
        <v>213</v>
      </c>
      <c r="BG226" t="s">
        <v>124</v>
      </c>
      <c r="BH226" t="s">
        <v>214</v>
      </c>
      <c r="BI226" t="s">
        <v>215</v>
      </c>
      <c r="BJ226" t="s">
        <v>127</v>
      </c>
      <c r="BK226" t="s">
        <v>5607</v>
      </c>
      <c r="BL226" t="s">
        <v>5608</v>
      </c>
      <c r="BM226" t="s">
        <v>5609</v>
      </c>
      <c r="BN226" t="s">
        <v>192</v>
      </c>
      <c r="BO226" t="s">
        <v>219</v>
      </c>
      <c r="BP226" t="s">
        <v>180</v>
      </c>
      <c r="BQ226" t="s">
        <v>220</v>
      </c>
      <c r="BR226" t="s">
        <v>221</v>
      </c>
      <c r="BS226" t="s">
        <v>222</v>
      </c>
      <c r="BU226" t="s">
        <v>5610</v>
      </c>
      <c r="BV226" t="s">
        <v>224</v>
      </c>
      <c r="BX226" t="s">
        <v>225</v>
      </c>
      <c r="BY226" t="s">
        <v>226</v>
      </c>
      <c r="BZ226" t="s">
        <v>5611</v>
      </c>
      <c r="CG226" t="s">
        <v>102</v>
      </c>
      <c r="CH226" t="s">
        <v>5612</v>
      </c>
      <c r="CJ226" t="s">
        <v>5613</v>
      </c>
      <c r="CK226" t="s">
        <v>5612</v>
      </c>
      <c r="CL226" t="s">
        <v>5606</v>
      </c>
      <c r="CM226" t="s">
        <v>211</v>
      </c>
      <c r="CN226" t="s">
        <v>5613</v>
      </c>
      <c r="CO226" t="s">
        <v>230</v>
      </c>
      <c r="CP226" t="s">
        <v>5612</v>
      </c>
      <c r="CQ226" t="s">
        <v>5612</v>
      </c>
    </row>
    <row r="227" spans="1:95">
      <c r="A227" t="s">
        <v>149</v>
      </c>
      <c r="B227">
        <v>3347753</v>
      </c>
      <c r="C227" t="s">
        <v>5614</v>
      </c>
      <c r="F227" t="s">
        <v>95</v>
      </c>
      <c r="G227" t="s">
        <v>5615</v>
      </c>
      <c r="H227" t="s">
        <v>193</v>
      </c>
      <c r="I227" t="s">
        <v>98</v>
      </c>
      <c r="J227" t="s">
        <v>5616</v>
      </c>
      <c r="K227" t="s">
        <v>100</v>
      </c>
      <c r="L227">
        <v>620938</v>
      </c>
      <c r="M227">
        <v>690057</v>
      </c>
      <c r="N227">
        <v>236944</v>
      </c>
      <c r="O227">
        <v>762</v>
      </c>
      <c r="P227" t="s">
        <v>195</v>
      </c>
      <c r="Q227">
        <v>0</v>
      </c>
      <c r="R227">
        <v>0</v>
      </c>
      <c r="T227">
        <v>383994</v>
      </c>
      <c r="U227">
        <v>755</v>
      </c>
      <c r="V227" t="s">
        <v>196</v>
      </c>
      <c r="W227" t="s">
        <v>102</v>
      </c>
      <c r="X227" t="s">
        <v>103</v>
      </c>
      <c r="Y227" t="s">
        <v>104</v>
      </c>
      <c r="AA227" t="s">
        <v>197</v>
      </c>
      <c r="AB227" t="s">
        <v>5617</v>
      </c>
      <c r="AC227" t="s">
        <v>199</v>
      </c>
      <c r="AD227" t="s">
        <v>5617</v>
      </c>
      <c r="AE227" t="s">
        <v>109</v>
      </c>
      <c r="AF227" t="s">
        <v>102</v>
      </c>
      <c r="AG227" t="s">
        <v>109</v>
      </c>
      <c r="AH227" t="s">
        <v>102</v>
      </c>
      <c r="AI227" t="s">
        <v>5618</v>
      </c>
      <c r="AJ227" t="s">
        <v>201</v>
      </c>
      <c r="AK227" t="s">
        <v>202</v>
      </c>
      <c r="AL227" t="s">
        <v>5619</v>
      </c>
      <c r="AM227" t="s">
        <v>5620</v>
      </c>
      <c r="AN227" t="s">
        <v>5621</v>
      </c>
      <c r="AO227" t="s">
        <v>206</v>
      </c>
      <c r="AP227" t="s">
        <v>206</v>
      </c>
      <c r="AU227" t="s">
        <v>207</v>
      </c>
      <c r="AV227" t="s">
        <v>118</v>
      </c>
      <c r="AW227" t="s">
        <v>102</v>
      </c>
      <c r="AX227" t="s">
        <v>119</v>
      </c>
      <c r="BA227" t="s">
        <v>250</v>
      </c>
      <c r="BB227" t="s">
        <v>120</v>
      </c>
      <c r="BC227" t="s">
        <v>5622</v>
      </c>
      <c r="BD227" t="s">
        <v>211</v>
      </c>
      <c r="BE227" t="s">
        <v>212</v>
      </c>
      <c r="BF227" t="s">
        <v>213</v>
      </c>
      <c r="BG227" t="s">
        <v>124</v>
      </c>
      <c r="BH227" t="s">
        <v>214</v>
      </c>
      <c r="BI227" t="s">
        <v>215</v>
      </c>
      <c r="BJ227" t="s">
        <v>127</v>
      </c>
      <c r="BK227" t="s">
        <v>5623</v>
      </c>
      <c r="BL227" t="s">
        <v>5624</v>
      </c>
      <c r="BM227" t="s">
        <v>5625</v>
      </c>
      <c r="BN227" t="s">
        <v>5615</v>
      </c>
      <c r="BO227" t="s">
        <v>219</v>
      </c>
      <c r="BP227" t="s">
        <v>180</v>
      </c>
      <c r="BQ227" t="s">
        <v>220</v>
      </c>
      <c r="BR227" t="s">
        <v>221</v>
      </c>
      <c r="BS227" t="s">
        <v>222</v>
      </c>
      <c r="BU227" t="s">
        <v>5626</v>
      </c>
      <c r="BV227" t="s">
        <v>224</v>
      </c>
      <c r="BX227" t="s">
        <v>225</v>
      </c>
      <c r="BY227" t="s">
        <v>226</v>
      </c>
      <c r="BZ227" t="s">
        <v>5627</v>
      </c>
      <c r="CG227" t="s">
        <v>102</v>
      </c>
      <c r="CH227" t="s">
        <v>5628</v>
      </c>
      <c r="CJ227" t="s">
        <v>5629</v>
      </c>
      <c r="CK227" t="s">
        <v>5628</v>
      </c>
      <c r="CL227" t="s">
        <v>5622</v>
      </c>
      <c r="CM227" t="s">
        <v>211</v>
      </c>
      <c r="CN227" t="s">
        <v>5629</v>
      </c>
      <c r="CO227" t="s">
        <v>230</v>
      </c>
      <c r="CP227" t="s">
        <v>5628</v>
      </c>
      <c r="CQ227" t="s">
        <v>5628</v>
      </c>
    </row>
    <row r="228" spans="1:95">
      <c r="A228" t="s">
        <v>149</v>
      </c>
      <c r="B228">
        <v>3347883</v>
      </c>
      <c r="C228" t="s">
        <v>5630</v>
      </c>
      <c r="F228" t="s">
        <v>95</v>
      </c>
      <c r="G228" t="s">
        <v>192</v>
      </c>
      <c r="H228" t="s">
        <v>193</v>
      </c>
      <c r="I228" t="s">
        <v>98</v>
      </c>
      <c r="J228" t="s">
        <v>5631</v>
      </c>
      <c r="K228" t="s">
        <v>100</v>
      </c>
      <c r="L228">
        <v>461094</v>
      </c>
      <c r="M228">
        <v>513643</v>
      </c>
      <c r="N228">
        <v>169157</v>
      </c>
      <c r="O228">
        <v>544</v>
      </c>
      <c r="P228" t="s">
        <v>195</v>
      </c>
      <c r="Q228">
        <v>0</v>
      </c>
      <c r="R228">
        <v>0</v>
      </c>
      <c r="T228">
        <v>291937</v>
      </c>
      <c r="U228">
        <v>574</v>
      </c>
      <c r="V228" t="s">
        <v>196</v>
      </c>
      <c r="W228" t="s">
        <v>102</v>
      </c>
      <c r="X228" t="s">
        <v>103</v>
      </c>
      <c r="Y228" t="s">
        <v>104</v>
      </c>
      <c r="AA228" t="s">
        <v>197</v>
      </c>
      <c r="AB228" t="s">
        <v>5632</v>
      </c>
      <c r="AC228" t="s">
        <v>199</v>
      </c>
      <c r="AD228" t="s">
        <v>5632</v>
      </c>
      <c r="AE228" t="s">
        <v>109</v>
      </c>
      <c r="AF228" t="s">
        <v>102</v>
      </c>
      <c r="AG228" t="s">
        <v>109</v>
      </c>
      <c r="AH228" t="s">
        <v>102</v>
      </c>
      <c r="AI228" t="s">
        <v>5633</v>
      </c>
      <c r="AJ228" t="s">
        <v>201</v>
      </c>
      <c r="AK228" t="s">
        <v>202</v>
      </c>
      <c r="AL228" t="s">
        <v>5634</v>
      </c>
      <c r="AM228" t="s">
        <v>5635</v>
      </c>
      <c r="AN228" t="s">
        <v>5636</v>
      </c>
      <c r="AO228" t="s">
        <v>206</v>
      </c>
      <c r="AP228" t="s">
        <v>206</v>
      </c>
      <c r="AU228" t="s">
        <v>207</v>
      </c>
      <c r="AV228" t="s">
        <v>118</v>
      </c>
      <c r="AW228" t="s">
        <v>102</v>
      </c>
      <c r="AX228" t="s">
        <v>119</v>
      </c>
      <c r="BA228" t="s">
        <v>208</v>
      </c>
      <c r="BB228" t="s">
        <v>209</v>
      </c>
      <c r="BC228" t="s">
        <v>5637</v>
      </c>
      <c r="BD228" t="s">
        <v>211</v>
      </c>
      <c r="BE228" t="s">
        <v>212</v>
      </c>
      <c r="BF228" t="s">
        <v>213</v>
      </c>
      <c r="BG228" t="s">
        <v>124</v>
      </c>
      <c r="BH228" t="s">
        <v>214</v>
      </c>
      <c r="BI228" t="s">
        <v>215</v>
      </c>
      <c r="BJ228" t="s">
        <v>127</v>
      </c>
      <c r="BK228" t="s">
        <v>5638</v>
      </c>
      <c r="BL228" t="s">
        <v>5639</v>
      </c>
      <c r="BM228" t="s">
        <v>5640</v>
      </c>
      <c r="BN228" t="s">
        <v>192</v>
      </c>
      <c r="BO228" t="s">
        <v>219</v>
      </c>
      <c r="BP228" t="s">
        <v>180</v>
      </c>
      <c r="BQ228" t="s">
        <v>220</v>
      </c>
      <c r="BR228" t="s">
        <v>221</v>
      </c>
      <c r="BS228" t="s">
        <v>222</v>
      </c>
      <c r="BU228" t="s">
        <v>5641</v>
      </c>
      <c r="BV228" t="s">
        <v>224</v>
      </c>
      <c r="BX228" t="s">
        <v>225</v>
      </c>
      <c r="BY228" t="s">
        <v>226</v>
      </c>
      <c r="BZ228" t="s">
        <v>5642</v>
      </c>
      <c r="CG228" t="s">
        <v>102</v>
      </c>
      <c r="CH228" t="s">
        <v>5643</v>
      </c>
      <c r="CJ228" t="s">
        <v>5644</v>
      </c>
      <c r="CK228" t="s">
        <v>5643</v>
      </c>
      <c r="CL228" t="s">
        <v>5637</v>
      </c>
      <c r="CM228" t="s">
        <v>211</v>
      </c>
      <c r="CN228" t="s">
        <v>5644</v>
      </c>
      <c r="CO228" t="s">
        <v>230</v>
      </c>
      <c r="CP228" t="s">
        <v>5643</v>
      </c>
      <c r="CQ228" t="s">
        <v>5643</v>
      </c>
    </row>
    <row r="229" spans="1:95">
      <c r="A229" t="s">
        <v>149</v>
      </c>
      <c r="B229">
        <v>3347997</v>
      </c>
      <c r="C229" t="s">
        <v>5645</v>
      </c>
      <c r="F229" t="s">
        <v>95</v>
      </c>
      <c r="G229" t="s">
        <v>856</v>
      </c>
      <c r="H229" t="s">
        <v>848</v>
      </c>
      <c r="I229" t="s">
        <v>98</v>
      </c>
      <c r="J229" t="s">
        <v>5646</v>
      </c>
      <c r="K229" t="s">
        <v>100</v>
      </c>
      <c r="L229">
        <v>594085</v>
      </c>
      <c r="M229">
        <v>701020</v>
      </c>
      <c r="N229">
        <v>0</v>
      </c>
      <c r="O229">
        <v>0</v>
      </c>
      <c r="Q229">
        <v>0</v>
      </c>
      <c r="R229">
        <v>0</v>
      </c>
      <c r="T229">
        <v>594085</v>
      </c>
      <c r="U229">
        <v>257</v>
      </c>
      <c r="V229" t="s">
        <v>5647</v>
      </c>
      <c r="W229" t="s">
        <v>102</v>
      </c>
      <c r="X229" t="s">
        <v>103</v>
      </c>
      <c r="Y229" t="s">
        <v>398</v>
      </c>
      <c r="AA229" t="s">
        <v>977</v>
      </c>
      <c r="AB229" t="s">
        <v>5648</v>
      </c>
      <c r="AC229" t="s">
        <v>648</v>
      </c>
      <c r="AD229" t="s">
        <v>5649</v>
      </c>
      <c r="AE229" t="s">
        <v>160</v>
      </c>
      <c r="AF229" t="s">
        <v>5648</v>
      </c>
      <c r="AG229" t="s">
        <v>109</v>
      </c>
      <c r="AH229" t="s">
        <v>102</v>
      </c>
      <c r="AI229" t="s">
        <v>5650</v>
      </c>
      <c r="AJ229" t="s">
        <v>1500</v>
      </c>
      <c r="AK229" t="s">
        <v>5651</v>
      </c>
      <c r="AL229" t="s">
        <v>5652</v>
      </c>
      <c r="AM229" t="s">
        <v>5653</v>
      </c>
      <c r="AN229" t="s">
        <v>5654</v>
      </c>
      <c r="AO229" t="s">
        <v>5655</v>
      </c>
      <c r="AP229" t="s">
        <v>5656</v>
      </c>
      <c r="AT229" t="s">
        <v>169</v>
      </c>
      <c r="AU229" t="s">
        <v>102</v>
      </c>
      <c r="AW229" t="s">
        <v>102</v>
      </c>
      <c r="AX229" t="s">
        <v>119</v>
      </c>
      <c r="BA229" t="s">
        <v>250</v>
      </c>
      <c r="BB229" t="s">
        <v>120</v>
      </c>
      <c r="BC229" t="s">
        <v>920</v>
      </c>
      <c r="BD229" t="s">
        <v>211</v>
      </c>
      <c r="BE229" t="s">
        <v>212</v>
      </c>
      <c r="BF229" t="s">
        <v>213</v>
      </c>
      <c r="BG229" t="s">
        <v>124</v>
      </c>
      <c r="BH229" t="s">
        <v>214</v>
      </c>
      <c r="BI229" t="s">
        <v>625</v>
      </c>
      <c r="BJ229" t="s">
        <v>127</v>
      </c>
      <c r="BK229" t="s">
        <v>5657</v>
      </c>
      <c r="BL229" t="s">
        <v>5658</v>
      </c>
      <c r="BM229" t="s">
        <v>5659</v>
      </c>
      <c r="BN229" t="s">
        <v>856</v>
      </c>
      <c r="BO229" t="s">
        <v>219</v>
      </c>
      <c r="BP229" t="s">
        <v>180</v>
      </c>
      <c r="BQ229" t="s">
        <v>220</v>
      </c>
      <c r="BR229" t="s">
        <v>221</v>
      </c>
      <c r="BS229" t="s">
        <v>2151</v>
      </c>
      <c r="BU229" t="s">
        <v>5660</v>
      </c>
      <c r="BV229" t="s">
        <v>5661</v>
      </c>
      <c r="BW229" t="s">
        <v>138</v>
      </c>
      <c r="BX229" t="s">
        <v>5662</v>
      </c>
      <c r="BY229" t="s">
        <v>5663</v>
      </c>
      <c r="BZ229" t="s">
        <v>5662</v>
      </c>
      <c r="CA229" t="s">
        <v>5661</v>
      </c>
      <c r="CB229" t="s">
        <v>5662</v>
      </c>
      <c r="CC229" t="s">
        <v>5663</v>
      </c>
      <c r="CG229" t="s">
        <v>102</v>
      </c>
      <c r="CH229" t="s">
        <v>5664</v>
      </c>
      <c r="CJ229" t="s">
        <v>3690</v>
      </c>
      <c r="CK229" t="s">
        <v>5664</v>
      </c>
      <c r="CL229" t="s">
        <v>920</v>
      </c>
      <c r="CM229" t="s">
        <v>211</v>
      </c>
      <c r="CN229" t="s">
        <v>3690</v>
      </c>
      <c r="CO229" t="s">
        <v>5665</v>
      </c>
      <c r="CP229" t="s">
        <v>5664</v>
      </c>
      <c r="CQ229" t="s">
        <v>5664</v>
      </c>
    </row>
    <row r="230" spans="1:95">
      <c r="A230" t="s">
        <v>149</v>
      </c>
      <c r="B230">
        <v>3362563</v>
      </c>
      <c r="C230" t="s">
        <v>5666</v>
      </c>
      <c r="D230" t="str">
        <f>VLOOKUP(B230,'2025'!B:C,2,0)</f>
        <v>Vaishali</v>
      </c>
      <c r="F230" t="s">
        <v>95</v>
      </c>
      <c r="G230" t="s">
        <v>3901</v>
      </c>
      <c r="H230" t="s">
        <v>2163</v>
      </c>
      <c r="I230" t="s">
        <v>98</v>
      </c>
      <c r="J230" t="s">
        <v>5667</v>
      </c>
      <c r="K230" t="s">
        <v>100</v>
      </c>
      <c r="L230">
        <v>262199</v>
      </c>
      <c r="M230">
        <v>273639</v>
      </c>
      <c r="N230">
        <v>41859</v>
      </c>
      <c r="O230">
        <v>93</v>
      </c>
      <c r="P230" t="s">
        <v>5668</v>
      </c>
      <c r="Q230">
        <v>156782</v>
      </c>
      <c r="R230">
        <v>105</v>
      </c>
      <c r="S230" t="s">
        <v>5669</v>
      </c>
      <c r="T230">
        <v>63558</v>
      </c>
      <c r="U230">
        <v>127</v>
      </c>
      <c r="V230" t="s">
        <v>5670</v>
      </c>
      <c r="W230" t="s">
        <v>102</v>
      </c>
      <c r="X230" t="s">
        <v>103</v>
      </c>
      <c r="Y230" t="s">
        <v>155</v>
      </c>
      <c r="AA230" t="s">
        <v>232</v>
      </c>
      <c r="AB230" t="s">
        <v>5671</v>
      </c>
      <c r="AC230" t="s">
        <v>892</v>
      </c>
      <c r="AD230" t="s">
        <v>5671</v>
      </c>
      <c r="AE230" t="s">
        <v>2719</v>
      </c>
      <c r="AF230" t="s">
        <v>5671</v>
      </c>
      <c r="AG230" t="s">
        <v>160</v>
      </c>
      <c r="AH230" t="s">
        <v>5671</v>
      </c>
      <c r="AI230" t="s">
        <v>102</v>
      </c>
      <c r="AL230" t="s">
        <v>5672</v>
      </c>
      <c r="AM230" t="s">
        <v>102</v>
      </c>
      <c r="AN230" t="s">
        <v>5672</v>
      </c>
      <c r="AO230" t="s">
        <v>5673</v>
      </c>
      <c r="AP230" t="s">
        <v>5674</v>
      </c>
      <c r="AT230" t="s">
        <v>169</v>
      </c>
      <c r="AU230" t="s">
        <v>247</v>
      </c>
      <c r="AV230" t="s">
        <v>118</v>
      </c>
      <c r="AW230" t="s">
        <v>5675</v>
      </c>
      <c r="AX230" t="s">
        <v>119</v>
      </c>
      <c r="AZ230" t="s">
        <v>250</v>
      </c>
      <c r="BA230" t="s">
        <v>250</v>
      </c>
      <c r="BB230" t="s">
        <v>120</v>
      </c>
      <c r="BC230" t="s">
        <v>3854</v>
      </c>
      <c r="BD230" t="s">
        <v>449</v>
      </c>
      <c r="BE230" t="s">
        <v>122</v>
      </c>
      <c r="BF230" t="s">
        <v>450</v>
      </c>
      <c r="BG230" t="s">
        <v>124</v>
      </c>
      <c r="BH230" t="s">
        <v>232</v>
      </c>
      <c r="BI230" t="s">
        <v>126</v>
      </c>
      <c r="BJ230" t="s">
        <v>127</v>
      </c>
      <c r="BK230" t="s">
        <v>5676</v>
      </c>
      <c r="BL230" t="s">
        <v>5677</v>
      </c>
      <c r="BM230" t="s">
        <v>5678</v>
      </c>
      <c r="BN230" t="s">
        <v>3901</v>
      </c>
      <c r="BO230" t="s">
        <v>1108</v>
      </c>
      <c r="BP230" t="s">
        <v>350</v>
      </c>
      <c r="BQ230" t="s">
        <v>1109</v>
      </c>
      <c r="BR230" t="s">
        <v>1110</v>
      </c>
      <c r="BS230" t="s">
        <v>135</v>
      </c>
      <c r="BU230" t="s">
        <v>5679</v>
      </c>
      <c r="BV230" t="s">
        <v>5680</v>
      </c>
      <c r="BX230" t="s">
        <v>5681</v>
      </c>
      <c r="BY230" t="s">
        <v>5682</v>
      </c>
      <c r="BZ230" t="s">
        <v>5683</v>
      </c>
      <c r="CA230" t="s">
        <v>5684</v>
      </c>
      <c r="CB230" t="s">
        <v>5685</v>
      </c>
      <c r="CG230" t="s">
        <v>102</v>
      </c>
      <c r="CH230" t="s">
        <v>5686</v>
      </c>
      <c r="CJ230" t="s">
        <v>4271</v>
      </c>
      <c r="CK230" t="s">
        <v>5686</v>
      </c>
      <c r="CL230" t="s">
        <v>3854</v>
      </c>
      <c r="CM230" t="s">
        <v>449</v>
      </c>
      <c r="CN230" t="s">
        <v>4271</v>
      </c>
      <c r="CO230" t="s">
        <v>5687</v>
      </c>
      <c r="CP230" t="s">
        <v>5686</v>
      </c>
      <c r="CQ230" t="s">
        <v>5686</v>
      </c>
    </row>
    <row r="231" spans="1:95">
      <c r="A231" t="s">
        <v>93</v>
      </c>
      <c r="B231">
        <v>3368257</v>
      </c>
      <c r="C231" t="s">
        <v>5688</v>
      </c>
      <c r="F231" t="s">
        <v>95</v>
      </c>
      <c r="G231" t="s">
        <v>3161</v>
      </c>
      <c r="H231" t="s">
        <v>2044</v>
      </c>
      <c r="I231" t="s">
        <v>98</v>
      </c>
      <c r="J231" t="s">
        <v>5689</v>
      </c>
      <c r="K231" t="s">
        <v>100</v>
      </c>
      <c r="L231">
        <v>362503</v>
      </c>
      <c r="M231">
        <v>362503</v>
      </c>
      <c r="N231">
        <v>110834</v>
      </c>
      <c r="O231">
        <v>133</v>
      </c>
      <c r="P231" t="s">
        <v>5690</v>
      </c>
      <c r="Q231">
        <v>251669</v>
      </c>
      <c r="R231">
        <v>151</v>
      </c>
      <c r="S231" t="s">
        <v>5691</v>
      </c>
      <c r="T231">
        <v>0</v>
      </c>
      <c r="U231">
        <v>0</v>
      </c>
      <c r="W231" t="s">
        <v>102</v>
      </c>
      <c r="X231" t="s">
        <v>103</v>
      </c>
      <c r="Y231" t="s">
        <v>398</v>
      </c>
      <c r="AA231" t="s">
        <v>883</v>
      </c>
      <c r="AB231" t="s">
        <v>5692</v>
      </c>
      <c r="AC231" t="s">
        <v>1602</v>
      </c>
      <c r="AD231" t="s">
        <v>5693</v>
      </c>
      <c r="AE231" t="s">
        <v>1473</v>
      </c>
      <c r="AF231" t="s">
        <v>5693</v>
      </c>
      <c r="AG231" t="s">
        <v>109</v>
      </c>
      <c r="AH231" t="s">
        <v>102</v>
      </c>
      <c r="AI231" t="s">
        <v>102</v>
      </c>
      <c r="AJ231" t="s">
        <v>2107</v>
      </c>
      <c r="AK231" t="s">
        <v>5694</v>
      </c>
      <c r="AL231" t="s">
        <v>5695</v>
      </c>
      <c r="AM231" t="s">
        <v>5696</v>
      </c>
      <c r="AN231" t="s">
        <v>5697</v>
      </c>
      <c r="AO231" t="s">
        <v>5698</v>
      </c>
      <c r="AP231" t="s">
        <v>5699</v>
      </c>
      <c r="AS231" t="s">
        <v>169</v>
      </c>
      <c r="AU231" t="s">
        <v>318</v>
      </c>
      <c r="AV231" t="s">
        <v>118</v>
      </c>
      <c r="AW231" t="s">
        <v>1758</v>
      </c>
      <c r="AX231" t="s">
        <v>119</v>
      </c>
      <c r="AY231" t="s">
        <v>1138</v>
      </c>
      <c r="AZ231" t="s">
        <v>118</v>
      </c>
      <c r="BB231" t="s">
        <v>2565</v>
      </c>
      <c r="BC231" t="s">
        <v>284</v>
      </c>
      <c r="BD231" t="s">
        <v>285</v>
      </c>
      <c r="BE231" t="s">
        <v>212</v>
      </c>
      <c r="BF231" t="s">
        <v>286</v>
      </c>
      <c r="BG231" t="s">
        <v>124</v>
      </c>
      <c r="BH231" t="s">
        <v>214</v>
      </c>
      <c r="BI231" t="s">
        <v>126</v>
      </c>
      <c r="BJ231" t="s">
        <v>127</v>
      </c>
      <c r="BK231" t="s">
        <v>5700</v>
      </c>
      <c r="BL231" t="s">
        <v>5701</v>
      </c>
      <c r="BM231" t="s">
        <v>5702</v>
      </c>
      <c r="BN231" t="s">
        <v>3161</v>
      </c>
      <c r="BO231" t="s">
        <v>290</v>
      </c>
      <c r="BP231" t="s">
        <v>258</v>
      </c>
      <c r="BQ231" t="s">
        <v>291</v>
      </c>
      <c r="BR231" t="s">
        <v>292</v>
      </c>
      <c r="BS231" t="s">
        <v>293</v>
      </c>
      <c r="BU231" t="s">
        <v>5703</v>
      </c>
      <c r="BV231" t="s">
        <v>5704</v>
      </c>
      <c r="BW231" t="s">
        <v>138</v>
      </c>
      <c r="BX231" t="s">
        <v>5705</v>
      </c>
      <c r="BY231" t="s">
        <v>5706</v>
      </c>
      <c r="BZ231" t="s">
        <v>5707</v>
      </c>
      <c r="CA231" t="s">
        <v>5704</v>
      </c>
      <c r="CB231" t="s">
        <v>5705</v>
      </c>
      <c r="CC231" t="s">
        <v>5706</v>
      </c>
      <c r="CD231" t="s">
        <v>5708</v>
      </c>
      <c r="CE231" t="s">
        <v>5709</v>
      </c>
      <c r="CF231" t="s">
        <v>5710</v>
      </c>
      <c r="CG231" t="s">
        <v>907</v>
      </c>
      <c r="CH231" t="s">
        <v>5711</v>
      </c>
      <c r="CJ231" t="s">
        <v>5712</v>
      </c>
      <c r="CK231" t="s">
        <v>5711</v>
      </c>
      <c r="CL231" t="s">
        <v>284</v>
      </c>
      <c r="CM231" t="s">
        <v>285</v>
      </c>
      <c r="CN231" t="s">
        <v>5712</v>
      </c>
      <c r="CP231" t="s">
        <v>5711</v>
      </c>
      <c r="CQ231" t="s">
        <v>5711</v>
      </c>
    </row>
    <row r="232" spans="1:95">
      <c r="A232" t="s">
        <v>149</v>
      </c>
      <c r="B232">
        <v>3370385</v>
      </c>
      <c r="C232" t="s">
        <v>5713</v>
      </c>
      <c r="F232" t="s">
        <v>95</v>
      </c>
      <c r="G232" t="s">
        <v>192</v>
      </c>
      <c r="H232" t="s">
        <v>193</v>
      </c>
      <c r="I232" t="s">
        <v>98</v>
      </c>
      <c r="J232" t="s">
        <v>5714</v>
      </c>
      <c r="K232" t="s">
        <v>100</v>
      </c>
      <c r="L232">
        <v>600729</v>
      </c>
      <c r="M232">
        <v>668841</v>
      </c>
      <c r="N232">
        <v>222329</v>
      </c>
      <c r="O232">
        <v>715</v>
      </c>
      <c r="P232" t="s">
        <v>195</v>
      </c>
      <c r="Q232">
        <v>0</v>
      </c>
      <c r="R232">
        <v>0</v>
      </c>
      <c r="T232">
        <v>378400</v>
      </c>
      <c r="U232">
        <v>744</v>
      </c>
      <c r="V232" t="s">
        <v>196</v>
      </c>
      <c r="W232" t="s">
        <v>102</v>
      </c>
      <c r="X232" t="s">
        <v>103</v>
      </c>
      <c r="Y232" t="s">
        <v>104</v>
      </c>
      <c r="AA232" t="s">
        <v>197</v>
      </c>
      <c r="AB232" t="s">
        <v>5715</v>
      </c>
      <c r="AC232" t="s">
        <v>199</v>
      </c>
      <c r="AD232" t="s">
        <v>5715</v>
      </c>
      <c r="AE232" t="s">
        <v>109</v>
      </c>
      <c r="AF232" t="s">
        <v>102</v>
      </c>
      <c r="AG232" t="s">
        <v>109</v>
      </c>
      <c r="AH232" t="s">
        <v>102</v>
      </c>
      <c r="AI232" t="s">
        <v>5716</v>
      </c>
      <c r="AJ232" t="s">
        <v>201</v>
      </c>
      <c r="AK232" t="s">
        <v>202</v>
      </c>
      <c r="AL232" t="s">
        <v>5717</v>
      </c>
      <c r="AM232" t="s">
        <v>5718</v>
      </c>
      <c r="AN232" t="s">
        <v>5719</v>
      </c>
      <c r="AO232" t="s">
        <v>206</v>
      </c>
      <c r="AP232" t="s">
        <v>206</v>
      </c>
      <c r="AU232" t="s">
        <v>207</v>
      </c>
      <c r="AV232" t="s">
        <v>118</v>
      </c>
      <c r="AW232" t="s">
        <v>102</v>
      </c>
      <c r="AX232" t="s">
        <v>119</v>
      </c>
      <c r="BA232" t="s">
        <v>208</v>
      </c>
      <c r="BB232" t="s">
        <v>120</v>
      </c>
      <c r="BC232" t="s">
        <v>5720</v>
      </c>
      <c r="BD232" t="s">
        <v>211</v>
      </c>
      <c r="BE232" t="s">
        <v>212</v>
      </c>
      <c r="BF232" t="s">
        <v>213</v>
      </c>
      <c r="BG232" t="s">
        <v>124</v>
      </c>
      <c r="BH232" t="s">
        <v>214</v>
      </c>
      <c r="BI232" t="s">
        <v>215</v>
      </c>
      <c r="BJ232" t="s">
        <v>127</v>
      </c>
      <c r="BK232" t="s">
        <v>5721</v>
      </c>
      <c r="BL232" t="s">
        <v>5722</v>
      </c>
      <c r="BM232" t="s">
        <v>5723</v>
      </c>
      <c r="BN232" t="s">
        <v>192</v>
      </c>
      <c r="BO232" t="s">
        <v>219</v>
      </c>
      <c r="BP232" t="s">
        <v>180</v>
      </c>
      <c r="BQ232" t="s">
        <v>220</v>
      </c>
      <c r="BR232" t="s">
        <v>221</v>
      </c>
      <c r="BS232" t="s">
        <v>222</v>
      </c>
      <c r="BU232" t="s">
        <v>5724</v>
      </c>
      <c r="BV232" t="s">
        <v>224</v>
      </c>
      <c r="BX232" t="s">
        <v>225</v>
      </c>
      <c r="BY232" t="s">
        <v>226</v>
      </c>
      <c r="BZ232" t="s">
        <v>5725</v>
      </c>
      <c r="CG232" t="s">
        <v>102</v>
      </c>
      <c r="CH232" t="s">
        <v>5726</v>
      </c>
      <c r="CJ232" t="s">
        <v>5727</v>
      </c>
      <c r="CK232" t="s">
        <v>5726</v>
      </c>
      <c r="CL232" t="s">
        <v>5720</v>
      </c>
      <c r="CM232" t="s">
        <v>211</v>
      </c>
      <c r="CN232" t="s">
        <v>5727</v>
      </c>
      <c r="CO232" t="s">
        <v>230</v>
      </c>
      <c r="CP232" t="s">
        <v>5726</v>
      </c>
      <c r="CQ232" t="s">
        <v>5726</v>
      </c>
    </row>
    <row r="233" spans="1:95">
      <c r="A233" t="s">
        <v>93</v>
      </c>
      <c r="B233">
        <v>3380211</v>
      </c>
      <c r="C233" t="s">
        <v>5728</v>
      </c>
      <c r="E233" s="4" t="s">
        <v>17377</v>
      </c>
      <c r="F233" t="s">
        <v>95</v>
      </c>
      <c r="G233" t="s">
        <v>5729</v>
      </c>
      <c r="H233" t="s">
        <v>675</v>
      </c>
      <c r="I233" t="s">
        <v>98</v>
      </c>
      <c r="J233" t="s">
        <v>5730</v>
      </c>
      <c r="K233" t="s">
        <v>100</v>
      </c>
      <c r="L233">
        <v>1698740</v>
      </c>
      <c r="M233">
        <v>1698740</v>
      </c>
      <c r="N233">
        <v>978785</v>
      </c>
      <c r="O233">
        <v>1199</v>
      </c>
      <c r="P233" t="s">
        <v>5731</v>
      </c>
      <c r="Q233">
        <v>719955</v>
      </c>
      <c r="R233">
        <v>640</v>
      </c>
      <c r="S233" t="s">
        <v>5732</v>
      </c>
      <c r="T233">
        <v>0</v>
      </c>
      <c r="U233">
        <v>0</v>
      </c>
      <c r="W233" t="s">
        <v>102</v>
      </c>
      <c r="X233" t="s">
        <v>103</v>
      </c>
      <c r="Y233" t="s">
        <v>104</v>
      </c>
      <c r="AA233" t="s">
        <v>1848</v>
      </c>
      <c r="AB233" t="s">
        <v>5733</v>
      </c>
      <c r="AC233" t="s">
        <v>437</v>
      </c>
      <c r="AD233" t="s">
        <v>5733</v>
      </c>
      <c r="AE233" t="s">
        <v>109</v>
      </c>
      <c r="AF233" t="s">
        <v>102</v>
      </c>
      <c r="AG233" t="s">
        <v>109</v>
      </c>
      <c r="AH233" t="s">
        <v>102</v>
      </c>
      <c r="AI233" t="s">
        <v>5734</v>
      </c>
      <c r="AJ233" t="s">
        <v>3227</v>
      </c>
      <c r="AK233" t="s">
        <v>3227</v>
      </c>
      <c r="AL233" t="s">
        <v>5735</v>
      </c>
      <c r="AM233" t="s">
        <v>5736</v>
      </c>
      <c r="AN233" t="s">
        <v>5737</v>
      </c>
      <c r="AO233" t="s">
        <v>5738</v>
      </c>
      <c r="AP233" t="s">
        <v>5738</v>
      </c>
      <c r="AU233" t="s">
        <v>247</v>
      </c>
      <c r="AV233" t="s">
        <v>118</v>
      </c>
      <c r="AW233" t="s">
        <v>1103</v>
      </c>
      <c r="AX233" t="s">
        <v>249</v>
      </c>
      <c r="AY233" t="s">
        <v>170</v>
      </c>
      <c r="AZ233" t="s">
        <v>118</v>
      </c>
      <c r="BB233" t="s">
        <v>120</v>
      </c>
      <c r="BC233" t="s">
        <v>5739</v>
      </c>
      <c r="BD233" t="s">
        <v>2800</v>
      </c>
      <c r="BE233" t="s">
        <v>122</v>
      </c>
      <c r="BF233" t="s">
        <v>346</v>
      </c>
      <c r="BG233" t="s">
        <v>124</v>
      </c>
      <c r="BH233" t="s">
        <v>365</v>
      </c>
      <c r="BI233" t="s">
        <v>126</v>
      </c>
      <c r="BJ233" t="s">
        <v>127</v>
      </c>
      <c r="BK233" t="s">
        <v>5740</v>
      </c>
      <c r="BL233" t="s">
        <v>5741</v>
      </c>
      <c r="BM233" t="s">
        <v>5742</v>
      </c>
      <c r="BN233" t="s">
        <v>5729</v>
      </c>
      <c r="BO233" t="s">
        <v>325</v>
      </c>
      <c r="BP233" t="s">
        <v>350</v>
      </c>
      <c r="BQ233" t="s">
        <v>326</v>
      </c>
      <c r="BR233" t="s">
        <v>327</v>
      </c>
      <c r="BS233" t="s">
        <v>328</v>
      </c>
      <c r="BT233" t="s">
        <v>5743</v>
      </c>
      <c r="BU233" t="s">
        <v>5744</v>
      </c>
      <c r="BV233" t="s">
        <v>5745</v>
      </c>
      <c r="BW233" t="s">
        <v>598</v>
      </c>
      <c r="BX233" t="s">
        <v>5746</v>
      </c>
      <c r="BY233" t="s">
        <v>5747</v>
      </c>
      <c r="BZ233" t="s">
        <v>5748</v>
      </c>
      <c r="CG233" t="s">
        <v>2270</v>
      </c>
      <c r="CH233" t="s">
        <v>5749</v>
      </c>
      <c r="CJ233" t="s">
        <v>5750</v>
      </c>
      <c r="CK233" t="s">
        <v>5749</v>
      </c>
      <c r="CL233" t="s">
        <v>5739</v>
      </c>
      <c r="CM233" t="s">
        <v>2800</v>
      </c>
      <c r="CN233" t="s">
        <v>5750</v>
      </c>
      <c r="CP233" t="s">
        <v>5749</v>
      </c>
      <c r="CQ233" t="s">
        <v>5749</v>
      </c>
    </row>
    <row r="234" spans="1:95">
      <c r="A234" t="s">
        <v>337</v>
      </c>
      <c r="B234">
        <v>3383476</v>
      </c>
      <c r="C234" t="s">
        <v>5751</v>
      </c>
      <c r="E234" s="4" t="s">
        <v>17377</v>
      </c>
      <c r="F234" t="s">
        <v>95</v>
      </c>
      <c r="G234" t="s">
        <v>5752</v>
      </c>
      <c r="H234" t="s">
        <v>152</v>
      </c>
      <c r="I234" t="s">
        <v>98</v>
      </c>
      <c r="J234" t="s">
        <v>5753</v>
      </c>
      <c r="K234" t="s">
        <v>100</v>
      </c>
      <c r="L234">
        <v>432058</v>
      </c>
      <c r="M234">
        <v>432058</v>
      </c>
      <c r="N234">
        <v>0</v>
      </c>
      <c r="O234">
        <v>0</v>
      </c>
      <c r="Q234">
        <v>432058</v>
      </c>
      <c r="R234">
        <v>240</v>
      </c>
      <c r="S234" t="s">
        <v>3005</v>
      </c>
      <c r="T234">
        <v>0</v>
      </c>
      <c r="U234">
        <v>0</v>
      </c>
      <c r="W234" t="s">
        <v>102</v>
      </c>
      <c r="X234" t="s">
        <v>103</v>
      </c>
      <c r="Y234" t="s">
        <v>155</v>
      </c>
      <c r="AA234" t="s">
        <v>96</v>
      </c>
      <c r="AB234" t="s">
        <v>5754</v>
      </c>
      <c r="AC234" t="s">
        <v>892</v>
      </c>
      <c r="AD234" t="s">
        <v>5754</v>
      </c>
      <c r="AE234" t="s">
        <v>437</v>
      </c>
      <c r="AF234" t="s">
        <v>5754</v>
      </c>
      <c r="AG234" t="s">
        <v>160</v>
      </c>
      <c r="AH234" t="s">
        <v>5754</v>
      </c>
      <c r="AI234" t="s">
        <v>102</v>
      </c>
      <c r="AJ234" t="s">
        <v>1600</v>
      </c>
      <c r="AK234" t="s">
        <v>5755</v>
      </c>
      <c r="AL234" t="s">
        <v>5756</v>
      </c>
      <c r="AM234" t="s">
        <v>5757</v>
      </c>
      <c r="AN234" t="s">
        <v>5758</v>
      </c>
      <c r="AO234" t="s">
        <v>3906</v>
      </c>
      <c r="AP234" t="s">
        <v>3906</v>
      </c>
      <c r="AU234" t="s">
        <v>102</v>
      </c>
      <c r="AW234" t="s">
        <v>155</v>
      </c>
      <c r="AX234" t="s">
        <v>119</v>
      </c>
      <c r="AY234" t="s">
        <v>170</v>
      </c>
      <c r="AZ234" t="s">
        <v>118</v>
      </c>
      <c r="BB234" t="s">
        <v>120</v>
      </c>
      <c r="BC234" t="s">
        <v>5759</v>
      </c>
      <c r="BD234" t="s">
        <v>4404</v>
      </c>
      <c r="BE234" t="s">
        <v>174</v>
      </c>
      <c r="BF234" t="s">
        <v>4405</v>
      </c>
      <c r="BG234" t="s">
        <v>124</v>
      </c>
      <c r="BH234" t="s">
        <v>125</v>
      </c>
      <c r="BI234" t="s">
        <v>126</v>
      </c>
      <c r="BJ234" t="s">
        <v>127</v>
      </c>
      <c r="BK234" t="s">
        <v>5760</v>
      </c>
      <c r="BL234" t="s">
        <v>5761</v>
      </c>
      <c r="BM234" t="s">
        <v>5762</v>
      </c>
      <c r="BN234" t="s">
        <v>5752</v>
      </c>
      <c r="BO234" t="s">
        <v>5531</v>
      </c>
      <c r="BP234" t="s">
        <v>258</v>
      </c>
      <c r="BQ234" t="s">
        <v>5532</v>
      </c>
      <c r="BR234" t="s">
        <v>5533</v>
      </c>
      <c r="BS234" t="s">
        <v>4413</v>
      </c>
      <c r="BT234" t="s">
        <v>1111</v>
      </c>
      <c r="BU234" t="s">
        <v>5763</v>
      </c>
      <c r="BV234" t="s">
        <v>5764</v>
      </c>
      <c r="BW234" t="s">
        <v>354</v>
      </c>
      <c r="BX234" t="s">
        <v>5765</v>
      </c>
      <c r="BY234" t="s">
        <v>5766</v>
      </c>
      <c r="BZ234" t="s">
        <v>5765</v>
      </c>
      <c r="CA234" t="s">
        <v>5767</v>
      </c>
      <c r="CB234" t="s">
        <v>5765</v>
      </c>
      <c r="CC234" t="s">
        <v>5766</v>
      </c>
      <c r="CD234" t="s">
        <v>5767</v>
      </c>
      <c r="CE234" t="s">
        <v>5765</v>
      </c>
      <c r="CF234" t="s">
        <v>5766</v>
      </c>
      <c r="CG234" t="s">
        <v>5768</v>
      </c>
      <c r="CH234" t="s">
        <v>5769</v>
      </c>
      <c r="CJ234" t="s">
        <v>5770</v>
      </c>
      <c r="CK234" t="s">
        <v>5769</v>
      </c>
      <c r="CL234" t="s">
        <v>5759</v>
      </c>
      <c r="CM234" t="s">
        <v>4404</v>
      </c>
      <c r="CN234" t="s">
        <v>5770</v>
      </c>
      <c r="CP234" t="s">
        <v>5769</v>
      </c>
      <c r="CQ234" t="s">
        <v>5769</v>
      </c>
    </row>
    <row r="235" spans="1:95">
      <c r="A235" t="s">
        <v>337</v>
      </c>
      <c r="B235">
        <v>3390698</v>
      </c>
      <c r="C235" t="s">
        <v>5771</v>
      </c>
      <c r="E235" s="4" t="s">
        <v>17377</v>
      </c>
      <c r="F235" t="s">
        <v>95</v>
      </c>
      <c r="G235" t="s">
        <v>2082</v>
      </c>
      <c r="H235" t="s">
        <v>152</v>
      </c>
      <c r="I235" t="s">
        <v>98</v>
      </c>
      <c r="J235" t="s">
        <v>5772</v>
      </c>
      <c r="K235" t="s">
        <v>100</v>
      </c>
      <c r="L235">
        <v>404928</v>
      </c>
      <c r="M235">
        <v>404928</v>
      </c>
      <c r="N235">
        <v>0</v>
      </c>
      <c r="O235">
        <v>0</v>
      </c>
      <c r="Q235">
        <v>404928</v>
      </c>
      <c r="R235">
        <v>444</v>
      </c>
      <c r="S235" t="s">
        <v>5773</v>
      </c>
      <c r="T235">
        <v>0</v>
      </c>
      <c r="U235">
        <v>0</v>
      </c>
      <c r="W235" t="s">
        <v>102</v>
      </c>
      <c r="X235" t="s">
        <v>103</v>
      </c>
      <c r="Y235" t="s">
        <v>398</v>
      </c>
      <c r="AA235" t="s">
        <v>5774</v>
      </c>
      <c r="AB235" t="s">
        <v>5775</v>
      </c>
      <c r="AC235" t="s">
        <v>1447</v>
      </c>
      <c r="AD235" t="s">
        <v>5776</v>
      </c>
      <c r="AE235" t="s">
        <v>2323</v>
      </c>
      <c r="AF235" t="s">
        <v>5776</v>
      </c>
      <c r="AG235" t="s">
        <v>109</v>
      </c>
      <c r="AH235" t="s">
        <v>102</v>
      </c>
      <c r="AI235" t="s">
        <v>102</v>
      </c>
      <c r="AJ235" t="s">
        <v>719</v>
      </c>
      <c r="AK235" t="s">
        <v>4741</v>
      </c>
      <c r="AL235" t="s">
        <v>5777</v>
      </c>
      <c r="AM235" t="s">
        <v>5778</v>
      </c>
      <c r="AN235" t="s">
        <v>5779</v>
      </c>
      <c r="AO235" t="s">
        <v>5780</v>
      </c>
      <c r="AP235" t="s">
        <v>5780</v>
      </c>
      <c r="AU235" t="s">
        <v>102</v>
      </c>
      <c r="AW235" t="s">
        <v>155</v>
      </c>
      <c r="AX235" t="s">
        <v>119</v>
      </c>
      <c r="AZ235" t="s">
        <v>250</v>
      </c>
      <c r="BB235" t="s">
        <v>120</v>
      </c>
      <c r="BC235" t="s">
        <v>1759</v>
      </c>
      <c r="BD235" t="s">
        <v>410</v>
      </c>
      <c r="BE235" t="s">
        <v>212</v>
      </c>
      <c r="BF235" t="s">
        <v>410</v>
      </c>
      <c r="BG235" t="s">
        <v>124</v>
      </c>
      <c r="BH235" t="s">
        <v>214</v>
      </c>
      <c r="BI235" t="s">
        <v>625</v>
      </c>
      <c r="BJ235" t="s">
        <v>127</v>
      </c>
      <c r="BK235" t="s">
        <v>5781</v>
      </c>
      <c r="BL235" t="s">
        <v>5782</v>
      </c>
      <c r="BM235" t="s">
        <v>5783</v>
      </c>
      <c r="BN235" t="s">
        <v>2082</v>
      </c>
      <c r="BO235" t="s">
        <v>1582</v>
      </c>
      <c r="BP235" t="s">
        <v>132</v>
      </c>
      <c r="BQ235" t="s">
        <v>1583</v>
      </c>
      <c r="BR235" t="s">
        <v>1584</v>
      </c>
      <c r="BS235" t="s">
        <v>899</v>
      </c>
      <c r="BT235" t="s">
        <v>900</v>
      </c>
      <c r="BU235" t="s">
        <v>5784</v>
      </c>
      <c r="BV235" t="s">
        <v>5785</v>
      </c>
      <c r="BW235" t="s">
        <v>598</v>
      </c>
      <c r="BX235" t="s">
        <v>5786</v>
      </c>
      <c r="BY235" t="s">
        <v>5787</v>
      </c>
      <c r="BZ235" t="s">
        <v>5788</v>
      </c>
      <c r="CG235" t="s">
        <v>907</v>
      </c>
      <c r="CH235" t="s">
        <v>5789</v>
      </c>
      <c r="CJ235" t="s">
        <v>5790</v>
      </c>
      <c r="CK235" t="s">
        <v>5789</v>
      </c>
      <c r="CL235" t="s">
        <v>1759</v>
      </c>
      <c r="CM235" t="s">
        <v>410</v>
      </c>
      <c r="CN235" t="s">
        <v>5790</v>
      </c>
      <c r="CP235" t="s">
        <v>5789</v>
      </c>
      <c r="CQ235" t="s">
        <v>5789</v>
      </c>
    </row>
    <row r="236" spans="1:95">
      <c r="A236" t="s">
        <v>93</v>
      </c>
      <c r="B236">
        <v>3390964</v>
      </c>
      <c r="C236" t="s">
        <v>5791</v>
      </c>
      <c r="D236" t="str">
        <f>VLOOKUP(B236,'2025'!B:C,2,0)</f>
        <v>Aarti Iyer</v>
      </c>
      <c r="F236" t="s">
        <v>95</v>
      </c>
      <c r="G236" t="s">
        <v>1692</v>
      </c>
      <c r="H236" t="s">
        <v>97</v>
      </c>
      <c r="I236" t="s">
        <v>98</v>
      </c>
      <c r="J236" t="s">
        <v>5792</v>
      </c>
      <c r="K236" t="s">
        <v>100</v>
      </c>
      <c r="L236">
        <v>238645</v>
      </c>
      <c r="M236">
        <v>238645</v>
      </c>
      <c r="N236">
        <v>238645</v>
      </c>
      <c r="O236">
        <v>338</v>
      </c>
      <c r="P236" t="s">
        <v>5793</v>
      </c>
      <c r="Q236">
        <v>0</v>
      </c>
      <c r="R236">
        <v>0</v>
      </c>
      <c r="T236">
        <v>0</v>
      </c>
      <c r="U236">
        <v>0</v>
      </c>
      <c r="W236" t="s">
        <v>102</v>
      </c>
      <c r="X236" t="s">
        <v>103</v>
      </c>
      <c r="Y236" t="s">
        <v>104</v>
      </c>
      <c r="AA236" t="s">
        <v>892</v>
      </c>
      <c r="AB236" t="s">
        <v>5794</v>
      </c>
      <c r="AC236" t="s">
        <v>197</v>
      </c>
      <c r="AD236" t="s">
        <v>5794</v>
      </c>
      <c r="AE236" t="s">
        <v>109</v>
      </c>
      <c r="AF236" t="s">
        <v>102</v>
      </c>
      <c r="AG236" t="s">
        <v>109</v>
      </c>
      <c r="AH236" t="s">
        <v>102</v>
      </c>
      <c r="AI236" t="s">
        <v>5795</v>
      </c>
      <c r="AJ236" t="s">
        <v>5499</v>
      </c>
      <c r="AK236" t="s">
        <v>2349</v>
      </c>
      <c r="AL236" t="s">
        <v>5796</v>
      </c>
      <c r="AM236" t="s">
        <v>5797</v>
      </c>
      <c r="AN236" t="s">
        <v>5795</v>
      </c>
      <c r="AO236" t="s">
        <v>5798</v>
      </c>
      <c r="AP236" t="s">
        <v>5798</v>
      </c>
      <c r="AU236" t="s">
        <v>318</v>
      </c>
      <c r="AV236" t="s">
        <v>118</v>
      </c>
      <c r="AW236" t="s">
        <v>102</v>
      </c>
      <c r="AX236" t="s">
        <v>119</v>
      </c>
      <c r="BB236" t="s">
        <v>1964</v>
      </c>
      <c r="BC236" t="s">
        <v>2127</v>
      </c>
      <c r="BD236" t="s">
        <v>621</v>
      </c>
      <c r="BE236" t="s">
        <v>622</v>
      </c>
      <c r="BF236" t="s">
        <v>976</v>
      </c>
      <c r="BG236" t="s">
        <v>124</v>
      </c>
      <c r="BH236" t="s">
        <v>400</v>
      </c>
      <c r="BI236" t="s">
        <v>1602</v>
      </c>
      <c r="BJ236" t="s">
        <v>127</v>
      </c>
      <c r="BK236" t="s">
        <v>5799</v>
      </c>
      <c r="BL236" t="s">
        <v>5800</v>
      </c>
      <c r="BM236" t="s">
        <v>5801</v>
      </c>
      <c r="BN236" t="s">
        <v>1692</v>
      </c>
      <c r="BO236" t="s">
        <v>5802</v>
      </c>
      <c r="BP236" t="s">
        <v>132</v>
      </c>
      <c r="BQ236" t="s">
        <v>5803</v>
      </c>
      <c r="BR236" t="s">
        <v>5804</v>
      </c>
      <c r="BS236" t="s">
        <v>5805</v>
      </c>
      <c r="BU236" t="s">
        <v>5806</v>
      </c>
      <c r="BV236" t="s">
        <v>5807</v>
      </c>
      <c r="BW236" t="s">
        <v>138</v>
      </c>
      <c r="BX236" t="s">
        <v>5808</v>
      </c>
      <c r="BY236" t="s">
        <v>5809</v>
      </c>
      <c r="BZ236" t="s">
        <v>5810</v>
      </c>
      <c r="CG236" t="s">
        <v>5811</v>
      </c>
      <c r="CH236" t="s">
        <v>5812</v>
      </c>
      <c r="CJ236" t="s">
        <v>5813</v>
      </c>
      <c r="CK236" t="s">
        <v>5812</v>
      </c>
      <c r="CL236" t="s">
        <v>2127</v>
      </c>
      <c r="CM236" t="s">
        <v>621</v>
      </c>
      <c r="CN236" t="s">
        <v>5813</v>
      </c>
      <c r="CO236" t="s">
        <v>5814</v>
      </c>
      <c r="CP236" t="s">
        <v>5812</v>
      </c>
      <c r="CQ236" t="s">
        <v>5812</v>
      </c>
    </row>
    <row r="237" spans="1:95">
      <c r="A237" t="s">
        <v>149</v>
      </c>
      <c r="B237">
        <v>3394135</v>
      </c>
      <c r="C237" t="s">
        <v>5815</v>
      </c>
      <c r="D237" t="str">
        <f>VLOOKUP(B237,'2025'!B:C,2,0)</f>
        <v>Aruna</v>
      </c>
      <c r="F237" t="s">
        <v>95</v>
      </c>
      <c r="G237" t="s">
        <v>4806</v>
      </c>
      <c r="H237" t="s">
        <v>193</v>
      </c>
      <c r="I237" t="s">
        <v>98</v>
      </c>
      <c r="J237" t="s">
        <v>5816</v>
      </c>
      <c r="K237" t="s">
        <v>100</v>
      </c>
      <c r="L237">
        <v>3639063</v>
      </c>
      <c r="M237">
        <v>4198254</v>
      </c>
      <c r="N237">
        <v>532448</v>
      </c>
      <c r="O237">
        <v>1311</v>
      </c>
      <c r="P237" t="s">
        <v>5817</v>
      </c>
      <c r="Q237">
        <v>0</v>
      </c>
      <c r="R237">
        <v>0</v>
      </c>
      <c r="T237">
        <v>3106615</v>
      </c>
      <c r="U237">
        <v>1765</v>
      </c>
      <c r="V237" t="s">
        <v>5818</v>
      </c>
      <c r="W237" t="s">
        <v>102</v>
      </c>
      <c r="X237" t="s">
        <v>103</v>
      </c>
      <c r="Y237" t="s">
        <v>5317</v>
      </c>
      <c r="AA237" t="s">
        <v>520</v>
      </c>
      <c r="AB237" t="s">
        <v>5819</v>
      </c>
      <c r="AC237" t="s">
        <v>5820</v>
      </c>
      <c r="AD237" t="s">
        <v>5821</v>
      </c>
      <c r="AE237" t="s">
        <v>807</v>
      </c>
      <c r="AF237" t="s">
        <v>5822</v>
      </c>
      <c r="AG237" t="s">
        <v>109</v>
      </c>
      <c r="AH237" t="s">
        <v>102</v>
      </c>
      <c r="AI237" t="s">
        <v>5823</v>
      </c>
      <c r="AJ237" t="s">
        <v>5824</v>
      </c>
      <c r="AK237" t="s">
        <v>5825</v>
      </c>
      <c r="AL237" t="s">
        <v>5826</v>
      </c>
      <c r="AM237" t="s">
        <v>5827</v>
      </c>
      <c r="AN237" t="s">
        <v>5828</v>
      </c>
      <c r="AO237" t="s">
        <v>5829</v>
      </c>
      <c r="AP237" t="s">
        <v>5829</v>
      </c>
      <c r="AU237" t="s">
        <v>247</v>
      </c>
      <c r="AV237" t="s">
        <v>118</v>
      </c>
      <c r="AW237" t="s">
        <v>102</v>
      </c>
      <c r="AX237" t="s">
        <v>119</v>
      </c>
      <c r="BA237" t="s">
        <v>250</v>
      </c>
      <c r="BB237" t="s">
        <v>171</v>
      </c>
      <c r="BC237" t="s">
        <v>920</v>
      </c>
      <c r="BD237" t="s">
        <v>211</v>
      </c>
      <c r="BE237" t="s">
        <v>212</v>
      </c>
      <c r="BF237" t="s">
        <v>213</v>
      </c>
      <c r="BG237" t="s">
        <v>124</v>
      </c>
      <c r="BH237" t="s">
        <v>5329</v>
      </c>
      <c r="BI237" t="s">
        <v>215</v>
      </c>
      <c r="BJ237" t="s">
        <v>127</v>
      </c>
      <c r="BK237" t="s">
        <v>5830</v>
      </c>
      <c r="BL237" t="s">
        <v>5831</v>
      </c>
      <c r="BM237" t="s">
        <v>5832</v>
      </c>
      <c r="BN237" t="s">
        <v>4806</v>
      </c>
      <c r="BO237" t="s">
        <v>924</v>
      </c>
      <c r="BP237" t="s">
        <v>5833</v>
      </c>
      <c r="BQ237" t="s">
        <v>925</v>
      </c>
      <c r="BR237" t="s">
        <v>926</v>
      </c>
      <c r="BS237" t="s">
        <v>2151</v>
      </c>
      <c r="BU237" t="s">
        <v>5834</v>
      </c>
      <c r="BV237" t="s">
        <v>5835</v>
      </c>
      <c r="BW237" t="s">
        <v>138</v>
      </c>
      <c r="BX237" t="s">
        <v>5836</v>
      </c>
      <c r="BY237" t="s">
        <v>5837</v>
      </c>
      <c r="BZ237" t="s">
        <v>5838</v>
      </c>
      <c r="CA237" t="s">
        <v>5835</v>
      </c>
      <c r="CB237" t="s">
        <v>5836</v>
      </c>
      <c r="CC237" t="s">
        <v>5837</v>
      </c>
      <c r="CD237" t="s">
        <v>5839</v>
      </c>
      <c r="CE237" t="s">
        <v>5840</v>
      </c>
      <c r="CF237" t="s">
        <v>5841</v>
      </c>
      <c r="CG237" t="s">
        <v>5842</v>
      </c>
      <c r="CH237" t="s">
        <v>5843</v>
      </c>
      <c r="CJ237" t="s">
        <v>5844</v>
      </c>
      <c r="CK237" t="s">
        <v>5843</v>
      </c>
      <c r="CL237" t="s">
        <v>920</v>
      </c>
      <c r="CM237" t="s">
        <v>211</v>
      </c>
      <c r="CN237" t="s">
        <v>5844</v>
      </c>
      <c r="CO237" t="s">
        <v>5845</v>
      </c>
      <c r="CP237" t="s">
        <v>5843</v>
      </c>
      <c r="CQ237" t="s">
        <v>5843</v>
      </c>
    </row>
    <row r="238" spans="1:95">
      <c r="A238" t="s">
        <v>149</v>
      </c>
      <c r="B238">
        <v>3397894</v>
      </c>
      <c r="C238" t="s">
        <v>5846</v>
      </c>
      <c r="E238" s="4" t="s">
        <v>17377</v>
      </c>
      <c r="F238" t="s">
        <v>95</v>
      </c>
      <c r="G238" t="s">
        <v>377</v>
      </c>
      <c r="H238" t="s">
        <v>97</v>
      </c>
      <c r="I238" t="s">
        <v>98</v>
      </c>
      <c r="J238" t="s">
        <v>5847</v>
      </c>
      <c r="K238" t="s">
        <v>100</v>
      </c>
      <c r="L238">
        <v>85793</v>
      </c>
      <c r="M238">
        <v>85793</v>
      </c>
      <c r="N238">
        <v>85793</v>
      </c>
      <c r="O238">
        <v>78</v>
      </c>
      <c r="P238" t="s">
        <v>466</v>
      </c>
      <c r="Q238">
        <v>0</v>
      </c>
      <c r="R238">
        <v>0</v>
      </c>
      <c r="T238">
        <v>0</v>
      </c>
      <c r="U238">
        <v>0</v>
      </c>
      <c r="W238" t="s">
        <v>102</v>
      </c>
      <c r="X238" t="s">
        <v>103</v>
      </c>
      <c r="Y238" t="s">
        <v>398</v>
      </c>
      <c r="AA238" t="s">
        <v>1848</v>
      </c>
      <c r="AB238" t="s">
        <v>5848</v>
      </c>
      <c r="AC238" t="s">
        <v>158</v>
      </c>
      <c r="AD238" t="s">
        <v>5849</v>
      </c>
      <c r="AE238" t="s">
        <v>915</v>
      </c>
      <c r="AF238" t="s">
        <v>5849</v>
      </c>
      <c r="AG238" t="s">
        <v>109</v>
      </c>
      <c r="AH238" t="s">
        <v>102</v>
      </c>
      <c r="AI238" t="s">
        <v>5850</v>
      </c>
      <c r="AJ238" t="s">
        <v>1628</v>
      </c>
      <c r="AK238" t="s">
        <v>3033</v>
      </c>
      <c r="AL238" t="s">
        <v>5851</v>
      </c>
      <c r="AM238" t="s">
        <v>5852</v>
      </c>
      <c r="AN238" t="s">
        <v>5853</v>
      </c>
      <c r="AO238" t="s">
        <v>5854</v>
      </c>
      <c r="AP238" t="s">
        <v>5854</v>
      </c>
      <c r="AU238" t="s">
        <v>318</v>
      </c>
      <c r="AV238" t="s">
        <v>118</v>
      </c>
      <c r="AW238" t="s">
        <v>102</v>
      </c>
      <c r="AX238" t="s">
        <v>119</v>
      </c>
      <c r="BB238" t="s">
        <v>209</v>
      </c>
      <c r="BC238" t="s">
        <v>920</v>
      </c>
      <c r="BD238" t="s">
        <v>211</v>
      </c>
      <c r="BE238" t="s">
        <v>212</v>
      </c>
      <c r="BF238" t="s">
        <v>213</v>
      </c>
      <c r="BG238" t="s">
        <v>124</v>
      </c>
      <c r="BH238" t="s">
        <v>125</v>
      </c>
      <c r="BI238" t="s">
        <v>411</v>
      </c>
      <c r="BJ238" t="s">
        <v>127</v>
      </c>
      <c r="BK238" t="s">
        <v>5855</v>
      </c>
      <c r="BL238" t="s">
        <v>5856</v>
      </c>
      <c r="BM238" t="s">
        <v>5857</v>
      </c>
      <c r="BN238" t="s">
        <v>377</v>
      </c>
      <c r="BO238" t="s">
        <v>219</v>
      </c>
      <c r="BP238" t="s">
        <v>180</v>
      </c>
      <c r="BQ238" t="s">
        <v>220</v>
      </c>
      <c r="BR238" t="s">
        <v>221</v>
      </c>
      <c r="BS238" t="s">
        <v>222</v>
      </c>
      <c r="BT238" t="s">
        <v>222</v>
      </c>
      <c r="BU238" t="s">
        <v>5858</v>
      </c>
      <c r="BV238" t="s">
        <v>3042</v>
      </c>
      <c r="BX238" t="s">
        <v>3043</v>
      </c>
      <c r="BY238" t="s">
        <v>3044</v>
      </c>
      <c r="BZ238" t="s">
        <v>3045</v>
      </c>
      <c r="CA238" t="s">
        <v>3042</v>
      </c>
      <c r="CB238" t="s">
        <v>3043</v>
      </c>
      <c r="CC238" t="s">
        <v>3044</v>
      </c>
      <c r="CD238" t="s">
        <v>5859</v>
      </c>
      <c r="CE238" t="s">
        <v>3047</v>
      </c>
      <c r="CF238" t="s">
        <v>3048</v>
      </c>
      <c r="CG238" t="s">
        <v>102</v>
      </c>
      <c r="CH238" t="s">
        <v>5860</v>
      </c>
      <c r="CJ238" t="s">
        <v>3050</v>
      </c>
      <c r="CK238" t="s">
        <v>5860</v>
      </c>
      <c r="CL238" t="s">
        <v>920</v>
      </c>
      <c r="CM238" t="s">
        <v>211</v>
      </c>
      <c r="CN238" t="s">
        <v>3050</v>
      </c>
      <c r="CO238" t="s">
        <v>3051</v>
      </c>
      <c r="CP238" t="s">
        <v>5860</v>
      </c>
      <c r="CQ238" t="s">
        <v>5860</v>
      </c>
    </row>
    <row r="239" spans="1:95">
      <c r="A239" t="s">
        <v>149</v>
      </c>
      <c r="B239">
        <v>3399635</v>
      </c>
      <c r="C239" t="s">
        <v>5861</v>
      </c>
      <c r="F239" t="s">
        <v>95</v>
      </c>
      <c r="G239" t="s">
        <v>192</v>
      </c>
      <c r="H239" t="s">
        <v>193</v>
      </c>
      <c r="I239" t="s">
        <v>98</v>
      </c>
      <c r="J239" t="s">
        <v>5862</v>
      </c>
      <c r="K239" t="s">
        <v>100</v>
      </c>
      <c r="L239">
        <v>726773</v>
      </c>
      <c r="M239">
        <v>807610</v>
      </c>
      <c r="N239">
        <v>277678</v>
      </c>
      <c r="O239">
        <v>893</v>
      </c>
      <c r="P239" t="s">
        <v>195</v>
      </c>
      <c r="Q239">
        <v>0</v>
      </c>
      <c r="R239">
        <v>0</v>
      </c>
      <c r="T239">
        <v>449095</v>
      </c>
      <c r="U239">
        <v>883</v>
      </c>
      <c r="V239" t="s">
        <v>196</v>
      </c>
      <c r="W239" t="s">
        <v>102</v>
      </c>
      <c r="X239" t="s">
        <v>103</v>
      </c>
      <c r="Y239" t="s">
        <v>104</v>
      </c>
      <c r="AA239" t="s">
        <v>197</v>
      </c>
      <c r="AB239" t="s">
        <v>5863</v>
      </c>
      <c r="AC239" t="s">
        <v>199</v>
      </c>
      <c r="AD239" t="s">
        <v>5863</v>
      </c>
      <c r="AE239" t="s">
        <v>109</v>
      </c>
      <c r="AF239" t="s">
        <v>102</v>
      </c>
      <c r="AG239" t="s">
        <v>109</v>
      </c>
      <c r="AH239" t="s">
        <v>102</v>
      </c>
      <c r="AI239" t="s">
        <v>5864</v>
      </c>
      <c r="AJ239" t="s">
        <v>201</v>
      </c>
      <c r="AK239" t="s">
        <v>202</v>
      </c>
      <c r="AL239" t="s">
        <v>5865</v>
      </c>
      <c r="AM239" t="s">
        <v>5866</v>
      </c>
      <c r="AN239" t="s">
        <v>5867</v>
      </c>
      <c r="AO239" t="s">
        <v>206</v>
      </c>
      <c r="AP239" t="s">
        <v>206</v>
      </c>
      <c r="AU239" t="s">
        <v>207</v>
      </c>
      <c r="AV239" t="s">
        <v>118</v>
      </c>
      <c r="AW239" t="s">
        <v>102</v>
      </c>
      <c r="AX239" t="s">
        <v>119</v>
      </c>
      <c r="BA239" t="s">
        <v>208</v>
      </c>
      <c r="BB239" t="s">
        <v>120</v>
      </c>
      <c r="BC239" t="s">
        <v>758</v>
      </c>
      <c r="BD239" t="s">
        <v>211</v>
      </c>
      <c r="BE239" t="s">
        <v>212</v>
      </c>
      <c r="BF239" t="s">
        <v>213</v>
      </c>
      <c r="BG239" t="s">
        <v>124</v>
      </c>
      <c r="BH239" t="s">
        <v>214</v>
      </c>
      <c r="BI239" t="s">
        <v>215</v>
      </c>
      <c r="BJ239" t="s">
        <v>127</v>
      </c>
      <c r="BK239" t="s">
        <v>5868</v>
      </c>
      <c r="BL239" t="s">
        <v>5869</v>
      </c>
      <c r="BM239" t="s">
        <v>5870</v>
      </c>
      <c r="BN239" t="s">
        <v>192</v>
      </c>
      <c r="BO239" t="s">
        <v>219</v>
      </c>
      <c r="BP239" t="s">
        <v>180</v>
      </c>
      <c r="BQ239" t="s">
        <v>220</v>
      </c>
      <c r="BR239" t="s">
        <v>221</v>
      </c>
      <c r="BS239" t="s">
        <v>222</v>
      </c>
      <c r="BU239" t="s">
        <v>5871</v>
      </c>
      <c r="BV239" t="s">
        <v>224</v>
      </c>
      <c r="BX239" t="s">
        <v>225</v>
      </c>
      <c r="BY239" t="s">
        <v>226</v>
      </c>
      <c r="BZ239" t="s">
        <v>5872</v>
      </c>
      <c r="CG239" t="s">
        <v>102</v>
      </c>
      <c r="CH239" t="s">
        <v>5873</v>
      </c>
      <c r="CJ239" t="s">
        <v>765</v>
      </c>
      <c r="CK239" t="s">
        <v>5873</v>
      </c>
      <c r="CL239" t="s">
        <v>758</v>
      </c>
      <c r="CM239" t="s">
        <v>211</v>
      </c>
      <c r="CN239" t="s">
        <v>765</v>
      </c>
      <c r="CO239" t="s">
        <v>230</v>
      </c>
      <c r="CP239" t="s">
        <v>5873</v>
      </c>
      <c r="CQ239" t="s">
        <v>5873</v>
      </c>
    </row>
    <row r="240" spans="1:95">
      <c r="A240" t="s">
        <v>149</v>
      </c>
      <c r="B240">
        <v>3400783</v>
      </c>
      <c r="C240" t="s">
        <v>5874</v>
      </c>
      <c r="D240" t="str">
        <f>VLOOKUP(B240,'2025'!B:C,2,0)</f>
        <v>Pooja Kapoor</v>
      </c>
      <c r="F240" t="s">
        <v>95</v>
      </c>
      <c r="G240" t="s">
        <v>362</v>
      </c>
      <c r="H240" t="s">
        <v>152</v>
      </c>
      <c r="I240" t="s">
        <v>98</v>
      </c>
      <c r="J240" t="s">
        <v>5875</v>
      </c>
      <c r="K240" t="s">
        <v>100</v>
      </c>
      <c r="L240">
        <v>580466</v>
      </c>
      <c r="M240">
        <v>580466</v>
      </c>
      <c r="N240">
        <v>0</v>
      </c>
      <c r="O240">
        <v>0</v>
      </c>
      <c r="Q240">
        <v>580466</v>
      </c>
      <c r="R240">
        <v>430</v>
      </c>
      <c r="S240" t="s">
        <v>397</v>
      </c>
      <c r="T240">
        <v>0</v>
      </c>
      <c r="U240">
        <v>0</v>
      </c>
      <c r="W240" t="s">
        <v>102</v>
      </c>
      <c r="X240" t="s">
        <v>275</v>
      </c>
      <c r="Z240" t="s">
        <v>719</v>
      </c>
      <c r="AA240" t="s">
        <v>109</v>
      </c>
      <c r="AB240" t="s">
        <v>102</v>
      </c>
      <c r="AC240" t="s">
        <v>109</v>
      </c>
      <c r="AD240" t="s">
        <v>102</v>
      </c>
      <c r="AE240" t="s">
        <v>109</v>
      </c>
      <c r="AF240" t="s">
        <v>102</v>
      </c>
      <c r="AG240" t="s">
        <v>109</v>
      </c>
      <c r="AH240" t="s">
        <v>102</v>
      </c>
      <c r="AI240" t="s">
        <v>102</v>
      </c>
      <c r="AJ240" t="s">
        <v>1799</v>
      </c>
      <c r="AK240" t="s">
        <v>1799</v>
      </c>
      <c r="AL240" t="s">
        <v>5876</v>
      </c>
      <c r="AM240" t="s">
        <v>5877</v>
      </c>
      <c r="AN240" t="s">
        <v>102</v>
      </c>
      <c r="AO240" t="s">
        <v>408</v>
      </c>
      <c r="AP240" t="s">
        <v>408</v>
      </c>
      <c r="AU240" t="s">
        <v>102</v>
      </c>
      <c r="AW240" t="s">
        <v>155</v>
      </c>
      <c r="AX240" t="s">
        <v>119</v>
      </c>
      <c r="AY240" t="s">
        <v>170</v>
      </c>
      <c r="AZ240" t="s">
        <v>118</v>
      </c>
      <c r="BB240" t="s">
        <v>120</v>
      </c>
      <c r="BC240" t="s">
        <v>5878</v>
      </c>
      <c r="BD240" t="s">
        <v>5879</v>
      </c>
      <c r="BE240" t="s">
        <v>174</v>
      </c>
      <c r="BF240" t="s">
        <v>4405</v>
      </c>
      <c r="BG240" t="s">
        <v>124</v>
      </c>
      <c r="BH240" t="s">
        <v>365</v>
      </c>
      <c r="BI240" t="s">
        <v>126</v>
      </c>
      <c r="BJ240" t="s">
        <v>127</v>
      </c>
      <c r="BK240" t="s">
        <v>5880</v>
      </c>
      <c r="BL240" t="s">
        <v>5881</v>
      </c>
      <c r="BM240" t="s">
        <v>5882</v>
      </c>
      <c r="BN240" t="s">
        <v>362</v>
      </c>
      <c r="BO240" t="s">
        <v>381</v>
      </c>
      <c r="BP240" t="s">
        <v>258</v>
      </c>
      <c r="BQ240" t="s">
        <v>382</v>
      </c>
      <c r="BR240" t="s">
        <v>383</v>
      </c>
      <c r="BS240" t="s">
        <v>4413</v>
      </c>
      <c r="BU240" t="s">
        <v>5883</v>
      </c>
      <c r="BV240" t="s">
        <v>5884</v>
      </c>
      <c r="BW240" t="s">
        <v>138</v>
      </c>
      <c r="BX240" t="s">
        <v>5885</v>
      </c>
      <c r="BY240" t="s">
        <v>5886</v>
      </c>
      <c r="BZ240" t="s">
        <v>5885</v>
      </c>
      <c r="CA240" t="s">
        <v>5884</v>
      </c>
      <c r="CB240" t="s">
        <v>5885</v>
      </c>
      <c r="CC240" t="s">
        <v>5886</v>
      </c>
      <c r="CD240" t="s">
        <v>5887</v>
      </c>
      <c r="CE240" t="s">
        <v>5885</v>
      </c>
      <c r="CG240" t="s">
        <v>102</v>
      </c>
      <c r="CH240" t="s">
        <v>5888</v>
      </c>
      <c r="CJ240" t="s">
        <v>5889</v>
      </c>
      <c r="CK240" t="s">
        <v>5888</v>
      </c>
      <c r="CL240" t="s">
        <v>5878</v>
      </c>
      <c r="CM240" t="s">
        <v>5879</v>
      </c>
      <c r="CN240" t="s">
        <v>5889</v>
      </c>
      <c r="CP240" t="s">
        <v>5888</v>
      </c>
      <c r="CQ240" t="s">
        <v>5888</v>
      </c>
    </row>
    <row r="241" spans="1:95">
      <c r="A241" t="s">
        <v>93</v>
      </c>
      <c r="B241">
        <v>3401697</v>
      </c>
      <c r="C241" s="5" t="s">
        <v>5890</v>
      </c>
      <c r="D241" t="str">
        <f>VLOOKUP(B241,'2025'!B:C,2,0)</f>
        <v>Vineeth T V</v>
      </c>
      <c r="E241" s="4" t="s">
        <v>23398</v>
      </c>
      <c r="F241" t="s">
        <v>95</v>
      </c>
      <c r="G241" t="s">
        <v>151</v>
      </c>
      <c r="H241" t="s">
        <v>97</v>
      </c>
      <c r="I241" t="s">
        <v>98</v>
      </c>
      <c r="J241" t="s">
        <v>5891</v>
      </c>
      <c r="K241" t="s">
        <v>100</v>
      </c>
      <c r="L241">
        <v>58200</v>
      </c>
      <c r="M241">
        <v>58200</v>
      </c>
      <c r="N241">
        <v>58200</v>
      </c>
      <c r="O241">
        <v>194</v>
      </c>
      <c r="P241" t="s">
        <v>3205</v>
      </c>
      <c r="Q241">
        <v>0</v>
      </c>
      <c r="R241">
        <v>0</v>
      </c>
      <c r="T241">
        <v>0</v>
      </c>
      <c r="U241">
        <v>0</v>
      </c>
      <c r="W241" t="s">
        <v>102</v>
      </c>
      <c r="X241" t="s">
        <v>103</v>
      </c>
      <c r="Y241" t="s">
        <v>398</v>
      </c>
      <c r="AA241" t="s">
        <v>892</v>
      </c>
      <c r="AB241" t="s">
        <v>5892</v>
      </c>
      <c r="AC241" t="s">
        <v>3207</v>
      </c>
      <c r="AD241" t="s">
        <v>5893</v>
      </c>
      <c r="AE241" t="s">
        <v>680</v>
      </c>
      <c r="AF241" t="s">
        <v>5894</v>
      </c>
      <c r="AG241" t="s">
        <v>109</v>
      </c>
      <c r="AH241" t="s">
        <v>102</v>
      </c>
      <c r="AI241" t="s">
        <v>5895</v>
      </c>
      <c r="AJ241" t="s">
        <v>4665</v>
      </c>
      <c r="AK241" t="s">
        <v>4665</v>
      </c>
      <c r="AL241" t="s">
        <v>5896</v>
      </c>
      <c r="AM241" t="s">
        <v>5897</v>
      </c>
      <c r="AN241" t="s">
        <v>102</v>
      </c>
      <c r="AO241" t="s">
        <v>3213</v>
      </c>
      <c r="AP241" t="s">
        <v>3213</v>
      </c>
      <c r="AU241" t="s">
        <v>117</v>
      </c>
      <c r="AV241" t="s">
        <v>118</v>
      </c>
      <c r="AW241" t="s">
        <v>102</v>
      </c>
      <c r="AX241" t="s">
        <v>119</v>
      </c>
      <c r="BB241" t="s">
        <v>120</v>
      </c>
      <c r="BC241" t="s">
        <v>5898</v>
      </c>
      <c r="BD241" t="s">
        <v>410</v>
      </c>
      <c r="BE241" t="s">
        <v>212</v>
      </c>
      <c r="BF241" t="s">
        <v>410</v>
      </c>
      <c r="BG241" t="s">
        <v>124</v>
      </c>
      <c r="BH241" t="s">
        <v>1719</v>
      </c>
      <c r="BI241" t="s">
        <v>3215</v>
      </c>
      <c r="BJ241" t="s">
        <v>127</v>
      </c>
      <c r="BK241" t="s">
        <v>5899</v>
      </c>
      <c r="BL241" t="s">
        <v>5900</v>
      </c>
      <c r="BM241" t="s">
        <v>5901</v>
      </c>
      <c r="BN241" t="s">
        <v>151</v>
      </c>
      <c r="BO241" t="s">
        <v>896</v>
      </c>
      <c r="BP241" t="s">
        <v>132</v>
      </c>
      <c r="BQ241" t="s">
        <v>897</v>
      </c>
      <c r="BR241" t="s">
        <v>898</v>
      </c>
      <c r="BS241" t="s">
        <v>418</v>
      </c>
      <c r="BU241" t="s">
        <v>5902</v>
      </c>
      <c r="BV241" t="s">
        <v>5903</v>
      </c>
      <c r="BW241" t="s">
        <v>138</v>
      </c>
      <c r="BX241" t="s">
        <v>5904</v>
      </c>
      <c r="BY241" t="s">
        <v>5905</v>
      </c>
      <c r="BZ241" t="s">
        <v>5906</v>
      </c>
      <c r="CG241" t="s">
        <v>3968</v>
      </c>
      <c r="CH241" t="s">
        <v>5907</v>
      </c>
      <c r="CJ241" t="s">
        <v>5908</v>
      </c>
      <c r="CK241" t="s">
        <v>5907</v>
      </c>
      <c r="CL241" t="s">
        <v>5898</v>
      </c>
      <c r="CM241" t="s">
        <v>410</v>
      </c>
      <c r="CN241" t="s">
        <v>5908</v>
      </c>
      <c r="CP241" t="s">
        <v>5907</v>
      </c>
      <c r="CQ241" t="s">
        <v>5907</v>
      </c>
    </row>
    <row r="242" spans="1:95">
      <c r="A242" t="s">
        <v>149</v>
      </c>
      <c r="B242">
        <v>3407332</v>
      </c>
      <c r="C242" t="s">
        <v>5909</v>
      </c>
      <c r="D242" t="str">
        <f>VLOOKUP(B242,'2025'!B:C,2,0)</f>
        <v>Chaitanya</v>
      </c>
      <c r="F242" t="s">
        <v>95</v>
      </c>
      <c r="G242" t="s">
        <v>5910</v>
      </c>
      <c r="H242" t="s">
        <v>97</v>
      </c>
      <c r="I242" t="s">
        <v>98</v>
      </c>
      <c r="J242" t="s">
        <v>5911</v>
      </c>
      <c r="K242" t="s">
        <v>100</v>
      </c>
      <c r="L242">
        <v>0</v>
      </c>
      <c r="M242">
        <v>0</v>
      </c>
      <c r="N242">
        <v>0</v>
      </c>
      <c r="O242">
        <v>1320</v>
      </c>
      <c r="P242" t="s">
        <v>102</v>
      </c>
      <c r="Q242">
        <v>0</v>
      </c>
      <c r="R242">
        <v>0</v>
      </c>
      <c r="T242">
        <v>0</v>
      </c>
      <c r="U242">
        <v>0</v>
      </c>
      <c r="W242" t="s">
        <v>102</v>
      </c>
      <c r="X242" t="s">
        <v>275</v>
      </c>
      <c r="Z242" t="s">
        <v>5912</v>
      </c>
      <c r="AA242" t="s">
        <v>109</v>
      </c>
      <c r="AB242" t="s">
        <v>102</v>
      </c>
      <c r="AC242" t="s">
        <v>109</v>
      </c>
      <c r="AD242" t="s">
        <v>102</v>
      </c>
      <c r="AE242" t="s">
        <v>109</v>
      </c>
      <c r="AF242" t="s">
        <v>102</v>
      </c>
      <c r="AG242" t="s">
        <v>109</v>
      </c>
      <c r="AH242" t="s">
        <v>102</v>
      </c>
      <c r="AI242" t="s">
        <v>102</v>
      </c>
      <c r="AL242" t="s">
        <v>102</v>
      </c>
      <c r="AM242" t="s">
        <v>102</v>
      </c>
      <c r="AN242" t="s">
        <v>102</v>
      </c>
      <c r="AO242" t="s">
        <v>115</v>
      </c>
      <c r="AP242" t="s">
        <v>115</v>
      </c>
      <c r="AU242" t="s">
        <v>318</v>
      </c>
      <c r="AV242" t="s">
        <v>250</v>
      </c>
      <c r="AW242" t="s">
        <v>102</v>
      </c>
      <c r="AX242" t="s">
        <v>119</v>
      </c>
      <c r="BB242" t="s">
        <v>120</v>
      </c>
      <c r="BC242" t="s">
        <v>3058</v>
      </c>
      <c r="BD242" t="s">
        <v>320</v>
      </c>
      <c r="BE242" t="s">
        <v>122</v>
      </c>
      <c r="BF242" t="s">
        <v>123</v>
      </c>
      <c r="BG242" t="s">
        <v>124</v>
      </c>
      <c r="BH242" t="s">
        <v>232</v>
      </c>
      <c r="BI242" t="s">
        <v>126</v>
      </c>
      <c r="BJ242" t="s">
        <v>127</v>
      </c>
      <c r="BK242" t="s">
        <v>5913</v>
      </c>
      <c r="BL242" t="s">
        <v>5914</v>
      </c>
      <c r="BM242" t="s">
        <v>5915</v>
      </c>
      <c r="BN242" t="s">
        <v>5910</v>
      </c>
      <c r="BO242" t="s">
        <v>1108</v>
      </c>
      <c r="BP242" t="s">
        <v>350</v>
      </c>
      <c r="BQ242" t="s">
        <v>1109</v>
      </c>
      <c r="BR242" t="s">
        <v>1110</v>
      </c>
      <c r="BS242" t="s">
        <v>1111</v>
      </c>
      <c r="BU242" t="s">
        <v>5916</v>
      </c>
      <c r="BV242" t="s">
        <v>4073</v>
      </c>
      <c r="BW242" t="s">
        <v>296</v>
      </c>
      <c r="BX242" t="s">
        <v>4074</v>
      </c>
      <c r="BY242" t="s">
        <v>4075</v>
      </c>
      <c r="BZ242" t="s">
        <v>5917</v>
      </c>
      <c r="CG242" t="s">
        <v>102</v>
      </c>
      <c r="CH242" t="s">
        <v>5918</v>
      </c>
      <c r="CJ242" t="s">
        <v>3070</v>
      </c>
      <c r="CK242" t="s">
        <v>5918</v>
      </c>
      <c r="CL242" t="s">
        <v>3058</v>
      </c>
      <c r="CM242" t="s">
        <v>320</v>
      </c>
      <c r="CN242" t="s">
        <v>3070</v>
      </c>
      <c r="CO242" t="s">
        <v>5919</v>
      </c>
      <c r="CP242" t="s">
        <v>5918</v>
      </c>
      <c r="CQ242" t="s">
        <v>5918</v>
      </c>
    </row>
    <row r="243" spans="1:95">
      <c r="A243" t="s">
        <v>495</v>
      </c>
      <c r="B243">
        <v>3408035</v>
      </c>
      <c r="C243" t="s">
        <v>5920</v>
      </c>
      <c r="E243" s="4" t="s">
        <v>17377</v>
      </c>
      <c r="F243" t="s">
        <v>95</v>
      </c>
      <c r="G243" t="s">
        <v>1854</v>
      </c>
      <c r="H243" t="s">
        <v>97</v>
      </c>
      <c r="I243" t="s">
        <v>98</v>
      </c>
      <c r="J243" t="s">
        <v>5921</v>
      </c>
      <c r="K243" t="s">
        <v>100</v>
      </c>
      <c r="L243">
        <v>48598</v>
      </c>
      <c r="M243">
        <v>48598</v>
      </c>
      <c r="N243">
        <v>48598</v>
      </c>
      <c r="O243">
        <v>54</v>
      </c>
      <c r="P243" t="s">
        <v>2451</v>
      </c>
      <c r="Q243">
        <v>0</v>
      </c>
      <c r="R243">
        <v>0</v>
      </c>
      <c r="T243">
        <v>0</v>
      </c>
      <c r="U243">
        <v>0</v>
      </c>
      <c r="W243" t="s">
        <v>102</v>
      </c>
      <c r="X243" t="s">
        <v>275</v>
      </c>
      <c r="Z243" t="s">
        <v>341</v>
      </c>
      <c r="AA243" t="s">
        <v>109</v>
      </c>
      <c r="AB243" t="s">
        <v>102</v>
      </c>
      <c r="AC243" t="s">
        <v>109</v>
      </c>
      <c r="AD243" t="s">
        <v>102</v>
      </c>
      <c r="AE243" t="s">
        <v>109</v>
      </c>
      <c r="AF243" t="s">
        <v>102</v>
      </c>
      <c r="AG243" t="s">
        <v>109</v>
      </c>
      <c r="AH243" t="s">
        <v>102</v>
      </c>
      <c r="AI243" t="s">
        <v>102</v>
      </c>
      <c r="AJ243" t="s">
        <v>5922</v>
      </c>
      <c r="AK243" t="s">
        <v>5923</v>
      </c>
      <c r="AL243" t="s">
        <v>5924</v>
      </c>
      <c r="AM243" t="s">
        <v>5925</v>
      </c>
      <c r="AN243" t="s">
        <v>5926</v>
      </c>
      <c r="AO243" t="s">
        <v>5927</v>
      </c>
      <c r="AP243" t="s">
        <v>2922</v>
      </c>
      <c r="AQ243" t="s">
        <v>343</v>
      </c>
      <c r="AU243" t="s">
        <v>318</v>
      </c>
      <c r="AV243" t="s">
        <v>250</v>
      </c>
      <c r="AW243" t="s">
        <v>102</v>
      </c>
      <c r="AX243" t="s">
        <v>119</v>
      </c>
      <c r="BB243" t="s">
        <v>120</v>
      </c>
      <c r="BC243" t="s">
        <v>4864</v>
      </c>
      <c r="BD243" t="s">
        <v>621</v>
      </c>
      <c r="BE243" t="s">
        <v>622</v>
      </c>
      <c r="BF243" t="s">
        <v>623</v>
      </c>
      <c r="BG243" t="s">
        <v>124</v>
      </c>
      <c r="BH243" t="s">
        <v>2947</v>
      </c>
      <c r="BI243" t="s">
        <v>5928</v>
      </c>
      <c r="BJ243" t="s">
        <v>127</v>
      </c>
      <c r="BK243" t="s">
        <v>5929</v>
      </c>
      <c r="BL243" t="s">
        <v>5930</v>
      </c>
      <c r="BM243" t="s">
        <v>5931</v>
      </c>
      <c r="BN243" t="s">
        <v>1854</v>
      </c>
      <c r="BO243" t="s">
        <v>1670</v>
      </c>
      <c r="BP243" t="s">
        <v>505</v>
      </c>
      <c r="BQ243" t="s">
        <v>1671</v>
      </c>
      <c r="BR243" t="s">
        <v>1672</v>
      </c>
      <c r="BS243" t="s">
        <v>507</v>
      </c>
      <c r="BT243" t="s">
        <v>1279</v>
      </c>
      <c r="BU243" t="s">
        <v>5932</v>
      </c>
      <c r="BV243" t="s">
        <v>5933</v>
      </c>
      <c r="BW243" t="s">
        <v>138</v>
      </c>
      <c r="BX243" t="s">
        <v>225</v>
      </c>
      <c r="BY243" t="s">
        <v>5934</v>
      </c>
      <c r="BZ243" t="s">
        <v>5935</v>
      </c>
      <c r="CG243" t="s">
        <v>102</v>
      </c>
      <c r="CH243" t="s">
        <v>5936</v>
      </c>
      <c r="CJ243" t="s">
        <v>5937</v>
      </c>
      <c r="CK243" t="s">
        <v>5936</v>
      </c>
      <c r="CL243" t="s">
        <v>4864</v>
      </c>
      <c r="CM243" t="s">
        <v>621</v>
      </c>
      <c r="CN243" t="s">
        <v>5937</v>
      </c>
      <c r="CP243" t="s">
        <v>5936</v>
      </c>
      <c r="CQ243" t="s">
        <v>5936</v>
      </c>
    </row>
    <row r="244" spans="1:95">
      <c r="A244" t="s">
        <v>149</v>
      </c>
      <c r="B244">
        <v>34097</v>
      </c>
      <c r="C244" t="s">
        <v>5938</v>
      </c>
      <c r="D244" t="str">
        <f>VLOOKUP(B244,'2025'!B:C,2,0)</f>
        <v>Vaishali</v>
      </c>
      <c r="F244" t="s">
        <v>95</v>
      </c>
      <c r="G244" t="s">
        <v>578</v>
      </c>
      <c r="H244" t="s">
        <v>848</v>
      </c>
      <c r="I244" t="s">
        <v>98</v>
      </c>
      <c r="J244" t="s">
        <v>5939</v>
      </c>
      <c r="K244" t="s">
        <v>100</v>
      </c>
      <c r="L244">
        <v>550782</v>
      </c>
      <c r="M244">
        <v>649923</v>
      </c>
      <c r="N244">
        <v>0</v>
      </c>
      <c r="O244">
        <v>0</v>
      </c>
      <c r="Q244">
        <v>0</v>
      </c>
      <c r="R244">
        <v>0</v>
      </c>
      <c r="T244">
        <v>550782</v>
      </c>
      <c r="U244">
        <v>250</v>
      </c>
      <c r="V244" t="s">
        <v>608</v>
      </c>
      <c r="W244" t="s">
        <v>102</v>
      </c>
      <c r="X244" t="s">
        <v>103</v>
      </c>
      <c r="Y244" t="s">
        <v>155</v>
      </c>
      <c r="AA244" t="s">
        <v>232</v>
      </c>
      <c r="AB244" t="s">
        <v>5940</v>
      </c>
      <c r="AC244" t="s">
        <v>892</v>
      </c>
      <c r="AD244" t="s">
        <v>5940</v>
      </c>
      <c r="AE244" t="s">
        <v>437</v>
      </c>
      <c r="AF244" t="s">
        <v>5940</v>
      </c>
      <c r="AG244" t="s">
        <v>402</v>
      </c>
      <c r="AH244" t="s">
        <v>5940</v>
      </c>
      <c r="AI244" t="s">
        <v>5941</v>
      </c>
      <c r="AJ244" t="s">
        <v>2298</v>
      </c>
      <c r="AK244" t="s">
        <v>3621</v>
      </c>
      <c r="AL244" t="s">
        <v>5942</v>
      </c>
      <c r="AM244" t="s">
        <v>5943</v>
      </c>
      <c r="AN244" t="s">
        <v>5944</v>
      </c>
      <c r="AO244" t="s">
        <v>3625</v>
      </c>
      <c r="AP244" t="s">
        <v>3626</v>
      </c>
      <c r="AT244" t="s">
        <v>169</v>
      </c>
      <c r="AU244" t="s">
        <v>102</v>
      </c>
      <c r="AW244" t="s">
        <v>102</v>
      </c>
      <c r="AX244" t="s">
        <v>119</v>
      </c>
      <c r="BA244" t="s">
        <v>250</v>
      </c>
      <c r="BB244" t="s">
        <v>120</v>
      </c>
      <c r="BC244" t="s">
        <v>2840</v>
      </c>
      <c r="BD244" t="s">
        <v>449</v>
      </c>
      <c r="BE244" t="s">
        <v>122</v>
      </c>
      <c r="BF244" t="s">
        <v>253</v>
      </c>
      <c r="BG244" t="s">
        <v>124</v>
      </c>
      <c r="BH244" t="s">
        <v>232</v>
      </c>
      <c r="BI244" t="s">
        <v>126</v>
      </c>
      <c r="BJ244" t="s">
        <v>127</v>
      </c>
      <c r="BK244" t="s">
        <v>5945</v>
      </c>
      <c r="BL244" t="s">
        <v>5946</v>
      </c>
      <c r="BM244" t="s">
        <v>5947</v>
      </c>
      <c r="BN244" t="s">
        <v>578</v>
      </c>
      <c r="BO244" t="s">
        <v>1108</v>
      </c>
      <c r="BP244" t="s">
        <v>350</v>
      </c>
      <c r="BQ244" t="s">
        <v>1109</v>
      </c>
      <c r="BR244" t="s">
        <v>1110</v>
      </c>
      <c r="BS244" t="s">
        <v>135</v>
      </c>
      <c r="BU244" t="s">
        <v>5948</v>
      </c>
      <c r="BV244" t="s">
        <v>3631</v>
      </c>
      <c r="BW244" t="s">
        <v>296</v>
      </c>
      <c r="BX244" t="s">
        <v>3632</v>
      </c>
      <c r="BY244" t="s">
        <v>3633</v>
      </c>
      <c r="BZ244" t="s">
        <v>5949</v>
      </c>
      <c r="CG244" t="s">
        <v>102</v>
      </c>
      <c r="CH244" t="s">
        <v>5950</v>
      </c>
      <c r="CJ244" t="s">
        <v>5951</v>
      </c>
      <c r="CK244" t="s">
        <v>5950</v>
      </c>
      <c r="CL244" t="s">
        <v>2840</v>
      </c>
      <c r="CM244" t="s">
        <v>449</v>
      </c>
      <c r="CN244" t="s">
        <v>5951</v>
      </c>
      <c r="CO244" t="s">
        <v>3637</v>
      </c>
      <c r="CP244" t="s">
        <v>5950</v>
      </c>
      <c r="CQ244" t="s">
        <v>5950</v>
      </c>
    </row>
    <row r="245" spans="1:95">
      <c r="A245" t="s">
        <v>495</v>
      </c>
      <c r="B245">
        <v>3411596</v>
      </c>
      <c r="C245" t="s">
        <v>5952</v>
      </c>
      <c r="E245" s="4" t="s">
        <v>17377</v>
      </c>
      <c r="F245" t="s">
        <v>95</v>
      </c>
      <c r="G245" t="s">
        <v>497</v>
      </c>
      <c r="H245" t="s">
        <v>97</v>
      </c>
      <c r="I245" t="s">
        <v>98</v>
      </c>
      <c r="J245" t="s">
        <v>5953</v>
      </c>
      <c r="K245" t="s">
        <v>100</v>
      </c>
      <c r="L245">
        <v>0</v>
      </c>
      <c r="M245">
        <v>0</v>
      </c>
      <c r="N245">
        <v>0</v>
      </c>
      <c r="O245">
        <v>214</v>
      </c>
      <c r="P245" t="s">
        <v>102</v>
      </c>
      <c r="Q245">
        <v>0</v>
      </c>
      <c r="R245">
        <v>0</v>
      </c>
      <c r="T245">
        <v>0</v>
      </c>
      <c r="U245">
        <v>0</v>
      </c>
      <c r="W245" t="s">
        <v>102</v>
      </c>
      <c r="X245" t="s">
        <v>275</v>
      </c>
      <c r="Z245" t="s">
        <v>499</v>
      </c>
      <c r="AA245" t="s">
        <v>109</v>
      </c>
      <c r="AB245" t="s">
        <v>102</v>
      </c>
      <c r="AC245" t="s">
        <v>109</v>
      </c>
      <c r="AD245" t="s">
        <v>102</v>
      </c>
      <c r="AE245" t="s">
        <v>109</v>
      </c>
      <c r="AF245" t="s">
        <v>102</v>
      </c>
      <c r="AG245" t="s">
        <v>109</v>
      </c>
      <c r="AH245" t="s">
        <v>102</v>
      </c>
      <c r="AI245" t="s">
        <v>102</v>
      </c>
      <c r="AL245" t="s">
        <v>102</v>
      </c>
      <c r="AM245" t="s">
        <v>102</v>
      </c>
      <c r="AN245" t="s">
        <v>102</v>
      </c>
      <c r="AO245" t="s">
        <v>115</v>
      </c>
      <c r="AP245" t="s">
        <v>115</v>
      </c>
      <c r="AU245" t="s">
        <v>117</v>
      </c>
      <c r="AV245" t="s">
        <v>118</v>
      </c>
      <c r="AW245" t="s">
        <v>102</v>
      </c>
      <c r="AX245" t="s">
        <v>119</v>
      </c>
      <c r="BB245" t="s">
        <v>209</v>
      </c>
      <c r="BC245" t="s">
        <v>5954</v>
      </c>
      <c r="BD245" t="s">
        <v>730</v>
      </c>
      <c r="BE245" t="s">
        <v>622</v>
      </c>
      <c r="BF245" t="s">
        <v>730</v>
      </c>
      <c r="BG245" t="s">
        <v>124</v>
      </c>
      <c r="BH245" t="s">
        <v>501</v>
      </c>
      <c r="BI245" t="s">
        <v>126</v>
      </c>
      <c r="BJ245" t="s">
        <v>127</v>
      </c>
      <c r="BK245" t="s">
        <v>5955</v>
      </c>
      <c r="BL245" t="s">
        <v>5956</v>
      </c>
      <c r="BM245" t="s">
        <v>5957</v>
      </c>
      <c r="BN245" t="s">
        <v>497</v>
      </c>
      <c r="BO245" t="s">
        <v>505</v>
      </c>
      <c r="BP245" t="s">
        <v>505</v>
      </c>
      <c r="BQ245" t="s">
        <v>225</v>
      </c>
      <c r="BR245" t="s">
        <v>506</v>
      </c>
      <c r="BS245" t="s">
        <v>507</v>
      </c>
      <c r="BU245" t="s">
        <v>5958</v>
      </c>
      <c r="BV245" t="s">
        <v>5959</v>
      </c>
      <c r="BW245" t="s">
        <v>138</v>
      </c>
      <c r="BX245" t="s">
        <v>5960</v>
      </c>
      <c r="BY245" t="s">
        <v>5961</v>
      </c>
      <c r="BZ245" t="s">
        <v>5962</v>
      </c>
      <c r="CA245" t="s">
        <v>5959</v>
      </c>
      <c r="CB245" t="s">
        <v>5960</v>
      </c>
      <c r="CC245" t="s">
        <v>5961</v>
      </c>
      <c r="CD245" t="s">
        <v>5963</v>
      </c>
      <c r="CE245" t="s">
        <v>5960</v>
      </c>
      <c r="CF245" t="s">
        <v>5964</v>
      </c>
      <c r="CG245" t="s">
        <v>5965</v>
      </c>
      <c r="CH245" t="s">
        <v>5966</v>
      </c>
      <c r="CJ245" t="s">
        <v>5967</v>
      </c>
      <c r="CK245" t="s">
        <v>5966</v>
      </c>
      <c r="CL245" t="s">
        <v>5954</v>
      </c>
      <c r="CM245" t="s">
        <v>730</v>
      </c>
      <c r="CN245" t="s">
        <v>5967</v>
      </c>
      <c r="CP245" t="s">
        <v>5966</v>
      </c>
      <c r="CQ245" t="s">
        <v>5966</v>
      </c>
    </row>
    <row r="246" spans="1:95">
      <c r="A246" t="s">
        <v>149</v>
      </c>
      <c r="B246">
        <v>3411931</v>
      </c>
      <c r="C246" t="s">
        <v>5968</v>
      </c>
      <c r="E246" s="4" t="s">
        <v>17377</v>
      </c>
      <c r="F246" t="s">
        <v>95</v>
      </c>
      <c r="G246" t="s">
        <v>1521</v>
      </c>
      <c r="H246" t="s">
        <v>848</v>
      </c>
      <c r="I246" t="s">
        <v>98</v>
      </c>
      <c r="J246" t="s">
        <v>5969</v>
      </c>
      <c r="K246" t="s">
        <v>100</v>
      </c>
      <c r="L246">
        <v>427140</v>
      </c>
      <c r="M246">
        <v>504025</v>
      </c>
      <c r="N246">
        <v>0</v>
      </c>
      <c r="O246">
        <v>0</v>
      </c>
      <c r="Q246">
        <v>0</v>
      </c>
      <c r="R246">
        <v>0</v>
      </c>
      <c r="T246">
        <v>427140</v>
      </c>
      <c r="U246">
        <v>280</v>
      </c>
      <c r="V246" t="s">
        <v>1907</v>
      </c>
      <c r="W246" t="s">
        <v>102</v>
      </c>
      <c r="X246" t="s">
        <v>103</v>
      </c>
      <c r="Y246" t="s">
        <v>104</v>
      </c>
      <c r="AA246" t="s">
        <v>2605</v>
      </c>
      <c r="AB246" t="s">
        <v>5970</v>
      </c>
      <c r="AC246" t="s">
        <v>1571</v>
      </c>
      <c r="AD246" t="s">
        <v>5970</v>
      </c>
      <c r="AE246" t="s">
        <v>109</v>
      </c>
      <c r="AF246" t="s">
        <v>102</v>
      </c>
      <c r="AG246" t="s">
        <v>109</v>
      </c>
      <c r="AH246" t="s">
        <v>102</v>
      </c>
      <c r="AI246" t="s">
        <v>5971</v>
      </c>
      <c r="AJ246" t="s">
        <v>1330</v>
      </c>
      <c r="AK246" t="s">
        <v>5972</v>
      </c>
      <c r="AL246" t="s">
        <v>5973</v>
      </c>
      <c r="AM246" t="s">
        <v>5974</v>
      </c>
      <c r="AN246" t="s">
        <v>5975</v>
      </c>
      <c r="AO246" t="s">
        <v>116</v>
      </c>
      <c r="AP246" t="s">
        <v>116</v>
      </c>
      <c r="AU246" t="s">
        <v>102</v>
      </c>
      <c r="AW246" t="s">
        <v>102</v>
      </c>
      <c r="AX246" t="s">
        <v>119</v>
      </c>
      <c r="BA246" t="s">
        <v>250</v>
      </c>
      <c r="BB246" t="s">
        <v>209</v>
      </c>
      <c r="BC246" t="s">
        <v>920</v>
      </c>
      <c r="BD246" t="s">
        <v>211</v>
      </c>
      <c r="BE246" t="s">
        <v>212</v>
      </c>
      <c r="BF246" t="s">
        <v>213</v>
      </c>
      <c r="BG246" t="s">
        <v>124</v>
      </c>
      <c r="BH246" t="s">
        <v>214</v>
      </c>
      <c r="BI246" t="s">
        <v>625</v>
      </c>
      <c r="BJ246" t="s">
        <v>127</v>
      </c>
      <c r="BK246" t="s">
        <v>5976</v>
      </c>
      <c r="BL246" t="s">
        <v>5977</v>
      </c>
      <c r="BM246" t="s">
        <v>5978</v>
      </c>
      <c r="BN246" t="s">
        <v>1521</v>
      </c>
      <c r="BO246" t="s">
        <v>219</v>
      </c>
      <c r="BP246" t="s">
        <v>180</v>
      </c>
      <c r="BQ246" t="s">
        <v>220</v>
      </c>
      <c r="BR246" t="s">
        <v>221</v>
      </c>
      <c r="BS246" t="s">
        <v>483</v>
      </c>
      <c r="BU246" t="s">
        <v>5979</v>
      </c>
      <c r="BV246" t="s">
        <v>5980</v>
      </c>
      <c r="BW246" t="s">
        <v>138</v>
      </c>
      <c r="BX246" t="s">
        <v>5981</v>
      </c>
      <c r="BY246" t="s">
        <v>5982</v>
      </c>
      <c r="BZ246" t="s">
        <v>5983</v>
      </c>
      <c r="CA246" t="s">
        <v>5980</v>
      </c>
      <c r="CB246" t="s">
        <v>5981</v>
      </c>
      <c r="CC246" t="s">
        <v>5982</v>
      </c>
      <c r="CG246" t="s">
        <v>102</v>
      </c>
      <c r="CH246" t="s">
        <v>5984</v>
      </c>
      <c r="CJ246" t="s">
        <v>5985</v>
      </c>
      <c r="CK246" t="s">
        <v>5984</v>
      </c>
      <c r="CL246" t="s">
        <v>920</v>
      </c>
      <c r="CM246" t="s">
        <v>2474</v>
      </c>
      <c r="CN246" t="s">
        <v>5985</v>
      </c>
      <c r="CO246" t="s">
        <v>5986</v>
      </c>
      <c r="CP246" t="s">
        <v>5984</v>
      </c>
      <c r="CQ246" t="s">
        <v>5984</v>
      </c>
    </row>
    <row r="247" spans="1:95">
      <c r="A247" t="s">
        <v>337</v>
      </c>
      <c r="B247">
        <v>3416893</v>
      </c>
      <c r="C247" t="s">
        <v>5987</v>
      </c>
      <c r="E247" s="4" t="s">
        <v>17377</v>
      </c>
      <c r="F247" t="s">
        <v>95</v>
      </c>
      <c r="G247" t="s">
        <v>3108</v>
      </c>
      <c r="H247" t="s">
        <v>152</v>
      </c>
      <c r="I247" t="s">
        <v>98</v>
      </c>
      <c r="J247" t="s">
        <v>5988</v>
      </c>
      <c r="K247" t="s">
        <v>100</v>
      </c>
      <c r="L247">
        <v>174384</v>
      </c>
      <c r="M247">
        <v>174384</v>
      </c>
      <c r="N247">
        <v>0</v>
      </c>
      <c r="O247">
        <v>0</v>
      </c>
      <c r="Q247">
        <v>174384</v>
      </c>
      <c r="R247">
        <v>173</v>
      </c>
      <c r="S247" t="s">
        <v>5989</v>
      </c>
      <c r="T247">
        <v>0</v>
      </c>
      <c r="U247">
        <v>0</v>
      </c>
      <c r="W247" t="s">
        <v>102</v>
      </c>
      <c r="X247" t="s">
        <v>103</v>
      </c>
      <c r="Y247" t="s">
        <v>155</v>
      </c>
      <c r="AA247" t="s">
        <v>96</v>
      </c>
      <c r="AB247" t="s">
        <v>5990</v>
      </c>
      <c r="AC247" t="s">
        <v>311</v>
      </c>
      <c r="AD247" t="s">
        <v>5990</v>
      </c>
      <c r="AE247" t="s">
        <v>159</v>
      </c>
      <c r="AF247" t="s">
        <v>5990</v>
      </c>
      <c r="AG247" t="s">
        <v>160</v>
      </c>
      <c r="AH247" t="s">
        <v>5990</v>
      </c>
      <c r="AI247" t="s">
        <v>102</v>
      </c>
      <c r="AJ247" t="s">
        <v>5991</v>
      </c>
      <c r="AK247" t="s">
        <v>370</v>
      </c>
      <c r="AL247" t="s">
        <v>5992</v>
      </c>
      <c r="AM247" t="s">
        <v>5993</v>
      </c>
      <c r="AN247" t="s">
        <v>5994</v>
      </c>
      <c r="AO247" t="s">
        <v>5995</v>
      </c>
      <c r="AP247" t="s">
        <v>5995</v>
      </c>
      <c r="AU247" t="s">
        <v>102</v>
      </c>
      <c r="AW247" t="s">
        <v>104</v>
      </c>
      <c r="AX247" t="s">
        <v>119</v>
      </c>
      <c r="AY247" t="s">
        <v>170</v>
      </c>
      <c r="AZ247" t="s">
        <v>118</v>
      </c>
      <c r="BB247" t="s">
        <v>209</v>
      </c>
      <c r="BC247" t="s">
        <v>5996</v>
      </c>
      <c r="BD247" t="s">
        <v>4404</v>
      </c>
      <c r="BE247" t="s">
        <v>174</v>
      </c>
      <c r="BF247" t="s">
        <v>4405</v>
      </c>
      <c r="BG247" t="s">
        <v>124</v>
      </c>
      <c r="BH247" t="s">
        <v>125</v>
      </c>
      <c r="BI247" t="s">
        <v>126</v>
      </c>
      <c r="BJ247" t="s">
        <v>127</v>
      </c>
      <c r="BK247" t="s">
        <v>5997</v>
      </c>
      <c r="BL247" t="s">
        <v>5998</v>
      </c>
      <c r="BM247" t="s">
        <v>5999</v>
      </c>
      <c r="BN247" t="s">
        <v>3108</v>
      </c>
      <c r="BO247" t="s">
        <v>5531</v>
      </c>
      <c r="BP247" t="s">
        <v>258</v>
      </c>
      <c r="BQ247" t="s">
        <v>5532</v>
      </c>
      <c r="BR247" t="s">
        <v>5533</v>
      </c>
      <c r="BS247" t="s">
        <v>4413</v>
      </c>
      <c r="BT247" t="s">
        <v>1111</v>
      </c>
      <c r="BU247" t="s">
        <v>6000</v>
      </c>
      <c r="BV247" t="s">
        <v>6001</v>
      </c>
      <c r="BW247" t="s">
        <v>138</v>
      </c>
      <c r="BX247" t="s">
        <v>6002</v>
      </c>
      <c r="BY247" t="s">
        <v>6003</v>
      </c>
      <c r="BZ247" t="s">
        <v>6002</v>
      </c>
      <c r="CA247" t="s">
        <v>6001</v>
      </c>
      <c r="CB247" t="s">
        <v>6002</v>
      </c>
      <c r="CC247" t="s">
        <v>6003</v>
      </c>
      <c r="CD247" t="s">
        <v>6001</v>
      </c>
      <c r="CE247" t="s">
        <v>6002</v>
      </c>
      <c r="CF247" t="s">
        <v>6003</v>
      </c>
      <c r="CG247" t="s">
        <v>6004</v>
      </c>
      <c r="CH247" t="s">
        <v>6005</v>
      </c>
      <c r="CJ247" t="s">
        <v>6006</v>
      </c>
      <c r="CK247" t="s">
        <v>6005</v>
      </c>
      <c r="CL247" t="s">
        <v>5996</v>
      </c>
      <c r="CM247" t="s">
        <v>4404</v>
      </c>
      <c r="CN247" t="s">
        <v>6006</v>
      </c>
      <c r="CP247" t="s">
        <v>6005</v>
      </c>
      <c r="CQ247" t="s">
        <v>6005</v>
      </c>
    </row>
    <row r="248" spans="1:95">
      <c r="A248" t="s">
        <v>93</v>
      </c>
      <c r="B248">
        <v>3425691</v>
      </c>
      <c r="C248" t="s">
        <v>6007</v>
      </c>
      <c r="D248" t="str">
        <f>VLOOKUP(B248,'2025'!B:C,2,0)</f>
        <v>Ishita Jethwa</v>
      </c>
      <c r="F248" t="s">
        <v>95</v>
      </c>
      <c r="G248" t="s">
        <v>3789</v>
      </c>
      <c r="H248" t="s">
        <v>1746</v>
      </c>
      <c r="I248" t="s">
        <v>98</v>
      </c>
      <c r="J248" t="s">
        <v>6008</v>
      </c>
      <c r="K248" t="s">
        <v>100</v>
      </c>
      <c r="L248">
        <v>3384533</v>
      </c>
      <c r="M248">
        <v>3707817</v>
      </c>
      <c r="N248">
        <v>552076</v>
      </c>
      <c r="O248">
        <v>1039</v>
      </c>
      <c r="P248" t="s">
        <v>6009</v>
      </c>
      <c r="Q248">
        <v>1036435</v>
      </c>
      <c r="R248">
        <v>1086</v>
      </c>
      <c r="S248" t="s">
        <v>6010</v>
      </c>
      <c r="T248">
        <v>1796022</v>
      </c>
      <c r="U248">
        <v>1357</v>
      </c>
      <c r="V248" t="s">
        <v>2862</v>
      </c>
      <c r="W248" t="s">
        <v>102</v>
      </c>
      <c r="X248" t="s">
        <v>103</v>
      </c>
      <c r="Y248" t="s">
        <v>104</v>
      </c>
      <c r="AA248" t="s">
        <v>545</v>
      </c>
      <c r="AB248" t="s">
        <v>6011</v>
      </c>
      <c r="AC248" t="s">
        <v>240</v>
      </c>
      <c r="AD248" t="s">
        <v>6011</v>
      </c>
      <c r="AE248" t="s">
        <v>109</v>
      </c>
      <c r="AF248" t="s">
        <v>102</v>
      </c>
      <c r="AG248" t="s">
        <v>109</v>
      </c>
      <c r="AH248" t="s">
        <v>102</v>
      </c>
      <c r="AI248" t="s">
        <v>102</v>
      </c>
      <c r="AJ248" t="s">
        <v>517</v>
      </c>
      <c r="AK248" t="s">
        <v>1753</v>
      </c>
      <c r="AL248" t="s">
        <v>6012</v>
      </c>
      <c r="AM248" t="s">
        <v>6013</v>
      </c>
      <c r="AN248" t="s">
        <v>6014</v>
      </c>
      <c r="AO248" t="s">
        <v>6015</v>
      </c>
      <c r="AP248" t="s">
        <v>6016</v>
      </c>
      <c r="AR248" t="s">
        <v>169</v>
      </c>
      <c r="AS248" t="s">
        <v>169</v>
      </c>
      <c r="AT248" t="s">
        <v>169</v>
      </c>
      <c r="AU248" t="s">
        <v>318</v>
      </c>
      <c r="AV248" t="s">
        <v>118</v>
      </c>
      <c r="AW248" t="s">
        <v>1758</v>
      </c>
      <c r="AX248" t="s">
        <v>447</v>
      </c>
      <c r="AY248" t="s">
        <v>170</v>
      </c>
      <c r="AZ248" t="s">
        <v>118</v>
      </c>
      <c r="BA248" t="s">
        <v>250</v>
      </c>
      <c r="BB248" t="s">
        <v>209</v>
      </c>
      <c r="BC248" t="s">
        <v>729</v>
      </c>
      <c r="BD248" t="s">
        <v>730</v>
      </c>
      <c r="BE248" t="s">
        <v>622</v>
      </c>
      <c r="BF248" t="s">
        <v>730</v>
      </c>
      <c r="BG248" t="s">
        <v>124</v>
      </c>
      <c r="BH248" t="s">
        <v>214</v>
      </c>
      <c r="BI248" t="s">
        <v>625</v>
      </c>
      <c r="BJ248" t="s">
        <v>127</v>
      </c>
      <c r="BK248" t="s">
        <v>6017</v>
      </c>
      <c r="BL248" t="s">
        <v>6018</v>
      </c>
      <c r="BM248" t="s">
        <v>6019</v>
      </c>
      <c r="BN248" t="s">
        <v>3789</v>
      </c>
      <c r="BO248" t="s">
        <v>734</v>
      </c>
      <c r="BP248" t="s">
        <v>350</v>
      </c>
      <c r="BQ248" t="s">
        <v>735</v>
      </c>
      <c r="BR248" t="s">
        <v>736</v>
      </c>
      <c r="BS248" t="s">
        <v>2569</v>
      </c>
      <c r="BU248" t="s">
        <v>6020</v>
      </c>
      <c r="BV248" t="s">
        <v>3964</v>
      </c>
      <c r="BW248" t="s">
        <v>354</v>
      </c>
      <c r="BX248" t="s">
        <v>3965</v>
      </c>
      <c r="BY248" t="s">
        <v>3966</v>
      </c>
      <c r="BZ248" t="s">
        <v>3967</v>
      </c>
      <c r="CD248" t="s">
        <v>6021</v>
      </c>
      <c r="CE248" t="s">
        <v>6022</v>
      </c>
      <c r="CF248" t="s">
        <v>6023</v>
      </c>
      <c r="CG248" t="s">
        <v>1594</v>
      </c>
      <c r="CH248" t="s">
        <v>6024</v>
      </c>
      <c r="CJ248" t="s">
        <v>6025</v>
      </c>
      <c r="CK248" t="s">
        <v>6024</v>
      </c>
      <c r="CL248" t="s">
        <v>729</v>
      </c>
      <c r="CM248" t="s">
        <v>730</v>
      </c>
      <c r="CN248" t="s">
        <v>6025</v>
      </c>
      <c r="CO248" t="s">
        <v>3971</v>
      </c>
      <c r="CP248" t="s">
        <v>6024</v>
      </c>
      <c r="CQ248" t="s">
        <v>6024</v>
      </c>
    </row>
    <row r="249" spans="1:95">
      <c r="A249" t="s">
        <v>149</v>
      </c>
      <c r="B249">
        <v>3438724</v>
      </c>
      <c r="C249" t="s">
        <v>6026</v>
      </c>
      <c r="D249" t="str">
        <f>VLOOKUP(B249,'2025'!B:C,2,0)</f>
        <v>Gargi Ghosh</v>
      </c>
      <c r="F249" t="s">
        <v>95</v>
      </c>
      <c r="G249" t="s">
        <v>1955</v>
      </c>
      <c r="H249" t="s">
        <v>643</v>
      </c>
      <c r="I249" t="s">
        <v>98</v>
      </c>
      <c r="J249" t="s">
        <v>6027</v>
      </c>
      <c r="K249" t="s">
        <v>100</v>
      </c>
      <c r="L249">
        <v>480501</v>
      </c>
      <c r="M249">
        <v>529088</v>
      </c>
      <c r="N249">
        <v>0</v>
      </c>
      <c r="O249">
        <v>0</v>
      </c>
      <c r="Q249">
        <v>210574</v>
      </c>
      <c r="R249">
        <v>169</v>
      </c>
      <c r="S249" t="s">
        <v>5316</v>
      </c>
      <c r="T249">
        <v>269927</v>
      </c>
      <c r="U249">
        <v>169</v>
      </c>
      <c r="V249" t="s">
        <v>6028</v>
      </c>
      <c r="W249" t="s">
        <v>102</v>
      </c>
      <c r="X249" t="s">
        <v>275</v>
      </c>
      <c r="Z249" t="s">
        <v>232</v>
      </c>
      <c r="AA249" t="s">
        <v>109</v>
      </c>
      <c r="AB249" t="s">
        <v>102</v>
      </c>
      <c r="AC249" t="s">
        <v>109</v>
      </c>
      <c r="AD249" t="s">
        <v>102</v>
      </c>
      <c r="AE249" t="s">
        <v>109</v>
      </c>
      <c r="AF249" t="s">
        <v>102</v>
      </c>
      <c r="AG249" t="s">
        <v>109</v>
      </c>
      <c r="AH249" t="s">
        <v>102</v>
      </c>
      <c r="AI249" t="s">
        <v>6029</v>
      </c>
      <c r="AJ249" t="s">
        <v>6030</v>
      </c>
      <c r="AK249" t="s">
        <v>2349</v>
      </c>
      <c r="AL249" t="s">
        <v>6031</v>
      </c>
      <c r="AM249" t="s">
        <v>6032</v>
      </c>
      <c r="AN249" t="s">
        <v>6033</v>
      </c>
      <c r="AO249" t="s">
        <v>6034</v>
      </c>
      <c r="AP249" t="s">
        <v>6034</v>
      </c>
      <c r="AU249" t="s">
        <v>102</v>
      </c>
      <c r="AW249" t="s">
        <v>655</v>
      </c>
      <c r="AX249" t="s">
        <v>249</v>
      </c>
      <c r="AY249" t="s">
        <v>170</v>
      </c>
      <c r="AZ249" t="s">
        <v>118</v>
      </c>
      <c r="BA249" t="s">
        <v>250</v>
      </c>
      <c r="BB249" t="s">
        <v>120</v>
      </c>
      <c r="BC249" t="s">
        <v>375</v>
      </c>
      <c r="BD249" t="s">
        <v>376</v>
      </c>
      <c r="BE249" t="s">
        <v>174</v>
      </c>
      <c r="BF249" t="s">
        <v>376</v>
      </c>
      <c r="BG249" t="s">
        <v>124</v>
      </c>
      <c r="BH249" t="s">
        <v>232</v>
      </c>
      <c r="BI249" t="s">
        <v>126</v>
      </c>
      <c r="BJ249" t="s">
        <v>127</v>
      </c>
      <c r="BK249" t="s">
        <v>6035</v>
      </c>
      <c r="BL249" t="s">
        <v>6036</v>
      </c>
      <c r="BM249" t="s">
        <v>6037</v>
      </c>
      <c r="BN249" t="s">
        <v>1955</v>
      </c>
      <c r="BO249" t="s">
        <v>1917</v>
      </c>
      <c r="BP249" t="s">
        <v>350</v>
      </c>
      <c r="BQ249" t="s">
        <v>1918</v>
      </c>
      <c r="BR249" t="s">
        <v>1919</v>
      </c>
      <c r="BS249" t="s">
        <v>384</v>
      </c>
      <c r="BU249" t="s">
        <v>6038</v>
      </c>
      <c r="BV249" t="s">
        <v>6039</v>
      </c>
      <c r="BW249" t="s">
        <v>138</v>
      </c>
      <c r="BX249" t="s">
        <v>6040</v>
      </c>
      <c r="BY249" t="s">
        <v>6041</v>
      </c>
      <c r="BZ249" t="s">
        <v>6040</v>
      </c>
      <c r="CA249" t="s">
        <v>6039</v>
      </c>
      <c r="CB249" t="s">
        <v>6040</v>
      </c>
      <c r="CC249" t="s">
        <v>6041</v>
      </c>
      <c r="CD249" t="s">
        <v>6042</v>
      </c>
      <c r="CE249" t="s">
        <v>6043</v>
      </c>
      <c r="CF249" t="s">
        <v>6044</v>
      </c>
      <c r="CG249" t="s">
        <v>102</v>
      </c>
      <c r="CH249" t="s">
        <v>6045</v>
      </c>
      <c r="CJ249" t="s">
        <v>6046</v>
      </c>
      <c r="CK249" t="s">
        <v>6045</v>
      </c>
      <c r="CL249" t="s">
        <v>375</v>
      </c>
      <c r="CM249" t="s">
        <v>376</v>
      </c>
      <c r="CN249" t="s">
        <v>6046</v>
      </c>
      <c r="CO249" t="s">
        <v>6047</v>
      </c>
      <c r="CP249" t="s">
        <v>6048</v>
      </c>
      <c r="CQ249" t="s">
        <v>6048</v>
      </c>
    </row>
    <row r="250" spans="1:95">
      <c r="A250" t="s">
        <v>149</v>
      </c>
      <c r="B250">
        <v>343881</v>
      </c>
      <c r="C250" t="s">
        <v>6049</v>
      </c>
      <c r="D250" t="str">
        <f>VLOOKUP(B250,'2025'!B:C,2,0)</f>
        <v>Bhavishya</v>
      </c>
      <c r="F250" t="s">
        <v>95</v>
      </c>
      <c r="G250" t="s">
        <v>2139</v>
      </c>
      <c r="H250" t="s">
        <v>2163</v>
      </c>
      <c r="I250" t="s">
        <v>98</v>
      </c>
      <c r="J250" t="s">
        <v>6050</v>
      </c>
      <c r="K250" t="s">
        <v>100</v>
      </c>
      <c r="L250">
        <v>2613119</v>
      </c>
      <c r="M250">
        <v>2869403</v>
      </c>
      <c r="N250">
        <v>554069</v>
      </c>
      <c r="O250">
        <v>1385</v>
      </c>
      <c r="P250" t="s">
        <v>6051</v>
      </c>
      <c r="Q250">
        <v>635250</v>
      </c>
      <c r="R250">
        <v>605</v>
      </c>
      <c r="S250" t="s">
        <v>433</v>
      </c>
      <c r="T250">
        <v>1423800</v>
      </c>
      <c r="U250">
        <v>800</v>
      </c>
      <c r="V250" t="s">
        <v>4042</v>
      </c>
      <c r="W250" t="s">
        <v>102</v>
      </c>
      <c r="X250" t="s">
        <v>103</v>
      </c>
      <c r="Y250" t="s">
        <v>801</v>
      </c>
      <c r="AA250" t="s">
        <v>517</v>
      </c>
      <c r="AB250" t="s">
        <v>6052</v>
      </c>
      <c r="AC250" t="s">
        <v>5499</v>
      </c>
      <c r="AD250" t="s">
        <v>6053</v>
      </c>
      <c r="AE250" t="s">
        <v>6054</v>
      </c>
      <c r="AF250" t="s">
        <v>6055</v>
      </c>
      <c r="AG250" t="s">
        <v>6056</v>
      </c>
      <c r="AH250" t="s">
        <v>6055</v>
      </c>
      <c r="AI250" t="s">
        <v>102</v>
      </c>
      <c r="AJ250" t="s">
        <v>6057</v>
      </c>
      <c r="AK250" t="s">
        <v>6058</v>
      </c>
      <c r="AL250" t="s">
        <v>6059</v>
      </c>
      <c r="AM250" t="s">
        <v>6060</v>
      </c>
      <c r="AN250" t="s">
        <v>6061</v>
      </c>
      <c r="AO250" t="s">
        <v>6062</v>
      </c>
      <c r="AP250" t="s">
        <v>6062</v>
      </c>
      <c r="AU250" t="s">
        <v>247</v>
      </c>
      <c r="AV250" t="s">
        <v>118</v>
      </c>
      <c r="AW250" t="s">
        <v>655</v>
      </c>
      <c r="AX250" t="s">
        <v>119</v>
      </c>
      <c r="AY250" t="s">
        <v>170</v>
      </c>
      <c r="AZ250" t="s">
        <v>250</v>
      </c>
      <c r="BA250" t="s">
        <v>250</v>
      </c>
      <c r="BB250" t="s">
        <v>120</v>
      </c>
      <c r="BC250" t="s">
        <v>4644</v>
      </c>
      <c r="BD250" t="s">
        <v>320</v>
      </c>
      <c r="BE250" t="s">
        <v>122</v>
      </c>
      <c r="BF250" t="s">
        <v>123</v>
      </c>
      <c r="BG250" t="s">
        <v>124</v>
      </c>
      <c r="BH250" t="s">
        <v>232</v>
      </c>
      <c r="BI250" t="s">
        <v>126</v>
      </c>
      <c r="BJ250" t="s">
        <v>127</v>
      </c>
      <c r="BK250" t="s">
        <v>6063</v>
      </c>
      <c r="BL250" t="s">
        <v>6064</v>
      </c>
      <c r="BM250" t="s">
        <v>6065</v>
      </c>
      <c r="BN250" t="s">
        <v>2139</v>
      </c>
      <c r="BO250" t="s">
        <v>593</v>
      </c>
      <c r="BP250" t="s">
        <v>350</v>
      </c>
      <c r="BQ250" t="s">
        <v>594</v>
      </c>
      <c r="BR250" t="s">
        <v>595</v>
      </c>
      <c r="BS250" t="s">
        <v>328</v>
      </c>
      <c r="BT250" t="s">
        <v>5743</v>
      </c>
      <c r="BU250" t="s">
        <v>6066</v>
      </c>
      <c r="BV250" t="s">
        <v>6067</v>
      </c>
      <c r="BW250" t="s">
        <v>138</v>
      </c>
      <c r="BX250" t="s">
        <v>6068</v>
      </c>
      <c r="BY250" t="s">
        <v>6069</v>
      </c>
      <c r="BZ250" t="s">
        <v>6068</v>
      </c>
      <c r="CA250" t="s">
        <v>6067</v>
      </c>
      <c r="CB250" t="s">
        <v>6068</v>
      </c>
      <c r="CC250" t="s">
        <v>6069</v>
      </c>
      <c r="CD250" t="s">
        <v>6070</v>
      </c>
      <c r="CE250" t="s">
        <v>6068</v>
      </c>
      <c r="CF250" t="s">
        <v>6071</v>
      </c>
      <c r="CG250" t="s">
        <v>102</v>
      </c>
      <c r="CH250" t="s">
        <v>6072</v>
      </c>
      <c r="CJ250" t="s">
        <v>6073</v>
      </c>
      <c r="CK250" t="s">
        <v>6072</v>
      </c>
      <c r="CL250" t="s">
        <v>4644</v>
      </c>
      <c r="CM250" t="s">
        <v>320</v>
      </c>
      <c r="CN250" t="s">
        <v>6073</v>
      </c>
      <c r="CO250" t="s">
        <v>6074</v>
      </c>
      <c r="CP250" t="s">
        <v>6072</v>
      </c>
      <c r="CQ250" t="s">
        <v>6072</v>
      </c>
    </row>
    <row r="251" spans="1:95">
      <c r="A251" t="s">
        <v>93</v>
      </c>
      <c r="B251">
        <v>3443832</v>
      </c>
      <c r="C251" t="s">
        <v>6075</v>
      </c>
      <c r="D251" t="str">
        <f>VLOOKUP(B251,'2025'!B:C,2,0)</f>
        <v>Anushka</v>
      </c>
      <c r="F251" t="s">
        <v>95</v>
      </c>
      <c r="G251" t="s">
        <v>582</v>
      </c>
      <c r="H251" t="s">
        <v>848</v>
      </c>
      <c r="I251" t="s">
        <v>98</v>
      </c>
      <c r="J251" t="s">
        <v>6076</v>
      </c>
      <c r="K251" t="s">
        <v>100</v>
      </c>
      <c r="L251">
        <v>1029795</v>
      </c>
      <c r="M251">
        <v>1215158</v>
      </c>
      <c r="N251">
        <v>0</v>
      </c>
      <c r="O251">
        <v>0</v>
      </c>
      <c r="Q251">
        <v>0</v>
      </c>
      <c r="R251">
        <v>0</v>
      </c>
      <c r="T251">
        <v>1029795</v>
      </c>
      <c r="U251">
        <v>486</v>
      </c>
      <c r="V251" t="s">
        <v>2166</v>
      </c>
      <c r="W251" t="s">
        <v>102</v>
      </c>
      <c r="X251" t="s">
        <v>103</v>
      </c>
      <c r="Y251" t="s">
        <v>155</v>
      </c>
      <c r="AA251" t="s">
        <v>238</v>
      </c>
      <c r="AB251" t="s">
        <v>6077</v>
      </c>
      <c r="AC251" t="s">
        <v>400</v>
      </c>
      <c r="AD251" t="s">
        <v>6077</v>
      </c>
      <c r="AE251" t="s">
        <v>721</v>
      </c>
      <c r="AF251" t="s">
        <v>6077</v>
      </c>
      <c r="AG251" t="s">
        <v>1201</v>
      </c>
      <c r="AH251" t="s">
        <v>6077</v>
      </c>
      <c r="AI251" t="s">
        <v>6078</v>
      </c>
      <c r="AJ251" t="s">
        <v>6079</v>
      </c>
      <c r="AK251" t="s">
        <v>3215</v>
      </c>
      <c r="AL251" t="s">
        <v>6080</v>
      </c>
      <c r="AM251" t="s">
        <v>6081</v>
      </c>
      <c r="AN251" t="s">
        <v>6082</v>
      </c>
      <c r="AO251" t="s">
        <v>6083</v>
      </c>
      <c r="AP251" t="s">
        <v>6083</v>
      </c>
      <c r="AU251" t="s">
        <v>102</v>
      </c>
      <c r="AW251" t="s">
        <v>102</v>
      </c>
      <c r="AX251" t="s">
        <v>119</v>
      </c>
      <c r="BA251" t="s">
        <v>250</v>
      </c>
      <c r="BB251" t="s">
        <v>120</v>
      </c>
      <c r="BC251" t="s">
        <v>3854</v>
      </c>
      <c r="BD251" t="s">
        <v>449</v>
      </c>
      <c r="BE251" t="s">
        <v>122</v>
      </c>
      <c r="BF251" t="s">
        <v>450</v>
      </c>
      <c r="BG251" t="s">
        <v>124</v>
      </c>
      <c r="BH251" t="s">
        <v>125</v>
      </c>
      <c r="BI251" t="s">
        <v>411</v>
      </c>
      <c r="BJ251" t="s">
        <v>127</v>
      </c>
      <c r="BK251" t="s">
        <v>6084</v>
      </c>
      <c r="BL251" t="s">
        <v>6085</v>
      </c>
      <c r="BM251" t="s">
        <v>6086</v>
      </c>
      <c r="BN251" t="s">
        <v>582</v>
      </c>
      <c r="BO251" t="s">
        <v>131</v>
      </c>
      <c r="BP251" t="s">
        <v>350</v>
      </c>
      <c r="BQ251" t="s">
        <v>133</v>
      </c>
      <c r="BR251" t="s">
        <v>134</v>
      </c>
      <c r="BS251" t="s">
        <v>1006</v>
      </c>
      <c r="BU251" t="s">
        <v>6087</v>
      </c>
      <c r="BV251" t="s">
        <v>6088</v>
      </c>
      <c r="BW251" t="s">
        <v>138</v>
      </c>
      <c r="BX251" t="s">
        <v>6089</v>
      </c>
      <c r="BY251" t="s">
        <v>6090</v>
      </c>
      <c r="BZ251" t="s">
        <v>6091</v>
      </c>
      <c r="CA251" t="s">
        <v>6088</v>
      </c>
      <c r="CB251" t="s">
        <v>6089</v>
      </c>
      <c r="CC251" t="s">
        <v>6090</v>
      </c>
      <c r="CD251" t="s">
        <v>6092</v>
      </c>
      <c r="CE251" t="s">
        <v>6093</v>
      </c>
      <c r="CF251" t="s">
        <v>6094</v>
      </c>
      <c r="CG251" t="s">
        <v>5768</v>
      </c>
      <c r="CH251" t="s">
        <v>6095</v>
      </c>
      <c r="CJ251" t="s">
        <v>6096</v>
      </c>
      <c r="CK251" t="s">
        <v>6095</v>
      </c>
      <c r="CL251" t="s">
        <v>3854</v>
      </c>
      <c r="CM251" t="s">
        <v>449</v>
      </c>
      <c r="CN251" t="s">
        <v>6096</v>
      </c>
      <c r="CO251" t="s">
        <v>6097</v>
      </c>
      <c r="CP251" t="s">
        <v>6095</v>
      </c>
      <c r="CQ251" t="s">
        <v>6095</v>
      </c>
    </row>
    <row r="252" spans="1:95">
      <c r="A252" t="s">
        <v>337</v>
      </c>
      <c r="B252">
        <v>3451055</v>
      </c>
      <c r="C252" t="s">
        <v>6098</v>
      </c>
      <c r="F252" t="s">
        <v>95</v>
      </c>
      <c r="G252" t="s">
        <v>3640</v>
      </c>
      <c r="H252" t="s">
        <v>97</v>
      </c>
      <c r="I252" t="s">
        <v>98</v>
      </c>
      <c r="J252" t="s">
        <v>6099</v>
      </c>
      <c r="K252" t="s">
        <v>100</v>
      </c>
      <c r="L252">
        <v>326380</v>
      </c>
      <c r="M252">
        <v>326380</v>
      </c>
      <c r="N252">
        <v>326380</v>
      </c>
      <c r="O252">
        <v>408</v>
      </c>
      <c r="P252" t="s">
        <v>1297</v>
      </c>
      <c r="Q252">
        <v>0</v>
      </c>
      <c r="R252">
        <v>0</v>
      </c>
      <c r="T252">
        <v>0</v>
      </c>
      <c r="U252">
        <v>0</v>
      </c>
      <c r="W252" t="s">
        <v>102</v>
      </c>
      <c r="X252" t="s">
        <v>275</v>
      </c>
      <c r="Z252" t="s">
        <v>2605</v>
      </c>
      <c r="AA252" t="s">
        <v>109</v>
      </c>
      <c r="AB252" t="s">
        <v>102</v>
      </c>
      <c r="AC252" t="s">
        <v>109</v>
      </c>
      <c r="AD252" t="s">
        <v>102</v>
      </c>
      <c r="AE252" t="s">
        <v>109</v>
      </c>
      <c r="AF252" t="s">
        <v>102</v>
      </c>
      <c r="AG252" t="s">
        <v>109</v>
      </c>
      <c r="AH252" t="s">
        <v>102</v>
      </c>
      <c r="AI252" t="s">
        <v>102</v>
      </c>
      <c r="AJ252" t="s">
        <v>1574</v>
      </c>
      <c r="AK252" t="s">
        <v>1574</v>
      </c>
      <c r="AL252" t="s">
        <v>6100</v>
      </c>
      <c r="AM252" t="s">
        <v>6101</v>
      </c>
      <c r="AN252" t="s">
        <v>6102</v>
      </c>
      <c r="AO252" t="s">
        <v>1304</v>
      </c>
      <c r="AP252" t="s">
        <v>1304</v>
      </c>
      <c r="AU252" t="s">
        <v>318</v>
      </c>
      <c r="AV252" t="s">
        <v>118</v>
      </c>
      <c r="AW252" t="s">
        <v>102</v>
      </c>
      <c r="AX252" t="s">
        <v>119</v>
      </c>
      <c r="BB252" t="s">
        <v>120</v>
      </c>
      <c r="BC252" t="s">
        <v>1759</v>
      </c>
      <c r="BD252" t="s">
        <v>410</v>
      </c>
      <c r="BE252" t="s">
        <v>212</v>
      </c>
      <c r="BF252" t="s">
        <v>410</v>
      </c>
      <c r="BG252" t="s">
        <v>124</v>
      </c>
      <c r="BH252" t="s">
        <v>232</v>
      </c>
      <c r="BI252" t="s">
        <v>126</v>
      </c>
      <c r="BJ252" t="s">
        <v>127</v>
      </c>
      <c r="BK252" t="s">
        <v>6103</v>
      </c>
      <c r="BL252" t="s">
        <v>6104</v>
      </c>
      <c r="BM252" t="s">
        <v>6105</v>
      </c>
      <c r="BN252" t="s">
        <v>3640</v>
      </c>
      <c r="BO252" t="s">
        <v>1582</v>
      </c>
      <c r="BP252" t="s">
        <v>258</v>
      </c>
      <c r="BQ252" t="s">
        <v>1583</v>
      </c>
      <c r="BR252" t="s">
        <v>1584</v>
      </c>
      <c r="BS252" t="s">
        <v>1585</v>
      </c>
      <c r="BU252" t="s">
        <v>6106</v>
      </c>
      <c r="BV252" t="s">
        <v>3650</v>
      </c>
      <c r="BW252" t="s">
        <v>138</v>
      </c>
      <c r="BX252" t="s">
        <v>3651</v>
      </c>
      <c r="BY252" t="s">
        <v>6107</v>
      </c>
      <c r="BZ252" t="s">
        <v>3651</v>
      </c>
      <c r="CA252" t="s">
        <v>3650</v>
      </c>
      <c r="CB252" t="s">
        <v>3651</v>
      </c>
      <c r="CC252" t="s">
        <v>6107</v>
      </c>
      <c r="CG252" t="s">
        <v>573</v>
      </c>
      <c r="CH252" t="s">
        <v>6108</v>
      </c>
      <c r="CJ252" t="s">
        <v>2740</v>
      </c>
      <c r="CK252" t="s">
        <v>6108</v>
      </c>
      <c r="CL252" t="s">
        <v>1759</v>
      </c>
      <c r="CM252" t="s">
        <v>410</v>
      </c>
      <c r="CN252" t="s">
        <v>2740</v>
      </c>
      <c r="CP252" t="s">
        <v>6108</v>
      </c>
      <c r="CQ252" t="s">
        <v>6108</v>
      </c>
    </row>
    <row r="253" spans="1:95">
      <c r="A253" t="s">
        <v>149</v>
      </c>
      <c r="B253">
        <v>3455532</v>
      </c>
      <c r="C253" t="s">
        <v>6109</v>
      </c>
      <c r="D253" t="str">
        <f>VLOOKUP(B253,'2025'!B:C,2,0)</f>
        <v>Hetal Parmar</v>
      </c>
      <c r="F253" t="s">
        <v>95</v>
      </c>
      <c r="G253" t="s">
        <v>583</v>
      </c>
      <c r="H253" t="s">
        <v>97</v>
      </c>
      <c r="I253" t="s">
        <v>98</v>
      </c>
      <c r="J253" t="s">
        <v>6110</v>
      </c>
      <c r="K253" t="s">
        <v>100</v>
      </c>
      <c r="L253">
        <v>400061</v>
      </c>
      <c r="M253">
        <v>400061</v>
      </c>
      <c r="N253">
        <v>400061</v>
      </c>
      <c r="O253">
        <v>762</v>
      </c>
      <c r="P253" t="s">
        <v>4107</v>
      </c>
      <c r="Q253">
        <v>0</v>
      </c>
      <c r="R253">
        <v>0</v>
      </c>
      <c r="T253">
        <v>0</v>
      </c>
      <c r="U253">
        <v>0</v>
      </c>
      <c r="W253" t="s">
        <v>102</v>
      </c>
      <c r="X253" t="s">
        <v>275</v>
      </c>
      <c r="Z253" t="s">
        <v>341</v>
      </c>
      <c r="AA253" t="s">
        <v>109</v>
      </c>
      <c r="AB253" t="s">
        <v>102</v>
      </c>
      <c r="AC253" t="s">
        <v>109</v>
      </c>
      <c r="AD253" t="s">
        <v>102</v>
      </c>
      <c r="AE253" t="s">
        <v>109</v>
      </c>
      <c r="AF253" t="s">
        <v>102</v>
      </c>
      <c r="AG253" t="s">
        <v>109</v>
      </c>
      <c r="AH253" t="s">
        <v>102</v>
      </c>
      <c r="AI253" t="s">
        <v>6111</v>
      </c>
      <c r="AJ253" t="s">
        <v>1354</v>
      </c>
      <c r="AK253" t="s">
        <v>441</v>
      </c>
      <c r="AL253" t="s">
        <v>6112</v>
      </c>
      <c r="AM253" t="s">
        <v>6113</v>
      </c>
      <c r="AN253" t="s">
        <v>6114</v>
      </c>
      <c r="AO253" t="s">
        <v>6115</v>
      </c>
      <c r="AP253" t="s">
        <v>6116</v>
      </c>
      <c r="AQ253" t="s">
        <v>343</v>
      </c>
      <c r="AU253" t="s">
        <v>318</v>
      </c>
      <c r="AV253" t="s">
        <v>118</v>
      </c>
      <c r="AW253" t="s">
        <v>102</v>
      </c>
      <c r="AX253" t="s">
        <v>119</v>
      </c>
      <c r="BB253" t="s">
        <v>120</v>
      </c>
      <c r="BC253" t="s">
        <v>4864</v>
      </c>
      <c r="BD253" t="s">
        <v>621</v>
      </c>
      <c r="BE253" t="s">
        <v>622</v>
      </c>
      <c r="BF253" t="s">
        <v>623</v>
      </c>
      <c r="BG253" t="s">
        <v>124</v>
      </c>
      <c r="BH253" t="s">
        <v>232</v>
      </c>
      <c r="BI253" t="s">
        <v>126</v>
      </c>
      <c r="BJ253" t="s">
        <v>127</v>
      </c>
      <c r="BK253" t="s">
        <v>6117</v>
      </c>
      <c r="BL253" t="s">
        <v>6118</v>
      </c>
      <c r="BM253" t="s">
        <v>6119</v>
      </c>
      <c r="BN253" t="s">
        <v>583</v>
      </c>
      <c r="BO253" t="s">
        <v>1339</v>
      </c>
      <c r="BP253" t="s">
        <v>258</v>
      </c>
      <c r="BQ253" t="s">
        <v>1340</v>
      </c>
      <c r="BR253" t="s">
        <v>1341</v>
      </c>
      <c r="BS253" t="s">
        <v>1279</v>
      </c>
      <c r="BU253" t="s">
        <v>6120</v>
      </c>
      <c r="BV253" t="s">
        <v>6121</v>
      </c>
      <c r="BW253" t="s">
        <v>138</v>
      </c>
      <c r="BX253" t="s">
        <v>6122</v>
      </c>
      <c r="BY253" t="s">
        <v>6123</v>
      </c>
      <c r="BZ253" t="s">
        <v>6124</v>
      </c>
      <c r="CA253" t="s">
        <v>6121</v>
      </c>
      <c r="CB253" t="s">
        <v>6122</v>
      </c>
      <c r="CC253" t="s">
        <v>6123</v>
      </c>
      <c r="CD253" t="s">
        <v>6125</v>
      </c>
      <c r="CE253" t="s">
        <v>6126</v>
      </c>
      <c r="CG253" t="s">
        <v>102</v>
      </c>
      <c r="CH253" t="s">
        <v>6127</v>
      </c>
      <c r="CJ253" t="s">
        <v>6128</v>
      </c>
      <c r="CK253" t="s">
        <v>6127</v>
      </c>
      <c r="CL253" t="s">
        <v>4864</v>
      </c>
      <c r="CM253" t="s">
        <v>621</v>
      </c>
      <c r="CN253" t="s">
        <v>6128</v>
      </c>
      <c r="CP253" t="s">
        <v>6127</v>
      </c>
      <c r="CQ253" t="s">
        <v>6127</v>
      </c>
    </row>
    <row r="254" spans="1:95">
      <c r="A254" t="s">
        <v>149</v>
      </c>
      <c r="B254">
        <v>3458722</v>
      </c>
      <c r="C254" t="s">
        <v>6129</v>
      </c>
      <c r="E254" s="4" t="s">
        <v>17377</v>
      </c>
      <c r="F254" t="s">
        <v>95</v>
      </c>
      <c r="G254" t="s">
        <v>441</v>
      </c>
      <c r="H254" t="s">
        <v>152</v>
      </c>
      <c r="I254" t="s">
        <v>98</v>
      </c>
      <c r="J254" t="s">
        <v>6130</v>
      </c>
      <c r="K254" t="s">
        <v>100</v>
      </c>
      <c r="L254">
        <v>654444</v>
      </c>
      <c r="M254">
        <v>654444</v>
      </c>
      <c r="N254">
        <v>0</v>
      </c>
      <c r="O254">
        <v>0</v>
      </c>
      <c r="Q254">
        <v>654444</v>
      </c>
      <c r="R254">
        <v>423</v>
      </c>
      <c r="S254" t="s">
        <v>6131</v>
      </c>
      <c r="T254">
        <v>0</v>
      </c>
      <c r="U254">
        <v>0</v>
      </c>
      <c r="W254" t="s">
        <v>102</v>
      </c>
      <c r="X254" t="s">
        <v>103</v>
      </c>
      <c r="Y254" t="s">
        <v>155</v>
      </c>
      <c r="AA254" t="s">
        <v>441</v>
      </c>
      <c r="AB254" t="s">
        <v>6132</v>
      </c>
      <c r="AC254" t="s">
        <v>400</v>
      </c>
      <c r="AD254" t="s">
        <v>6132</v>
      </c>
      <c r="AE254" t="s">
        <v>437</v>
      </c>
      <c r="AF254" t="s">
        <v>6132</v>
      </c>
      <c r="AG254" t="s">
        <v>402</v>
      </c>
      <c r="AH254" t="s">
        <v>6132</v>
      </c>
      <c r="AI254" t="s">
        <v>6133</v>
      </c>
      <c r="AJ254" t="s">
        <v>3576</v>
      </c>
      <c r="AK254" t="s">
        <v>6134</v>
      </c>
      <c r="AL254" t="s">
        <v>6135</v>
      </c>
      <c r="AM254" t="s">
        <v>6136</v>
      </c>
      <c r="AN254" t="s">
        <v>6137</v>
      </c>
      <c r="AO254" t="s">
        <v>6138</v>
      </c>
      <c r="AP254" t="s">
        <v>6139</v>
      </c>
      <c r="AT254" t="s">
        <v>169</v>
      </c>
      <c r="AU254" t="s">
        <v>102</v>
      </c>
      <c r="AW254" t="s">
        <v>155</v>
      </c>
      <c r="AX254" t="s">
        <v>447</v>
      </c>
      <c r="AY254" t="s">
        <v>170</v>
      </c>
      <c r="AZ254" t="s">
        <v>118</v>
      </c>
      <c r="BB254" t="s">
        <v>120</v>
      </c>
      <c r="BC254" t="s">
        <v>4562</v>
      </c>
      <c r="BD254" t="s">
        <v>556</v>
      </c>
      <c r="BE254" t="s">
        <v>122</v>
      </c>
      <c r="BF254" t="s">
        <v>557</v>
      </c>
      <c r="BG254" t="s">
        <v>124</v>
      </c>
      <c r="BH254" t="s">
        <v>232</v>
      </c>
      <c r="BI254" t="s">
        <v>126</v>
      </c>
      <c r="BJ254" t="s">
        <v>127</v>
      </c>
      <c r="BK254" t="s">
        <v>6140</v>
      </c>
      <c r="BL254" t="s">
        <v>6141</v>
      </c>
      <c r="BM254" t="s">
        <v>6142</v>
      </c>
      <c r="BN254" t="s">
        <v>441</v>
      </c>
      <c r="BO254" t="s">
        <v>1142</v>
      </c>
      <c r="BP254" t="s">
        <v>350</v>
      </c>
      <c r="BQ254" t="s">
        <v>1143</v>
      </c>
      <c r="BR254" t="s">
        <v>1144</v>
      </c>
      <c r="BS254" t="s">
        <v>1075</v>
      </c>
      <c r="BT254" t="s">
        <v>1075</v>
      </c>
      <c r="BU254" t="s">
        <v>6143</v>
      </c>
      <c r="BV254" t="s">
        <v>6144</v>
      </c>
      <c r="BX254" t="s">
        <v>6145</v>
      </c>
      <c r="BY254" t="s">
        <v>4570</v>
      </c>
      <c r="BZ254" t="s">
        <v>6145</v>
      </c>
      <c r="CG254" t="s">
        <v>102</v>
      </c>
      <c r="CH254" t="s">
        <v>6146</v>
      </c>
      <c r="CJ254" t="s">
        <v>6147</v>
      </c>
      <c r="CK254" t="s">
        <v>6146</v>
      </c>
      <c r="CL254" t="s">
        <v>4562</v>
      </c>
      <c r="CM254" t="s">
        <v>556</v>
      </c>
      <c r="CN254" t="s">
        <v>6147</v>
      </c>
      <c r="CP254" t="s">
        <v>6146</v>
      </c>
      <c r="CQ254" t="s">
        <v>6146</v>
      </c>
    </row>
    <row r="255" spans="1:95">
      <c r="A255" t="s">
        <v>93</v>
      </c>
      <c r="B255">
        <v>3459074</v>
      </c>
      <c r="C255" t="s">
        <v>6148</v>
      </c>
      <c r="D255" t="str">
        <f>VLOOKUP(B255,'2025'!B:C,2,0)</f>
        <v>Vaishali</v>
      </c>
      <c r="F255" t="s">
        <v>95</v>
      </c>
      <c r="G255" t="s">
        <v>5774</v>
      </c>
      <c r="H255" t="s">
        <v>97</v>
      </c>
      <c r="I255" t="s">
        <v>98</v>
      </c>
      <c r="J255" t="s">
        <v>6149</v>
      </c>
      <c r="K255" t="s">
        <v>100</v>
      </c>
      <c r="L255">
        <v>362018</v>
      </c>
      <c r="M255">
        <v>362018</v>
      </c>
      <c r="N255">
        <v>362018</v>
      </c>
      <c r="O255">
        <v>362</v>
      </c>
      <c r="P255" t="s">
        <v>5042</v>
      </c>
      <c r="Q255">
        <v>0</v>
      </c>
      <c r="R255">
        <v>0</v>
      </c>
      <c r="T255">
        <v>0</v>
      </c>
      <c r="U255">
        <v>0</v>
      </c>
      <c r="W255" t="s">
        <v>102</v>
      </c>
      <c r="X255" t="s">
        <v>103</v>
      </c>
      <c r="Y255" t="s">
        <v>398</v>
      </c>
      <c r="AA255" t="s">
        <v>365</v>
      </c>
      <c r="AB255" t="s">
        <v>6150</v>
      </c>
      <c r="AC255" t="s">
        <v>321</v>
      </c>
      <c r="AD255" t="s">
        <v>6150</v>
      </c>
      <c r="AE255" t="s">
        <v>3134</v>
      </c>
      <c r="AF255" t="s">
        <v>6151</v>
      </c>
      <c r="AG255" t="s">
        <v>109</v>
      </c>
      <c r="AH255" t="s">
        <v>102</v>
      </c>
      <c r="AI255" t="s">
        <v>6152</v>
      </c>
      <c r="AJ255" t="s">
        <v>2479</v>
      </c>
      <c r="AK255" t="s">
        <v>648</v>
      </c>
      <c r="AL255" t="s">
        <v>6153</v>
      </c>
      <c r="AM255" t="s">
        <v>6154</v>
      </c>
      <c r="AN255" t="s">
        <v>102</v>
      </c>
      <c r="AO255" t="s">
        <v>3677</v>
      </c>
      <c r="AP255" t="s">
        <v>3677</v>
      </c>
      <c r="AU255" t="s">
        <v>318</v>
      </c>
      <c r="AV255" t="s">
        <v>118</v>
      </c>
      <c r="AW255" t="s">
        <v>102</v>
      </c>
      <c r="AX255" t="s">
        <v>119</v>
      </c>
      <c r="BB255" t="s">
        <v>120</v>
      </c>
      <c r="BC255" t="s">
        <v>1407</v>
      </c>
      <c r="BD255" t="s">
        <v>449</v>
      </c>
      <c r="BE255" t="s">
        <v>122</v>
      </c>
      <c r="BF255" t="s">
        <v>450</v>
      </c>
      <c r="BG255" t="s">
        <v>124</v>
      </c>
      <c r="BH255" t="s">
        <v>3457</v>
      </c>
      <c r="BI255" t="s">
        <v>126</v>
      </c>
      <c r="BJ255" t="s">
        <v>127</v>
      </c>
      <c r="BK255" t="s">
        <v>6155</v>
      </c>
      <c r="BL255" t="s">
        <v>6156</v>
      </c>
      <c r="BM255" t="s">
        <v>6157</v>
      </c>
      <c r="BN255" t="s">
        <v>5774</v>
      </c>
      <c r="BO255" t="s">
        <v>131</v>
      </c>
      <c r="BP255" t="s">
        <v>350</v>
      </c>
      <c r="BQ255" t="s">
        <v>133</v>
      </c>
      <c r="BR255" t="s">
        <v>134</v>
      </c>
      <c r="BS255" t="s">
        <v>135</v>
      </c>
      <c r="BU255" t="s">
        <v>6158</v>
      </c>
      <c r="BV255" t="s">
        <v>6159</v>
      </c>
      <c r="BW255" t="s">
        <v>354</v>
      </c>
      <c r="BX255" t="s">
        <v>6160</v>
      </c>
      <c r="BY255" t="s">
        <v>6161</v>
      </c>
      <c r="BZ255" t="s">
        <v>6162</v>
      </c>
      <c r="CA255" t="s">
        <v>6163</v>
      </c>
      <c r="CB255" t="s">
        <v>6164</v>
      </c>
      <c r="CC255" t="s">
        <v>6165</v>
      </c>
      <c r="CD255" t="s">
        <v>6166</v>
      </c>
      <c r="CE255" t="s">
        <v>6167</v>
      </c>
      <c r="CF255" t="s">
        <v>6168</v>
      </c>
      <c r="CG255" t="s">
        <v>5768</v>
      </c>
      <c r="CH255" t="s">
        <v>6169</v>
      </c>
      <c r="CJ255" t="s">
        <v>1419</v>
      </c>
      <c r="CK255" t="s">
        <v>6169</v>
      </c>
      <c r="CL255" t="s">
        <v>1407</v>
      </c>
      <c r="CM255" t="s">
        <v>449</v>
      </c>
      <c r="CN255" t="s">
        <v>1419</v>
      </c>
      <c r="CO255" t="s">
        <v>6170</v>
      </c>
      <c r="CP255" t="s">
        <v>6169</v>
      </c>
      <c r="CQ255" t="s">
        <v>6169</v>
      </c>
    </row>
    <row r="256" spans="1:95">
      <c r="A256" t="s">
        <v>337</v>
      </c>
      <c r="B256">
        <v>3464699</v>
      </c>
      <c r="C256" t="s">
        <v>6171</v>
      </c>
      <c r="D256" t="str">
        <f>VLOOKUP(B256,'2025'!B:C,2,0)</f>
        <v>Rohit</v>
      </c>
      <c r="F256" t="s">
        <v>95</v>
      </c>
      <c r="G256" t="s">
        <v>517</v>
      </c>
      <c r="H256" t="s">
        <v>152</v>
      </c>
      <c r="I256" t="s">
        <v>98</v>
      </c>
      <c r="J256" t="s">
        <v>6172</v>
      </c>
      <c r="K256" t="s">
        <v>100</v>
      </c>
      <c r="L256">
        <v>180050</v>
      </c>
      <c r="M256">
        <v>180050</v>
      </c>
      <c r="N256">
        <v>0</v>
      </c>
      <c r="O256">
        <v>0</v>
      </c>
      <c r="Q256">
        <v>180050</v>
      </c>
      <c r="R256">
        <v>100</v>
      </c>
      <c r="S256" t="s">
        <v>3005</v>
      </c>
      <c r="T256">
        <v>0</v>
      </c>
      <c r="U256">
        <v>0</v>
      </c>
      <c r="W256" t="s">
        <v>102</v>
      </c>
      <c r="X256" t="s">
        <v>103</v>
      </c>
      <c r="Y256" t="s">
        <v>104</v>
      </c>
      <c r="AA256" t="s">
        <v>2947</v>
      </c>
      <c r="AB256" t="s">
        <v>6173</v>
      </c>
      <c r="AC256" t="s">
        <v>977</v>
      </c>
      <c r="AD256" t="s">
        <v>6173</v>
      </c>
      <c r="AE256" t="s">
        <v>109</v>
      </c>
      <c r="AF256" t="s">
        <v>102</v>
      </c>
      <c r="AG256" t="s">
        <v>109</v>
      </c>
      <c r="AH256" t="s">
        <v>102</v>
      </c>
      <c r="AI256" t="s">
        <v>102</v>
      </c>
      <c r="AJ256" t="s">
        <v>431</v>
      </c>
      <c r="AK256" t="s">
        <v>2276</v>
      </c>
      <c r="AL256" t="s">
        <v>6174</v>
      </c>
      <c r="AM256" t="s">
        <v>3661</v>
      </c>
      <c r="AN256" t="s">
        <v>6175</v>
      </c>
      <c r="AO256" t="s">
        <v>3012</v>
      </c>
      <c r="AP256" t="s">
        <v>3012</v>
      </c>
      <c r="AU256" t="s">
        <v>102</v>
      </c>
      <c r="AW256" t="s">
        <v>155</v>
      </c>
      <c r="AX256" t="s">
        <v>447</v>
      </c>
      <c r="AY256" t="s">
        <v>170</v>
      </c>
      <c r="AZ256" t="s">
        <v>118</v>
      </c>
      <c r="BB256" t="s">
        <v>120</v>
      </c>
      <c r="BC256" t="s">
        <v>6176</v>
      </c>
      <c r="BD256" t="s">
        <v>556</v>
      </c>
      <c r="BE256" t="s">
        <v>122</v>
      </c>
      <c r="BF256" t="s">
        <v>557</v>
      </c>
      <c r="BG256" t="s">
        <v>124</v>
      </c>
      <c r="BH256" t="s">
        <v>377</v>
      </c>
      <c r="BI256" t="s">
        <v>6177</v>
      </c>
      <c r="BJ256" t="s">
        <v>127</v>
      </c>
      <c r="BK256" t="s">
        <v>6178</v>
      </c>
      <c r="BL256" t="s">
        <v>6179</v>
      </c>
      <c r="BM256" t="s">
        <v>6180</v>
      </c>
      <c r="BN256" t="s">
        <v>517</v>
      </c>
      <c r="BO256" t="s">
        <v>1071</v>
      </c>
      <c r="BP256" t="s">
        <v>350</v>
      </c>
      <c r="BQ256" t="s">
        <v>1072</v>
      </c>
      <c r="BR256" t="s">
        <v>1073</v>
      </c>
      <c r="BS256" t="s">
        <v>1074</v>
      </c>
      <c r="BU256" t="s">
        <v>6181</v>
      </c>
      <c r="BV256" t="s">
        <v>6182</v>
      </c>
      <c r="BW256" t="s">
        <v>354</v>
      </c>
      <c r="BX256" t="s">
        <v>6183</v>
      </c>
      <c r="BY256" t="s">
        <v>6184</v>
      </c>
      <c r="BZ256" t="s">
        <v>6183</v>
      </c>
      <c r="CG256" t="s">
        <v>6185</v>
      </c>
      <c r="CH256" t="s">
        <v>6186</v>
      </c>
      <c r="CJ256" t="s">
        <v>6187</v>
      </c>
      <c r="CK256" t="s">
        <v>6186</v>
      </c>
      <c r="CL256" t="s">
        <v>6176</v>
      </c>
      <c r="CM256" t="s">
        <v>556</v>
      </c>
      <c r="CN256" t="s">
        <v>6187</v>
      </c>
      <c r="CP256" t="s">
        <v>6186</v>
      </c>
      <c r="CQ256" t="s">
        <v>6186</v>
      </c>
    </row>
    <row r="257" spans="1:95">
      <c r="A257" t="s">
        <v>93</v>
      </c>
      <c r="B257">
        <v>346484</v>
      </c>
      <c r="C257" t="s">
        <v>6188</v>
      </c>
      <c r="D257" t="str">
        <f>VLOOKUP(B257,'2025'!B:C,2,0)</f>
        <v>Gargi Ghosh</v>
      </c>
      <c r="F257" t="s">
        <v>95</v>
      </c>
      <c r="G257" t="s">
        <v>3003</v>
      </c>
      <c r="H257" t="s">
        <v>152</v>
      </c>
      <c r="I257" t="s">
        <v>98</v>
      </c>
      <c r="J257" t="s">
        <v>6189</v>
      </c>
      <c r="K257" t="s">
        <v>100</v>
      </c>
      <c r="L257">
        <v>2077268</v>
      </c>
      <c r="M257">
        <v>2077268</v>
      </c>
      <c r="N257">
        <v>0</v>
      </c>
      <c r="O257">
        <v>0</v>
      </c>
      <c r="Q257">
        <v>2077268</v>
      </c>
      <c r="R257">
        <v>1154</v>
      </c>
      <c r="S257" t="s">
        <v>3005</v>
      </c>
      <c r="T257">
        <v>0</v>
      </c>
      <c r="U257">
        <v>0</v>
      </c>
      <c r="W257" t="s">
        <v>102</v>
      </c>
      <c r="X257" t="s">
        <v>275</v>
      </c>
      <c r="Z257" t="s">
        <v>1745</v>
      </c>
      <c r="AA257" t="s">
        <v>109</v>
      </c>
      <c r="AB257" t="s">
        <v>102</v>
      </c>
      <c r="AC257" t="s">
        <v>109</v>
      </c>
      <c r="AD257" t="s">
        <v>102</v>
      </c>
      <c r="AE257" t="s">
        <v>109</v>
      </c>
      <c r="AF257" t="s">
        <v>102</v>
      </c>
      <c r="AG257" t="s">
        <v>109</v>
      </c>
      <c r="AH257" t="s">
        <v>102</v>
      </c>
      <c r="AI257" t="s">
        <v>102</v>
      </c>
      <c r="AJ257" t="s">
        <v>684</v>
      </c>
      <c r="AK257" t="s">
        <v>684</v>
      </c>
      <c r="AL257" t="s">
        <v>6190</v>
      </c>
      <c r="AM257" t="s">
        <v>6191</v>
      </c>
      <c r="AN257" t="s">
        <v>6192</v>
      </c>
      <c r="AO257" t="s">
        <v>6193</v>
      </c>
      <c r="AP257" t="s">
        <v>6193</v>
      </c>
      <c r="AU257" t="s">
        <v>102</v>
      </c>
      <c r="AW257" t="s">
        <v>801</v>
      </c>
      <c r="AX257" t="s">
        <v>447</v>
      </c>
      <c r="AY257" t="s">
        <v>170</v>
      </c>
      <c r="AZ257" t="s">
        <v>118</v>
      </c>
      <c r="BB257" t="s">
        <v>171</v>
      </c>
      <c r="BC257" t="s">
        <v>6194</v>
      </c>
      <c r="BD257" t="s">
        <v>376</v>
      </c>
      <c r="BE257" t="s">
        <v>174</v>
      </c>
      <c r="BF257" t="s">
        <v>376</v>
      </c>
      <c r="BG257" t="s">
        <v>124</v>
      </c>
      <c r="BH257" t="s">
        <v>545</v>
      </c>
      <c r="BI257" t="s">
        <v>1827</v>
      </c>
      <c r="BJ257" t="s">
        <v>127</v>
      </c>
      <c r="BK257" t="s">
        <v>6195</v>
      </c>
      <c r="BL257" t="s">
        <v>6196</v>
      </c>
      <c r="BM257" t="s">
        <v>6197</v>
      </c>
      <c r="BN257" t="s">
        <v>3003</v>
      </c>
      <c r="BO257" t="s">
        <v>5026</v>
      </c>
      <c r="BP257" t="s">
        <v>180</v>
      </c>
      <c r="BQ257" t="s">
        <v>5027</v>
      </c>
      <c r="BR257" t="s">
        <v>5028</v>
      </c>
      <c r="BS257" t="s">
        <v>5029</v>
      </c>
      <c r="BU257" t="s">
        <v>6198</v>
      </c>
      <c r="BV257" t="s">
        <v>6199</v>
      </c>
      <c r="BW257" t="s">
        <v>138</v>
      </c>
      <c r="BX257" t="s">
        <v>6200</v>
      </c>
      <c r="BY257" t="s">
        <v>6201</v>
      </c>
      <c r="BZ257" t="s">
        <v>6200</v>
      </c>
      <c r="CA257" t="s">
        <v>6199</v>
      </c>
      <c r="CB257" t="s">
        <v>6200</v>
      </c>
      <c r="CC257" t="s">
        <v>6201</v>
      </c>
      <c r="CD257" t="s">
        <v>6202</v>
      </c>
      <c r="CE257" t="s">
        <v>6203</v>
      </c>
      <c r="CF257" t="s">
        <v>6204</v>
      </c>
      <c r="CG257" t="s">
        <v>6205</v>
      </c>
      <c r="CH257" t="s">
        <v>6206</v>
      </c>
      <c r="CJ257" t="s">
        <v>6207</v>
      </c>
      <c r="CK257" t="s">
        <v>6206</v>
      </c>
      <c r="CL257" t="s">
        <v>6194</v>
      </c>
      <c r="CM257" t="s">
        <v>376</v>
      </c>
      <c r="CN257" t="s">
        <v>6207</v>
      </c>
      <c r="CO257" t="s">
        <v>6208</v>
      </c>
      <c r="CP257" t="s">
        <v>6206</v>
      </c>
      <c r="CQ257" t="s">
        <v>6206</v>
      </c>
    </row>
    <row r="258" spans="1:95">
      <c r="A258" t="s">
        <v>149</v>
      </c>
      <c r="B258">
        <v>3472426</v>
      </c>
      <c r="C258" t="s">
        <v>6209</v>
      </c>
      <c r="D258" t="str">
        <f>VLOOKUP(B258,'2025'!B:C,2,0)</f>
        <v>Vineeth T V</v>
      </c>
      <c r="F258" t="s">
        <v>95</v>
      </c>
      <c r="G258" t="s">
        <v>367</v>
      </c>
      <c r="H258" t="s">
        <v>97</v>
      </c>
      <c r="I258" t="s">
        <v>98</v>
      </c>
      <c r="J258" t="s">
        <v>6210</v>
      </c>
      <c r="K258" t="s">
        <v>100</v>
      </c>
      <c r="L258">
        <v>53460</v>
      </c>
      <c r="M258">
        <v>53460</v>
      </c>
      <c r="N258">
        <v>53460</v>
      </c>
      <c r="O258">
        <v>99</v>
      </c>
      <c r="P258" t="s">
        <v>2322</v>
      </c>
      <c r="Q258">
        <v>0</v>
      </c>
      <c r="R258">
        <v>0</v>
      </c>
      <c r="T258">
        <v>0</v>
      </c>
      <c r="U258">
        <v>0</v>
      </c>
      <c r="W258" t="s">
        <v>102</v>
      </c>
      <c r="X258" t="s">
        <v>103</v>
      </c>
      <c r="Y258" t="s">
        <v>104</v>
      </c>
      <c r="AA258" t="s">
        <v>367</v>
      </c>
      <c r="AB258" t="s">
        <v>6211</v>
      </c>
      <c r="AC258" t="s">
        <v>158</v>
      </c>
      <c r="AD258" t="s">
        <v>6212</v>
      </c>
      <c r="AE258" t="s">
        <v>109</v>
      </c>
      <c r="AF258" t="s">
        <v>102</v>
      </c>
      <c r="AG258" t="s">
        <v>109</v>
      </c>
      <c r="AH258" t="s">
        <v>102</v>
      </c>
      <c r="AI258" t="s">
        <v>6213</v>
      </c>
      <c r="AJ258" t="s">
        <v>3731</v>
      </c>
      <c r="AK258" t="s">
        <v>5755</v>
      </c>
      <c r="AL258" t="s">
        <v>6214</v>
      </c>
      <c r="AM258" t="s">
        <v>6215</v>
      </c>
      <c r="AN258" t="s">
        <v>6216</v>
      </c>
      <c r="AO258" t="s">
        <v>2326</v>
      </c>
      <c r="AP258" t="s">
        <v>2326</v>
      </c>
      <c r="AU258" t="s">
        <v>318</v>
      </c>
      <c r="AV258" t="s">
        <v>118</v>
      </c>
      <c r="AW258" t="s">
        <v>102</v>
      </c>
      <c r="AX258" t="s">
        <v>119</v>
      </c>
      <c r="BB258" t="s">
        <v>1242</v>
      </c>
      <c r="BC258" t="s">
        <v>409</v>
      </c>
      <c r="BD258" t="s">
        <v>410</v>
      </c>
      <c r="BE258" t="s">
        <v>212</v>
      </c>
      <c r="BF258" t="s">
        <v>410</v>
      </c>
      <c r="BG258" t="s">
        <v>124</v>
      </c>
      <c r="BH258" t="s">
        <v>400</v>
      </c>
      <c r="BI258" t="s">
        <v>126</v>
      </c>
      <c r="BJ258" t="s">
        <v>127</v>
      </c>
      <c r="BK258" t="s">
        <v>6217</v>
      </c>
      <c r="BL258" t="s">
        <v>6218</v>
      </c>
      <c r="BM258" t="s">
        <v>6219</v>
      </c>
      <c r="BN258" t="s">
        <v>367</v>
      </c>
      <c r="BO258" t="s">
        <v>866</v>
      </c>
      <c r="BP258" t="s">
        <v>132</v>
      </c>
      <c r="BQ258" t="s">
        <v>867</v>
      </c>
      <c r="BR258" t="s">
        <v>868</v>
      </c>
      <c r="BS258" t="s">
        <v>418</v>
      </c>
      <c r="BU258" t="s">
        <v>6220</v>
      </c>
      <c r="BV258" t="s">
        <v>3585</v>
      </c>
      <c r="BW258" t="s">
        <v>598</v>
      </c>
      <c r="BX258" t="s">
        <v>225</v>
      </c>
      <c r="BY258" t="s">
        <v>226</v>
      </c>
      <c r="BZ258" t="s">
        <v>6221</v>
      </c>
      <c r="CG258" t="s">
        <v>102</v>
      </c>
      <c r="CH258" t="s">
        <v>6222</v>
      </c>
      <c r="CJ258" t="s">
        <v>6223</v>
      </c>
      <c r="CK258" t="s">
        <v>6222</v>
      </c>
      <c r="CL258" t="s">
        <v>409</v>
      </c>
      <c r="CM258" t="s">
        <v>410</v>
      </c>
      <c r="CN258" t="s">
        <v>6223</v>
      </c>
      <c r="CO258" t="s">
        <v>3589</v>
      </c>
      <c r="CP258" t="s">
        <v>6222</v>
      </c>
      <c r="CQ258" t="s">
        <v>6222</v>
      </c>
    </row>
    <row r="259" spans="1:95">
      <c r="A259" t="s">
        <v>149</v>
      </c>
      <c r="B259">
        <v>3472778</v>
      </c>
      <c r="C259" t="s">
        <v>6224</v>
      </c>
      <c r="D259" t="str">
        <f>VLOOKUP(B259,'2025'!B:C,2,0)</f>
        <v>Bhavishya</v>
      </c>
      <c r="F259" t="s">
        <v>95</v>
      </c>
      <c r="G259" t="s">
        <v>111</v>
      </c>
      <c r="H259" t="s">
        <v>97</v>
      </c>
      <c r="I259" t="s">
        <v>98</v>
      </c>
      <c r="J259" t="s">
        <v>6225</v>
      </c>
      <c r="K259" t="s">
        <v>100</v>
      </c>
      <c r="L259">
        <v>604800</v>
      </c>
      <c r="M259">
        <v>604800</v>
      </c>
      <c r="N259">
        <v>604800</v>
      </c>
      <c r="O259">
        <v>1008</v>
      </c>
      <c r="P259" t="s">
        <v>310</v>
      </c>
      <c r="Q259">
        <v>0</v>
      </c>
      <c r="R259">
        <v>0</v>
      </c>
      <c r="T259">
        <v>0</v>
      </c>
      <c r="U259">
        <v>0</v>
      </c>
      <c r="W259" t="s">
        <v>102</v>
      </c>
      <c r="X259" t="s">
        <v>275</v>
      </c>
      <c r="Z259" t="s">
        <v>311</v>
      </c>
      <c r="AA259" t="s">
        <v>109</v>
      </c>
      <c r="AB259" t="s">
        <v>102</v>
      </c>
      <c r="AC259" t="s">
        <v>109</v>
      </c>
      <c r="AD259" t="s">
        <v>102</v>
      </c>
      <c r="AE259" t="s">
        <v>109</v>
      </c>
      <c r="AF259" t="s">
        <v>102</v>
      </c>
      <c r="AG259" t="s">
        <v>109</v>
      </c>
      <c r="AH259" t="s">
        <v>102</v>
      </c>
      <c r="AI259" t="s">
        <v>6226</v>
      </c>
      <c r="AJ259" t="s">
        <v>2585</v>
      </c>
      <c r="AK259" t="s">
        <v>2585</v>
      </c>
      <c r="AL259" t="s">
        <v>6227</v>
      </c>
      <c r="AM259" t="s">
        <v>6228</v>
      </c>
      <c r="AN259" t="s">
        <v>6229</v>
      </c>
      <c r="AO259" t="s">
        <v>317</v>
      </c>
      <c r="AP259" t="s">
        <v>317</v>
      </c>
      <c r="AU259" t="s">
        <v>318</v>
      </c>
      <c r="AV259" t="s">
        <v>118</v>
      </c>
      <c r="AW259" t="s">
        <v>102</v>
      </c>
      <c r="AX259" t="s">
        <v>119</v>
      </c>
      <c r="BB259" t="s">
        <v>120</v>
      </c>
      <c r="BC259" t="s">
        <v>319</v>
      </c>
      <c r="BD259" t="s">
        <v>320</v>
      </c>
      <c r="BE259" t="s">
        <v>122</v>
      </c>
      <c r="BF259" t="s">
        <v>123</v>
      </c>
      <c r="BG259" t="s">
        <v>124</v>
      </c>
      <c r="BH259" t="s">
        <v>321</v>
      </c>
      <c r="BI259" t="s">
        <v>126</v>
      </c>
      <c r="BJ259" t="s">
        <v>127</v>
      </c>
      <c r="BK259" t="s">
        <v>6230</v>
      </c>
      <c r="BL259" t="s">
        <v>6231</v>
      </c>
      <c r="BM259" t="s">
        <v>6232</v>
      </c>
      <c r="BN259" t="s">
        <v>111</v>
      </c>
      <c r="BO259" t="s">
        <v>325</v>
      </c>
      <c r="BP259" t="s">
        <v>180</v>
      </c>
      <c r="BQ259" t="s">
        <v>326</v>
      </c>
      <c r="BR259" t="s">
        <v>327</v>
      </c>
      <c r="BS259" t="s">
        <v>328</v>
      </c>
      <c r="BU259" t="s">
        <v>6233</v>
      </c>
      <c r="BV259" t="s">
        <v>6234</v>
      </c>
      <c r="BW259" t="s">
        <v>354</v>
      </c>
      <c r="BX259" t="s">
        <v>6235</v>
      </c>
      <c r="BY259" t="s">
        <v>6236</v>
      </c>
      <c r="BZ259" t="s">
        <v>6235</v>
      </c>
      <c r="CG259" t="s">
        <v>1594</v>
      </c>
      <c r="CH259" t="s">
        <v>6237</v>
      </c>
      <c r="CJ259" t="s">
        <v>6238</v>
      </c>
      <c r="CK259" t="s">
        <v>6237</v>
      </c>
      <c r="CL259" t="s">
        <v>319</v>
      </c>
      <c r="CM259" t="s">
        <v>320</v>
      </c>
      <c r="CN259" t="s">
        <v>6238</v>
      </c>
      <c r="CP259" t="s">
        <v>6237</v>
      </c>
      <c r="CQ259" t="s">
        <v>6237</v>
      </c>
    </row>
    <row r="260" spans="1:95">
      <c r="A260" t="s">
        <v>93</v>
      </c>
      <c r="B260">
        <v>3473540</v>
      </c>
      <c r="C260" t="s">
        <v>6239</v>
      </c>
      <c r="E260" s="4" t="s">
        <v>17377</v>
      </c>
      <c r="F260" t="s">
        <v>95</v>
      </c>
      <c r="G260" t="s">
        <v>125</v>
      </c>
      <c r="H260" t="s">
        <v>97</v>
      </c>
      <c r="I260" t="s">
        <v>98</v>
      </c>
      <c r="J260" t="s">
        <v>6240</v>
      </c>
      <c r="K260" t="s">
        <v>100</v>
      </c>
      <c r="L260">
        <v>479660</v>
      </c>
      <c r="M260">
        <v>479660</v>
      </c>
      <c r="N260">
        <v>479660</v>
      </c>
      <c r="O260">
        <v>1199</v>
      </c>
      <c r="P260" t="s">
        <v>6051</v>
      </c>
      <c r="Q260">
        <v>0</v>
      </c>
      <c r="R260">
        <v>0</v>
      </c>
      <c r="T260">
        <v>0</v>
      </c>
      <c r="U260">
        <v>0</v>
      </c>
      <c r="W260" t="s">
        <v>102</v>
      </c>
      <c r="X260" t="s">
        <v>275</v>
      </c>
      <c r="Z260" t="s">
        <v>2388</v>
      </c>
      <c r="AA260" t="s">
        <v>109</v>
      </c>
      <c r="AB260" t="s">
        <v>102</v>
      </c>
      <c r="AC260" t="s">
        <v>109</v>
      </c>
      <c r="AD260" t="s">
        <v>102</v>
      </c>
      <c r="AE260" t="s">
        <v>109</v>
      </c>
      <c r="AF260" t="s">
        <v>102</v>
      </c>
      <c r="AG260" t="s">
        <v>109</v>
      </c>
      <c r="AH260" t="s">
        <v>102</v>
      </c>
      <c r="AI260" t="s">
        <v>102</v>
      </c>
      <c r="AJ260" t="s">
        <v>1600</v>
      </c>
      <c r="AK260" t="s">
        <v>1600</v>
      </c>
      <c r="AL260" t="s">
        <v>6241</v>
      </c>
      <c r="AM260" t="s">
        <v>6242</v>
      </c>
      <c r="AN260" t="s">
        <v>6243</v>
      </c>
      <c r="AO260" t="s">
        <v>6244</v>
      </c>
      <c r="AP260" t="s">
        <v>6244</v>
      </c>
      <c r="AU260" t="s">
        <v>318</v>
      </c>
      <c r="AV260" t="s">
        <v>118</v>
      </c>
      <c r="AW260" t="s">
        <v>102</v>
      </c>
      <c r="AX260" t="s">
        <v>119</v>
      </c>
      <c r="BB260" t="s">
        <v>120</v>
      </c>
      <c r="BC260" t="s">
        <v>319</v>
      </c>
      <c r="BD260" t="s">
        <v>320</v>
      </c>
      <c r="BE260" t="s">
        <v>122</v>
      </c>
      <c r="BF260" t="s">
        <v>123</v>
      </c>
      <c r="BG260" t="s">
        <v>124</v>
      </c>
      <c r="BH260" t="s">
        <v>1159</v>
      </c>
      <c r="BI260" t="s">
        <v>126</v>
      </c>
      <c r="BJ260" t="s">
        <v>127</v>
      </c>
      <c r="BK260" t="s">
        <v>6245</v>
      </c>
      <c r="BL260" t="s">
        <v>6246</v>
      </c>
      <c r="BM260" t="s">
        <v>6247</v>
      </c>
      <c r="BN260" t="s">
        <v>125</v>
      </c>
      <c r="BO260" t="s">
        <v>325</v>
      </c>
      <c r="BP260" t="s">
        <v>6248</v>
      </c>
      <c r="BQ260" t="s">
        <v>326</v>
      </c>
      <c r="BR260" t="s">
        <v>327</v>
      </c>
      <c r="BS260" t="s">
        <v>6249</v>
      </c>
      <c r="BT260" t="s">
        <v>5743</v>
      </c>
      <c r="BU260" t="s">
        <v>6250</v>
      </c>
      <c r="BV260" t="s">
        <v>6251</v>
      </c>
      <c r="BW260" t="s">
        <v>354</v>
      </c>
      <c r="BX260" t="s">
        <v>6252</v>
      </c>
      <c r="BY260" t="s">
        <v>6253</v>
      </c>
      <c r="BZ260" t="s">
        <v>6252</v>
      </c>
      <c r="CG260" t="s">
        <v>3658</v>
      </c>
      <c r="CH260" t="s">
        <v>6254</v>
      </c>
      <c r="CJ260" t="s">
        <v>6255</v>
      </c>
      <c r="CK260" t="s">
        <v>6254</v>
      </c>
      <c r="CL260" t="s">
        <v>319</v>
      </c>
      <c r="CM260" t="s">
        <v>320</v>
      </c>
      <c r="CN260" t="s">
        <v>6255</v>
      </c>
      <c r="CP260" t="s">
        <v>6254</v>
      </c>
      <c r="CQ260" t="s">
        <v>6254</v>
      </c>
    </row>
    <row r="261" spans="1:95">
      <c r="A261" t="s">
        <v>149</v>
      </c>
      <c r="B261">
        <v>34736</v>
      </c>
      <c r="C261" t="s">
        <v>6256</v>
      </c>
      <c r="F261" t="s">
        <v>95</v>
      </c>
      <c r="G261" t="s">
        <v>1630</v>
      </c>
      <c r="H261" t="s">
        <v>848</v>
      </c>
      <c r="I261" t="s">
        <v>98</v>
      </c>
      <c r="J261" t="s">
        <v>6257</v>
      </c>
      <c r="K261" t="s">
        <v>100</v>
      </c>
      <c r="L261">
        <v>318628</v>
      </c>
      <c r="M261">
        <v>375981</v>
      </c>
      <c r="N261">
        <v>0</v>
      </c>
      <c r="O261">
        <v>0</v>
      </c>
      <c r="Q261">
        <v>0</v>
      </c>
      <c r="R261">
        <v>0</v>
      </c>
      <c r="T261">
        <v>318628</v>
      </c>
      <c r="U261">
        <v>188</v>
      </c>
      <c r="V261" t="s">
        <v>2007</v>
      </c>
      <c r="W261" t="s">
        <v>102</v>
      </c>
      <c r="X261" t="s">
        <v>103</v>
      </c>
      <c r="Y261" t="s">
        <v>104</v>
      </c>
      <c r="AA261" t="s">
        <v>520</v>
      </c>
      <c r="AB261" t="s">
        <v>6258</v>
      </c>
      <c r="AC261" t="s">
        <v>648</v>
      </c>
      <c r="AD261" t="s">
        <v>6258</v>
      </c>
      <c r="AE261" t="s">
        <v>109</v>
      </c>
      <c r="AF261" t="s">
        <v>102</v>
      </c>
      <c r="AG261" t="s">
        <v>109</v>
      </c>
      <c r="AH261" t="s">
        <v>102</v>
      </c>
      <c r="AI261" t="s">
        <v>6259</v>
      </c>
      <c r="AJ261" t="s">
        <v>1295</v>
      </c>
      <c r="AK261" t="s">
        <v>497</v>
      </c>
      <c r="AL261" t="s">
        <v>6260</v>
      </c>
      <c r="AM261" t="s">
        <v>6261</v>
      </c>
      <c r="AN261" t="s">
        <v>6262</v>
      </c>
      <c r="AO261" t="s">
        <v>6263</v>
      </c>
      <c r="AP261" t="s">
        <v>6263</v>
      </c>
      <c r="AU261" t="s">
        <v>102</v>
      </c>
      <c r="AW261" t="s">
        <v>102</v>
      </c>
      <c r="AX261" t="s">
        <v>119</v>
      </c>
      <c r="BA261" t="s">
        <v>250</v>
      </c>
      <c r="BB261" t="s">
        <v>209</v>
      </c>
      <c r="BC261" t="s">
        <v>1759</v>
      </c>
      <c r="BD261" t="s">
        <v>410</v>
      </c>
      <c r="BE261" t="s">
        <v>212</v>
      </c>
      <c r="BF261" t="s">
        <v>410</v>
      </c>
      <c r="BG261" t="s">
        <v>124</v>
      </c>
      <c r="BH261" t="s">
        <v>156</v>
      </c>
      <c r="BI261" t="s">
        <v>1305</v>
      </c>
      <c r="BJ261" t="s">
        <v>127</v>
      </c>
      <c r="BK261" t="s">
        <v>6264</v>
      </c>
      <c r="BL261" t="s">
        <v>6265</v>
      </c>
      <c r="BM261" t="s">
        <v>6266</v>
      </c>
      <c r="BN261" t="s">
        <v>1630</v>
      </c>
      <c r="BO261" t="s">
        <v>866</v>
      </c>
      <c r="BP261" t="s">
        <v>132</v>
      </c>
      <c r="BQ261" t="s">
        <v>867</v>
      </c>
      <c r="BR261" t="s">
        <v>868</v>
      </c>
      <c r="BS261" t="s">
        <v>418</v>
      </c>
      <c r="BU261" t="s">
        <v>6267</v>
      </c>
      <c r="BV261" t="s">
        <v>6268</v>
      </c>
      <c r="BW261" t="s">
        <v>138</v>
      </c>
      <c r="BX261" t="s">
        <v>6269</v>
      </c>
      <c r="BY261" t="s">
        <v>6270</v>
      </c>
      <c r="BZ261" t="s">
        <v>4530</v>
      </c>
      <c r="CA261" t="s">
        <v>6268</v>
      </c>
      <c r="CB261" t="s">
        <v>6269</v>
      </c>
      <c r="CC261" t="s">
        <v>6270</v>
      </c>
      <c r="CG261" t="s">
        <v>102</v>
      </c>
      <c r="CH261" t="s">
        <v>6271</v>
      </c>
      <c r="CJ261" t="s">
        <v>6272</v>
      </c>
      <c r="CK261" t="s">
        <v>6271</v>
      </c>
      <c r="CL261" t="s">
        <v>1759</v>
      </c>
      <c r="CM261" t="s">
        <v>410</v>
      </c>
      <c r="CN261" t="s">
        <v>6272</v>
      </c>
      <c r="CO261" t="s">
        <v>6273</v>
      </c>
      <c r="CP261" t="s">
        <v>6271</v>
      </c>
      <c r="CQ261" t="s">
        <v>6271</v>
      </c>
    </row>
    <row r="262" spans="1:95">
      <c r="A262" t="s">
        <v>337</v>
      </c>
      <c r="B262">
        <v>3475635</v>
      </c>
      <c r="C262" t="s">
        <v>6274</v>
      </c>
      <c r="D262" t="str">
        <f>VLOOKUP(B262,'2025'!B:C,2,0)</f>
        <v>Hetal Parmar</v>
      </c>
      <c r="F262" t="s">
        <v>95</v>
      </c>
      <c r="G262" t="s">
        <v>1467</v>
      </c>
      <c r="H262" t="s">
        <v>97</v>
      </c>
      <c r="I262" t="s">
        <v>98</v>
      </c>
      <c r="J262" t="s">
        <v>6275</v>
      </c>
      <c r="K262" t="s">
        <v>100</v>
      </c>
      <c r="L262">
        <v>688610</v>
      </c>
      <c r="M262">
        <v>688610</v>
      </c>
      <c r="N262">
        <v>688610</v>
      </c>
      <c r="O262">
        <v>918</v>
      </c>
      <c r="P262" t="s">
        <v>101</v>
      </c>
      <c r="Q262">
        <v>0</v>
      </c>
      <c r="R262">
        <v>0</v>
      </c>
      <c r="T262">
        <v>0</v>
      </c>
      <c r="U262">
        <v>0</v>
      </c>
      <c r="W262" t="s">
        <v>102</v>
      </c>
      <c r="X262" t="s">
        <v>103</v>
      </c>
      <c r="Y262" t="s">
        <v>104</v>
      </c>
      <c r="AA262" t="s">
        <v>4312</v>
      </c>
      <c r="AB262" t="s">
        <v>6276</v>
      </c>
      <c r="AC262" t="s">
        <v>162</v>
      </c>
      <c r="AD262" t="s">
        <v>6276</v>
      </c>
      <c r="AE262" t="s">
        <v>109</v>
      </c>
      <c r="AF262" t="s">
        <v>102</v>
      </c>
      <c r="AG262" t="s">
        <v>109</v>
      </c>
      <c r="AH262" t="s">
        <v>102</v>
      </c>
      <c r="AI262" t="s">
        <v>102</v>
      </c>
      <c r="AJ262" t="s">
        <v>3234</v>
      </c>
      <c r="AK262" t="s">
        <v>2304</v>
      </c>
      <c r="AL262" t="s">
        <v>6277</v>
      </c>
      <c r="AM262" t="s">
        <v>6278</v>
      </c>
      <c r="AN262" t="s">
        <v>6279</v>
      </c>
      <c r="AO262" t="s">
        <v>4484</v>
      </c>
      <c r="AP262" t="s">
        <v>4484</v>
      </c>
      <c r="AU262" t="s">
        <v>318</v>
      </c>
      <c r="AV262" t="s">
        <v>118</v>
      </c>
      <c r="AW262" t="s">
        <v>102</v>
      </c>
      <c r="AX262" t="s">
        <v>119</v>
      </c>
      <c r="BB262" t="s">
        <v>171</v>
      </c>
      <c r="BC262" t="s">
        <v>6280</v>
      </c>
      <c r="BD262" t="s">
        <v>621</v>
      </c>
      <c r="BE262" t="s">
        <v>622</v>
      </c>
      <c r="BF262" t="s">
        <v>976</v>
      </c>
      <c r="BG262" t="s">
        <v>124</v>
      </c>
      <c r="BH262" t="s">
        <v>400</v>
      </c>
      <c r="BI262" t="s">
        <v>1542</v>
      </c>
      <c r="BJ262" t="s">
        <v>127</v>
      </c>
      <c r="BK262" t="s">
        <v>6281</v>
      </c>
      <c r="BL262" t="s">
        <v>6282</v>
      </c>
      <c r="BM262" t="s">
        <v>6283</v>
      </c>
      <c r="BN262" t="s">
        <v>1467</v>
      </c>
      <c r="BO262" t="s">
        <v>5802</v>
      </c>
      <c r="BP262" t="s">
        <v>132</v>
      </c>
      <c r="BQ262" t="s">
        <v>5803</v>
      </c>
      <c r="BR262" t="s">
        <v>5804</v>
      </c>
      <c r="BS262" t="s">
        <v>1342</v>
      </c>
      <c r="BU262" t="s">
        <v>6284</v>
      </c>
      <c r="BV262" t="s">
        <v>6285</v>
      </c>
      <c r="BW262" t="s">
        <v>138</v>
      </c>
      <c r="BX262" t="s">
        <v>6286</v>
      </c>
      <c r="BY262" t="s">
        <v>6287</v>
      </c>
      <c r="BZ262" t="s">
        <v>6286</v>
      </c>
      <c r="CA262" t="s">
        <v>6285</v>
      </c>
      <c r="CB262" t="s">
        <v>6286</v>
      </c>
      <c r="CC262" t="s">
        <v>6287</v>
      </c>
      <c r="CD262" t="s">
        <v>6288</v>
      </c>
      <c r="CE262" t="s">
        <v>6289</v>
      </c>
      <c r="CG262" t="s">
        <v>6290</v>
      </c>
      <c r="CH262" t="s">
        <v>6291</v>
      </c>
      <c r="CJ262" t="s">
        <v>6292</v>
      </c>
      <c r="CK262" t="s">
        <v>6291</v>
      </c>
      <c r="CL262" t="s">
        <v>6280</v>
      </c>
      <c r="CM262" t="s">
        <v>621</v>
      </c>
      <c r="CN262" t="s">
        <v>6292</v>
      </c>
      <c r="CO262" t="s">
        <v>6293</v>
      </c>
      <c r="CP262" t="s">
        <v>6294</v>
      </c>
      <c r="CQ262" t="s">
        <v>6295</v>
      </c>
    </row>
    <row r="263" spans="1:95">
      <c r="A263" t="s">
        <v>337</v>
      </c>
      <c r="B263">
        <v>347614</v>
      </c>
      <c r="C263" t="s">
        <v>6296</v>
      </c>
      <c r="D263" t="str">
        <f>VLOOKUP(B263,'2025'!B:C,2,0)</f>
        <v>Unnati Sharma</v>
      </c>
      <c r="F263" t="s">
        <v>95</v>
      </c>
      <c r="G263" t="s">
        <v>6297</v>
      </c>
      <c r="H263" t="s">
        <v>152</v>
      </c>
      <c r="I263" t="s">
        <v>98</v>
      </c>
      <c r="J263" t="s">
        <v>6298</v>
      </c>
      <c r="K263" t="s">
        <v>100</v>
      </c>
      <c r="L263">
        <v>407118</v>
      </c>
      <c r="M263">
        <v>407118</v>
      </c>
      <c r="N263">
        <v>0</v>
      </c>
      <c r="O263">
        <v>0</v>
      </c>
      <c r="Q263">
        <v>407118</v>
      </c>
      <c r="R263">
        <v>370</v>
      </c>
      <c r="S263" t="s">
        <v>466</v>
      </c>
      <c r="T263">
        <v>0</v>
      </c>
      <c r="U263">
        <v>0</v>
      </c>
      <c r="W263" t="s">
        <v>102</v>
      </c>
      <c r="X263" t="s">
        <v>103</v>
      </c>
      <c r="Y263" t="s">
        <v>104</v>
      </c>
      <c r="AA263" t="s">
        <v>238</v>
      </c>
      <c r="AB263" t="s">
        <v>6299</v>
      </c>
      <c r="AC263" t="s">
        <v>437</v>
      </c>
      <c r="AD263" t="s">
        <v>6299</v>
      </c>
      <c r="AE263" t="s">
        <v>109</v>
      </c>
      <c r="AF263" t="s">
        <v>102</v>
      </c>
      <c r="AG263" t="s">
        <v>109</v>
      </c>
      <c r="AH263" t="s">
        <v>102</v>
      </c>
      <c r="AI263" t="s">
        <v>6300</v>
      </c>
      <c r="AJ263" t="s">
        <v>96</v>
      </c>
      <c r="AK263" t="s">
        <v>2324</v>
      </c>
      <c r="AL263" t="s">
        <v>6301</v>
      </c>
      <c r="AM263" t="s">
        <v>6302</v>
      </c>
      <c r="AN263" t="s">
        <v>6303</v>
      </c>
      <c r="AO263" t="s">
        <v>6304</v>
      </c>
      <c r="AP263" t="s">
        <v>6304</v>
      </c>
      <c r="AU263" t="s">
        <v>102</v>
      </c>
      <c r="AW263" t="s">
        <v>155</v>
      </c>
      <c r="AX263" t="s">
        <v>119</v>
      </c>
      <c r="AY263" t="s">
        <v>170</v>
      </c>
      <c r="AZ263" t="s">
        <v>118</v>
      </c>
      <c r="BB263" t="s">
        <v>120</v>
      </c>
      <c r="BC263" t="s">
        <v>6305</v>
      </c>
      <c r="BD263" t="s">
        <v>730</v>
      </c>
      <c r="BE263" t="s">
        <v>622</v>
      </c>
      <c r="BF263" t="s">
        <v>730</v>
      </c>
      <c r="BG263" t="s">
        <v>124</v>
      </c>
      <c r="BH263" t="s">
        <v>232</v>
      </c>
      <c r="BI263" t="s">
        <v>126</v>
      </c>
      <c r="BJ263" t="s">
        <v>127</v>
      </c>
      <c r="BK263" t="s">
        <v>6306</v>
      </c>
      <c r="BL263" t="s">
        <v>6307</v>
      </c>
      <c r="BM263" t="s">
        <v>6308</v>
      </c>
      <c r="BN263" t="s">
        <v>6297</v>
      </c>
      <c r="BO263" t="s">
        <v>734</v>
      </c>
      <c r="BP263" t="s">
        <v>350</v>
      </c>
      <c r="BQ263" t="s">
        <v>735</v>
      </c>
      <c r="BR263" t="s">
        <v>736</v>
      </c>
      <c r="BS263" t="s">
        <v>2569</v>
      </c>
      <c r="BU263" t="s">
        <v>6309</v>
      </c>
      <c r="BV263" t="s">
        <v>6310</v>
      </c>
      <c r="BW263" t="s">
        <v>138</v>
      </c>
      <c r="BX263" t="s">
        <v>6311</v>
      </c>
      <c r="BY263" t="s">
        <v>6312</v>
      </c>
      <c r="BZ263" t="s">
        <v>6313</v>
      </c>
      <c r="CA263" t="s">
        <v>6310</v>
      </c>
      <c r="CB263" t="s">
        <v>6311</v>
      </c>
      <c r="CC263" t="s">
        <v>6312</v>
      </c>
      <c r="CG263" t="s">
        <v>907</v>
      </c>
      <c r="CH263" t="s">
        <v>6314</v>
      </c>
      <c r="CJ263" t="s">
        <v>6315</v>
      </c>
      <c r="CK263" t="s">
        <v>6314</v>
      </c>
      <c r="CL263" t="s">
        <v>6305</v>
      </c>
      <c r="CM263" t="s">
        <v>730</v>
      </c>
      <c r="CN263" t="s">
        <v>6315</v>
      </c>
      <c r="CO263" t="s">
        <v>6316</v>
      </c>
      <c r="CP263" t="s">
        <v>6314</v>
      </c>
      <c r="CQ263" t="s">
        <v>6314</v>
      </c>
    </row>
    <row r="264" spans="1:95">
      <c r="A264" t="s">
        <v>149</v>
      </c>
      <c r="B264">
        <v>3478771</v>
      </c>
      <c r="C264" t="s">
        <v>6317</v>
      </c>
      <c r="D264" t="str">
        <f>VLOOKUP(B264,'2025'!B:C,2,0)</f>
        <v>Sudhi</v>
      </c>
      <c r="F264" t="s">
        <v>95</v>
      </c>
      <c r="G264" t="s">
        <v>1470</v>
      </c>
      <c r="H264" t="s">
        <v>97</v>
      </c>
      <c r="I264" t="s">
        <v>98</v>
      </c>
      <c r="J264" t="s">
        <v>6318</v>
      </c>
      <c r="K264" t="s">
        <v>100</v>
      </c>
      <c r="L264">
        <v>263941</v>
      </c>
      <c r="M264">
        <v>263941</v>
      </c>
      <c r="N264">
        <v>263941</v>
      </c>
      <c r="O264">
        <v>406</v>
      </c>
      <c r="P264" t="s">
        <v>1122</v>
      </c>
      <c r="Q264">
        <v>0</v>
      </c>
      <c r="R264">
        <v>0</v>
      </c>
      <c r="T264">
        <v>0</v>
      </c>
      <c r="U264">
        <v>0</v>
      </c>
      <c r="W264" t="s">
        <v>102</v>
      </c>
      <c r="X264" t="s">
        <v>103</v>
      </c>
      <c r="Y264" t="s">
        <v>104</v>
      </c>
      <c r="AA264" t="s">
        <v>517</v>
      </c>
      <c r="AB264" t="s">
        <v>6319</v>
      </c>
      <c r="AC264" t="s">
        <v>5268</v>
      </c>
      <c r="AD264" t="s">
        <v>6320</v>
      </c>
      <c r="AE264" t="s">
        <v>109</v>
      </c>
      <c r="AF264" t="s">
        <v>102</v>
      </c>
      <c r="AG264" t="s">
        <v>109</v>
      </c>
      <c r="AH264" t="s">
        <v>102</v>
      </c>
      <c r="AI264" t="s">
        <v>102</v>
      </c>
      <c r="AJ264" t="s">
        <v>2298</v>
      </c>
      <c r="AK264" t="s">
        <v>2298</v>
      </c>
      <c r="AL264" t="s">
        <v>6321</v>
      </c>
      <c r="AM264" t="s">
        <v>6319</v>
      </c>
      <c r="AN264" t="s">
        <v>6320</v>
      </c>
      <c r="AO264" t="s">
        <v>6322</v>
      </c>
      <c r="AP264" t="s">
        <v>6322</v>
      </c>
      <c r="AU264" t="s">
        <v>318</v>
      </c>
      <c r="AV264" t="s">
        <v>118</v>
      </c>
      <c r="AW264" t="s">
        <v>102</v>
      </c>
      <c r="AX264" t="s">
        <v>119</v>
      </c>
      <c r="BB264" t="s">
        <v>120</v>
      </c>
      <c r="BC264" t="s">
        <v>6323</v>
      </c>
      <c r="BD264" t="s">
        <v>2800</v>
      </c>
      <c r="BE264" t="s">
        <v>122</v>
      </c>
      <c r="BF264" t="s">
        <v>346</v>
      </c>
      <c r="BG264" t="s">
        <v>124</v>
      </c>
      <c r="BH264" t="s">
        <v>232</v>
      </c>
      <c r="BI264" t="s">
        <v>126</v>
      </c>
      <c r="BJ264" t="s">
        <v>127</v>
      </c>
      <c r="BK264" t="s">
        <v>6324</v>
      </c>
      <c r="BL264" t="s">
        <v>6325</v>
      </c>
      <c r="BM264" t="s">
        <v>6326</v>
      </c>
      <c r="BN264" t="s">
        <v>1470</v>
      </c>
      <c r="BO264" t="s">
        <v>593</v>
      </c>
      <c r="BP264" t="s">
        <v>258</v>
      </c>
      <c r="BQ264" t="s">
        <v>594</v>
      </c>
      <c r="BR264" t="s">
        <v>595</v>
      </c>
      <c r="BS264" t="s">
        <v>328</v>
      </c>
      <c r="BU264" t="s">
        <v>6327</v>
      </c>
      <c r="BV264" t="s">
        <v>6328</v>
      </c>
      <c r="BW264" t="s">
        <v>138</v>
      </c>
      <c r="BX264" t="s">
        <v>6329</v>
      </c>
      <c r="BY264" t="s">
        <v>6330</v>
      </c>
      <c r="BZ264" t="s">
        <v>6331</v>
      </c>
      <c r="CA264" t="s">
        <v>6328</v>
      </c>
      <c r="CB264" t="s">
        <v>6329</v>
      </c>
      <c r="CC264" t="s">
        <v>6330</v>
      </c>
      <c r="CD264" t="s">
        <v>6332</v>
      </c>
      <c r="CE264" t="s">
        <v>6333</v>
      </c>
      <c r="CF264" t="s">
        <v>6334</v>
      </c>
      <c r="CG264" t="s">
        <v>102</v>
      </c>
      <c r="CH264" t="s">
        <v>6335</v>
      </c>
      <c r="CJ264" t="s">
        <v>6336</v>
      </c>
      <c r="CK264" t="s">
        <v>6335</v>
      </c>
      <c r="CL264" t="s">
        <v>6323</v>
      </c>
      <c r="CM264" t="s">
        <v>2800</v>
      </c>
      <c r="CN264" t="s">
        <v>6336</v>
      </c>
      <c r="CP264" t="s">
        <v>6335</v>
      </c>
      <c r="CQ264" t="s">
        <v>6335</v>
      </c>
    </row>
    <row r="265" spans="1:95">
      <c r="A265" t="s">
        <v>149</v>
      </c>
      <c r="B265">
        <v>348782</v>
      </c>
      <c r="C265" t="s">
        <v>6337</v>
      </c>
      <c r="D265" t="str">
        <f>VLOOKUP(B265,'2025'!B:C,2,0)</f>
        <v>Chaitanya</v>
      </c>
      <c r="F265" t="s">
        <v>95</v>
      </c>
      <c r="G265" t="s">
        <v>1493</v>
      </c>
      <c r="H265" t="s">
        <v>97</v>
      </c>
      <c r="I265" t="s">
        <v>98</v>
      </c>
      <c r="J265" t="s">
        <v>6338</v>
      </c>
      <c r="K265" t="s">
        <v>100</v>
      </c>
      <c r="L265">
        <v>723866</v>
      </c>
      <c r="M265">
        <v>723866</v>
      </c>
      <c r="N265">
        <v>723866</v>
      </c>
      <c r="O265">
        <v>1316</v>
      </c>
      <c r="P265" t="s">
        <v>3431</v>
      </c>
      <c r="Q265">
        <v>0</v>
      </c>
      <c r="R265">
        <v>0</v>
      </c>
      <c r="T265">
        <v>0</v>
      </c>
      <c r="U265">
        <v>0</v>
      </c>
      <c r="W265" t="s">
        <v>102</v>
      </c>
      <c r="X265" t="s">
        <v>103</v>
      </c>
      <c r="Y265" t="s">
        <v>104</v>
      </c>
      <c r="AA265" t="s">
        <v>1374</v>
      </c>
      <c r="AB265" t="s">
        <v>6339</v>
      </c>
      <c r="AC265" t="s">
        <v>1199</v>
      </c>
      <c r="AD265" t="s">
        <v>6340</v>
      </c>
      <c r="AE265" t="s">
        <v>109</v>
      </c>
      <c r="AF265" t="s">
        <v>102</v>
      </c>
      <c r="AG265" t="s">
        <v>109</v>
      </c>
      <c r="AH265" t="s">
        <v>102</v>
      </c>
      <c r="AI265" t="s">
        <v>102</v>
      </c>
      <c r="AJ265" t="s">
        <v>6341</v>
      </c>
      <c r="AK265" t="s">
        <v>6341</v>
      </c>
      <c r="AL265" t="s">
        <v>6342</v>
      </c>
      <c r="AM265" t="s">
        <v>6343</v>
      </c>
      <c r="AN265" t="s">
        <v>6344</v>
      </c>
      <c r="AO265" t="s">
        <v>3438</v>
      </c>
      <c r="AP265" t="s">
        <v>3438</v>
      </c>
      <c r="AU265" t="s">
        <v>318</v>
      </c>
      <c r="AV265" t="s">
        <v>118</v>
      </c>
      <c r="AW265" t="s">
        <v>102</v>
      </c>
      <c r="AX265" t="s">
        <v>119</v>
      </c>
      <c r="BB265" t="s">
        <v>120</v>
      </c>
      <c r="BC265" t="s">
        <v>284</v>
      </c>
      <c r="BD265" t="s">
        <v>285</v>
      </c>
      <c r="BE265" t="s">
        <v>212</v>
      </c>
      <c r="BF265" t="s">
        <v>286</v>
      </c>
      <c r="BG265" t="s">
        <v>124</v>
      </c>
      <c r="BH265" t="s">
        <v>232</v>
      </c>
      <c r="BI265" t="s">
        <v>126</v>
      </c>
      <c r="BJ265" t="s">
        <v>127</v>
      </c>
      <c r="BK265" t="s">
        <v>6345</v>
      </c>
      <c r="BL265" t="s">
        <v>6346</v>
      </c>
      <c r="BM265" t="s">
        <v>6347</v>
      </c>
      <c r="BN265" t="s">
        <v>1493</v>
      </c>
      <c r="BO265" t="s">
        <v>290</v>
      </c>
      <c r="BP265" t="s">
        <v>258</v>
      </c>
      <c r="BQ265" t="s">
        <v>291</v>
      </c>
      <c r="BR265" t="s">
        <v>292</v>
      </c>
      <c r="BS265" t="s">
        <v>2593</v>
      </c>
      <c r="BT265" t="s">
        <v>4765</v>
      </c>
      <c r="BU265" t="s">
        <v>6348</v>
      </c>
      <c r="BV265" t="s">
        <v>6349</v>
      </c>
      <c r="BW265" t="s">
        <v>598</v>
      </c>
      <c r="BX265" t="s">
        <v>6350</v>
      </c>
      <c r="BY265" t="s">
        <v>6351</v>
      </c>
      <c r="CD265" t="s">
        <v>6352</v>
      </c>
      <c r="CE265" t="s">
        <v>6353</v>
      </c>
      <c r="CF265" t="s">
        <v>6351</v>
      </c>
      <c r="CG265" t="s">
        <v>102</v>
      </c>
      <c r="CH265" t="s">
        <v>6354</v>
      </c>
      <c r="CJ265" t="s">
        <v>6355</v>
      </c>
      <c r="CK265" t="s">
        <v>6354</v>
      </c>
      <c r="CL265" t="s">
        <v>284</v>
      </c>
      <c r="CM265" t="s">
        <v>285</v>
      </c>
      <c r="CN265" t="s">
        <v>6355</v>
      </c>
      <c r="CP265" t="s">
        <v>6354</v>
      </c>
      <c r="CQ265" t="s">
        <v>6354</v>
      </c>
    </row>
    <row r="266" spans="1:95">
      <c r="A266" t="s">
        <v>337</v>
      </c>
      <c r="B266">
        <v>3492029</v>
      </c>
      <c r="C266" t="s">
        <v>6356</v>
      </c>
      <c r="D266" t="str">
        <f>VLOOKUP(B266,'2025'!B:C,2,0)</f>
        <v>Unnati Sharma</v>
      </c>
      <c r="F266" t="s">
        <v>95</v>
      </c>
      <c r="G266" t="s">
        <v>4293</v>
      </c>
      <c r="H266" t="s">
        <v>848</v>
      </c>
      <c r="I266" t="s">
        <v>98</v>
      </c>
      <c r="J266" t="s">
        <v>6357</v>
      </c>
      <c r="K266" t="s">
        <v>100</v>
      </c>
      <c r="L266">
        <v>242945</v>
      </c>
      <c r="M266">
        <v>286675</v>
      </c>
      <c r="N266">
        <v>0</v>
      </c>
      <c r="O266">
        <v>0</v>
      </c>
      <c r="Q266">
        <v>0</v>
      </c>
      <c r="R266">
        <v>0</v>
      </c>
      <c r="T266">
        <v>242945</v>
      </c>
      <c r="U266">
        <v>191</v>
      </c>
      <c r="V266" t="s">
        <v>6358</v>
      </c>
      <c r="W266" t="s">
        <v>102</v>
      </c>
      <c r="X266" t="s">
        <v>275</v>
      </c>
      <c r="Z266" t="s">
        <v>175</v>
      </c>
      <c r="AA266" t="s">
        <v>109</v>
      </c>
      <c r="AB266" t="s">
        <v>102</v>
      </c>
      <c r="AC266" t="s">
        <v>109</v>
      </c>
      <c r="AD266" t="s">
        <v>102</v>
      </c>
      <c r="AE266" t="s">
        <v>109</v>
      </c>
      <c r="AF266" t="s">
        <v>102</v>
      </c>
      <c r="AG266" t="s">
        <v>109</v>
      </c>
      <c r="AH266" t="s">
        <v>102</v>
      </c>
      <c r="AI266" t="s">
        <v>102</v>
      </c>
      <c r="AJ266" t="s">
        <v>883</v>
      </c>
      <c r="AK266" t="s">
        <v>3621</v>
      </c>
      <c r="AL266" t="s">
        <v>6359</v>
      </c>
      <c r="AM266" t="s">
        <v>6360</v>
      </c>
      <c r="AN266" t="s">
        <v>5551</v>
      </c>
      <c r="AO266" t="s">
        <v>6361</v>
      </c>
      <c r="AP266" t="s">
        <v>6361</v>
      </c>
      <c r="AU266" t="s">
        <v>102</v>
      </c>
      <c r="AW266" t="s">
        <v>102</v>
      </c>
      <c r="AX266" t="s">
        <v>119</v>
      </c>
      <c r="BA266" t="s">
        <v>250</v>
      </c>
      <c r="BB266" t="s">
        <v>209</v>
      </c>
      <c r="BC266" t="s">
        <v>1729</v>
      </c>
      <c r="BD266" t="s">
        <v>730</v>
      </c>
      <c r="BE266" t="s">
        <v>622</v>
      </c>
      <c r="BF266" t="s">
        <v>730</v>
      </c>
      <c r="BG266" t="s">
        <v>124</v>
      </c>
      <c r="BH266" t="s">
        <v>2173</v>
      </c>
      <c r="BI266" t="s">
        <v>126</v>
      </c>
      <c r="BJ266" t="s">
        <v>127</v>
      </c>
      <c r="BK266" t="s">
        <v>6362</v>
      </c>
      <c r="BL266" t="s">
        <v>6363</v>
      </c>
      <c r="BM266" t="s">
        <v>6364</v>
      </c>
      <c r="BN266" t="s">
        <v>4293</v>
      </c>
      <c r="BO266" t="s">
        <v>2262</v>
      </c>
      <c r="BP266" t="s">
        <v>350</v>
      </c>
      <c r="BQ266" t="s">
        <v>2263</v>
      </c>
      <c r="BR266" t="s">
        <v>2264</v>
      </c>
      <c r="BS266" t="s">
        <v>2569</v>
      </c>
      <c r="BU266" t="s">
        <v>6365</v>
      </c>
      <c r="BV266" t="s">
        <v>6366</v>
      </c>
      <c r="BW266" t="s">
        <v>354</v>
      </c>
      <c r="BX266" t="s">
        <v>6367</v>
      </c>
      <c r="BY266" t="s">
        <v>6368</v>
      </c>
      <c r="BZ266" t="s">
        <v>6369</v>
      </c>
      <c r="CG266" t="s">
        <v>6370</v>
      </c>
      <c r="CH266" t="s">
        <v>6371</v>
      </c>
      <c r="CJ266" t="s">
        <v>6372</v>
      </c>
      <c r="CK266" t="s">
        <v>6371</v>
      </c>
      <c r="CL266" t="s">
        <v>1729</v>
      </c>
      <c r="CM266" t="s">
        <v>730</v>
      </c>
      <c r="CN266" t="s">
        <v>6372</v>
      </c>
      <c r="CP266" t="s">
        <v>6373</v>
      </c>
      <c r="CQ266" t="s">
        <v>6371</v>
      </c>
    </row>
    <row r="267" spans="1:95">
      <c r="A267" t="s">
        <v>93</v>
      </c>
      <c r="B267">
        <v>3495131</v>
      </c>
      <c r="C267" t="s">
        <v>6374</v>
      </c>
      <c r="F267" t="s">
        <v>95</v>
      </c>
      <c r="G267" t="s">
        <v>6375</v>
      </c>
      <c r="H267" t="s">
        <v>193</v>
      </c>
      <c r="I267" t="s">
        <v>98</v>
      </c>
      <c r="J267" t="s">
        <v>6376</v>
      </c>
      <c r="K267" t="s">
        <v>100</v>
      </c>
      <c r="L267">
        <v>2284950</v>
      </c>
      <c r="M267">
        <v>2587296</v>
      </c>
      <c r="N267">
        <v>605250</v>
      </c>
      <c r="O267">
        <v>807</v>
      </c>
      <c r="P267" t="s">
        <v>101</v>
      </c>
      <c r="Q267">
        <v>0</v>
      </c>
      <c r="R267">
        <v>0</v>
      </c>
      <c r="T267">
        <v>1679700</v>
      </c>
      <c r="U267">
        <v>864</v>
      </c>
      <c r="V267" t="s">
        <v>6377</v>
      </c>
      <c r="W267" t="s">
        <v>102</v>
      </c>
      <c r="X267" t="s">
        <v>103</v>
      </c>
      <c r="Y267" t="s">
        <v>104</v>
      </c>
      <c r="AA267" t="s">
        <v>6378</v>
      </c>
      <c r="AB267" t="s">
        <v>6379</v>
      </c>
      <c r="AC267" t="s">
        <v>6380</v>
      </c>
      <c r="AD267" t="s">
        <v>6381</v>
      </c>
      <c r="AE267" t="s">
        <v>109</v>
      </c>
      <c r="AF267" t="s">
        <v>102</v>
      </c>
      <c r="AG267" t="s">
        <v>109</v>
      </c>
      <c r="AH267" t="s">
        <v>102</v>
      </c>
      <c r="AI267" t="s">
        <v>6382</v>
      </c>
      <c r="AJ267" t="s">
        <v>6383</v>
      </c>
      <c r="AK267" t="s">
        <v>6384</v>
      </c>
      <c r="AL267" t="s">
        <v>6385</v>
      </c>
      <c r="AM267" t="s">
        <v>6386</v>
      </c>
      <c r="AN267" t="s">
        <v>6387</v>
      </c>
      <c r="AO267" t="s">
        <v>6388</v>
      </c>
      <c r="AP267" t="s">
        <v>6388</v>
      </c>
      <c r="AU267" t="s">
        <v>207</v>
      </c>
      <c r="AV267" t="s">
        <v>118</v>
      </c>
      <c r="AW267" t="s">
        <v>102</v>
      </c>
      <c r="AX267" t="s">
        <v>119</v>
      </c>
      <c r="BA267" t="s">
        <v>250</v>
      </c>
      <c r="BB267" t="s">
        <v>120</v>
      </c>
      <c r="BC267" t="s">
        <v>6389</v>
      </c>
      <c r="BD267" t="s">
        <v>6390</v>
      </c>
      <c r="BE267" t="s">
        <v>212</v>
      </c>
      <c r="BF267" t="s">
        <v>286</v>
      </c>
      <c r="BG267" t="s">
        <v>124</v>
      </c>
      <c r="BH267" t="s">
        <v>232</v>
      </c>
      <c r="BI267" t="s">
        <v>6391</v>
      </c>
      <c r="BJ267" t="s">
        <v>127</v>
      </c>
      <c r="BK267" t="s">
        <v>6392</v>
      </c>
      <c r="BL267" t="s">
        <v>6393</v>
      </c>
      <c r="BM267" t="s">
        <v>6394</v>
      </c>
      <c r="BN267" t="s">
        <v>6375</v>
      </c>
      <c r="BO267" t="s">
        <v>2615</v>
      </c>
      <c r="BP267" t="s">
        <v>132</v>
      </c>
      <c r="BQ267" t="s">
        <v>2616</v>
      </c>
      <c r="BR267" t="s">
        <v>2617</v>
      </c>
      <c r="BS267" t="s">
        <v>4765</v>
      </c>
      <c r="BU267" t="s">
        <v>6395</v>
      </c>
      <c r="BV267" t="s">
        <v>6396</v>
      </c>
      <c r="BW267" t="s">
        <v>138</v>
      </c>
      <c r="BX267" t="s">
        <v>6397</v>
      </c>
      <c r="BY267" t="s">
        <v>6398</v>
      </c>
      <c r="BZ267" t="s">
        <v>6399</v>
      </c>
      <c r="CA267" t="s">
        <v>6396</v>
      </c>
      <c r="CB267" t="s">
        <v>6400</v>
      </c>
      <c r="CC267" t="s">
        <v>6398</v>
      </c>
      <c r="CG267" t="s">
        <v>6401</v>
      </c>
      <c r="CH267" t="s">
        <v>6402</v>
      </c>
      <c r="CJ267" t="s">
        <v>6403</v>
      </c>
      <c r="CK267" t="s">
        <v>6402</v>
      </c>
      <c r="CL267" t="s">
        <v>6389</v>
      </c>
      <c r="CM267" t="s">
        <v>6390</v>
      </c>
      <c r="CN267" t="s">
        <v>6403</v>
      </c>
      <c r="CO267" t="s">
        <v>6404</v>
      </c>
      <c r="CP267" t="s">
        <v>6405</v>
      </c>
      <c r="CQ267" t="s">
        <v>6402</v>
      </c>
    </row>
    <row r="268" spans="1:95">
      <c r="A268" t="s">
        <v>149</v>
      </c>
      <c r="B268">
        <v>3495816</v>
      </c>
      <c r="C268" t="s">
        <v>6406</v>
      </c>
      <c r="D268" t="str">
        <f>VLOOKUP(B268,'2025'!B:C,2,0)</f>
        <v>Lopa</v>
      </c>
      <c r="F268" t="s">
        <v>95</v>
      </c>
      <c r="G268" t="s">
        <v>1518</v>
      </c>
      <c r="H268" t="s">
        <v>152</v>
      </c>
      <c r="I268" t="s">
        <v>98</v>
      </c>
      <c r="J268" t="s">
        <v>6407</v>
      </c>
      <c r="K268" t="s">
        <v>100</v>
      </c>
      <c r="L268">
        <v>274487</v>
      </c>
      <c r="M268">
        <v>274487</v>
      </c>
      <c r="N268">
        <v>0</v>
      </c>
      <c r="O268">
        <v>0</v>
      </c>
      <c r="Q268">
        <v>274487</v>
      </c>
      <c r="R268">
        <v>188</v>
      </c>
      <c r="S268" t="s">
        <v>6408</v>
      </c>
      <c r="T268">
        <v>0</v>
      </c>
      <c r="U268">
        <v>0</v>
      </c>
      <c r="W268" t="s">
        <v>102</v>
      </c>
      <c r="X268" t="s">
        <v>103</v>
      </c>
      <c r="Y268" t="s">
        <v>155</v>
      </c>
      <c r="AA268" t="s">
        <v>1521</v>
      </c>
      <c r="AB268" t="s">
        <v>6409</v>
      </c>
      <c r="AC268" t="s">
        <v>313</v>
      </c>
      <c r="AD268" t="s">
        <v>6409</v>
      </c>
      <c r="AE268" t="s">
        <v>1523</v>
      </c>
      <c r="AF268" t="s">
        <v>6409</v>
      </c>
      <c r="AG268" t="s">
        <v>160</v>
      </c>
      <c r="AH268" t="s">
        <v>6409</v>
      </c>
      <c r="AI268" t="s">
        <v>6410</v>
      </c>
      <c r="AJ268" t="s">
        <v>1295</v>
      </c>
      <c r="AK268" t="s">
        <v>857</v>
      </c>
      <c r="AL268" t="s">
        <v>6411</v>
      </c>
      <c r="AM268" t="s">
        <v>6412</v>
      </c>
      <c r="AN268" t="s">
        <v>6413</v>
      </c>
      <c r="AO268" t="s">
        <v>6414</v>
      </c>
      <c r="AP268" t="s">
        <v>6414</v>
      </c>
      <c r="AU268" t="s">
        <v>102</v>
      </c>
      <c r="AW268" t="s">
        <v>155</v>
      </c>
      <c r="AX268" t="s">
        <v>249</v>
      </c>
      <c r="AY268" t="s">
        <v>170</v>
      </c>
      <c r="AZ268" t="s">
        <v>118</v>
      </c>
      <c r="BB268" t="s">
        <v>171</v>
      </c>
      <c r="BC268" t="s">
        <v>2820</v>
      </c>
      <c r="BD268" t="s">
        <v>376</v>
      </c>
      <c r="BE268" t="s">
        <v>174</v>
      </c>
      <c r="BF268" t="s">
        <v>376</v>
      </c>
      <c r="BG268" t="s">
        <v>124</v>
      </c>
      <c r="BH268" t="s">
        <v>232</v>
      </c>
      <c r="BI268" t="s">
        <v>126</v>
      </c>
      <c r="BJ268" t="s">
        <v>127</v>
      </c>
      <c r="BK268" t="s">
        <v>6415</v>
      </c>
      <c r="BL268" t="s">
        <v>6416</v>
      </c>
      <c r="BM268" t="s">
        <v>6417</v>
      </c>
      <c r="BN268" t="s">
        <v>1518</v>
      </c>
      <c r="BO268" t="s">
        <v>179</v>
      </c>
      <c r="BP268" t="s">
        <v>180</v>
      </c>
      <c r="BQ268" t="s">
        <v>181</v>
      </c>
      <c r="BR268" t="s">
        <v>182</v>
      </c>
      <c r="BS268" t="s">
        <v>183</v>
      </c>
      <c r="BU268" t="s">
        <v>6418</v>
      </c>
      <c r="BV268" t="s">
        <v>1535</v>
      </c>
      <c r="BW268" t="s">
        <v>138</v>
      </c>
      <c r="BX268" t="s">
        <v>6419</v>
      </c>
      <c r="BY268" t="s">
        <v>1537</v>
      </c>
      <c r="BZ268" t="s">
        <v>6419</v>
      </c>
      <c r="CG268" t="s">
        <v>6370</v>
      </c>
      <c r="CH268" t="s">
        <v>6420</v>
      </c>
      <c r="CJ268" t="s">
        <v>1644</v>
      </c>
      <c r="CK268" t="s">
        <v>6420</v>
      </c>
      <c r="CL268" t="s">
        <v>2820</v>
      </c>
      <c r="CM268" t="s">
        <v>376</v>
      </c>
      <c r="CN268" t="s">
        <v>1644</v>
      </c>
      <c r="CO268" t="s">
        <v>6421</v>
      </c>
      <c r="CP268" t="s">
        <v>6420</v>
      </c>
      <c r="CQ268" t="s">
        <v>6420</v>
      </c>
    </row>
    <row r="269" spans="1:95">
      <c r="A269" t="s">
        <v>149</v>
      </c>
      <c r="B269">
        <v>3505875</v>
      </c>
      <c r="C269" t="s">
        <v>6422</v>
      </c>
      <c r="D269" t="str">
        <f>VLOOKUP(B269,'2025'!B:C,2,0)</f>
        <v>Vaishali</v>
      </c>
      <c r="F269" t="s">
        <v>95</v>
      </c>
      <c r="G269" t="s">
        <v>2907</v>
      </c>
      <c r="H269" t="s">
        <v>193</v>
      </c>
      <c r="I269" t="s">
        <v>98</v>
      </c>
      <c r="J269" t="s">
        <v>6423</v>
      </c>
      <c r="K269" t="s">
        <v>100</v>
      </c>
      <c r="L269">
        <v>784157</v>
      </c>
      <c r="M269">
        <v>866531</v>
      </c>
      <c r="N269">
        <v>326525</v>
      </c>
      <c r="O269">
        <v>359</v>
      </c>
      <c r="P269" t="s">
        <v>1798</v>
      </c>
      <c r="Q269">
        <v>0</v>
      </c>
      <c r="R269">
        <v>0</v>
      </c>
      <c r="T269">
        <v>457632</v>
      </c>
      <c r="U269">
        <v>180</v>
      </c>
      <c r="V269" t="s">
        <v>2910</v>
      </c>
      <c r="W269" t="s">
        <v>102</v>
      </c>
      <c r="X269" t="s">
        <v>679</v>
      </c>
      <c r="Y269" t="s">
        <v>104</v>
      </c>
      <c r="Z269" t="s">
        <v>854</v>
      </c>
      <c r="AA269" t="s">
        <v>2912</v>
      </c>
      <c r="AB269" t="s">
        <v>6424</v>
      </c>
      <c r="AC269" t="s">
        <v>2914</v>
      </c>
      <c r="AD269" t="s">
        <v>6424</v>
      </c>
      <c r="AE269" t="s">
        <v>109</v>
      </c>
      <c r="AF269" t="s">
        <v>102</v>
      </c>
      <c r="AG269" t="s">
        <v>109</v>
      </c>
      <c r="AH269" t="s">
        <v>102</v>
      </c>
      <c r="AI269" t="s">
        <v>6425</v>
      </c>
      <c r="AJ269" t="s">
        <v>6426</v>
      </c>
      <c r="AK269" t="s">
        <v>6427</v>
      </c>
      <c r="AL269" t="s">
        <v>6428</v>
      </c>
      <c r="AM269" t="s">
        <v>6429</v>
      </c>
      <c r="AN269" t="s">
        <v>6430</v>
      </c>
      <c r="AO269" t="s">
        <v>6431</v>
      </c>
      <c r="AP269" t="s">
        <v>6431</v>
      </c>
      <c r="AU269" t="s">
        <v>207</v>
      </c>
      <c r="AV269" t="s">
        <v>118</v>
      </c>
      <c r="AW269" t="s">
        <v>102</v>
      </c>
      <c r="AX269" t="s">
        <v>119</v>
      </c>
      <c r="BA269" t="s">
        <v>250</v>
      </c>
      <c r="BB269" t="s">
        <v>120</v>
      </c>
      <c r="BC269" t="s">
        <v>4153</v>
      </c>
      <c r="BD269" t="s">
        <v>320</v>
      </c>
      <c r="BE269" t="s">
        <v>122</v>
      </c>
      <c r="BF269" t="s">
        <v>123</v>
      </c>
      <c r="BG269" t="s">
        <v>124</v>
      </c>
      <c r="BH269" t="s">
        <v>232</v>
      </c>
      <c r="BI269" t="s">
        <v>2923</v>
      </c>
      <c r="BJ269" t="s">
        <v>127</v>
      </c>
      <c r="BK269" t="s">
        <v>6432</v>
      </c>
      <c r="BL269" t="s">
        <v>6433</v>
      </c>
      <c r="BM269" t="s">
        <v>6434</v>
      </c>
      <c r="BN269" t="s">
        <v>2907</v>
      </c>
      <c r="BO269" t="s">
        <v>2927</v>
      </c>
      <c r="BP269" t="s">
        <v>2928</v>
      </c>
      <c r="BQ269" t="s">
        <v>2929</v>
      </c>
      <c r="BR269" t="s">
        <v>2930</v>
      </c>
      <c r="BS269" t="s">
        <v>135</v>
      </c>
      <c r="BT269" t="s">
        <v>135</v>
      </c>
      <c r="BU269" t="s">
        <v>6435</v>
      </c>
      <c r="BV269" t="s">
        <v>2932</v>
      </c>
      <c r="BW269" t="s">
        <v>296</v>
      </c>
      <c r="BX269" t="s">
        <v>2933</v>
      </c>
      <c r="BY269" t="s">
        <v>2934</v>
      </c>
      <c r="BZ269" t="s">
        <v>6436</v>
      </c>
      <c r="CA269" t="s">
        <v>2932</v>
      </c>
      <c r="CB269" t="s">
        <v>2933</v>
      </c>
      <c r="CC269" t="s">
        <v>2934</v>
      </c>
      <c r="CD269" t="s">
        <v>2932</v>
      </c>
      <c r="CE269" t="s">
        <v>2933</v>
      </c>
      <c r="CF269" t="s">
        <v>2934</v>
      </c>
      <c r="CG269" t="s">
        <v>102</v>
      </c>
      <c r="CH269" t="s">
        <v>6437</v>
      </c>
      <c r="CJ269" t="s">
        <v>5161</v>
      </c>
      <c r="CK269" t="s">
        <v>6438</v>
      </c>
      <c r="CL269" t="s">
        <v>4153</v>
      </c>
      <c r="CM269" t="s">
        <v>320</v>
      </c>
      <c r="CN269" t="s">
        <v>5161</v>
      </c>
      <c r="CP269" t="s">
        <v>6437</v>
      </c>
      <c r="CQ269" t="s">
        <v>6438</v>
      </c>
    </row>
    <row r="270" spans="1:95">
      <c r="A270" t="s">
        <v>337</v>
      </c>
      <c r="B270">
        <v>3507484</v>
      </c>
      <c r="C270" t="s">
        <v>6439</v>
      </c>
      <c r="D270" t="str">
        <f>VLOOKUP(B270,'2025'!B:C,2,0)</f>
        <v>Shruti</v>
      </c>
      <c r="F270" t="s">
        <v>95</v>
      </c>
      <c r="G270" t="s">
        <v>2602</v>
      </c>
      <c r="H270" t="s">
        <v>152</v>
      </c>
      <c r="I270" t="s">
        <v>98</v>
      </c>
      <c r="J270" t="s">
        <v>6440</v>
      </c>
      <c r="K270" t="s">
        <v>100</v>
      </c>
      <c r="L270">
        <v>502567</v>
      </c>
      <c r="M270">
        <v>502567</v>
      </c>
      <c r="N270">
        <v>0</v>
      </c>
      <c r="O270">
        <v>0</v>
      </c>
      <c r="Q270">
        <v>502567</v>
      </c>
      <c r="R270">
        <v>335</v>
      </c>
      <c r="S270" t="s">
        <v>6441</v>
      </c>
      <c r="T270">
        <v>0</v>
      </c>
      <c r="U270">
        <v>0</v>
      </c>
      <c r="W270" t="s">
        <v>102</v>
      </c>
      <c r="X270" t="s">
        <v>103</v>
      </c>
      <c r="Y270" t="s">
        <v>155</v>
      </c>
      <c r="AA270" t="s">
        <v>1778</v>
      </c>
      <c r="AB270" t="s">
        <v>6442</v>
      </c>
      <c r="AC270" t="s">
        <v>1819</v>
      </c>
      <c r="AD270" t="s">
        <v>6442</v>
      </c>
      <c r="AE270" t="s">
        <v>2630</v>
      </c>
      <c r="AF270" t="s">
        <v>6442</v>
      </c>
      <c r="AG270" t="s">
        <v>160</v>
      </c>
      <c r="AH270" t="s">
        <v>6442</v>
      </c>
      <c r="AI270" t="s">
        <v>102</v>
      </c>
      <c r="AJ270" t="s">
        <v>464</v>
      </c>
      <c r="AK270" t="s">
        <v>6443</v>
      </c>
      <c r="AL270" t="s">
        <v>6444</v>
      </c>
      <c r="AM270" t="s">
        <v>6445</v>
      </c>
      <c r="AN270" t="s">
        <v>6446</v>
      </c>
      <c r="AO270" t="s">
        <v>6447</v>
      </c>
      <c r="AP270" t="s">
        <v>6447</v>
      </c>
      <c r="AU270" t="s">
        <v>102</v>
      </c>
      <c r="AW270" t="s">
        <v>155</v>
      </c>
      <c r="AX270" t="s">
        <v>119</v>
      </c>
      <c r="AY270" t="s">
        <v>170</v>
      </c>
      <c r="AZ270" t="s">
        <v>118</v>
      </c>
      <c r="BB270" t="s">
        <v>209</v>
      </c>
      <c r="BC270" t="s">
        <v>6448</v>
      </c>
      <c r="BD270" t="s">
        <v>556</v>
      </c>
      <c r="BE270" t="s">
        <v>122</v>
      </c>
      <c r="BF270" t="s">
        <v>557</v>
      </c>
      <c r="BG270" t="s">
        <v>124</v>
      </c>
      <c r="BH270" t="s">
        <v>232</v>
      </c>
      <c r="BI270" t="s">
        <v>559</v>
      </c>
      <c r="BJ270" t="s">
        <v>127</v>
      </c>
      <c r="BK270" t="s">
        <v>6449</v>
      </c>
      <c r="BL270" t="s">
        <v>6450</v>
      </c>
      <c r="BM270" t="s">
        <v>6451</v>
      </c>
      <c r="BN270" t="s">
        <v>2602</v>
      </c>
      <c r="BO270" t="s">
        <v>563</v>
      </c>
      <c r="BP270" t="s">
        <v>258</v>
      </c>
      <c r="BQ270" t="s">
        <v>564</v>
      </c>
      <c r="BR270" t="s">
        <v>565</v>
      </c>
      <c r="BS270" t="s">
        <v>563</v>
      </c>
      <c r="BU270" t="s">
        <v>6452</v>
      </c>
      <c r="BV270" t="s">
        <v>6453</v>
      </c>
      <c r="BW270" t="s">
        <v>138</v>
      </c>
      <c r="BX270" t="s">
        <v>6454</v>
      </c>
      <c r="BY270" t="s">
        <v>6455</v>
      </c>
      <c r="BZ270" t="s">
        <v>6456</v>
      </c>
      <c r="CA270" t="s">
        <v>6453</v>
      </c>
      <c r="CB270" t="s">
        <v>6454</v>
      </c>
      <c r="CC270" t="s">
        <v>6455</v>
      </c>
      <c r="CG270" t="s">
        <v>6457</v>
      </c>
      <c r="CH270" t="s">
        <v>6458</v>
      </c>
      <c r="CJ270" t="s">
        <v>6459</v>
      </c>
      <c r="CK270" t="s">
        <v>6458</v>
      </c>
      <c r="CL270" t="s">
        <v>6448</v>
      </c>
      <c r="CM270" t="s">
        <v>556</v>
      </c>
      <c r="CN270" t="s">
        <v>6459</v>
      </c>
      <c r="CP270" t="s">
        <v>6458</v>
      </c>
      <c r="CQ270" t="s">
        <v>6458</v>
      </c>
    </row>
    <row r="271" spans="1:95">
      <c r="A271" t="s">
        <v>149</v>
      </c>
      <c r="B271">
        <v>3513471</v>
      </c>
      <c r="C271" t="s">
        <v>6460</v>
      </c>
      <c r="F271" t="s">
        <v>95</v>
      </c>
      <c r="G271" t="s">
        <v>6461</v>
      </c>
      <c r="H271" t="s">
        <v>675</v>
      </c>
      <c r="I271" t="s">
        <v>98</v>
      </c>
      <c r="J271" t="s">
        <v>6462</v>
      </c>
      <c r="K271" t="s">
        <v>100</v>
      </c>
      <c r="L271">
        <v>1552949</v>
      </c>
      <c r="M271">
        <v>1552949</v>
      </c>
      <c r="N271">
        <v>433200</v>
      </c>
      <c r="O271">
        <v>456</v>
      </c>
      <c r="P271" t="s">
        <v>936</v>
      </c>
      <c r="Q271">
        <v>1119749</v>
      </c>
      <c r="R271">
        <v>622</v>
      </c>
      <c r="S271" t="s">
        <v>3005</v>
      </c>
      <c r="T271">
        <v>0</v>
      </c>
      <c r="U271">
        <v>0</v>
      </c>
      <c r="W271" t="s">
        <v>102</v>
      </c>
      <c r="X271" t="s">
        <v>679</v>
      </c>
      <c r="Y271" t="s">
        <v>104</v>
      </c>
      <c r="Z271" t="s">
        <v>851</v>
      </c>
      <c r="AA271" t="s">
        <v>6463</v>
      </c>
      <c r="AB271" t="s">
        <v>6464</v>
      </c>
      <c r="AC271" t="s">
        <v>6465</v>
      </c>
      <c r="AD271" t="s">
        <v>6464</v>
      </c>
      <c r="AE271" t="s">
        <v>109</v>
      </c>
      <c r="AF271" t="s">
        <v>102</v>
      </c>
      <c r="AG271" t="s">
        <v>109</v>
      </c>
      <c r="AH271" t="s">
        <v>102</v>
      </c>
      <c r="AI271" t="s">
        <v>6466</v>
      </c>
      <c r="AJ271" t="s">
        <v>5499</v>
      </c>
      <c r="AK271" t="s">
        <v>6467</v>
      </c>
      <c r="AL271" t="s">
        <v>6468</v>
      </c>
      <c r="AM271" t="s">
        <v>6469</v>
      </c>
      <c r="AN271" t="s">
        <v>102</v>
      </c>
      <c r="AO271" t="s">
        <v>6470</v>
      </c>
      <c r="AP271" t="s">
        <v>6470</v>
      </c>
      <c r="AU271" t="s">
        <v>247</v>
      </c>
      <c r="AV271" t="s">
        <v>118</v>
      </c>
      <c r="AW271" t="s">
        <v>655</v>
      </c>
      <c r="AX271" t="s">
        <v>119</v>
      </c>
      <c r="AY271" t="s">
        <v>170</v>
      </c>
      <c r="AZ271" t="s">
        <v>118</v>
      </c>
      <c r="BB271" t="s">
        <v>120</v>
      </c>
      <c r="BC271" t="s">
        <v>284</v>
      </c>
      <c r="BD271" t="s">
        <v>285</v>
      </c>
      <c r="BE271" t="s">
        <v>212</v>
      </c>
      <c r="BF271" t="s">
        <v>286</v>
      </c>
      <c r="BG271" t="s">
        <v>124</v>
      </c>
      <c r="BH271" t="s">
        <v>6471</v>
      </c>
      <c r="BI271" t="s">
        <v>126</v>
      </c>
      <c r="BJ271" t="s">
        <v>127</v>
      </c>
      <c r="BK271" t="s">
        <v>6472</v>
      </c>
      <c r="BL271" t="s">
        <v>6473</v>
      </c>
      <c r="BM271" t="s">
        <v>6474</v>
      </c>
      <c r="BN271" t="s">
        <v>6461</v>
      </c>
      <c r="BO271" t="s">
        <v>290</v>
      </c>
      <c r="BP271" t="s">
        <v>132</v>
      </c>
      <c r="BQ271" t="s">
        <v>291</v>
      </c>
      <c r="BR271" t="s">
        <v>292</v>
      </c>
      <c r="BS271" t="s">
        <v>4765</v>
      </c>
      <c r="BU271" t="s">
        <v>6475</v>
      </c>
      <c r="BV271" t="s">
        <v>6476</v>
      </c>
      <c r="BW271" t="s">
        <v>138</v>
      </c>
      <c r="BX271" t="s">
        <v>6477</v>
      </c>
      <c r="BY271" t="s">
        <v>6478</v>
      </c>
      <c r="CA271" t="s">
        <v>6479</v>
      </c>
      <c r="CB271" t="s">
        <v>6477</v>
      </c>
      <c r="CC271" t="s">
        <v>6478</v>
      </c>
      <c r="CD271" t="s">
        <v>6480</v>
      </c>
      <c r="CE271" t="s">
        <v>6481</v>
      </c>
      <c r="CF271" t="s">
        <v>6482</v>
      </c>
      <c r="CG271" t="s">
        <v>102</v>
      </c>
      <c r="CH271" t="s">
        <v>6483</v>
      </c>
      <c r="CJ271" t="s">
        <v>6484</v>
      </c>
      <c r="CK271" t="s">
        <v>6483</v>
      </c>
      <c r="CL271" t="s">
        <v>284</v>
      </c>
      <c r="CM271" t="s">
        <v>285</v>
      </c>
      <c r="CN271" t="s">
        <v>6484</v>
      </c>
      <c r="CO271" t="s">
        <v>6485</v>
      </c>
      <c r="CP271" t="s">
        <v>6483</v>
      </c>
      <c r="CQ271" t="s">
        <v>6483</v>
      </c>
    </row>
    <row r="272" spans="1:95">
      <c r="A272" t="s">
        <v>149</v>
      </c>
      <c r="B272">
        <v>3513547</v>
      </c>
      <c r="C272" t="s">
        <v>6486</v>
      </c>
      <c r="F272" t="s">
        <v>95</v>
      </c>
      <c r="G272" t="s">
        <v>517</v>
      </c>
      <c r="H272" t="s">
        <v>97</v>
      </c>
      <c r="I272" t="s">
        <v>98</v>
      </c>
      <c r="J272" t="s">
        <v>6487</v>
      </c>
      <c r="K272" t="s">
        <v>100</v>
      </c>
      <c r="L272">
        <v>483360</v>
      </c>
      <c r="M272">
        <v>483360</v>
      </c>
      <c r="N272">
        <v>483360</v>
      </c>
      <c r="O272">
        <v>848</v>
      </c>
      <c r="P272" t="s">
        <v>519</v>
      </c>
      <c r="Q272">
        <v>0</v>
      </c>
      <c r="R272">
        <v>0</v>
      </c>
      <c r="T272">
        <v>0</v>
      </c>
      <c r="U272">
        <v>0</v>
      </c>
      <c r="W272" t="s">
        <v>102</v>
      </c>
      <c r="X272" t="s">
        <v>275</v>
      </c>
      <c r="Z272" t="s">
        <v>520</v>
      </c>
      <c r="AA272" t="s">
        <v>109</v>
      </c>
      <c r="AB272" t="s">
        <v>102</v>
      </c>
      <c r="AC272" t="s">
        <v>109</v>
      </c>
      <c r="AD272" t="s">
        <v>102</v>
      </c>
      <c r="AE272" t="s">
        <v>109</v>
      </c>
      <c r="AF272" t="s">
        <v>102</v>
      </c>
      <c r="AG272" t="s">
        <v>109</v>
      </c>
      <c r="AH272" t="s">
        <v>102</v>
      </c>
      <c r="AI272" t="s">
        <v>6488</v>
      </c>
      <c r="AJ272" t="s">
        <v>522</v>
      </c>
      <c r="AK272" t="s">
        <v>522</v>
      </c>
      <c r="AL272" t="s">
        <v>6489</v>
      </c>
      <c r="AM272" t="s">
        <v>6490</v>
      </c>
      <c r="AN272" t="s">
        <v>102</v>
      </c>
      <c r="AO272" t="s">
        <v>525</v>
      </c>
      <c r="AP272" t="s">
        <v>525</v>
      </c>
      <c r="AU272" t="s">
        <v>318</v>
      </c>
      <c r="AV272" t="s">
        <v>118</v>
      </c>
      <c r="AW272" t="s">
        <v>102</v>
      </c>
      <c r="AX272" t="s">
        <v>119</v>
      </c>
      <c r="BB272" t="s">
        <v>120</v>
      </c>
      <c r="BC272" t="s">
        <v>284</v>
      </c>
      <c r="BD272" t="s">
        <v>285</v>
      </c>
      <c r="BE272" t="s">
        <v>212</v>
      </c>
      <c r="BF272" t="s">
        <v>286</v>
      </c>
      <c r="BG272" t="s">
        <v>124</v>
      </c>
      <c r="BH272" t="s">
        <v>214</v>
      </c>
      <c r="BI272" t="s">
        <v>126</v>
      </c>
      <c r="BJ272" t="s">
        <v>127</v>
      </c>
      <c r="BK272" t="s">
        <v>6491</v>
      </c>
      <c r="BL272" t="s">
        <v>6492</v>
      </c>
      <c r="BM272" t="s">
        <v>6493</v>
      </c>
      <c r="BN272" t="s">
        <v>517</v>
      </c>
      <c r="BO272" t="s">
        <v>290</v>
      </c>
      <c r="BP272" t="s">
        <v>132</v>
      </c>
      <c r="BQ272" t="s">
        <v>291</v>
      </c>
      <c r="BR272" t="s">
        <v>292</v>
      </c>
      <c r="BS272" t="s">
        <v>293</v>
      </c>
      <c r="BU272" t="s">
        <v>6494</v>
      </c>
      <c r="BV272" t="s">
        <v>530</v>
      </c>
      <c r="BW272" t="s">
        <v>354</v>
      </c>
      <c r="BX272" t="s">
        <v>531</v>
      </c>
      <c r="BY272" t="s">
        <v>532</v>
      </c>
      <c r="CD272" t="s">
        <v>6495</v>
      </c>
      <c r="CE272" t="s">
        <v>6496</v>
      </c>
      <c r="CF272" t="s">
        <v>6497</v>
      </c>
      <c r="CG272" t="s">
        <v>102</v>
      </c>
      <c r="CH272" t="s">
        <v>6498</v>
      </c>
      <c r="CJ272" t="s">
        <v>6499</v>
      </c>
      <c r="CK272" t="s">
        <v>6498</v>
      </c>
      <c r="CL272" t="s">
        <v>284</v>
      </c>
      <c r="CM272" t="s">
        <v>285</v>
      </c>
      <c r="CN272" t="s">
        <v>6499</v>
      </c>
      <c r="CO272" t="s">
        <v>6500</v>
      </c>
      <c r="CP272" t="s">
        <v>6498</v>
      </c>
      <c r="CQ272" t="s">
        <v>6498</v>
      </c>
    </row>
    <row r="273" spans="1:95">
      <c r="A273" t="s">
        <v>337</v>
      </c>
      <c r="B273">
        <v>351831</v>
      </c>
      <c r="C273" t="s">
        <v>6501</v>
      </c>
      <c r="F273" t="s">
        <v>95</v>
      </c>
      <c r="G273" t="s">
        <v>3074</v>
      </c>
      <c r="H273" t="s">
        <v>97</v>
      </c>
      <c r="I273" t="s">
        <v>98</v>
      </c>
      <c r="J273" t="s">
        <v>6502</v>
      </c>
      <c r="K273" t="s">
        <v>100</v>
      </c>
      <c r="L273">
        <v>537107</v>
      </c>
      <c r="M273">
        <v>537107</v>
      </c>
      <c r="N273">
        <v>537107</v>
      </c>
      <c r="O273">
        <v>1074</v>
      </c>
      <c r="P273" t="s">
        <v>364</v>
      </c>
      <c r="Q273">
        <v>0</v>
      </c>
      <c r="R273">
        <v>0</v>
      </c>
      <c r="T273">
        <v>0</v>
      </c>
      <c r="U273">
        <v>0</v>
      </c>
      <c r="W273" t="s">
        <v>102</v>
      </c>
      <c r="X273" t="s">
        <v>103</v>
      </c>
      <c r="Y273" t="s">
        <v>398</v>
      </c>
      <c r="AA273" t="s">
        <v>3074</v>
      </c>
      <c r="AB273" t="s">
        <v>6503</v>
      </c>
      <c r="AC273" t="s">
        <v>439</v>
      </c>
      <c r="AD273" t="s">
        <v>6504</v>
      </c>
      <c r="AE273" t="s">
        <v>680</v>
      </c>
      <c r="AF273" t="s">
        <v>6505</v>
      </c>
      <c r="AG273" t="s">
        <v>109</v>
      </c>
      <c r="AH273" t="s">
        <v>102</v>
      </c>
      <c r="AI273" t="s">
        <v>6506</v>
      </c>
      <c r="AJ273" t="s">
        <v>3185</v>
      </c>
      <c r="AK273" t="s">
        <v>3485</v>
      </c>
      <c r="AL273" t="s">
        <v>6507</v>
      </c>
      <c r="AM273" t="s">
        <v>6508</v>
      </c>
      <c r="AN273" t="s">
        <v>6509</v>
      </c>
      <c r="AO273" t="s">
        <v>2353</v>
      </c>
      <c r="AP273" t="s">
        <v>2353</v>
      </c>
      <c r="AU273" t="s">
        <v>117</v>
      </c>
      <c r="AV273" t="s">
        <v>250</v>
      </c>
      <c r="AW273" t="s">
        <v>102</v>
      </c>
      <c r="AX273" t="s">
        <v>119</v>
      </c>
      <c r="BB273" t="s">
        <v>120</v>
      </c>
      <c r="BC273" t="s">
        <v>6510</v>
      </c>
      <c r="BD273" t="s">
        <v>410</v>
      </c>
      <c r="BE273" t="s">
        <v>212</v>
      </c>
      <c r="BF273" t="s">
        <v>410</v>
      </c>
      <c r="BG273" t="s">
        <v>124</v>
      </c>
      <c r="BH273" t="s">
        <v>439</v>
      </c>
      <c r="BI273" t="s">
        <v>5022</v>
      </c>
      <c r="BJ273" t="s">
        <v>127</v>
      </c>
      <c r="BK273" t="s">
        <v>6511</v>
      </c>
      <c r="BL273" t="s">
        <v>6512</v>
      </c>
      <c r="BM273" t="s">
        <v>6513</v>
      </c>
      <c r="BN273" t="s">
        <v>3074</v>
      </c>
      <c r="BO273" t="s">
        <v>896</v>
      </c>
      <c r="BP273" t="s">
        <v>132</v>
      </c>
      <c r="BQ273" t="s">
        <v>897</v>
      </c>
      <c r="BR273" t="s">
        <v>898</v>
      </c>
      <c r="BS273" t="s">
        <v>899</v>
      </c>
      <c r="BU273" t="s">
        <v>6514</v>
      </c>
      <c r="BV273" t="s">
        <v>6515</v>
      </c>
      <c r="BW273" t="s">
        <v>138</v>
      </c>
      <c r="BX273" t="s">
        <v>6516</v>
      </c>
      <c r="BY273" t="s">
        <v>6517</v>
      </c>
      <c r="BZ273" t="s">
        <v>6518</v>
      </c>
      <c r="CA273" t="s">
        <v>6515</v>
      </c>
      <c r="CB273" t="s">
        <v>6516</v>
      </c>
      <c r="CC273" t="s">
        <v>6517</v>
      </c>
      <c r="CD273" t="s">
        <v>6519</v>
      </c>
      <c r="CE273" t="s">
        <v>6520</v>
      </c>
      <c r="CF273" t="s">
        <v>6517</v>
      </c>
      <c r="CG273" t="s">
        <v>907</v>
      </c>
      <c r="CH273" t="s">
        <v>6521</v>
      </c>
      <c r="CJ273" t="s">
        <v>3807</v>
      </c>
      <c r="CK273" t="s">
        <v>6521</v>
      </c>
      <c r="CL273" t="s">
        <v>6510</v>
      </c>
      <c r="CM273" t="s">
        <v>410</v>
      </c>
      <c r="CN273" t="s">
        <v>3807</v>
      </c>
      <c r="CO273" t="s">
        <v>6522</v>
      </c>
      <c r="CP273" t="s">
        <v>6523</v>
      </c>
      <c r="CQ273" t="s">
        <v>6523</v>
      </c>
    </row>
    <row r="274" spans="1:95">
      <c r="A274" t="s">
        <v>149</v>
      </c>
      <c r="B274">
        <v>3520543</v>
      </c>
      <c r="C274" t="s">
        <v>6524</v>
      </c>
      <c r="D274" t="str">
        <f>VLOOKUP(B274,'2025'!B:C,2,0)</f>
        <v>Aarti Iyer</v>
      </c>
      <c r="F274" t="s">
        <v>95</v>
      </c>
      <c r="G274" t="s">
        <v>3748</v>
      </c>
      <c r="H274" t="s">
        <v>97</v>
      </c>
      <c r="I274" t="s">
        <v>98</v>
      </c>
      <c r="J274" t="s">
        <v>6525</v>
      </c>
      <c r="K274" t="s">
        <v>100</v>
      </c>
      <c r="L274">
        <v>611094</v>
      </c>
      <c r="M274">
        <v>611094</v>
      </c>
      <c r="N274">
        <v>611094</v>
      </c>
      <c r="O274">
        <v>940</v>
      </c>
      <c r="P274" t="s">
        <v>1122</v>
      </c>
      <c r="Q274">
        <v>0</v>
      </c>
      <c r="R274">
        <v>0</v>
      </c>
      <c r="T274">
        <v>0</v>
      </c>
      <c r="U274">
        <v>0</v>
      </c>
      <c r="W274" t="s">
        <v>102</v>
      </c>
      <c r="X274" t="s">
        <v>103</v>
      </c>
      <c r="Y274" t="s">
        <v>104</v>
      </c>
      <c r="AA274" t="s">
        <v>2605</v>
      </c>
      <c r="AB274" t="s">
        <v>6526</v>
      </c>
      <c r="AC274" t="s">
        <v>158</v>
      </c>
      <c r="AD274" t="s">
        <v>6526</v>
      </c>
      <c r="AE274" t="s">
        <v>109</v>
      </c>
      <c r="AF274" t="s">
        <v>102</v>
      </c>
      <c r="AG274" t="s">
        <v>109</v>
      </c>
      <c r="AH274" t="s">
        <v>102</v>
      </c>
      <c r="AI274" t="s">
        <v>6527</v>
      </c>
      <c r="AJ274" t="s">
        <v>3185</v>
      </c>
      <c r="AK274" t="s">
        <v>3185</v>
      </c>
      <c r="AL274" t="s">
        <v>6528</v>
      </c>
      <c r="AM274" t="s">
        <v>6529</v>
      </c>
      <c r="AN274" t="s">
        <v>6530</v>
      </c>
      <c r="AO274" t="s">
        <v>6322</v>
      </c>
      <c r="AP274" t="s">
        <v>6322</v>
      </c>
      <c r="AU274" t="s">
        <v>318</v>
      </c>
      <c r="AV274" t="s">
        <v>118</v>
      </c>
      <c r="AW274" t="s">
        <v>102</v>
      </c>
      <c r="AX274" t="s">
        <v>119</v>
      </c>
      <c r="BB274" t="s">
        <v>120</v>
      </c>
      <c r="BC274" t="s">
        <v>2127</v>
      </c>
      <c r="BD274" t="s">
        <v>621</v>
      </c>
      <c r="BE274" t="s">
        <v>622</v>
      </c>
      <c r="BF274" t="s">
        <v>976</v>
      </c>
      <c r="BG274" t="s">
        <v>124</v>
      </c>
      <c r="BH274" t="s">
        <v>214</v>
      </c>
      <c r="BI274" t="s">
        <v>625</v>
      </c>
      <c r="BJ274" t="s">
        <v>127</v>
      </c>
      <c r="BK274" t="s">
        <v>6531</v>
      </c>
      <c r="BL274" t="s">
        <v>6532</v>
      </c>
      <c r="BM274" t="s">
        <v>6533</v>
      </c>
      <c r="BN274" t="s">
        <v>3748</v>
      </c>
      <c r="BO274" t="s">
        <v>981</v>
      </c>
      <c r="BP274" t="s">
        <v>505</v>
      </c>
      <c r="BQ274" t="s">
        <v>982</v>
      </c>
      <c r="BR274" t="s">
        <v>983</v>
      </c>
      <c r="BS274" t="s">
        <v>984</v>
      </c>
      <c r="BU274" t="s">
        <v>6534</v>
      </c>
      <c r="BV274" t="s">
        <v>6535</v>
      </c>
      <c r="BW274" t="s">
        <v>138</v>
      </c>
      <c r="BX274" t="s">
        <v>6536</v>
      </c>
      <c r="BY274" t="s">
        <v>6537</v>
      </c>
      <c r="BZ274" t="s">
        <v>6538</v>
      </c>
      <c r="CG274" t="s">
        <v>102</v>
      </c>
      <c r="CH274" t="s">
        <v>6539</v>
      </c>
      <c r="CJ274" t="s">
        <v>6540</v>
      </c>
      <c r="CK274" t="s">
        <v>6539</v>
      </c>
      <c r="CL274" t="s">
        <v>2127</v>
      </c>
      <c r="CM274" t="s">
        <v>621</v>
      </c>
      <c r="CN274" t="s">
        <v>6540</v>
      </c>
      <c r="CP274" t="s">
        <v>6539</v>
      </c>
      <c r="CQ274" t="s">
        <v>6539</v>
      </c>
    </row>
    <row r="275" spans="1:95">
      <c r="A275" t="s">
        <v>149</v>
      </c>
      <c r="B275">
        <v>3534332</v>
      </c>
      <c r="C275" t="s">
        <v>6541</v>
      </c>
      <c r="D275" t="str">
        <f>VLOOKUP(B275,'2025'!B:C,2,0)</f>
        <v>Vineeth T V</v>
      </c>
      <c r="F275" t="s">
        <v>95</v>
      </c>
      <c r="G275" t="s">
        <v>517</v>
      </c>
      <c r="H275" t="s">
        <v>193</v>
      </c>
      <c r="I275" t="s">
        <v>98</v>
      </c>
      <c r="J275" t="s">
        <v>6542</v>
      </c>
      <c r="K275" t="s">
        <v>100</v>
      </c>
      <c r="L275">
        <v>255775</v>
      </c>
      <c r="M275">
        <v>286041</v>
      </c>
      <c r="N275">
        <v>87629</v>
      </c>
      <c r="O275">
        <v>128</v>
      </c>
      <c r="P275" t="s">
        <v>6543</v>
      </c>
      <c r="Q275">
        <v>0</v>
      </c>
      <c r="R275">
        <v>0</v>
      </c>
      <c r="T275">
        <v>168146</v>
      </c>
      <c r="U275">
        <v>62</v>
      </c>
      <c r="V275" t="s">
        <v>6544</v>
      </c>
      <c r="W275" t="s">
        <v>102</v>
      </c>
      <c r="X275" t="s">
        <v>103</v>
      </c>
      <c r="Y275" t="s">
        <v>801</v>
      </c>
      <c r="AA275" t="s">
        <v>6545</v>
      </c>
      <c r="AB275" t="s">
        <v>6546</v>
      </c>
      <c r="AC275" t="s">
        <v>6547</v>
      </c>
      <c r="AD275" t="s">
        <v>6546</v>
      </c>
      <c r="AE275" t="s">
        <v>6548</v>
      </c>
      <c r="AF275" t="s">
        <v>6549</v>
      </c>
      <c r="AG275" t="s">
        <v>6550</v>
      </c>
      <c r="AH275" t="s">
        <v>6549</v>
      </c>
      <c r="AI275" t="s">
        <v>102</v>
      </c>
      <c r="AJ275" t="s">
        <v>1402</v>
      </c>
      <c r="AK275" t="s">
        <v>5972</v>
      </c>
      <c r="AL275" t="s">
        <v>6551</v>
      </c>
      <c r="AM275" t="s">
        <v>6552</v>
      </c>
      <c r="AN275" t="s">
        <v>6553</v>
      </c>
      <c r="AO275" t="s">
        <v>6554</v>
      </c>
      <c r="AP275" t="s">
        <v>6554</v>
      </c>
      <c r="AU275" t="s">
        <v>207</v>
      </c>
      <c r="AV275" t="s">
        <v>118</v>
      </c>
      <c r="AW275" t="s">
        <v>102</v>
      </c>
      <c r="AX275" t="s">
        <v>119</v>
      </c>
      <c r="BA275" t="s">
        <v>250</v>
      </c>
      <c r="BB275" t="s">
        <v>1242</v>
      </c>
      <c r="BC275" t="s">
        <v>409</v>
      </c>
      <c r="BD275" t="s">
        <v>410</v>
      </c>
      <c r="BE275" t="s">
        <v>212</v>
      </c>
      <c r="BF275" t="s">
        <v>410</v>
      </c>
      <c r="BG275" t="s">
        <v>124</v>
      </c>
      <c r="BH275" t="s">
        <v>214</v>
      </c>
      <c r="BI275" t="s">
        <v>215</v>
      </c>
      <c r="BJ275" t="s">
        <v>127</v>
      </c>
      <c r="BK275" t="s">
        <v>6555</v>
      </c>
      <c r="BL275" t="s">
        <v>6556</v>
      </c>
      <c r="BM275" t="s">
        <v>6557</v>
      </c>
      <c r="BN275" t="s">
        <v>517</v>
      </c>
      <c r="BO275" t="s">
        <v>6558</v>
      </c>
      <c r="BP275" t="s">
        <v>132</v>
      </c>
      <c r="BQ275" t="s">
        <v>6559</v>
      </c>
      <c r="BR275" t="s">
        <v>6560</v>
      </c>
      <c r="BS275" t="s">
        <v>418</v>
      </c>
      <c r="BU275" t="s">
        <v>6561</v>
      </c>
      <c r="BV275" t="s">
        <v>6562</v>
      </c>
      <c r="BW275" t="s">
        <v>138</v>
      </c>
      <c r="BX275" t="s">
        <v>6563</v>
      </c>
      <c r="BY275" t="s">
        <v>6564</v>
      </c>
      <c r="BZ275" t="s">
        <v>6565</v>
      </c>
      <c r="CA275" t="s">
        <v>6566</v>
      </c>
      <c r="CB275" t="s">
        <v>6567</v>
      </c>
      <c r="CG275" t="s">
        <v>102</v>
      </c>
      <c r="CH275" t="s">
        <v>6568</v>
      </c>
      <c r="CJ275" t="s">
        <v>6569</v>
      </c>
      <c r="CK275" t="s">
        <v>6568</v>
      </c>
      <c r="CL275" t="s">
        <v>409</v>
      </c>
      <c r="CM275" t="s">
        <v>410</v>
      </c>
      <c r="CN275" t="s">
        <v>6569</v>
      </c>
      <c r="CO275" t="s">
        <v>6570</v>
      </c>
      <c r="CP275" t="s">
        <v>6568</v>
      </c>
      <c r="CQ275" t="s">
        <v>6568</v>
      </c>
    </row>
    <row r="276" spans="1:95">
      <c r="A276" t="s">
        <v>337</v>
      </c>
      <c r="B276">
        <v>353776</v>
      </c>
      <c r="C276" t="s">
        <v>6571</v>
      </c>
      <c r="D276" t="str">
        <f>VLOOKUP(B276,'2025'!B:C,2,0)</f>
        <v>Chaitanya</v>
      </c>
      <c r="F276" t="s">
        <v>95</v>
      </c>
      <c r="G276" t="s">
        <v>6572</v>
      </c>
      <c r="H276" t="s">
        <v>2193</v>
      </c>
      <c r="I276" t="s">
        <v>98</v>
      </c>
      <c r="J276" t="s">
        <v>6573</v>
      </c>
      <c r="K276" t="s">
        <v>100</v>
      </c>
      <c r="L276">
        <v>400000</v>
      </c>
      <c r="M276">
        <v>472000</v>
      </c>
      <c r="N276">
        <v>0</v>
      </c>
      <c r="O276">
        <v>1251</v>
      </c>
      <c r="P276" t="s">
        <v>102</v>
      </c>
      <c r="Q276">
        <v>0</v>
      </c>
      <c r="R276">
        <v>0</v>
      </c>
      <c r="S276" t="s">
        <v>102</v>
      </c>
      <c r="T276">
        <v>0</v>
      </c>
      <c r="U276">
        <v>0</v>
      </c>
      <c r="V276" t="s">
        <v>102</v>
      </c>
      <c r="W276" t="s">
        <v>2195</v>
      </c>
      <c r="X276" t="s">
        <v>103</v>
      </c>
      <c r="Y276" t="s">
        <v>2196</v>
      </c>
      <c r="Z276" t="s">
        <v>6574</v>
      </c>
      <c r="AA276" t="s">
        <v>6572</v>
      </c>
      <c r="AB276" t="s">
        <v>102</v>
      </c>
      <c r="AC276" t="s">
        <v>6575</v>
      </c>
      <c r="AD276" t="s">
        <v>102</v>
      </c>
      <c r="AE276" t="s">
        <v>6576</v>
      </c>
      <c r="AF276" t="s">
        <v>102</v>
      </c>
      <c r="AG276" t="s">
        <v>6577</v>
      </c>
      <c r="AH276" t="s">
        <v>102</v>
      </c>
      <c r="AI276" t="s">
        <v>102</v>
      </c>
      <c r="AJ276" t="s">
        <v>6574</v>
      </c>
      <c r="AK276" t="s">
        <v>6574</v>
      </c>
      <c r="AL276" t="s">
        <v>2195</v>
      </c>
      <c r="AM276" t="s">
        <v>102</v>
      </c>
      <c r="AN276" t="s">
        <v>2195</v>
      </c>
      <c r="AO276" t="s">
        <v>2202</v>
      </c>
      <c r="AP276" t="s">
        <v>2202</v>
      </c>
      <c r="AQ276" t="s">
        <v>102</v>
      </c>
      <c r="AR276" t="s">
        <v>102</v>
      </c>
      <c r="AS276" t="s">
        <v>102</v>
      </c>
      <c r="AT276" t="s">
        <v>102</v>
      </c>
      <c r="AU276" t="s">
        <v>247</v>
      </c>
      <c r="AV276" t="s">
        <v>118</v>
      </c>
      <c r="AW276" t="s">
        <v>102</v>
      </c>
      <c r="AX276" t="s">
        <v>119</v>
      </c>
      <c r="BB276" t="s">
        <v>120</v>
      </c>
      <c r="BC276" t="s">
        <v>121</v>
      </c>
      <c r="BD276" t="s">
        <v>121</v>
      </c>
      <c r="BE276" t="s">
        <v>122</v>
      </c>
      <c r="BF276" t="s">
        <v>123</v>
      </c>
      <c r="BG276" t="s">
        <v>124</v>
      </c>
      <c r="BH276" t="s">
        <v>6578</v>
      </c>
      <c r="BI276" t="s">
        <v>6579</v>
      </c>
      <c r="BJ276" t="s">
        <v>2207</v>
      </c>
      <c r="BK276" t="s">
        <v>6580</v>
      </c>
      <c r="BL276" t="s">
        <v>6581</v>
      </c>
      <c r="BM276" t="s">
        <v>6582</v>
      </c>
      <c r="BN276" t="s">
        <v>6572</v>
      </c>
      <c r="BO276" t="s">
        <v>2766</v>
      </c>
      <c r="BP276" t="s">
        <v>3064</v>
      </c>
      <c r="BQ276" t="s">
        <v>2213</v>
      </c>
      <c r="BR276" t="s">
        <v>2214</v>
      </c>
      <c r="BS276" t="s">
        <v>2215</v>
      </c>
      <c r="BT276" t="s">
        <v>2216</v>
      </c>
      <c r="BU276" t="s">
        <v>6583</v>
      </c>
      <c r="BV276" t="s">
        <v>6584</v>
      </c>
      <c r="BW276" t="s">
        <v>138</v>
      </c>
      <c r="BX276" t="s">
        <v>6585</v>
      </c>
      <c r="BY276" t="s">
        <v>226</v>
      </c>
      <c r="BZ276" t="s">
        <v>6585</v>
      </c>
      <c r="CG276" t="s">
        <v>2773</v>
      </c>
      <c r="CH276" t="s">
        <v>6586</v>
      </c>
      <c r="CJ276" t="s">
        <v>4735</v>
      </c>
      <c r="CK276" t="s">
        <v>6586</v>
      </c>
      <c r="CL276" t="s">
        <v>121</v>
      </c>
      <c r="CM276" t="s">
        <v>121</v>
      </c>
      <c r="CN276" t="s">
        <v>4735</v>
      </c>
      <c r="CP276" t="s">
        <v>6586</v>
      </c>
      <c r="CQ276" t="s">
        <v>6586</v>
      </c>
    </row>
    <row r="277" spans="1:95">
      <c r="A277" t="s">
        <v>337</v>
      </c>
      <c r="B277">
        <v>354838</v>
      </c>
      <c r="C277" t="s">
        <v>6587</v>
      </c>
      <c r="D277" t="str">
        <f>VLOOKUP(B277,'2025'!B:C,2,0)</f>
        <v>Pooja Kapoor</v>
      </c>
      <c r="F277" t="s">
        <v>95</v>
      </c>
      <c r="G277" t="s">
        <v>885</v>
      </c>
      <c r="H277" t="s">
        <v>152</v>
      </c>
      <c r="I277" t="s">
        <v>98</v>
      </c>
      <c r="J277" t="s">
        <v>6588</v>
      </c>
      <c r="K277" t="s">
        <v>100</v>
      </c>
      <c r="L277">
        <v>1169953</v>
      </c>
      <c r="M277">
        <v>1169953</v>
      </c>
      <c r="N277">
        <v>0</v>
      </c>
      <c r="O277">
        <v>0</v>
      </c>
      <c r="Q277">
        <v>1169953</v>
      </c>
      <c r="R277">
        <v>780</v>
      </c>
      <c r="S277" t="s">
        <v>6441</v>
      </c>
      <c r="T277">
        <v>0</v>
      </c>
      <c r="U277">
        <v>0</v>
      </c>
      <c r="W277" t="s">
        <v>102</v>
      </c>
      <c r="X277" t="s">
        <v>103</v>
      </c>
      <c r="Y277" t="s">
        <v>155</v>
      </c>
      <c r="AA277" t="s">
        <v>3155</v>
      </c>
      <c r="AB277" t="s">
        <v>6589</v>
      </c>
      <c r="AC277" t="s">
        <v>2298</v>
      </c>
      <c r="AD277" t="s">
        <v>6589</v>
      </c>
      <c r="AE277" t="s">
        <v>158</v>
      </c>
      <c r="AF277" t="s">
        <v>6589</v>
      </c>
      <c r="AG277" t="s">
        <v>915</v>
      </c>
      <c r="AH277" t="s">
        <v>6589</v>
      </c>
      <c r="AI277" t="s">
        <v>102</v>
      </c>
      <c r="AJ277" t="s">
        <v>716</v>
      </c>
      <c r="AK277" t="s">
        <v>3033</v>
      </c>
      <c r="AL277" t="s">
        <v>6590</v>
      </c>
      <c r="AM277" t="s">
        <v>6591</v>
      </c>
      <c r="AN277" t="s">
        <v>6592</v>
      </c>
      <c r="AO277" t="s">
        <v>6593</v>
      </c>
      <c r="AP277" t="s">
        <v>6593</v>
      </c>
      <c r="AU277" t="s">
        <v>102</v>
      </c>
      <c r="AW277" t="s">
        <v>155</v>
      </c>
      <c r="AX277" t="s">
        <v>119</v>
      </c>
      <c r="AY277" t="s">
        <v>170</v>
      </c>
      <c r="AZ277" t="s">
        <v>118</v>
      </c>
      <c r="BB277" t="s">
        <v>209</v>
      </c>
      <c r="BC277" t="s">
        <v>6594</v>
      </c>
      <c r="BD277" t="s">
        <v>6595</v>
      </c>
      <c r="BE277" t="s">
        <v>174</v>
      </c>
      <c r="BF277" t="s">
        <v>4405</v>
      </c>
      <c r="BG277" t="s">
        <v>124</v>
      </c>
      <c r="BH277" t="s">
        <v>3006</v>
      </c>
      <c r="BI277" t="s">
        <v>160</v>
      </c>
      <c r="BJ277" t="s">
        <v>127</v>
      </c>
      <c r="BK277" t="s">
        <v>6596</v>
      </c>
      <c r="BL277" t="s">
        <v>6597</v>
      </c>
      <c r="BM277" t="s">
        <v>6598</v>
      </c>
      <c r="BN277" t="s">
        <v>885</v>
      </c>
      <c r="BO277" t="s">
        <v>5531</v>
      </c>
      <c r="BP277" t="s">
        <v>258</v>
      </c>
      <c r="BQ277" t="s">
        <v>5532</v>
      </c>
      <c r="BR277" t="s">
        <v>5533</v>
      </c>
      <c r="BS277" t="s">
        <v>4413</v>
      </c>
      <c r="BU277" t="s">
        <v>6599</v>
      </c>
      <c r="BV277" t="s">
        <v>6600</v>
      </c>
      <c r="BW277" t="s">
        <v>138</v>
      </c>
      <c r="BX277" t="s">
        <v>6601</v>
      </c>
      <c r="BY277" t="s">
        <v>6602</v>
      </c>
      <c r="BZ277" t="s">
        <v>6601</v>
      </c>
      <c r="CA277" t="s">
        <v>6603</v>
      </c>
      <c r="CB277" t="s">
        <v>6601</v>
      </c>
      <c r="CC277" t="s">
        <v>6602</v>
      </c>
      <c r="CD277" t="s">
        <v>6603</v>
      </c>
      <c r="CE277" t="s">
        <v>6601</v>
      </c>
      <c r="CF277" t="s">
        <v>6602</v>
      </c>
      <c r="CG277" t="s">
        <v>6604</v>
      </c>
      <c r="CH277" t="s">
        <v>6605</v>
      </c>
      <c r="CJ277" t="s">
        <v>6606</v>
      </c>
      <c r="CK277" t="s">
        <v>6605</v>
      </c>
      <c r="CL277" t="s">
        <v>6594</v>
      </c>
      <c r="CM277" t="s">
        <v>6595</v>
      </c>
      <c r="CN277" t="s">
        <v>6606</v>
      </c>
      <c r="CO277" t="s">
        <v>6607</v>
      </c>
      <c r="CP277" t="s">
        <v>6608</v>
      </c>
      <c r="CQ277" t="s">
        <v>6608</v>
      </c>
    </row>
    <row r="278" spans="1:95">
      <c r="A278" t="s">
        <v>93</v>
      </c>
      <c r="B278">
        <v>3549767</v>
      </c>
      <c r="C278" t="s">
        <v>6609</v>
      </c>
      <c r="E278" s="4" t="s">
        <v>17377</v>
      </c>
      <c r="F278" t="s">
        <v>95</v>
      </c>
      <c r="G278" t="s">
        <v>162</v>
      </c>
      <c r="H278" t="s">
        <v>152</v>
      </c>
      <c r="I278" t="s">
        <v>98</v>
      </c>
      <c r="J278" t="s">
        <v>6610</v>
      </c>
      <c r="K278" t="s">
        <v>100</v>
      </c>
      <c r="L278">
        <v>691560</v>
      </c>
      <c r="M278">
        <v>691560</v>
      </c>
      <c r="N278">
        <v>0</v>
      </c>
      <c r="O278">
        <v>0</v>
      </c>
      <c r="Q278">
        <v>691560</v>
      </c>
      <c r="R278">
        <v>553</v>
      </c>
      <c r="S278" t="s">
        <v>6611</v>
      </c>
      <c r="T278">
        <v>0</v>
      </c>
      <c r="U278">
        <v>0</v>
      </c>
      <c r="W278" t="s">
        <v>102</v>
      </c>
      <c r="X278" t="s">
        <v>103</v>
      </c>
      <c r="Y278" t="s">
        <v>398</v>
      </c>
      <c r="AA278" t="s">
        <v>2364</v>
      </c>
      <c r="AB278" t="s">
        <v>6612</v>
      </c>
      <c r="AC278" t="s">
        <v>3711</v>
      </c>
      <c r="AD278" t="s">
        <v>6613</v>
      </c>
      <c r="AE278" t="s">
        <v>915</v>
      </c>
      <c r="AF278" t="s">
        <v>6613</v>
      </c>
      <c r="AG278" t="s">
        <v>109</v>
      </c>
      <c r="AH278" t="s">
        <v>102</v>
      </c>
      <c r="AI278" t="s">
        <v>2069</v>
      </c>
      <c r="AJ278" t="s">
        <v>6614</v>
      </c>
      <c r="AK278" t="s">
        <v>6615</v>
      </c>
      <c r="AL278" t="s">
        <v>6616</v>
      </c>
      <c r="AM278" t="s">
        <v>6617</v>
      </c>
      <c r="AN278" t="s">
        <v>6618</v>
      </c>
      <c r="AO278" t="s">
        <v>2147</v>
      </c>
      <c r="AP278" t="s">
        <v>116</v>
      </c>
      <c r="AT278" t="s">
        <v>169</v>
      </c>
      <c r="AU278" t="s">
        <v>102</v>
      </c>
      <c r="AW278" t="s">
        <v>155</v>
      </c>
      <c r="AX278" t="s">
        <v>447</v>
      </c>
      <c r="AY278" t="s">
        <v>170</v>
      </c>
      <c r="AZ278" t="s">
        <v>118</v>
      </c>
      <c r="BB278" t="s">
        <v>120</v>
      </c>
      <c r="BC278" t="s">
        <v>6619</v>
      </c>
      <c r="BD278" t="s">
        <v>556</v>
      </c>
      <c r="BE278" t="s">
        <v>122</v>
      </c>
      <c r="BF278" t="s">
        <v>557</v>
      </c>
      <c r="BG278" t="s">
        <v>124</v>
      </c>
      <c r="BH278" t="s">
        <v>892</v>
      </c>
      <c r="BI278" t="s">
        <v>1408</v>
      </c>
      <c r="BJ278" t="s">
        <v>127</v>
      </c>
      <c r="BK278" t="s">
        <v>6620</v>
      </c>
      <c r="BL278" t="s">
        <v>6621</v>
      </c>
      <c r="BM278" t="s">
        <v>6622</v>
      </c>
      <c r="BN278" t="s">
        <v>162</v>
      </c>
      <c r="BO278" t="s">
        <v>1733</v>
      </c>
      <c r="BP278" t="s">
        <v>350</v>
      </c>
      <c r="BQ278" t="s">
        <v>1734</v>
      </c>
      <c r="BR278" t="s">
        <v>1735</v>
      </c>
      <c r="BS278" t="s">
        <v>1074</v>
      </c>
      <c r="BT278" t="s">
        <v>1075</v>
      </c>
      <c r="BU278" t="s">
        <v>6623</v>
      </c>
      <c r="BV278" t="s">
        <v>6624</v>
      </c>
      <c r="BW278" t="s">
        <v>138</v>
      </c>
      <c r="BX278" t="s">
        <v>6625</v>
      </c>
      <c r="BY278" t="s">
        <v>6626</v>
      </c>
      <c r="BZ278" t="s">
        <v>6627</v>
      </c>
      <c r="CG278" t="s">
        <v>102</v>
      </c>
      <c r="CH278" t="s">
        <v>6628</v>
      </c>
      <c r="CJ278" t="s">
        <v>6629</v>
      </c>
      <c r="CK278" t="s">
        <v>6628</v>
      </c>
      <c r="CL278" t="s">
        <v>6619</v>
      </c>
      <c r="CM278" t="s">
        <v>556</v>
      </c>
      <c r="CN278" t="s">
        <v>6629</v>
      </c>
      <c r="CO278" t="s">
        <v>6630</v>
      </c>
      <c r="CP278" t="s">
        <v>6628</v>
      </c>
      <c r="CQ278" t="s">
        <v>6628</v>
      </c>
    </row>
    <row r="279" spans="1:95">
      <c r="A279" t="s">
        <v>93</v>
      </c>
      <c r="B279">
        <v>355230</v>
      </c>
      <c r="C279" t="s">
        <v>6631</v>
      </c>
      <c r="E279" s="4" t="s">
        <v>17377</v>
      </c>
      <c r="F279" t="s">
        <v>95</v>
      </c>
      <c r="G279" t="s">
        <v>6632</v>
      </c>
      <c r="H279" t="s">
        <v>152</v>
      </c>
      <c r="I279" t="s">
        <v>98</v>
      </c>
      <c r="J279" t="s">
        <v>6633</v>
      </c>
      <c r="K279" t="s">
        <v>100</v>
      </c>
      <c r="L279">
        <v>226802</v>
      </c>
      <c r="M279">
        <v>226802</v>
      </c>
      <c r="N279">
        <v>0</v>
      </c>
      <c r="O279">
        <v>0</v>
      </c>
      <c r="Q279">
        <v>226802</v>
      </c>
      <c r="R279">
        <v>240</v>
      </c>
      <c r="S279" t="s">
        <v>5396</v>
      </c>
      <c r="T279">
        <v>0</v>
      </c>
      <c r="U279">
        <v>0</v>
      </c>
      <c r="W279" t="s">
        <v>102</v>
      </c>
      <c r="X279" t="s">
        <v>275</v>
      </c>
      <c r="Z279" t="s">
        <v>341</v>
      </c>
      <c r="AA279" t="s">
        <v>109</v>
      </c>
      <c r="AB279" t="s">
        <v>102</v>
      </c>
      <c r="AC279" t="s">
        <v>109</v>
      </c>
      <c r="AD279" t="s">
        <v>102</v>
      </c>
      <c r="AE279" t="s">
        <v>109</v>
      </c>
      <c r="AF279" t="s">
        <v>102</v>
      </c>
      <c r="AG279" t="s">
        <v>109</v>
      </c>
      <c r="AH279" t="s">
        <v>102</v>
      </c>
      <c r="AI279" t="s">
        <v>102</v>
      </c>
      <c r="AJ279" t="s">
        <v>3006</v>
      </c>
      <c r="AK279" t="s">
        <v>578</v>
      </c>
      <c r="AL279" t="s">
        <v>6634</v>
      </c>
      <c r="AM279" t="s">
        <v>6634</v>
      </c>
      <c r="AN279" t="s">
        <v>102</v>
      </c>
      <c r="AO279" t="s">
        <v>6635</v>
      </c>
      <c r="AP279" t="s">
        <v>6636</v>
      </c>
      <c r="AQ279" t="s">
        <v>343</v>
      </c>
      <c r="AU279" t="s">
        <v>102</v>
      </c>
      <c r="AW279" t="s">
        <v>104</v>
      </c>
      <c r="AX279" t="s">
        <v>119</v>
      </c>
      <c r="AY279" t="s">
        <v>170</v>
      </c>
      <c r="AZ279" t="s">
        <v>118</v>
      </c>
      <c r="BB279" t="s">
        <v>598</v>
      </c>
      <c r="BC279" t="s">
        <v>6594</v>
      </c>
      <c r="BD279" t="s">
        <v>6595</v>
      </c>
      <c r="BE279" t="s">
        <v>174</v>
      </c>
      <c r="BF279" t="s">
        <v>4405</v>
      </c>
      <c r="BG279" t="s">
        <v>124</v>
      </c>
      <c r="BH279" t="s">
        <v>3155</v>
      </c>
      <c r="BI279" t="s">
        <v>1827</v>
      </c>
      <c r="BJ279" t="s">
        <v>127</v>
      </c>
      <c r="BK279" t="s">
        <v>6637</v>
      </c>
      <c r="BL279" t="s">
        <v>6638</v>
      </c>
      <c r="BM279" t="s">
        <v>6639</v>
      </c>
      <c r="BN279" t="s">
        <v>6632</v>
      </c>
      <c r="BO279" t="s">
        <v>1917</v>
      </c>
      <c r="BP279" t="s">
        <v>258</v>
      </c>
      <c r="BQ279" t="s">
        <v>1918</v>
      </c>
      <c r="BR279" t="s">
        <v>1919</v>
      </c>
      <c r="BS279" t="s">
        <v>4413</v>
      </c>
      <c r="BT279" t="s">
        <v>1111</v>
      </c>
      <c r="BU279" t="s">
        <v>6640</v>
      </c>
      <c r="BV279" t="s">
        <v>6641</v>
      </c>
      <c r="BW279" t="s">
        <v>354</v>
      </c>
      <c r="BX279" t="s">
        <v>6642</v>
      </c>
      <c r="BY279" t="s">
        <v>6643</v>
      </c>
      <c r="BZ279" t="s">
        <v>6644</v>
      </c>
      <c r="CA279" t="s">
        <v>6645</v>
      </c>
      <c r="CB279" t="s">
        <v>6644</v>
      </c>
      <c r="CC279" t="s">
        <v>6646</v>
      </c>
      <c r="CG279" t="s">
        <v>102</v>
      </c>
      <c r="CH279" t="s">
        <v>6647</v>
      </c>
      <c r="CJ279" t="s">
        <v>6648</v>
      </c>
      <c r="CK279" t="s">
        <v>6647</v>
      </c>
      <c r="CL279" t="s">
        <v>6594</v>
      </c>
      <c r="CM279" t="s">
        <v>6595</v>
      </c>
      <c r="CN279" t="s">
        <v>6648</v>
      </c>
      <c r="CP279" t="s">
        <v>6647</v>
      </c>
      <c r="CQ279" t="s">
        <v>6647</v>
      </c>
    </row>
    <row r="280" spans="1:95">
      <c r="A280" t="s">
        <v>93</v>
      </c>
      <c r="B280">
        <v>3552349</v>
      </c>
      <c r="C280" t="s">
        <v>6649</v>
      </c>
      <c r="D280" t="str">
        <f>VLOOKUP(B280,'2025'!B:C,2,0)</f>
        <v>Vineeth T V</v>
      </c>
      <c r="F280" t="s">
        <v>95</v>
      </c>
      <c r="G280" t="s">
        <v>1816</v>
      </c>
      <c r="H280" t="s">
        <v>643</v>
      </c>
      <c r="I280" t="s">
        <v>98</v>
      </c>
      <c r="J280" t="s">
        <v>6650</v>
      </c>
      <c r="K280" t="s">
        <v>100</v>
      </c>
      <c r="L280">
        <v>1622883</v>
      </c>
      <c r="M280">
        <v>1758932</v>
      </c>
      <c r="N280">
        <v>0</v>
      </c>
      <c r="O280">
        <v>0</v>
      </c>
      <c r="Q280">
        <v>867057</v>
      </c>
      <c r="R280">
        <v>529</v>
      </c>
      <c r="S280" t="s">
        <v>6651</v>
      </c>
      <c r="T280">
        <v>755826</v>
      </c>
      <c r="U280">
        <v>529</v>
      </c>
      <c r="V280" t="s">
        <v>6652</v>
      </c>
      <c r="W280" t="s">
        <v>102</v>
      </c>
      <c r="X280" t="s">
        <v>103</v>
      </c>
      <c r="Y280" t="s">
        <v>155</v>
      </c>
      <c r="AA280" t="s">
        <v>558</v>
      </c>
      <c r="AB280" t="s">
        <v>6653</v>
      </c>
      <c r="AC280" t="s">
        <v>892</v>
      </c>
      <c r="AD280" t="s">
        <v>6653</v>
      </c>
      <c r="AE280" t="s">
        <v>6654</v>
      </c>
      <c r="AF280" t="s">
        <v>6653</v>
      </c>
      <c r="AG280" t="s">
        <v>160</v>
      </c>
      <c r="AH280" t="s">
        <v>6653</v>
      </c>
      <c r="AI280" t="s">
        <v>102</v>
      </c>
      <c r="AJ280" t="s">
        <v>377</v>
      </c>
      <c r="AK280" t="s">
        <v>5694</v>
      </c>
      <c r="AL280" t="s">
        <v>6655</v>
      </c>
      <c r="AM280" t="s">
        <v>6656</v>
      </c>
      <c r="AN280" t="s">
        <v>6657</v>
      </c>
      <c r="AO280" t="s">
        <v>6658</v>
      </c>
      <c r="AP280" t="s">
        <v>6658</v>
      </c>
      <c r="AU280" t="s">
        <v>102</v>
      </c>
      <c r="AW280" t="s">
        <v>655</v>
      </c>
      <c r="AX280" t="s">
        <v>119</v>
      </c>
      <c r="AY280" t="s">
        <v>170</v>
      </c>
      <c r="AZ280" t="s">
        <v>118</v>
      </c>
      <c r="BA280" t="s">
        <v>250</v>
      </c>
      <c r="BB280" t="s">
        <v>120</v>
      </c>
      <c r="BC280" t="s">
        <v>409</v>
      </c>
      <c r="BD280" t="s">
        <v>410</v>
      </c>
      <c r="BE280" t="s">
        <v>212</v>
      </c>
      <c r="BF280" t="s">
        <v>410</v>
      </c>
      <c r="BG280" t="s">
        <v>124</v>
      </c>
      <c r="BH280" t="s">
        <v>232</v>
      </c>
      <c r="BI280" t="s">
        <v>1038</v>
      </c>
      <c r="BJ280" t="s">
        <v>127</v>
      </c>
      <c r="BK280" t="s">
        <v>6659</v>
      </c>
      <c r="BL280" t="s">
        <v>6660</v>
      </c>
      <c r="BM280" t="s">
        <v>6661</v>
      </c>
      <c r="BN280" t="s">
        <v>1816</v>
      </c>
      <c r="BO280" t="s">
        <v>6662</v>
      </c>
      <c r="BP280" t="s">
        <v>258</v>
      </c>
      <c r="BQ280" t="s">
        <v>6663</v>
      </c>
      <c r="BR280" t="s">
        <v>6664</v>
      </c>
      <c r="BS280" t="s">
        <v>222</v>
      </c>
      <c r="BU280" t="s">
        <v>6665</v>
      </c>
      <c r="BV280" t="s">
        <v>6666</v>
      </c>
      <c r="BW280" t="s">
        <v>3121</v>
      </c>
      <c r="BX280" t="s">
        <v>6667</v>
      </c>
      <c r="BY280" t="s">
        <v>6668</v>
      </c>
      <c r="BZ280" t="s">
        <v>6667</v>
      </c>
      <c r="CA280" t="s">
        <v>6666</v>
      </c>
      <c r="CB280" t="s">
        <v>6667</v>
      </c>
      <c r="CC280" t="s">
        <v>6669</v>
      </c>
      <c r="CG280" t="s">
        <v>907</v>
      </c>
      <c r="CH280" t="s">
        <v>6670</v>
      </c>
      <c r="CJ280" t="s">
        <v>6671</v>
      </c>
      <c r="CK280" t="s">
        <v>6670</v>
      </c>
      <c r="CL280" t="s">
        <v>409</v>
      </c>
      <c r="CM280" t="s">
        <v>410</v>
      </c>
      <c r="CN280" t="s">
        <v>6671</v>
      </c>
      <c r="CP280" t="s">
        <v>6670</v>
      </c>
      <c r="CQ280" t="s">
        <v>6670</v>
      </c>
    </row>
    <row r="281" spans="1:95">
      <c r="A281" t="s">
        <v>149</v>
      </c>
      <c r="B281">
        <v>3557796</v>
      </c>
      <c r="C281" t="s">
        <v>6541</v>
      </c>
      <c r="D281" t="str">
        <f>VLOOKUP(B281,'2025'!B:C,2,0)</f>
        <v>Vineeth T V</v>
      </c>
      <c r="F281" t="s">
        <v>95</v>
      </c>
      <c r="G281" t="s">
        <v>6672</v>
      </c>
      <c r="H281" t="s">
        <v>193</v>
      </c>
      <c r="I281" t="s">
        <v>98</v>
      </c>
      <c r="J281" t="s">
        <v>6673</v>
      </c>
      <c r="K281" t="s">
        <v>100</v>
      </c>
      <c r="L281">
        <v>308628</v>
      </c>
      <c r="M281">
        <v>342311</v>
      </c>
      <c r="N281">
        <v>121498</v>
      </c>
      <c r="O281">
        <v>173</v>
      </c>
      <c r="P281" t="s">
        <v>4234</v>
      </c>
      <c r="Q281">
        <v>0</v>
      </c>
      <c r="R281">
        <v>0</v>
      </c>
      <c r="T281">
        <v>187130</v>
      </c>
      <c r="U281">
        <v>69</v>
      </c>
      <c r="V281" t="s">
        <v>6544</v>
      </c>
      <c r="W281" t="s">
        <v>102</v>
      </c>
      <c r="X281" t="s">
        <v>103</v>
      </c>
      <c r="Y281" t="s">
        <v>801</v>
      </c>
      <c r="AA281" t="s">
        <v>1493</v>
      </c>
      <c r="AB281" t="s">
        <v>6674</v>
      </c>
      <c r="AC281" t="s">
        <v>6675</v>
      </c>
      <c r="AD281" t="s">
        <v>6674</v>
      </c>
      <c r="AE281" t="s">
        <v>6548</v>
      </c>
      <c r="AF281" t="s">
        <v>6676</v>
      </c>
      <c r="AG281" t="s">
        <v>6550</v>
      </c>
      <c r="AH281" t="s">
        <v>6676</v>
      </c>
      <c r="AI281" t="s">
        <v>102</v>
      </c>
      <c r="AJ281" t="s">
        <v>1402</v>
      </c>
      <c r="AK281" t="s">
        <v>4520</v>
      </c>
      <c r="AL281" t="s">
        <v>6677</v>
      </c>
      <c r="AM281" t="s">
        <v>6678</v>
      </c>
      <c r="AN281" t="s">
        <v>6679</v>
      </c>
      <c r="AO281" t="s">
        <v>6680</v>
      </c>
      <c r="AP281" t="s">
        <v>6680</v>
      </c>
      <c r="AU281" t="s">
        <v>207</v>
      </c>
      <c r="AV281" t="s">
        <v>118</v>
      </c>
      <c r="AW281" t="s">
        <v>102</v>
      </c>
      <c r="AX281" t="s">
        <v>119</v>
      </c>
      <c r="BA281" t="s">
        <v>250</v>
      </c>
      <c r="BB281" t="s">
        <v>2565</v>
      </c>
      <c r="BC281" t="s">
        <v>409</v>
      </c>
      <c r="BD281" t="s">
        <v>410</v>
      </c>
      <c r="BE281" t="s">
        <v>212</v>
      </c>
      <c r="BF281" t="s">
        <v>410</v>
      </c>
      <c r="BG281" t="s">
        <v>124</v>
      </c>
      <c r="BH281" t="s">
        <v>214</v>
      </c>
      <c r="BI281" t="s">
        <v>411</v>
      </c>
      <c r="BJ281" t="s">
        <v>127</v>
      </c>
      <c r="BK281" t="s">
        <v>6681</v>
      </c>
      <c r="BL281" t="s">
        <v>6682</v>
      </c>
      <c r="BM281" t="s">
        <v>6683</v>
      </c>
      <c r="BN281" t="s">
        <v>6672</v>
      </c>
      <c r="BO281" t="s">
        <v>415</v>
      </c>
      <c r="BP281" t="s">
        <v>132</v>
      </c>
      <c r="BQ281" t="s">
        <v>416</v>
      </c>
      <c r="BR281" t="s">
        <v>417</v>
      </c>
      <c r="BS281" t="s">
        <v>418</v>
      </c>
      <c r="BU281" t="s">
        <v>6684</v>
      </c>
      <c r="BV281" t="s">
        <v>6562</v>
      </c>
      <c r="BW281" t="s">
        <v>598</v>
      </c>
      <c r="BX281" t="s">
        <v>6563</v>
      </c>
      <c r="BY281" t="s">
        <v>6685</v>
      </c>
      <c r="BZ281" t="s">
        <v>6563</v>
      </c>
      <c r="CA281" t="s">
        <v>6566</v>
      </c>
      <c r="CB281" t="s">
        <v>6567</v>
      </c>
      <c r="CG281" t="s">
        <v>102</v>
      </c>
      <c r="CH281" t="s">
        <v>6686</v>
      </c>
      <c r="CJ281" t="s">
        <v>6687</v>
      </c>
      <c r="CK281" t="s">
        <v>6686</v>
      </c>
      <c r="CL281" t="s">
        <v>409</v>
      </c>
      <c r="CM281" t="s">
        <v>410</v>
      </c>
      <c r="CN281" t="s">
        <v>6687</v>
      </c>
      <c r="CO281" t="s">
        <v>6570</v>
      </c>
      <c r="CP281" t="s">
        <v>6686</v>
      </c>
      <c r="CQ281" t="s">
        <v>6686</v>
      </c>
    </row>
    <row r="282" spans="1:95">
      <c r="A282" t="s">
        <v>337</v>
      </c>
      <c r="B282">
        <v>3567542</v>
      </c>
      <c r="C282" t="s">
        <v>6688</v>
      </c>
      <c r="F282" t="s">
        <v>95</v>
      </c>
      <c r="G282" t="s">
        <v>6689</v>
      </c>
      <c r="H282" t="s">
        <v>97</v>
      </c>
      <c r="I282" t="s">
        <v>98</v>
      </c>
      <c r="J282" t="s">
        <v>6690</v>
      </c>
      <c r="K282" t="s">
        <v>100</v>
      </c>
      <c r="L282">
        <v>186300</v>
      </c>
      <c r="M282">
        <v>186300</v>
      </c>
      <c r="N282">
        <v>186300</v>
      </c>
      <c r="O282">
        <v>115</v>
      </c>
      <c r="P282" t="s">
        <v>6691</v>
      </c>
      <c r="Q282">
        <v>0</v>
      </c>
      <c r="R282">
        <v>0</v>
      </c>
      <c r="T282">
        <v>0</v>
      </c>
      <c r="U282">
        <v>0</v>
      </c>
      <c r="W282" t="s">
        <v>102</v>
      </c>
      <c r="X282" t="s">
        <v>103</v>
      </c>
      <c r="Y282" t="s">
        <v>104</v>
      </c>
      <c r="AA282" t="s">
        <v>6692</v>
      </c>
      <c r="AB282" t="s">
        <v>6693</v>
      </c>
      <c r="AC282" t="s">
        <v>400</v>
      </c>
      <c r="AD282" t="s">
        <v>6693</v>
      </c>
      <c r="AE282" t="s">
        <v>109</v>
      </c>
      <c r="AF282" t="s">
        <v>102</v>
      </c>
      <c r="AG282" t="s">
        <v>109</v>
      </c>
      <c r="AH282" t="s">
        <v>102</v>
      </c>
      <c r="AI282" t="s">
        <v>6694</v>
      </c>
      <c r="AJ282" t="s">
        <v>6695</v>
      </c>
      <c r="AK282" t="s">
        <v>3988</v>
      </c>
      <c r="AL282" t="s">
        <v>6696</v>
      </c>
      <c r="AM282" t="s">
        <v>6697</v>
      </c>
      <c r="AN282" t="s">
        <v>6698</v>
      </c>
      <c r="AO282" t="s">
        <v>6699</v>
      </c>
      <c r="AP282" t="s">
        <v>6699</v>
      </c>
      <c r="AU282" t="s">
        <v>6700</v>
      </c>
      <c r="AV282" t="s">
        <v>118</v>
      </c>
      <c r="AW282" t="s">
        <v>102</v>
      </c>
      <c r="AX282" t="s">
        <v>119</v>
      </c>
      <c r="BB282" t="s">
        <v>120</v>
      </c>
      <c r="BC282" t="s">
        <v>284</v>
      </c>
      <c r="BD282" t="s">
        <v>285</v>
      </c>
      <c r="BE282" t="s">
        <v>212</v>
      </c>
      <c r="BF282" t="s">
        <v>286</v>
      </c>
      <c r="BG282" t="s">
        <v>124</v>
      </c>
      <c r="BH282" t="s">
        <v>232</v>
      </c>
      <c r="BI282" t="s">
        <v>126</v>
      </c>
      <c r="BJ282" t="s">
        <v>127</v>
      </c>
      <c r="BK282" t="s">
        <v>6701</v>
      </c>
      <c r="BL282" t="s">
        <v>6702</v>
      </c>
      <c r="BM282" t="s">
        <v>6703</v>
      </c>
      <c r="BN282" t="s">
        <v>6689</v>
      </c>
      <c r="BO282" t="s">
        <v>480</v>
      </c>
      <c r="BP282" t="s">
        <v>258</v>
      </c>
      <c r="BQ282" t="s">
        <v>481</v>
      </c>
      <c r="BR282" t="s">
        <v>482</v>
      </c>
      <c r="BS282" t="s">
        <v>2593</v>
      </c>
      <c r="BU282" t="s">
        <v>6704</v>
      </c>
      <c r="BV282" t="s">
        <v>6705</v>
      </c>
      <c r="BW282" t="s">
        <v>138</v>
      </c>
      <c r="BX282" t="s">
        <v>6706</v>
      </c>
      <c r="BY282" t="s">
        <v>6707</v>
      </c>
      <c r="BZ282" t="s">
        <v>6708</v>
      </c>
      <c r="CA282" t="s">
        <v>6705</v>
      </c>
      <c r="CB282" t="s">
        <v>6706</v>
      </c>
      <c r="CC282" t="s">
        <v>6707</v>
      </c>
      <c r="CG282" t="s">
        <v>6709</v>
      </c>
      <c r="CH282" t="s">
        <v>6710</v>
      </c>
      <c r="CJ282" t="s">
        <v>6711</v>
      </c>
      <c r="CK282" t="s">
        <v>6710</v>
      </c>
      <c r="CL282" t="s">
        <v>284</v>
      </c>
      <c r="CM282" t="s">
        <v>285</v>
      </c>
      <c r="CN282" t="s">
        <v>6711</v>
      </c>
      <c r="CP282" t="s">
        <v>6710</v>
      </c>
      <c r="CQ282" t="s">
        <v>6710</v>
      </c>
    </row>
    <row r="283" spans="1:95">
      <c r="A283" t="s">
        <v>337</v>
      </c>
      <c r="B283">
        <v>3568055</v>
      </c>
      <c r="C283" t="s">
        <v>6712</v>
      </c>
      <c r="E283" s="4" t="s">
        <v>17377</v>
      </c>
      <c r="F283" t="s">
        <v>95</v>
      </c>
      <c r="G283" t="s">
        <v>1330</v>
      </c>
      <c r="H283" t="s">
        <v>152</v>
      </c>
      <c r="I283" t="s">
        <v>98</v>
      </c>
      <c r="J283" t="s">
        <v>6713</v>
      </c>
      <c r="K283" t="s">
        <v>100</v>
      </c>
      <c r="L283">
        <v>168801</v>
      </c>
      <c r="M283">
        <v>168801</v>
      </c>
      <c r="N283">
        <v>0</v>
      </c>
      <c r="O283">
        <v>0</v>
      </c>
      <c r="Q283">
        <v>168801</v>
      </c>
      <c r="R283">
        <v>63</v>
      </c>
      <c r="S283" t="s">
        <v>6714</v>
      </c>
      <c r="T283">
        <v>0</v>
      </c>
      <c r="U283">
        <v>0</v>
      </c>
      <c r="W283" t="s">
        <v>102</v>
      </c>
      <c r="X283" t="s">
        <v>275</v>
      </c>
      <c r="Z283" t="s">
        <v>341</v>
      </c>
      <c r="AA283" t="s">
        <v>109</v>
      </c>
      <c r="AB283" t="s">
        <v>102</v>
      </c>
      <c r="AC283" t="s">
        <v>109</v>
      </c>
      <c r="AD283" t="s">
        <v>102</v>
      </c>
      <c r="AE283" t="s">
        <v>109</v>
      </c>
      <c r="AF283" t="s">
        <v>102</v>
      </c>
      <c r="AG283" t="s">
        <v>109</v>
      </c>
      <c r="AH283" t="s">
        <v>102</v>
      </c>
      <c r="AI283" t="s">
        <v>102</v>
      </c>
      <c r="AJ283" t="s">
        <v>1500</v>
      </c>
      <c r="AK283" t="s">
        <v>6715</v>
      </c>
      <c r="AL283" t="s">
        <v>6716</v>
      </c>
      <c r="AM283" t="s">
        <v>6717</v>
      </c>
      <c r="AN283" t="s">
        <v>6718</v>
      </c>
      <c r="AO283" t="s">
        <v>6719</v>
      </c>
      <c r="AP283" t="s">
        <v>6720</v>
      </c>
      <c r="AQ283" t="s">
        <v>169</v>
      </c>
      <c r="AU283" t="s">
        <v>102</v>
      </c>
      <c r="AW283" t="s">
        <v>155</v>
      </c>
      <c r="AX283" t="s">
        <v>447</v>
      </c>
      <c r="AY283" t="s">
        <v>170</v>
      </c>
      <c r="AZ283" t="s">
        <v>118</v>
      </c>
      <c r="BB283" t="s">
        <v>1242</v>
      </c>
      <c r="BC283" t="s">
        <v>284</v>
      </c>
      <c r="BD283" t="s">
        <v>285</v>
      </c>
      <c r="BE283" t="s">
        <v>212</v>
      </c>
      <c r="BF283" t="s">
        <v>286</v>
      </c>
      <c r="BG283" t="s">
        <v>124</v>
      </c>
      <c r="BH283" t="s">
        <v>400</v>
      </c>
      <c r="BI283" t="s">
        <v>126</v>
      </c>
      <c r="BJ283" t="s">
        <v>127</v>
      </c>
      <c r="BK283" t="s">
        <v>6721</v>
      </c>
      <c r="BL283" t="s">
        <v>6722</v>
      </c>
      <c r="BM283" t="s">
        <v>6723</v>
      </c>
      <c r="BN283" t="s">
        <v>1330</v>
      </c>
      <c r="BO283" t="s">
        <v>3997</v>
      </c>
      <c r="BP283" t="s">
        <v>505</v>
      </c>
      <c r="BQ283" t="s">
        <v>3998</v>
      </c>
      <c r="BR283" t="s">
        <v>3999</v>
      </c>
      <c r="BS283" t="s">
        <v>3362</v>
      </c>
      <c r="BT283" t="s">
        <v>293</v>
      </c>
      <c r="BU283" t="s">
        <v>6724</v>
      </c>
      <c r="BV283" t="s">
        <v>6725</v>
      </c>
      <c r="BW283" t="s">
        <v>598</v>
      </c>
      <c r="BX283" t="s">
        <v>6726</v>
      </c>
      <c r="BY283" t="s">
        <v>6727</v>
      </c>
      <c r="BZ283" t="s">
        <v>6726</v>
      </c>
      <c r="CG283" t="s">
        <v>102</v>
      </c>
      <c r="CH283" t="s">
        <v>6728</v>
      </c>
      <c r="CJ283" t="s">
        <v>6729</v>
      </c>
      <c r="CK283" t="s">
        <v>6728</v>
      </c>
      <c r="CL283" t="s">
        <v>284</v>
      </c>
      <c r="CM283" t="s">
        <v>285</v>
      </c>
      <c r="CN283" t="s">
        <v>6729</v>
      </c>
      <c r="CP283" t="s">
        <v>6728</v>
      </c>
      <c r="CQ283" t="s">
        <v>6728</v>
      </c>
    </row>
    <row r="284" spans="1:95">
      <c r="A284" t="s">
        <v>149</v>
      </c>
      <c r="B284">
        <v>356995</v>
      </c>
      <c r="C284" t="s">
        <v>6730</v>
      </c>
      <c r="D284" t="str">
        <f>VLOOKUP(B284,'2025'!B:C,2,0)</f>
        <v>Unnati Sharma</v>
      </c>
      <c r="F284" t="s">
        <v>95</v>
      </c>
      <c r="G284" t="s">
        <v>1542</v>
      </c>
      <c r="H284" t="s">
        <v>848</v>
      </c>
      <c r="I284" t="s">
        <v>98</v>
      </c>
      <c r="J284" t="s">
        <v>6731</v>
      </c>
      <c r="K284" t="s">
        <v>100</v>
      </c>
      <c r="L284">
        <v>165269</v>
      </c>
      <c r="M284">
        <v>195017</v>
      </c>
      <c r="N284">
        <v>0</v>
      </c>
      <c r="O284">
        <v>0</v>
      </c>
      <c r="Q284">
        <v>0</v>
      </c>
      <c r="R284">
        <v>0</v>
      </c>
      <c r="T284">
        <v>165269</v>
      </c>
      <c r="U284">
        <v>75</v>
      </c>
      <c r="V284" t="s">
        <v>6732</v>
      </c>
      <c r="W284" t="s">
        <v>102</v>
      </c>
      <c r="X284" t="s">
        <v>275</v>
      </c>
      <c r="Z284" t="s">
        <v>341</v>
      </c>
      <c r="AA284" t="s">
        <v>109</v>
      </c>
      <c r="AB284" t="s">
        <v>102</v>
      </c>
      <c r="AC284" t="s">
        <v>109</v>
      </c>
      <c r="AD284" t="s">
        <v>102</v>
      </c>
      <c r="AE284" t="s">
        <v>109</v>
      </c>
      <c r="AF284" t="s">
        <v>102</v>
      </c>
      <c r="AG284" t="s">
        <v>109</v>
      </c>
      <c r="AH284" t="s">
        <v>102</v>
      </c>
      <c r="AI284" t="s">
        <v>102</v>
      </c>
      <c r="AJ284" t="s">
        <v>2816</v>
      </c>
      <c r="AK284" t="s">
        <v>2816</v>
      </c>
      <c r="AL284" t="s">
        <v>6733</v>
      </c>
      <c r="AM284" t="s">
        <v>6734</v>
      </c>
      <c r="AN284" t="s">
        <v>6735</v>
      </c>
      <c r="AO284" t="s">
        <v>6736</v>
      </c>
      <c r="AP284" t="s">
        <v>6737</v>
      </c>
      <c r="AQ284" t="s">
        <v>343</v>
      </c>
      <c r="AT284" t="s">
        <v>169</v>
      </c>
      <c r="AU284" t="s">
        <v>102</v>
      </c>
      <c r="AW284" t="s">
        <v>102</v>
      </c>
      <c r="AX284" t="s">
        <v>119</v>
      </c>
      <c r="BA284" t="s">
        <v>250</v>
      </c>
      <c r="BB284" t="s">
        <v>120</v>
      </c>
      <c r="BC284" t="s">
        <v>1729</v>
      </c>
      <c r="BD284" t="s">
        <v>730</v>
      </c>
      <c r="BE284" t="s">
        <v>622</v>
      </c>
      <c r="BF284" t="s">
        <v>730</v>
      </c>
      <c r="BG284" t="s">
        <v>124</v>
      </c>
      <c r="BH284" t="s">
        <v>892</v>
      </c>
      <c r="BI284" t="s">
        <v>411</v>
      </c>
      <c r="BJ284" t="s">
        <v>127</v>
      </c>
      <c r="BK284" t="s">
        <v>6738</v>
      </c>
      <c r="BL284" t="s">
        <v>6739</v>
      </c>
      <c r="BM284" t="s">
        <v>6740</v>
      </c>
      <c r="BN284" t="s">
        <v>1542</v>
      </c>
      <c r="BO284" t="s">
        <v>1733</v>
      </c>
      <c r="BP284" t="s">
        <v>350</v>
      </c>
      <c r="BQ284" t="s">
        <v>1734</v>
      </c>
      <c r="BR284" t="s">
        <v>1735</v>
      </c>
      <c r="BS284" t="s">
        <v>3562</v>
      </c>
      <c r="BU284" t="s">
        <v>6741</v>
      </c>
      <c r="BV284" t="s">
        <v>6742</v>
      </c>
      <c r="BW284" t="s">
        <v>138</v>
      </c>
      <c r="BX284" t="s">
        <v>6743</v>
      </c>
      <c r="BY284" t="s">
        <v>6744</v>
      </c>
      <c r="BZ284" t="s">
        <v>6745</v>
      </c>
      <c r="CA284" t="s">
        <v>6742</v>
      </c>
      <c r="CB284" t="s">
        <v>6743</v>
      </c>
      <c r="CC284" t="s">
        <v>6744</v>
      </c>
      <c r="CD284" t="s">
        <v>6742</v>
      </c>
      <c r="CE284" t="s">
        <v>6743</v>
      </c>
      <c r="CF284" t="s">
        <v>6744</v>
      </c>
      <c r="CG284" t="s">
        <v>102</v>
      </c>
      <c r="CH284" t="s">
        <v>6746</v>
      </c>
      <c r="CJ284" t="s">
        <v>4103</v>
      </c>
      <c r="CK284" t="s">
        <v>6746</v>
      </c>
      <c r="CL284" t="s">
        <v>1729</v>
      </c>
      <c r="CM284" t="s">
        <v>2273</v>
      </c>
      <c r="CN284" t="s">
        <v>4103</v>
      </c>
      <c r="CO284" t="s">
        <v>6747</v>
      </c>
      <c r="CP284" t="s">
        <v>6746</v>
      </c>
      <c r="CQ284" t="s">
        <v>6746</v>
      </c>
    </row>
    <row r="285" spans="1:95">
      <c r="A285" t="s">
        <v>149</v>
      </c>
      <c r="B285">
        <v>357852</v>
      </c>
      <c r="C285" t="s">
        <v>6748</v>
      </c>
      <c r="E285" s="4" t="s">
        <v>17377</v>
      </c>
      <c r="F285" t="s">
        <v>95</v>
      </c>
      <c r="G285" t="s">
        <v>158</v>
      </c>
      <c r="H285" t="s">
        <v>97</v>
      </c>
      <c r="I285" t="s">
        <v>98</v>
      </c>
      <c r="J285" t="s">
        <v>6749</v>
      </c>
      <c r="K285" t="s">
        <v>100</v>
      </c>
      <c r="L285">
        <v>124740</v>
      </c>
      <c r="M285">
        <v>124740</v>
      </c>
      <c r="N285">
        <v>124740</v>
      </c>
      <c r="O285">
        <v>154</v>
      </c>
      <c r="P285" t="s">
        <v>6750</v>
      </c>
      <c r="Q285">
        <v>0</v>
      </c>
      <c r="R285">
        <v>0</v>
      </c>
      <c r="T285">
        <v>0</v>
      </c>
      <c r="U285">
        <v>0</v>
      </c>
      <c r="W285" t="s">
        <v>102</v>
      </c>
      <c r="X285" t="s">
        <v>275</v>
      </c>
      <c r="Z285" t="s">
        <v>341</v>
      </c>
      <c r="AA285" t="s">
        <v>109</v>
      </c>
      <c r="AB285" t="s">
        <v>102</v>
      </c>
      <c r="AC285" t="s">
        <v>109</v>
      </c>
      <c r="AD285" t="s">
        <v>102</v>
      </c>
      <c r="AE285" t="s">
        <v>109</v>
      </c>
      <c r="AF285" t="s">
        <v>102</v>
      </c>
      <c r="AG285" t="s">
        <v>109</v>
      </c>
      <c r="AH285" t="s">
        <v>102</v>
      </c>
      <c r="AI285" t="s">
        <v>102</v>
      </c>
      <c r="AJ285" t="s">
        <v>1200</v>
      </c>
      <c r="AK285" t="s">
        <v>1200</v>
      </c>
      <c r="AL285" t="s">
        <v>6751</v>
      </c>
      <c r="AM285" t="s">
        <v>6751</v>
      </c>
      <c r="AN285" t="s">
        <v>102</v>
      </c>
      <c r="AO285" t="s">
        <v>116</v>
      </c>
      <c r="AP285" t="s">
        <v>6752</v>
      </c>
      <c r="AQ285" t="s">
        <v>343</v>
      </c>
      <c r="AT285" t="s">
        <v>169</v>
      </c>
      <c r="AU285" t="s">
        <v>117</v>
      </c>
      <c r="AV285" t="s">
        <v>118</v>
      </c>
      <c r="AW285" t="s">
        <v>102</v>
      </c>
      <c r="AX285" t="s">
        <v>119</v>
      </c>
      <c r="BB285" t="s">
        <v>209</v>
      </c>
      <c r="BC285" t="s">
        <v>4889</v>
      </c>
      <c r="BD285" t="s">
        <v>730</v>
      </c>
      <c r="BE285" t="s">
        <v>622</v>
      </c>
      <c r="BF285" t="s">
        <v>730</v>
      </c>
      <c r="BG285" t="s">
        <v>124</v>
      </c>
      <c r="BH285" t="s">
        <v>400</v>
      </c>
      <c r="BI285" t="s">
        <v>126</v>
      </c>
      <c r="BJ285" t="s">
        <v>127</v>
      </c>
      <c r="BK285" t="s">
        <v>6753</v>
      </c>
      <c r="BL285" t="s">
        <v>6754</v>
      </c>
      <c r="BM285" t="s">
        <v>6755</v>
      </c>
      <c r="BN285" t="s">
        <v>158</v>
      </c>
      <c r="BO285" t="s">
        <v>1733</v>
      </c>
      <c r="BP285" t="s">
        <v>350</v>
      </c>
      <c r="BQ285" t="s">
        <v>1734</v>
      </c>
      <c r="BR285" t="s">
        <v>1735</v>
      </c>
      <c r="BS285" t="s">
        <v>6756</v>
      </c>
      <c r="BU285" t="s">
        <v>6757</v>
      </c>
      <c r="BV285" t="s">
        <v>6758</v>
      </c>
      <c r="BW285" t="s">
        <v>598</v>
      </c>
      <c r="BX285" t="s">
        <v>6759</v>
      </c>
      <c r="BY285" t="s">
        <v>6760</v>
      </c>
      <c r="BZ285" t="s">
        <v>6759</v>
      </c>
      <c r="CG285" t="s">
        <v>102</v>
      </c>
      <c r="CH285" t="s">
        <v>6761</v>
      </c>
      <c r="CJ285" t="s">
        <v>6762</v>
      </c>
      <c r="CK285" t="s">
        <v>6761</v>
      </c>
      <c r="CL285" t="s">
        <v>4889</v>
      </c>
      <c r="CM285" t="s">
        <v>730</v>
      </c>
      <c r="CN285" t="s">
        <v>6762</v>
      </c>
      <c r="CP285" t="s">
        <v>6761</v>
      </c>
      <c r="CQ285" t="s">
        <v>6761</v>
      </c>
    </row>
    <row r="286" spans="1:95">
      <c r="A286" t="s">
        <v>337</v>
      </c>
      <c r="B286">
        <v>3582467</v>
      </c>
      <c r="C286" t="s">
        <v>6763</v>
      </c>
      <c r="D286" t="str">
        <f>VLOOKUP(B286,'2025'!B:C,2,0)</f>
        <v>Hetal Parmar</v>
      </c>
      <c r="F286" t="s">
        <v>95</v>
      </c>
      <c r="G286" t="s">
        <v>1493</v>
      </c>
      <c r="H286" t="s">
        <v>97</v>
      </c>
      <c r="I286" t="s">
        <v>98</v>
      </c>
      <c r="J286" t="s">
        <v>6764</v>
      </c>
      <c r="K286" t="s">
        <v>100</v>
      </c>
      <c r="L286">
        <v>147000</v>
      </c>
      <c r="M286">
        <v>147000</v>
      </c>
      <c r="N286">
        <v>147000</v>
      </c>
      <c r="O286">
        <v>98</v>
      </c>
      <c r="P286" t="s">
        <v>6441</v>
      </c>
      <c r="Q286">
        <v>0</v>
      </c>
      <c r="R286">
        <v>0</v>
      </c>
      <c r="T286">
        <v>0</v>
      </c>
      <c r="U286">
        <v>0</v>
      </c>
      <c r="W286" t="s">
        <v>102</v>
      </c>
      <c r="X286" t="s">
        <v>275</v>
      </c>
      <c r="Z286" t="s">
        <v>151</v>
      </c>
      <c r="AA286" t="s">
        <v>109</v>
      </c>
      <c r="AB286" t="s">
        <v>102</v>
      </c>
      <c r="AC286" t="s">
        <v>109</v>
      </c>
      <c r="AD286" t="s">
        <v>102</v>
      </c>
      <c r="AE286" t="s">
        <v>109</v>
      </c>
      <c r="AF286" t="s">
        <v>102</v>
      </c>
      <c r="AG286" t="s">
        <v>109</v>
      </c>
      <c r="AH286" t="s">
        <v>102</v>
      </c>
      <c r="AI286" t="s">
        <v>6765</v>
      </c>
      <c r="AJ286" t="s">
        <v>2349</v>
      </c>
      <c r="AK286" t="s">
        <v>2349</v>
      </c>
      <c r="AL286" t="s">
        <v>6766</v>
      </c>
      <c r="AM286" t="s">
        <v>6767</v>
      </c>
      <c r="AN286" t="s">
        <v>102</v>
      </c>
      <c r="AO286" t="s">
        <v>102</v>
      </c>
      <c r="AP286" t="s">
        <v>102</v>
      </c>
      <c r="AU286" t="s">
        <v>318</v>
      </c>
      <c r="AV286" t="s">
        <v>118</v>
      </c>
      <c r="AW286" t="s">
        <v>102</v>
      </c>
      <c r="AX286" t="s">
        <v>119</v>
      </c>
      <c r="BB286" t="s">
        <v>1664</v>
      </c>
      <c r="BC286" t="s">
        <v>623</v>
      </c>
      <c r="BD286" t="s">
        <v>621</v>
      </c>
      <c r="BE286" t="s">
        <v>622</v>
      </c>
      <c r="BF286" t="s">
        <v>623</v>
      </c>
      <c r="BG286" t="s">
        <v>124</v>
      </c>
      <c r="BH286" t="s">
        <v>892</v>
      </c>
      <c r="BI286" t="s">
        <v>6768</v>
      </c>
      <c r="BJ286" t="s">
        <v>127</v>
      </c>
      <c r="BK286" t="s">
        <v>6769</v>
      </c>
      <c r="BL286" t="s">
        <v>6770</v>
      </c>
      <c r="BM286" t="s">
        <v>6771</v>
      </c>
      <c r="BN286" t="s">
        <v>1493</v>
      </c>
      <c r="BO286" t="s">
        <v>1670</v>
      </c>
      <c r="BP286" t="s">
        <v>132</v>
      </c>
      <c r="BQ286" t="s">
        <v>1671</v>
      </c>
      <c r="BR286" t="s">
        <v>1672</v>
      </c>
      <c r="BS286" t="s">
        <v>507</v>
      </c>
      <c r="BT286" t="s">
        <v>1279</v>
      </c>
      <c r="BU286" t="s">
        <v>6772</v>
      </c>
      <c r="BV286" t="s">
        <v>6773</v>
      </c>
      <c r="BX286" t="s">
        <v>6774</v>
      </c>
      <c r="BY286" t="s">
        <v>6775</v>
      </c>
      <c r="BZ286" t="s">
        <v>6774</v>
      </c>
      <c r="CG286" t="s">
        <v>6776</v>
      </c>
      <c r="CH286" t="s">
        <v>6777</v>
      </c>
      <c r="CJ286" t="s">
        <v>4679</v>
      </c>
      <c r="CK286" t="s">
        <v>6777</v>
      </c>
      <c r="CL286" t="s">
        <v>623</v>
      </c>
      <c r="CM286" t="s">
        <v>621</v>
      </c>
      <c r="CN286" t="s">
        <v>4679</v>
      </c>
      <c r="CP286" t="s">
        <v>6777</v>
      </c>
      <c r="CQ286" t="s">
        <v>6777</v>
      </c>
    </row>
    <row r="287" spans="1:95">
      <c r="A287" t="s">
        <v>93</v>
      </c>
      <c r="B287">
        <v>3591328</v>
      </c>
      <c r="C287" t="s">
        <v>6779</v>
      </c>
      <c r="D287" t="str">
        <f>VLOOKUP(B287,'2025'!B:C,2,0)</f>
        <v>Lopa/Sumit</v>
      </c>
      <c r="F287" t="s">
        <v>95</v>
      </c>
      <c r="G287" t="s">
        <v>6780</v>
      </c>
      <c r="H287" t="s">
        <v>2163</v>
      </c>
      <c r="I287" t="s">
        <v>98</v>
      </c>
      <c r="J287" t="s">
        <v>6781</v>
      </c>
      <c r="K287" t="s">
        <v>100</v>
      </c>
      <c r="L287">
        <v>1460749</v>
      </c>
      <c r="M287">
        <v>1584718</v>
      </c>
      <c r="N287">
        <v>318330</v>
      </c>
      <c r="O287">
        <v>393</v>
      </c>
      <c r="P287" t="s">
        <v>6750</v>
      </c>
      <c r="Q287">
        <v>453703</v>
      </c>
      <c r="R287">
        <v>412</v>
      </c>
      <c r="S287" t="s">
        <v>6782</v>
      </c>
      <c r="T287">
        <v>688716</v>
      </c>
      <c r="U287">
        <v>407</v>
      </c>
      <c r="V287" t="s">
        <v>6783</v>
      </c>
      <c r="W287" t="s">
        <v>102</v>
      </c>
      <c r="X287" t="s">
        <v>275</v>
      </c>
      <c r="Z287" t="s">
        <v>6784</v>
      </c>
      <c r="AA287" t="s">
        <v>109</v>
      </c>
      <c r="AB287" t="s">
        <v>102</v>
      </c>
      <c r="AC287" t="s">
        <v>109</v>
      </c>
      <c r="AD287" t="s">
        <v>102</v>
      </c>
      <c r="AE287" t="s">
        <v>109</v>
      </c>
      <c r="AF287" t="s">
        <v>102</v>
      </c>
      <c r="AG287" t="s">
        <v>109</v>
      </c>
      <c r="AH287" t="s">
        <v>102</v>
      </c>
      <c r="AI287" t="s">
        <v>6785</v>
      </c>
      <c r="AJ287" t="s">
        <v>6786</v>
      </c>
      <c r="AK287" t="s">
        <v>6787</v>
      </c>
      <c r="AL287" t="s">
        <v>6788</v>
      </c>
      <c r="AM287" t="s">
        <v>6789</v>
      </c>
      <c r="AN287" t="s">
        <v>6790</v>
      </c>
      <c r="AO287" t="s">
        <v>6791</v>
      </c>
      <c r="AP287" t="s">
        <v>6792</v>
      </c>
      <c r="AQ287" t="s">
        <v>343</v>
      </c>
      <c r="AU287" t="s">
        <v>247</v>
      </c>
      <c r="AV287" t="s">
        <v>118</v>
      </c>
      <c r="AW287" t="s">
        <v>655</v>
      </c>
      <c r="AX287" t="s">
        <v>119</v>
      </c>
      <c r="AY287" t="s">
        <v>170</v>
      </c>
      <c r="AZ287" t="s">
        <v>118</v>
      </c>
      <c r="BA287" t="s">
        <v>250</v>
      </c>
      <c r="BB287" t="s">
        <v>120</v>
      </c>
      <c r="BC287" t="s">
        <v>375</v>
      </c>
      <c r="BD287" t="s">
        <v>376</v>
      </c>
      <c r="BE287" t="s">
        <v>174</v>
      </c>
      <c r="BF287" t="s">
        <v>376</v>
      </c>
      <c r="BG287" t="s">
        <v>124</v>
      </c>
      <c r="BH287" t="s">
        <v>6793</v>
      </c>
      <c r="BI287" t="s">
        <v>6794</v>
      </c>
      <c r="BJ287" t="s">
        <v>127</v>
      </c>
      <c r="BK287" t="s">
        <v>6795</v>
      </c>
      <c r="BL287" t="s">
        <v>6796</v>
      </c>
      <c r="BM287" t="s">
        <v>6797</v>
      </c>
      <c r="BN287" t="s">
        <v>6780</v>
      </c>
      <c r="BO287" t="s">
        <v>1831</v>
      </c>
      <c r="BP287" t="s">
        <v>180</v>
      </c>
      <c r="BQ287" t="s">
        <v>1832</v>
      </c>
      <c r="BR287" t="s">
        <v>1833</v>
      </c>
      <c r="BS287" t="s">
        <v>5177</v>
      </c>
      <c r="BU287" t="s">
        <v>6798</v>
      </c>
      <c r="BV287" t="s">
        <v>6799</v>
      </c>
      <c r="BW287" t="s">
        <v>354</v>
      </c>
      <c r="BX287" t="s">
        <v>6800</v>
      </c>
      <c r="BY287" t="s">
        <v>6801</v>
      </c>
      <c r="BZ287" t="s">
        <v>6802</v>
      </c>
      <c r="CD287" t="s">
        <v>6803</v>
      </c>
      <c r="CE287" t="s">
        <v>6804</v>
      </c>
      <c r="CF287" t="s">
        <v>6805</v>
      </c>
      <c r="CG287" t="s">
        <v>334</v>
      </c>
      <c r="CH287" t="s">
        <v>6806</v>
      </c>
      <c r="CJ287" t="s">
        <v>6807</v>
      </c>
      <c r="CK287" t="s">
        <v>6806</v>
      </c>
      <c r="CL287" t="s">
        <v>375</v>
      </c>
      <c r="CM287" t="s">
        <v>376</v>
      </c>
      <c r="CN287" t="s">
        <v>6807</v>
      </c>
      <c r="CO287" t="s">
        <v>6808</v>
      </c>
      <c r="CP287" t="s">
        <v>6809</v>
      </c>
      <c r="CQ287" t="s">
        <v>6809</v>
      </c>
    </row>
    <row r="288" spans="1:95">
      <c r="A288" t="s">
        <v>495</v>
      </c>
      <c r="B288">
        <v>3592220</v>
      </c>
      <c r="C288" t="s">
        <v>6810</v>
      </c>
      <c r="E288" s="4" t="s">
        <v>17377</v>
      </c>
      <c r="F288" t="s">
        <v>95</v>
      </c>
      <c r="G288" t="s">
        <v>497</v>
      </c>
      <c r="H288" t="s">
        <v>97</v>
      </c>
      <c r="I288" t="s">
        <v>98</v>
      </c>
      <c r="J288" t="s">
        <v>6811</v>
      </c>
      <c r="K288" t="s">
        <v>100</v>
      </c>
      <c r="L288">
        <v>0</v>
      </c>
      <c r="M288">
        <v>0</v>
      </c>
      <c r="N288">
        <v>0</v>
      </c>
      <c r="O288">
        <v>508</v>
      </c>
      <c r="P288" t="s">
        <v>102</v>
      </c>
      <c r="Q288">
        <v>0</v>
      </c>
      <c r="R288">
        <v>0</v>
      </c>
      <c r="T288">
        <v>0</v>
      </c>
      <c r="U288">
        <v>0</v>
      </c>
      <c r="W288" t="s">
        <v>102</v>
      </c>
      <c r="X288" t="s">
        <v>275</v>
      </c>
      <c r="Z288" t="s">
        <v>499</v>
      </c>
      <c r="AA288" t="s">
        <v>109</v>
      </c>
      <c r="AB288" t="s">
        <v>102</v>
      </c>
      <c r="AC288" t="s">
        <v>109</v>
      </c>
      <c r="AD288" t="s">
        <v>102</v>
      </c>
      <c r="AE288" t="s">
        <v>109</v>
      </c>
      <c r="AF288" t="s">
        <v>102</v>
      </c>
      <c r="AG288" t="s">
        <v>109</v>
      </c>
      <c r="AH288" t="s">
        <v>102</v>
      </c>
      <c r="AI288" t="s">
        <v>102</v>
      </c>
      <c r="AL288" t="s">
        <v>102</v>
      </c>
      <c r="AM288" t="s">
        <v>102</v>
      </c>
      <c r="AN288" t="s">
        <v>102</v>
      </c>
      <c r="AO288" t="s">
        <v>115</v>
      </c>
      <c r="AP288" t="s">
        <v>115</v>
      </c>
      <c r="AU288" t="s">
        <v>117</v>
      </c>
      <c r="AV288" t="s">
        <v>118</v>
      </c>
      <c r="AW288" t="s">
        <v>102</v>
      </c>
      <c r="AX288" t="s">
        <v>119</v>
      </c>
      <c r="BB288" t="s">
        <v>209</v>
      </c>
      <c r="BC288" t="s">
        <v>623</v>
      </c>
      <c r="BD288" t="s">
        <v>621</v>
      </c>
      <c r="BE288" t="s">
        <v>622</v>
      </c>
      <c r="BF288" t="s">
        <v>623</v>
      </c>
      <c r="BG288" t="s">
        <v>124</v>
      </c>
      <c r="BH288" t="s">
        <v>501</v>
      </c>
      <c r="BI288" t="s">
        <v>126</v>
      </c>
      <c r="BJ288" t="s">
        <v>127</v>
      </c>
      <c r="BK288" t="s">
        <v>6812</v>
      </c>
      <c r="BL288" t="s">
        <v>6813</v>
      </c>
      <c r="BM288" t="s">
        <v>6814</v>
      </c>
      <c r="BN288" t="s">
        <v>497</v>
      </c>
      <c r="BO288" t="s">
        <v>505</v>
      </c>
      <c r="BP288" t="s">
        <v>505</v>
      </c>
      <c r="BQ288" t="s">
        <v>225</v>
      </c>
      <c r="BR288" t="s">
        <v>506</v>
      </c>
      <c r="BS288" t="s">
        <v>507</v>
      </c>
      <c r="BU288" t="s">
        <v>6815</v>
      </c>
      <c r="BV288" t="s">
        <v>6816</v>
      </c>
      <c r="BW288" t="s">
        <v>138</v>
      </c>
      <c r="BX288" t="s">
        <v>6817</v>
      </c>
      <c r="BY288" t="s">
        <v>6818</v>
      </c>
      <c r="BZ288" t="s">
        <v>6817</v>
      </c>
      <c r="CA288" t="s">
        <v>6816</v>
      </c>
      <c r="CB288" t="s">
        <v>6817</v>
      </c>
      <c r="CC288" t="s">
        <v>6818</v>
      </c>
      <c r="CD288" t="s">
        <v>6819</v>
      </c>
      <c r="CE288" t="s">
        <v>6817</v>
      </c>
      <c r="CF288" t="s">
        <v>6820</v>
      </c>
      <c r="CG288" t="s">
        <v>102</v>
      </c>
      <c r="CH288" t="s">
        <v>6821</v>
      </c>
      <c r="CJ288" t="s">
        <v>1292</v>
      </c>
      <c r="CK288" t="s">
        <v>6821</v>
      </c>
      <c r="CL288" t="s">
        <v>623</v>
      </c>
      <c r="CM288" t="s">
        <v>621</v>
      </c>
      <c r="CN288" t="s">
        <v>1292</v>
      </c>
      <c r="CP288" t="s">
        <v>6821</v>
      </c>
      <c r="CQ288" t="s">
        <v>6821</v>
      </c>
    </row>
    <row r="289" spans="1:95">
      <c r="A289" t="s">
        <v>495</v>
      </c>
      <c r="B289">
        <v>3593614</v>
      </c>
      <c r="C289" t="s">
        <v>6822</v>
      </c>
      <c r="E289" s="4" t="s">
        <v>17377</v>
      </c>
      <c r="F289" t="s">
        <v>95</v>
      </c>
      <c r="G289" t="s">
        <v>497</v>
      </c>
      <c r="H289" t="s">
        <v>97</v>
      </c>
      <c r="I289" t="s">
        <v>98</v>
      </c>
      <c r="J289" t="s">
        <v>6823</v>
      </c>
      <c r="K289" t="s">
        <v>100</v>
      </c>
      <c r="L289">
        <v>0</v>
      </c>
      <c r="M289">
        <v>0</v>
      </c>
      <c r="N289">
        <v>0</v>
      </c>
      <c r="O289">
        <v>158</v>
      </c>
      <c r="P289" t="s">
        <v>102</v>
      </c>
      <c r="Q289">
        <v>0</v>
      </c>
      <c r="R289">
        <v>0</v>
      </c>
      <c r="T289">
        <v>0</v>
      </c>
      <c r="U289">
        <v>0</v>
      </c>
      <c r="W289" t="s">
        <v>102</v>
      </c>
      <c r="X289" t="s">
        <v>275</v>
      </c>
      <c r="Z289" t="s">
        <v>499</v>
      </c>
      <c r="AA289" t="s">
        <v>109</v>
      </c>
      <c r="AB289" t="s">
        <v>102</v>
      </c>
      <c r="AC289" t="s">
        <v>109</v>
      </c>
      <c r="AD289" t="s">
        <v>102</v>
      </c>
      <c r="AE289" t="s">
        <v>109</v>
      </c>
      <c r="AF289" t="s">
        <v>102</v>
      </c>
      <c r="AG289" t="s">
        <v>109</v>
      </c>
      <c r="AH289" t="s">
        <v>102</v>
      </c>
      <c r="AI289" t="s">
        <v>102</v>
      </c>
      <c r="AL289" t="s">
        <v>102</v>
      </c>
      <c r="AM289" t="s">
        <v>102</v>
      </c>
      <c r="AN289" t="s">
        <v>102</v>
      </c>
      <c r="AO289" t="s">
        <v>115</v>
      </c>
      <c r="AP289" t="s">
        <v>115</v>
      </c>
      <c r="AU289" t="s">
        <v>117</v>
      </c>
      <c r="AV289" t="s">
        <v>118</v>
      </c>
      <c r="AW289" t="s">
        <v>102</v>
      </c>
      <c r="AX289" t="s">
        <v>119</v>
      </c>
      <c r="BB289" t="s">
        <v>209</v>
      </c>
      <c r="BC289" t="s">
        <v>6824</v>
      </c>
      <c r="BD289" t="s">
        <v>730</v>
      </c>
      <c r="BE289" t="s">
        <v>622</v>
      </c>
      <c r="BF289" t="s">
        <v>730</v>
      </c>
      <c r="BG289" t="s">
        <v>124</v>
      </c>
      <c r="BH289" t="s">
        <v>501</v>
      </c>
      <c r="BI289" t="s">
        <v>126</v>
      </c>
      <c r="BJ289" t="s">
        <v>127</v>
      </c>
      <c r="BK289" t="s">
        <v>6825</v>
      </c>
      <c r="BL289" t="s">
        <v>6826</v>
      </c>
      <c r="BM289" t="s">
        <v>6827</v>
      </c>
      <c r="BN289" t="s">
        <v>497</v>
      </c>
      <c r="BO289" t="s">
        <v>505</v>
      </c>
      <c r="BP289" t="s">
        <v>505</v>
      </c>
      <c r="BQ289" t="s">
        <v>225</v>
      </c>
      <c r="BR289" t="s">
        <v>506</v>
      </c>
      <c r="BS289" t="s">
        <v>507</v>
      </c>
      <c r="BU289" t="s">
        <v>6828</v>
      </c>
      <c r="BV289" t="s">
        <v>6829</v>
      </c>
      <c r="BW289" t="s">
        <v>138</v>
      </c>
      <c r="BX289" t="s">
        <v>6830</v>
      </c>
      <c r="BY289" t="s">
        <v>6831</v>
      </c>
      <c r="BZ289" t="s">
        <v>6830</v>
      </c>
      <c r="CA289" t="s">
        <v>6829</v>
      </c>
      <c r="CB289" t="s">
        <v>6830</v>
      </c>
      <c r="CC289" t="s">
        <v>6831</v>
      </c>
      <c r="CD289" t="s">
        <v>6832</v>
      </c>
      <c r="CE289" t="s">
        <v>6830</v>
      </c>
      <c r="CF289" t="s">
        <v>6833</v>
      </c>
      <c r="CG289" t="s">
        <v>102</v>
      </c>
      <c r="CH289" t="s">
        <v>6834</v>
      </c>
      <c r="CJ289" t="s">
        <v>6835</v>
      </c>
      <c r="CK289" t="s">
        <v>6834</v>
      </c>
      <c r="CL289" t="s">
        <v>6824</v>
      </c>
      <c r="CM289" t="s">
        <v>730</v>
      </c>
      <c r="CN289" t="s">
        <v>6835</v>
      </c>
      <c r="CP289" t="s">
        <v>6834</v>
      </c>
      <c r="CQ289" t="s">
        <v>6834</v>
      </c>
    </row>
    <row r="290" spans="1:95">
      <c r="A290" t="s">
        <v>495</v>
      </c>
      <c r="B290">
        <v>359413</v>
      </c>
      <c r="C290" t="s">
        <v>6836</v>
      </c>
      <c r="D290" t="str">
        <f>VLOOKUP(B290,'2025'!B:C,2,0)</f>
        <v>Unnati Sharma</v>
      </c>
      <c r="F290" t="s">
        <v>95</v>
      </c>
      <c r="G290" t="s">
        <v>6837</v>
      </c>
      <c r="H290" t="s">
        <v>193</v>
      </c>
      <c r="I290" t="s">
        <v>98</v>
      </c>
      <c r="J290" t="s">
        <v>6838</v>
      </c>
      <c r="K290" t="s">
        <v>100</v>
      </c>
      <c r="L290">
        <v>1983239</v>
      </c>
      <c r="M290">
        <v>2207771</v>
      </c>
      <c r="N290">
        <v>735838</v>
      </c>
      <c r="O290">
        <v>896</v>
      </c>
      <c r="P290" t="s">
        <v>913</v>
      </c>
      <c r="Q290">
        <v>0</v>
      </c>
      <c r="R290">
        <v>0</v>
      </c>
      <c r="T290">
        <v>1247401</v>
      </c>
      <c r="U290">
        <v>775</v>
      </c>
      <c r="V290" t="s">
        <v>6839</v>
      </c>
      <c r="W290" t="s">
        <v>102</v>
      </c>
      <c r="X290" t="s">
        <v>275</v>
      </c>
      <c r="Z290" t="s">
        <v>1719</v>
      </c>
      <c r="AA290" t="s">
        <v>109</v>
      </c>
      <c r="AB290" t="s">
        <v>102</v>
      </c>
      <c r="AC290" t="s">
        <v>109</v>
      </c>
      <c r="AD290" t="s">
        <v>102</v>
      </c>
      <c r="AE290" t="s">
        <v>109</v>
      </c>
      <c r="AF290" t="s">
        <v>102</v>
      </c>
      <c r="AG290" t="s">
        <v>109</v>
      </c>
      <c r="AH290" t="s">
        <v>102</v>
      </c>
      <c r="AI290" t="s">
        <v>6840</v>
      </c>
      <c r="AJ290" t="s">
        <v>6841</v>
      </c>
      <c r="AK290" t="s">
        <v>6842</v>
      </c>
      <c r="AL290" t="s">
        <v>6843</v>
      </c>
      <c r="AM290" t="s">
        <v>6844</v>
      </c>
      <c r="AN290" t="s">
        <v>6845</v>
      </c>
      <c r="AO290" t="s">
        <v>6846</v>
      </c>
      <c r="AP290" t="s">
        <v>6847</v>
      </c>
      <c r="AR290" t="s">
        <v>169</v>
      </c>
      <c r="AT290" t="s">
        <v>169</v>
      </c>
      <c r="AU290" t="s">
        <v>207</v>
      </c>
      <c r="AV290" t="s">
        <v>118</v>
      </c>
      <c r="AW290" t="s">
        <v>102</v>
      </c>
      <c r="AX290" t="s">
        <v>119</v>
      </c>
      <c r="BA290" t="s">
        <v>250</v>
      </c>
      <c r="BB290" t="s">
        <v>171</v>
      </c>
      <c r="BC290" t="s">
        <v>1729</v>
      </c>
      <c r="BD290" t="s">
        <v>730</v>
      </c>
      <c r="BE290" t="s">
        <v>622</v>
      </c>
      <c r="BF290" t="s">
        <v>730</v>
      </c>
      <c r="BG290" t="s">
        <v>124</v>
      </c>
      <c r="BH290" t="s">
        <v>892</v>
      </c>
      <c r="BI290" t="s">
        <v>1408</v>
      </c>
      <c r="BJ290" t="s">
        <v>127</v>
      </c>
      <c r="BK290" t="s">
        <v>6848</v>
      </c>
      <c r="BL290" t="s">
        <v>6849</v>
      </c>
      <c r="BM290" t="s">
        <v>6850</v>
      </c>
      <c r="BN290" t="s">
        <v>6837</v>
      </c>
      <c r="BO290" t="s">
        <v>1733</v>
      </c>
      <c r="BP290" t="s">
        <v>696</v>
      </c>
      <c r="BQ290" t="s">
        <v>1734</v>
      </c>
      <c r="BR290" t="s">
        <v>1735</v>
      </c>
      <c r="BS290" t="s">
        <v>737</v>
      </c>
      <c r="BT290" t="s">
        <v>985</v>
      </c>
      <c r="BU290" t="s">
        <v>6851</v>
      </c>
      <c r="BV290" t="s">
        <v>6852</v>
      </c>
      <c r="BW290" t="s">
        <v>598</v>
      </c>
      <c r="BX290" t="s">
        <v>4098</v>
      </c>
      <c r="BY290" t="s">
        <v>4099</v>
      </c>
      <c r="BZ290" t="s">
        <v>1740</v>
      </c>
      <c r="CG290" t="s">
        <v>6853</v>
      </c>
      <c r="CH290" t="s">
        <v>6854</v>
      </c>
      <c r="CJ290" t="s">
        <v>6855</v>
      </c>
      <c r="CK290" t="s">
        <v>6854</v>
      </c>
      <c r="CL290" t="s">
        <v>1729</v>
      </c>
      <c r="CM290" t="s">
        <v>730</v>
      </c>
      <c r="CN290" t="s">
        <v>6855</v>
      </c>
      <c r="CP290" t="s">
        <v>6854</v>
      </c>
      <c r="CQ290" t="s">
        <v>6854</v>
      </c>
    </row>
    <row r="291" spans="1:95">
      <c r="A291" t="s">
        <v>149</v>
      </c>
      <c r="B291">
        <v>3594140</v>
      </c>
      <c r="C291" t="s">
        <v>6856</v>
      </c>
      <c r="F291" t="s">
        <v>95</v>
      </c>
      <c r="G291" t="s">
        <v>545</v>
      </c>
      <c r="H291" t="s">
        <v>193</v>
      </c>
      <c r="I291" t="s">
        <v>98</v>
      </c>
      <c r="J291" t="s">
        <v>6857</v>
      </c>
      <c r="K291" t="s">
        <v>100</v>
      </c>
      <c r="L291">
        <v>1430656</v>
      </c>
      <c r="M291">
        <v>1522923</v>
      </c>
      <c r="N291">
        <v>918060</v>
      </c>
      <c r="O291">
        <v>1391</v>
      </c>
      <c r="P291" t="s">
        <v>4273</v>
      </c>
      <c r="Q291">
        <v>0</v>
      </c>
      <c r="R291">
        <v>0</v>
      </c>
      <c r="T291">
        <v>512596</v>
      </c>
      <c r="U291">
        <v>417</v>
      </c>
      <c r="V291" t="s">
        <v>6858</v>
      </c>
      <c r="W291" t="s">
        <v>102</v>
      </c>
      <c r="X291" t="s">
        <v>103</v>
      </c>
      <c r="Y291" t="s">
        <v>5317</v>
      </c>
      <c r="AA291" t="s">
        <v>5416</v>
      </c>
      <c r="AB291" t="s">
        <v>6859</v>
      </c>
      <c r="AC291" t="s">
        <v>6860</v>
      </c>
      <c r="AD291" t="s">
        <v>6861</v>
      </c>
      <c r="AE291" t="s">
        <v>2170</v>
      </c>
      <c r="AF291" t="s">
        <v>6862</v>
      </c>
      <c r="AG291" t="s">
        <v>109</v>
      </c>
      <c r="AH291" t="s">
        <v>102</v>
      </c>
      <c r="AI291" t="s">
        <v>6863</v>
      </c>
      <c r="AJ291" t="s">
        <v>716</v>
      </c>
      <c r="AK291" t="s">
        <v>6864</v>
      </c>
      <c r="AL291" t="s">
        <v>6865</v>
      </c>
      <c r="AM291" t="s">
        <v>6866</v>
      </c>
      <c r="AN291" t="s">
        <v>6867</v>
      </c>
      <c r="AO291" t="s">
        <v>6868</v>
      </c>
      <c r="AP291" t="s">
        <v>6868</v>
      </c>
      <c r="AU291" t="s">
        <v>207</v>
      </c>
      <c r="AV291" t="s">
        <v>118</v>
      </c>
      <c r="AW291" t="s">
        <v>102</v>
      </c>
      <c r="AX291" t="s">
        <v>119</v>
      </c>
      <c r="BA291" t="s">
        <v>250</v>
      </c>
      <c r="BB291" t="s">
        <v>120</v>
      </c>
      <c r="BC291" t="s">
        <v>284</v>
      </c>
      <c r="BD291" t="s">
        <v>285</v>
      </c>
      <c r="BE291" t="s">
        <v>212</v>
      </c>
      <c r="BF291" t="s">
        <v>286</v>
      </c>
      <c r="BG291" t="s">
        <v>124</v>
      </c>
      <c r="BH291" t="s">
        <v>6869</v>
      </c>
      <c r="BI291" t="s">
        <v>6870</v>
      </c>
      <c r="BJ291" t="s">
        <v>127</v>
      </c>
      <c r="BK291" t="s">
        <v>6871</v>
      </c>
      <c r="BL291" t="s">
        <v>6872</v>
      </c>
      <c r="BM291" t="s">
        <v>6873</v>
      </c>
      <c r="BN291" t="s">
        <v>545</v>
      </c>
      <c r="BO291" t="s">
        <v>290</v>
      </c>
      <c r="BP291" t="s">
        <v>132</v>
      </c>
      <c r="BQ291" t="s">
        <v>291</v>
      </c>
      <c r="BR291" t="s">
        <v>292</v>
      </c>
      <c r="BS291" t="s">
        <v>4765</v>
      </c>
      <c r="BU291" t="s">
        <v>6874</v>
      </c>
      <c r="BV291" t="s">
        <v>6875</v>
      </c>
      <c r="BW291" t="s">
        <v>296</v>
      </c>
      <c r="BX291" t="s">
        <v>6876</v>
      </c>
      <c r="BY291" t="s">
        <v>6877</v>
      </c>
      <c r="BZ291" t="s">
        <v>6878</v>
      </c>
      <c r="CA291" t="s">
        <v>6879</v>
      </c>
      <c r="CB291" t="s">
        <v>6880</v>
      </c>
      <c r="CC291" t="s">
        <v>6881</v>
      </c>
      <c r="CD291" t="s">
        <v>6882</v>
      </c>
      <c r="CE291" t="s">
        <v>6883</v>
      </c>
      <c r="CF291" t="s">
        <v>6884</v>
      </c>
      <c r="CG291" t="s">
        <v>102</v>
      </c>
      <c r="CH291" t="s">
        <v>6885</v>
      </c>
      <c r="CJ291" t="s">
        <v>6729</v>
      </c>
      <c r="CK291" t="s">
        <v>6885</v>
      </c>
      <c r="CL291" t="s">
        <v>284</v>
      </c>
      <c r="CM291" t="s">
        <v>285</v>
      </c>
      <c r="CN291" t="s">
        <v>6729</v>
      </c>
      <c r="CO291" t="s">
        <v>6886</v>
      </c>
      <c r="CP291" t="s">
        <v>6887</v>
      </c>
      <c r="CQ291" t="s">
        <v>6885</v>
      </c>
    </row>
    <row r="292" spans="1:95">
      <c r="A292" t="s">
        <v>149</v>
      </c>
      <c r="B292">
        <v>3605584</v>
      </c>
      <c r="C292" t="s">
        <v>6888</v>
      </c>
      <c r="D292" t="str">
        <f>VLOOKUP(B292,'2025'!B:C,2,0)</f>
        <v>Sumit Rana</v>
      </c>
      <c r="F292" t="s">
        <v>95</v>
      </c>
      <c r="G292" t="s">
        <v>6889</v>
      </c>
      <c r="H292" t="s">
        <v>193</v>
      </c>
      <c r="I292" t="s">
        <v>98</v>
      </c>
      <c r="J292" t="s">
        <v>6890</v>
      </c>
      <c r="K292" t="s">
        <v>100</v>
      </c>
      <c r="L292">
        <v>409652</v>
      </c>
      <c r="M292">
        <v>464570</v>
      </c>
      <c r="N292">
        <v>104552</v>
      </c>
      <c r="O292">
        <v>209</v>
      </c>
      <c r="P292" t="s">
        <v>364</v>
      </c>
      <c r="Q292">
        <v>0</v>
      </c>
      <c r="R292">
        <v>0</v>
      </c>
      <c r="T292">
        <v>305100</v>
      </c>
      <c r="U292">
        <v>200</v>
      </c>
      <c r="V292" t="s">
        <v>1907</v>
      </c>
      <c r="W292" t="s">
        <v>102</v>
      </c>
      <c r="X292" t="s">
        <v>679</v>
      </c>
      <c r="Y292" t="s">
        <v>155</v>
      </c>
      <c r="Z292" t="s">
        <v>892</v>
      </c>
      <c r="AA292" t="s">
        <v>6891</v>
      </c>
      <c r="AB292" t="s">
        <v>6892</v>
      </c>
      <c r="AC292" t="s">
        <v>6893</v>
      </c>
      <c r="AD292" t="s">
        <v>6892</v>
      </c>
      <c r="AE292" t="s">
        <v>6054</v>
      </c>
      <c r="AF292" t="s">
        <v>6892</v>
      </c>
      <c r="AG292" t="s">
        <v>807</v>
      </c>
      <c r="AH292" t="s">
        <v>6892</v>
      </c>
      <c r="AI292" t="s">
        <v>6894</v>
      </c>
      <c r="AJ292" t="s">
        <v>6895</v>
      </c>
      <c r="AK292" t="s">
        <v>6895</v>
      </c>
      <c r="AL292" t="s">
        <v>6896</v>
      </c>
      <c r="AM292" t="s">
        <v>6897</v>
      </c>
      <c r="AN292" t="s">
        <v>6898</v>
      </c>
      <c r="AO292" t="s">
        <v>6899</v>
      </c>
      <c r="AP292" t="s">
        <v>6899</v>
      </c>
      <c r="AU292" t="s">
        <v>247</v>
      </c>
      <c r="AV292" t="s">
        <v>118</v>
      </c>
      <c r="AW292" t="s">
        <v>102</v>
      </c>
      <c r="AX292" t="s">
        <v>119</v>
      </c>
      <c r="BA292" t="s">
        <v>250</v>
      </c>
      <c r="BB292" t="s">
        <v>120</v>
      </c>
      <c r="BC292" t="s">
        <v>6900</v>
      </c>
      <c r="BD292" t="s">
        <v>173</v>
      </c>
      <c r="BE292" t="s">
        <v>174</v>
      </c>
      <c r="BF292" t="s">
        <v>173</v>
      </c>
      <c r="BG292" t="s">
        <v>124</v>
      </c>
      <c r="BH292" t="s">
        <v>6889</v>
      </c>
      <c r="BI292" t="s">
        <v>1038</v>
      </c>
      <c r="BJ292" t="s">
        <v>127</v>
      </c>
      <c r="BK292" t="s">
        <v>6901</v>
      </c>
      <c r="BL292" t="s">
        <v>6902</v>
      </c>
      <c r="BM292" t="s">
        <v>6903</v>
      </c>
      <c r="BN292" t="s">
        <v>6889</v>
      </c>
      <c r="BO292" t="s">
        <v>179</v>
      </c>
      <c r="BP292" t="s">
        <v>180</v>
      </c>
      <c r="BQ292" t="s">
        <v>181</v>
      </c>
      <c r="BR292" t="s">
        <v>182</v>
      </c>
      <c r="BS292" t="s">
        <v>183</v>
      </c>
      <c r="BU292" t="s">
        <v>6904</v>
      </c>
      <c r="BV292" t="s">
        <v>1043</v>
      </c>
      <c r="BW292" t="s">
        <v>569</v>
      </c>
      <c r="BX292" t="s">
        <v>1044</v>
      </c>
      <c r="BY292" t="s">
        <v>1045</v>
      </c>
      <c r="BZ292" t="s">
        <v>6905</v>
      </c>
      <c r="CA292" t="s">
        <v>6906</v>
      </c>
      <c r="CB292" t="s">
        <v>6907</v>
      </c>
      <c r="CC292" t="s">
        <v>6908</v>
      </c>
      <c r="CD292" t="s">
        <v>6909</v>
      </c>
      <c r="CE292" t="s">
        <v>6910</v>
      </c>
      <c r="CF292" t="s">
        <v>6911</v>
      </c>
      <c r="CG292" t="s">
        <v>102</v>
      </c>
      <c r="CH292" t="s">
        <v>6912</v>
      </c>
      <c r="CJ292" t="s">
        <v>6913</v>
      </c>
      <c r="CK292" t="s">
        <v>6912</v>
      </c>
      <c r="CL292" t="s">
        <v>6900</v>
      </c>
      <c r="CM292" t="s">
        <v>173</v>
      </c>
      <c r="CN292" t="s">
        <v>6913</v>
      </c>
      <c r="CO292" t="s">
        <v>1055</v>
      </c>
      <c r="CP292" t="s">
        <v>6914</v>
      </c>
      <c r="CQ292" t="s">
        <v>6915</v>
      </c>
    </row>
    <row r="293" spans="1:95">
      <c r="A293" t="s">
        <v>337</v>
      </c>
      <c r="B293">
        <v>3626747</v>
      </c>
      <c r="C293" t="s">
        <v>6916</v>
      </c>
      <c r="D293" t="str">
        <f>VLOOKUP(B293,'2025'!B:C,2,0)</f>
        <v>Gargi</v>
      </c>
      <c r="F293" t="s">
        <v>95</v>
      </c>
      <c r="G293" t="s">
        <v>2947</v>
      </c>
      <c r="H293" t="s">
        <v>97</v>
      </c>
      <c r="I293" t="s">
        <v>98</v>
      </c>
      <c r="J293" t="s">
        <v>6917</v>
      </c>
      <c r="K293" t="s">
        <v>100</v>
      </c>
      <c r="L293">
        <v>114000</v>
      </c>
      <c r="M293">
        <v>114000</v>
      </c>
      <c r="N293">
        <v>114000</v>
      </c>
      <c r="O293">
        <v>152</v>
      </c>
      <c r="P293" t="s">
        <v>101</v>
      </c>
      <c r="Q293">
        <v>0</v>
      </c>
      <c r="R293">
        <v>0</v>
      </c>
      <c r="T293">
        <v>0</v>
      </c>
      <c r="U293">
        <v>0</v>
      </c>
      <c r="W293" t="s">
        <v>102</v>
      </c>
      <c r="X293" t="s">
        <v>275</v>
      </c>
      <c r="Z293" t="s">
        <v>151</v>
      </c>
      <c r="AA293" t="s">
        <v>109</v>
      </c>
      <c r="AB293" t="s">
        <v>102</v>
      </c>
      <c r="AC293" t="s">
        <v>109</v>
      </c>
      <c r="AD293" t="s">
        <v>102</v>
      </c>
      <c r="AE293" t="s">
        <v>109</v>
      </c>
      <c r="AF293" t="s">
        <v>102</v>
      </c>
      <c r="AG293" t="s">
        <v>109</v>
      </c>
      <c r="AH293" t="s">
        <v>102</v>
      </c>
      <c r="AI293" t="s">
        <v>102</v>
      </c>
      <c r="AJ293" t="s">
        <v>2364</v>
      </c>
      <c r="AK293" t="s">
        <v>6918</v>
      </c>
      <c r="AL293" t="s">
        <v>6919</v>
      </c>
      <c r="AM293" t="s">
        <v>6920</v>
      </c>
      <c r="AN293" t="s">
        <v>6921</v>
      </c>
      <c r="AO293" t="s">
        <v>116</v>
      </c>
      <c r="AP293" t="s">
        <v>116</v>
      </c>
      <c r="AU293" t="s">
        <v>318</v>
      </c>
      <c r="AV293" t="s">
        <v>118</v>
      </c>
      <c r="AW293" t="s">
        <v>102</v>
      </c>
      <c r="AX293" t="s">
        <v>119</v>
      </c>
      <c r="BB293" t="s">
        <v>120</v>
      </c>
      <c r="BC293" t="s">
        <v>6922</v>
      </c>
      <c r="BD293" t="s">
        <v>376</v>
      </c>
      <c r="BE293" t="s">
        <v>174</v>
      </c>
      <c r="BF293" t="s">
        <v>376</v>
      </c>
      <c r="BG293" t="s">
        <v>124</v>
      </c>
      <c r="BH293" t="s">
        <v>1845</v>
      </c>
      <c r="BI293" t="s">
        <v>3485</v>
      </c>
      <c r="BJ293" t="s">
        <v>127</v>
      </c>
      <c r="BK293" t="s">
        <v>6923</v>
      </c>
      <c r="BL293" t="s">
        <v>6924</v>
      </c>
      <c r="BM293" t="s">
        <v>6925</v>
      </c>
      <c r="BN293" t="s">
        <v>2947</v>
      </c>
      <c r="BO293" t="s">
        <v>6926</v>
      </c>
      <c r="BP293" t="s">
        <v>258</v>
      </c>
      <c r="BQ293" t="s">
        <v>6927</v>
      </c>
      <c r="BR293" t="s">
        <v>6928</v>
      </c>
      <c r="BS293" t="s">
        <v>1858</v>
      </c>
      <c r="BU293" t="s">
        <v>6929</v>
      </c>
      <c r="BV293" t="s">
        <v>6930</v>
      </c>
      <c r="BW293" t="s">
        <v>138</v>
      </c>
      <c r="BX293" t="s">
        <v>6931</v>
      </c>
      <c r="BY293" t="s">
        <v>6932</v>
      </c>
      <c r="BZ293" t="s">
        <v>6931</v>
      </c>
      <c r="CA293" t="s">
        <v>6930</v>
      </c>
      <c r="CB293" t="s">
        <v>6931</v>
      </c>
      <c r="CC293" t="s">
        <v>6932</v>
      </c>
      <c r="CD293" t="s">
        <v>6930</v>
      </c>
      <c r="CE293" t="s">
        <v>6931</v>
      </c>
      <c r="CF293" t="s">
        <v>6932</v>
      </c>
      <c r="CG293" t="s">
        <v>6933</v>
      </c>
      <c r="CH293" t="s">
        <v>6934</v>
      </c>
      <c r="CJ293" t="s">
        <v>6935</v>
      </c>
      <c r="CK293" t="s">
        <v>6934</v>
      </c>
      <c r="CL293" t="s">
        <v>6922</v>
      </c>
      <c r="CM293" t="s">
        <v>376</v>
      </c>
      <c r="CN293" t="s">
        <v>6935</v>
      </c>
      <c r="CP293" t="s">
        <v>6934</v>
      </c>
      <c r="CQ293" t="s">
        <v>6934</v>
      </c>
    </row>
    <row r="294" spans="1:95">
      <c r="A294" t="s">
        <v>93</v>
      </c>
      <c r="B294">
        <v>3634161</v>
      </c>
      <c r="C294" t="s">
        <v>6936</v>
      </c>
      <c r="D294" t="str">
        <f>VLOOKUP(B294,'2025'!B:C,2,0)</f>
        <v>Aarti Iyer</v>
      </c>
      <c r="F294" t="s">
        <v>95</v>
      </c>
      <c r="G294" t="s">
        <v>3789</v>
      </c>
      <c r="H294" t="s">
        <v>152</v>
      </c>
      <c r="I294" t="s">
        <v>98</v>
      </c>
      <c r="J294" t="s">
        <v>6937</v>
      </c>
      <c r="K294" t="s">
        <v>100</v>
      </c>
      <c r="L294">
        <v>1067946</v>
      </c>
      <c r="M294">
        <v>1067946</v>
      </c>
      <c r="N294">
        <v>0</v>
      </c>
      <c r="O294">
        <v>0</v>
      </c>
      <c r="Q294">
        <v>1067946</v>
      </c>
      <c r="R294">
        <v>356</v>
      </c>
      <c r="S294" t="s">
        <v>2971</v>
      </c>
      <c r="T294">
        <v>0</v>
      </c>
      <c r="U294">
        <v>0</v>
      </c>
      <c r="W294" t="s">
        <v>102</v>
      </c>
      <c r="X294" t="s">
        <v>103</v>
      </c>
      <c r="Y294" t="s">
        <v>155</v>
      </c>
      <c r="AA294" t="s">
        <v>545</v>
      </c>
      <c r="AB294" t="s">
        <v>6938</v>
      </c>
      <c r="AC294" t="s">
        <v>214</v>
      </c>
      <c r="AD294" t="s">
        <v>6938</v>
      </c>
      <c r="AE294" t="s">
        <v>437</v>
      </c>
      <c r="AF294" t="s">
        <v>6938</v>
      </c>
      <c r="AG294" t="s">
        <v>160</v>
      </c>
      <c r="AH294" t="s">
        <v>6938</v>
      </c>
      <c r="AI294" t="s">
        <v>6939</v>
      </c>
      <c r="AJ294" t="s">
        <v>1470</v>
      </c>
      <c r="AK294" t="s">
        <v>6768</v>
      </c>
      <c r="AL294" t="s">
        <v>6940</v>
      </c>
      <c r="AM294" t="s">
        <v>6941</v>
      </c>
      <c r="AN294" t="s">
        <v>6942</v>
      </c>
      <c r="AO294" t="s">
        <v>6943</v>
      </c>
      <c r="AP294" t="s">
        <v>6943</v>
      </c>
      <c r="AU294" t="s">
        <v>102</v>
      </c>
      <c r="AW294" t="s">
        <v>1758</v>
      </c>
      <c r="AX294" t="s">
        <v>447</v>
      </c>
      <c r="AY294" t="s">
        <v>170</v>
      </c>
      <c r="AZ294" t="s">
        <v>118</v>
      </c>
      <c r="BB294" t="s">
        <v>120</v>
      </c>
      <c r="BC294" t="s">
        <v>2127</v>
      </c>
      <c r="BD294" t="s">
        <v>621</v>
      </c>
      <c r="BE294" t="s">
        <v>622</v>
      </c>
      <c r="BF294" t="s">
        <v>976</v>
      </c>
      <c r="BG294" t="s">
        <v>124</v>
      </c>
      <c r="BH294" t="s">
        <v>464</v>
      </c>
      <c r="BI294" t="s">
        <v>126</v>
      </c>
      <c r="BJ294" t="s">
        <v>127</v>
      </c>
      <c r="BK294" t="s">
        <v>6944</v>
      </c>
      <c r="BL294" t="s">
        <v>6945</v>
      </c>
      <c r="BM294" t="s">
        <v>6946</v>
      </c>
      <c r="BN294" t="s">
        <v>3789</v>
      </c>
      <c r="BO294" t="s">
        <v>4382</v>
      </c>
      <c r="BP294" t="s">
        <v>132</v>
      </c>
      <c r="BQ294" t="s">
        <v>4383</v>
      </c>
      <c r="BR294" t="s">
        <v>4384</v>
      </c>
      <c r="BS294" t="s">
        <v>984</v>
      </c>
      <c r="BU294" t="s">
        <v>6947</v>
      </c>
      <c r="BV294" t="s">
        <v>6948</v>
      </c>
      <c r="BW294" t="s">
        <v>598</v>
      </c>
      <c r="BX294" t="s">
        <v>6949</v>
      </c>
      <c r="BY294" t="s">
        <v>6950</v>
      </c>
      <c r="BZ294" t="s">
        <v>6949</v>
      </c>
      <c r="CG294" t="s">
        <v>6951</v>
      </c>
      <c r="CH294" t="s">
        <v>6952</v>
      </c>
      <c r="CJ294" t="s">
        <v>6953</v>
      </c>
      <c r="CK294" t="s">
        <v>6952</v>
      </c>
      <c r="CL294" t="s">
        <v>2127</v>
      </c>
      <c r="CM294" t="s">
        <v>621</v>
      </c>
      <c r="CN294" t="s">
        <v>6953</v>
      </c>
      <c r="CO294" t="s">
        <v>6954</v>
      </c>
      <c r="CP294" t="s">
        <v>6952</v>
      </c>
      <c r="CQ294" t="s">
        <v>6952</v>
      </c>
    </row>
    <row r="295" spans="1:95">
      <c r="A295" t="s">
        <v>149</v>
      </c>
      <c r="B295">
        <v>3639531</v>
      </c>
      <c r="C295" t="s">
        <v>6955</v>
      </c>
      <c r="D295" t="str">
        <f>VLOOKUP(B295,'2025'!B:C,2,0)</f>
        <v>Vaishali</v>
      </c>
      <c r="F295" t="s">
        <v>95</v>
      </c>
      <c r="G295" t="s">
        <v>2867</v>
      </c>
      <c r="H295" t="s">
        <v>97</v>
      </c>
      <c r="I295" t="s">
        <v>98</v>
      </c>
      <c r="J295" t="s">
        <v>6956</v>
      </c>
      <c r="K295" t="s">
        <v>100</v>
      </c>
      <c r="L295">
        <v>86728</v>
      </c>
      <c r="M295">
        <v>86728</v>
      </c>
      <c r="N295">
        <v>86728</v>
      </c>
      <c r="O295">
        <v>106</v>
      </c>
      <c r="P295" t="s">
        <v>6957</v>
      </c>
      <c r="Q295">
        <v>0</v>
      </c>
      <c r="R295">
        <v>0</v>
      </c>
      <c r="T295">
        <v>0</v>
      </c>
      <c r="U295">
        <v>0</v>
      </c>
      <c r="W295" t="s">
        <v>102</v>
      </c>
      <c r="X295" t="s">
        <v>275</v>
      </c>
      <c r="Z295" t="s">
        <v>3255</v>
      </c>
      <c r="AA295" t="s">
        <v>109</v>
      </c>
      <c r="AB295" t="s">
        <v>102</v>
      </c>
      <c r="AC295" t="s">
        <v>109</v>
      </c>
      <c r="AD295" t="s">
        <v>102</v>
      </c>
      <c r="AE295" t="s">
        <v>109</v>
      </c>
      <c r="AF295" t="s">
        <v>102</v>
      </c>
      <c r="AG295" t="s">
        <v>109</v>
      </c>
      <c r="AH295" t="s">
        <v>102</v>
      </c>
      <c r="AI295" t="s">
        <v>102</v>
      </c>
      <c r="AJ295" t="s">
        <v>1523</v>
      </c>
      <c r="AK295" t="s">
        <v>1523</v>
      </c>
      <c r="AL295" t="s">
        <v>6958</v>
      </c>
      <c r="AM295" t="s">
        <v>6959</v>
      </c>
      <c r="AN295" t="s">
        <v>6960</v>
      </c>
      <c r="AO295" t="s">
        <v>6961</v>
      </c>
      <c r="AP295" t="s">
        <v>6961</v>
      </c>
      <c r="AU295" t="s">
        <v>117</v>
      </c>
      <c r="AV295" t="s">
        <v>118</v>
      </c>
      <c r="AW295" t="s">
        <v>102</v>
      </c>
      <c r="AX295" t="s">
        <v>119</v>
      </c>
      <c r="BB295" t="s">
        <v>120</v>
      </c>
      <c r="BC295" t="s">
        <v>4153</v>
      </c>
      <c r="BD295" t="s">
        <v>320</v>
      </c>
      <c r="BE295" t="s">
        <v>122</v>
      </c>
      <c r="BF295" t="s">
        <v>123</v>
      </c>
      <c r="BG295" t="s">
        <v>124</v>
      </c>
      <c r="BH295" t="s">
        <v>437</v>
      </c>
      <c r="BI295" t="s">
        <v>126</v>
      </c>
      <c r="BJ295" t="s">
        <v>127</v>
      </c>
      <c r="BK295" t="s">
        <v>6962</v>
      </c>
      <c r="BL295" t="s">
        <v>6963</v>
      </c>
      <c r="BM295" t="s">
        <v>6964</v>
      </c>
      <c r="BN295" t="s">
        <v>2867</v>
      </c>
      <c r="BO295" t="s">
        <v>3267</v>
      </c>
      <c r="BP295" t="s">
        <v>350</v>
      </c>
      <c r="BQ295" t="s">
        <v>3268</v>
      </c>
      <c r="BR295" t="s">
        <v>3269</v>
      </c>
      <c r="BS295" t="s">
        <v>135</v>
      </c>
      <c r="BU295" t="s">
        <v>6965</v>
      </c>
      <c r="BV295" t="s">
        <v>6966</v>
      </c>
      <c r="BW295" t="s">
        <v>598</v>
      </c>
      <c r="BX295" t="s">
        <v>6967</v>
      </c>
      <c r="BY295" t="s">
        <v>6968</v>
      </c>
      <c r="BZ295" t="s">
        <v>6969</v>
      </c>
      <c r="CA295" t="s">
        <v>6970</v>
      </c>
      <c r="CB295" t="s">
        <v>6969</v>
      </c>
      <c r="CC295" t="s">
        <v>6971</v>
      </c>
      <c r="CD295" t="s">
        <v>6966</v>
      </c>
      <c r="CE295" t="s">
        <v>6967</v>
      </c>
      <c r="CF295" t="s">
        <v>6968</v>
      </c>
      <c r="CG295" t="s">
        <v>102</v>
      </c>
      <c r="CH295" t="s">
        <v>6972</v>
      </c>
      <c r="CJ295" t="s">
        <v>6973</v>
      </c>
      <c r="CK295" t="s">
        <v>6972</v>
      </c>
      <c r="CL295" t="s">
        <v>4153</v>
      </c>
      <c r="CM295" t="s">
        <v>320</v>
      </c>
      <c r="CN295" t="s">
        <v>6973</v>
      </c>
      <c r="CP295" t="s">
        <v>6972</v>
      </c>
      <c r="CQ295" t="s">
        <v>6972</v>
      </c>
    </row>
    <row r="296" spans="1:95">
      <c r="A296" t="s">
        <v>149</v>
      </c>
      <c r="B296">
        <v>364480</v>
      </c>
      <c r="C296" t="s">
        <v>6974</v>
      </c>
      <c r="D296" t="str">
        <f>VLOOKUP(B296,'2025'!B:C,2,0)</f>
        <v>Vaishali</v>
      </c>
      <c r="F296" t="s">
        <v>95</v>
      </c>
      <c r="G296" t="s">
        <v>2907</v>
      </c>
      <c r="H296" t="s">
        <v>193</v>
      </c>
      <c r="I296" t="s">
        <v>98</v>
      </c>
      <c r="J296" t="s">
        <v>6975</v>
      </c>
      <c r="K296" t="s">
        <v>100</v>
      </c>
      <c r="L296">
        <v>1105746</v>
      </c>
      <c r="M296">
        <v>1188120</v>
      </c>
      <c r="N296">
        <v>648114</v>
      </c>
      <c r="O296">
        <v>712</v>
      </c>
      <c r="P296" t="s">
        <v>1798</v>
      </c>
      <c r="Q296">
        <v>0</v>
      </c>
      <c r="R296">
        <v>0</v>
      </c>
      <c r="T296">
        <v>457632</v>
      </c>
      <c r="U296">
        <v>180</v>
      </c>
      <c r="V296" t="s">
        <v>2910</v>
      </c>
      <c r="W296" t="s">
        <v>102</v>
      </c>
      <c r="X296" t="s">
        <v>679</v>
      </c>
      <c r="Y296" t="s">
        <v>104</v>
      </c>
      <c r="Z296" t="s">
        <v>2911</v>
      </c>
      <c r="AA296" t="s">
        <v>2912</v>
      </c>
      <c r="AB296" t="s">
        <v>6424</v>
      </c>
      <c r="AC296" t="s">
        <v>2914</v>
      </c>
      <c r="AD296" t="s">
        <v>6424</v>
      </c>
      <c r="AE296" t="s">
        <v>109</v>
      </c>
      <c r="AF296" t="s">
        <v>102</v>
      </c>
      <c r="AG296" t="s">
        <v>109</v>
      </c>
      <c r="AH296" t="s">
        <v>102</v>
      </c>
      <c r="AI296" t="s">
        <v>6976</v>
      </c>
      <c r="AJ296" t="s">
        <v>6977</v>
      </c>
      <c r="AK296" t="s">
        <v>6978</v>
      </c>
      <c r="AL296" t="s">
        <v>6979</v>
      </c>
      <c r="AM296" t="s">
        <v>6980</v>
      </c>
      <c r="AN296" t="s">
        <v>6981</v>
      </c>
      <c r="AO296" t="s">
        <v>6431</v>
      </c>
      <c r="AP296" t="s">
        <v>6431</v>
      </c>
      <c r="AU296" t="s">
        <v>207</v>
      </c>
      <c r="AV296" t="s">
        <v>250</v>
      </c>
      <c r="AW296" t="s">
        <v>102</v>
      </c>
      <c r="AX296" t="s">
        <v>119</v>
      </c>
      <c r="BA296" t="s">
        <v>250</v>
      </c>
      <c r="BB296" t="s">
        <v>120</v>
      </c>
      <c r="BC296" t="s">
        <v>4153</v>
      </c>
      <c r="BD296" t="s">
        <v>320</v>
      </c>
      <c r="BE296" t="s">
        <v>122</v>
      </c>
      <c r="BF296" t="s">
        <v>123</v>
      </c>
      <c r="BG296" t="s">
        <v>124</v>
      </c>
      <c r="BH296" t="s">
        <v>232</v>
      </c>
      <c r="BI296" t="s">
        <v>2923</v>
      </c>
      <c r="BJ296" t="s">
        <v>127</v>
      </c>
      <c r="BK296" t="s">
        <v>6982</v>
      </c>
      <c r="BL296" t="s">
        <v>6983</v>
      </c>
      <c r="BM296" t="s">
        <v>6984</v>
      </c>
      <c r="BN296" t="s">
        <v>2907</v>
      </c>
      <c r="BO296" t="s">
        <v>2927</v>
      </c>
      <c r="BP296" t="s">
        <v>350</v>
      </c>
      <c r="BQ296" t="s">
        <v>2929</v>
      </c>
      <c r="BR296" t="s">
        <v>2930</v>
      </c>
      <c r="BS296" t="s">
        <v>135</v>
      </c>
      <c r="BU296" t="s">
        <v>6985</v>
      </c>
      <c r="BV296" t="s">
        <v>2932</v>
      </c>
      <c r="BW296" t="s">
        <v>296</v>
      </c>
      <c r="BX296" t="s">
        <v>2933</v>
      </c>
      <c r="BY296" t="s">
        <v>2934</v>
      </c>
      <c r="BZ296" t="s">
        <v>6986</v>
      </c>
      <c r="CA296" t="s">
        <v>6987</v>
      </c>
      <c r="CB296" t="s">
        <v>6988</v>
      </c>
      <c r="CC296" t="s">
        <v>2934</v>
      </c>
      <c r="CD296" t="s">
        <v>6989</v>
      </c>
      <c r="CE296" t="s">
        <v>6990</v>
      </c>
      <c r="CF296" t="s">
        <v>6991</v>
      </c>
      <c r="CG296" t="s">
        <v>102</v>
      </c>
      <c r="CH296" t="s">
        <v>6992</v>
      </c>
      <c r="CJ296" t="s">
        <v>5161</v>
      </c>
      <c r="CK296" t="s">
        <v>6992</v>
      </c>
      <c r="CL296" t="s">
        <v>4153</v>
      </c>
      <c r="CM296" t="s">
        <v>320</v>
      </c>
      <c r="CN296" t="s">
        <v>5161</v>
      </c>
      <c r="CO296" t="s">
        <v>3178</v>
      </c>
      <c r="CP296" t="s">
        <v>6992</v>
      </c>
      <c r="CQ296" t="s">
        <v>6992</v>
      </c>
    </row>
    <row r="297" spans="1:95">
      <c r="A297" t="s">
        <v>337</v>
      </c>
      <c r="B297">
        <v>365337</v>
      </c>
      <c r="C297" t="s">
        <v>6993</v>
      </c>
      <c r="E297" s="4" t="s">
        <v>17377</v>
      </c>
      <c r="F297" t="s">
        <v>95</v>
      </c>
      <c r="G297" t="s">
        <v>6994</v>
      </c>
      <c r="H297" t="s">
        <v>848</v>
      </c>
      <c r="I297" t="s">
        <v>98</v>
      </c>
      <c r="J297" t="s">
        <v>6995</v>
      </c>
      <c r="K297" t="s">
        <v>100</v>
      </c>
      <c r="L297">
        <v>610200</v>
      </c>
      <c r="M297">
        <v>720036</v>
      </c>
      <c r="N297">
        <v>0</v>
      </c>
      <c r="O297">
        <v>0</v>
      </c>
      <c r="Q297">
        <v>0</v>
      </c>
      <c r="R297">
        <v>0</v>
      </c>
      <c r="T297">
        <v>610200</v>
      </c>
      <c r="U297">
        <v>200</v>
      </c>
      <c r="V297" t="s">
        <v>1652</v>
      </c>
      <c r="W297" t="s">
        <v>102</v>
      </c>
      <c r="X297" t="s">
        <v>103</v>
      </c>
      <c r="Y297" t="s">
        <v>155</v>
      </c>
      <c r="AA297" t="s">
        <v>6996</v>
      </c>
      <c r="AB297" t="s">
        <v>6997</v>
      </c>
      <c r="AC297" t="s">
        <v>1600</v>
      </c>
      <c r="AD297" t="s">
        <v>6997</v>
      </c>
      <c r="AE297" t="s">
        <v>469</v>
      </c>
      <c r="AF297" t="s">
        <v>6997</v>
      </c>
      <c r="AG297" t="s">
        <v>2582</v>
      </c>
      <c r="AH297" t="s">
        <v>6997</v>
      </c>
      <c r="AI297" t="s">
        <v>102</v>
      </c>
      <c r="AJ297" t="s">
        <v>6998</v>
      </c>
      <c r="AK297" t="s">
        <v>6996</v>
      </c>
      <c r="AL297" t="s">
        <v>6999</v>
      </c>
      <c r="AM297" t="s">
        <v>7000</v>
      </c>
      <c r="AN297" t="s">
        <v>7001</v>
      </c>
      <c r="AO297" t="s">
        <v>116</v>
      </c>
      <c r="AP297" t="s">
        <v>116</v>
      </c>
      <c r="AU297" t="s">
        <v>102</v>
      </c>
      <c r="AW297" t="s">
        <v>102</v>
      </c>
      <c r="AX297" t="s">
        <v>119</v>
      </c>
      <c r="BA297" t="s">
        <v>250</v>
      </c>
      <c r="BB297" t="s">
        <v>120</v>
      </c>
      <c r="BC297" t="s">
        <v>121</v>
      </c>
      <c r="BD297" t="s">
        <v>121</v>
      </c>
      <c r="BE297" t="s">
        <v>122</v>
      </c>
      <c r="BF297" t="s">
        <v>123</v>
      </c>
      <c r="BG297" t="s">
        <v>124</v>
      </c>
      <c r="BH297" t="s">
        <v>232</v>
      </c>
      <c r="BI297" t="s">
        <v>126</v>
      </c>
      <c r="BJ297" t="s">
        <v>127</v>
      </c>
      <c r="BK297" t="s">
        <v>7002</v>
      </c>
      <c r="BL297" t="s">
        <v>7003</v>
      </c>
      <c r="BM297" t="s">
        <v>7004</v>
      </c>
      <c r="BN297" t="s">
        <v>6994</v>
      </c>
      <c r="BO297" t="s">
        <v>7005</v>
      </c>
      <c r="BP297" t="s">
        <v>258</v>
      </c>
      <c r="BQ297" t="s">
        <v>7006</v>
      </c>
      <c r="BR297" t="s">
        <v>7007</v>
      </c>
      <c r="BS297" t="s">
        <v>7008</v>
      </c>
      <c r="BT297" t="s">
        <v>135</v>
      </c>
      <c r="BU297" t="s">
        <v>7009</v>
      </c>
      <c r="BV297" t="s">
        <v>7010</v>
      </c>
      <c r="BW297" t="s">
        <v>138</v>
      </c>
      <c r="BX297" t="s">
        <v>7011</v>
      </c>
      <c r="BY297" t="s">
        <v>7012</v>
      </c>
      <c r="BZ297" t="s">
        <v>7011</v>
      </c>
      <c r="CA297" t="s">
        <v>7010</v>
      </c>
      <c r="CB297" t="s">
        <v>7011</v>
      </c>
      <c r="CC297" t="s">
        <v>7012</v>
      </c>
      <c r="CG297" t="s">
        <v>6709</v>
      </c>
      <c r="CH297" t="s">
        <v>7013</v>
      </c>
      <c r="CJ297" t="s">
        <v>7014</v>
      </c>
      <c r="CK297" t="s">
        <v>7013</v>
      </c>
      <c r="CL297" t="s">
        <v>121</v>
      </c>
      <c r="CM297" t="s">
        <v>121</v>
      </c>
      <c r="CN297" t="s">
        <v>7014</v>
      </c>
      <c r="CP297" t="s">
        <v>7013</v>
      </c>
      <c r="CQ297" t="s">
        <v>7013</v>
      </c>
    </row>
    <row r="298" spans="1:95">
      <c r="A298" t="s">
        <v>337</v>
      </c>
      <c r="B298">
        <v>3654386</v>
      </c>
      <c r="C298" t="s">
        <v>7015</v>
      </c>
      <c r="E298" s="4" t="s">
        <v>17377</v>
      </c>
      <c r="F298" t="s">
        <v>95</v>
      </c>
      <c r="G298" t="s">
        <v>723</v>
      </c>
      <c r="H298" t="s">
        <v>97</v>
      </c>
      <c r="I298" t="s">
        <v>98</v>
      </c>
      <c r="J298" t="s">
        <v>7016</v>
      </c>
      <c r="K298" t="s">
        <v>100</v>
      </c>
      <c r="L298">
        <v>1020898</v>
      </c>
      <c r="M298">
        <v>1020898</v>
      </c>
      <c r="N298">
        <v>1020898</v>
      </c>
      <c r="O298">
        <v>2042</v>
      </c>
      <c r="P298" t="s">
        <v>364</v>
      </c>
      <c r="Q298">
        <v>0</v>
      </c>
      <c r="R298">
        <v>0</v>
      </c>
      <c r="T298">
        <v>0</v>
      </c>
      <c r="U298">
        <v>0</v>
      </c>
      <c r="W298" t="s">
        <v>102</v>
      </c>
      <c r="X298" t="s">
        <v>103</v>
      </c>
      <c r="Y298" t="s">
        <v>104</v>
      </c>
      <c r="AA298" t="s">
        <v>723</v>
      </c>
      <c r="AB298" t="s">
        <v>7017</v>
      </c>
      <c r="AC298" t="s">
        <v>680</v>
      </c>
      <c r="AD298" t="s">
        <v>7018</v>
      </c>
      <c r="AE298" t="s">
        <v>109</v>
      </c>
      <c r="AF298" t="s">
        <v>102</v>
      </c>
      <c r="AG298" t="s">
        <v>109</v>
      </c>
      <c r="AH298" t="s">
        <v>102</v>
      </c>
      <c r="AI298" t="s">
        <v>7019</v>
      </c>
      <c r="AJ298" t="s">
        <v>4536</v>
      </c>
      <c r="AK298" t="s">
        <v>7020</v>
      </c>
      <c r="AL298" t="s">
        <v>7021</v>
      </c>
      <c r="AM298" t="s">
        <v>7022</v>
      </c>
      <c r="AN298" t="s">
        <v>7023</v>
      </c>
      <c r="AO298" t="s">
        <v>2307</v>
      </c>
      <c r="AP298" t="s">
        <v>2307</v>
      </c>
      <c r="AU298" t="s">
        <v>117</v>
      </c>
      <c r="AV298" t="s">
        <v>118</v>
      </c>
      <c r="AW298" t="s">
        <v>102</v>
      </c>
      <c r="AX298" t="s">
        <v>119</v>
      </c>
      <c r="BB298" t="s">
        <v>1664</v>
      </c>
      <c r="BC298" t="s">
        <v>920</v>
      </c>
      <c r="BD298" t="s">
        <v>211</v>
      </c>
      <c r="BE298" t="s">
        <v>212</v>
      </c>
      <c r="BF298" t="s">
        <v>213</v>
      </c>
      <c r="BG298" t="s">
        <v>124</v>
      </c>
      <c r="BH298" t="s">
        <v>232</v>
      </c>
      <c r="BI298" t="s">
        <v>126</v>
      </c>
      <c r="BJ298" t="s">
        <v>127</v>
      </c>
      <c r="BK298" t="s">
        <v>7024</v>
      </c>
      <c r="BL298" t="s">
        <v>7025</v>
      </c>
      <c r="BM298" t="s">
        <v>7026</v>
      </c>
      <c r="BN298" t="s">
        <v>723</v>
      </c>
      <c r="BO298" t="s">
        <v>734</v>
      </c>
      <c r="BP298" t="s">
        <v>180</v>
      </c>
      <c r="BQ298" t="s">
        <v>735</v>
      </c>
      <c r="BR298" t="s">
        <v>736</v>
      </c>
      <c r="BS298" t="s">
        <v>737</v>
      </c>
      <c r="BU298" t="s">
        <v>7027</v>
      </c>
      <c r="BV298" t="s">
        <v>7028</v>
      </c>
      <c r="BW298" t="s">
        <v>138</v>
      </c>
      <c r="BX298" t="s">
        <v>7029</v>
      </c>
      <c r="BY298" t="s">
        <v>7030</v>
      </c>
      <c r="BZ298" t="s">
        <v>7031</v>
      </c>
      <c r="CA298" t="s">
        <v>7032</v>
      </c>
      <c r="CB298" t="s">
        <v>7029</v>
      </c>
      <c r="CC298" t="s">
        <v>7030</v>
      </c>
      <c r="CD298" t="s">
        <v>7033</v>
      </c>
      <c r="CE298" t="s">
        <v>7031</v>
      </c>
      <c r="CF298" t="s">
        <v>7034</v>
      </c>
      <c r="CG298" t="s">
        <v>5007</v>
      </c>
      <c r="CH298" t="s">
        <v>7035</v>
      </c>
      <c r="CJ298" t="s">
        <v>5392</v>
      </c>
      <c r="CK298" t="s">
        <v>7035</v>
      </c>
      <c r="CL298" t="s">
        <v>920</v>
      </c>
      <c r="CM298" t="s">
        <v>2474</v>
      </c>
      <c r="CN298" t="s">
        <v>5392</v>
      </c>
      <c r="CP298" t="s">
        <v>7035</v>
      </c>
      <c r="CQ298" t="s">
        <v>7035</v>
      </c>
    </row>
    <row r="299" spans="1:95">
      <c r="A299" t="s">
        <v>495</v>
      </c>
      <c r="B299">
        <v>365439</v>
      </c>
      <c r="C299" t="s">
        <v>7036</v>
      </c>
      <c r="D299" t="str">
        <f>VLOOKUP(B299,'2025'!B:C,2,0)</f>
        <v>Unnati Sharma</v>
      </c>
      <c r="F299" t="s">
        <v>95</v>
      </c>
      <c r="G299" t="s">
        <v>977</v>
      </c>
      <c r="H299" t="s">
        <v>97</v>
      </c>
      <c r="I299" t="s">
        <v>98</v>
      </c>
      <c r="J299" t="s">
        <v>7037</v>
      </c>
      <c r="K299" t="s">
        <v>100</v>
      </c>
      <c r="L299">
        <v>351000</v>
      </c>
      <c r="M299">
        <v>351000</v>
      </c>
      <c r="N299">
        <v>351000</v>
      </c>
      <c r="O299">
        <v>585</v>
      </c>
      <c r="P299" t="s">
        <v>310</v>
      </c>
      <c r="Q299">
        <v>0</v>
      </c>
      <c r="R299">
        <v>0</v>
      </c>
      <c r="T299">
        <v>0</v>
      </c>
      <c r="U299">
        <v>0</v>
      </c>
      <c r="W299" t="s">
        <v>102</v>
      </c>
      <c r="X299" t="s">
        <v>275</v>
      </c>
      <c r="Z299" t="s">
        <v>1358</v>
      </c>
      <c r="AA299" t="s">
        <v>109</v>
      </c>
      <c r="AB299" t="s">
        <v>102</v>
      </c>
      <c r="AC299" t="s">
        <v>109</v>
      </c>
      <c r="AD299" t="s">
        <v>102</v>
      </c>
      <c r="AE299" t="s">
        <v>109</v>
      </c>
      <c r="AF299" t="s">
        <v>102</v>
      </c>
      <c r="AG299" t="s">
        <v>109</v>
      </c>
      <c r="AH299" t="s">
        <v>102</v>
      </c>
      <c r="AI299" t="s">
        <v>7038</v>
      </c>
      <c r="AJ299" t="s">
        <v>2324</v>
      </c>
      <c r="AK299" t="s">
        <v>2324</v>
      </c>
      <c r="AL299" t="s">
        <v>7039</v>
      </c>
      <c r="AM299" t="s">
        <v>7040</v>
      </c>
      <c r="AN299" t="s">
        <v>5133</v>
      </c>
      <c r="AO299" t="s">
        <v>317</v>
      </c>
      <c r="AP299" t="s">
        <v>317</v>
      </c>
      <c r="AU299" t="s">
        <v>117</v>
      </c>
      <c r="AV299" t="s">
        <v>118</v>
      </c>
      <c r="AW299" t="s">
        <v>102</v>
      </c>
      <c r="AX299" t="s">
        <v>119</v>
      </c>
      <c r="BB299" t="s">
        <v>171</v>
      </c>
      <c r="BC299" t="s">
        <v>2327</v>
      </c>
      <c r="BD299" t="s">
        <v>730</v>
      </c>
      <c r="BE299" t="s">
        <v>622</v>
      </c>
      <c r="BF299" t="s">
        <v>730</v>
      </c>
      <c r="BG299" t="s">
        <v>124</v>
      </c>
      <c r="BH299" t="s">
        <v>892</v>
      </c>
      <c r="BI299" t="s">
        <v>411</v>
      </c>
      <c r="BJ299" t="s">
        <v>127</v>
      </c>
      <c r="BK299" t="s">
        <v>7041</v>
      </c>
      <c r="BL299" t="s">
        <v>7042</v>
      </c>
      <c r="BM299" t="s">
        <v>2974</v>
      </c>
      <c r="BN299" t="s">
        <v>977</v>
      </c>
      <c r="BO299" t="s">
        <v>2262</v>
      </c>
      <c r="BP299" t="s">
        <v>350</v>
      </c>
      <c r="BQ299" t="s">
        <v>2263</v>
      </c>
      <c r="BR299" t="s">
        <v>2264</v>
      </c>
      <c r="BS299" t="s">
        <v>2569</v>
      </c>
      <c r="BT299" t="s">
        <v>985</v>
      </c>
      <c r="BU299" t="s">
        <v>7043</v>
      </c>
      <c r="BV299" t="s">
        <v>7044</v>
      </c>
      <c r="BX299" t="s">
        <v>7045</v>
      </c>
      <c r="BY299" t="s">
        <v>2978</v>
      </c>
      <c r="BZ299" t="s">
        <v>7046</v>
      </c>
      <c r="CG299" t="s">
        <v>3841</v>
      </c>
      <c r="CH299" t="s">
        <v>7047</v>
      </c>
      <c r="CJ299" t="s">
        <v>2982</v>
      </c>
      <c r="CK299" t="s">
        <v>7047</v>
      </c>
      <c r="CL299" t="s">
        <v>2327</v>
      </c>
      <c r="CM299" t="s">
        <v>730</v>
      </c>
      <c r="CN299" t="s">
        <v>2982</v>
      </c>
      <c r="CO299" t="s">
        <v>2983</v>
      </c>
      <c r="CP299" t="s">
        <v>7047</v>
      </c>
      <c r="CQ299" t="s">
        <v>7047</v>
      </c>
    </row>
    <row r="300" spans="1:95">
      <c r="A300" t="s">
        <v>149</v>
      </c>
      <c r="B300">
        <v>366777</v>
      </c>
      <c r="C300" t="s">
        <v>7048</v>
      </c>
      <c r="D300" t="str">
        <f>VLOOKUP(B300,'2025'!B:C,2,0)</f>
        <v>Ishita Jethwa</v>
      </c>
      <c r="F300" t="s">
        <v>95</v>
      </c>
      <c r="G300" t="s">
        <v>1822</v>
      </c>
      <c r="H300" t="s">
        <v>2044</v>
      </c>
      <c r="I300" t="s">
        <v>98</v>
      </c>
      <c r="J300" t="s">
        <v>7049</v>
      </c>
      <c r="K300" t="s">
        <v>100</v>
      </c>
      <c r="L300">
        <v>1002396</v>
      </c>
      <c r="M300">
        <v>1002396</v>
      </c>
      <c r="N300">
        <v>423890</v>
      </c>
      <c r="O300">
        <v>672</v>
      </c>
      <c r="P300" t="s">
        <v>4130</v>
      </c>
      <c r="Q300">
        <v>578506</v>
      </c>
      <c r="R300">
        <v>377</v>
      </c>
      <c r="S300" t="s">
        <v>7050</v>
      </c>
      <c r="T300">
        <v>0</v>
      </c>
      <c r="U300">
        <v>0</v>
      </c>
      <c r="W300" t="s">
        <v>102</v>
      </c>
      <c r="X300" t="s">
        <v>275</v>
      </c>
      <c r="Z300" t="s">
        <v>2712</v>
      </c>
      <c r="AA300" t="s">
        <v>109</v>
      </c>
      <c r="AB300" t="s">
        <v>102</v>
      </c>
      <c r="AC300" t="s">
        <v>109</v>
      </c>
      <c r="AD300" t="s">
        <v>102</v>
      </c>
      <c r="AE300" t="s">
        <v>109</v>
      </c>
      <c r="AF300" t="s">
        <v>102</v>
      </c>
      <c r="AG300" t="s">
        <v>109</v>
      </c>
      <c r="AH300" t="s">
        <v>102</v>
      </c>
      <c r="AI300" t="s">
        <v>102</v>
      </c>
      <c r="AJ300" t="s">
        <v>558</v>
      </c>
      <c r="AK300" t="s">
        <v>558</v>
      </c>
      <c r="AL300" t="s">
        <v>7051</v>
      </c>
      <c r="AM300" t="s">
        <v>7052</v>
      </c>
      <c r="AN300" t="s">
        <v>7053</v>
      </c>
      <c r="AO300" t="s">
        <v>7054</v>
      </c>
      <c r="AP300" t="s">
        <v>7055</v>
      </c>
      <c r="AQ300" t="s">
        <v>343</v>
      </c>
      <c r="AS300" t="s">
        <v>169</v>
      </c>
      <c r="AT300" t="s">
        <v>169</v>
      </c>
      <c r="AU300" t="s">
        <v>117</v>
      </c>
      <c r="AV300" t="s">
        <v>118</v>
      </c>
      <c r="AW300" t="s">
        <v>1384</v>
      </c>
      <c r="AX300" t="s">
        <v>119</v>
      </c>
      <c r="AY300" t="s">
        <v>1138</v>
      </c>
      <c r="AZ300" t="s">
        <v>118</v>
      </c>
      <c r="BB300" t="s">
        <v>120</v>
      </c>
      <c r="BC300" t="s">
        <v>2327</v>
      </c>
      <c r="BD300" t="s">
        <v>730</v>
      </c>
      <c r="BE300" t="s">
        <v>622</v>
      </c>
      <c r="BF300" t="s">
        <v>730</v>
      </c>
      <c r="BG300" t="s">
        <v>124</v>
      </c>
      <c r="BH300" t="s">
        <v>1745</v>
      </c>
      <c r="BI300" t="s">
        <v>126</v>
      </c>
      <c r="BJ300" t="s">
        <v>127</v>
      </c>
      <c r="BK300" t="s">
        <v>7056</v>
      </c>
      <c r="BL300" t="s">
        <v>7057</v>
      </c>
      <c r="BM300" t="s">
        <v>7058</v>
      </c>
      <c r="BN300" t="s">
        <v>1822</v>
      </c>
      <c r="BO300" t="s">
        <v>1733</v>
      </c>
      <c r="BP300" t="s">
        <v>350</v>
      </c>
      <c r="BQ300" t="s">
        <v>1734</v>
      </c>
      <c r="BR300" t="s">
        <v>1735</v>
      </c>
      <c r="BS300" t="s">
        <v>2525</v>
      </c>
      <c r="BU300" t="s">
        <v>7059</v>
      </c>
      <c r="BV300" t="s">
        <v>7060</v>
      </c>
      <c r="BW300" t="s">
        <v>138</v>
      </c>
      <c r="BX300" t="s">
        <v>225</v>
      </c>
      <c r="BY300" t="s">
        <v>226</v>
      </c>
      <c r="BZ300" t="s">
        <v>7061</v>
      </c>
      <c r="CA300" t="s">
        <v>7060</v>
      </c>
      <c r="CC300" t="s">
        <v>226</v>
      </c>
      <c r="CG300" t="s">
        <v>102</v>
      </c>
      <c r="CH300" t="s">
        <v>7062</v>
      </c>
      <c r="CJ300" t="s">
        <v>2532</v>
      </c>
      <c r="CK300" t="s">
        <v>7062</v>
      </c>
      <c r="CL300" t="s">
        <v>2327</v>
      </c>
      <c r="CM300" t="s">
        <v>730</v>
      </c>
      <c r="CN300" t="s">
        <v>2532</v>
      </c>
      <c r="CO300" t="s">
        <v>7063</v>
      </c>
      <c r="CP300" t="s">
        <v>7062</v>
      </c>
      <c r="CQ300" t="s">
        <v>7062</v>
      </c>
    </row>
    <row r="301" spans="1:95">
      <c r="A301" t="s">
        <v>337</v>
      </c>
      <c r="B301">
        <v>3681679</v>
      </c>
      <c r="C301" t="s">
        <v>7064</v>
      </c>
      <c r="E301" s="4" t="s">
        <v>17377</v>
      </c>
      <c r="F301" t="s">
        <v>95</v>
      </c>
      <c r="G301" t="s">
        <v>3640</v>
      </c>
      <c r="H301" t="s">
        <v>97</v>
      </c>
      <c r="I301" t="s">
        <v>98</v>
      </c>
      <c r="J301" t="s">
        <v>7065</v>
      </c>
      <c r="K301" t="s">
        <v>100</v>
      </c>
      <c r="L301">
        <v>92794</v>
      </c>
      <c r="M301">
        <v>92794</v>
      </c>
      <c r="N301">
        <v>92794</v>
      </c>
      <c r="O301">
        <v>116</v>
      </c>
      <c r="P301" t="s">
        <v>1297</v>
      </c>
      <c r="Q301">
        <v>0</v>
      </c>
      <c r="R301">
        <v>0</v>
      </c>
      <c r="T301">
        <v>0</v>
      </c>
      <c r="U301">
        <v>0</v>
      </c>
      <c r="W301" t="s">
        <v>102</v>
      </c>
      <c r="X301" t="s">
        <v>275</v>
      </c>
      <c r="Z301" t="s">
        <v>2605</v>
      </c>
      <c r="AA301" t="s">
        <v>109</v>
      </c>
      <c r="AB301" t="s">
        <v>102</v>
      </c>
      <c r="AC301" t="s">
        <v>109</v>
      </c>
      <c r="AD301" t="s">
        <v>102</v>
      </c>
      <c r="AE301" t="s">
        <v>109</v>
      </c>
      <c r="AF301" t="s">
        <v>102</v>
      </c>
      <c r="AG301" t="s">
        <v>109</v>
      </c>
      <c r="AH301" t="s">
        <v>102</v>
      </c>
      <c r="AI301" t="s">
        <v>102</v>
      </c>
      <c r="AJ301" t="s">
        <v>1574</v>
      </c>
      <c r="AK301" t="s">
        <v>1574</v>
      </c>
      <c r="AL301" t="s">
        <v>7066</v>
      </c>
      <c r="AM301" t="s">
        <v>7067</v>
      </c>
      <c r="AN301" t="s">
        <v>7068</v>
      </c>
      <c r="AO301" t="s">
        <v>1304</v>
      </c>
      <c r="AP301" t="s">
        <v>1304</v>
      </c>
      <c r="AU301" t="s">
        <v>318</v>
      </c>
      <c r="AV301" t="s">
        <v>118</v>
      </c>
      <c r="AW301" t="s">
        <v>102</v>
      </c>
      <c r="AX301" t="s">
        <v>119</v>
      </c>
      <c r="BB301" t="s">
        <v>120</v>
      </c>
      <c r="BC301" t="s">
        <v>1759</v>
      </c>
      <c r="BD301" t="s">
        <v>410</v>
      </c>
      <c r="BE301" t="s">
        <v>212</v>
      </c>
      <c r="BF301" t="s">
        <v>410</v>
      </c>
      <c r="BG301" t="s">
        <v>124</v>
      </c>
      <c r="BH301" t="s">
        <v>232</v>
      </c>
      <c r="BI301" t="s">
        <v>126</v>
      </c>
      <c r="BJ301" t="s">
        <v>127</v>
      </c>
      <c r="BK301" t="s">
        <v>7069</v>
      </c>
      <c r="BL301" t="s">
        <v>7070</v>
      </c>
      <c r="BM301" t="s">
        <v>7071</v>
      </c>
      <c r="BN301" t="s">
        <v>3640</v>
      </c>
      <c r="BO301" t="s">
        <v>1582</v>
      </c>
      <c r="BP301" t="s">
        <v>258</v>
      </c>
      <c r="BQ301" t="s">
        <v>1583</v>
      </c>
      <c r="BR301" t="s">
        <v>1584</v>
      </c>
      <c r="BS301" t="s">
        <v>1585</v>
      </c>
      <c r="BT301" t="s">
        <v>418</v>
      </c>
      <c r="BU301" t="s">
        <v>7072</v>
      </c>
      <c r="BV301" t="s">
        <v>7073</v>
      </c>
      <c r="BW301" t="s">
        <v>138</v>
      </c>
      <c r="BX301" t="s">
        <v>3651</v>
      </c>
      <c r="BY301" t="s">
        <v>7074</v>
      </c>
      <c r="BZ301" t="s">
        <v>7075</v>
      </c>
      <c r="CA301" t="s">
        <v>7073</v>
      </c>
      <c r="CB301" t="s">
        <v>3651</v>
      </c>
      <c r="CC301" t="s">
        <v>7074</v>
      </c>
      <c r="CG301" t="s">
        <v>573</v>
      </c>
      <c r="CH301" t="s">
        <v>7076</v>
      </c>
      <c r="CJ301" t="s">
        <v>7077</v>
      </c>
      <c r="CK301" t="s">
        <v>7076</v>
      </c>
      <c r="CL301" t="s">
        <v>1759</v>
      </c>
      <c r="CM301" t="s">
        <v>410</v>
      </c>
      <c r="CN301" t="s">
        <v>7077</v>
      </c>
      <c r="CP301" t="s">
        <v>7076</v>
      </c>
      <c r="CQ301" t="s">
        <v>7076</v>
      </c>
    </row>
    <row r="302" spans="1:95">
      <c r="A302" t="s">
        <v>337</v>
      </c>
      <c r="B302">
        <v>36890</v>
      </c>
      <c r="C302" t="s">
        <v>7078</v>
      </c>
      <c r="E302" s="4" t="s">
        <v>17377</v>
      </c>
      <c r="F302" t="s">
        <v>95</v>
      </c>
      <c r="G302" t="s">
        <v>7079</v>
      </c>
      <c r="H302" t="s">
        <v>97</v>
      </c>
      <c r="I302" t="s">
        <v>98</v>
      </c>
      <c r="J302" t="s">
        <v>7080</v>
      </c>
      <c r="K302" t="s">
        <v>100</v>
      </c>
      <c r="L302">
        <v>280032</v>
      </c>
      <c r="M302">
        <v>280032</v>
      </c>
      <c r="N302">
        <v>280032</v>
      </c>
      <c r="O302">
        <v>400</v>
      </c>
      <c r="P302" t="s">
        <v>799</v>
      </c>
      <c r="Q302">
        <v>0</v>
      </c>
      <c r="R302">
        <v>0</v>
      </c>
      <c r="T302">
        <v>0</v>
      </c>
      <c r="U302">
        <v>0</v>
      </c>
      <c r="W302" t="s">
        <v>102</v>
      </c>
      <c r="X302" t="s">
        <v>103</v>
      </c>
      <c r="Y302" t="s">
        <v>104</v>
      </c>
      <c r="AA302" t="s">
        <v>7081</v>
      </c>
      <c r="AB302" t="s">
        <v>7082</v>
      </c>
      <c r="AC302" t="s">
        <v>3231</v>
      </c>
      <c r="AD302" t="s">
        <v>7083</v>
      </c>
      <c r="AE302" t="s">
        <v>109</v>
      </c>
      <c r="AF302" t="s">
        <v>102</v>
      </c>
      <c r="AG302" t="s">
        <v>109</v>
      </c>
      <c r="AH302" t="s">
        <v>102</v>
      </c>
      <c r="AI302" t="s">
        <v>102</v>
      </c>
      <c r="AJ302" t="s">
        <v>7081</v>
      </c>
      <c r="AK302" t="s">
        <v>5499</v>
      </c>
      <c r="AL302" t="s">
        <v>7084</v>
      </c>
      <c r="AM302" t="s">
        <v>7085</v>
      </c>
      <c r="AN302" t="s">
        <v>7086</v>
      </c>
      <c r="AO302" t="s">
        <v>5193</v>
      </c>
      <c r="AP302" t="s">
        <v>5193</v>
      </c>
      <c r="AU302" t="s">
        <v>318</v>
      </c>
      <c r="AV302" t="s">
        <v>250</v>
      </c>
      <c r="AW302" t="s">
        <v>102</v>
      </c>
      <c r="AX302" t="s">
        <v>119</v>
      </c>
      <c r="BB302" t="s">
        <v>171</v>
      </c>
      <c r="BC302" t="s">
        <v>7087</v>
      </c>
      <c r="BD302" t="s">
        <v>410</v>
      </c>
      <c r="BE302" t="s">
        <v>212</v>
      </c>
      <c r="BF302" t="s">
        <v>410</v>
      </c>
      <c r="BG302" t="s">
        <v>124</v>
      </c>
      <c r="BH302" t="s">
        <v>400</v>
      </c>
      <c r="BI302" t="s">
        <v>158</v>
      </c>
      <c r="BJ302" t="s">
        <v>127</v>
      </c>
      <c r="BK302" t="s">
        <v>7088</v>
      </c>
      <c r="BL302" t="s">
        <v>7089</v>
      </c>
      <c r="BM302" t="s">
        <v>7090</v>
      </c>
      <c r="BN302" t="s">
        <v>7079</v>
      </c>
      <c r="BO302" t="s">
        <v>896</v>
      </c>
      <c r="BP302" t="s">
        <v>258</v>
      </c>
      <c r="BQ302" t="s">
        <v>897</v>
      </c>
      <c r="BR302" t="s">
        <v>898</v>
      </c>
      <c r="BS302" t="s">
        <v>899</v>
      </c>
      <c r="BT302" t="s">
        <v>900</v>
      </c>
      <c r="BU302" t="s">
        <v>7091</v>
      </c>
      <c r="BV302" t="s">
        <v>7092</v>
      </c>
      <c r="BW302" t="s">
        <v>138</v>
      </c>
      <c r="BX302" t="s">
        <v>7093</v>
      </c>
      <c r="BY302" t="s">
        <v>7094</v>
      </c>
      <c r="BZ302" t="s">
        <v>7093</v>
      </c>
      <c r="CA302" t="s">
        <v>7092</v>
      </c>
      <c r="CB302" t="s">
        <v>7093</v>
      </c>
      <c r="CC302" t="s">
        <v>7094</v>
      </c>
      <c r="CD302" t="s">
        <v>569</v>
      </c>
      <c r="CE302" t="s">
        <v>7093</v>
      </c>
      <c r="CF302" t="s">
        <v>7095</v>
      </c>
      <c r="CG302" t="s">
        <v>3968</v>
      </c>
      <c r="CH302" t="s">
        <v>7096</v>
      </c>
      <c r="CJ302" t="s">
        <v>909</v>
      </c>
      <c r="CK302" t="s">
        <v>7096</v>
      </c>
      <c r="CL302" t="s">
        <v>7087</v>
      </c>
      <c r="CM302" t="s">
        <v>410</v>
      </c>
      <c r="CN302" t="s">
        <v>909</v>
      </c>
      <c r="CP302" t="s">
        <v>7096</v>
      </c>
      <c r="CQ302" t="s">
        <v>7096</v>
      </c>
    </row>
    <row r="303" spans="1:95">
      <c r="A303" t="s">
        <v>149</v>
      </c>
      <c r="B303">
        <v>3693693</v>
      </c>
      <c r="C303" t="s">
        <v>7097</v>
      </c>
      <c r="D303" t="str">
        <f>VLOOKUP(B303,'2025'!B:C,2,0)</f>
        <v>Aruna</v>
      </c>
      <c r="F303" t="s">
        <v>95</v>
      </c>
      <c r="G303" t="s">
        <v>847</v>
      </c>
      <c r="H303" t="s">
        <v>193</v>
      </c>
      <c r="I303" t="s">
        <v>98</v>
      </c>
      <c r="J303" t="s">
        <v>7098</v>
      </c>
      <c r="K303" t="s">
        <v>100</v>
      </c>
      <c r="L303">
        <v>73125</v>
      </c>
      <c r="M303">
        <v>83209</v>
      </c>
      <c r="N303">
        <v>17102</v>
      </c>
      <c r="O303">
        <v>29</v>
      </c>
      <c r="P303" t="s">
        <v>7099</v>
      </c>
      <c r="Q303">
        <v>0</v>
      </c>
      <c r="R303">
        <v>0</v>
      </c>
      <c r="T303">
        <v>56023</v>
      </c>
      <c r="U303">
        <v>29</v>
      </c>
      <c r="V303" t="s">
        <v>7100</v>
      </c>
      <c r="W303" t="s">
        <v>102</v>
      </c>
      <c r="X303" t="s">
        <v>275</v>
      </c>
      <c r="Z303" t="s">
        <v>3234</v>
      </c>
      <c r="AA303" t="s">
        <v>109</v>
      </c>
      <c r="AB303" t="s">
        <v>102</v>
      </c>
      <c r="AC303" t="s">
        <v>109</v>
      </c>
      <c r="AD303" t="s">
        <v>102</v>
      </c>
      <c r="AE303" t="s">
        <v>109</v>
      </c>
      <c r="AF303" t="s">
        <v>102</v>
      </c>
      <c r="AG303" t="s">
        <v>109</v>
      </c>
      <c r="AH303" t="s">
        <v>102</v>
      </c>
      <c r="AI303" t="s">
        <v>102</v>
      </c>
      <c r="AJ303" t="s">
        <v>1354</v>
      </c>
      <c r="AK303" t="s">
        <v>1354</v>
      </c>
      <c r="AL303" t="s">
        <v>7101</v>
      </c>
      <c r="AM303" t="s">
        <v>7102</v>
      </c>
      <c r="AN303" t="s">
        <v>7103</v>
      </c>
      <c r="AO303" t="s">
        <v>7104</v>
      </c>
      <c r="AP303" t="s">
        <v>7104</v>
      </c>
      <c r="AU303" t="s">
        <v>247</v>
      </c>
      <c r="AV303" t="s">
        <v>118</v>
      </c>
      <c r="AW303" t="s">
        <v>102</v>
      </c>
      <c r="AX303" t="s">
        <v>119</v>
      </c>
      <c r="BA303" t="s">
        <v>250</v>
      </c>
      <c r="BB303" t="s">
        <v>120</v>
      </c>
      <c r="BC303" t="s">
        <v>920</v>
      </c>
      <c r="BD303" t="s">
        <v>211</v>
      </c>
      <c r="BE303" t="s">
        <v>212</v>
      </c>
      <c r="BF303" t="s">
        <v>213</v>
      </c>
      <c r="BG303" t="s">
        <v>124</v>
      </c>
      <c r="BH303" t="s">
        <v>214</v>
      </c>
      <c r="BI303" t="s">
        <v>625</v>
      </c>
      <c r="BJ303" t="s">
        <v>127</v>
      </c>
      <c r="BK303" t="s">
        <v>7105</v>
      </c>
      <c r="BL303" t="s">
        <v>7106</v>
      </c>
      <c r="BM303" t="s">
        <v>7107</v>
      </c>
      <c r="BN303" t="s">
        <v>847</v>
      </c>
      <c r="BO303" t="s">
        <v>7108</v>
      </c>
      <c r="BP303" t="s">
        <v>258</v>
      </c>
      <c r="BQ303" t="s">
        <v>7109</v>
      </c>
      <c r="BR303" t="s">
        <v>2151</v>
      </c>
      <c r="BS303" t="s">
        <v>2151</v>
      </c>
      <c r="BU303" t="s">
        <v>7110</v>
      </c>
      <c r="BV303" t="s">
        <v>7111</v>
      </c>
      <c r="BW303" t="s">
        <v>598</v>
      </c>
      <c r="BX303" t="s">
        <v>7112</v>
      </c>
      <c r="BY303" t="s">
        <v>7113</v>
      </c>
      <c r="BZ303" t="s">
        <v>7114</v>
      </c>
      <c r="CD303" t="s">
        <v>7115</v>
      </c>
      <c r="CE303" t="s">
        <v>7116</v>
      </c>
      <c r="CF303" t="s">
        <v>7117</v>
      </c>
      <c r="CG303" t="s">
        <v>102</v>
      </c>
      <c r="CH303" t="s">
        <v>7118</v>
      </c>
      <c r="CJ303" t="s">
        <v>5392</v>
      </c>
      <c r="CK303" t="s">
        <v>7118</v>
      </c>
      <c r="CL303" t="s">
        <v>920</v>
      </c>
      <c r="CM303" t="s">
        <v>211</v>
      </c>
      <c r="CN303" t="s">
        <v>5392</v>
      </c>
      <c r="CP303" t="s">
        <v>7118</v>
      </c>
      <c r="CQ303" t="s">
        <v>7118</v>
      </c>
    </row>
    <row r="304" spans="1:95">
      <c r="A304" t="s">
        <v>149</v>
      </c>
      <c r="B304">
        <v>370</v>
      </c>
      <c r="C304" t="s">
        <v>7119</v>
      </c>
      <c r="D304" t="str">
        <f>VLOOKUP(B304,'2025'!B:C,2,0)</f>
        <v>Hetal Parmar</v>
      </c>
      <c r="F304" t="s">
        <v>95</v>
      </c>
      <c r="G304" t="s">
        <v>977</v>
      </c>
      <c r="H304" t="s">
        <v>97</v>
      </c>
      <c r="I304" t="s">
        <v>98</v>
      </c>
      <c r="J304" t="s">
        <v>7120</v>
      </c>
      <c r="K304" t="s">
        <v>100</v>
      </c>
      <c r="L304">
        <v>441507</v>
      </c>
      <c r="M304">
        <v>441507</v>
      </c>
      <c r="N304">
        <v>441507</v>
      </c>
      <c r="O304">
        <v>720</v>
      </c>
      <c r="P304" t="s">
        <v>7121</v>
      </c>
      <c r="Q304">
        <v>0</v>
      </c>
      <c r="R304">
        <v>0</v>
      </c>
      <c r="T304">
        <v>0</v>
      </c>
      <c r="U304">
        <v>0</v>
      </c>
      <c r="W304" t="s">
        <v>102</v>
      </c>
      <c r="X304" t="s">
        <v>103</v>
      </c>
      <c r="Y304" t="s">
        <v>104</v>
      </c>
      <c r="AA304" t="s">
        <v>977</v>
      </c>
      <c r="AB304" t="s">
        <v>7122</v>
      </c>
      <c r="AC304" t="s">
        <v>854</v>
      </c>
      <c r="AD304" t="s">
        <v>7123</v>
      </c>
      <c r="AE304" t="s">
        <v>109</v>
      </c>
      <c r="AF304" t="s">
        <v>102</v>
      </c>
      <c r="AG304" t="s">
        <v>109</v>
      </c>
      <c r="AH304" t="s">
        <v>102</v>
      </c>
      <c r="AI304" t="s">
        <v>7124</v>
      </c>
      <c r="AJ304" t="s">
        <v>7125</v>
      </c>
      <c r="AK304" t="s">
        <v>1300</v>
      </c>
      <c r="AL304" t="s">
        <v>7126</v>
      </c>
      <c r="AM304" t="s">
        <v>7127</v>
      </c>
      <c r="AN304" t="s">
        <v>7128</v>
      </c>
      <c r="AO304" t="s">
        <v>7129</v>
      </c>
      <c r="AP304" t="s">
        <v>7129</v>
      </c>
      <c r="AU304" t="s">
        <v>117</v>
      </c>
      <c r="AV304" t="s">
        <v>118</v>
      </c>
      <c r="AW304" t="s">
        <v>102</v>
      </c>
      <c r="AX304" t="s">
        <v>119</v>
      </c>
      <c r="BB304" t="s">
        <v>171</v>
      </c>
      <c r="BC304" t="s">
        <v>623</v>
      </c>
      <c r="BD304" t="s">
        <v>621</v>
      </c>
      <c r="BE304" t="s">
        <v>622</v>
      </c>
      <c r="BF304" t="s">
        <v>623</v>
      </c>
      <c r="BG304" t="s">
        <v>124</v>
      </c>
      <c r="BH304" t="s">
        <v>214</v>
      </c>
      <c r="BI304" t="s">
        <v>625</v>
      </c>
      <c r="BJ304" t="s">
        <v>127</v>
      </c>
      <c r="BK304" t="s">
        <v>7130</v>
      </c>
      <c r="BL304" t="s">
        <v>7131</v>
      </c>
      <c r="BM304" t="s">
        <v>7132</v>
      </c>
      <c r="BN304" t="s">
        <v>977</v>
      </c>
      <c r="BO304" t="s">
        <v>629</v>
      </c>
      <c r="BP304" t="s">
        <v>132</v>
      </c>
      <c r="BQ304" t="s">
        <v>630</v>
      </c>
      <c r="BR304" t="s">
        <v>631</v>
      </c>
      <c r="BS304" t="s">
        <v>1279</v>
      </c>
      <c r="BU304" t="s">
        <v>7133</v>
      </c>
      <c r="BV304" t="s">
        <v>7134</v>
      </c>
      <c r="BW304" t="s">
        <v>138</v>
      </c>
      <c r="BX304" t="s">
        <v>7135</v>
      </c>
      <c r="BY304" t="s">
        <v>7136</v>
      </c>
      <c r="BZ304" t="s">
        <v>7137</v>
      </c>
      <c r="CG304" t="s">
        <v>102</v>
      </c>
      <c r="CH304" t="s">
        <v>7138</v>
      </c>
      <c r="CJ304" t="s">
        <v>7139</v>
      </c>
      <c r="CK304" t="s">
        <v>7138</v>
      </c>
      <c r="CL304" t="s">
        <v>623</v>
      </c>
      <c r="CM304" t="s">
        <v>621</v>
      </c>
      <c r="CN304" t="s">
        <v>7139</v>
      </c>
      <c r="CO304" t="s">
        <v>7140</v>
      </c>
      <c r="CP304" t="s">
        <v>7138</v>
      </c>
      <c r="CQ304" t="s">
        <v>7138</v>
      </c>
    </row>
    <row r="305" spans="1:95">
      <c r="A305" t="s">
        <v>149</v>
      </c>
      <c r="B305">
        <v>3700372</v>
      </c>
      <c r="C305" t="s">
        <v>7141</v>
      </c>
      <c r="E305" s="4" t="s">
        <v>17377</v>
      </c>
      <c r="F305" t="s">
        <v>95</v>
      </c>
      <c r="G305" t="s">
        <v>441</v>
      </c>
      <c r="H305" t="s">
        <v>97</v>
      </c>
      <c r="I305" t="s">
        <v>98</v>
      </c>
      <c r="J305" t="s">
        <v>7142</v>
      </c>
      <c r="K305" t="s">
        <v>100</v>
      </c>
      <c r="L305">
        <v>1498807</v>
      </c>
      <c r="M305">
        <v>1498807</v>
      </c>
      <c r="N305">
        <v>1498807</v>
      </c>
      <c r="O305">
        <v>2141</v>
      </c>
      <c r="P305" t="s">
        <v>799</v>
      </c>
      <c r="Q305">
        <v>0</v>
      </c>
      <c r="R305">
        <v>0</v>
      </c>
      <c r="T305">
        <v>0</v>
      </c>
      <c r="U305">
        <v>0</v>
      </c>
      <c r="W305" t="s">
        <v>102</v>
      </c>
      <c r="X305" t="s">
        <v>103</v>
      </c>
      <c r="Y305" t="s">
        <v>155</v>
      </c>
      <c r="AA305" t="s">
        <v>1692</v>
      </c>
      <c r="AB305" t="s">
        <v>7143</v>
      </c>
      <c r="AC305" t="s">
        <v>853</v>
      </c>
      <c r="AD305" t="s">
        <v>7143</v>
      </c>
      <c r="AE305" t="s">
        <v>854</v>
      </c>
      <c r="AF305" t="s">
        <v>7143</v>
      </c>
      <c r="AG305" t="s">
        <v>442</v>
      </c>
      <c r="AH305" t="s">
        <v>7143</v>
      </c>
      <c r="AI305" t="s">
        <v>7144</v>
      </c>
      <c r="AJ305" t="s">
        <v>1799</v>
      </c>
      <c r="AK305" t="s">
        <v>7145</v>
      </c>
      <c r="AL305" t="s">
        <v>7146</v>
      </c>
      <c r="AM305" t="s">
        <v>7147</v>
      </c>
      <c r="AN305" t="s">
        <v>7148</v>
      </c>
      <c r="AO305" t="s">
        <v>3305</v>
      </c>
      <c r="AP305" t="s">
        <v>3305</v>
      </c>
      <c r="AU305" t="s">
        <v>117</v>
      </c>
      <c r="AV305" t="s">
        <v>118</v>
      </c>
      <c r="AW305" t="s">
        <v>102</v>
      </c>
      <c r="AX305" t="s">
        <v>119</v>
      </c>
      <c r="BB305" t="s">
        <v>120</v>
      </c>
      <c r="BC305" t="s">
        <v>409</v>
      </c>
      <c r="BD305" t="s">
        <v>410</v>
      </c>
      <c r="BE305" t="s">
        <v>212</v>
      </c>
      <c r="BF305" t="s">
        <v>410</v>
      </c>
      <c r="BG305" t="s">
        <v>124</v>
      </c>
      <c r="BH305" t="s">
        <v>441</v>
      </c>
      <c r="BI305" t="s">
        <v>411</v>
      </c>
      <c r="BJ305" t="s">
        <v>127</v>
      </c>
      <c r="BK305" t="s">
        <v>7149</v>
      </c>
      <c r="BL305" t="s">
        <v>7150</v>
      </c>
      <c r="BM305" t="s">
        <v>7151</v>
      </c>
      <c r="BN305" t="s">
        <v>441</v>
      </c>
      <c r="BO305" t="s">
        <v>415</v>
      </c>
      <c r="BP305" t="s">
        <v>132</v>
      </c>
      <c r="BQ305" t="s">
        <v>416</v>
      </c>
      <c r="BR305" t="s">
        <v>417</v>
      </c>
      <c r="BS305" t="s">
        <v>293</v>
      </c>
      <c r="BT305" t="s">
        <v>293</v>
      </c>
      <c r="BU305" t="s">
        <v>7152</v>
      </c>
      <c r="BV305" t="s">
        <v>7153</v>
      </c>
      <c r="BW305" t="s">
        <v>598</v>
      </c>
      <c r="BX305" t="s">
        <v>7154</v>
      </c>
      <c r="BY305" t="s">
        <v>7155</v>
      </c>
      <c r="BZ305" t="s">
        <v>7156</v>
      </c>
      <c r="CA305" t="s">
        <v>7157</v>
      </c>
      <c r="CB305" t="s">
        <v>7158</v>
      </c>
      <c r="CC305" t="s">
        <v>7159</v>
      </c>
      <c r="CD305" t="s">
        <v>7160</v>
      </c>
      <c r="CE305" t="s">
        <v>7161</v>
      </c>
      <c r="CF305" t="s">
        <v>7162</v>
      </c>
      <c r="CG305" t="s">
        <v>102</v>
      </c>
      <c r="CH305" t="s">
        <v>7163</v>
      </c>
      <c r="CJ305" t="s">
        <v>7164</v>
      </c>
      <c r="CK305" t="s">
        <v>7163</v>
      </c>
      <c r="CL305" t="s">
        <v>409</v>
      </c>
      <c r="CM305" t="s">
        <v>410</v>
      </c>
      <c r="CN305" t="s">
        <v>7164</v>
      </c>
      <c r="CO305" t="s">
        <v>7165</v>
      </c>
      <c r="CP305" t="s">
        <v>7163</v>
      </c>
      <c r="CQ305" t="s">
        <v>7163</v>
      </c>
    </row>
    <row r="306" spans="1:95">
      <c r="A306" t="s">
        <v>149</v>
      </c>
      <c r="B306">
        <v>370457</v>
      </c>
      <c r="C306" t="s">
        <v>7166</v>
      </c>
      <c r="D306" t="str">
        <f>VLOOKUP(B306,'2025'!B:C,2,0)</f>
        <v>Aruna</v>
      </c>
      <c r="F306" t="s">
        <v>95</v>
      </c>
      <c r="G306" t="s">
        <v>1521</v>
      </c>
      <c r="H306" t="s">
        <v>2163</v>
      </c>
      <c r="I306" t="s">
        <v>98</v>
      </c>
      <c r="J306" t="s">
        <v>7167</v>
      </c>
      <c r="K306" t="s">
        <v>100</v>
      </c>
      <c r="L306">
        <v>1190880</v>
      </c>
      <c r="M306">
        <v>1281641</v>
      </c>
      <c r="N306">
        <v>547450</v>
      </c>
      <c r="O306">
        <v>816</v>
      </c>
      <c r="P306" t="s">
        <v>7168</v>
      </c>
      <c r="Q306">
        <v>139200</v>
      </c>
      <c r="R306">
        <v>116</v>
      </c>
      <c r="S306" t="s">
        <v>880</v>
      </c>
      <c r="T306">
        <v>504230</v>
      </c>
      <c r="U306">
        <v>238</v>
      </c>
      <c r="V306" t="s">
        <v>2166</v>
      </c>
      <c r="W306" t="s">
        <v>102</v>
      </c>
      <c r="X306" t="s">
        <v>679</v>
      </c>
      <c r="Y306" t="s">
        <v>155</v>
      </c>
      <c r="Z306" t="s">
        <v>883</v>
      </c>
      <c r="AA306" t="s">
        <v>2167</v>
      </c>
      <c r="AB306" t="s">
        <v>7169</v>
      </c>
      <c r="AC306" t="s">
        <v>2169</v>
      </c>
      <c r="AD306" t="s">
        <v>7169</v>
      </c>
      <c r="AE306" t="s">
        <v>2170</v>
      </c>
      <c r="AF306" t="s">
        <v>7169</v>
      </c>
      <c r="AG306" t="s">
        <v>2171</v>
      </c>
      <c r="AH306" t="s">
        <v>7169</v>
      </c>
      <c r="AI306" t="s">
        <v>7170</v>
      </c>
      <c r="AJ306" t="s">
        <v>7171</v>
      </c>
      <c r="AK306" t="s">
        <v>7172</v>
      </c>
      <c r="AL306" t="s">
        <v>7173</v>
      </c>
      <c r="AM306" t="s">
        <v>7174</v>
      </c>
      <c r="AN306" t="s">
        <v>7175</v>
      </c>
      <c r="AO306" t="s">
        <v>7176</v>
      </c>
      <c r="AP306" t="s">
        <v>7177</v>
      </c>
      <c r="AR306" t="s">
        <v>169</v>
      </c>
      <c r="AU306" t="s">
        <v>247</v>
      </c>
      <c r="AV306" t="s">
        <v>250</v>
      </c>
      <c r="AW306" t="s">
        <v>655</v>
      </c>
      <c r="AX306" t="s">
        <v>119</v>
      </c>
      <c r="AZ306" t="s">
        <v>250</v>
      </c>
      <c r="BA306" t="s">
        <v>250</v>
      </c>
      <c r="BB306" t="s">
        <v>171</v>
      </c>
      <c r="BC306" t="s">
        <v>920</v>
      </c>
      <c r="BD306" t="s">
        <v>211</v>
      </c>
      <c r="BE306" t="s">
        <v>212</v>
      </c>
      <c r="BF306" t="s">
        <v>213</v>
      </c>
      <c r="BG306" t="s">
        <v>124</v>
      </c>
      <c r="BH306" t="s">
        <v>214</v>
      </c>
      <c r="BI306" t="s">
        <v>625</v>
      </c>
      <c r="BJ306" t="s">
        <v>127</v>
      </c>
      <c r="BK306" t="s">
        <v>7178</v>
      </c>
      <c r="BL306" t="s">
        <v>7179</v>
      </c>
      <c r="BM306" t="s">
        <v>7180</v>
      </c>
      <c r="BN306" t="s">
        <v>1521</v>
      </c>
      <c r="BO306" t="s">
        <v>219</v>
      </c>
      <c r="BP306" t="s">
        <v>180</v>
      </c>
      <c r="BQ306" t="s">
        <v>220</v>
      </c>
      <c r="BR306" t="s">
        <v>221</v>
      </c>
      <c r="BS306" t="s">
        <v>222</v>
      </c>
      <c r="BU306" t="s">
        <v>7181</v>
      </c>
      <c r="BV306" t="s">
        <v>7182</v>
      </c>
      <c r="BW306" t="s">
        <v>138</v>
      </c>
      <c r="BX306" t="s">
        <v>7183</v>
      </c>
      <c r="BY306" t="s">
        <v>7184</v>
      </c>
      <c r="BZ306" t="s">
        <v>7185</v>
      </c>
      <c r="CA306" t="s">
        <v>7182</v>
      </c>
      <c r="CB306" t="s">
        <v>7183</v>
      </c>
      <c r="CC306" t="s">
        <v>7184</v>
      </c>
      <c r="CG306" t="s">
        <v>102</v>
      </c>
      <c r="CH306" t="s">
        <v>7186</v>
      </c>
      <c r="CJ306" t="s">
        <v>3982</v>
      </c>
      <c r="CK306" t="s">
        <v>7186</v>
      </c>
      <c r="CL306" t="s">
        <v>920</v>
      </c>
      <c r="CM306" t="s">
        <v>211</v>
      </c>
      <c r="CN306" t="s">
        <v>3982</v>
      </c>
      <c r="CO306" t="s">
        <v>7187</v>
      </c>
      <c r="CP306" t="s">
        <v>7186</v>
      </c>
      <c r="CQ306" t="s">
        <v>7186</v>
      </c>
    </row>
    <row r="307" spans="1:95">
      <c r="A307" t="s">
        <v>149</v>
      </c>
      <c r="B307">
        <v>3705528</v>
      </c>
      <c r="C307" t="s">
        <v>7188</v>
      </c>
      <c r="F307" t="s">
        <v>95</v>
      </c>
      <c r="G307" t="s">
        <v>7189</v>
      </c>
      <c r="H307" t="s">
        <v>675</v>
      </c>
      <c r="I307" t="s">
        <v>98</v>
      </c>
      <c r="J307" t="s">
        <v>7190</v>
      </c>
      <c r="K307" t="s">
        <v>100</v>
      </c>
      <c r="L307">
        <v>930634</v>
      </c>
      <c r="M307">
        <v>930634</v>
      </c>
      <c r="N307">
        <v>352582</v>
      </c>
      <c r="O307">
        <v>516</v>
      </c>
      <c r="P307" t="s">
        <v>7191</v>
      </c>
      <c r="Q307">
        <v>578052</v>
      </c>
      <c r="R307">
        <v>289</v>
      </c>
      <c r="S307" t="s">
        <v>7192</v>
      </c>
      <c r="T307">
        <v>0</v>
      </c>
      <c r="U307">
        <v>0</v>
      </c>
      <c r="W307" t="s">
        <v>102</v>
      </c>
      <c r="X307" t="s">
        <v>103</v>
      </c>
      <c r="Y307" t="s">
        <v>801</v>
      </c>
      <c r="AA307" t="s">
        <v>232</v>
      </c>
      <c r="AB307" t="s">
        <v>7193</v>
      </c>
      <c r="AC307" t="s">
        <v>7194</v>
      </c>
      <c r="AD307" t="s">
        <v>7195</v>
      </c>
      <c r="AE307" t="s">
        <v>2170</v>
      </c>
      <c r="AF307" t="s">
        <v>7196</v>
      </c>
      <c r="AG307" t="s">
        <v>2171</v>
      </c>
      <c r="AH307" t="s">
        <v>7196</v>
      </c>
      <c r="AI307" t="s">
        <v>7197</v>
      </c>
      <c r="AJ307" t="s">
        <v>1818</v>
      </c>
      <c r="AK307" t="s">
        <v>7198</v>
      </c>
      <c r="AL307" t="s">
        <v>7199</v>
      </c>
      <c r="AM307" t="s">
        <v>7200</v>
      </c>
      <c r="AN307" t="s">
        <v>7201</v>
      </c>
      <c r="AO307" t="s">
        <v>7202</v>
      </c>
      <c r="AP307" t="s">
        <v>7202</v>
      </c>
      <c r="AU307" t="s">
        <v>207</v>
      </c>
      <c r="AV307" t="s">
        <v>118</v>
      </c>
      <c r="AW307" t="s">
        <v>655</v>
      </c>
      <c r="AX307" t="s">
        <v>119</v>
      </c>
      <c r="AY307" t="s">
        <v>170</v>
      </c>
      <c r="AZ307" t="s">
        <v>118</v>
      </c>
      <c r="BB307" t="s">
        <v>120</v>
      </c>
      <c r="BC307" t="s">
        <v>284</v>
      </c>
      <c r="BD307" t="s">
        <v>285</v>
      </c>
      <c r="BE307" t="s">
        <v>212</v>
      </c>
      <c r="BF307" t="s">
        <v>286</v>
      </c>
      <c r="BG307" t="s">
        <v>124</v>
      </c>
      <c r="BH307" t="s">
        <v>6471</v>
      </c>
      <c r="BI307" t="s">
        <v>126</v>
      </c>
      <c r="BJ307" t="s">
        <v>127</v>
      </c>
      <c r="BK307" t="s">
        <v>7203</v>
      </c>
      <c r="BL307" t="s">
        <v>7204</v>
      </c>
      <c r="BM307" t="s">
        <v>7205</v>
      </c>
      <c r="BN307" t="s">
        <v>7189</v>
      </c>
      <c r="BO307" t="s">
        <v>290</v>
      </c>
      <c r="BP307" t="s">
        <v>132</v>
      </c>
      <c r="BQ307" t="s">
        <v>291</v>
      </c>
      <c r="BR307" t="s">
        <v>292</v>
      </c>
      <c r="BS307" t="s">
        <v>293</v>
      </c>
      <c r="BU307" t="s">
        <v>7206</v>
      </c>
      <c r="BV307" t="s">
        <v>7207</v>
      </c>
      <c r="BW307" t="s">
        <v>354</v>
      </c>
      <c r="BX307" t="s">
        <v>7208</v>
      </c>
      <c r="BY307" t="s">
        <v>7209</v>
      </c>
      <c r="BZ307" t="s">
        <v>7210</v>
      </c>
      <c r="CD307" t="s">
        <v>7211</v>
      </c>
      <c r="CE307" t="s">
        <v>7212</v>
      </c>
      <c r="CF307" t="s">
        <v>7213</v>
      </c>
      <c r="CG307" t="s">
        <v>102</v>
      </c>
      <c r="CH307" t="s">
        <v>7214</v>
      </c>
      <c r="CJ307" t="s">
        <v>6729</v>
      </c>
      <c r="CK307" t="s">
        <v>7214</v>
      </c>
      <c r="CL307" t="s">
        <v>284</v>
      </c>
      <c r="CM307" t="s">
        <v>285</v>
      </c>
      <c r="CN307" t="s">
        <v>6729</v>
      </c>
      <c r="CO307" t="s">
        <v>7215</v>
      </c>
      <c r="CP307" t="s">
        <v>7216</v>
      </c>
      <c r="CQ307" t="s">
        <v>7216</v>
      </c>
    </row>
    <row r="308" spans="1:95">
      <c r="A308" t="s">
        <v>149</v>
      </c>
      <c r="B308">
        <v>3707644</v>
      </c>
      <c r="C308" t="s">
        <v>7217</v>
      </c>
      <c r="F308" t="s">
        <v>95</v>
      </c>
      <c r="G308" t="s">
        <v>685</v>
      </c>
      <c r="H308" t="s">
        <v>97</v>
      </c>
      <c r="I308" t="s">
        <v>98</v>
      </c>
      <c r="J308" t="s">
        <v>7218</v>
      </c>
      <c r="K308" t="s">
        <v>100</v>
      </c>
      <c r="L308">
        <v>25200</v>
      </c>
      <c r="M308">
        <v>25200</v>
      </c>
      <c r="N308">
        <v>25200</v>
      </c>
      <c r="O308">
        <v>40</v>
      </c>
      <c r="P308" t="s">
        <v>7219</v>
      </c>
      <c r="Q308">
        <v>0</v>
      </c>
      <c r="R308">
        <v>0</v>
      </c>
      <c r="T308">
        <v>0</v>
      </c>
      <c r="U308">
        <v>0</v>
      </c>
      <c r="W308" t="s">
        <v>102</v>
      </c>
      <c r="X308" t="s">
        <v>275</v>
      </c>
      <c r="Z308" t="s">
        <v>402</v>
      </c>
      <c r="AA308" t="s">
        <v>109</v>
      </c>
      <c r="AB308" t="s">
        <v>102</v>
      </c>
      <c r="AC308" t="s">
        <v>109</v>
      </c>
      <c r="AD308" t="s">
        <v>102</v>
      </c>
      <c r="AE308" t="s">
        <v>109</v>
      </c>
      <c r="AF308" t="s">
        <v>102</v>
      </c>
      <c r="AG308" t="s">
        <v>109</v>
      </c>
      <c r="AH308" t="s">
        <v>102</v>
      </c>
      <c r="AI308" t="s">
        <v>102</v>
      </c>
      <c r="AJ308" t="s">
        <v>685</v>
      </c>
      <c r="AK308" t="s">
        <v>685</v>
      </c>
      <c r="AL308" t="s">
        <v>7220</v>
      </c>
      <c r="AM308" t="s">
        <v>7220</v>
      </c>
      <c r="AN308" t="s">
        <v>102</v>
      </c>
      <c r="AO308" t="s">
        <v>7221</v>
      </c>
      <c r="AP308" t="s">
        <v>7221</v>
      </c>
      <c r="AU308" t="s">
        <v>117</v>
      </c>
      <c r="AV308" t="s">
        <v>118</v>
      </c>
      <c r="AW308" t="s">
        <v>102</v>
      </c>
      <c r="AX308" t="s">
        <v>119</v>
      </c>
      <c r="BB308" t="s">
        <v>120</v>
      </c>
      <c r="BC308" t="s">
        <v>920</v>
      </c>
      <c r="BD308" t="s">
        <v>211</v>
      </c>
      <c r="BE308" t="s">
        <v>212</v>
      </c>
      <c r="BF308" t="s">
        <v>213</v>
      </c>
      <c r="BG308" t="s">
        <v>124</v>
      </c>
      <c r="BH308" t="s">
        <v>721</v>
      </c>
      <c r="BI308" t="s">
        <v>625</v>
      </c>
      <c r="BJ308" t="s">
        <v>127</v>
      </c>
      <c r="BK308" t="s">
        <v>7222</v>
      </c>
      <c r="BL308" t="s">
        <v>7223</v>
      </c>
      <c r="BM308" t="s">
        <v>7224</v>
      </c>
      <c r="BN308" t="s">
        <v>685</v>
      </c>
      <c r="BO308" t="s">
        <v>219</v>
      </c>
      <c r="BP308" t="s">
        <v>180</v>
      </c>
      <c r="BQ308" t="s">
        <v>220</v>
      </c>
      <c r="BR308" t="s">
        <v>221</v>
      </c>
      <c r="BS308" t="s">
        <v>7225</v>
      </c>
      <c r="BU308" t="s">
        <v>7226</v>
      </c>
      <c r="BV308" t="s">
        <v>7227</v>
      </c>
      <c r="BX308" t="s">
        <v>7228</v>
      </c>
      <c r="BY308" t="s">
        <v>7229</v>
      </c>
      <c r="BZ308" t="s">
        <v>7230</v>
      </c>
      <c r="CA308" t="s">
        <v>7231</v>
      </c>
      <c r="CB308" t="s">
        <v>7228</v>
      </c>
      <c r="CC308" t="s">
        <v>7229</v>
      </c>
      <c r="CD308" t="s">
        <v>7231</v>
      </c>
      <c r="CE308" t="s">
        <v>7228</v>
      </c>
      <c r="CF308" t="s">
        <v>7229</v>
      </c>
      <c r="CG308" t="s">
        <v>102</v>
      </c>
      <c r="CH308" t="s">
        <v>7232</v>
      </c>
      <c r="CJ308" t="s">
        <v>7233</v>
      </c>
      <c r="CK308" t="s">
        <v>7232</v>
      </c>
      <c r="CL308" t="s">
        <v>920</v>
      </c>
      <c r="CM308" t="s">
        <v>211</v>
      </c>
      <c r="CN308" t="s">
        <v>7233</v>
      </c>
      <c r="CP308" t="s">
        <v>7232</v>
      </c>
      <c r="CQ308" t="s">
        <v>7232</v>
      </c>
    </row>
    <row r="309" spans="1:95">
      <c r="A309" t="s">
        <v>149</v>
      </c>
      <c r="B309">
        <v>3712077</v>
      </c>
      <c r="C309" t="s">
        <v>7234</v>
      </c>
      <c r="D309" t="str">
        <f>VLOOKUP(B309,'2025'!B:C,2,0)</f>
        <v>Saloni Shah</v>
      </c>
      <c r="F309" t="s">
        <v>95</v>
      </c>
      <c r="G309" t="s">
        <v>497</v>
      </c>
      <c r="H309" t="s">
        <v>97</v>
      </c>
      <c r="I309" t="s">
        <v>98</v>
      </c>
      <c r="J309" t="s">
        <v>7235</v>
      </c>
      <c r="K309" t="s">
        <v>100</v>
      </c>
      <c r="L309">
        <v>70800</v>
      </c>
      <c r="M309">
        <v>70800</v>
      </c>
      <c r="N309">
        <v>70800</v>
      </c>
      <c r="O309">
        <v>118</v>
      </c>
      <c r="P309" t="s">
        <v>310</v>
      </c>
      <c r="Q309">
        <v>0</v>
      </c>
      <c r="R309">
        <v>0</v>
      </c>
      <c r="T309">
        <v>0</v>
      </c>
      <c r="U309">
        <v>0</v>
      </c>
      <c r="W309" t="s">
        <v>102</v>
      </c>
      <c r="X309" t="s">
        <v>275</v>
      </c>
      <c r="Z309" t="s">
        <v>497</v>
      </c>
      <c r="AA309" t="s">
        <v>109</v>
      </c>
      <c r="AB309" t="s">
        <v>102</v>
      </c>
      <c r="AC309" t="s">
        <v>109</v>
      </c>
      <c r="AD309" t="s">
        <v>102</v>
      </c>
      <c r="AE309" t="s">
        <v>109</v>
      </c>
      <c r="AF309" t="s">
        <v>102</v>
      </c>
      <c r="AG309" t="s">
        <v>109</v>
      </c>
      <c r="AH309" t="s">
        <v>102</v>
      </c>
      <c r="AI309" t="s">
        <v>102</v>
      </c>
      <c r="AJ309" t="s">
        <v>7236</v>
      </c>
      <c r="AK309" t="s">
        <v>7236</v>
      </c>
      <c r="AL309" t="s">
        <v>7237</v>
      </c>
      <c r="AM309" t="s">
        <v>7238</v>
      </c>
      <c r="AN309" t="s">
        <v>7239</v>
      </c>
      <c r="AO309" t="s">
        <v>317</v>
      </c>
      <c r="AP309" t="s">
        <v>317</v>
      </c>
      <c r="AU309" t="s">
        <v>117</v>
      </c>
      <c r="AV309" t="s">
        <v>118</v>
      </c>
      <c r="AW309" t="s">
        <v>102</v>
      </c>
      <c r="AX309" t="s">
        <v>119</v>
      </c>
      <c r="BB309" t="s">
        <v>2565</v>
      </c>
      <c r="BC309" t="s">
        <v>623</v>
      </c>
      <c r="BD309" t="s">
        <v>621</v>
      </c>
      <c r="BE309" t="s">
        <v>622</v>
      </c>
      <c r="BF309" t="s">
        <v>623</v>
      </c>
      <c r="BG309" t="s">
        <v>124</v>
      </c>
      <c r="BH309" t="s">
        <v>892</v>
      </c>
      <c r="BI309" t="s">
        <v>625</v>
      </c>
      <c r="BJ309" t="s">
        <v>127</v>
      </c>
      <c r="BK309" t="s">
        <v>7240</v>
      </c>
      <c r="BL309" t="s">
        <v>7241</v>
      </c>
      <c r="BM309" t="s">
        <v>7242</v>
      </c>
      <c r="BN309" t="s">
        <v>497</v>
      </c>
      <c r="BO309" t="s">
        <v>629</v>
      </c>
      <c r="BP309" t="s">
        <v>132</v>
      </c>
      <c r="BQ309" t="s">
        <v>630</v>
      </c>
      <c r="BR309" t="s">
        <v>631</v>
      </c>
      <c r="BS309" t="s">
        <v>507</v>
      </c>
      <c r="BU309" t="s">
        <v>7243</v>
      </c>
      <c r="BV309" t="s">
        <v>7244</v>
      </c>
      <c r="BX309" t="s">
        <v>7245</v>
      </c>
      <c r="BY309" t="s">
        <v>7246</v>
      </c>
      <c r="BZ309" t="s">
        <v>7245</v>
      </c>
      <c r="CA309" t="s">
        <v>7247</v>
      </c>
      <c r="CB309" t="s">
        <v>7245</v>
      </c>
      <c r="CC309" t="s">
        <v>7246</v>
      </c>
      <c r="CD309" t="s">
        <v>7247</v>
      </c>
      <c r="CE309" t="s">
        <v>7245</v>
      </c>
      <c r="CF309" t="s">
        <v>7246</v>
      </c>
      <c r="CG309" t="s">
        <v>7248</v>
      </c>
      <c r="CH309" t="s">
        <v>7249</v>
      </c>
      <c r="CJ309" t="s">
        <v>7250</v>
      </c>
      <c r="CK309" t="s">
        <v>7249</v>
      </c>
      <c r="CL309" t="s">
        <v>623</v>
      </c>
      <c r="CM309" t="s">
        <v>621</v>
      </c>
      <c r="CN309" t="s">
        <v>7250</v>
      </c>
      <c r="CO309" t="s">
        <v>7251</v>
      </c>
      <c r="CP309" t="s">
        <v>7249</v>
      </c>
      <c r="CQ309" t="s">
        <v>7249</v>
      </c>
    </row>
    <row r="310" spans="1:95">
      <c r="A310" t="s">
        <v>149</v>
      </c>
      <c r="B310">
        <v>3745576</v>
      </c>
      <c r="C310" t="s">
        <v>7252</v>
      </c>
      <c r="D310" t="str">
        <f>VLOOKUP(B310,'2025'!B:C,2,0)</f>
        <v>Ishita Jethwa</v>
      </c>
      <c r="F310" t="s">
        <v>95</v>
      </c>
      <c r="G310" t="s">
        <v>7253</v>
      </c>
      <c r="H310" t="s">
        <v>193</v>
      </c>
      <c r="I310" t="s">
        <v>98</v>
      </c>
      <c r="J310" t="s">
        <v>7254</v>
      </c>
      <c r="K310" t="s">
        <v>100</v>
      </c>
      <c r="L310">
        <v>1350637</v>
      </c>
      <c r="M310">
        <v>1536879</v>
      </c>
      <c r="N310">
        <v>315960</v>
      </c>
      <c r="O310">
        <v>535</v>
      </c>
      <c r="P310" t="s">
        <v>7255</v>
      </c>
      <c r="Q310">
        <v>0</v>
      </c>
      <c r="R310">
        <v>0</v>
      </c>
      <c r="T310">
        <v>1034677</v>
      </c>
      <c r="U310">
        <v>739</v>
      </c>
      <c r="V310" t="s">
        <v>4289</v>
      </c>
      <c r="W310" t="s">
        <v>102</v>
      </c>
      <c r="X310" t="s">
        <v>679</v>
      </c>
      <c r="Y310" t="s">
        <v>398</v>
      </c>
      <c r="Z310" t="s">
        <v>341</v>
      </c>
      <c r="AA310" t="s">
        <v>4685</v>
      </c>
      <c r="AB310" t="s">
        <v>7256</v>
      </c>
      <c r="AC310" t="s">
        <v>1093</v>
      </c>
      <c r="AD310" t="s">
        <v>7257</v>
      </c>
      <c r="AE310" t="s">
        <v>1130</v>
      </c>
      <c r="AF310" t="s">
        <v>7257</v>
      </c>
      <c r="AG310" t="s">
        <v>109</v>
      </c>
      <c r="AH310" t="s">
        <v>102</v>
      </c>
      <c r="AI310" t="s">
        <v>7258</v>
      </c>
      <c r="AJ310" t="s">
        <v>7259</v>
      </c>
      <c r="AK310" t="s">
        <v>7260</v>
      </c>
      <c r="AL310" t="s">
        <v>7261</v>
      </c>
      <c r="AM310" t="s">
        <v>7262</v>
      </c>
      <c r="AN310" t="s">
        <v>7263</v>
      </c>
      <c r="AO310" t="s">
        <v>7264</v>
      </c>
      <c r="AP310" t="s">
        <v>7265</v>
      </c>
      <c r="AQ310" t="s">
        <v>343</v>
      </c>
      <c r="AT310" t="s">
        <v>169</v>
      </c>
      <c r="AU310" t="s">
        <v>207</v>
      </c>
      <c r="AV310" t="s">
        <v>250</v>
      </c>
      <c r="AW310" t="s">
        <v>102</v>
      </c>
      <c r="AX310" t="s">
        <v>119</v>
      </c>
      <c r="BA310" t="s">
        <v>250</v>
      </c>
      <c r="BB310" t="s">
        <v>120</v>
      </c>
      <c r="BC310" t="s">
        <v>7266</v>
      </c>
      <c r="BD310" t="s">
        <v>730</v>
      </c>
      <c r="BE310" t="s">
        <v>622</v>
      </c>
      <c r="BF310" t="s">
        <v>730</v>
      </c>
      <c r="BG310" t="s">
        <v>124</v>
      </c>
      <c r="BH310" t="s">
        <v>232</v>
      </c>
      <c r="BI310" t="s">
        <v>126</v>
      </c>
      <c r="BJ310" t="s">
        <v>127</v>
      </c>
      <c r="BK310" t="s">
        <v>7267</v>
      </c>
      <c r="BL310" t="s">
        <v>7268</v>
      </c>
      <c r="BM310" t="s">
        <v>7269</v>
      </c>
      <c r="BN310" t="s">
        <v>7253</v>
      </c>
      <c r="BO310" t="s">
        <v>4093</v>
      </c>
      <c r="BP310" t="s">
        <v>2928</v>
      </c>
      <c r="BQ310" t="s">
        <v>4094</v>
      </c>
      <c r="BR310" t="s">
        <v>4095</v>
      </c>
      <c r="BS310" t="s">
        <v>2525</v>
      </c>
      <c r="BU310" t="s">
        <v>7270</v>
      </c>
      <c r="BV310" t="s">
        <v>7271</v>
      </c>
      <c r="BW310" t="s">
        <v>354</v>
      </c>
      <c r="BX310" t="s">
        <v>7272</v>
      </c>
      <c r="BY310" t="s">
        <v>7273</v>
      </c>
      <c r="BZ310" t="s">
        <v>7274</v>
      </c>
      <c r="CA310" t="s">
        <v>7275</v>
      </c>
      <c r="CB310" t="s">
        <v>7276</v>
      </c>
      <c r="CC310" t="s">
        <v>7277</v>
      </c>
      <c r="CD310" t="s">
        <v>7278</v>
      </c>
      <c r="CE310" t="s">
        <v>7279</v>
      </c>
      <c r="CF310" t="s">
        <v>7280</v>
      </c>
      <c r="CG310" t="s">
        <v>102</v>
      </c>
      <c r="CH310" t="s">
        <v>7281</v>
      </c>
      <c r="CJ310" t="s">
        <v>7282</v>
      </c>
      <c r="CK310" t="s">
        <v>7281</v>
      </c>
      <c r="CL310" t="s">
        <v>7266</v>
      </c>
      <c r="CM310" t="s">
        <v>730</v>
      </c>
      <c r="CN310" t="s">
        <v>7282</v>
      </c>
      <c r="CP310" t="s">
        <v>7281</v>
      </c>
      <c r="CQ310" t="s">
        <v>7281</v>
      </c>
    </row>
    <row r="311" spans="1:95">
      <c r="A311" t="s">
        <v>149</v>
      </c>
      <c r="B311">
        <v>374785</v>
      </c>
      <c r="C311" t="s">
        <v>7283</v>
      </c>
      <c r="D311" t="str">
        <f>VLOOKUP(B311,'2025'!B:C,2,0)</f>
        <v>Nisha Murali</v>
      </c>
      <c r="F311" t="s">
        <v>95</v>
      </c>
      <c r="G311" t="s">
        <v>7284</v>
      </c>
      <c r="H311" t="s">
        <v>193</v>
      </c>
      <c r="I311" t="s">
        <v>98</v>
      </c>
      <c r="J311" t="s">
        <v>7285</v>
      </c>
      <c r="K311" t="s">
        <v>100</v>
      </c>
      <c r="L311">
        <v>799434</v>
      </c>
      <c r="M311">
        <v>943332</v>
      </c>
      <c r="N311">
        <v>0</v>
      </c>
      <c r="O311">
        <v>161</v>
      </c>
      <c r="P311" t="s">
        <v>102</v>
      </c>
      <c r="Q311">
        <v>0</v>
      </c>
      <c r="R311">
        <v>0</v>
      </c>
      <c r="T311">
        <v>799434</v>
      </c>
      <c r="U311">
        <v>268</v>
      </c>
      <c r="V311" t="s">
        <v>7286</v>
      </c>
      <c r="W311" t="s">
        <v>102</v>
      </c>
      <c r="X311" t="s">
        <v>679</v>
      </c>
      <c r="Y311" t="s">
        <v>398</v>
      </c>
      <c r="Z311" t="s">
        <v>160</v>
      </c>
      <c r="AA311" t="s">
        <v>7287</v>
      </c>
      <c r="AB311" t="s">
        <v>7288</v>
      </c>
      <c r="AC311" t="s">
        <v>7289</v>
      </c>
      <c r="AD311" t="s">
        <v>7290</v>
      </c>
      <c r="AE311" t="s">
        <v>805</v>
      </c>
      <c r="AF311" t="s">
        <v>7288</v>
      </c>
      <c r="AG311" t="s">
        <v>109</v>
      </c>
      <c r="AH311" t="s">
        <v>102</v>
      </c>
      <c r="AI311" t="s">
        <v>7291</v>
      </c>
      <c r="AJ311" t="s">
        <v>1981</v>
      </c>
      <c r="AK311" t="s">
        <v>5694</v>
      </c>
      <c r="AL311" t="s">
        <v>7292</v>
      </c>
      <c r="AM311" t="s">
        <v>7293</v>
      </c>
      <c r="AN311" t="s">
        <v>7294</v>
      </c>
      <c r="AO311" t="s">
        <v>7295</v>
      </c>
      <c r="AP311" t="s">
        <v>7295</v>
      </c>
      <c r="AU311" t="s">
        <v>207</v>
      </c>
      <c r="AV311" t="s">
        <v>118</v>
      </c>
      <c r="AW311" t="s">
        <v>102</v>
      </c>
      <c r="AX311" t="s">
        <v>119</v>
      </c>
      <c r="BA311" t="s">
        <v>250</v>
      </c>
      <c r="BB311" t="s">
        <v>171</v>
      </c>
      <c r="BC311" t="s">
        <v>920</v>
      </c>
      <c r="BD311" t="s">
        <v>211</v>
      </c>
      <c r="BE311" t="s">
        <v>212</v>
      </c>
      <c r="BF311" t="s">
        <v>213</v>
      </c>
      <c r="BG311" t="s">
        <v>124</v>
      </c>
      <c r="BH311" t="s">
        <v>7296</v>
      </c>
      <c r="BI311" t="s">
        <v>7297</v>
      </c>
      <c r="BJ311" t="s">
        <v>127</v>
      </c>
      <c r="BK311" t="s">
        <v>7298</v>
      </c>
      <c r="BL311" t="s">
        <v>7299</v>
      </c>
      <c r="BM311" t="s">
        <v>7300</v>
      </c>
      <c r="BN311" t="s">
        <v>7284</v>
      </c>
      <c r="BO311" t="s">
        <v>7301</v>
      </c>
      <c r="BP311" t="s">
        <v>132</v>
      </c>
      <c r="BQ311" t="s">
        <v>7302</v>
      </c>
      <c r="BR311" t="s">
        <v>7303</v>
      </c>
      <c r="BS311" t="s">
        <v>2151</v>
      </c>
      <c r="BU311" t="s">
        <v>7304</v>
      </c>
      <c r="BV311" t="s">
        <v>7305</v>
      </c>
      <c r="BW311" t="s">
        <v>598</v>
      </c>
      <c r="BX311" t="s">
        <v>7306</v>
      </c>
      <c r="BY311" t="s">
        <v>7307</v>
      </c>
      <c r="BZ311" t="s">
        <v>7308</v>
      </c>
      <c r="CA311" t="s">
        <v>7309</v>
      </c>
      <c r="CB311" t="s">
        <v>7310</v>
      </c>
      <c r="CC311" t="s">
        <v>7311</v>
      </c>
      <c r="CD311" t="s">
        <v>7309</v>
      </c>
      <c r="CE311" t="s">
        <v>7310</v>
      </c>
      <c r="CF311" t="s">
        <v>7311</v>
      </c>
      <c r="CG311" t="s">
        <v>102</v>
      </c>
      <c r="CH311" t="s">
        <v>7312</v>
      </c>
      <c r="CJ311" t="s">
        <v>7313</v>
      </c>
      <c r="CK311" t="s">
        <v>7312</v>
      </c>
      <c r="CL311" t="s">
        <v>920</v>
      </c>
      <c r="CM311" t="s">
        <v>2474</v>
      </c>
      <c r="CN311" t="s">
        <v>7313</v>
      </c>
      <c r="CO311" t="s">
        <v>7314</v>
      </c>
      <c r="CP311" t="s">
        <v>7312</v>
      </c>
      <c r="CQ311" t="s">
        <v>7312</v>
      </c>
    </row>
    <row r="312" spans="1:95">
      <c r="A312" t="s">
        <v>93</v>
      </c>
      <c r="B312">
        <v>3752732</v>
      </c>
      <c r="C312" t="s">
        <v>7315</v>
      </c>
      <c r="D312" t="str">
        <f>VLOOKUP(B312,'2025'!B:C,2,0)</f>
        <v>Rohit</v>
      </c>
      <c r="F312" t="s">
        <v>95</v>
      </c>
      <c r="G312" t="s">
        <v>2452</v>
      </c>
      <c r="H312" t="s">
        <v>152</v>
      </c>
      <c r="I312" t="s">
        <v>98</v>
      </c>
      <c r="J312" t="s">
        <v>7316</v>
      </c>
      <c r="K312" t="s">
        <v>100</v>
      </c>
      <c r="L312">
        <v>450309</v>
      </c>
      <c r="M312">
        <v>450309</v>
      </c>
      <c r="N312">
        <v>0</v>
      </c>
      <c r="O312">
        <v>0</v>
      </c>
      <c r="Q312">
        <v>450309</v>
      </c>
      <c r="R312">
        <v>263</v>
      </c>
      <c r="S312" t="s">
        <v>7317</v>
      </c>
      <c r="T312">
        <v>0</v>
      </c>
      <c r="U312">
        <v>0</v>
      </c>
      <c r="W312" t="s">
        <v>102</v>
      </c>
      <c r="X312" t="s">
        <v>103</v>
      </c>
      <c r="Y312" t="s">
        <v>155</v>
      </c>
      <c r="AA312" t="s">
        <v>1778</v>
      </c>
      <c r="AB312" t="s">
        <v>7318</v>
      </c>
      <c r="AC312" t="s">
        <v>3134</v>
      </c>
      <c r="AD312" t="s">
        <v>7318</v>
      </c>
      <c r="AE312" t="s">
        <v>2867</v>
      </c>
      <c r="AF312" t="s">
        <v>7318</v>
      </c>
      <c r="AG312" t="s">
        <v>3207</v>
      </c>
      <c r="AH312" t="s">
        <v>7318</v>
      </c>
      <c r="AI312" t="s">
        <v>7319</v>
      </c>
      <c r="AJ312" t="s">
        <v>886</v>
      </c>
      <c r="AK312" t="s">
        <v>6918</v>
      </c>
      <c r="AL312" t="s">
        <v>7320</v>
      </c>
      <c r="AM312" t="s">
        <v>7321</v>
      </c>
      <c r="AN312" t="s">
        <v>7322</v>
      </c>
      <c r="AO312" t="s">
        <v>7323</v>
      </c>
      <c r="AP312" t="s">
        <v>7323</v>
      </c>
      <c r="AU312" t="s">
        <v>102</v>
      </c>
      <c r="AW312" t="s">
        <v>155</v>
      </c>
      <c r="AX312" t="s">
        <v>119</v>
      </c>
      <c r="AY312" t="s">
        <v>170</v>
      </c>
      <c r="AZ312" t="s">
        <v>118</v>
      </c>
      <c r="BB312" t="s">
        <v>120</v>
      </c>
      <c r="BC312" t="s">
        <v>7324</v>
      </c>
      <c r="BD312" t="s">
        <v>556</v>
      </c>
      <c r="BE312" t="s">
        <v>122</v>
      </c>
      <c r="BF312" t="s">
        <v>557</v>
      </c>
      <c r="BG312" t="s">
        <v>124</v>
      </c>
      <c r="BH312" t="s">
        <v>232</v>
      </c>
      <c r="BI312" t="s">
        <v>126</v>
      </c>
      <c r="BJ312" t="s">
        <v>127</v>
      </c>
      <c r="BK312" t="s">
        <v>7325</v>
      </c>
      <c r="BL312" t="s">
        <v>7326</v>
      </c>
      <c r="BM312" t="s">
        <v>7327</v>
      </c>
      <c r="BN312" t="s">
        <v>2452</v>
      </c>
      <c r="BO312" t="s">
        <v>1071</v>
      </c>
      <c r="BP312" t="s">
        <v>258</v>
      </c>
      <c r="BQ312" t="s">
        <v>1072</v>
      </c>
      <c r="BR312" t="s">
        <v>1073</v>
      </c>
      <c r="BS312" t="s">
        <v>566</v>
      </c>
      <c r="BU312" t="s">
        <v>7328</v>
      </c>
      <c r="BV312" t="s">
        <v>7329</v>
      </c>
      <c r="BW312" t="s">
        <v>138</v>
      </c>
      <c r="BX312" t="s">
        <v>7330</v>
      </c>
      <c r="BY312" t="s">
        <v>7331</v>
      </c>
      <c r="BZ312" t="s">
        <v>7330</v>
      </c>
      <c r="CA312" t="s">
        <v>7329</v>
      </c>
      <c r="CB312" t="s">
        <v>7330</v>
      </c>
      <c r="CC312" t="s">
        <v>7331</v>
      </c>
      <c r="CG312" t="s">
        <v>7332</v>
      </c>
      <c r="CH312" t="s">
        <v>7333</v>
      </c>
      <c r="CJ312" t="s">
        <v>7334</v>
      </c>
      <c r="CK312" t="s">
        <v>7333</v>
      </c>
      <c r="CL312" t="s">
        <v>7324</v>
      </c>
      <c r="CM312" t="s">
        <v>556</v>
      </c>
      <c r="CN312" t="s">
        <v>7334</v>
      </c>
      <c r="CP312" t="s">
        <v>7333</v>
      </c>
      <c r="CQ312" t="s">
        <v>7333</v>
      </c>
    </row>
    <row r="313" spans="1:95">
      <c r="A313" t="s">
        <v>149</v>
      </c>
      <c r="B313">
        <v>3754524</v>
      </c>
      <c r="C313" t="s">
        <v>7335</v>
      </c>
      <c r="D313" t="str">
        <f>VLOOKUP(B313,'2025'!B:C,2,0)</f>
        <v>Aarti Iyer</v>
      </c>
      <c r="F313" t="s">
        <v>95</v>
      </c>
      <c r="G313" t="s">
        <v>3576</v>
      </c>
      <c r="H313" t="s">
        <v>97</v>
      </c>
      <c r="I313" t="s">
        <v>98</v>
      </c>
      <c r="J313" t="s">
        <v>7336</v>
      </c>
      <c r="K313" t="s">
        <v>100</v>
      </c>
      <c r="L313">
        <v>143563</v>
      </c>
      <c r="M313">
        <v>143563</v>
      </c>
      <c r="N313">
        <v>143563</v>
      </c>
      <c r="O313">
        <v>261</v>
      </c>
      <c r="P313" t="s">
        <v>3431</v>
      </c>
      <c r="Q313">
        <v>0</v>
      </c>
      <c r="R313">
        <v>0</v>
      </c>
      <c r="T313">
        <v>0</v>
      </c>
      <c r="U313">
        <v>0</v>
      </c>
      <c r="W313" t="s">
        <v>102</v>
      </c>
      <c r="X313" t="s">
        <v>275</v>
      </c>
      <c r="Z313" t="s">
        <v>2582</v>
      </c>
      <c r="AA313" t="s">
        <v>109</v>
      </c>
      <c r="AB313" t="s">
        <v>102</v>
      </c>
      <c r="AC313" t="s">
        <v>109</v>
      </c>
      <c r="AD313" t="s">
        <v>102</v>
      </c>
      <c r="AE313" t="s">
        <v>109</v>
      </c>
      <c r="AF313" t="s">
        <v>102</v>
      </c>
      <c r="AG313" t="s">
        <v>109</v>
      </c>
      <c r="AH313" t="s">
        <v>102</v>
      </c>
      <c r="AI313" t="s">
        <v>7337</v>
      </c>
      <c r="AJ313" t="s">
        <v>3207</v>
      </c>
      <c r="AK313" t="s">
        <v>3207</v>
      </c>
      <c r="AL313" t="s">
        <v>7338</v>
      </c>
      <c r="AM313" t="s">
        <v>7339</v>
      </c>
      <c r="AN313" t="s">
        <v>102</v>
      </c>
      <c r="AO313" t="s">
        <v>3438</v>
      </c>
      <c r="AP313" t="s">
        <v>3438</v>
      </c>
      <c r="AU313" t="s">
        <v>117</v>
      </c>
      <c r="AV313" t="s">
        <v>118</v>
      </c>
      <c r="AW313" t="s">
        <v>102</v>
      </c>
      <c r="AX313" t="s">
        <v>119</v>
      </c>
      <c r="BB313" t="s">
        <v>120</v>
      </c>
      <c r="BC313" t="s">
        <v>7340</v>
      </c>
      <c r="BD313" t="s">
        <v>621</v>
      </c>
      <c r="BE313" t="s">
        <v>622</v>
      </c>
      <c r="BF313" t="s">
        <v>976</v>
      </c>
      <c r="BG313" t="s">
        <v>124</v>
      </c>
      <c r="BH313" t="s">
        <v>313</v>
      </c>
      <c r="BI313" t="s">
        <v>625</v>
      </c>
      <c r="BJ313" t="s">
        <v>127</v>
      </c>
      <c r="BK313" t="s">
        <v>7341</v>
      </c>
      <c r="BL313" t="s">
        <v>7342</v>
      </c>
      <c r="BM313" t="s">
        <v>7343</v>
      </c>
      <c r="BN313" t="s">
        <v>3576</v>
      </c>
      <c r="BO313" t="s">
        <v>981</v>
      </c>
      <c r="BP313" t="s">
        <v>132</v>
      </c>
      <c r="BQ313" t="s">
        <v>982</v>
      </c>
      <c r="BR313" t="s">
        <v>983</v>
      </c>
      <c r="BS313" t="s">
        <v>984</v>
      </c>
      <c r="BU313" t="s">
        <v>7344</v>
      </c>
      <c r="BV313" t="s">
        <v>7345</v>
      </c>
      <c r="BW313" t="s">
        <v>138</v>
      </c>
      <c r="BX313" t="s">
        <v>7346</v>
      </c>
      <c r="BY313" t="s">
        <v>7347</v>
      </c>
      <c r="BZ313" t="s">
        <v>7348</v>
      </c>
      <c r="CG313" t="s">
        <v>102</v>
      </c>
      <c r="CH313" t="s">
        <v>7349</v>
      </c>
      <c r="CJ313" t="s">
        <v>7350</v>
      </c>
      <c r="CK313" t="s">
        <v>7349</v>
      </c>
      <c r="CL313" t="s">
        <v>7340</v>
      </c>
      <c r="CM313" t="s">
        <v>621</v>
      </c>
      <c r="CN313" t="s">
        <v>7350</v>
      </c>
      <c r="CO313" t="s">
        <v>7187</v>
      </c>
      <c r="CP313" t="s">
        <v>7349</v>
      </c>
      <c r="CQ313" t="s">
        <v>7349</v>
      </c>
    </row>
    <row r="314" spans="1:95">
      <c r="A314" t="s">
        <v>149</v>
      </c>
      <c r="B314">
        <v>376207</v>
      </c>
      <c r="C314" t="s">
        <v>7351</v>
      </c>
      <c r="F314" t="s">
        <v>95</v>
      </c>
      <c r="G314" t="s">
        <v>1521</v>
      </c>
      <c r="H314" t="s">
        <v>193</v>
      </c>
      <c r="I314" t="s">
        <v>98</v>
      </c>
      <c r="J314" t="s">
        <v>7352</v>
      </c>
      <c r="K314" t="s">
        <v>100</v>
      </c>
      <c r="L314">
        <v>904335</v>
      </c>
      <c r="M314">
        <v>1035040</v>
      </c>
      <c r="N314">
        <v>178197</v>
      </c>
      <c r="O314">
        <v>469</v>
      </c>
      <c r="P314" t="s">
        <v>7353</v>
      </c>
      <c r="Q314">
        <v>0</v>
      </c>
      <c r="R314">
        <v>0</v>
      </c>
      <c r="T314">
        <v>726138</v>
      </c>
      <c r="U314">
        <v>476</v>
      </c>
      <c r="V314" t="s">
        <v>1907</v>
      </c>
      <c r="W314" t="s">
        <v>102</v>
      </c>
      <c r="X314" t="s">
        <v>103</v>
      </c>
      <c r="Y314" t="s">
        <v>104</v>
      </c>
      <c r="AA314" t="s">
        <v>2605</v>
      </c>
      <c r="AB314" t="s">
        <v>7354</v>
      </c>
      <c r="AC314" t="s">
        <v>1571</v>
      </c>
      <c r="AD314" t="s">
        <v>7354</v>
      </c>
      <c r="AE314" t="s">
        <v>109</v>
      </c>
      <c r="AF314" t="s">
        <v>102</v>
      </c>
      <c r="AG314" t="s">
        <v>109</v>
      </c>
      <c r="AH314" t="s">
        <v>102</v>
      </c>
      <c r="AI314" t="s">
        <v>7355</v>
      </c>
      <c r="AJ314" t="s">
        <v>7356</v>
      </c>
      <c r="AK314" t="s">
        <v>7357</v>
      </c>
      <c r="AL314" t="s">
        <v>7358</v>
      </c>
      <c r="AM314" t="s">
        <v>7359</v>
      </c>
      <c r="AN314" t="s">
        <v>7360</v>
      </c>
      <c r="AO314" t="s">
        <v>7361</v>
      </c>
      <c r="AP314" t="s">
        <v>7361</v>
      </c>
      <c r="AU314" t="s">
        <v>207</v>
      </c>
      <c r="AV314" t="s">
        <v>118</v>
      </c>
      <c r="AW314" t="s">
        <v>102</v>
      </c>
      <c r="AX314" t="s">
        <v>119</v>
      </c>
      <c r="BA314" t="s">
        <v>250</v>
      </c>
      <c r="BB314" t="s">
        <v>209</v>
      </c>
      <c r="BC314" t="s">
        <v>920</v>
      </c>
      <c r="BD314" t="s">
        <v>211</v>
      </c>
      <c r="BE314" t="s">
        <v>212</v>
      </c>
      <c r="BF314" t="s">
        <v>213</v>
      </c>
      <c r="BG314" t="s">
        <v>124</v>
      </c>
      <c r="BH314" t="s">
        <v>214</v>
      </c>
      <c r="BI314" t="s">
        <v>625</v>
      </c>
      <c r="BJ314" t="s">
        <v>127</v>
      </c>
      <c r="BK314" t="s">
        <v>7362</v>
      </c>
      <c r="BL314" t="s">
        <v>7363</v>
      </c>
      <c r="BM314" t="s">
        <v>7364</v>
      </c>
      <c r="BN314" t="s">
        <v>1521</v>
      </c>
      <c r="BO314" t="s">
        <v>219</v>
      </c>
      <c r="BP314" t="s">
        <v>350</v>
      </c>
      <c r="BQ314" t="s">
        <v>220</v>
      </c>
      <c r="BR314" t="s">
        <v>221</v>
      </c>
      <c r="BS314" t="s">
        <v>483</v>
      </c>
      <c r="BU314" t="s">
        <v>7365</v>
      </c>
      <c r="BV314" t="s">
        <v>5980</v>
      </c>
      <c r="BW314" t="s">
        <v>138</v>
      </c>
      <c r="BX314" t="s">
        <v>5981</v>
      </c>
      <c r="BY314" t="s">
        <v>5982</v>
      </c>
      <c r="BZ314" t="s">
        <v>5981</v>
      </c>
      <c r="CA314" t="s">
        <v>5980</v>
      </c>
      <c r="CB314" t="s">
        <v>5981</v>
      </c>
      <c r="CC314" t="s">
        <v>5982</v>
      </c>
      <c r="CG314" t="s">
        <v>102</v>
      </c>
      <c r="CH314" t="s">
        <v>7366</v>
      </c>
      <c r="CJ314" t="s">
        <v>5985</v>
      </c>
      <c r="CK314" t="s">
        <v>7366</v>
      </c>
      <c r="CL314" t="s">
        <v>920</v>
      </c>
      <c r="CM314" t="s">
        <v>211</v>
      </c>
      <c r="CN314" t="s">
        <v>5985</v>
      </c>
      <c r="CO314" t="s">
        <v>5986</v>
      </c>
      <c r="CP314" t="s">
        <v>7366</v>
      </c>
      <c r="CQ314" t="s">
        <v>7366</v>
      </c>
    </row>
    <row r="315" spans="1:95">
      <c r="A315" t="s">
        <v>337</v>
      </c>
      <c r="B315">
        <v>3765958</v>
      </c>
      <c r="C315" t="s">
        <v>7367</v>
      </c>
      <c r="D315" t="str">
        <f>VLOOKUP(B315,'2025'!B:C,2,0)</f>
        <v>Sumit Rana</v>
      </c>
      <c r="F315" t="s">
        <v>95</v>
      </c>
      <c r="G315" t="s">
        <v>3108</v>
      </c>
      <c r="H315" t="s">
        <v>152</v>
      </c>
      <c r="I315" t="s">
        <v>98</v>
      </c>
      <c r="J315" t="s">
        <v>7368</v>
      </c>
      <c r="K315" t="s">
        <v>100</v>
      </c>
      <c r="L315">
        <v>624083</v>
      </c>
      <c r="M315">
        <v>624083</v>
      </c>
      <c r="N315">
        <v>0</v>
      </c>
      <c r="O315">
        <v>0</v>
      </c>
      <c r="Q315">
        <v>624083</v>
      </c>
      <c r="R315">
        <v>520</v>
      </c>
      <c r="S315" t="s">
        <v>880</v>
      </c>
      <c r="T315">
        <v>0</v>
      </c>
      <c r="U315">
        <v>0</v>
      </c>
      <c r="W315" t="s">
        <v>102</v>
      </c>
      <c r="X315" t="s">
        <v>103</v>
      </c>
      <c r="Y315" t="s">
        <v>155</v>
      </c>
      <c r="AA315" t="s">
        <v>7369</v>
      </c>
      <c r="AB315" t="s">
        <v>7370</v>
      </c>
      <c r="AC315" t="s">
        <v>96</v>
      </c>
      <c r="AD315" t="s">
        <v>7370</v>
      </c>
      <c r="AE315" t="s">
        <v>2605</v>
      </c>
      <c r="AF315" t="s">
        <v>7370</v>
      </c>
      <c r="AG315" t="s">
        <v>158</v>
      </c>
      <c r="AH315" t="s">
        <v>7370</v>
      </c>
      <c r="AI315" t="s">
        <v>7371</v>
      </c>
      <c r="AJ315" t="s">
        <v>7369</v>
      </c>
      <c r="AK315" t="s">
        <v>853</v>
      </c>
      <c r="AL315" t="s">
        <v>7372</v>
      </c>
      <c r="AM315" t="s">
        <v>7373</v>
      </c>
      <c r="AN315" t="s">
        <v>7374</v>
      </c>
      <c r="AO315" t="s">
        <v>1963</v>
      </c>
      <c r="AP315" t="s">
        <v>1963</v>
      </c>
      <c r="AU315" t="s">
        <v>102</v>
      </c>
      <c r="AW315" t="s">
        <v>155</v>
      </c>
      <c r="AX315" t="s">
        <v>119</v>
      </c>
      <c r="AY315" t="s">
        <v>170</v>
      </c>
      <c r="AZ315" t="s">
        <v>118</v>
      </c>
      <c r="BB315" t="s">
        <v>120</v>
      </c>
      <c r="BC315" t="s">
        <v>1170</v>
      </c>
      <c r="BD315" t="s">
        <v>1171</v>
      </c>
      <c r="BE315" t="s">
        <v>174</v>
      </c>
      <c r="BF315" t="s">
        <v>1172</v>
      </c>
      <c r="BG315" t="s">
        <v>124</v>
      </c>
      <c r="BH315" t="s">
        <v>232</v>
      </c>
      <c r="BI315" t="s">
        <v>126</v>
      </c>
      <c r="BJ315" t="s">
        <v>127</v>
      </c>
      <c r="BK315" t="s">
        <v>7375</v>
      </c>
      <c r="BL315" t="s">
        <v>7376</v>
      </c>
      <c r="BM315" t="s">
        <v>7377</v>
      </c>
      <c r="BN315" t="s">
        <v>3108</v>
      </c>
      <c r="BO315" t="s">
        <v>5557</v>
      </c>
      <c r="BP315" t="s">
        <v>180</v>
      </c>
      <c r="BQ315" t="s">
        <v>5558</v>
      </c>
      <c r="BR315" t="s">
        <v>5559</v>
      </c>
      <c r="BS315" t="s">
        <v>5560</v>
      </c>
      <c r="BT315" t="s">
        <v>7378</v>
      </c>
      <c r="BU315" t="s">
        <v>7379</v>
      </c>
      <c r="BV315" t="s">
        <v>7380</v>
      </c>
      <c r="BW315" t="s">
        <v>354</v>
      </c>
      <c r="BX315" t="s">
        <v>7381</v>
      </c>
      <c r="BY315" t="s">
        <v>7382</v>
      </c>
      <c r="BZ315" t="s">
        <v>7383</v>
      </c>
      <c r="CD315" t="s">
        <v>7384</v>
      </c>
      <c r="CE315" t="s">
        <v>7381</v>
      </c>
      <c r="CF315" t="s">
        <v>7385</v>
      </c>
      <c r="CG315" t="s">
        <v>7386</v>
      </c>
      <c r="CH315" t="s">
        <v>7387</v>
      </c>
      <c r="CJ315" t="s">
        <v>7388</v>
      </c>
      <c r="CK315" t="s">
        <v>7387</v>
      </c>
      <c r="CL315" t="s">
        <v>1170</v>
      </c>
      <c r="CM315" t="s">
        <v>1171</v>
      </c>
      <c r="CN315" t="s">
        <v>7388</v>
      </c>
      <c r="CO315" t="s">
        <v>7389</v>
      </c>
      <c r="CP315" t="s">
        <v>7390</v>
      </c>
      <c r="CQ315" t="s">
        <v>7390</v>
      </c>
    </row>
    <row r="316" spans="1:95">
      <c r="A316" t="s">
        <v>149</v>
      </c>
      <c r="B316">
        <v>3769775</v>
      </c>
      <c r="C316" t="s">
        <v>7391</v>
      </c>
      <c r="D316" t="str">
        <f>VLOOKUP(B316,'2025'!B:C,2,0)</f>
        <v>Pooja Kapoor</v>
      </c>
      <c r="F316" t="s">
        <v>95</v>
      </c>
      <c r="G316" t="s">
        <v>4162</v>
      </c>
      <c r="H316" t="s">
        <v>1086</v>
      </c>
      <c r="I316" t="s">
        <v>98</v>
      </c>
      <c r="J316" t="s">
        <v>7392</v>
      </c>
      <c r="K316" t="s">
        <v>100</v>
      </c>
      <c r="L316">
        <v>665413</v>
      </c>
      <c r="M316">
        <v>749486</v>
      </c>
      <c r="N316">
        <v>58759</v>
      </c>
      <c r="O316">
        <v>154</v>
      </c>
      <c r="P316" t="s">
        <v>7393</v>
      </c>
      <c r="Q316">
        <v>139585</v>
      </c>
      <c r="R316">
        <v>153</v>
      </c>
      <c r="S316" t="s">
        <v>5773</v>
      </c>
      <c r="T316">
        <v>467069</v>
      </c>
      <c r="U316">
        <v>232</v>
      </c>
      <c r="V316" t="s">
        <v>7394</v>
      </c>
      <c r="W316" t="s">
        <v>102</v>
      </c>
      <c r="X316" t="s">
        <v>103</v>
      </c>
      <c r="Y316" t="s">
        <v>155</v>
      </c>
      <c r="AA316" t="s">
        <v>431</v>
      </c>
      <c r="AB316" t="s">
        <v>7395</v>
      </c>
      <c r="AC316" t="s">
        <v>7396</v>
      </c>
      <c r="AD316" t="s">
        <v>7395</v>
      </c>
      <c r="AE316" t="s">
        <v>240</v>
      </c>
      <c r="AF316" t="s">
        <v>7395</v>
      </c>
      <c r="AG316" t="s">
        <v>160</v>
      </c>
      <c r="AH316" t="s">
        <v>7395</v>
      </c>
      <c r="AI316" t="s">
        <v>7397</v>
      </c>
      <c r="AJ316" t="s">
        <v>175</v>
      </c>
      <c r="AK316" t="s">
        <v>7398</v>
      </c>
      <c r="AL316" t="s">
        <v>7399</v>
      </c>
      <c r="AM316" t="s">
        <v>7400</v>
      </c>
      <c r="AN316" t="s">
        <v>7401</v>
      </c>
      <c r="AO316" t="s">
        <v>7402</v>
      </c>
      <c r="AP316" t="s">
        <v>7402</v>
      </c>
      <c r="AU316" t="s">
        <v>207</v>
      </c>
      <c r="AV316" t="s">
        <v>250</v>
      </c>
      <c r="AW316" t="s">
        <v>655</v>
      </c>
      <c r="AX316" t="s">
        <v>119</v>
      </c>
      <c r="AZ316" t="s">
        <v>250</v>
      </c>
      <c r="BA316" t="s">
        <v>250</v>
      </c>
      <c r="BB316" t="s">
        <v>120</v>
      </c>
      <c r="BC316" t="s">
        <v>7403</v>
      </c>
      <c r="BD316" t="s">
        <v>4404</v>
      </c>
      <c r="BE316" t="s">
        <v>174</v>
      </c>
      <c r="BF316" t="s">
        <v>4405</v>
      </c>
      <c r="BG316" t="s">
        <v>124</v>
      </c>
      <c r="BH316" t="s">
        <v>321</v>
      </c>
      <c r="BI316" t="s">
        <v>7145</v>
      </c>
      <c r="BJ316" t="s">
        <v>127</v>
      </c>
      <c r="BK316" t="s">
        <v>7404</v>
      </c>
      <c r="BL316" t="s">
        <v>7405</v>
      </c>
      <c r="BM316" t="s">
        <v>7406</v>
      </c>
      <c r="BN316" t="s">
        <v>4162</v>
      </c>
      <c r="BO316" t="s">
        <v>179</v>
      </c>
      <c r="BP316" t="s">
        <v>180</v>
      </c>
      <c r="BQ316" t="s">
        <v>181</v>
      </c>
      <c r="BR316" t="s">
        <v>182</v>
      </c>
      <c r="BS316" t="s">
        <v>4413</v>
      </c>
      <c r="BU316" t="s">
        <v>7407</v>
      </c>
      <c r="BV316" t="s">
        <v>7408</v>
      </c>
      <c r="BW316" t="s">
        <v>138</v>
      </c>
      <c r="BX316" t="s">
        <v>7409</v>
      </c>
      <c r="BY316" t="s">
        <v>7410</v>
      </c>
      <c r="BZ316" t="s">
        <v>7409</v>
      </c>
      <c r="CA316" t="s">
        <v>7408</v>
      </c>
      <c r="CB316" t="s">
        <v>7409</v>
      </c>
      <c r="CC316" t="s">
        <v>7410</v>
      </c>
      <c r="CD316" t="s">
        <v>7411</v>
      </c>
      <c r="CE316" t="s">
        <v>7412</v>
      </c>
      <c r="CF316" t="s">
        <v>7413</v>
      </c>
      <c r="CG316" t="s">
        <v>102</v>
      </c>
      <c r="CH316" t="s">
        <v>7414</v>
      </c>
      <c r="CJ316" t="s">
        <v>7415</v>
      </c>
      <c r="CK316" t="s">
        <v>7414</v>
      </c>
      <c r="CL316" t="s">
        <v>7403</v>
      </c>
      <c r="CM316" t="s">
        <v>4404</v>
      </c>
      <c r="CN316" t="s">
        <v>7415</v>
      </c>
      <c r="CP316" t="s">
        <v>7416</v>
      </c>
      <c r="CQ316" t="s">
        <v>7414</v>
      </c>
    </row>
    <row r="317" spans="1:95">
      <c r="A317" t="s">
        <v>337</v>
      </c>
      <c r="B317">
        <v>3780526</v>
      </c>
      <c r="C317" t="s">
        <v>7429</v>
      </c>
      <c r="D317" t="str">
        <f>VLOOKUP(B317,'2025'!B:C,2,0)</f>
        <v>Pooja</v>
      </c>
      <c r="F317" t="s">
        <v>95</v>
      </c>
      <c r="G317" t="s">
        <v>2388</v>
      </c>
      <c r="H317" t="s">
        <v>152</v>
      </c>
      <c r="I317" t="s">
        <v>98</v>
      </c>
      <c r="J317" t="s">
        <v>7430</v>
      </c>
      <c r="K317" t="s">
        <v>100</v>
      </c>
      <c r="L317">
        <v>336042</v>
      </c>
      <c r="M317">
        <v>336042</v>
      </c>
      <c r="N317">
        <v>0</v>
      </c>
      <c r="O317">
        <v>0</v>
      </c>
      <c r="Q317">
        <v>336042</v>
      </c>
      <c r="R317">
        <v>300</v>
      </c>
      <c r="S317" t="s">
        <v>7431</v>
      </c>
      <c r="T317">
        <v>0</v>
      </c>
      <c r="U317">
        <v>0</v>
      </c>
      <c r="W317" t="s">
        <v>102</v>
      </c>
      <c r="X317" t="s">
        <v>103</v>
      </c>
      <c r="Y317" t="s">
        <v>155</v>
      </c>
      <c r="AA317" t="s">
        <v>2388</v>
      </c>
      <c r="AB317" t="s">
        <v>7432</v>
      </c>
      <c r="AC317" t="s">
        <v>3231</v>
      </c>
      <c r="AD317" t="s">
        <v>7432</v>
      </c>
      <c r="AE317" t="s">
        <v>7433</v>
      </c>
      <c r="AF317" t="s">
        <v>7432</v>
      </c>
      <c r="AG317" t="s">
        <v>160</v>
      </c>
      <c r="AH317" t="s">
        <v>7432</v>
      </c>
      <c r="AI317" t="s">
        <v>102</v>
      </c>
      <c r="AJ317" t="s">
        <v>1600</v>
      </c>
      <c r="AK317" t="s">
        <v>2950</v>
      </c>
      <c r="AL317" t="s">
        <v>7434</v>
      </c>
      <c r="AM317" t="s">
        <v>7435</v>
      </c>
      <c r="AN317" t="s">
        <v>7436</v>
      </c>
      <c r="AO317" t="s">
        <v>7437</v>
      </c>
      <c r="AP317" t="s">
        <v>7437</v>
      </c>
      <c r="AU317" t="s">
        <v>102</v>
      </c>
      <c r="AW317" t="s">
        <v>104</v>
      </c>
      <c r="AX317" t="s">
        <v>119</v>
      </c>
      <c r="AY317" t="s">
        <v>170</v>
      </c>
      <c r="AZ317" t="s">
        <v>118</v>
      </c>
      <c r="BB317" t="s">
        <v>120</v>
      </c>
      <c r="BC317" t="s">
        <v>7438</v>
      </c>
      <c r="BD317" t="s">
        <v>376</v>
      </c>
      <c r="BE317" t="s">
        <v>174</v>
      </c>
      <c r="BF317" t="s">
        <v>376</v>
      </c>
      <c r="BG317" t="s">
        <v>124</v>
      </c>
      <c r="BH317" t="s">
        <v>1493</v>
      </c>
      <c r="BI317" t="s">
        <v>7439</v>
      </c>
      <c r="BJ317" t="s">
        <v>127</v>
      </c>
      <c r="BK317" t="s">
        <v>7440</v>
      </c>
      <c r="BL317" t="s">
        <v>7441</v>
      </c>
      <c r="BM317" t="s">
        <v>7442</v>
      </c>
      <c r="BN317" t="s">
        <v>2388</v>
      </c>
      <c r="BO317" t="s">
        <v>1831</v>
      </c>
      <c r="BP317" t="s">
        <v>180</v>
      </c>
      <c r="BQ317" t="s">
        <v>1832</v>
      </c>
      <c r="BR317" t="s">
        <v>1833</v>
      </c>
      <c r="BS317" t="s">
        <v>1834</v>
      </c>
      <c r="BU317" t="s">
        <v>7443</v>
      </c>
      <c r="BV317" t="s">
        <v>7444</v>
      </c>
      <c r="BW317" t="s">
        <v>354</v>
      </c>
      <c r="BX317" t="s">
        <v>7445</v>
      </c>
      <c r="BZ317" t="s">
        <v>7446</v>
      </c>
      <c r="CG317" t="s">
        <v>1538</v>
      </c>
      <c r="CH317" t="s">
        <v>7447</v>
      </c>
      <c r="CJ317" t="s">
        <v>7448</v>
      </c>
      <c r="CK317" t="s">
        <v>7447</v>
      </c>
      <c r="CL317" t="s">
        <v>7438</v>
      </c>
      <c r="CM317" t="s">
        <v>376</v>
      </c>
      <c r="CN317" t="s">
        <v>7448</v>
      </c>
      <c r="CP317" t="s">
        <v>7447</v>
      </c>
      <c r="CQ317" t="s">
        <v>7447</v>
      </c>
    </row>
    <row r="318" spans="1:95">
      <c r="A318" t="s">
        <v>93</v>
      </c>
      <c r="B318">
        <v>3799725</v>
      </c>
      <c r="C318" t="s">
        <v>7449</v>
      </c>
      <c r="D318" t="str">
        <f>VLOOKUP(B318,'2025'!B:C,2,0)</f>
        <v>Tanya</v>
      </c>
      <c r="F318" t="s">
        <v>95</v>
      </c>
      <c r="G318" t="s">
        <v>642</v>
      </c>
      <c r="H318" t="s">
        <v>2044</v>
      </c>
      <c r="I318" t="s">
        <v>98</v>
      </c>
      <c r="J318" t="s">
        <v>7450</v>
      </c>
      <c r="K318" t="s">
        <v>100</v>
      </c>
      <c r="L318">
        <v>905545</v>
      </c>
      <c r="M318">
        <v>905545</v>
      </c>
      <c r="N318">
        <v>353940</v>
      </c>
      <c r="O318">
        <v>427</v>
      </c>
      <c r="P318" t="s">
        <v>7451</v>
      </c>
      <c r="Q318">
        <v>551605</v>
      </c>
      <c r="R318">
        <v>434</v>
      </c>
      <c r="S318" t="s">
        <v>850</v>
      </c>
      <c r="T318">
        <v>0</v>
      </c>
      <c r="U318">
        <v>0</v>
      </c>
      <c r="W318" t="s">
        <v>102</v>
      </c>
      <c r="X318" t="s">
        <v>103</v>
      </c>
      <c r="Y318" t="s">
        <v>398</v>
      </c>
      <c r="AA318" t="s">
        <v>4606</v>
      </c>
      <c r="AB318" t="s">
        <v>7452</v>
      </c>
      <c r="AC318" t="s">
        <v>853</v>
      </c>
      <c r="AD318" t="s">
        <v>7453</v>
      </c>
      <c r="AE318" t="s">
        <v>854</v>
      </c>
      <c r="AF318" t="s">
        <v>7453</v>
      </c>
      <c r="AG318" t="s">
        <v>109</v>
      </c>
      <c r="AH318" t="s">
        <v>102</v>
      </c>
      <c r="AI318" t="s">
        <v>7454</v>
      </c>
      <c r="AJ318" t="s">
        <v>545</v>
      </c>
      <c r="AK318" t="s">
        <v>1201</v>
      </c>
      <c r="AL318" t="s">
        <v>7455</v>
      </c>
      <c r="AM318" t="s">
        <v>7456</v>
      </c>
      <c r="AN318" t="s">
        <v>7457</v>
      </c>
      <c r="AO318" t="s">
        <v>7458</v>
      </c>
      <c r="AP318" t="s">
        <v>7459</v>
      </c>
      <c r="AS318" t="s">
        <v>169</v>
      </c>
      <c r="AU318" t="s">
        <v>318</v>
      </c>
      <c r="AV318" t="s">
        <v>118</v>
      </c>
      <c r="AW318" t="s">
        <v>104</v>
      </c>
      <c r="AX318" t="s">
        <v>119</v>
      </c>
      <c r="AY318" t="s">
        <v>170</v>
      </c>
      <c r="AZ318" t="s">
        <v>118</v>
      </c>
      <c r="BB318" t="s">
        <v>120</v>
      </c>
      <c r="BC318" t="s">
        <v>3854</v>
      </c>
      <c r="BD318" t="s">
        <v>449</v>
      </c>
      <c r="BE318" t="s">
        <v>122</v>
      </c>
      <c r="BF318" t="s">
        <v>450</v>
      </c>
      <c r="BG318" t="s">
        <v>124</v>
      </c>
      <c r="BH318" t="s">
        <v>232</v>
      </c>
      <c r="BI318" t="s">
        <v>126</v>
      </c>
      <c r="BJ318" t="s">
        <v>127</v>
      </c>
      <c r="BK318" t="s">
        <v>7460</v>
      </c>
      <c r="BL318" t="s">
        <v>7461</v>
      </c>
      <c r="BM318" t="s">
        <v>7462</v>
      </c>
      <c r="BN318" t="s">
        <v>642</v>
      </c>
      <c r="BO318" t="s">
        <v>131</v>
      </c>
      <c r="BP318" t="s">
        <v>350</v>
      </c>
      <c r="BQ318" t="s">
        <v>133</v>
      </c>
      <c r="BR318" t="s">
        <v>134</v>
      </c>
      <c r="BS318" t="s">
        <v>261</v>
      </c>
      <c r="BU318" t="s">
        <v>7463</v>
      </c>
      <c r="BV318" t="s">
        <v>7464</v>
      </c>
      <c r="BW318" t="s">
        <v>138</v>
      </c>
      <c r="BX318" t="s">
        <v>7465</v>
      </c>
      <c r="BY318" t="s">
        <v>7466</v>
      </c>
      <c r="BZ318" t="s">
        <v>7467</v>
      </c>
      <c r="CA318" t="s">
        <v>7464</v>
      </c>
      <c r="CB318" t="s">
        <v>7465</v>
      </c>
      <c r="CC318" t="s">
        <v>7466</v>
      </c>
      <c r="CD318" t="s">
        <v>7468</v>
      </c>
      <c r="CE318" t="s">
        <v>7469</v>
      </c>
      <c r="CF318" t="s">
        <v>7470</v>
      </c>
      <c r="CG318" t="s">
        <v>5768</v>
      </c>
      <c r="CH318" t="s">
        <v>7471</v>
      </c>
      <c r="CJ318" t="s">
        <v>7472</v>
      </c>
      <c r="CK318" t="s">
        <v>7471</v>
      </c>
      <c r="CL318" t="s">
        <v>3854</v>
      </c>
      <c r="CM318" t="s">
        <v>449</v>
      </c>
      <c r="CN318" t="s">
        <v>7472</v>
      </c>
      <c r="CO318" t="s">
        <v>7473</v>
      </c>
      <c r="CP318" t="s">
        <v>7471</v>
      </c>
      <c r="CQ318" t="s">
        <v>7471</v>
      </c>
    </row>
    <row r="319" spans="1:95">
      <c r="A319" t="s">
        <v>93</v>
      </c>
      <c r="B319">
        <v>3808986</v>
      </c>
      <c r="C319" t="s">
        <v>7474</v>
      </c>
      <c r="E319" s="4" t="s">
        <v>17377</v>
      </c>
      <c r="F319" t="s">
        <v>95</v>
      </c>
      <c r="G319" t="s">
        <v>3006</v>
      </c>
      <c r="H319" t="s">
        <v>152</v>
      </c>
      <c r="I319" t="s">
        <v>98</v>
      </c>
      <c r="J319" t="s">
        <v>7475</v>
      </c>
      <c r="K319" t="s">
        <v>100</v>
      </c>
      <c r="L319">
        <v>300148</v>
      </c>
      <c r="M319">
        <v>300148</v>
      </c>
      <c r="N319">
        <v>0</v>
      </c>
      <c r="O319">
        <v>0</v>
      </c>
      <c r="Q319">
        <v>300148</v>
      </c>
      <c r="R319">
        <v>173</v>
      </c>
      <c r="S319" t="s">
        <v>7476</v>
      </c>
      <c r="T319">
        <v>0</v>
      </c>
      <c r="U319">
        <v>0</v>
      </c>
      <c r="W319" t="s">
        <v>102</v>
      </c>
      <c r="X319" t="s">
        <v>103</v>
      </c>
      <c r="Y319" t="s">
        <v>104</v>
      </c>
      <c r="AA319" t="s">
        <v>3155</v>
      </c>
      <c r="AB319" t="s">
        <v>7477</v>
      </c>
      <c r="AC319" t="s">
        <v>520</v>
      </c>
      <c r="AD319" t="s">
        <v>7478</v>
      </c>
      <c r="AE319" t="s">
        <v>109</v>
      </c>
      <c r="AF319" t="s">
        <v>102</v>
      </c>
      <c r="AG319" t="s">
        <v>109</v>
      </c>
      <c r="AH319" t="s">
        <v>102</v>
      </c>
      <c r="AI319" t="s">
        <v>102</v>
      </c>
      <c r="AJ319" t="s">
        <v>716</v>
      </c>
      <c r="AK319" t="s">
        <v>7479</v>
      </c>
      <c r="AL319" t="s">
        <v>7480</v>
      </c>
      <c r="AM319" t="s">
        <v>7481</v>
      </c>
      <c r="AN319" t="s">
        <v>7482</v>
      </c>
      <c r="AO319" t="s">
        <v>7483</v>
      </c>
      <c r="AP319" t="s">
        <v>7483</v>
      </c>
      <c r="AU319" t="s">
        <v>102</v>
      </c>
      <c r="AW319" t="s">
        <v>155</v>
      </c>
      <c r="AX319" t="s">
        <v>119</v>
      </c>
      <c r="AZ319" t="s">
        <v>250</v>
      </c>
      <c r="BB319" t="s">
        <v>120</v>
      </c>
      <c r="BC319" t="s">
        <v>4864</v>
      </c>
      <c r="BD319" t="s">
        <v>621</v>
      </c>
      <c r="BE319" t="s">
        <v>622</v>
      </c>
      <c r="BF319" t="s">
        <v>623</v>
      </c>
      <c r="BG319" t="s">
        <v>124</v>
      </c>
      <c r="BH319" t="s">
        <v>1493</v>
      </c>
      <c r="BI319" t="s">
        <v>7484</v>
      </c>
      <c r="BJ319" t="s">
        <v>127</v>
      </c>
      <c r="BK319" t="s">
        <v>7485</v>
      </c>
      <c r="BL319" t="s">
        <v>7486</v>
      </c>
      <c r="BM319" t="s">
        <v>7487</v>
      </c>
      <c r="BN319" t="s">
        <v>3006</v>
      </c>
      <c r="BO319" t="s">
        <v>1670</v>
      </c>
      <c r="BP319" t="s">
        <v>258</v>
      </c>
      <c r="BQ319" t="s">
        <v>1671</v>
      </c>
      <c r="BR319" t="s">
        <v>1672</v>
      </c>
      <c r="BS319" t="s">
        <v>7488</v>
      </c>
      <c r="BT319" t="s">
        <v>1279</v>
      </c>
      <c r="BU319" t="s">
        <v>7489</v>
      </c>
      <c r="BV319" t="s">
        <v>7490</v>
      </c>
      <c r="BX319" t="s">
        <v>7491</v>
      </c>
      <c r="BY319" t="s">
        <v>7492</v>
      </c>
      <c r="BZ319" t="s">
        <v>7493</v>
      </c>
      <c r="CA319" t="s">
        <v>7494</v>
      </c>
      <c r="CB319" t="s">
        <v>7495</v>
      </c>
      <c r="CC319" t="s">
        <v>7496</v>
      </c>
      <c r="CD319" t="s">
        <v>7497</v>
      </c>
      <c r="CE319" t="s">
        <v>7498</v>
      </c>
      <c r="CF319" t="s">
        <v>7499</v>
      </c>
      <c r="CG319" t="s">
        <v>7500</v>
      </c>
      <c r="CH319" t="s">
        <v>7501</v>
      </c>
      <c r="CJ319" t="s">
        <v>7502</v>
      </c>
      <c r="CK319" t="s">
        <v>7501</v>
      </c>
      <c r="CL319" t="s">
        <v>4864</v>
      </c>
      <c r="CM319" t="s">
        <v>621</v>
      </c>
      <c r="CN319" t="s">
        <v>7502</v>
      </c>
      <c r="CP319" t="s">
        <v>7501</v>
      </c>
      <c r="CQ319" t="s">
        <v>7501</v>
      </c>
    </row>
    <row r="320" spans="1:95">
      <c r="A320" t="s">
        <v>93</v>
      </c>
      <c r="B320">
        <v>3811540</v>
      </c>
      <c r="C320" t="s">
        <v>7503</v>
      </c>
      <c r="E320" s="4" t="s">
        <v>17377</v>
      </c>
      <c r="F320" t="s">
        <v>95</v>
      </c>
      <c r="G320" t="s">
        <v>2579</v>
      </c>
      <c r="H320" t="s">
        <v>97</v>
      </c>
      <c r="I320" t="s">
        <v>98</v>
      </c>
      <c r="J320" t="s">
        <v>7504</v>
      </c>
      <c r="K320" t="s">
        <v>100</v>
      </c>
      <c r="L320">
        <v>576000</v>
      </c>
      <c r="M320">
        <v>576000</v>
      </c>
      <c r="N320">
        <v>576000</v>
      </c>
      <c r="O320">
        <v>960</v>
      </c>
      <c r="P320" t="s">
        <v>310</v>
      </c>
      <c r="Q320">
        <v>0</v>
      </c>
      <c r="R320">
        <v>0</v>
      </c>
      <c r="T320">
        <v>0</v>
      </c>
      <c r="U320">
        <v>0</v>
      </c>
      <c r="W320" t="s">
        <v>102</v>
      </c>
      <c r="X320" t="s">
        <v>103</v>
      </c>
      <c r="Y320" t="s">
        <v>104</v>
      </c>
      <c r="AA320" t="s">
        <v>96</v>
      </c>
      <c r="AB320" t="s">
        <v>7505</v>
      </c>
      <c r="AC320" t="s">
        <v>7506</v>
      </c>
      <c r="AD320" t="s">
        <v>7505</v>
      </c>
      <c r="AE320" t="s">
        <v>109</v>
      </c>
      <c r="AF320" t="s">
        <v>102</v>
      </c>
      <c r="AG320" t="s">
        <v>109</v>
      </c>
      <c r="AH320" t="s">
        <v>102</v>
      </c>
      <c r="AI320" t="s">
        <v>102</v>
      </c>
      <c r="AJ320" t="s">
        <v>3656</v>
      </c>
      <c r="AK320" t="s">
        <v>5130</v>
      </c>
      <c r="AL320" t="s">
        <v>7507</v>
      </c>
      <c r="AM320" t="s">
        <v>7507</v>
      </c>
      <c r="AN320" t="s">
        <v>102</v>
      </c>
      <c r="AO320" t="s">
        <v>317</v>
      </c>
      <c r="AP320" t="s">
        <v>317</v>
      </c>
      <c r="AU320" t="s">
        <v>318</v>
      </c>
      <c r="AV320" t="s">
        <v>118</v>
      </c>
      <c r="AW320" t="s">
        <v>102</v>
      </c>
      <c r="AX320" t="s">
        <v>119</v>
      </c>
      <c r="BB320" t="s">
        <v>120</v>
      </c>
      <c r="BC320" t="s">
        <v>7508</v>
      </c>
      <c r="BD320" t="s">
        <v>1208</v>
      </c>
      <c r="BE320" t="s">
        <v>174</v>
      </c>
      <c r="BF320" t="s">
        <v>1172</v>
      </c>
      <c r="BG320" t="s">
        <v>124</v>
      </c>
      <c r="BH320" t="s">
        <v>232</v>
      </c>
      <c r="BI320" t="s">
        <v>126</v>
      </c>
      <c r="BJ320" t="s">
        <v>127</v>
      </c>
      <c r="BK320" t="s">
        <v>7509</v>
      </c>
      <c r="BL320" t="s">
        <v>7510</v>
      </c>
      <c r="BM320" t="s">
        <v>7511</v>
      </c>
      <c r="BN320" t="s">
        <v>2579</v>
      </c>
      <c r="BO320" t="s">
        <v>7512</v>
      </c>
      <c r="BP320" t="s">
        <v>258</v>
      </c>
      <c r="BQ320" t="s">
        <v>7513</v>
      </c>
      <c r="BR320" t="s">
        <v>7514</v>
      </c>
      <c r="BS320" t="s">
        <v>7515</v>
      </c>
      <c r="BT320" t="s">
        <v>7378</v>
      </c>
      <c r="BU320" t="s">
        <v>7516</v>
      </c>
      <c r="BV320" t="s">
        <v>7517</v>
      </c>
      <c r="BW320" t="s">
        <v>138</v>
      </c>
      <c r="BX320" t="s">
        <v>7518</v>
      </c>
      <c r="BY320" t="s">
        <v>7519</v>
      </c>
      <c r="BZ320" t="s">
        <v>7520</v>
      </c>
      <c r="CA320" t="s">
        <v>7517</v>
      </c>
      <c r="CB320" t="s">
        <v>7518</v>
      </c>
      <c r="CC320" t="s">
        <v>7519</v>
      </c>
      <c r="CD320" t="s">
        <v>7521</v>
      </c>
      <c r="CE320" t="s">
        <v>7518</v>
      </c>
      <c r="CF320" t="s">
        <v>7522</v>
      </c>
      <c r="CG320" t="s">
        <v>7523</v>
      </c>
      <c r="CH320" t="s">
        <v>7524</v>
      </c>
      <c r="CJ320" t="s">
        <v>7525</v>
      </c>
      <c r="CK320" t="s">
        <v>7524</v>
      </c>
      <c r="CL320" t="s">
        <v>7508</v>
      </c>
      <c r="CM320" t="s">
        <v>1208</v>
      </c>
      <c r="CN320" t="s">
        <v>7525</v>
      </c>
      <c r="CP320" t="s">
        <v>7524</v>
      </c>
      <c r="CQ320" t="s">
        <v>7524</v>
      </c>
    </row>
    <row r="321" spans="1:95">
      <c r="A321" t="s">
        <v>149</v>
      </c>
      <c r="B321">
        <v>381519</v>
      </c>
      <c r="C321" t="s">
        <v>7526</v>
      </c>
      <c r="D321" t="str">
        <f>VLOOKUP(B321,'2025'!B:C,2,0)</f>
        <v>Gargi Ghosh</v>
      </c>
      <c r="F321" t="s">
        <v>95</v>
      </c>
      <c r="G321" t="s">
        <v>6297</v>
      </c>
      <c r="H321" t="s">
        <v>848</v>
      </c>
      <c r="I321" t="s">
        <v>98</v>
      </c>
      <c r="J321" t="s">
        <v>7527</v>
      </c>
      <c r="K321" t="s">
        <v>100</v>
      </c>
      <c r="L321">
        <v>1833096</v>
      </c>
      <c r="M321">
        <v>2163053</v>
      </c>
      <c r="N321">
        <v>0</v>
      </c>
      <c r="O321">
        <v>0</v>
      </c>
      <c r="Q321">
        <v>0</v>
      </c>
      <c r="R321">
        <v>0</v>
      </c>
      <c r="T321">
        <v>1833096</v>
      </c>
      <c r="U321">
        <v>970</v>
      </c>
      <c r="V321" t="s">
        <v>7528</v>
      </c>
      <c r="W321" t="s">
        <v>102</v>
      </c>
      <c r="X321" t="s">
        <v>103</v>
      </c>
      <c r="Y321" t="s">
        <v>155</v>
      </c>
      <c r="AA321" t="s">
        <v>238</v>
      </c>
      <c r="AB321" t="s">
        <v>7529</v>
      </c>
      <c r="AC321" t="s">
        <v>977</v>
      </c>
      <c r="AD321" t="s">
        <v>7529</v>
      </c>
      <c r="AE321" t="s">
        <v>3483</v>
      </c>
      <c r="AF321" t="s">
        <v>7529</v>
      </c>
      <c r="AG321" t="s">
        <v>854</v>
      </c>
      <c r="AH321" t="s">
        <v>7529</v>
      </c>
      <c r="AI321" t="s">
        <v>7530</v>
      </c>
      <c r="AJ321" t="s">
        <v>238</v>
      </c>
      <c r="AK321" t="s">
        <v>7531</v>
      </c>
      <c r="AL321" t="s">
        <v>7532</v>
      </c>
      <c r="AM321" t="s">
        <v>7533</v>
      </c>
      <c r="AN321" t="s">
        <v>7534</v>
      </c>
      <c r="AO321" t="s">
        <v>7535</v>
      </c>
      <c r="AP321" t="s">
        <v>7535</v>
      </c>
      <c r="AU321" t="s">
        <v>102</v>
      </c>
      <c r="AW321" t="s">
        <v>102</v>
      </c>
      <c r="AX321" t="s">
        <v>119</v>
      </c>
      <c r="BA321" t="s">
        <v>250</v>
      </c>
      <c r="BB321" t="s">
        <v>120</v>
      </c>
      <c r="BC321" t="s">
        <v>375</v>
      </c>
      <c r="BD321" t="s">
        <v>376</v>
      </c>
      <c r="BE321" t="s">
        <v>174</v>
      </c>
      <c r="BF321" t="s">
        <v>376</v>
      </c>
      <c r="BG321" t="s">
        <v>124</v>
      </c>
      <c r="BH321" t="s">
        <v>1397</v>
      </c>
      <c r="BI321" t="s">
        <v>126</v>
      </c>
      <c r="BJ321" t="s">
        <v>127</v>
      </c>
      <c r="BK321" t="s">
        <v>7536</v>
      </c>
      <c r="BL321" t="s">
        <v>7537</v>
      </c>
      <c r="BM321" t="s">
        <v>7538</v>
      </c>
      <c r="BN321" t="s">
        <v>6297</v>
      </c>
      <c r="BO321" t="s">
        <v>1917</v>
      </c>
      <c r="BP321" t="s">
        <v>258</v>
      </c>
      <c r="BQ321" t="s">
        <v>1918</v>
      </c>
      <c r="BR321" t="s">
        <v>1919</v>
      </c>
      <c r="BS321" t="s">
        <v>384</v>
      </c>
      <c r="BU321" t="s">
        <v>7539</v>
      </c>
      <c r="BV321" t="s">
        <v>7540</v>
      </c>
      <c r="BX321" t="s">
        <v>7541</v>
      </c>
      <c r="BY321" t="s">
        <v>7542</v>
      </c>
      <c r="BZ321" t="s">
        <v>7543</v>
      </c>
      <c r="CA321" t="s">
        <v>7544</v>
      </c>
      <c r="CB321" t="s">
        <v>7545</v>
      </c>
      <c r="CC321" t="s">
        <v>7546</v>
      </c>
      <c r="CD321" t="s">
        <v>7547</v>
      </c>
      <c r="CE321" t="s">
        <v>7548</v>
      </c>
      <c r="CF321" t="s">
        <v>7549</v>
      </c>
      <c r="CG321" t="s">
        <v>102</v>
      </c>
      <c r="CH321" t="s">
        <v>7550</v>
      </c>
      <c r="CJ321" t="s">
        <v>7551</v>
      </c>
      <c r="CK321" t="s">
        <v>7550</v>
      </c>
      <c r="CL321" t="s">
        <v>375</v>
      </c>
      <c r="CM321" t="s">
        <v>376</v>
      </c>
      <c r="CN321" t="s">
        <v>7551</v>
      </c>
      <c r="CO321" t="s">
        <v>7552</v>
      </c>
      <c r="CP321" t="s">
        <v>7550</v>
      </c>
      <c r="CQ321" t="s">
        <v>7550</v>
      </c>
    </row>
    <row r="322" spans="1:95">
      <c r="A322" t="s">
        <v>149</v>
      </c>
      <c r="B322">
        <v>3826566</v>
      </c>
      <c r="C322" t="s">
        <v>7553</v>
      </c>
      <c r="D322" t="str">
        <f>VLOOKUP(B322,'2025'!B:C,2,0)</f>
        <v>Unnati Sharma</v>
      </c>
      <c r="F322" t="s">
        <v>95</v>
      </c>
      <c r="G322" t="s">
        <v>439</v>
      </c>
      <c r="H322" t="s">
        <v>97</v>
      </c>
      <c r="I322" t="s">
        <v>98</v>
      </c>
      <c r="J322" t="s">
        <v>7554</v>
      </c>
      <c r="K322" t="s">
        <v>100</v>
      </c>
      <c r="L322">
        <v>342000</v>
      </c>
      <c r="M322">
        <v>342000</v>
      </c>
      <c r="N322">
        <v>342000</v>
      </c>
      <c r="O322">
        <v>456</v>
      </c>
      <c r="P322" t="s">
        <v>101</v>
      </c>
      <c r="Q322">
        <v>0</v>
      </c>
      <c r="R322">
        <v>0</v>
      </c>
      <c r="T322">
        <v>0</v>
      </c>
      <c r="U322">
        <v>0</v>
      </c>
      <c r="W322" t="s">
        <v>102</v>
      </c>
      <c r="X322" t="s">
        <v>275</v>
      </c>
      <c r="Z322" t="s">
        <v>3159</v>
      </c>
      <c r="AA322" t="s">
        <v>109</v>
      </c>
      <c r="AB322" t="s">
        <v>102</v>
      </c>
      <c r="AC322" t="s">
        <v>109</v>
      </c>
      <c r="AD322" t="s">
        <v>102</v>
      </c>
      <c r="AE322" t="s">
        <v>109</v>
      </c>
      <c r="AF322" t="s">
        <v>102</v>
      </c>
      <c r="AG322" t="s">
        <v>109</v>
      </c>
      <c r="AH322" t="s">
        <v>102</v>
      </c>
      <c r="AI322" t="s">
        <v>102</v>
      </c>
      <c r="AJ322" t="s">
        <v>2008</v>
      </c>
      <c r="AK322" t="s">
        <v>2008</v>
      </c>
      <c r="AL322" t="s">
        <v>7555</v>
      </c>
      <c r="AM322" t="s">
        <v>7555</v>
      </c>
      <c r="AN322" t="s">
        <v>102</v>
      </c>
      <c r="AO322" t="s">
        <v>116</v>
      </c>
      <c r="AP322" t="s">
        <v>116</v>
      </c>
      <c r="AU322" t="s">
        <v>117</v>
      </c>
      <c r="AV322" t="s">
        <v>118</v>
      </c>
      <c r="AW322" t="s">
        <v>102</v>
      </c>
      <c r="AX322" t="s">
        <v>119</v>
      </c>
      <c r="BB322" t="s">
        <v>120</v>
      </c>
      <c r="BC322" t="s">
        <v>1729</v>
      </c>
      <c r="BD322" t="s">
        <v>730</v>
      </c>
      <c r="BE322" t="s">
        <v>622</v>
      </c>
      <c r="BF322" t="s">
        <v>730</v>
      </c>
      <c r="BG322" t="s">
        <v>124</v>
      </c>
      <c r="BH322" t="s">
        <v>214</v>
      </c>
      <c r="BI322" t="s">
        <v>625</v>
      </c>
      <c r="BJ322" t="s">
        <v>127</v>
      </c>
      <c r="BK322" t="s">
        <v>7556</v>
      </c>
      <c r="BL322" t="s">
        <v>7557</v>
      </c>
      <c r="BM322" t="s">
        <v>7558</v>
      </c>
      <c r="BN322" t="s">
        <v>439</v>
      </c>
      <c r="BO322" t="s">
        <v>7559</v>
      </c>
      <c r="BP322" t="s">
        <v>350</v>
      </c>
      <c r="BQ322" t="s">
        <v>7560</v>
      </c>
      <c r="BR322" t="s">
        <v>7561</v>
      </c>
      <c r="BS322" t="s">
        <v>3562</v>
      </c>
      <c r="BU322" t="s">
        <v>7562</v>
      </c>
      <c r="BV322" t="s">
        <v>7563</v>
      </c>
      <c r="BW322" t="s">
        <v>354</v>
      </c>
      <c r="BX322" t="s">
        <v>7564</v>
      </c>
      <c r="BY322" t="s">
        <v>7565</v>
      </c>
      <c r="BZ322" t="s">
        <v>7566</v>
      </c>
      <c r="CA322" t="s">
        <v>7567</v>
      </c>
      <c r="CB322" t="s">
        <v>7564</v>
      </c>
      <c r="CC322" t="s">
        <v>7565</v>
      </c>
      <c r="CD322" t="s">
        <v>7567</v>
      </c>
      <c r="CE322" t="s">
        <v>7564</v>
      </c>
      <c r="CF322" t="s">
        <v>7565</v>
      </c>
      <c r="CG322" t="s">
        <v>102</v>
      </c>
      <c r="CH322" t="s">
        <v>7568</v>
      </c>
      <c r="CJ322" t="s">
        <v>7569</v>
      </c>
      <c r="CK322" t="s">
        <v>7568</v>
      </c>
      <c r="CL322" t="s">
        <v>1729</v>
      </c>
      <c r="CM322" t="s">
        <v>730</v>
      </c>
      <c r="CN322" t="s">
        <v>7569</v>
      </c>
      <c r="CP322" t="s">
        <v>7568</v>
      </c>
      <c r="CQ322" t="s">
        <v>7568</v>
      </c>
    </row>
    <row r="323" spans="1:95">
      <c r="A323" t="s">
        <v>337</v>
      </c>
      <c r="B323">
        <v>3828357</v>
      </c>
      <c r="C323" t="s">
        <v>7570</v>
      </c>
      <c r="E323" s="4" t="s">
        <v>17377</v>
      </c>
      <c r="F323" t="s">
        <v>95</v>
      </c>
      <c r="G323" t="s">
        <v>7571</v>
      </c>
      <c r="H323" t="s">
        <v>97</v>
      </c>
      <c r="I323" t="s">
        <v>98</v>
      </c>
      <c r="J323" t="s">
        <v>7572</v>
      </c>
      <c r="K323" t="s">
        <v>100</v>
      </c>
      <c r="L323">
        <v>232200</v>
      </c>
      <c r="M323">
        <v>232200</v>
      </c>
      <c r="N323">
        <v>232200</v>
      </c>
      <c r="O323">
        <v>258</v>
      </c>
      <c r="P323" t="s">
        <v>2451</v>
      </c>
      <c r="Q323">
        <v>0</v>
      </c>
      <c r="R323">
        <v>0</v>
      </c>
      <c r="T323">
        <v>0</v>
      </c>
      <c r="U323">
        <v>0</v>
      </c>
      <c r="W323" t="s">
        <v>102</v>
      </c>
      <c r="X323" t="s">
        <v>103</v>
      </c>
      <c r="Y323" t="s">
        <v>104</v>
      </c>
      <c r="AA323" t="s">
        <v>549</v>
      </c>
      <c r="AB323" t="s">
        <v>7573</v>
      </c>
      <c r="AC323" t="s">
        <v>1493</v>
      </c>
      <c r="AD323" t="s">
        <v>7573</v>
      </c>
      <c r="AE323" t="s">
        <v>109</v>
      </c>
      <c r="AF323" t="s">
        <v>102</v>
      </c>
      <c r="AG323" t="s">
        <v>109</v>
      </c>
      <c r="AH323" t="s">
        <v>102</v>
      </c>
      <c r="AI323" t="s">
        <v>102</v>
      </c>
      <c r="AJ323" t="s">
        <v>1778</v>
      </c>
      <c r="AK323" t="s">
        <v>2586</v>
      </c>
      <c r="AL323" t="s">
        <v>7574</v>
      </c>
      <c r="AM323" t="s">
        <v>7575</v>
      </c>
      <c r="AN323" t="s">
        <v>7576</v>
      </c>
      <c r="AO323" t="s">
        <v>554</v>
      </c>
      <c r="AP323" t="s">
        <v>554</v>
      </c>
      <c r="AU323" t="s">
        <v>318</v>
      </c>
      <c r="AV323" t="s">
        <v>118</v>
      </c>
      <c r="AW323" t="s">
        <v>102</v>
      </c>
      <c r="AX323" t="s">
        <v>119</v>
      </c>
      <c r="BB323" t="s">
        <v>120</v>
      </c>
      <c r="BC323" t="s">
        <v>7577</v>
      </c>
      <c r="BD323" t="s">
        <v>410</v>
      </c>
      <c r="BE323" t="s">
        <v>212</v>
      </c>
      <c r="BF323" t="s">
        <v>410</v>
      </c>
      <c r="BG323" t="s">
        <v>124</v>
      </c>
      <c r="BH323" t="s">
        <v>232</v>
      </c>
      <c r="BI323" t="s">
        <v>126</v>
      </c>
      <c r="BJ323" t="s">
        <v>127</v>
      </c>
      <c r="BK323" t="s">
        <v>7578</v>
      </c>
      <c r="BL323" t="s">
        <v>7579</v>
      </c>
      <c r="BM323" t="s">
        <v>7580</v>
      </c>
      <c r="BN323" t="s">
        <v>7571</v>
      </c>
      <c r="BO323" t="s">
        <v>4053</v>
      </c>
      <c r="BP323" t="s">
        <v>258</v>
      </c>
      <c r="BQ323" t="s">
        <v>4054</v>
      </c>
      <c r="BR323" t="s">
        <v>4055</v>
      </c>
      <c r="BS323" t="s">
        <v>4056</v>
      </c>
      <c r="BT323" t="s">
        <v>900</v>
      </c>
      <c r="BU323" t="s">
        <v>7581</v>
      </c>
      <c r="BV323" t="s">
        <v>7582</v>
      </c>
      <c r="BW323" t="s">
        <v>354</v>
      </c>
      <c r="BX323" t="s">
        <v>7583</v>
      </c>
      <c r="BY323" t="s">
        <v>7584</v>
      </c>
      <c r="BZ323" t="s">
        <v>7583</v>
      </c>
      <c r="CA323" t="s">
        <v>7585</v>
      </c>
      <c r="CB323" t="s">
        <v>7583</v>
      </c>
      <c r="CC323" t="s">
        <v>7586</v>
      </c>
      <c r="CD323" t="s">
        <v>7587</v>
      </c>
      <c r="CE323" t="s">
        <v>7588</v>
      </c>
      <c r="CF323" t="s">
        <v>7589</v>
      </c>
      <c r="CG323" t="s">
        <v>573</v>
      </c>
      <c r="CH323" t="s">
        <v>7590</v>
      </c>
      <c r="CJ323" t="s">
        <v>7591</v>
      </c>
      <c r="CK323" t="s">
        <v>7590</v>
      </c>
      <c r="CL323" t="s">
        <v>7577</v>
      </c>
      <c r="CM323" t="s">
        <v>410</v>
      </c>
      <c r="CN323" t="s">
        <v>7591</v>
      </c>
      <c r="CP323" t="s">
        <v>7590</v>
      </c>
      <c r="CQ323" t="s">
        <v>7590</v>
      </c>
    </row>
    <row r="324" spans="1:95">
      <c r="A324" t="s">
        <v>149</v>
      </c>
      <c r="B324">
        <v>3833865</v>
      </c>
      <c r="C324" t="s">
        <v>7592</v>
      </c>
      <c r="D324" t="str">
        <f>VLOOKUP(B324,'2025'!B:C,2,0)</f>
        <v>Rohit</v>
      </c>
      <c r="F324" t="s">
        <v>95</v>
      </c>
      <c r="G324" t="s">
        <v>7593</v>
      </c>
      <c r="H324" t="s">
        <v>97</v>
      </c>
      <c r="I324" t="s">
        <v>98</v>
      </c>
      <c r="J324" t="s">
        <v>7594</v>
      </c>
      <c r="K324" t="s">
        <v>100</v>
      </c>
      <c r="L324">
        <v>390861</v>
      </c>
      <c r="M324">
        <v>390861</v>
      </c>
      <c r="N324">
        <v>390861</v>
      </c>
      <c r="O324">
        <v>487</v>
      </c>
      <c r="P324" t="s">
        <v>7595</v>
      </c>
      <c r="Q324">
        <v>0</v>
      </c>
      <c r="R324">
        <v>0</v>
      </c>
      <c r="T324">
        <v>0</v>
      </c>
      <c r="U324">
        <v>0</v>
      </c>
      <c r="W324" t="s">
        <v>102</v>
      </c>
      <c r="X324" t="s">
        <v>275</v>
      </c>
      <c r="Z324" t="s">
        <v>7596</v>
      </c>
      <c r="AA324" t="s">
        <v>109</v>
      </c>
      <c r="AB324" t="s">
        <v>102</v>
      </c>
      <c r="AC324" t="s">
        <v>109</v>
      </c>
      <c r="AD324" t="s">
        <v>102</v>
      </c>
      <c r="AE324" t="s">
        <v>109</v>
      </c>
      <c r="AF324" t="s">
        <v>102</v>
      </c>
      <c r="AG324" t="s">
        <v>109</v>
      </c>
      <c r="AH324" t="s">
        <v>102</v>
      </c>
      <c r="AI324" t="s">
        <v>7597</v>
      </c>
      <c r="AJ324" t="s">
        <v>3155</v>
      </c>
      <c r="AK324" t="s">
        <v>3155</v>
      </c>
      <c r="AL324" t="s">
        <v>7598</v>
      </c>
      <c r="AM324" t="s">
        <v>7599</v>
      </c>
      <c r="AN324" t="s">
        <v>115</v>
      </c>
      <c r="AO324" t="s">
        <v>7600</v>
      </c>
      <c r="AP324" t="s">
        <v>7600</v>
      </c>
      <c r="AU324" t="s">
        <v>117</v>
      </c>
      <c r="AV324" t="s">
        <v>250</v>
      </c>
      <c r="AW324" t="s">
        <v>102</v>
      </c>
      <c r="AX324" t="s">
        <v>119</v>
      </c>
      <c r="BB324" t="s">
        <v>209</v>
      </c>
      <c r="BC324" t="s">
        <v>2542</v>
      </c>
      <c r="BD324" t="s">
        <v>2543</v>
      </c>
      <c r="BE324" t="s">
        <v>122</v>
      </c>
      <c r="BF324" t="s">
        <v>557</v>
      </c>
      <c r="BG324" t="s">
        <v>124</v>
      </c>
      <c r="BH324" t="s">
        <v>232</v>
      </c>
      <c r="BI324" t="s">
        <v>126</v>
      </c>
      <c r="BJ324" t="s">
        <v>127</v>
      </c>
      <c r="BK324" t="s">
        <v>7601</v>
      </c>
      <c r="BL324" t="s">
        <v>7602</v>
      </c>
      <c r="BM324" t="s">
        <v>7603</v>
      </c>
      <c r="BN324" t="s">
        <v>7593</v>
      </c>
      <c r="BO324" t="s">
        <v>1142</v>
      </c>
      <c r="BP324" t="s">
        <v>350</v>
      </c>
      <c r="BQ324" t="s">
        <v>1143</v>
      </c>
      <c r="BR324" t="s">
        <v>1144</v>
      </c>
      <c r="BS324" t="s">
        <v>1075</v>
      </c>
      <c r="BU324" t="s">
        <v>7604</v>
      </c>
      <c r="BV324" t="s">
        <v>7605</v>
      </c>
      <c r="BW324" t="s">
        <v>296</v>
      </c>
      <c r="BX324" t="s">
        <v>7606</v>
      </c>
      <c r="BY324" t="s">
        <v>7607</v>
      </c>
      <c r="BZ324" t="s">
        <v>7608</v>
      </c>
      <c r="CG324" t="s">
        <v>709</v>
      </c>
      <c r="CH324" t="s">
        <v>7609</v>
      </c>
      <c r="CJ324" t="s">
        <v>7610</v>
      </c>
      <c r="CK324" t="s">
        <v>7609</v>
      </c>
      <c r="CL324" t="s">
        <v>2542</v>
      </c>
      <c r="CM324" t="s">
        <v>2543</v>
      </c>
      <c r="CN324" t="s">
        <v>7610</v>
      </c>
      <c r="CP324" t="s">
        <v>7609</v>
      </c>
      <c r="CQ324" t="s">
        <v>7609</v>
      </c>
    </row>
    <row r="325" spans="1:95">
      <c r="A325" t="s">
        <v>337</v>
      </c>
      <c r="B325">
        <v>3836464</v>
      </c>
      <c r="C325" t="s">
        <v>7611</v>
      </c>
      <c r="E325" s="4" t="s">
        <v>17377</v>
      </c>
      <c r="F325" t="s">
        <v>95</v>
      </c>
      <c r="G325" t="s">
        <v>7612</v>
      </c>
      <c r="H325" t="s">
        <v>97</v>
      </c>
      <c r="I325" t="s">
        <v>98</v>
      </c>
      <c r="J325" t="s">
        <v>7613</v>
      </c>
      <c r="K325" t="s">
        <v>100</v>
      </c>
      <c r="L325">
        <v>120000</v>
      </c>
      <c r="M325">
        <v>120000</v>
      </c>
      <c r="N325">
        <v>120000</v>
      </c>
      <c r="O325">
        <v>200</v>
      </c>
      <c r="P325" t="s">
        <v>310</v>
      </c>
      <c r="Q325">
        <v>0</v>
      </c>
      <c r="R325">
        <v>0</v>
      </c>
      <c r="T325">
        <v>0</v>
      </c>
      <c r="U325">
        <v>0</v>
      </c>
      <c r="W325" t="s">
        <v>102</v>
      </c>
      <c r="X325" t="s">
        <v>103</v>
      </c>
      <c r="Y325" t="s">
        <v>104</v>
      </c>
      <c r="AA325" t="s">
        <v>7612</v>
      </c>
      <c r="AB325" t="s">
        <v>3968</v>
      </c>
      <c r="AC325" t="s">
        <v>1161</v>
      </c>
      <c r="AD325" t="s">
        <v>3968</v>
      </c>
      <c r="AE325" t="s">
        <v>109</v>
      </c>
      <c r="AF325" t="s">
        <v>102</v>
      </c>
      <c r="AG325" t="s">
        <v>109</v>
      </c>
      <c r="AH325" t="s">
        <v>102</v>
      </c>
      <c r="AI325" t="s">
        <v>102</v>
      </c>
      <c r="AJ325" t="s">
        <v>96</v>
      </c>
      <c r="AK325" t="s">
        <v>96</v>
      </c>
      <c r="AL325" t="s">
        <v>7248</v>
      </c>
      <c r="AM325" t="s">
        <v>3968</v>
      </c>
      <c r="AN325" t="s">
        <v>3968</v>
      </c>
      <c r="AO325" t="s">
        <v>317</v>
      </c>
      <c r="AP325" t="s">
        <v>317</v>
      </c>
      <c r="AU325" t="s">
        <v>318</v>
      </c>
      <c r="AV325" t="s">
        <v>118</v>
      </c>
      <c r="AW325" t="s">
        <v>102</v>
      </c>
      <c r="AX325" t="s">
        <v>119</v>
      </c>
      <c r="BB325" t="s">
        <v>120</v>
      </c>
      <c r="BC325" t="s">
        <v>7614</v>
      </c>
      <c r="BD325" t="s">
        <v>2800</v>
      </c>
      <c r="BE325" t="s">
        <v>122</v>
      </c>
      <c r="BF325" t="s">
        <v>346</v>
      </c>
      <c r="BG325" t="s">
        <v>124</v>
      </c>
      <c r="BH325" t="s">
        <v>1848</v>
      </c>
      <c r="BI325" t="s">
        <v>126</v>
      </c>
      <c r="BJ325" t="s">
        <v>127</v>
      </c>
      <c r="BK325" t="s">
        <v>7615</v>
      </c>
      <c r="BL325" t="s">
        <v>7616</v>
      </c>
      <c r="BM325" t="s">
        <v>7617</v>
      </c>
      <c r="BN325" t="s">
        <v>7612</v>
      </c>
      <c r="BO325" t="s">
        <v>325</v>
      </c>
      <c r="BP325" t="s">
        <v>258</v>
      </c>
      <c r="BQ325" t="s">
        <v>326</v>
      </c>
      <c r="BR325" t="s">
        <v>327</v>
      </c>
      <c r="BS325" t="s">
        <v>7618</v>
      </c>
      <c r="BT325" t="s">
        <v>5743</v>
      </c>
      <c r="BU325" t="s">
        <v>7619</v>
      </c>
      <c r="BV325" t="s">
        <v>7620</v>
      </c>
      <c r="BW325" t="s">
        <v>354</v>
      </c>
      <c r="BX325" t="s">
        <v>7621</v>
      </c>
      <c r="BY325" t="s">
        <v>7622</v>
      </c>
      <c r="BZ325" t="s">
        <v>7623</v>
      </c>
      <c r="CA325" t="s">
        <v>7624</v>
      </c>
      <c r="CB325" t="s">
        <v>7625</v>
      </c>
      <c r="CC325" t="s">
        <v>7626</v>
      </c>
      <c r="CD325" t="s">
        <v>7627</v>
      </c>
      <c r="CE325" t="s">
        <v>7625</v>
      </c>
      <c r="CF325" t="s">
        <v>7628</v>
      </c>
      <c r="CG325" t="s">
        <v>492</v>
      </c>
      <c r="CH325" t="s">
        <v>7629</v>
      </c>
      <c r="CJ325" t="s">
        <v>7630</v>
      </c>
      <c r="CK325" t="s">
        <v>7629</v>
      </c>
      <c r="CL325" t="s">
        <v>7614</v>
      </c>
      <c r="CM325" t="s">
        <v>2800</v>
      </c>
      <c r="CN325" t="s">
        <v>7630</v>
      </c>
      <c r="CP325" t="s">
        <v>7629</v>
      </c>
      <c r="CQ325" t="s">
        <v>7629</v>
      </c>
    </row>
    <row r="326" spans="1:95">
      <c r="A326" t="s">
        <v>149</v>
      </c>
      <c r="B326">
        <v>3837686</v>
      </c>
      <c r="C326" t="s">
        <v>7631</v>
      </c>
      <c r="F326" t="s">
        <v>95</v>
      </c>
      <c r="G326" t="s">
        <v>192</v>
      </c>
      <c r="H326" t="s">
        <v>193</v>
      </c>
      <c r="I326" t="s">
        <v>98</v>
      </c>
      <c r="J326" t="s">
        <v>7632</v>
      </c>
      <c r="K326" t="s">
        <v>100</v>
      </c>
      <c r="L326">
        <v>394545</v>
      </c>
      <c r="M326">
        <v>438305</v>
      </c>
      <c r="N326">
        <v>151433</v>
      </c>
      <c r="O326">
        <v>487</v>
      </c>
      <c r="P326" t="s">
        <v>195</v>
      </c>
      <c r="Q326">
        <v>0</v>
      </c>
      <c r="R326">
        <v>0</v>
      </c>
      <c r="T326">
        <v>243112</v>
      </c>
      <c r="U326">
        <v>478</v>
      </c>
      <c r="V326" t="s">
        <v>196</v>
      </c>
      <c r="W326" t="s">
        <v>102</v>
      </c>
      <c r="X326" t="s">
        <v>103</v>
      </c>
      <c r="Y326" t="s">
        <v>104</v>
      </c>
      <c r="AA326" t="s">
        <v>197</v>
      </c>
      <c r="AB326" t="s">
        <v>7633</v>
      </c>
      <c r="AC326" t="s">
        <v>199</v>
      </c>
      <c r="AD326" t="s">
        <v>7633</v>
      </c>
      <c r="AE326" t="s">
        <v>109</v>
      </c>
      <c r="AF326" t="s">
        <v>102</v>
      </c>
      <c r="AG326" t="s">
        <v>109</v>
      </c>
      <c r="AH326" t="s">
        <v>102</v>
      </c>
      <c r="AI326" t="s">
        <v>7634</v>
      </c>
      <c r="AJ326" t="s">
        <v>201</v>
      </c>
      <c r="AK326" t="s">
        <v>202</v>
      </c>
      <c r="AL326" t="s">
        <v>7635</v>
      </c>
      <c r="AM326" t="s">
        <v>7636</v>
      </c>
      <c r="AN326" t="s">
        <v>7637</v>
      </c>
      <c r="AO326" t="s">
        <v>206</v>
      </c>
      <c r="AP326" t="s">
        <v>206</v>
      </c>
      <c r="AU326" t="s">
        <v>207</v>
      </c>
      <c r="AV326" t="s">
        <v>118</v>
      </c>
      <c r="AW326" t="s">
        <v>102</v>
      </c>
      <c r="AX326" t="s">
        <v>119</v>
      </c>
      <c r="BA326" t="s">
        <v>250</v>
      </c>
      <c r="BB326" t="s">
        <v>120</v>
      </c>
      <c r="BC326" t="s">
        <v>5637</v>
      </c>
      <c r="BD326" t="s">
        <v>211</v>
      </c>
      <c r="BE326" t="s">
        <v>212</v>
      </c>
      <c r="BF326" t="s">
        <v>213</v>
      </c>
      <c r="BG326" t="s">
        <v>124</v>
      </c>
      <c r="BH326" t="s">
        <v>214</v>
      </c>
      <c r="BI326" t="s">
        <v>215</v>
      </c>
      <c r="BJ326" t="s">
        <v>127</v>
      </c>
      <c r="BK326" t="s">
        <v>7638</v>
      </c>
      <c r="BL326" t="s">
        <v>7639</v>
      </c>
      <c r="BM326" t="s">
        <v>7640</v>
      </c>
      <c r="BN326" t="s">
        <v>192</v>
      </c>
      <c r="BO326" t="s">
        <v>219</v>
      </c>
      <c r="BP326" t="s">
        <v>180</v>
      </c>
      <c r="BQ326" t="s">
        <v>220</v>
      </c>
      <c r="BR326" t="s">
        <v>221</v>
      </c>
      <c r="BS326" t="s">
        <v>222</v>
      </c>
      <c r="BU326" t="s">
        <v>7641</v>
      </c>
      <c r="BV326" t="s">
        <v>224</v>
      </c>
      <c r="BX326" t="s">
        <v>225</v>
      </c>
      <c r="BY326" t="s">
        <v>226</v>
      </c>
      <c r="BZ326" t="s">
        <v>7642</v>
      </c>
      <c r="CG326" t="s">
        <v>102</v>
      </c>
      <c r="CH326" t="s">
        <v>7643</v>
      </c>
      <c r="CJ326" t="s">
        <v>7644</v>
      </c>
      <c r="CK326" t="s">
        <v>7643</v>
      </c>
      <c r="CL326" t="s">
        <v>5637</v>
      </c>
      <c r="CM326" t="s">
        <v>211</v>
      </c>
      <c r="CN326" t="s">
        <v>7644</v>
      </c>
      <c r="CO326" t="s">
        <v>230</v>
      </c>
      <c r="CP326" t="s">
        <v>7643</v>
      </c>
      <c r="CQ326" t="s">
        <v>7643</v>
      </c>
    </row>
    <row r="327" spans="1:95">
      <c r="A327" t="s">
        <v>149</v>
      </c>
      <c r="B327">
        <v>384445</v>
      </c>
      <c r="C327" t="s">
        <v>7645</v>
      </c>
      <c r="D327" t="str">
        <f>VLOOKUP(B327,'2025'!B:C,2,0)</f>
        <v>Saloni Shah</v>
      </c>
      <c r="F327" t="s">
        <v>95</v>
      </c>
      <c r="G327" t="s">
        <v>7646</v>
      </c>
      <c r="H327" t="s">
        <v>2163</v>
      </c>
      <c r="I327" t="s">
        <v>98</v>
      </c>
      <c r="J327" t="s">
        <v>7647</v>
      </c>
      <c r="K327" t="s">
        <v>100</v>
      </c>
      <c r="L327">
        <v>2113851</v>
      </c>
      <c r="M327">
        <v>2263367</v>
      </c>
      <c r="N327">
        <v>317250</v>
      </c>
      <c r="O327">
        <v>470</v>
      </c>
      <c r="P327" t="s">
        <v>340</v>
      </c>
      <c r="Q327">
        <v>965954</v>
      </c>
      <c r="R327">
        <v>810</v>
      </c>
      <c r="S327" t="s">
        <v>7648</v>
      </c>
      <c r="T327">
        <v>830647</v>
      </c>
      <c r="U327">
        <v>396</v>
      </c>
      <c r="V327" t="s">
        <v>7649</v>
      </c>
      <c r="W327" t="s">
        <v>102</v>
      </c>
      <c r="X327" t="s">
        <v>275</v>
      </c>
      <c r="Z327" t="s">
        <v>7650</v>
      </c>
      <c r="AA327" t="s">
        <v>109</v>
      </c>
      <c r="AB327" t="s">
        <v>102</v>
      </c>
      <c r="AC327" t="s">
        <v>109</v>
      </c>
      <c r="AD327" t="s">
        <v>102</v>
      </c>
      <c r="AE327" t="s">
        <v>109</v>
      </c>
      <c r="AF327" t="s">
        <v>102</v>
      </c>
      <c r="AG327" t="s">
        <v>109</v>
      </c>
      <c r="AH327" t="s">
        <v>102</v>
      </c>
      <c r="AI327" t="s">
        <v>7651</v>
      </c>
      <c r="AJ327" t="s">
        <v>558</v>
      </c>
      <c r="AK327" t="s">
        <v>7652</v>
      </c>
      <c r="AL327" t="s">
        <v>7653</v>
      </c>
      <c r="AM327" t="s">
        <v>7654</v>
      </c>
      <c r="AN327" t="s">
        <v>7655</v>
      </c>
      <c r="AO327" t="s">
        <v>7656</v>
      </c>
      <c r="AP327" t="s">
        <v>7657</v>
      </c>
      <c r="AQ327" t="s">
        <v>343</v>
      </c>
      <c r="AU327" t="s">
        <v>207</v>
      </c>
      <c r="AV327" t="s">
        <v>118</v>
      </c>
      <c r="AW327" t="s">
        <v>7658</v>
      </c>
      <c r="AX327" t="s">
        <v>119</v>
      </c>
      <c r="AZ327" t="s">
        <v>250</v>
      </c>
      <c r="BA327" t="s">
        <v>250</v>
      </c>
      <c r="BB327" t="s">
        <v>171</v>
      </c>
      <c r="BC327" t="s">
        <v>623</v>
      </c>
      <c r="BD327" t="s">
        <v>621</v>
      </c>
      <c r="BE327" t="s">
        <v>622</v>
      </c>
      <c r="BF327" t="s">
        <v>623</v>
      </c>
      <c r="BG327" t="s">
        <v>124</v>
      </c>
      <c r="BH327" t="s">
        <v>232</v>
      </c>
      <c r="BI327" t="s">
        <v>126</v>
      </c>
      <c r="BJ327" t="s">
        <v>127</v>
      </c>
      <c r="BK327" t="s">
        <v>7659</v>
      </c>
      <c r="BL327" t="s">
        <v>7660</v>
      </c>
      <c r="BM327" t="s">
        <v>7661</v>
      </c>
      <c r="BN327" t="s">
        <v>7646</v>
      </c>
      <c r="BO327" t="s">
        <v>1339</v>
      </c>
      <c r="BP327" t="s">
        <v>132</v>
      </c>
      <c r="BQ327" t="s">
        <v>1340</v>
      </c>
      <c r="BR327" t="s">
        <v>1341</v>
      </c>
      <c r="BS327" t="s">
        <v>632</v>
      </c>
      <c r="BU327" t="s">
        <v>7662</v>
      </c>
      <c r="BV327" t="s">
        <v>7663</v>
      </c>
      <c r="BW327" t="s">
        <v>1282</v>
      </c>
      <c r="BX327" t="s">
        <v>7664</v>
      </c>
      <c r="BY327" t="s">
        <v>7665</v>
      </c>
      <c r="BZ327" t="s">
        <v>1345</v>
      </c>
      <c r="CA327" t="s">
        <v>7666</v>
      </c>
      <c r="CB327" t="s">
        <v>7667</v>
      </c>
      <c r="CC327" t="s">
        <v>7668</v>
      </c>
      <c r="CD327" t="s">
        <v>7669</v>
      </c>
      <c r="CE327" t="s">
        <v>7670</v>
      </c>
      <c r="CF327" t="s">
        <v>7671</v>
      </c>
      <c r="CG327" t="s">
        <v>102</v>
      </c>
      <c r="CH327" t="s">
        <v>7672</v>
      </c>
      <c r="CJ327" t="s">
        <v>3177</v>
      </c>
      <c r="CK327" t="s">
        <v>7672</v>
      </c>
      <c r="CL327" t="s">
        <v>623</v>
      </c>
      <c r="CM327" t="s">
        <v>621</v>
      </c>
      <c r="CN327" t="s">
        <v>3177</v>
      </c>
      <c r="CO327" t="s">
        <v>7673</v>
      </c>
      <c r="CP327" t="s">
        <v>7672</v>
      </c>
      <c r="CQ327" t="s">
        <v>7672</v>
      </c>
    </row>
    <row r="328" spans="1:95">
      <c r="A328" t="s">
        <v>149</v>
      </c>
      <c r="B328">
        <v>3848229</v>
      </c>
      <c r="C328" t="s">
        <v>7674</v>
      </c>
      <c r="F328" t="s">
        <v>95</v>
      </c>
      <c r="G328" t="s">
        <v>517</v>
      </c>
      <c r="H328" t="s">
        <v>97</v>
      </c>
      <c r="I328" t="s">
        <v>98</v>
      </c>
      <c r="J328" t="s">
        <v>7675</v>
      </c>
      <c r="K328" t="s">
        <v>100</v>
      </c>
      <c r="L328">
        <v>332310</v>
      </c>
      <c r="M328">
        <v>332310</v>
      </c>
      <c r="N328">
        <v>332310</v>
      </c>
      <c r="O328">
        <v>583</v>
      </c>
      <c r="P328" t="s">
        <v>519</v>
      </c>
      <c r="Q328">
        <v>0</v>
      </c>
      <c r="R328">
        <v>0</v>
      </c>
      <c r="T328">
        <v>0</v>
      </c>
      <c r="U328">
        <v>0</v>
      </c>
      <c r="W328" t="s">
        <v>102</v>
      </c>
      <c r="X328" t="s">
        <v>275</v>
      </c>
      <c r="Z328" t="s">
        <v>520</v>
      </c>
      <c r="AA328" t="s">
        <v>109</v>
      </c>
      <c r="AB328" t="s">
        <v>102</v>
      </c>
      <c r="AC328" t="s">
        <v>109</v>
      </c>
      <c r="AD328" t="s">
        <v>102</v>
      </c>
      <c r="AE328" t="s">
        <v>109</v>
      </c>
      <c r="AF328" t="s">
        <v>102</v>
      </c>
      <c r="AG328" t="s">
        <v>109</v>
      </c>
      <c r="AH328" t="s">
        <v>102</v>
      </c>
      <c r="AI328" t="s">
        <v>7676</v>
      </c>
      <c r="AJ328" t="s">
        <v>522</v>
      </c>
      <c r="AK328" t="s">
        <v>522</v>
      </c>
      <c r="AL328" t="s">
        <v>7677</v>
      </c>
      <c r="AM328" t="s">
        <v>7678</v>
      </c>
      <c r="AN328" t="s">
        <v>102</v>
      </c>
      <c r="AO328" t="s">
        <v>525</v>
      </c>
      <c r="AP328" t="s">
        <v>525</v>
      </c>
      <c r="AU328" t="s">
        <v>318</v>
      </c>
      <c r="AV328" t="s">
        <v>118</v>
      </c>
      <c r="AW328" t="s">
        <v>102</v>
      </c>
      <c r="AX328" t="s">
        <v>119</v>
      </c>
      <c r="BB328" t="s">
        <v>120</v>
      </c>
      <c r="BC328" t="s">
        <v>284</v>
      </c>
      <c r="BD328" t="s">
        <v>285</v>
      </c>
      <c r="BE328" t="s">
        <v>212</v>
      </c>
      <c r="BF328" t="s">
        <v>286</v>
      </c>
      <c r="BG328" t="s">
        <v>124</v>
      </c>
      <c r="BH328" t="s">
        <v>214</v>
      </c>
      <c r="BI328" t="s">
        <v>126</v>
      </c>
      <c r="BJ328" t="s">
        <v>127</v>
      </c>
      <c r="BK328" t="s">
        <v>7679</v>
      </c>
      <c r="BL328" t="s">
        <v>7680</v>
      </c>
      <c r="BM328" t="s">
        <v>7681</v>
      </c>
      <c r="BN328" t="s">
        <v>517</v>
      </c>
      <c r="BO328" t="s">
        <v>290</v>
      </c>
      <c r="BP328" t="s">
        <v>132</v>
      </c>
      <c r="BQ328" t="s">
        <v>291</v>
      </c>
      <c r="BR328" t="s">
        <v>292</v>
      </c>
      <c r="BS328" t="s">
        <v>293</v>
      </c>
      <c r="BU328" t="s">
        <v>7682</v>
      </c>
      <c r="BV328" t="s">
        <v>3892</v>
      </c>
      <c r="BW328" t="s">
        <v>354</v>
      </c>
      <c r="BX328" t="s">
        <v>531</v>
      </c>
      <c r="BY328" t="s">
        <v>532</v>
      </c>
      <c r="CA328" t="s">
        <v>7683</v>
      </c>
      <c r="CB328" t="s">
        <v>7684</v>
      </c>
      <c r="CD328" t="s">
        <v>7685</v>
      </c>
      <c r="CE328" t="s">
        <v>7686</v>
      </c>
      <c r="CF328" t="s">
        <v>7687</v>
      </c>
      <c r="CG328" t="s">
        <v>102</v>
      </c>
      <c r="CH328" t="s">
        <v>7688</v>
      </c>
      <c r="CJ328" t="s">
        <v>7689</v>
      </c>
      <c r="CK328" t="s">
        <v>7688</v>
      </c>
      <c r="CL328" t="s">
        <v>284</v>
      </c>
      <c r="CM328" t="s">
        <v>285</v>
      </c>
      <c r="CN328" t="s">
        <v>7689</v>
      </c>
      <c r="CO328" t="s">
        <v>6500</v>
      </c>
      <c r="CP328" t="s">
        <v>7688</v>
      </c>
      <c r="CQ328" t="s">
        <v>7688</v>
      </c>
    </row>
    <row r="329" spans="1:95">
      <c r="A329" t="s">
        <v>93</v>
      </c>
      <c r="B329">
        <v>3865650</v>
      </c>
      <c r="C329" t="s">
        <v>7690</v>
      </c>
      <c r="E329" s="4" t="s">
        <v>17377</v>
      </c>
      <c r="F329" t="s">
        <v>95</v>
      </c>
      <c r="G329" t="s">
        <v>1470</v>
      </c>
      <c r="H329" t="s">
        <v>848</v>
      </c>
      <c r="I329" t="s">
        <v>98</v>
      </c>
      <c r="J329" t="s">
        <v>7691</v>
      </c>
      <c r="K329" t="s">
        <v>100</v>
      </c>
      <c r="L329">
        <v>525626</v>
      </c>
      <c r="M329">
        <v>620239</v>
      </c>
      <c r="N329">
        <v>0</v>
      </c>
      <c r="O329">
        <v>0</v>
      </c>
      <c r="Q329">
        <v>0</v>
      </c>
      <c r="R329">
        <v>0</v>
      </c>
      <c r="T329">
        <v>525626</v>
      </c>
      <c r="U329">
        <v>365</v>
      </c>
      <c r="V329" t="s">
        <v>7692</v>
      </c>
      <c r="W329" t="s">
        <v>102</v>
      </c>
      <c r="X329" t="s">
        <v>103</v>
      </c>
      <c r="Y329" t="s">
        <v>155</v>
      </c>
      <c r="AA329" t="s">
        <v>232</v>
      </c>
      <c r="AB329" t="s">
        <v>7693</v>
      </c>
      <c r="AC329" t="s">
        <v>892</v>
      </c>
      <c r="AD329" t="s">
        <v>7693</v>
      </c>
      <c r="AE329" t="s">
        <v>437</v>
      </c>
      <c r="AF329" t="s">
        <v>7693</v>
      </c>
      <c r="AG329" t="s">
        <v>439</v>
      </c>
      <c r="AH329" t="s">
        <v>7693</v>
      </c>
      <c r="AI329" t="s">
        <v>102</v>
      </c>
      <c r="AJ329" t="s">
        <v>7694</v>
      </c>
      <c r="AK329" t="s">
        <v>7695</v>
      </c>
      <c r="AL329" t="s">
        <v>7696</v>
      </c>
      <c r="AM329" t="s">
        <v>7697</v>
      </c>
      <c r="AN329" t="s">
        <v>7698</v>
      </c>
      <c r="AO329" t="s">
        <v>7699</v>
      </c>
      <c r="AP329" t="s">
        <v>7699</v>
      </c>
      <c r="AU329" t="s">
        <v>102</v>
      </c>
      <c r="AW329" t="s">
        <v>102</v>
      </c>
      <c r="AX329" t="s">
        <v>119</v>
      </c>
      <c r="BA329" t="s">
        <v>208</v>
      </c>
      <c r="BB329" t="s">
        <v>1964</v>
      </c>
      <c r="BC329" t="s">
        <v>4216</v>
      </c>
      <c r="BD329" t="s">
        <v>556</v>
      </c>
      <c r="BE329" t="s">
        <v>122</v>
      </c>
      <c r="BF329" t="s">
        <v>557</v>
      </c>
      <c r="BG329" t="s">
        <v>124</v>
      </c>
      <c r="BH329" t="s">
        <v>232</v>
      </c>
      <c r="BI329" t="s">
        <v>126</v>
      </c>
      <c r="BJ329" t="s">
        <v>127</v>
      </c>
      <c r="BK329" t="s">
        <v>7700</v>
      </c>
      <c r="BL329" t="s">
        <v>7701</v>
      </c>
      <c r="BM329" t="s">
        <v>7702</v>
      </c>
      <c r="BN329" t="s">
        <v>1470</v>
      </c>
      <c r="BO329" t="s">
        <v>1071</v>
      </c>
      <c r="BP329" t="s">
        <v>258</v>
      </c>
      <c r="BQ329" t="s">
        <v>1072</v>
      </c>
      <c r="BR329" t="s">
        <v>1073</v>
      </c>
      <c r="BS329" t="s">
        <v>1075</v>
      </c>
      <c r="BT329" t="s">
        <v>1075</v>
      </c>
      <c r="BU329" t="s">
        <v>7703</v>
      </c>
      <c r="BV329" t="s">
        <v>7704</v>
      </c>
      <c r="BW329" t="s">
        <v>138</v>
      </c>
      <c r="BX329" t="s">
        <v>7705</v>
      </c>
      <c r="BY329" t="s">
        <v>7706</v>
      </c>
      <c r="BZ329" t="s">
        <v>7707</v>
      </c>
      <c r="CA329" t="s">
        <v>7704</v>
      </c>
      <c r="CB329" t="s">
        <v>7705</v>
      </c>
      <c r="CC329" t="s">
        <v>7706</v>
      </c>
      <c r="CG329" t="s">
        <v>7708</v>
      </c>
      <c r="CH329" t="s">
        <v>7709</v>
      </c>
      <c r="CJ329" t="s">
        <v>7710</v>
      </c>
      <c r="CK329" t="s">
        <v>7709</v>
      </c>
      <c r="CL329" t="s">
        <v>4216</v>
      </c>
      <c r="CM329" t="s">
        <v>556</v>
      </c>
      <c r="CN329" t="s">
        <v>7710</v>
      </c>
      <c r="CP329" t="s">
        <v>7709</v>
      </c>
      <c r="CQ329" t="s">
        <v>7709</v>
      </c>
    </row>
    <row r="330" spans="1:95">
      <c r="A330" t="s">
        <v>337</v>
      </c>
      <c r="B330">
        <v>3871414</v>
      </c>
      <c r="C330" t="s">
        <v>5145</v>
      </c>
      <c r="F330" t="s">
        <v>95</v>
      </c>
      <c r="G330" t="s">
        <v>2349</v>
      </c>
      <c r="H330" t="s">
        <v>97</v>
      </c>
      <c r="I330" t="s">
        <v>98</v>
      </c>
      <c r="J330" t="s">
        <v>7711</v>
      </c>
      <c r="K330" t="s">
        <v>100</v>
      </c>
      <c r="L330">
        <v>51096</v>
      </c>
      <c r="M330">
        <v>51096</v>
      </c>
      <c r="N330">
        <v>51096</v>
      </c>
      <c r="O330">
        <v>73</v>
      </c>
      <c r="P330" t="s">
        <v>799</v>
      </c>
      <c r="Q330">
        <v>0</v>
      </c>
      <c r="R330">
        <v>0</v>
      </c>
      <c r="T330">
        <v>0</v>
      </c>
      <c r="U330">
        <v>0</v>
      </c>
      <c r="W330" t="s">
        <v>102</v>
      </c>
      <c r="X330" t="s">
        <v>275</v>
      </c>
      <c r="Z330" t="s">
        <v>341</v>
      </c>
      <c r="AA330" t="s">
        <v>109</v>
      </c>
      <c r="AB330" t="s">
        <v>102</v>
      </c>
      <c r="AC330" t="s">
        <v>109</v>
      </c>
      <c r="AD330" t="s">
        <v>102</v>
      </c>
      <c r="AE330" t="s">
        <v>109</v>
      </c>
      <c r="AF330" t="s">
        <v>102</v>
      </c>
      <c r="AG330" t="s">
        <v>109</v>
      </c>
      <c r="AH330" t="s">
        <v>102</v>
      </c>
      <c r="AI330" t="s">
        <v>102</v>
      </c>
      <c r="AJ330" t="s">
        <v>2349</v>
      </c>
      <c r="AK330" t="s">
        <v>7712</v>
      </c>
      <c r="AL330" t="s">
        <v>7713</v>
      </c>
      <c r="AM330" t="s">
        <v>7714</v>
      </c>
      <c r="AN330" t="s">
        <v>7715</v>
      </c>
      <c r="AO330" t="s">
        <v>7716</v>
      </c>
      <c r="AP330" t="s">
        <v>7717</v>
      </c>
      <c r="AQ330" t="s">
        <v>343</v>
      </c>
      <c r="AU330" t="s">
        <v>318</v>
      </c>
      <c r="AV330" t="s">
        <v>250</v>
      </c>
      <c r="AW330" t="s">
        <v>102</v>
      </c>
      <c r="AX330" t="s">
        <v>119</v>
      </c>
      <c r="BB330" t="s">
        <v>120</v>
      </c>
      <c r="BC330" t="s">
        <v>7718</v>
      </c>
      <c r="BD330" t="s">
        <v>211</v>
      </c>
      <c r="BE330" t="s">
        <v>212</v>
      </c>
      <c r="BF330" t="s">
        <v>213</v>
      </c>
      <c r="BG330" t="s">
        <v>124</v>
      </c>
      <c r="BH330" t="s">
        <v>851</v>
      </c>
      <c r="BI330" t="s">
        <v>7719</v>
      </c>
      <c r="BJ330" t="s">
        <v>127</v>
      </c>
      <c r="BK330" t="s">
        <v>7720</v>
      </c>
      <c r="BL330" t="s">
        <v>7721</v>
      </c>
      <c r="BM330" t="s">
        <v>7722</v>
      </c>
      <c r="BN330" t="s">
        <v>2349</v>
      </c>
      <c r="BO330" t="s">
        <v>1309</v>
      </c>
      <c r="BP330" t="s">
        <v>180</v>
      </c>
      <c r="BQ330" t="s">
        <v>1310</v>
      </c>
      <c r="BR330" t="s">
        <v>1311</v>
      </c>
      <c r="BS330" t="s">
        <v>1312</v>
      </c>
      <c r="BT330" t="s">
        <v>900</v>
      </c>
      <c r="BU330" t="s">
        <v>7723</v>
      </c>
      <c r="BV330" t="s">
        <v>7724</v>
      </c>
      <c r="BW330" t="s">
        <v>138</v>
      </c>
      <c r="BX330" t="s">
        <v>7725</v>
      </c>
      <c r="BY330" t="s">
        <v>7726</v>
      </c>
      <c r="BZ330" t="s">
        <v>7727</v>
      </c>
      <c r="CG330" t="s">
        <v>5811</v>
      </c>
      <c r="CH330" t="s">
        <v>7728</v>
      </c>
      <c r="CJ330" t="s">
        <v>5392</v>
      </c>
      <c r="CK330" t="s">
        <v>7728</v>
      </c>
      <c r="CL330" t="s">
        <v>7718</v>
      </c>
      <c r="CM330" t="s">
        <v>211</v>
      </c>
      <c r="CN330" t="s">
        <v>5392</v>
      </c>
      <c r="CO330" t="s">
        <v>102</v>
      </c>
      <c r="CP330" t="s">
        <v>7728</v>
      </c>
      <c r="CQ330" t="s">
        <v>7728</v>
      </c>
    </row>
    <row r="331" spans="1:95">
      <c r="A331" t="s">
        <v>337</v>
      </c>
      <c r="B331">
        <v>3874471</v>
      </c>
      <c r="C331" t="s">
        <v>7729</v>
      </c>
      <c r="E331" s="4" t="s">
        <v>17377</v>
      </c>
      <c r="F331" t="s">
        <v>95</v>
      </c>
      <c r="G331" t="s">
        <v>232</v>
      </c>
      <c r="H331" t="s">
        <v>1746</v>
      </c>
      <c r="I331" t="s">
        <v>98</v>
      </c>
      <c r="J331" t="s">
        <v>7730</v>
      </c>
      <c r="K331" t="s">
        <v>100</v>
      </c>
      <c r="L331">
        <v>1726292</v>
      </c>
      <c r="M331">
        <v>1898765</v>
      </c>
      <c r="N331">
        <v>586279</v>
      </c>
      <c r="O331">
        <v>1196</v>
      </c>
      <c r="P331" t="s">
        <v>7731</v>
      </c>
      <c r="Q331">
        <v>181832</v>
      </c>
      <c r="R331">
        <v>214</v>
      </c>
      <c r="S331" t="s">
        <v>2105</v>
      </c>
      <c r="T331">
        <v>958181</v>
      </c>
      <c r="U331">
        <v>961</v>
      </c>
      <c r="V331" t="s">
        <v>7732</v>
      </c>
      <c r="W331" t="s">
        <v>102</v>
      </c>
      <c r="X331" t="s">
        <v>275</v>
      </c>
      <c r="Z331" t="s">
        <v>341</v>
      </c>
      <c r="AA331" t="s">
        <v>109</v>
      </c>
      <c r="AB331" t="s">
        <v>102</v>
      </c>
      <c r="AC331" t="s">
        <v>109</v>
      </c>
      <c r="AD331" t="s">
        <v>102</v>
      </c>
      <c r="AE331" t="s">
        <v>109</v>
      </c>
      <c r="AF331" t="s">
        <v>102</v>
      </c>
      <c r="AG331" t="s">
        <v>109</v>
      </c>
      <c r="AH331" t="s">
        <v>102</v>
      </c>
      <c r="AI331" t="s">
        <v>7733</v>
      </c>
      <c r="AJ331" t="s">
        <v>2947</v>
      </c>
      <c r="AK331" t="s">
        <v>7734</v>
      </c>
      <c r="AL331" t="s">
        <v>7735</v>
      </c>
      <c r="AM331" t="s">
        <v>7736</v>
      </c>
      <c r="AN331" t="s">
        <v>7737</v>
      </c>
      <c r="AO331" t="s">
        <v>7738</v>
      </c>
      <c r="AP331" t="s">
        <v>7739</v>
      </c>
      <c r="AQ331" t="s">
        <v>169</v>
      </c>
      <c r="AR331" t="s">
        <v>169</v>
      </c>
      <c r="AS331" t="s">
        <v>169</v>
      </c>
      <c r="AU331" t="s">
        <v>318</v>
      </c>
      <c r="AV331" t="s">
        <v>118</v>
      </c>
      <c r="AW331" t="s">
        <v>155</v>
      </c>
      <c r="AX331" t="s">
        <v>119</v>
      </c>
      <c r="AY331" t="s">
        <v>170</v>
      </c>
      <c r="AZ331" t="s">
        <v>118</v>
      </c>
      <c r="BA331" t="s">
        <v>250</v>
      </c>
      <c r="BB331" t="s">
        <v>120</v>
      </c>
      <c r="BC331" t="s">
        <v>4153</v>
      </c>
      <c r="BD331" t="s">
        <v>320</v>
      </c>
      <c r="BE331" t="s">
        <v>122</v>
      </c>
      <c r="BF331" t="s">
        <v>123</v>
      </c>
      <c r="BG331" t="s">
        <v>124</v>
      </c>
      <c r="BH331" t="s">
        <v>232</v>
      </c>
      <c r="BI331" t="s">
        <v>126</v>
      </c>
      <c r="BJ331" t="s">
        <v>127</v>
      </c>
      <c r="BK331" t="s">
        <v>7740</v>
      </c>
      <c r="BL331" t="s">
        <v>7741</v>
      </c>
      <c r="BM331" t="s">
        <v>7742</v>
      </c>
      <c r="BN331" t="s">
        <v>232</v>
      </c>
      <c r="BO331" t="s">
        <v>7743</v>
      </c>
      <c r="BP331" t="s">
        <v>350</v>
      </c>
      <c r="BQ331" t="s">
        <v>7744</v>
      </c>
      <c r="BR331" t="s">
        <v>7745</v>
      </c>
      <c r="BS331" t="s">
        <v>7008</v>
      </c>
      <c r="BU331" t="s">
        <v>7746</v>
      </c>
      <c r="BV331" t="s">
        <v>7747</v>
      </c>
      <c r="BW331" t="s">
        <v>354</v>
      </c>
      <c r="BX331" t="s">
        <v>7748</v>
      </c>
      <c r="BY331" t="s">
        <v>7749</v>
      </c>
      <c r="BZ331" t="s">
        <v>7748</v>
      </c>
      <c r="CG331" t="s">
        <v>7750</v>
      </c>
      <c r="CH331" t="s">
        <v>7751</v>
      </c>
      <c r="CJ331" t="s">
        <v>7752</v>
      </c>
      <c r="CK331" t="s">
        <v>7751</v>
      </c>
      <c r="CL331" t="s">
        <v>4153</v>
      </c>
      <c r="CM331" t="s">
        <v>320</v>
      </c>
      <c r="CN331" t="s">
        <v>7752</v>
      </c>
      <c r="CP331" t="s">
        <v>7751</v>
      </c>
      <c r="CQ331" t="s">
        <v>7751</v>
      </c>
    </row>
    <row r="332" spans="1:95">
      <c r="A332" t="s">
        <v>337</v>
      </c>
      <c r="B332">
        <v>3875940</v>
      </c>
      <c r="C332" t="s">
        <v>7753</v>
      </c>
      <c r="D332" t="str">
        <f>VLOOKUP(B332,'2025'!B:C,2,0)</f>
        <v>Gargi Ghosh</v>
      </c>
      <c r="F332" t="s">
        <v>95</v>
      </c>
      <c r="G332" t="s">
        <v>578</v>
      </c>
      <c r="H332" t="s">
        <v>152</v>
      </c>
      <c r="I332" t="s">
        <v>98</v>
      </c>
      <c r="J332" t="s">
        <v>7754</v>
      </c>
      <c r="K332" t="s">
        <v>100</v>
      </c>
      <c r="L332">
        <v>244807</v>
      </c>
      <c r="M332">
        <v>244807</v>
      </c>
      <c r="N332">
        <v>0</v>
      </c>
      <c r="O332">
        <v>0</v>
      </c>
      <c r="Q332">
        <v>244807</v>
      </c>
      <c r="R332">
        <v>136</v>
      </c>
      <c r="S332" t="s">
        <v>3005</v>
      </c>
      <c r="T332">
        <v>0</v>
      </c>
      <c r="U332">
        <v>0</v>
      </c>
      <c r="W332" t="s">
        <v>102</v>
      </c>
      <c r="X332" t="s">
        <v>103</v>
      </c>
      <c r="Y332" t="s">
        <v>155</v>
      </c>
      <c r="AA332" t="s">
        <v>1470</v>
      </c>
      <c r="AB332" t="s">
        <v>7755</v>
      </c>
      <c r="AC332" t="s">
        <v>1374</v>
      </c>
      <c r="AD332" t="s">
        <v>7755</v>
      </c>
      <c r="AE332" t="s">
        <v>1200</v>
      </c>
      <c r="AF332" t="s">
        <v>7755</v>
      </c>
      <c r="AG332" t="s">
        <v>1201</v>
      </c>
      <c r="AH332" t="s">
        <v>7755</v>
      </c>
      <c r="AI332" t="s">
        <v>102</v>
      </c>
      <c r="AJ332" t="s">
        <v>1822</v>
      </c>
      <c r="AK332" t="s">
        <v>5022</v>
      </c>
      <c r="AL332" t="s">
        <v>7756</v>
      </c>
      <c r="AM332" t="s">
        <v>7757</v>
      </c>
      <c r="AN332" t="s">
        <v>7758</v>
      </c>
      <c r="AO332" t="s">
        <v>7759</v>
      </c>
      <c r="AP332" t="s">
        <v>7759</v>
      </c>
      <c r="AU332" t="s">
        <v>102</v>
      </c>
      <c r="AW332" t="s">
        <v>155</v>
      </c>
      <c r="AX332" t="s">
        <v>447</v>
      </c>
      <c r="AY332" t="s">
        <v>170</v>
      </c>
      <c r="AZ332" t="s">
        <v>118</v>
      </c>
      <c r="BB332" t="s">
        <v>171</v>
      </c>
      <c r="BC332" t="s">
        <v>7760</v>
      </c>
      <c r="BD332" t="s">
        <v>376</v>
      </c>
      <c r="BE332" t="s">
        <v>174</v>
      </c>
      <c r="BF332" t="s">
        <v>376</v>
      </c>
      <c r="BG332" t="s">
        <v>124</v>
      </c>
      <c r="BH332" t="s">
        <v>5021</v>
      </c>
      <c r="BI332" t="s">
        <v>160</v>
      </c>
      <c r="BJ332" t="s">
        <v>127</v>
      </c>
      <c r="BK332" t="s">
        <v>7761</v>
      </c>
      <c r="BL332" t="s">
        <v>7762</v>
      </c>
      <c r="BM332" t="s">
        <v>7763</v>
      </c>
      <c r="BN332" t="s">
        <v>578</v>
      </c>
      <c r="BO332" t="s">
        <v>5026</v>
      </c>
      <c r="BP332" t="s">
        <v>180</v>
      </c>
      <c r="BQ332" t="s">
        <v>5027</v>
      </c>
      <c r="BR332" t="s">
        <v>5028</v>
      </c>
      <c r="BS332" t="s">
        <v>5029</v>
      </c>
      <c r="BU332" t="s">
        <v>7764</v>
      </c>
      <c r="BV332" t="s">
        <v>7765</v>
      </c>
      <c r="BW332" t="s">
        <v>138</v>
      </c>
      <c r="BX332" t="s">
        <v>7766</v>
      </c>
      <c r="BY332" t="s">
        <v>7767</v>
      </c>
      <c r="BZ332" t="s">
        <v>7766</v>
      </c>
      <c r="CA332" t="s">
        <v>7765</v>
      </c>
      <c r="CB332" t="s">
        <v>7766</v>
      </c>
      <c r="CC332" t="s">
        <v>7767</v>
      </c>
      <c r="CD332" t="s">
        <v>7768</v>
      </c>
      <c r="CE332" t="s">
        <v>7769</v>
      </c>
      <c r="CF332" t="s">
        <v>7770</v>
      </c>
      <c r="CG332" t="s">
        <v>358</v>
      </c>
      <c r="CH332" t="s">
        <v>7771</v>
      </c>
      <c r="CJ332" t="s">
        <v>7772</v>
      </c>
      <c r="CK332" t="s">
        <v>7771</v>
      </c>
      <c r="CL332" t="s">
        <v>7760</v>
      </c>
      <c r="CM332" t="s">
        <v>376</v>
      </c>
      <c r="CN332" t="s">
        <v>7772</v>
      </c>
      <c r="CP332" t="s">
        <v>7771</v>
      </c>
      <c r="CQ332" t="s">
        <v>7771</v>
      </c>
    </row>
    <row r="333" spans="1:95">
      <c r="A333" t="s">
        <v>149</v>
      </c>
      <c r="B333">
        <v>3878188</v>
      </c>
      <c r="C333" t="s">
        <v>7773</v>
      </c>
      <c r="D333" t="str">
        <f>VLOOKUP(B333,'2025'!B:C,2,0)</f>
        <v>Bhavishya</v>
      </c>
      <c r="F333" t="s">
        <v>95</v>
      </c>
      <c r="G333" t="s">
        <v>993</v>
      </c>
      <c r="H333" t="s">
        <v>97</v>
      </c>
      <c r="I333" t="s">
        <v>98</v>
      </c>
      <c r="J333" t="s">
        <v>7774</v>
      </c>
      <c r="K333" t="s">
        <v>100</v>
      </c>
      <c r="L333">
        <v>76950</v>
      </c>
      <c r="M333">
        <v>76950</v>
      </c>
      <c r="N333">
        <v>76950</v>
      </c>
      <c r="O333">
        <v>114</v>
      </c>
      <c r="P333" t="s">
        <v>340</v>
      </c>
      <c r="Q333">
        <v>0</v>
      </c>
      <c r="R333">
        <v>0</v>
      </c>
      <c r="T333">
        <v>0</v>
      </c>
      <c r="U333">
        <v>0</v>
      </c>
      <c r="W333" t="s">
        <v>102</v>
      </c>
      <c r="X333" t="s">
        <v>275</v>
      </c>
      <c r="Z333" t="s">
        <v>341</v>
      </c>
      <c r="AA333" t="s">
        <v>109</v>
      </c>
      <c r="AB333" t="s">
        <v>102</v>
      </c>
      <c r="AC333" t="s">
        <v>109</v>
      </c>
      <c r="AD333" t="s">
        <v>102</v>
      </c>
      <c r="AE333" t="s">
        <v>109</v>
      </c>
      <c r="AF333" t="s">
        <v>102</v>
      </c>
      <c r="AG333" t="s">
        <v>109</v>
      </c>
      <c r="AH333" t="s">
        <v>102</v>
      </c>
      <c r="AI333" t="s">
        <v>102</v>
      </c>
      <c r="AL333" t="s">
        <v>7775</v>
      </c>
      <c r="AM333" t="s">
        <v>102</v>
      </c>
      <c r="AN333" t="s">
        <v>7775</v>
      </c>
      <c r="AO333" t="s">
        <v>317</v>
      </c>
      <c r="AP333" t="s">
        <v>116</v>
      </c>
      <c r="AQ333" t="s">
        <v>343</v>
      </c>
      <c r="AU333" t="s">
        <v>318</v>
      </c>
      <c r="AV333" t="s">
        <v>118</v>
      </c>
      <c r="AW333" t="s">
        <v>102</v>
      </c>
      <c r="AX333" t="s">
        <v>119</v>
      </c>
      <c r="BB333" t="s">
        <v>120</v>
      </c>
      <c r="BC333" t="s">
        <v>7776</v>
      </c>
      <c r="BD333" t="s">
        <v>320</v>
      </c>
      <c r="BE333" t="s">
        <v>122</v>
      </c>
      <c r="BF333" t="s">
        <v>123</v>
      </c>
      <c r="BG333" t="s">
        <v>124</v>
      </c>
      <c r="BH333" t="s">
        <v>377</v>
      </c>
      <c r="BI333" t="s">
        <v>126</v>
      </c>
      <c r="BJ333" t="s">
        <v>127</v>
      </c>
      <c r="BK333" t="s">
        <v>7777</v>
      </c>
      <c r="BL333" t="s">
        <v>7778</v>
      </c>
      <c r="BM333" t="s">
        <v>7779</v>
      </c>
      <c r="BN333" t="s">
        <v>993</v>
      </c>
      <c r="BO333" t="s">
        <v>593</v>
      </c>
      <c r="BP333" t="s">
        <v>505</v>
      </c>
      <c r="BQ333" t="s">
        <v>594</v>
      </c>
      <c r="BR333" t="s">
        <v>595</v>
      </c>
      <c r="BS333" t="s">
        <v>328</v>
      </c>
      <c r="BU333" t="s">
        <v>7780</v>
      </c>
      <c r="BV333" t="s">
        <v>7781</v>
      </c>
      <c r="BW333" t="s">
        <v>354</v>
      </c>
      <c r="BX333" t="s">
        <v>7782</v>
      </c>
      <c r="BY333" t="s">
        <v>7783</v>
      </c>
      <c r="BZ333" t="s">
        <v>7782</v>
      </c>
      <c r="CG333" t="s">
        <v>102</v>
      </c>
      <c r="CH333" t="s">
        <v>7784</v>
      </c>
      <c r="CJ333" t="s">
        <v>7785</v>
      </c>
      <c r="CK333" t="s">
        <v>7784</v>
      </c>
      <c r="CL333" t="s">
        <v>7776</v>
      </c>
      <c r="CM333" t="s">
        <v>320</v>
      </c>
      <c r="CN333" t="s">
        <v>7785</v>
      </c>
      <c r="CP333" t="s">
        <v>7784</v>
      </c>
      <c r="CQ333" t="s">
        <v>7784</v>
      </c>
    </row>
    <row r="334" spans="1:95">
      <c r="A334" t="s">
        <v>149</v>
      </c>
      <c r="B334">
        <v>3883519</v>
      </c>
      <c r="C334" t="s">
        <v>7786</v>
      </c>
      <c r="D334" t="str">
        <f>VLOOKUP(B334,'2025'!B:C,2,0)</f>
        <v>Anushka</v>
      </c>
      <c r="F334" t="s">
        <v>95</v>
      </c>
      <c r="G334" t="s">
        <v>2602</v>
      </c>
      <c r="H334" t="s">
        <v>675</v>
      </c>
      <c r="I334" t="s">
        <v>98</v>
      </c>
      <c r="J334" t="s">
        <v>7787</v>
      </c>
      <c r="K334" t="s">
        <v>100</v>
      </c>
      <c r="L334">
        <v>876000</v>
      </c>
      <c r="M334">
        <v>876000</v>
      </c>
      <c r="N334">
        <v>288000</v>
      </c>
      <c r="O334">
        <v>400</v>
      </c>
      <c r="P334" t="s">
        <v>995</v>
      </c>
      <c r="Q334">
        <v>588000</v>
      </c>
      <c r="R334">
        <v>280</v>
      </c>
      <c r="S334" t="s">
        <v>2987</v>
      </c>
      <c r="T334">
        <v>0</v>
      </c>
      <c r="U334">
        <v>0</v>
      </c>
      <c r="W334" t="s">
        <v>102</v>
      </c>
      <c r="X334" t="s">
        <v>103</v>
      </c>
      <c r="Y334" t="s">
        <v>155</v>
      </c>
      <c r="AA334" t="s">
        <v>7788</v>
      </c>
      <c r="AB334" t="s">
        <v>7789</v>
      </c>
      <c r="AC334" t="s">
        <v>7790</v>
      </c>
      <c r="AD334" t="s">
        <v>7789</v>
      </c>
      <c r="AE334" t="s">
        <v>7791</v>
      </c>
      <c r="AF334" t="s">
        <v>7789</v>
      </c>
      <c r="AG334" t="s">
        <v>7792</v>
      </c>
      <c r="AH334" t="s">
        <v>7789</v>
      </c>
      <c r="AI334" t="s">
        <v>7793</v>
      </c>
      <c r="AJ334" t="s">
        <v>5268</v>
      </c>
      <c r="AK334" t="s">
        <v>7794</v>
      </c>
      <c r="AL334" t="s">
        <v>7795</v>
      </c>
      <c r="AM334" t="s">
        <v>7796</v>
      </c>
      <c r="AN334" t="s">
        <v>7797</v>
      </c>
      <c r="AO334" t="s">
        <v>7798</v>
      </c>
      <c r="AP334" t="s">
        <v>7798</v>
      </c>
      <c r="AU334" t="s">
        <v>207</v>
      </c>
      <c r="AV334" t="s">
        <v>118</v>
      </c>
      <c r="AW334" t="s">
        <v>655</v>
      </c>
      <c r="AX334" t="s">
        <v>119</v>
      </c>
      <c r="AY334" t="s">
        <v>1138</v>
      </c>
      <c r="AZ334" t="s">
        <v>118</v>
      </c>
      <c r="BB334" t="s">
        <v>120</v>
      </c>
      <c r="BC334" t="s">
        <v>3854</v>
      </c>
      <c r="BD334" t="s">
        <v>449</v>
      </c>
      <c r="BE334" t="s">
        <v>122</v>
      </c>
      <c r="BF334" t="s">
        <v>450</v>
      </c>
      <c r="BG334" t="s">
        <v>124</v>
      </c>
      <c r="BH334" t="s">
        <v>232</v>
      </c>
      <c r="BI334" t="s">
        <v>126</v>
      </c>
      <c r="BJ334" t="s">
        <v>127</v>
      </c>
      <c r="BK334" t="s">
        <v>7799</v>
      </c>
      <c r="BL334" t="s">
        <v>7800</v>
      </c>
      <c r="BM334" t="s">
        <v>7801</v>
      </c>
      <c r="BN334" t="s">
        <v>2602</v>
      </c>
      <c r="BO334" t="s">
        <v>257</v>
      </c>
      <c r="BP334" t="s">
        <v>350</v>
      </c>
      <c r="BQ334" t="s">
        <v>259</v>
      </c>
      <c r="BR334" t="s">
        <v>260</v>
      </c>
      <c r="BS334" t="s">
        <v>1006</v>
      </c>
      <c r="BU334" t="s">
        <v>7802</v>
      </c>
      <c r="BV334" t="s">
        <v>7803</v>
      </c>
      <c r="BW334" t="s">
        <v>354</v>
      </c>
      <c r="BX334" t="s">
        <v>7804</v>
      </c>
      <c r="BY334" t="s">
        <v>7805</v>
      </c>
      <c r="BZ334" t="s">
        <v>7806</v>
      </c>
      <c r="CD334" t="s">
        <v>7807</v>
      </c>
      <c r="CE334" t="s">
        <v>7808</v>
      </c>
      <c r="CF334" t="s">
        <v>7805</v>
      </c>
      <c r="CG334" t="s">
        <v>102</v>
      </c>
      <c r="CH334" t="s">
        <v>7809</v>
      </c>
      <c r="CJ334" t="s">
        <v>7810</v>
      </c>
      <c r="CK334" t="s">
        <v>7809</v>
      </c>
      <c r="CL334" t="s">
        <v>3854</v>
      </c>
      <c r="CM334" t="s">
        <v>449</v>
      </c>
      <c r="CN334" t="s">
        <v>7810</v>
      </c>
      <c r="CO334" t="s">
        <v>7811</v>
      </c>
      <c r="CP334" t="s">
        <v>7809</v>
      </c>
      <c r="CQ334" t="s">
        <v>7809</v>
      </c>
    </row>
    <row r="335" spans="1:95">
      <c r="A335" t="s">
        <v>149</v>
      </c>
      <c r="B335">
        <v>3886024</v>
      </c>
      <c r="C335" t="s">
        <v>7812</v>
      </c>
      <c r="F335" t="s">
        <v>95</v>
      </c>
      <c r="G335" t="s">
        <v>469</v>
      </c>
      <c r="H335" t="s">
        <v>97</v>
      </c>
      <c r="I335" t="s">
        <v>98</v>
      </c>
      <c r="J335" t="s">
        <v>7813</v>
      </c>
      <c r="K335" t="s">
        <v>100</v>
      </c>
      <c r="L335">
        <v>71208</v>
      </c>
      <c r="M335">
        <v>71208</v>
      </c>
      <c r="N335">
        <v>71208</v>
      </c>
      <c r="O335">
        <v>229</v>
      </c>
      <c r="P335" t="s">
        <v>195</v>
      </c>
      <c r="Q335">
        <v>0</v>
      </c>
      <c r="R335">
        <v>0</v>
      </c>
      <c r="T335">
        <v>0</v>
      </c>
      <c r="U335">
        <v>0</v>
      </c>
      <c r="W335" t="s">
        <v>102</v>
      </c>
      <c r="X335" t="s">
        <v>103</v>
      </c>
      <c r="Y335" t="s">
        <v>104</v>
      </c>
      <c r="AA335" t="s">
        <v>197</v>
      </c>
      <c r="AB335" t="s">
        <v>7814</v>
      </c>
      <c r="AC335" t="s">
        <v>2582</v>
      </c>
      <c r="AD335" t="s">
        <v>7814</v>
      </c>
      <c r="AE335" t="s">
        <v>109</v>
      </c>
      <c r="AF335" t="s">
        <v>102</v>
      </c>
      <c r="AG335" t="s">
        <v>109</v>
      </c>
      <c r="AH335" t="s">
        <v>102</v>
      </c>
      <c r="AI335" t="s">
        <v>7815</v>
      </c>
      <c r="AJ335" t="s">
        <v>3926</v>
      </c>
      <c r="AK335" t="s">
        <v>202</v>
      </c>
      <c r="AL335" t="s">
        <v>7816</v>
      </c>
      <c r="AM335" t="s">
        <v>7817</v>
      </c>
      <c r="AN335" t="s">
        <v>7818</v>
      </c>
      <c r="AO335" t="s">
        <v>7819</v>
      </c>
      <c r="AP335" t="s">
        <v>7819</v>
      </c>
      <c r="AU335" t="s">
        <v>117</v>
      </c>
      <c r="AV335" t="s">
        <v>118</v>
      </c>
      <c r="AW335" t="s">
        <v>102</v>
      </c>
      <c r="AX335" t="s">
        <v>119</v>
      </c>
      <c r="BB335" t="s">
        <v>209</v>
      </c>
      <c r="BC335" t="s">
        <v>920</v>
      </c>
      <c r="BD335" t="s">
        <v>211</v>
      </c>
      <c r="BE335" t="s">
        <v>212</v>
      </c>
      <c r="BF335" t="s">
        <v>213</v>
      </c>
      <c r="BG335" t="s">
        <v>124</v>
      </c>
      <c r="BH335" t="s">
        <v>4461</v>
      </c>
      <c r="BI335" t="s">
        <v>625</v>
      </c>
      <c r="BJ335" t="s">
        <v>127</v>
      </c>
      <c r="BK335" t="s">
        <v>7820</v>
      </c>
      <c r="BL335" t="s">
        <v>7821</v>
      </c>
      <c r="BM335" t="s">
        <v>7822</v>
      </c>
      <c r="BN335" t="s">
        <v>469</v>
      </c>
      <c r="BO335" t="s">
        <v>219</v>
      </c>
      <c r="BP335" t="s">
        <v>180</v>
      </c>
      <c r="BQ335" t="s">
        <v>220</v>
      </c>
      <c r="BR335" t="s">
        <v>221</v>
      </c>
      <c r="BS335" t="s">
        <v>222</v>
      </c>
      <c r="BU335" t="s">
        <v>7823</v>
      </c>
      <c r="BV335" t="s">
        <v>224</v>
      </c>
      <c r="BX335" t="s">
        <v>225</v>
      </c>
      <c r="BY335" t="s">
        <v>226</v>
      </c>
      <c r="BZ335" t="s">
        <v>7824</v>
      </c>
      <c r="CG335" t="s">
        <v>102</v>
      </c>
      <c r="CH335" t="s">
        <v>7825</v>
      </c>
      <c r="CJ335" t="s">
        <v>7826</v>
      </c>
      <c r="CK335" t="s">
        <v>7825</v>
      </c>
      <c r="CL335" t="s">
        <v>920</v>
      </c>
      <c r="CM335" t="s">
        <v>211</v>
      </c>
      <c r="CN335" t="s">
        <v>7826</v>
      </c>
      <c r="CO335" t="s">
        <v>230</v>
      </c>
      <c r="CP335" t="s">
        <v>7825</v>
      </c>
      <c r="CQ335" t="s">
        <v>7825</v>
      </c>
    </row>
    <row r="336" spans="1:95">
      <c r="A336" t="s">
        <v>149</v>
      </c>
      <c r="B336">
        <v>3886389</v>
      </c>
      <c r="C336" t="s">
        <v>7827</v>
      </c>
      <c r="D336" t="str">
        <f>VLOOKUP(B336,'2025'!B:C,2,0)</f>
        <v>Vaishali</v>
      </c>
      <c r="F336" t="s">
        <v>95</v>
      </c>
      <c r="G336" t="s">
        <v>232</v>
      </c>
      <c r="H336" t="s">
        <v>1746</v>
      </c>
      <c r="I336" t="s">
        <v>98</v>
      </c>
      <c r="J336" t="s">
        <v>7828</v>
      </c>
      <c r="K336" t="s">
        <v>100</v>
      </c>
      <c r="L336">
        <v>369741</v>
      </c>
      <c r="M336">
        <v>404744</v>
      </c>
      <c r="N336">
        <v>47803</v>
      </c>
      <c r="O336">
        <v>92</v>
      </c>
      <c r="P336" t="s">
        <v>7829</v>
      </c>
      <c r="Q336">
        <v>127475</v>
      </c>
      <c r="R336">
        <v>92</v>
      </c>
      <c r="S336" t="s">
        <v>7830</v>
      </c>
      <c r="T336">
        <v>194463</v>
      </c>
      <c r="U336">
        <v>92</v>
      </c>
      <c r="V336" t="s">
        <v>7831</v>
      </c>
      <c r="W336" t="s">
        <v>102</v>
      </c>
      <c r="X336" t="s">
        <v>103</v>
      </c>
      <c r="Y336" t="s">
        <v>155</v>
      </c>
      <c r="AA336" t="s">
        <v>232</v>
      </c>
      <c r="AB336" t="s">
        <v>7832</v>
      </c>
      <c r="AC336" t="s">
        <v>1374</v>
      </c>
      <c r="AD336" t="s">
        <v>7832</v>
      </c>
      <c r="AE336" t="s">
        <v>1472</v>
      </c>
      <c r="AF336" t="s">
        <v>7832</v>
      </c>
      <c r="AG336" t="s">
        <v>160</v>
      </c>
      <c r="AH336" t="s">
        <v>7832</v>
      </c>
      <c r="AI336" t="s">
        <v>102</v>
      </c>
      <c r="AJ336" t="s">
        <v>497</v>
      </c>
      <c r="AK336" t="s">
        <v>497</v>
      </c>
      <c r="AL336" t="s">
        <v>7833</v>
      </c>
      <c r="AM336" t="s">
        <v>7834</v>
      </c>
      <c r="AN336" t="s">
        <v>7835</v>
      </c>
      <c r="AO336" t="s">
        <v>7836</v>
      </c>
      <c r="AP336" t="s">
        <v>7837</v>
      </c>
      <c r="AS336" t="s">
        <v>169</v>
      </c>
      <c r="AT336" t="s">
        <v>169</v>
      </c>
      <c r="AU336" t="s">
        <v>117</v>
      </c>
      <c r="AV336" t="s">
        <v>118</v>
      </c>
      <c r="AW336" t="s">
        <v>155</v>
      </c>
      <c r="AX336" t="s">
        <v>119</v>
      </c>
      <c r="AZ336" t="s">
        <v>250</v>
      </c>
      <c r="BA336" t="s">
        <v>250</v>
      </c>
      <c r="BB336" t="s">
        <v>1242</v>
      </c>
      <c r="BC336" t="s">
        <v>1407</v>
      </c>
      <c r="BD336" t="s">
        <v>449</v>
      </c>
      <c r="BE336" t="s">
        <v>122</v>
      </c>
      <c r="BF336" t="s">
        <v>450</v>
      </c>
      <c r="BG336" t="s">
        <v>124</v>
      </c>
      <c r="BH336" t="s">
        <v>232</v>
      </c>
      <c r="BI336" t="s">
        <v>126</v>
      </c>
      <c r="BJ336" t="s">
        <v>127</v>
      </c>
      <c r="BK336" t="s">
        <v>7838</v>
      </c>
      <c r="BL336" t="s">
        <v>7839</v>
      </c>
      <c r="BM336" t="s">
        <v>7840</v>
      </c>
      <c r="BN336" t="s">
        <v>232</v>
      </c>
      <c r="BO336" t="s">
        <v>1108</v>
      </c>
      <c r="BP336" t="s">
        <v>180</v>
      </c>
      <c r="BQ336" t="s">
        <v>1109</v>
      </c>
      <c r="BR336" t="s">
        <v>1110</v>
      </c>
      <c r="BS336" t="s">
        <v>135</v>
      </c>
      <c r="BU336" t="s">
        <v>7841</v>
      </c>
      <c r="BV336" t="s">
        <v>7842</v>
      </c>
      <c r="BW336" t="s">
        <v>138</v>
      </c>
      <c r="BX336" t="s">
        <v>7843</v>
      </c>
      <c r="BY336" t="s">
        <v>7844</v>
      </c>
      <c r="BZ336" t="s">
        <v>7845</v>
      </c>
      <c r="CA336" t="s">
        <v>7842</v>
      </c>
      <c r="CB336" t="s">
        <v>7843</v>
      </c>
      <c r="CC336" t="s">
        <v>7844</v>
      </c>
      <c r="CG336" t="s">
        <v>102</v>
      </c>
      <c r="CH336" t="s">
        <v>7846</v>
      </c>
      <c r="CJ336" t="s">
        <v>1419</v>
      </c>
      <c r="CK336" t="s">
        <v>7846</v>
      </c>
      <c r="CL336" t="s">
        <v>1407</v>
      </c>
      <c r="CM336" t="s">
        <v>449</v>
      </c>
      <c r="CN336" t="s">
        <v>1419</v>
      </c>
      <c r="CP336" t="s">
        <v>7846</v>
      </c>
      <c r="CQ336" t="s">
        <v>7846</v>
      </c>
    </row>
    <row r="337" spans="1:95">
      <c r="A337" t="s">
        <v>149</v>
      </c>
      <c r="B337">
        <v>3896752</v>
      </c>
      <c r="C337" t="s">
        <v>7847</v>
      </c>
      <c r="D337" t="str">
        <f>VLOOKUP(B337,'2025'!B:C,2,0)</f>
        <v>Unnati Sharma</v>
      </c>
      <c r="F337" t="s">
        <v>95</v>
      </c>
      <c r="G337" t="s">
        <v>1818</v>
      </c>
      <c r="H337" t="s">
        <v>3549</v>
      </c>
      <c r="I337" t="s">
        <v>98</v>
      </c>
      <c r="J337" t="s">
        <v>7848</v>
      </c>
      <c r="K337" t="s">
        <v>100</v>
      </c>
      <c r="L337">
        <v>584160</v>
      </c>
      <c r="M337">
        <v>676405</v>
      </c>
      <c r="N337">
        <v>71686</v>
      </c>
      <c r="O337">
        <v>68</v>
      </c>
      <c r="P337" t="s">
        <v>7849</v>
      </c>
      <c r="Q337">
        <v>0</v>
      </c>
      <c r="R337">
        <v>0</v>
      </c>
      <c r="T337">
        <v>512474</v>
      </c>
      <c r="U337">
        <v>239</v>
      </c>
      <c r="V337" t="s">
        <v>7850</v>
      </c>
      <c r="W337" t="s">
        <v>102</v>
      </c>
      <c r="X337" t="s">
        <v>103</v>
      </c>
      <c r="Y337" t="s">
        <v>104</v>
      </c>
      <c r="AA337" t="s">
        <v>1692</v>
      </c>
      <c r="AB337" t="s">
        <v>7851</v>
      </c>
      <c r="AC337" t="s">
        <v>7852</v>
      </c>
      <c r="AD337" t="s">
        <v>7851</v>
      </c>
      <c r="AE337" t="s">
        <v>109</v>
      </c>
      <c r="AF337" t="s">
        <v>102</v>
      </c>
      <c r="AG337" t="s">
        <v>109</v>
      </c>
      <c r="AH337" t="s">
        <v>102</v>
      </c>
      <c r="AI337" t="s">
        <v>102</v>
      </c>
      <c r="AJ337" t="s">
        <v>367</v>
      </c>
      <c r="AK337" t="s">
        <v>7853</v>
      </c>
      <c r="AL337" t="s">
        <v>7854</v>
      </c>
      <c r="AM337" t="s">
        <v>7855</v>
      </c>
      <c r="AN337" t="s">
        <v>7856</v>
      </c>
      <c r="AO337" t="s">
        <v>7857</v>
      </c>
      <c r="AP337" t="s">
        <v>7858</v>
      </c>
      <c r="AT337" t="s">
        <v>169</v>
      </c>
      <c r="AU337" t="s">
        <v>117</v>
      </c>
      <c r="AV337" t="s">
        <v>118</v>
      </c>
      <c r="AW337" t="s">
        <v>102</v>
      </c>
      <c r="AX337" t="s">
        <v>119</v>
      </c>
      <c r="BA337" t="s">
        <v>250</v>
      </c>
      <c r="BB337" t="s">
        <v>209</v>
      </c>
      <c r="BC337" t="s">
        <v>1729</v>
      </c>
      <c r="BD337" t="s">
        <v>730</v>
      </c>
      <c r="BE337" t="s">
        <v>622</v>
      </c>
      <c r="BF337" t="s">
        <v>730</v>
      </c>
      <c r="BG337" t="s">
        <v>124</v>
      </c>
      <c r="BH337" t="s">
        <v>892</v>
      </c>
      <c r="BI337" t="s">
        <v>625</v>
      </c>
      <c r="BJ337" t="s">
        <v>127</v>
      </c>
      <c r="BK337" t="s">
        <v>7859</v>
      </c>
      <c r="BL337" t="s">
        <v>7860</v>
      </c>
      <c r="BM337" t="s">
        <v>7861</v>
      </c>
      <c r="BN337" t="s">
        <v>1818</v>
      </c>
      <c r="BO337" t="s">
        <v>3606</v>
      </c>
      <c r="BP337" t="s">
        <v>350</v>
      </c>
      <c r="BQ337" t="s">
        <v>3607</v>
      </c>
      <c r="BR337" t="s">
        <v>3608</v>
      </c>
      <c r="BS337" t="s">
        <v>7862</v>
      </c>
      <c r="BU337" t="s">
        <v>7863</v>
      </c>
      <c r="BV337" t="s">
        <v>7864</v>
      </c>
      <c r="BW337" t="s">
        <v>354</v>
      </c>
      <c r="BX337" t="s">
        <v>7865</v>
      </c>
      <c r="BY337" t="s">
        <v>7866</v>
      </c>
      <c r="BZ337" t="s">
        <v>7865</v>
      </c>
      <c r="CG337" t="s">
        <v>102</v>
      </c>
      <c r="CH337" t="s">
        <v>7867</v>
      </c>
      <c r="CJ337" t="s">
        <v>7868</v>
      </c>
      <c r="CK337" t="s">
        <v>7867</v>
      </c>
      <c r="CL337" t="s">
        <v>1729</v>
      </c>
      <c r="CM337" t="s">
        <v>730</v>
      </c>
      <c r="CN337" t="s">
        <v>7868</v>
      </c>
      <c r="CP337" t="s">
        <v>7867</v>
      </c>
      <c r="CQ337" t="s">
        <v>7867</v>
      </c>
    </row>
    <row r="338" spans="1:95">
      <c r="A338" t="s">
        <v>149</v>
      </c>
      <c r="B338">
        <v>391739</v>
      </c>
      <c r="C338" t="s">
        <v>7869</v>
      </c>
      <c r="D338" t="str">
        <f>VLOOKUP(B338,'2025'!B:C,2,0)</f>
        <v>Vaishali</v>
      </c>
      <c r="F338" t="s">
        <v>95</v>
      </c>
      <c r="G338" t="s">
        <v>7870</v>
      </c>
      <c r="H338" t="s">
        <v>643</v>
      </c>
      <c r="I338" t="s">
        <v>98</v>
      </c>
      <c r="J338" t="s">
        <v>7871</v>
      </c>
      <c r="K338" t="s">
        <v>100</v>
      </c>
      <c r="L338">
        <v>1037240</v>
      </c>
      <c r="M338">
        <v>1133659</v>
      </c>
      <c r="N338">
        <v>0</v>
      </c>
      <c r="O338">
        <v>0</v>
      </c>
      <c r="Q338">
        <v>501581</v>
      </c>
      <c r="R338">
        <v>348</v>
      </c>
      <c r="S338" t="s">
        <v>7872</v>
      </c>
      <c r="T338">
        <v>535659</v>
      </c>
      <c r="U338">
        <v>280</v>
      </c>
      <c r="V338" t="s">
        <v>7873</v>
      </c>
      <c r="W338" t="s">
        <v>102</v>
      </c>
      <c r="X338" t="s">
        <v>275</v>
      </c>
      <c r="Z338" t="s">
        <v>5416</v>
      </c>
      <c r="AA338" t="s">
        <v>109</v>
      </c>
      <c r="AB338" t="s">
        <v>102</v>
      </c>
      <c r="AC338" t="s">
        <v>109</v>
      </c>
      <c r="AD338" t="s">
        <v>102</v>
      </c>
      <c r="AE338" t="s">
        <v>109</v>
      </c>
      <c r="AF338" t="s">
        <v>102</v>
      </c>
      <c r="AG338" t="s">
        <v>109</v>
      </c>
      <c r="AH338" t="s">
        <v>102</v>
      </c>
      <c r="AI338" t="s">
        <v>7874</v>
      </c>
      <c r="AJ338" t="s">
        <v>996</v>
      </c>
      <c r="AK338" t="s">
        <v>996</v>
      </c>
      <c r="AL338" t="s">
        <v>7875</v>
      </c>
      <c r="AM338" t="s">
        <v>7876</v>
      </c>
      <c r="AN338" t="s">
        <v>7877</v>
      </c>
      <c r="AO338" t="s">
        <v>7878</v>
      </c>
      <c r="AP338" t="s">
        <v>7879</v>
      </c>
      <c r="AQ338" t="s">
        <v>343</v>
      </c>
      <c r="AU338" t="s">
        <v>102</v>
      </c>
      <c r="AW338" t="s">
        <v>951</v>
      </c>
      <c r="AX338" t="s">
        <v>119</v>
      </c>
      <c r="AZ338" t="s">
        <v>250</v>
      </c>
      <c r="BA338" t="s">
        <v>250</v>
      </c>
      <c r="BB338" t="s">
        <v>120</v>
      </c>
      <c r="BC338" t="s">
        <v>3854</v>
      </c>
      <c r="BD338" t="s">
        <v>449</v>
      </c>
      <c r="BE338" t="s">
        <v>122</v>
      </c>
      <c r="BF338" t="s">
        <v>450</v>
      </c>
      <c r="BG338" t="s">
        <v>124</v>
      </c>
      <c r="BH338" t="s">
        <v>232</v>
      </c>
      <c r="BI338" t="s">
        <v>126</v>
      </c>
      <c r="BJ338" t="s">
        <v>127</v>
      </c>
      <c r="BK338" t="s">
        <v>7880</v>
      </c>
      <c r="BL338" t="s">
        <v>7881</v>
      </c>
      <c r="BM338" t="s">
        <v>7882</v>
      </c>
      <c r="BN338" t="s">
        <v>7870</v>
      </c>
      <c r="BO338" t="s">
        <v>1108</v>
      </c>
      <c r="BP338" t="s">
        <v>350</v>
      </c>
      <c r="BQ338" t="s">
        <v>1109</v>
      </c>
      <c r="BR338" t="s">
        <v>1110</v>
      </c>
      <c r="BS338" t="s">
        <v>328</v>
      </c>
      <c r="BU338" t="s">
        <v>7883</v>
      </c>
      <c r="BV338" t="s">
        <v>7884</v>
      </c>
      <c r="BW338" t="s">
        <v>354</v>
      </c>
      <c r="BX338" t="s">
        <v>7885</v>
      </c>
      <c r="BY338" t="s">
        <v>7886</v>
      </c>
      <c r="BZ338" t="s">
        <v>7887</v>
      </c>
      <c r="CG338" t="s">
        <v>102</v>
      </c>
      <c r="CH338" t="s">
        <v>7888</v>
      </c>
      <c r="CJ338" t="s">
        <v>4271</v>
      </c>
      <c r="CK338" t="s">
        <v>7888</v>
      </c>
      <c r="CL338" t="s">
        <v>3854</v>
      </c>
      <c r="CM338" t="s">
        <v>449</v>
      </c>
      <c r="CN338" t="s">
        <v>4271</v>
      </c>
      <c r="CO338" t="s">
        <v>7889</v>
      </c>
      <c r="CP338" t="s">
        <v>7888</v>
      </c>
      <c r="CQ338" t="s">
        <v>7888</v>
      </c>
    </row>
    <row r="339" spans="1:95">
      <c r="A339" t="s">
        <v>149</v>
      </c>
      <c r="B339">
        <v>393696</v>
      </c>
      <c r="C339" t="s">
        <v>7890</v>
      </c>
      <c r="D339" t="str">
        <f>VLOOKUP(B339,'2025'!B:C,2,0)</f>
        <v>Pooja Kapoor</v>
      </c>
      <c r="F339" t="s">
        <v>95</v>
      </c>
      <c r="G339" t="s">
        <v>7891</v>
      </c>
      <c r="H339" t="s">
        <v>152</v>
      </c>
      <c r="I339" t="s">
        <v>98</v>
      </c>
      <c r="J339" t="s">
        <v>7892</v>
      </c>
      <c r="K339" t="s">
        <v>100</v>
      </c>
      <c r="L339">
        <v>2577261</v>
      </c>
      <c r="M339">
        <v>2577261</v>
      </c>
      <c r="N339">
        <v>0</v>
      </c>
      <c r="O339">
        <v>0</v>
      </c>
      <c r="Q339">
        <v>2577261</v>
      </c>
      <c r="R339">
        <v>1539</v>
      </c>
      <c r="S339" t="s">
        <v>7893</v>
      </c>
      <c r="T339">
        <v>0</v>
      </c>
      <c r="U339">
        <v>0</v>
      </c>
      <c r="W339" t="s">
        <v>102</v>
      </c>
      <c r="X339" t="s">
        <v>103</v>
      </c>
      <c r="Y339" t="s">
        <v>155</v>
      </c>
      <c r="AA339" t="s">
        <v>517</v>
      </c>
      <c r="AB339" t="s">
        <v>7894</v>
      </c>
      <c r="AC339" t="s">
        <v>5499</v>
      </c>
      <c r="AD339" t="s">
        <v>7894</v>
      </c>
      <c r="AE339" t="s">
        <v>5500</v>
      </c>
      <c r="AF339" t="s">
        <v>7894</v>
      </c>
      <c r="AG339" t="s">
        <v>160</v>
      </c>
      <c r="AH339" t="s">
        <v>7894</v>
      </c>
      <c r="AI339" t="s">
        <v>7895</v>
      </c>
      <c r="AJ339" t="s">
        <v>7896</v>
      </c>
      <c r="AK339" t="s">
        <v>4374</v>
      </c>
      <c r="AL339" t="s">
        <v>7897</v>
      </c>
      <c r="AM339" t="s">
        <v>7898</v>
      </c>
      <c r="AN339" t="s">
        <v>7899</v>
      </c>
      <c r="AO339" t="s">
        <v>7900</v>
      </c>
      <c r="AP339" t="s">
        <v>7900</v>
      </c>
      <c r="AU339" t="s">
        <v>102</v>
      </c>
      <c r="AW339" t="s">
        <v>155</v>
      </c>
      <c r="AX339" t="s">
        <v>119</v>
      </c>
      <c r="AY339" t="s">
        <v>170</v>
      </c>
      <c r="AZ339" t="s">
        <v>118</v>
      </c>
      <c r="BB339" t="s">
        <v>209</v>
      </c>
      <c r="BC339" t="s">
        <v>7901</v>
      </c>
      <c r="BD339" t="s">
        <v>4404</v>
      </c>
      <c r="BE339" t="s">
        <v>174</v>
      </c>
      <c r="BF339" t="s">
        <v>4405</v>
      </c>
      <c r="BG339" t="s">
        <v>124</v>
      </c>
      <c r="BH339" t="s">
        <v>2947</v>
      </c>
      <c r="BI339" t="s">
        <v>126</v>
      </c>
      <c r="BJ339" t="s">
        <v>127</v>
      </c>
      <c r="BK339" t="s">
        <v>7902</v>
      </c>
      <c r="BL339" t="s">
        <v>7903</v>
      </c>
      <c r="BM339" t="s">
        <v>7904</v>
      </c>
      <c r="BN339" t="s">
        <v>7891</v>
      </c>
      <c r="BO339" t="s">
        <v>179</v>
      </c>
      <c r="BP339" t="s">
        <v>180</v>
      </c>
      <c r="BQ339" t="s">
        <v>181</v>
      </c>
      <c r="BR339" t="s">
        <v>182</v>
      </c>
      <c r="BS339" t="s">
        <v>4413</v>
      </c>
      <c r="BU339" t="s">
        <v>7905</v>
      </c>
      <c r="BV339" t="s">
        <v>7906</v>
      </c>
      <c r="BW339" t="s">
        <v>138</v>
      </c>
      <c r="BX339" t="s">
        <v>7907</v>
      </c>
      <c r="BY339" t="s">
        <v>7908</v>
      </c>
      <c r="BZ339" t="s">
        <v>7907</v>
      </c>
      <c r="CA339" t="s">
        <v>7906</v>
      </c>
      <c r="CB339" t="s">
        <v>7907</v>
      </c>
      <c r="CC339" t="s">
        <v>7908</v>
      </c>
      <c r="CD339" t="s">
        <v>7909</v>
      </c>
      <c r="CE339" t="s">
        <v>7910</v>
      </c>
      <c r="CF339" t="s">
        <v>7911</v>
      </c>
      <c r="CG339" t="s">
        <v>102</v>
      </c>
      <c r="CH339" t="s">
        <v>7912</v>
      </c>
      <c r="CJ339" t="s">
        <v>7913</v>
      </c>
      <c r="CK339" t="s">
        <v>7914</v>
      </c>
      <c r="CL339" t="s">
        <v>7901</v>
      </c>
      <c r="CM339" t="s">
        <v>4404</v>
      </c>
      <c r="CN339" t="s">
        <v>7913</v>
      </c>
      <c r="CO339" t="s">
        <v>7915</v>
      </c>
      <c r="CP339" t="s">
        <v>7912</v>
      </c>
      <c r="CQ339" t="s">
        <v>7914</v>
      </c>
    </row>
    <row r="340" spans="1:95">
      <c r="A340" t="s">
        <v>93</v>
      </c>
      <c r="B340">
        <v>3944825</v>
      </c>
      <c r="C340" t="s">
        <v>7916</v>
      </c>
      <c r="D340" t="str">
        <f>VLOOKUP(B340,'2025'!B:C,2,0)</f>
        <v>Ishita Jethwa</v>
      </c>
      <c r="F340" t="s">
        <v>95</v>
      </c>
      <c r="G340" t="s">
        <v>1159</v>
      </c>
      <c r="H340" t="s">
        <v>97</v>
      </c>
      <c r="I340" t="s">
        <v>98</v>
      </c>
      <c r="J340" t="s">
        <v>7917</v>
      </c>
      <c r="K340" t="s">
        <v>100</v>
      </c>
      <c r="L340">
        <v>704035</v>
      </c>
      <c r="M340">
        <v>704035</v>
      </c>
      <c r="N340">
        <v>704035</v>
      </c>
      <c r="O340">
        <v>704</v>
      </c>
      <c r="P340" t="s">
        <v>5042</v>
      </c>
      <c r="Q340">
        <v>0</v>
      </c>
      <c r="R340">
        <v>0</v>
      </c>
      <c r="T340">
        <v>0</v>
      </c>
      <c r="U340">
        <v>0</v>
      </c>
      <c r="W340" t="s">
        <v>102</v>
      </c>
      <c r="X340" t="s">
        <v>275</v>
      </c>
      <c r="Z340" t="s">
        <v>4162</v>
      </c>
      <c r="AA340" t="s">
        <v>109</v>
      </c>
      <c r="AB340" t="s">
        <v>102</v>
      </c>
      <c r="AC340" t="s">
        <v>109</v>
      </c>
      <c r="AD340" t="s">
        <v>102</v>
      </c>
      <c r="AE340" t="s">
        <v>109</v>
      </c>
      <c r="AF340" t="s">
        <v>102</v>
      </c>
      <c r="AG340" t="s">
        <v>109</v>
      </c>
      <c r="AH340" t="s">
        <v>102</v>
      </c>
      <c r="AI340" t="s">
        <v>102</v>
      </c>
      <c r="AJ340" t="s">
        <v>451</v>
      </c>
      <c r="AK340" t="s">
        <v>451</v>
      </c>
      <c r="AL340" t="s">
        <v>7918</v>
      </c>
      <c r="AM340" t="s">
        <v>7919</v>
      </c>
      <c r="AN340" t="s">
        <v>7920</v>
      </c>
      <c r="AO340" t="s">
        <v>3677</v>
      </c>
      <c r="AP340" t="s">
        <v>3677</v>
      </c>
      <c r="AU340" t="s">
        <v>318</v>
      </c>
      <c r="AV340" t="s">
        <v>118</v>
      </c>
      <c r="AW340" t="s">
        <v>102</v>
      </c>
      <c r="AX340" t="s">
        <v>119</v>
      </c>
      <c r="BB340" t="s">
        <v>120</v>
      </c>
      <c r="BC340" t="s">
        <v>729</v>
      </c>
      <c r="BD340" t="s">
        <v>730</v>
      </c>
      <c r="BE340" t="s">
        <v>622</v>
      </c>
      <c r="BF340" t="s">
        <v>730</v>
      </c>
      <c r="BG340" t="s">
        <v>124</v>
      </c>
      <c r="BH340" t="s">
        <v>232</v>
      </c>
      <c r="BI340" t="s">
        <v>126</v>
      </c>
      <c r="BJ340" t="s">
        <v>127</v>
      </c>
      <c r="BK340" t="s">
        <v>7921</v>
      </c>
      <c r="BL340" t="s">
        <v>7922</v>
      </c>
      <c r="BM340" t="s">
        <v>7923</v>
      </c>
      <c r="BN340" t="s">
        <v>1159</v>
      </c>
      <c r="BO340" t="s">
        <v>3910</v>
      </c>
      <c r="BP340" t="s">
        <v>180</v>
      </c>
      <c r="BQ340" t="s">
        <v>3911</v>
      </c>
      <c r="BR340" t="s">
        <v>3912</v>
      </c>
      <c r="BS340" t="s">
        <v>2569</v>
      </c>
      <c r="BU340" t="s">
        <v>7924</v>
      </c>
      <c r="BV340" t="s">
        <v>7925</v>
      </c>
      <c r="BW340" t="s">
        <v>569</v>
      </c>
      <c r="BX340" t="s">
        <v>7926</v>
      </c>
      <c r="BY340" t="s">
        <v>7927</v>
      </c>
      <c r="BZ340" t="s">
        <v>7928</v>
      </c>
      <c r="CG340" t="s">
        <v>3841</v>
      </c>
      <c r="CH340" t="s">
        <v>7929</v>
      </c>
      <c r="CJ340" t="s">
        <v>7930</v>
      </c>
      <c r="CK340" t="s">
        <v>7931</v>
      </c>
      <c r="CL340" t="s">
        <v>1729</v>
      </c>
      <c r="CM340" t="s">
        <v>730</v>
      </c>
      <c r="CN340" t="s">
        <v>7932</v>
      </c>
      <c r="CP340" t="s">
        <v>7933</v>
      </c>
      <c r="CQ340" t="s">
        <v>7931</v>
      </c>
    </row>
    <row r="341" spans="1:95">
      <c r="A341" t="s">
        <v>149</v>
      </c>
      <c r="B341">
        <v>394551</v>
      </c>
      <c r="C341" t="s">
        <v>7934</v>
      </c>
      <c r="E341" s="4" t="s">
        <v>17377</v>
      </c>
      <c r="F341" t="s">
        <v>95</v>
      </c>
      <c r="G341" t="s">
        <v>125</v>
      </c>
      <c r="H341" t="s">
        <v>97</v>
      </c>
      <c r="I341" t="s">
        <v>98</v>
      </c>
      <c r="J341" t="s">
        <v>7935</v>
      </c>
      <c r="K341" t="s">
        <v>100</v>
      </c>
      <c r="L341">
        <v>734958</v>
      </c>
      <c r="M341">
        <v>734958</v>
      </c>
      <c r="N341">
        <v>734958</v>
      </c>
      <c r="O341">
        <v>1050</v>
      </c>
      <c r="P341" t="s">
        <v>799</v>
      </c>
      <c r="Q341">
        <v>0</v>
      </c>
      <c r="R341">
        <v>0</v>
      </c>
      <c r="T341">
        <v>0</v>
      </c>
      <c r="U341">
        <v>0</v>
      </c>
      <c r="W341" t="s">
        <v>102</v>
      </c>
      <c r="X341" t="s">
        <v>103</v>
      </c>
      <c r="Y341" t="s">
        <v>104</v>
      </c>
      <c r="AA341" t="s">
        <v>1600</v>
      </c>
      <c r="AB341" t="s">
        <v>7936</v>
      </c>
      <c r="AC341" t="s">
        <v>7937</v>
      </c>
      <c r="AD341" t="s">
        <v>7936</v>
      </c>
      <c r="AE341" t="s">
        <v>109</v>
      </c>
      <c r="AF341" t="s">
        <v>102</v>
      </c>
      <c r="AG341" t="s">
        <v>109</v>
      </c>
      <c r="AH341" t="s">
        <v>102</v>
      </c>
      <c r="AI341" t="s">
        <v>7938</v>
      </c>
      <c r="AJ341" t="s">
        <v>367</v>
      </c>
      <c r="AK341" t="s">
        <v>367</v>
      </c>
      <c r="AL341" t="s">
        <v>7939</v>
      </c>
      <c r="AM341" t="s">
        <v>7940</v>
      </c>
      <c r="AN341" t="s">
        <v>7936</v>
      </c>
      <c r="AO341" t="s">
        <v>7941</v>
      </c>
      <c r="AP341" t="s">
        <v>7942</v>
      </c>
      <c r="AR341" t="s">
        <v>169</v>
      </c>
      <c r="AT341" t="s">
        <v>169</v>
      </c>
      <c r="AU341" t="s">
        <v>318</v>
      </c>
      <c r="AV341" t="s">
        <v>118</v>
      </c>
      <c r="AW341" t="s">
        <v>102</v>
      </c>
      <c r="AX341" t="s">
        <v>119</v>
      </c>
      <c r="BB341" t="s">
        <v>120</v>
      </c>
      <c r="BC341" t="s">
        <v>3854</v>
      </c>
      <c r="BD341" t="s">
        <v>449</v>
      </c>
      <c r="BE341" t="s">
        <v>122</v>
      </c>
      <c r="BF341" t="s">
        <v>450</v>
      </c>
      <c r="BG341" t="s">
        <v>124</v>
      </c>
      <c r="BH341" t="s">
        <v>125</v>
      </c>
      <c r="BI341" t="s">
        <v>126</v>
      </c>
      <c r="BJ341" t="s">
        <v>127</v>
      </c>
      <c r="BK341" t="s">
        <v>7943</v>
      </c>
      <c r="BL341" t="s">
        <v>7944</v>
      </c>
      <c r="BM341" t="s">
        <v>7945</v>
      </c>
      <c r="BN341" t="s">
        <v>125</v>
      </c>
      <c r="BO341" t="s">
        <v>1108</v>
      </c>
      <c r="BP341" t="s">
        <v>350</v>
      </c>
      <c r="BQ341" t="s">
        <v>1109</v>
      </c>
      <c r="BR341" t="s">
        <v>1110</v>
      </c>
      <c r="BS341" t="s">
        <v>566</v>
      </c>
      <c r="BT341" t="s">
        <v>566</v>
      </c>
      <c r="BU341" t="s">
        <v>7946</v>
      </c>
      <c r="BV341" t="s">
        <v>7947</v>
      </c>
      <c r="BX341" t="s">
        <v>7948</v>
      </c>
      <c r="BY341" t="s">
        <v>7949</v>
      </c>
      <c r="BZ341" t="s">
        <v>7950</v>
      </c>
      <c r="CG341" t="s">
        <v>102</v>
      </c>
      <c r="CH341" t="s">
        <v>7951</v>
      </c>
      <c r="CJ341" t="s">
        <v>7472</v>
      </c>
      <c r="CK341" t="s">
        <v>7951</v>
      </c>
      <c r="CL341" t="s">
        <v>3854</v>
      </c>
      <c r="CM341" t="s">
        <v>449</v>
      </c>
      <c r="CN341" t="s">
        <v>7472</v>
      </c>
      <c r="CP341" t="s">
        <v>7951</v>
      </c>
      <c r="CQ341" t="s">
        <v>7951</v>
      </c>
    </row>
    <row r="342" spans="1:95">
      <c r="A342" t="s">
        <v>93</v>
      </c>
      <c r="B342">
        <v>395154</v>
      </c>
      <c r="C342" t="s">
        <v>7952</v>
      </c>
      <c r="D342" t="str">
        <f>VLOOKUP(B342,'2025'!B:C,2,0)</f>
        <v>Vaishali</v>
      </c>
      <c r="F342" t="s">
        <v>95</v>
      </c>
      <c r="G342" t="s">
        <v>96</v>
      </c>
      <c r="H342" t="s">
        <v>97</v>
      </c>
      <c r="I342" t="s">
        <v>98</v>
      </c>
      <c r="J342" t="s">
        <v>7953</v>
      </c>
      <c r="K342" t="s">
        <v>100</v>
      </c>
      <c r="L342">
        <v>712500</v>
      </c>
      <c r="M342">
        <v>712500</v>
      </c>
      <c r="N342">
        <v>712500</v>
      </c>
      <c r="O342">
        <v>950</v>
      </c>
      <c r="P342" t="s">
        <v>101</v>
      </c>
      <c r="Q342">
        <v>0</v>
      </c>
      <c r="R342">
        <v>0</v>
      </c>
      <c r="T342">
        <v>0</v>
      </c>
      <c r="U342">
        <v>0</v>
      </c>
      <c r="W342" t="s">
        <v>102</v>
      </c>
      <c r="X342" t="s">
        <v>103</v>
      </c>
      <c r="Y342" t="s">
        <v>104</v>
      </c>
      <c r="AA342" t="s">
        <v>105</v>
      </c>
      <c r="AB342" t="s">
        <v>7954</v>
      </c>
      <c r="AC342" t="s">
        <v>107</v>
      </c>
      <c r="AD342" t="s">
        <v>7955</v>
      </c>
      <c r="AE342" t="s">
        <v>109</v>
      </c>
      <c r="AF342" t="s">
        <v>102</v>
      </c>
      <c r="AG342" t="s">
        <v>109</v>
      </c>
      <c r="AH342" t="s">
        <v>102</v>
      </c>
      <c r="AI342" t="s">
        <v>7956</v>
      </c>
      <c r="AJ342" t="s">
        <v>2303</v>
      </c>
      <c r="AK342" t="s">
        <v>7957</v>
      </c>
      <c r="AL342" t="s">
        <v>7958</v>
      </c>
      <c r="AM342" t="s">
        <v>7959</v>
      </c>
      <c r="AN342" t="s">
        <v>102</v>
      </c>
      <c r="AO342" t="s">
        <v>116</v>
      </c>
      <c r="AP342" t="s">
        <v>1826</v>
      </c>
      <c r="AR342" t="s">
        <v>169</v>
      </c>
      <c r="AU342" t="s">
        <v>117</v>
      </c>
      <c r="AV342" t="s">
        <v>118</v>
      </c>
      <c r="AW342" t="s">
        <v>102</v>
      </c>
      <c r="AX342" t="s">
        <v>119</v>
      </c>
      <c r="BB342" t="s">
        <v>120</v>
      </c>
      <c r="BC342" t="s">
        <v>448</v>
      </c>
      <c r="BD342" t="s">
        <v>449</v>
      </c>
      <c r="BE342" t="s">
        <v>122</v>
      </c>
      <c r="BF342" t="s">
        <v>450</v>
      </c>
      <c r="BG342" t="s">
        <v>124</v>
      </c>
      <c r="BH342" t="s">
        <v>125</v>
      </c>
      <c r="BI342" t="s">
        <v>126</v>
      </c>
      <c r="BJ342" t="s">
        <v>127</v>
      </c>
      <c r="BK342" t="s">
        <v>7960</v>
      </c>
      <c r="BL342" t="s">
        <v>7961</v>
      </c>
      <c r="BM342" t="s">
        <v>7962</v>
      </c>
      <c r="BN342" t="s">
        <v>96</v>
      </c>
      <c r="BO342" t="s">
        <v>131</v>
      </c>
      <c r="BP342" t="s">
        <v>350</v>
      </c>
      <c r="BQ342" t="s">
        <v>133</v>
      </c>
      <c r="BR342" t="s">
        <v>134</v>
      </c>
      <c r="BS342" t="s">
        <v>135</v>
      </c>
      <c r="BU342" t="s">
        <v>7963</v>
      </c>
      <c r="BV342" t="s">
        <v>7964</v>
      </c>
      <c r="BW342" t="s">
        <v>138</v>
      </c>
      <c r="BX342" t="s">
        <v>7965</v>
      </c>
      <c r="BY342" t="s">
        <v>7966</v>
      </c>
      <c r="BZ342" t="s">
        <v>7967</v>
      </c>
      <c r="CA342" t="s">
        <v>7964</v>
      </c>
      <c r="CB342" t="s">
        <v>7965</v>
      </c>
      <c r="CC342" t="s">
        <v>7966</v>
      </c>
      <c r="CD342" t="s">
        <v>7968</v>
      </c>
      <c r="CE342" t="s">
        <v>7969</v>
      </c>
      <c r="CF342" t="s">
        <v>7970</v>
      </c>
      <c r="CG342" t="s">
        <v>3251</v>
      </c>
      <c r="CH342" t="s">
        <v>7971</v>
      </c>
      <c r="CJ342" t="s">
        <v>7972</v>
      </c>
      <c r="CK342" t="s">
        <v>7973</v>
      </c>
      <c r="CL342" t="s">
        <v>448</v>
      </c>
      <c r="CM342" t="s">
        <v>449</v>
      </c>
      <c r="CN342" t="s">
        <v>7972</v>
      </c>
      <c r="CO342" t="s">
        <v>7974</v>
      </c>
      <c r="CP342" t="s">
        <v>7971</v>
      </c>
      <c r="CQ342" t="s">
        <v>7973</v>
      </c>
    </row>
    <row r="343" spans="1:95">
      <c r="A343" t="s">
        <v>337</v>
      </c>
      <c r="B343">
        <v>395397</v>
      </c>
      <c r="C343" t="s">
        <v>7975</v>
      </c>
      <c r="E343" s="4" t="s">
        <v>17377</v>
      </c>
      <c r="F343" t="s">
        <v>95</v>
      </c>
      <c r="G343" t="s">
        <v>7976</v>
      </c>
      <c r="H343" t="s">
        <v>2673</v>
      </c>
      <c r="I343" t="s">
        <v>98</v>
      </c>
      <c r="J343" t="s">
        <v>7977</v>
      </c>
      <c r="K343" t="s">
        <v>100</v>
      </c>
      <c r="L343">
        <v>1394148</v>
      </c>
      <c r="M343">
        <v>1394148</v>
      </c>
      <c r="N343">
        <v>510701</v>
      </c>
      <c r="O343">
        <v>646</v>
      </c>
      <c r="P343" t="s">
        <v>7978</v>
      </c>
      <c r="Q343">
        <v>883447</v>
      </c>
      <c r="R343">
        <v>1287</v>
      </c>
      <c r="S343" t="s">
        <v>7979</v>
      </c>
      <c r="T343">
        <v>0</v>
      </c>
      <c r="U343">
        <v>0</v>
      </c>
      <c r="W343" t="s">
        <v>102</v>
      </c>
      <c r="X343" t="s">
        <v>275</v>
      </c>
      <c r="Z343" t="s">
        <v>7980</v>
      </c>
      <c r="AA343" t="s">
        <v>109</v>
      </c>
      <c r="AB343" t="s">
        <v>102</v>
      </c>
      <c r="AC343" t="s">
        <v>109</v>
      </c>
      <c r="AD343" t="s">
        <v>102</v>
      </c>
      <c r="AE343" t="s">
        <v>109</v>
      </c>
      <c r="AF343" t="s">
        <v>102</v>
      </c>
      <c r="AG343" t="s">
        <v>109</v>
      </c>
      <c r="AH343" t="s">
        <v>102</v>
      </c>
      <c r="AI343" t="s">
        <v>7981</v>
      </c>
      <c r="AJ343" t="s">
        <v>7982</v>
      </c>
      <c r="AK343" t="s">
        <v>7983</v>
      </c>
      <c r="AL343" t="s">
        <v>7984</v>
      </c>
      <c r="AM343" t="s">
        <v>7985</v>
      </c>
      <c r="AN343" t="s">
        <v>7986</v>
      </c>
      <c r="AO343" t="s">
        <v>7987</v>
      </c>
      <c r="AP343" t="s">
        <v>7988</v>
      </c>
      <c r="AQ343" t="s">
        <v>343</v>
      </c>
      <c r="AR343" t="s">
        <v>169</v>
      </c>
      <c r="AS343" t="s">
        <v>169</v>
      </c>
      <c r="AU343" t="s">
        <v>318</v>
      </c>
      <c r="AV343" t="s">
        <v>2203</v>
      </c>
      <c r="AW343" t="s">
        <v>1103</v>
      </c>
      <c r="AX343" t="s">
        <v>119</v>
      </c>
      <c r="AY343" t="s">
        <v>170</v>
      </c>
      <c r="AZ343" t="s">
        <v>118</v>
      </c>
      <c r="BB343" t="s">
        <v>120</v>
      </c>
      <c r="BC343" t="s">
        <v>448</v>
      </c>
      <c r="BD343" t="s">
        <v>449</v>
      </c>
      <c r="BE343" t="s">
        <v>122</v>
      </c>
      <c r="BF343" t="s">
        <v>450</v>
      </c>
      <c r="BG343" t="s">
        <v>124</v>
      </c>
      <c r="BH343" t="s">
        <v>3457</v>
      </c>
      <c r="BI343" t="s">
        <v>126</v>
      </c>
      <c r="BJ343" t="s">
        <v>127</v>
      </c>
      <c r="BK343" t="s">
        <v>7989</v>
      </c>
      <c r="BL343" t="s">
        <v>7990</v>
      </c>
      <c r="BM343" t="s">
        <v>7991</v>
      </c>
      <c r="BN343" t="s">
        <v>7976</v>
      </c>
      <c r="BO343" t="s">
        <v>131</v>
      </c>
      <c r="BP343" t="s">
        <v>7992</v>
      </c>
      <c r="BQ343" t="s">
        <v>133</v>
      </c>
      <c r="BR343" t="s">
        <v>134</v>
      </c>
      <c r="BS343" t="s">
        <v>455</v>
      </c>
      <c r="BU343" t="s">
        <v>7993</v>
      </c>
      <c r="BV343" t="s">
        <v>7994</v>
      </c>
      <c r="BW343" t="s">
        <v>598</v>
      </c>
      <c r="BX343" t="s">
        <v>7995</v>
      </c>
      <c r="BY343" t="s">
        <v>7996</v>
      </c>
      <c r="BZ343" t="s">
        <v>7997</v>
      </c>
      <c r="CG343" t="s">
        <v>7998</v>
      </c>
      <c r="CH343" t="s">
        <v>7999</v>
      </c>
      <c r="CJ343" t="s">
        <v>8000</v>
      </c>
      <c r="CK343" t="s">
        <v>7999</v>
      </c>
      <c r="CL343" t="s">
        <v>448</v>
      </c>
      <c r="CM343" t="s">
        <v>449</v>
      </c>
      <c r="CN343" t="s">
        <v>8000</v>
      </c>
      <c r="CP343" t="s">
        <v>7999</v>
      </c>
      <c r="CQ343" t="s">
        <v>7999</v>
      </c>
    </row>
    <row r="344" spans="1:95">
      <c r="A344" t="s">
        <v>149</v>
      </c>
      <c r="B344">
        <v>395483</v>
      </c>
      <c r="C344" t="s">
        <v>8001</v>
      </c>
      <c r="D344" t="str">
        <f>VLOOKUP(B344,'2025'!B:C,2,0)</f>
        <v>Vaishali</v>
      </c>
      <c r="F344" t="s">
        <v>95</v>
      </c>
      <c r="G344" t="s">
        <v>3901</v>
      </c>
      <c r="H344" t="s">
        <v>2163</v>
      </c>
      <c r="I344" t="s">
        <v>98</v>
      </c>
      <c r="J344" t="s">
        <v>8002</v>
      </c>
      <c r="K344" t="s">
        <v>100</v>
      </c>
      <c r="L344">
        <v>2763740</v>
      </c>
      <c r="M344">
        <v>2901884</v>
      </c>
      <c r="N344">
        <v>481438</v>
      </c>
      <c r="O344">
        <v>1070</v>
      </c>
      <c r="P344" t="s">
        <v>5668</v>
      </c>
      <c r="Q344">
        <v>1514834</v>
      </c>
      <c r="R344">
        <v>1021</v>
      </c>
      <c r="S344" t="s">
        <v>5669</v>
      </c>
      <c r="T344">
        <v>767468</v>
      </c>
      <c r="U344">
        <v>1396</v>
      </c>
      <c r="V344" t="s">
        <v>5670</v>
      </c>
      <c r="W344" t="s">
        <v>102</v>
      </c>
      <c r="X344" t="s">
        <v>103</v>
      </c>
      <c r="Y344" t="s">
        <v>155</v>
      </c>
      <c r="AA344" t="s">
        <v>232</v>
      </c>
      <c r="AB344" t="s">
        <v>8003</v>
      </c>
      <c r="AC344" t="s">
        <v>892</v>
      </c>
      <c r="AD344" t="s">
        <v>8003</v>
      </c>
      <c r="AE344" t="s">
        <v>437</v>
      </c>
      <c r="AF344" t="s">
        <v>8003</v>
      </c>
      <c r="AG344" t="s">
        <v>160</v>
      </c>
      <c r="AH344" t="s">
        <v>8003</v>
      </c>
      <c r="AI344" t="s">
        <v>8004</v>
      </c>
      <c r="AJ344" t="s">
        <v>8005</v>
      </c>
      <c r="AK344" t="s">
        <v>8005</v>
      </c>
      <c r="AL344" t="s">
        <v>8006</v>
      </c>
      <c r="AM344" t="s">
        <v>8007</v>
      </c>
      <c r="AN344" t="s">
        <v>8008</v>
      </c>
      <c r="AO344" t="s">
        <v>8009</v>
      </c>
      <c r="AP344" t="s">
        <v>8010</v>
      </c>
      <c r="AR344" t="s">
        <v>169</v>
      </c>
      <c r="AT344" t="s">
        <v>169</v>
      </c>
      <c r="AU344" t="s">
        <v>247</v>
      </c>
      <c r="AV344" t="s">
        <v>118</v>
      </c>
      <c r="AW344" t="s">
        <v>5675</v>
      </c>
      <c r="AX344" t="s">
        <v>119</v>
      </c>
      <c r="AZ344" t="s">
        <v>250</v>
      </c>
      <c r="BA344" t="s">
        <v>250</v>
      </c>
      <c r="BB344" t="s">
        <v>120</v>
      </c>
      <c r="BC344" t="s">
        <v>448</v>
      </c>
      <c r="BD344" t="s">
        <v>449</v>
      </c>
      <c r="BE344" t="s">
        <v>122</v>
      </c>
      <c r="BF344" t="s">
        <v>450</v>
      </c>
      <c r="BG344" t="s">
        <v>124</v>
      </c>
      <c r="BH344" t="s">
        <v>232</v>
      </c>
      <c r="BI344" t="s">
        <v>126</v>
      </c>
      <c r="BJ344" t="s">
        <v>127</v>
      </c>
      <c r="BK344" t="s">
        <v>8011</v>
      </c>
      <c r="BL344" t="s">
        <v>8012</v>
      </c>
      <c r="BM344" t="s">
        <v>8013</v>
      </c>
      <c r="BN344" t="s">
        <v>3901</v>
      </c>
      <c r="BO344" t="s">
        <v>1108</v>
      </c>
      <c r="BP344" t="s">
        <v>350</v>
      </c>
      <c r="BQ344" t="s">
        <v>1109</v>
      </c>
      <c r="BR344" t="s">
        <v>1110</v>
      </c>
      <c r="BS344" t="s">
        <v>135</v>
      </c>
      <c r="BU344" t="s">
        <v>8014</v>
      </c>
      <c r="BV344" t="s">
        <v>5680</v>
      </c>
      <c r="BX344" t="s">
        <v>5681</v>
      </c>
      <c r="BY344" t="s">
        <v>5682</v>
      </c>
      <c r="BZ344" t="s">
        <v>8015</v>
      </c>
      <c r="CA344" t="s">
        <v>8016</v>
      </c>
      <c r="CB344" t="s">
        <v>5681</v>
      </c>
      <c r="CC344" t="s">
        <v>5682</v>
      </c>
      <c r="CD344" t="s">
        <v>8017</v>
      </c>
      <c r="CE344" t="s">
        <v>8018</v>
      </c>
      <c r="CF344" t="s">
        <v>8019</v>
      </c>
      <c r="CG344" t="s">
        <v>102</v>
      </c>
      <c r="CH344" t="s">
        <v>8020</v>
      </c>
      <c r="CJ344" t="s">
        <v>8000</v>
      </c>
      <c r="CK344" t="s">
        <v>8020</v>
      </c>
      <c r="CL344" t="s">
        <v>448</v>
      </c>
      <c r="CM344" t="s">
        <v>449</v>
      </c>
      <c r="CN344" t="s">
        <v>8000</v>
      </c>
      <c r="CO344" t="s">
        <v>5687</v>
      </c>
      <c r="CP344" t="s">
        <v>8021</v>
      </c>
      <c r="CQ344" t="s">
        <v>8020</v>
      </c>
    </row>
    <row r="345" spans="1:95">
      <c r="A345" t="s">
        <v>337</v>
      </c>
      <c r="B345">
        <v>3955038</v>
      </c>
      <c r="C345" t="s">
        <v>8022</v>
      </c>
      <c r="D345" t="str">
        <f>VLOOKUP(B345,'2025'!B:C,2,0)</f>
        <v>Anushka</v>
      </c>
      <c r="F345" t="s">
        <v>95</v>
      </c>
      <c r="G345" t="s">
        <v>8023</v>
      </c>
      <c r="H345" t="s">
        <v>8024</v>
      </c>
      <c r="I345" t="s">
        <v>98</v>
      </c>
      <c r="J345" t="s">
        <v>8025</v>
      </c>
      <c r="K345" t="s">
        <v>100</v>
      </c>
      <c r="L345">
        <v>676869</v>
      </c>
      <c r="M345">
        <v>748866</v>
      </c>
      <c r="N345">
        <v>0</v>
      </c>
      <c r="O345">
        <v>0</v>
      </c>
      <c r="Q345">
        <v>276883</v>
      </c>
      <c r="R345">
        <v>264</v>
      </c>
      <c r="S345" t="s">
        <v>8026</v>
      </c>
      <c r="T345">
        <v>399986</v>
      </c>
      <c r="U345">
        <v>100</v>
      </c>
      <c r="V345" t="s">
        <v>492</v>
      </c>
      <c r="W345" t="s">
        <v>102</v>
      </c>
      <c r="X345" t="s">
        <v>103</v>
      </c>
      <c r="Y345" t="s">
        <v>155</v>
      </c>
      <c r="AA345" t="s">
        <v>8027</v>
      </c>
      <c r="AB345" t="s">
        <v>8028</v>
      </c>
      <c r="AC345" t="s">
        <v>1493</v>
      </c>
      <c r="AD345" t="s">
        <v>8028</v>
      </c>
      <c r="AE345" t="s">
        <v>853</v>
      </c>
      <c r="AF345" t="s">
        <v>8028</v>
      </c>
      <c r="AG345" t="s">
        <v>854</v>
      </c>
      <c r="AH345" t="s">
        <v>8028</v>
      </c>
      <c r="AI345" t="s">
        <v>8029</v>
      </c>
      <c r="AJ345" t="s">
        <v>881</v>
      </c>
      <c r="AK345" t="s">
        <v>5548</v>
      </c>
      <c r="AL345" t="s">
        <v>8030</v>
      </c>
      <c r="AM345" t="s">
        <v>8031</v>
      </c>
      <c r="AN345" t="s">
        <v>8032</v>
      </c>
      <c r="AO345" t="s">
        <v>8033</v>
      </c>
      <c r="AP345" t="s">
        <v>8033</v>
      </c>
      <c r="AU345" t="s">
        <v>102</v>
      </c>
      <c r="AW345" t="s">
        <v>155</v>
      </c>
      <c r="AX345" t="s">
        <v>119</v>
      </c>
      <c r="AZ345" t="s">
        <v>250</v>
      </c>
      <c r="BA345" t="s">
        <v>250</v>
      </c>
      <c r="BB345" t="s">
        <v>120</v>
      </c>
      <c r="BC345" t="s">
        <v>8034</v>
      </c>
      <c r="BD345" t="s">
        <v>449</v>
      </c>
      <c r="BE345" t="s">
        <v>122</v>
      </c>
      <c r="BF345" t="s">
        <v>253</v>
      </c>
      <c r="BG345" t="s">
        <v>124</v>
      </c>
      <c r="BH345" t="s">
        <v>232</v>
      </c>
      <c r="BI345" t="s">
        <v>126</v>
      </c>
      <c r="BJ345" t="s">
        <v>127</v>
      </c>
      <c r="BK345" t="s">
        <v>8035</v>
      </c>
      <c r="BL345" t="s">
        <v>8036</v>
      </c>
      <c r="BM345" t="s">
        <v>8037</v>
      </c>
      <c r="BN345" t="s">
        <v>8023</v>
      </c>
      <c r="BO345" t="s">
        <v>1992</v>
      </c>
      <c r="BP345" t="s">
        <v>258</v>
      </c>
      <c r="BQ345" t="s">
        <v>1993</v>
      </c>
      <c r="BR345" t="s">
        <v>1994</v>
      </c>
      <c r="BS345" t="s">
        <v>3246</v>
      </c>
      <c r="BU345" t="s">
        <v>8038</v>
      </c>
      <c r="BV345" t="s">
        <v>8039</v>
      </c>
      <c r="BW345" t="s">
        <v>138</v>
      </c>
      <c r="BX345" t="s">
        <v>8040</v>
      </c>
      <c r="BY345" t="s">
        <v>8041</v>
      </c>
      <c r="BZ345" t="s">
        <v>8042</v>
      </c>
      <c r="CA345" t="s">
        <v>8039</v>
      </c>
      <c r="CB345" t="s">
        <v>8040</v>
      </c>
      <c r="CC345" t="s">
        <v>8041</v>
      </c>
      <c r="CD345" t="s">
        <v>8043</v>
      </c>
      <c r="CE345" t="s">
        <v>8040</v>
      </c>
      <c r="CF345" t="s">
        <v>8044</v>
      </c>
      <c r="CG345" t="s">
        <v>1016</v>
      </c>
      <c r="CH345" t="s">
        <v>8045</v>
      </c>
      <c r="CJ345" t="s">
        <v>8046</v>
      </c>
      <c r="CK345" t="s">
        <v>8045</v>
      </c>
      <c r="CL345" t="s">
        <v>8034</v>
      </c>
      <c r="CM345" t="s">
        <v>449</v>
      </c>
      <c r="CN345" t="s">
        <v>8046</v>
      </c>
      <c r="CO345" t="s">
        <v>2003</v>
      </c>
      <c r="CP345" t="s">
        <v>8045</v>
      </c>
      <c r="CQ345" t="s">
        <v>8045</v>
      </c>
    </row>
    <row r="346" spans="1:95">
      <c r="A346" t="s">
        <v>337</v>
      </c>
      <c r="B346">
        <v>3989874</v>
      </c>
      <c r="C346" t="s">
        <v>8047</v>
      </c>
      <c r="E346" s="4" t="s">
        <v>17377</v>
      </c>
      <c r="F346" t="s">
        <v>95</v>
      </c>
      <c r="G346" t="s">
        <v>8048</v>
      </c>
      <c r="H346" t="s">
        <v>848</v>
      </c>
      <c r="I346" t="s">
        <v>98</v>
      </c>
      <c r="J346" t="s">
        <v>8049</v>
      </c>
      <c r="K346" t="s">
        <v>100</v>
      </c>
      <c r="L346">
        <v>169847</v>
      </c>
      <c r="M346">
        <v>200420</v>
      </c>
      <c r="N346">
        <v>0</v>
      </c>
      <c r="O346">
        <v>0</v>
      </c>
      <c r="Q346">
        <v>0</v>
      </c>
      <c r="R346">
        <v>0</v>
      </c>
      <c r="T346">
        <v>169847</v>
      </c>
      <c r="U346">
        <v>181</v>
      </c>
      <c r="V346" t="s">
        <v>8050</v>
      </c>
      <c r="W346" t="s">
        <v>102</v>
      </c>
      <c r="X346" t="s">
        <v>679</v>
      </c>
      <c r="Y346" t="s">
        <v>155</v>
      </c>
      <c r="Z346" t="s">
        <v>854</v>
      </c>
      <c r="AA346" t="s">
        <v>8051</v>
      </c>
      <c r="AB346" t="s">
        <v>8052</v>
      </c>
      <c r="AC346" t="s">
        <v>1266</v>
      </c>
      <c r="AD346" t="s">
        <v>8052</v>
      </c>
      <c r="AE346" t="s">
        <v>805</v>
      </c>
      <c r="AF346" t="s">
        <v>8052</v>
      </c>
      <c r="AG346" t="s">
        <v>8053</v>
      </c>
      <c r="AH346" t="s">
        <v>8052</v>
      </c>
      <c r="AI346" t="s">
        <v>102</v>
      </c>
      <c r="AJ346" t="s">
        <v>4556</v>
      </c>
      <c r="AK346" t="s">
        <v>8054</v>
      </c>
      <c r="AL346" t="s">
        <v>8055</v>
      </c>
      <c r="AM346" t="s">
        <v>8056</v>
      </c>
      <c r="AN346" t="s">
        <v>8057</v>
      </c>
      <c r="AO346" t="s">
        <v>8058</v>
      </c>
      <c r="AP346" t="s">
        <v>8058</v>
      </c>
      <c r="AU346" t="s">
        <v>102</v>
      </c>
      <c r="AW346" t="s">
        <v>102</v>
      </c>
      <c r="AX346" t="s">
        <v>119</v>
      </c>
      <c r="BA346" t="s">
        <v>250</v>
      </c>
      <c r="BB346" t="s">
        <v>120</v>
      </c>
      <c r="BC346" t="s">
        <v>3864</v>
      </c>
      <c r="BD346" t="s">
        <v>4404</v>
      </c>
      <c r="BE346" t="s">
        <v>174</v>
      </c>
      <c r="BF346" t="s">
        <v>4405</v>
      </c>
      <c r="BG346" t="s">
        <v>124</v>
      </c>
      <c r="BH346" t="s">
        <v>8059</v>
      </c>
      <c r="BI346" t="s">
        <v>8060</v>
      </c>
      <c r="BJ346" t="s">
        <v>127</v>
      </c>
      <c r="BK346" t="s">
        <v>8061</v>
      </c>
      <c r="BL346" t="s">
        <v>8062</v>
      </c>
      <c r="BM346" t="s">
        <v>8063</v>
      </c>
      <c r="BN346" t="s">
        <v>8048</v>
      </c>
      <c r="BO346" t="s">
        <v>5531</v>
      </c>
      <c r="BP346" t="s">
        <v>180</v>
      </c>
      <c r="BQ346" t="s">
        <v>5532</v>
      </c>
      <c r="BR346" t="s">
        <v>5533</v>
      </c>
      <c r="BS346" t="s">
        <v>4413</v>
      </c>
      <c r="BT346" t="s">
        <v>5534</v>
      </c>
      <c r="BU346" t="s">
        <v>8064</v>
      </c>
      <c r="BV346" t="s">
        <v>8065</v>
      </c>
      <c r="BW346" t="s">
        <v>138</v>
      </c>
      <c r="BX346" t="s">
        <v>8066</v>
      </c>
      <c r="BY346" t="s">
        <v>8067</v>
      </c>
      <c r="BZ346" t="s">
        <v>8066</v>
      </c>
      <c r="CA346" t="s">
        <v>8065</v>
      </c>
      <c r="CB346" t="s">
        <v>8066</v>
      </c>
      <c r="CC346" t="s">
        <v>8067</v>
      </c>
      <c r="CD346" t="s">
        <v>8068</v>
      </c>
      <c r="CE346" t="s">
        <v>8066</v>
      </c>
      <c r="CF346" t="s">
        <v>8069</v>
      </c>
      <c r="CG346" t="s">
        <v>8070</v>
      </c>
      <c r="CH346" t="s">
        <v>8071</v>
      </c>
      <c r="CJ346" t="s">
        <v>8072</v>
      </c>
      <c r="CK346" t="s">
        <v>8071</v>
      </c>
      <c r="CL346" t="s">
        <v>3864</v>
      </c>
      <c r="CM346" t="s">
        <v>4404</v>
      </c>
      <c r="CN346" t="s">
        <v>8072</v>
      </c>
      <c r="CP346" t="s">
        <v>8071</v>
      </c>
      <c r="CQ346" t="s">
        <v>8071</v>
      </c>
    </row>
    <row r="347" spans="1:95">
      <c r="A347" t="s">
        <v>93</v>
      </c>
      <c r="B347">
        <v>3990168</v>
      </c>
      <c r="C347" t="s">
        <v>8073</v>
      </c>
      <c r="D347" t="str">
        <f>VLOOKUP(B347,'2025'!B:C,2,0)</f>
        <v>Gargi Ghosh</v>
      </c>
      <c r="F347" t="s">
        <v>95</v>
      </c>
      <c r="G347" t="s">
        <v>8074</v>
      </c>
      <c r="H347" t="s">
        <v>675</v>
      </c>
      <c r="I347" t="s">
        <v>98</v>
      </c>
      <c r="J347" t="s">
        <v>8075</v>
      </c>
      <c r="K347" t="s">
        <v>100</v>
      </c>
      <c r="L347">
        <v>1076212</v>
      </c>
      <c r="M347">
        <v>1076212</v>
      </c>
      <c r="N347">
        <v>184800</v>
      </c>
      <c r="O347">
        <v>308</v>
      </c>
      <c r="P347" t="s">
        <v>310</v>
      </c>
      <c r="Q347">
        <v>891412</v>
      </c>
      <c r="R347">
        <v>556</v>
      </c>
      <c r="S347" t="s">
        <v>8076</v>
      </c>
      <c r="T347">
        <v>0</v>
      </c>
      <c r="U347">
        <v>0</v>
      </c>
      <c r="W347" t="s">
        <v>102</v>
      </c>
      <c r="X347" t="s">
        <v>103</v>
      </c>
      <c r="Y347" t="s">
        <v>938</v>
      </c>
      <c r="AA347" t="s">
        <v>8077</v>
      </c>
      <c r="AB347" t="s">
        <v>8078</v>
      </c>
      <c r="AC347" t="s">
        <v>8079</v>
      </c>
      <c r="AD347" t="s">
        <v>8080</v>
      </c>
      <c r="AE347" t="s">
        <v>8081</v>
      </c>
      <c r="AF347" t="s">
        <v>8080</v>
      </c>
      <c r="AG347" t="s">
        <v>8082</v>
      </c>
      <c r="AH347" t="s">
        <v>8083</v>
      </c>
      <c r="AI347" t="s">
        <v>8084</v>
      </c>
      <c r="AJ347" t="s">
        <v>977</v>
      </c>
      <c r="AK347" t="s">
        <v>8085</v>
      </c>
      <c r="AL347" t="s">
        <v>8086</v>
      </c>
      <c r="AM347" t="s">
        <v>8087</v>
      </c>
      <c r="AN347" t="s">
        <v>8088</v>
      </c>
      <c r="AO347" t="s">
        <v>8089</v>
      </c>
      <c r="AP347" t="s">
        <v>8089</v>
      </c>
      <c r="AU347" t="s">
        <v>247</v>
      </c>
      <c r="AV347" t="s">
        <v>118</v>
      </c>
      <c r="AW347" t="s">
        <v>1103</v>
      </c>
      <c r="AX347" t="s">
        <v>119</v>
      </c>
      <c r="AY347" t="s">
        <v>170</v>
      </c>
      <c r="AZ347" t="s">
        <v>118</v>
      </c>
      <c r="BB347" t="s">
        <v>1964</v>
      </c>
      <c r="BC347" t="s">
        <v>8090</v>
      </c>
      <c r="BD347" t="s">
        <v>376</v>
      </c>
      <c r="BE347" t="s">
        <v>174</v>
      </c>
      <c r="BF347" t="s">
        <v>376</v>
      </c>
      <c r="BG347" t="s">
        <v>124</v>
      </c>
      <c r="BH347" t="s">
        <v>8091</v>
      </c>
      <c r="BI347" t="s">
        <v>126</v>
      </c>
      <c r="BJ347" t="s">
        <v>127</v>
      </c>
      <c r="BK347" t="s">
        <v>8092</v>
      </c>
      <c r="BL347" t="s">
        <v>8093</v>
      </c>
      <c r="BM347" t="s">
        <v>8094</v>
      </c>
      <c r="BN347" t="s">
        <v>8074</v>
      </c>
      <c r="BO347" t="s">
        <v>381</v>
      </c>
      <c r="BP347" t="s">
        <v>350</v>
      </c>
      <c r="BQ347" t="s">
        <v>382</v>
      </c>
      <c r="BR347" t="s">
        <v>383</v>
      </c>
      <c r="BS347" t="s">
        <v>1858</v>
      </c>
      <c r="BU347" t="s">
        <v>8095</v>
      </c>
      <c r="BV347" t="s">
        <v>8096</v>
      </c>
      <c r="BW347" t="s">
        <v>138</v>
      </c>
      <c r="BX347" t="s">
        <v>8097</v>
      </c>
      <c r="BY347" t="s">
        <v>8098</v>
      </c>
      <c r="CA347" t="s">
        <v>8096</v>
      </c>
      <c r="CB347" t="s">
        <v>8097</v>
      </c>
      <c r="CC347" t="s">
        <v>8098</v>
      </c>
      <c r="CD347" t="s">
        <v>8099</v>
      </c>
      <c r="CE347" t="s">
        <v>8097</v>
      </c>
      <c r="CF347" t="s">
        <v>8100</v>
      </c>
      <c r="CG347" t="s">
        <v>102</v>
      </c>
      <c r="CH347" t="s">
        <v>8101</v>
      </c>
      <c r="CJ347" t="s">
        <v>8102</v>
      </c>
      <c r="CK347" t="s">
        <v>8101</v>
      </c>
      <c r="CL347" t="s">
        <v>8090</v>
      </c>
      <c r="CM347" t="s">
        <v>376</v>
      </c>
      <c r="CN347" t="s">
        <v>8102</v>
      </c>
      <c r="CO347" t="s">
        <v>8103</v>
      </c>
      <c r="CP347" t="s">
        <v>8101</v>
      </c>
      <c r="CQ347" t="s">
        <v>8101</v>
      </c>
    </row>
    <row r="348" spans="1:95">
      <c r="A348" t="s">
        <v>93</v>
      </c>
      <c r="B348">
        <v>3990957</v>
      </c>
      <c r="C348" t="s">
        <v>8104</v>
      </c>
      <c r="F348" t="s">
        <v>95</v>
      </c>
      <c r="G348" t="s">
        <v>156</v>
      </c>
      <c r="H348" t="s">
        <v>152</v>
      </c>
      <c r="I348" t="s">
        <v>98</v>
      </c>
      <c r="J348" t="s">
        <v>8105</v>
      </c>
      <c r="K348" t="s">
        <v>100</v>
      </c>
      <c r="L348">
        <v>511000</v>
      </c>
      <c r="M348">
        <v>511000</v>
      </c>
      <c r="N348">
        <v>0</v>
      </c>
      <c r="O348">
        <v>0</v>
      </c>
      <c r="Q348">
        <v>511000</v>
      </c>
      <c r="R348">
        <v>397</v>
      </c>
      <c r="S348" t="s">
        <v>8106</v>
      </c>
      <c r="T348">
        <v>0</v>
      </c>
      <c r="U348">
        <v>0</v>
      </c>
      <c r="W348" t="s">
        <v>102</v>
      </c>
      <c r="X348" t="s">
        <v>103</v>
      </c>
      <c r="Y348" t="s">
        <v>104</v>
      </c>
      <c r="AA348" t="s">
        <v>8107</v>
      </c>
      <c r="AB348" t="s">
        <v>8108</v>
      </c>
      <c r="AC348" t="s">
        <v>160</v>
      </c>
      <c r="AD348" t="s">
        <v>8108</v>
      </c>
      <c r="AE348" t="s">
        <v>109</v>
      </c>
      <c r="AF348" t="s">
        <v>102</v>
      </c>
      <c r="AG348" t="s">
        <v>109</v>
      </c>
      <c r="AH348" t="s">
        <v>102</v>
      </c>
      <c r="AI348" t="s">
        <v>8109</v>
      </c>
      <c r="AJ348" t="s">
        <v>8110</v>
      </c>
      <c r="AK348" t="s">
        <v>2083</v>
      </c>
      <c r="AL348" t="s">
        <v>8111</v>
      </c>
      <c r="AM348" t="s">
        <v>8112</v>
      </c>
      <c r="AN348" t="s">
        <v>8113</v>
      </c>
      <c r="AO348" t="s">
        <v>116</v>
      </c>
      <c r="AP348" t="s">
        <v>116</v>
      </c>
      <c r="AU348" t="s">
        <v>102</v>
      </c>
      <c r="AW348" t="s">
        <v>801</v>
      </c>
      <c r="AX348" t="s">
        <v>119</v>
      </c>
      <c r="AZ348" t="s">
        <v>250</v>
      </c>
      <c r="BB348" t="s">
        <v>171</v>
      </c>
      <c r="BC348" t="s">
        <v>920</v>
      </c>
      <c r="BD348" t="s">
        <v>211</v>
      </c>
      <c r="BE348" t="s">
        <v>212</v>
      </c>
      <c r="BF348" t="s">
        <v>213</v>
      </c>
      <c r="BG348" t="s">
        <v>124</v>
      </c>
      <c r="BH348" t="s">
        <v>214</v>
      </c>
      <c r="BI348" t="s">
        <v>126</v>
      </c>
      <c r="BJ348" t="s">
        <v>127</v>
      </c>
      <c r="BK348" t="s">
        <v>8114</v>
      </c>
      <c r="BL348" t="s">
        <v>8115</v>
      </c>
      <c r="BM348" t="s">
        <v>8116</v>
      </c>
      <c r="BN348" t="s">
        <v>156</v>
      </c>
      <c r="BO348" t="s">
        <v>1309</v>
      </c>
      <c r="BP348" t="s">
        <v>180</v>
      </c>
      <c r="BQ348" t="s">
        <v>1310</v>
      </c>
      <c r="BR348" t="s">
        <v>1311</v>
      </c>
      <c r="BS348" t="s">
        <v>2151</v>
      </c>
      <c r="BU348" t="s">
        <v>8117</v>
      </c>
      <c r="BV348" t="s">
        <v>8118</v>
      </c>
      <c r="BW348" t="s">
        <v>138</v>
      </c>
      <c r="BX348" t="s">
        <v>8119</v>
      </c>
      <c r="BY348" t="s">
        <v>8120</v>
      </c>
      <c r="BZ348" t="s">
        <v>8121</v>
      </c>
      <c r="CG348" t="s">
        <v>3968</v>
      </c>
      <c r="CH348" t="s">
        <v>8122</v>
      </c>
      <c r="CJ348" t="s">
        <v>8123</v>
      </c>
      <c r="CK348" t="s">
        <v>8122</v>
      </c>
      <c r="CL348" t="s">
        <v>920</v>
      </c>
      <c r="CM348" t="s">
        <v>211</v>
      </c>
      <c r="CN348" t="s">
        <v>8123</v>
      </c>
      <c r="CO348" t="s">
        <v>102</v>
      </c>
      <c r="CP348" t="s">
        <v>8122</v>
      </c>
      <c r="CQ348" t="s">
        <v>8122</v>
      </c>
    </row>
    <row r="349" spans="1:95">
      <c r="A349" t="s">
        <v>337</v>
      </c>
      <c r="B349">
        <v>3991280</v>
      </c>
      <c r="C349" t="s">
        <v>8124</v>
      </c>
      <c r="E349" s="4" t="s">
        <v>17377</v>
      </c>
      <c r="F349" t="s">
        <v>95</v>
      </c>
      <c r="G349" t="s">
        <v>6079</v>
      </c>
      <c r="H349" t="s">
        <v>152</v>
      </c>
      <c r="I349" t="s">
        <v>98</v>
      </c>
      <c r="J349" t="s">
        <v>8125</v>
      </c>
      <c r="K349" t="s">
        <v>100</v>
      </c>
      <c r="L349">
        <v>261050</v>
      </c>
      <c r="M349">
        <v>261050</v>
      </c>
      <c r="N349">
        <v>0</v>
      </c>
      <c r="O349">
        <v>0</v>
      </c>
      <c r="Q349">
        <v>261050</v>
      </c>
      <c r="R349">
        <v>251</v>
      </c>
      <c r="S349" t="s">
        <v>8126</v>
      </c>
      <c r="T349">
        <v>0</v>
      </c>
      <c r="U349">
        <v>0</v>
      </c>
      <c r="W349" t="s">
        <v>102</v>
      </c>
      <c r="X349" t="s">
        <v>103</v>
      </c>
      <c r="Y349" t="s">
        <v>155</v>
      </c>
      <c r="AA349" t="s">
        <v>7506</v>
      </c>
      <c r="AB349" t="s">
        <v>8127</v>
      </c>
      <c r="AC349" t="s">
        <v>197</v>
      </c>
      <c r="AD349" t="s">
        <v>8127</v>
      </c>
      <c r="AE349" t="s">
        <v>1472</v>
      </c>
      <c r="AF349" t="s">
        <v>8127</v>
      </c>
      <c r="AG349" t="s">
        <v>2582</v>
      </c>
      <c r="AH349" t="s">
        <v>8127</v>
      </c>
      <c r="AI349" t="s">
        <v>102</v>
      </c>
      <c r="AJ349" t="s">
        <v>467</v>
      </c>
      <c r="AK349" t="s">
        <v>8128</v>
      </c>
      <c r="AL349" t="s">
        <v>8129</v>
      </c>
      <c r="AM349" t="s">
        <v>8130</v>
      </c>
      <c r="AN349" t="s">
        <v>8131</v>
      </c>
      <c r="AO349" t="s">
        <v>8132</v>
      </c>
      <c r="AP349" t="s">
        <v>8132</v>
      </c>
      <c r="AU349" t="s">
        <v>102</v>
      </c>
      <c r="AW349" t="s">
        <v>104</v>
      </c>
      <c r="AX349" t="s">
        <v>447</v>
      </c>
      <c r="AY349" t="s">
        <v>170</v>
      </c>
      <c r="AZ349" t="s">
        <v>118</v>
      </c>
      <c r="BB349" t="s">
        <v>120</v>
      </c>
      <c r="BC349" t="s">
        <v>8133</v>
      </c>
      <c r="BD349" t="s">
        <v>376</v>
      </c>
      <c r="BE349" t="s">
        <v>174</v>
      </c>
      <c r="BF349" t="s">
        <v>376</v>
      </c>
      <c r="BG349" t="s">
        <v>124</v>
      </c>
      <c r="BH349" t="s">
        <v>232</v>
      </c>
      <c r="BI349" t="s">
        <v>126</v>
      </c>
      <c r="BJ349" t="s">
        <v>127</v>
      </c>
      <c r="BK349" t="s">
        <v>8134</v>
      </c>
      <c r="BL349" t="s">
        <v>8135</v>
      </c>
      <c r="BM349" t="s">
        <v>8136</v>
      </c>
      <c r="BN349" t="s">
        <v>6079</v>
      </c>
      <c r="BO349" t="s">
        <v>5026</v>
      </c>
      <c r="BP349" t="s">
        <v>258</v>
      </c>
      <c r="BQ349" t="s">
        <v>5027</v>
      </c>
      <c r="BR349" t="s">
        <v>5028</v>
      </c>
      <c r="BS349" t="s">
        <v>1834</v>
      </c>
      <c r="BU349" t="s">
        <v>8137</v>
      </c>
      <c r="BV349" t="s">
        <v>8138</v>
      </c>
      <c r="BW349" t="s">
        <v>138</v>
      </c>
      <c r="BX349" t="s">
        <v>8139</v>
      </c>
      <c r="BY349" t="s">
        <v>8140</v>
      </c>
      <c r="BZ349" t="s">
        <v>8141</v>
      </c>
      <c r="CA349" t="s">
        <v>8138</v>
      </c>
      <c r="CB349" t="s">
        <v>8139</v>
      </c>
      <c r="CC349" t="s">
        <v>8140</v>
      </c>
      <c r="CG349" t="s">
        <v>1594</v>
      </c>
      <c r="CH349" t="s">
        <v>8142</v>
      </c>
      <c r="CJ349" t="s">
        <v>8143</v>
      </c>
      <c r="CK349" t="s">
        <v>8142</v>
      </c>
      <c r="CL349" t="s">
        <v>8133</v>
      </c>
      <c r="CM349" t="s">
        <v>376</v>
      </c>
      <c r="CN349" t="s">
        <v>8143</v>
      </c>
      <c r="CP349" t="s">
        <v>8144</v>
      </c>
      <c r="CQ349" t="s">
        <v>8144</v>
      </c>
    </row>
    <row r="350" spans="1:95">
      <c r="A350" t="s">
        <v>337</v>
      </c>
      <c r="B350">
        <v>3991655</v>
      </c>
      <c r="C350" t="s">
        <v>8145</v>
      </c>
      <c r="D350" t="str">
        <f>VLOOKUP(B350,'2025'!B:C,2,0)</f>
        <v>Aarti Iyer</v>
      </c>
      <c r="F350" t="s">
        <v>95</v>
      </c>
      <c r="G350" t="s">
        <v>8146</v>
      </c>
      <c r="H350" t="s">
        <v>97</v>
      </c>
      <c r="I350" t="s">
        <v>98</v>
      </c>
      <c r="J350" t="s">
        <v>8147</v>
      </c>
      <c r="K350" t="s">
        <v>100</v>
      </c>
      <c r="L350">
        <v>344466</v>
      </c>
      <c r="M350">
        <v>344466</v>
      </c>
      <c r="N350">
        <v>344466</v>
      </c>
      <c r="O350">
        <v>689</v>
      </c>
      <c r="P350" t="s">
        <v>364</v>
      </c>
      <c r="Q350">
        <v>0</v>
      </c>
      <c r="R350">
        <v>0</v>
      </c>
      <c r="T350">
        <v>0</v>
      </c>
      <c r="U350">
        <v>0</v>
      </c>
      <c r="W350" t="s">
        <v>102</v>
      </c>
      <c r="X350" t="s">
        <v>275</v>
      </c>
      <c r="Z350" t="s">
        <v>684</v>
      </c>
      <c r="AA350" t="s">
        <v>109</v>
      </c>
      <c r="AB350" t="s">
        <v>102</v>
      </c>
      <c r="AC350" t="s">
        <v>109</v>
      </c>
      <c r="AD350" t="s">
        <v>102</v>
      </c>
      <c r="AE350" t="s">
        <v>109</v>
      </c>
      <c r="AF350" t="s">
        <v>102</v>
      </c>
      <c r="AG350" t="s">
        <v>109</v>
      </c>
      <c r="AH350" t="s">
        <v>102</v>
      </c>
      <c r="AI350" t="s">
        <v>8148</v>
      </c>
      <c r="AJ350" t="s">
        <v>238</v>
      </c>
      <c r="AK350" t="s">
        <v>2276</v>
      </c>
      <c r="AL350" t="s">
        <v>8149</v>
      </c>
      <c r="AM350" t="s">
        <v>8150</v>
      </c>
      <c r="AN350" t="s">
        <v>8151</v>
      </c>
      <c r="AO350" t="s">
        <v>2307</v>
      </c>
      <c r="AP350" t="s">
        <v>2307</v>
      </c>
      <c r="AU350" t="s">
        <v>117</v>
      </c>
      <c r="AV350" t="s">
        <v>118</v>
      </c>
      <c r="AW350" t="s">
        <v>102</v>
      </c>
      <c r="AX350" t="s">
        <v>119</v>
      </c>
      <c r="BB350" t="s">
        <v>120</v>
      </c>
      <c r="BC350" t="s">
        <v>8152</v>
      </c>
      <c r="BD350" t="s">
        <v>621</v>
      </c>
      <c r="BE350" t="s">
        <v>622</v>
      </c>
      <c r="BF350" t="s">
        <v>976</v>
      </c>
      <c r="BG350" t="s">
        <v>124</v>
      </c>
      <c r="BH350" t="s">
        <v>400</v>
      </c>
      <c r="BI350" t="s">
        <v>311</v>
      </c>
      <c r="BJ350" t="s">
        <v>127</v>
      </c>
      <c r="BK350" t="s">
        <v>8153</v>
      </c>
      <c r="BL350" t="s">
        <v>8154</v>
      </c>
      <c r="BM350" t="s">
        <v>8155</v>
      </c>
      <c r="BN350" t="s">
        <v>8146</v>
      </c>
      <c r="BO350" t="s">
        <v>5802</v>
      </c>
      <c r="BP350" t="s">
        <v>132</v>
      </c>
      <c r="BQ350" t="s">
        <v>5803</v>
      </c>
      <c r="BR350" t="s">
        <v>5804</v>
      </c>
      <c r="BS350" t="s">
        <v>984</v>
      </c>
      <c r="BU350" t="s">
        <v>8156</v>
      </c>
      <c r="BV350" t="s">
        <v>8157</v>
      </c>
      <c r="BX350" t="s">
        <v>8158</v>
      </c>
      <c r="BY350" t="s">
        <v>8159</v>
      </c>
      <c r="BZ350" t="s">
        <v>8160</v>
      </c>
      <c r="CA350" t="s">
        <v>8157</v>
      </c>
      <c r="CB350" t="s">
        <v>8158</v>
      </c>
      <c r="CC350" t="s">
        <v>8159</v>
      </c>
      <c r="CD350" t="s">
        <v>8161</v>
      </c>
      <c r="CE350" t="s">
        <v>8160</v>
      </c>
      <c r="CF350" t="s">
        <v>8159</v>
      </c>
      <c r="CG350" t="s">
        <v>6290</v>
      </c>
      <c r="CH350" t="s">
        <v>8162</v>
      </c>
      <c r="CJ350" t="s">
        <v>8163</v>
      </c>
      <c r="CK350" t="s">
        <v>8164</v>
      </c>
      <c r="CL350" t="s">
        <v>6280</v>
      </c>
      <c r="CM350" t="s">
        <v>621</v>
      </c>
      <c r="CN350" t="s">
        <v>8165</v>
      </c>
      <c r="CO350" t="s">
        <v>2857</v>
      </c>
      <c r="CP350" t="s">
        <v>8166</v>
      </c>
      <c r="CQ350" t="s">
        <v>8167</v>
      </c>
    </row>
    <row r="351" spans="1:95">
      <c r="A351" t="s">
        <v>337</v>
      </c>
      <c r="B351">
        <v>3991888</v>
      </c>
      <c r="C351" t="s">
        <v>8168</v>
      </c>
      <c r="E351" s="4" t="s">
        <v>17377</v>
      </c>
      <c r="F351" t="s">
        <v>95</v>
      </c>
      <c r="G351" t="s">
        <v>2579</v>
      </c>
      <c r="H351" t="s">
        <v>97</v>
      </c>
      <c r="I351" t="s">
        <v>98</v>
      </c>
      <c r="J351" t="s">
        <v>8169</v>
      </c>
      <c r="K351" t="s">
        <v>100</v>
      </c>
      <c r="L351">
        <v>1036396</v>
      </c>
      <c r="M351">
        <v>1036396</v>
      </c>
      <c r="N351">
        <v>1036396</v>
      </c>
      <c r="O351">
        <v>2073</v>
      </c>
      <c r="P351" t="s">
        <v>364</v>
      </c>
      <c r="Q351">
        <v>0</v>
      </c>
      <c r="R351">
        <v>0</v>
      </c>
      <c r="T351">
        <v>0</v>
      </c>
      <c r="U351">
        <v>0</v>
      </c>
      <c r="W351" t="s">
        <v>102</v>
      </c>
      <c r="X351" t="s">
        <v>103</v>
      </c>
      <c r="Y351" t="s">
        <v>104</v>
      </c>
      <c r="AA351" t="s">
        <v>545</v>
      </c>
      <c r="AB351" t="s">
        <v>8170</v>
      </c>
      <c r="AC351" t="s">
        <v>2582</v>
      </c>
      <c r="AD351" t="s">
        <v>8171</v>
      </c>
      <c r="AE351" t="s">
        <v>109</v>
      </c>
      <c r="AF351" t="s">
        <v>102</v>
      </c>
      <c r="AG351" t="s">
        <v>109</v>
      </c>
      <c r="AH351" t="s">
        <v>102</v>
      </c>
      <c r="AI351" t="s">
        <v>8172</v>
      </c>
      <c r="AJ351" t="s">
        <v>8128</v>
      </c>
      <c r="AK351" t="s">
        <v>8128</v>
      </c>
      <c r="AL351" t="s">
        <v>8173</v>
      </c>
      <c r="AM351" t="s">
        <v>8174</v>
      </c>
      <c r="AN351" t="s">
        <v>102</v>
      </c>
      <c r="AO351" t="s">
        <v>2307</v>
      </c>
      <c r="AP351" t="s">
        <v>2307</v>
      </c>
      <c r="AU351" t="s">
        <v>117</v>
      </c>
      <c r="AV351" t="s">
        <v>118</v>
      </c>
      <c r="AW351" t="s">
        <v>102</v>
      </c>
      <c r="AX351" t="s">
        <v>119</v>
      </c>
      <c r="BB351" t="s">
        <v>120</v>
      </c>
      <c r="BC351" t="s">
        <v>7718</v>
      </c>
      <c r="BD351" t="s">
        <v>211</v>
      </c>
      <c r="BE351" t="s">
        <v>212</v>
      </c>
      <c r="BF351" t="s">
        <v>213</v>
      </c>
      <c r="BG351" t="s">
        <v>124</v>
      </c>
      <c r="BH351" t="s">
        <v>232</v>
      </c>
      <c r="BI351" t="s">
        <v>126</v>
      </c>
      <c r="BJ351" t="s">
        <v>127</v>
      </c>
      <c r="BK351" t="s">
        <v>8175</v>
      </c>
      <c r="BL351" t="s">
        <v>8176</v>
      </c>
      <c r="BM351" t="s">
        <v>8177</v>
      </c>
      <c r="BN351" t="s">
        <v>2579</v>
      </c>
      <c r="BO351" t="s">
        <v>480</v>
      </c>
      <c r="BP351" t="s">
        <v>180</v>
      </c>
      <c r="BQ351" t="s">
        <v>481</v>
      </c>
      <c r="BR351" t="s">
        <v>482</v>
      </c>
      <c r="BS351" t="s">
        <v>2593</v>
      </c>
      <c r="BT351" t="s">
        <v>900</v>
      </c>
      <c r="BU351" t="s">
        <v>8178</v>
      </c>
      <c r="BV351" t="s">
        <v>8179</v>
      </c>
      <c r="BW351" t="s">
        <v>138</v>
      </c>
      <c r="BX351" t="s">
        <v>8180</v>
      </c>
      <c r="BY351" t="s">
        <v>8181</v>
      </c>
      <c r="BZ351" t="s">
        <v>8180</v>
      </c>
      <c r="CA351" t="s">
        <v>8179</v>
      </c>
      <c r="CB351" t="s">
        <v>8180</v>
      </c>
      <c r="CC351" t="s">
        <v>8181</v>
      </c>
      <c r="CG351" t="s">
        <v>907</v>
      </c>
      <c r="CH351" t="s">
        <v>8182</v>
      </c>
      <c r="CJ351" t="s">
        <v>3982</v>
      </c>
      <c r="CK351" t="s">
        <v>8182</v>
      </c>
      <c r="CL351" t="s">
        <v>7718</v>
      </c>
      <c r="CM351" t="s">
        <v>211</v>
      </c>
      <c r="CN351" t="s">
        <v>3982</v>
      </c>
      <c r="CO351" t="s">
        <v>2600</v>
      </c>
      <c r="CP351" t="s">
        <v>8182</v>
      </c>
      <c r="CQ351" t="s">
        <v>8182</v>
      </c>
    </row>
    <row r="352" spans="1:95">
      <c r="A352" t="s">
        <v>337</v>
      </c>
      <c r="B352">
        <v>3992063</v>
      </c>
      <c r="C352" t="s">
        <v>8183</v>
      </c>
      <c r="E352" s="4" t="s">
        <v>17377</v>
      </c>
      <c r="F352" t="s">
        <v>95</v>
      </c>
      <c r="G352" t="s">
        <v>1195</v>
      </c>
      <c r="H352" t="s">
        <v>152</v>
      </c>
      <c r="I352" t="s">
        <v>98</v>
      </c>
      <c r="J352" t="s">
        <v>8184</v>
      </c>
      <c r="K352" t="s">
        <v>100</v>
      </c>
      <c r="L352">
        <v>242112</v>
      </c>
      <c r="M352">
        <v>242112</v>
      </c>
      <c r="N352">
        <v>0</v>
      </c>
      <c r="O352">
        <v>0</v>
      </c>
      <c r="Q352">
        <v>242112</v>
      </c>
      <c r="R352">
        <v>192</v>
      </c>
      <c r="S352" t="s">
        <v>1197</v>
      </c>
      <c r="T352">
        <v>0</v>
      </c>
      <c r="U352">
        <v>0</v>
      </c>
      <c r="W352" t="s">
        <v>102</v>
      </c>
      <c r="X352" t="s">
        <v>103</v>
      </c>
      <c r="Y352" t="s">
        <v>155</v>
      </c>
      <c r="AA352" t="s">
        <v>451</v>
      </c>
      <c r="AB352" t="s">
        <v>8185</v>
      </c>
      <c r="AC352" t="s">
        <v>1199</v>
      </c>
      <c r="AD352" t="s">
        <v>8185</v>
      </c>
      <c r="AE352" t="s">
        <v>1200</v>
      </c>
      <c r="AF352" t="s">
        <v>8185</v>
      </c>
      <c r="AG352" t="s">
        <v>1201</v>
      </c>
      <c r="AH352" t="s">
        <v>8185</v>
      </c>
      <c r="AI352" t="s">
        <v>102</v>
      </c>
      <c r="AJ352" t="s">
        <v>883</v>
      </c>
      <c r="AK352" t="s">
        <v>8186</v>
      </c>
      <c r="AL352" t="s">
        <v>8187</v>
      </c>
      <c r="AM352" t="s">
        <v>8188</v>
      </c>
      <c r="AN352" t="s">
        <v>115</v>
      </c>
      <c r="AO352" t="s">
        <v>1206</v>
      </c>
      <c r="AP352" t="s">
        <v>1206</v>
      </c>
      <c r="AU352" t="s">
        <v>102</v>
      </c>
      <c r="AW352" t="s">
        <v>155</v>
      </c>
      <c r="AX352" t="s">
        <v>119</v>
      </c>
      <c r="AY352" t="s">
        <v>170</v>
      </c>
      <c r="AZ352" t="s">
        <v>118</v>
      </c>
      <c r="BB352" t="s">
        <v>120</v>
      </c>
      <c r="BC352" t="s">
        <v>1207</v>
      </c>
      <c r="BD352" t="s">
        <v>1208</v>
      </c>
      <c r="BE352" t="s">
        <v>174</v>
      </c>
      <c r="BF352" t="s">
        <v>1172</v>
      </c>
      <c r="BG352" t="s">
        <v>124</v>
      </c>
      <c r="BH352" t="s">
        <v>232</v>
      </c>
      <c r="BI352" t="s">
        <v>126</v>
      </c>
      <c r="BJ352" t="s">
        <v>127</v>
      </c>
      <c r="BK352" t="s">
        <v>8189</v>
      </c>
      <c r="BL352" t="s">
        <v>8190</v>
      </c>
      <c r="BM352" t="s">
        <v>8191</v>
      </c>
      <c r="BN352" t="s">
        <v>1195</v>
      </c>
      <c r="BO352" t="s">
        <v>1212</v>
      </c>
      <c r="BP352" t="s">
        <v>180</v>
      </c>
      <c r="BQ352" t="s">
        <v>1213</v>
      </c>
      <c r="BR352" t="s">
        <v>1214</v>
      </c>
      <c r="BS352" t="s">
        <v>1215</v>
      </c>
      <c r="BU352" t="s">
        <v>8192</v>
      </c>
      <c r="BV352" t="s">
        <v>1217</v>
      </c>
      <c r="BW352" t="s">
        <v>354</v>
      </c>
      <c r="BX352" t="s">
        <v>1220</v>
      </c>
      <c r="BY352" t="s">
        <v>1219</v>
      </c>
      <c r="BZ352" t="s">
        <v>1220</v>
      </c>
      <c r="CG352" t="s">
        <v>1221</v>
      </c>
      <c r="CH352" t="s">
        <v>8193</v>
      </c>
      <c r="CJ352" t="s">
        <v>1223</v>
      </c>
      <c r="CK352" t="s">
        <v>8193</v>
      </c>
      <c r="CL352" t="s">
        <v>1207</v>
      </c>
      <c r="CM352" t="s">
        <v>1208</v>
      </c>
      <c r="CN352" t="s">
        <v>1223</v>
      </c>
      <c r="CP352" t="s">
        <v>8194</v>
      </c>
      <c r="CQ352" t="s">
        <v>8194</v>
      </c>
    </row>
    <row r="353" spans="1:95">
      <c r="A353" t="s">
        <v>93</v>
      </c>
      <c r="B353">
        <v>3992442</v>
      </c>
      <c r="C353" t="s">
        <v>8195</v>
      </c>
      <c r="D353" t="str">
        <f>VLOOKUP(B353,'2025'!B:C,2,0)</f>
        <v>Bhavishya</v>
      </c>
      <c r="F353" t="s">
        <v>95</v>
      </c>
      <c r="G353" t="s">
        <v>583</v>
      </c>
      <c r="H353" t="s">
        <v>848</v>
      </c>
      <c r="I353" t="s">
        <v>98</v>
      </c>
      <c r="J353" t="s">
        <v>8196</v>
      </c>
      <c r="K353" t="s">
        <v>100</v>
      </c>
      <c r="L353">
        <v>551394</v>
      </c>
      <c r="M353">
        <v>650645</v>
      </c>
      <c r="N353">
        <v>0</v>
      </c>
      <c r="O353">
        <v>0</v>
      </c>
      <c r="Q353">
        <v>0</v>
      </c>
      <c r="R353">
        <v>0</v>
      </c>
      <c r="T353">
        <v>551394</v>
      </c>
      <c r="U353">
        <v>256</v>
      </c>
      <c r="V353" t="s">
        <v>8197</v>
      </c>
      <c r="W353" t="s">
        <v>102</v>
      </c>
      <c r="X353" t="s">
        <v>103</v>
      </c>
      <c r="Y353" t="s">
        <v>155</v>
      </c>
      <c r="AA353" t="s">
        <v>2298</v>
      </c>
      <c r="AB353" t="s">
        <v>8198</v>
      </c>
      <c r="AC353" t="s">
        <v>520</v>
      </c>
      <c r="AD353" t="s">
        <v>8198</v>
      </c>
      <c r="AE353" t="s">
        <v>159</v>
      </c>
      <c r="AF353" t="s">
        <v>8198</v>
      </c>
      <c r="AG353" t="s">
        <v>160</v>
      </c>
      <c r="AH353" t="s">
        <v>8198</v>
      </c>
      <c r="AI353" t="s">
        <v>102</v>
      </c>
      <c r="AJ353" t="s">
        <v>2107</v>
      </c>
      <c r="AK353" t="s">
        <v>8199</v>
      </c>
      <c r="AL353" t="s">
        <v>8200</v>
      </c>
      <c r="AM353" t="s">
        <v>8201</v>
      </c>
      <c r="AN353" t="s">
        <v>8202</v>
      </c>
      <c r="AO353" t="s">
        <v>8203</v>
      </c>
      <c r="AP353" t="s">
        <v>8203</v>
      </c>
      <c r="AU353" t="s">
        <v>102</v>
      </c>
      <c r="AW353" t="s">
        <v>102</v>
      </c>
      <c r="AX353" t="s">
        <v>119</v>
      </c>
      <c r="BA353" t="s">
        <v>250</v>
      </c>
      <c r="BB353" t="s">
        <v>120</v>
      </c>
      <c r="BC353" t="s">
        <v>8204</v>
      </c>
      <c r="BD353" t="s">
        <v>2800</v>
      </c>
      <c r="BE353" t="s">
        <v>122</v>
      </c>
      <c r="BF353" t="s">
        <v>346</v>
      </c>
      <c r="BG353" t="s">
        <v>124</v>
      </c>
      <c r="BH353" t="s">
        <v>232</v>
      </c>
      <c r="BI353" t="s">
        <v>126</v>
      </c>
      <c r="BJ353" t="s">
        <v>127</v>
      </c>
      <c r="BK353" t="s">
        <v>8205</v>
      </c>
      <c r="BL353" t="s">
        <v>8206</v>
      </c>
      <c r="BM353" t="s">
        <v>8207</v>
      </c>
      <c r="BN353" t="s">
        <v>583</v>
      </c>
      <c r="BO353" t="s">
        <v>4845</v>
      </c>
      <c r="BP353" t="s">
        <v>258</v>
      </c>
      <c r="BQ353" t="s">
        <v>4846</v>
      </c>
      <c r="BR353" t="s">
        <v>4847</v>
      </c>
      <c r="BS353" t="s">
        <v>328</v>
      </c>
      <c r="BU353" t="s">
        <v>8208</v>
      </c>
      <c r="BV353" t="s">
        <v>8209</v>
      </c>
      <c r="BW353" t="s">
        <v>138</v>
      </c>
      <c r="BX353" t="s">
        <v>8210</v>
      </c>
      <c r="BY353" t="s">
        <v>8211</v>
      </c>
      <c r="BZ353" t="s">
        <v>8212</v>
      </c>
      <c r="CA353" t="s">
        <v>8209</v>
      </c>
      <c r="CB353" t="s">
        <v>8210</v>
      </c>
      <c r="CC353" t="s">
        <v>8211</v>
      </c>
      <c r="CG353" t="s">
        <v>1538</v>
      </c>
      <c r="CH353" t="s">
        <v>8213</v>
      </c>
      <c r="CJ353" t="s">
        <v>8214</v>
      </c>
      <c r="CK353" t="s">
        <v>8213</v>
      </c>
      <c r="CL353" t="s">
        <v>8204</v>
      </c>
      <c r="CM353" t="s">
        <v>2800</v>
      </c>
      <c r="CN353" t="s">
        <v>8214</v>
      </c>
      <c r="CP353" t="s">
        <v>8213</v>
      </c>
      <c r="CQ353" t="s">
        <v>8213</v>
      </c>
    </row>
    <row r="354" spans="1:95">
      <c r="A354" t="s">
        <v>495</v>
      </c>
      <c r="B354">
        <v>3992655</v>
      </c>
      <c r="C354" t="s">
        <v>8215</v>
      </c>
      <c r="F354" t="s">
        <v>95</v>
      </c>
      <c r="G354" t="s">
        <v>5021</v>
      </c>
      <c r="H354" t="s">
        <v>2044</v>
      </c>
      <c r="I354" t="s">
        <v>98</v>
      </c>
      <c r="J354" t="s">
        <v>8216</v>
      </c>
      <c r="K354" t="s">
        <v>100</v>
      </c>
      <c r="L354">
        <v>410759</v>
      </c>
      <c r="M354">
        <v>410759</v>
      </c>
      <c r="N354">
        <v>334732</v>
      </c>
      <c r="O354">
        <v>435</v>
      </c>
      <c r="P354" t="s">
        <v>8217</v>
      </c>
      <c r="Q354">
        <v>76027</v>
      </c>
      <c r="R354">
        <v>114</v>
      </c>
      <c r="S354" t="s">
        <v>8218</v>
      </c>
      <c r="T354">
        <v>0</v>
      </c>
      <c r="U354">
        <v>0</v>
      </c>
      <c r="W354" t="s">
        <v>102</v>
      </c>
      <c r="X354" t="s">
        <v>103</v>
      </c>
      <c r="Y354" t="s">
        <v>104</v>
      </c>
      <c r="AA354" t="s">
        <v>851</v>
      </c>
      <c r="AB354" t="s">
        <v>8219</v>
      </c>
      <c r="AC354" t="s">
        <v>3926</v>
      </c>
      <c r="AD354" t="s">
        <v>8220</v>
      </c>
      <c r="AE354" t="s">
        <v>109</v>
      </c>
      <c r="AF354" t="s">
        <v>102</v>
      </c>
      <c r="AG354" t="s">
        <v>109</v>
      </c>
      <c r="AH354" t="s">
        <v>102</v>
      </c>
      <c r="AI354" t="s">
        <v>102</v>
      </c>
      <c r="AJ354" t="s">
        <v>8221</v>
      </c>
      <c r="AK354" t="s">
        <v>723</v>
      </c>
      <c r="AL354" t="s">
        <v>8222</v>
      </c>
      <c r="AM354" t="s">
        <v>8223</v>
      </c>
      <c r="AN354" t="s">
        <v>2165</v>
      </c>
      <c r="AO354" t="s">
        <v>8224</v>
      </c>
      <c r="AP354" t="s">
        <v>8225</v>
      </c>
      <c r="AS354" t="s">
        <v>169</v>
      </c>
      <c r="AU354" t="s">
        <v>318</v>
      </c>
      <c r="AV354" t="s">
        <v>118</v>
      </c>
      <c r="AW354" t="s">
        <v>104</v>
      </c>
      <c r="AX354" t="s">
        <v>119</v>
      </c>
      <c r="AY354" t="s">
        <v>170</v>
      </c>
      <c r="AZ354" t="s">
        <v>118</v>
      </c>
      <c r="BB354" t="s">
        <v>120</v>
      </c>
      <c r="BC354" t="s">
        <v>8226</v>
      </c>
      <c r="BD354" t="s">
        <v>211</v>
      </c>
      <c r="BE354" t="s">
        <v>212</v>
      </c>
      <c r="BF354" t="s">
        <v>213</v>
      </c>
      <c r="BG354" t="s">
        <v>124</v>
      </c>
      <c r="BH354" t="s">
        <v>1600</v>
      </c>
      <c r="BI354" t="s">
        <v>411</v>
      </c>
      <c r="BJ354" t="s">
        <v>127</v>
      </c>
      <c r="BK354" t="s">
        <v>8227</v>
      </c>
      <c r="BL354" t="s">
        <v>8228</v>
      </c>
      <c r="BM354" t="s">
        <v>8229</v>
      </c>
      <c r="BN354" t="s">
        <v>5021</v>
      </c>
      <c r="BO354" t="s">
        <v>1309</v>
      </c>
      <c r="BP354" t="s">
        <v>258</v>
      </c>
      <c r="BQ354" t="s">
        <v>1310</v>
      </c>
      <c r="BR354" t="s">
        <v>1311</v>
      </c>
      <c r="BS354" t="s">
        <v>1312</v>
      </c>
      <c r="BT354" t="s">
        <v>2151</v>
      </c>
      <c r="BU354" t="s">
        <v>8230</v>
      </c>
      <c r="BV354" t="s">
        <v>8231</v>
      </c>
      <c r="BW354" t="s">
        <v>138</v>
      </c>
      <c r="BX354" t="s">
        <v>8232</v>
      </c>
      <c r="BY354" t="s">
        <v>8233</v>
      </c>
      <c r="BZ354" t="s">
        <v>8232</v>
      </c>
      <c r="CA354" t="s">
        <v>8231</v>
      </c>
      <c r="CB354" t="s">
        <v>8232</v>
      </c>
      <c r="CC354" t="s">
        <v>8233</v>
      </c>
      <c r="CD354" t="s">
        <v>8231</v>
      </c>
      <c r="CE354" t="s">
        <v>8232</v>
      </c>
      <c r="CF354" t="s">
        <v>8233</v>
      </c>
      <c r="CG354" t="s">
        <v>8234</v>
      </c>
      <c r="CH354" t="s">
        <v>8235</v>
      </c>
      <c r="CJ354" t="s">
        <v>8236</v>
      </c>
      <c r="CK354" t="s">
        <v>8235</v>
      </c>
      <c r="CL354" t="s">
        <v>8226</v>
      </c>
      <c r="CM354" t="s">
        <v>211</v>
      </c>
      <c r="CN354" t="s">
        <v>8236</v>
      </c>
      <c r="CP354" t="s">
        <v>8237</v>
      </c>
      <c r="CQ354" t="s">
        <v>8237</v>
      </c>
    </row>
    <row r="355" spans="1:95">
      <c r="A355" t="s">
        <v>149</v>
      </c>
      <c r="B355">
        <v>3992812</v>
      </c>
      <c r="C355" t="s">
        <v>8238</v>
      </c>
      <c r="F355" t="s">
        <v>95</v>
      </c>
      <c r="G355" t="s">
        <v>5499</v>
      </c>
      <c r="H355" t="s">
        <v>848</v>
      </c>
      <c r="I355" t="s">
        <v>98</v>
      </c>
      <c r="J355" t="s">
        <v>8239</v>
      </c>
      <c r="K355" t="s">
        <v>100</v>
      </c>
      <c r="L355">
        <v>0</v>
      </c>
      <c r="M355">
        <v>0</v>
      </c>
      <c r="N355">
        <v>0</v>
      </c>
      <c r="O355">
        <v>0</v>
      </c>
      <c r="Q355">
        <v>0</v>
      </c>
      <c r="R355">
        <v>0</v>
      </c>
      <c r="T355">
        <v>0</v>
      </c>
      <c r="U355">
        <v>288</v>
      </c>
      <c r="V355" t="s">
        <v>102</v>
      </c>
      <c r="W355" t="s">
        <v>102</v>
      </c>
      <c r="X355" t="s">
        <v>275</v>
      </c>
      <c r="Z355" t="s">
        <v>520</v>
      </c>
      <c r="AA355" t="s">
        <v>109</v>
      </c>
      <c r="AB355" t="s">
        <v>102</v>
      </c>
      <c r="AC355" t="s">
        <v>109</v>
      </c>
      <c r="AD355" t="s">
        <v>102</v>
      </c>
      <c r="AE355" t="s">
        <v>109</v>
      </c>
      <c r="AF355" t="s">
        <v>102</v>
      </c>
      <c r="AG355" t="s">
        <v>109</v>
      </c>
      <c r="AH355" t="s">
        <v>102</v>
      </c>
      <c r="AI355" t="s">
        <v>102</v>
      </c>
      <c r="AL355" t="s">
        <v>102</v>
      </c>
      <c r="AM355" t="s">
        <v>102</v>
      </c>
      <c r="AN355" t="s">
        <v>102</v>
      </c>
      <c r="AO355" t="s">
        <v>115</v>
      </c>
      <c r="AP355" t="s">
        <v>115</v>
      </c>
      <c r="AU355" t="s">
        <v>102</v>
      </c>
      <c r="AW355" t="s">
        <v>102</v>
      </c>
      <c r="AX355" t="s">
        <v>119</v>
      </c>
      <c r="BA355" t="s">
        <v>250</v>
      </c>
      <c r="BB355" t="s">
        <v>120</v>
      </c>
      <c r="BC355" t="s">
        <v>8240</v>
      </c>
      <c r="BD355" t="s">
        <v>410</v>
      </c>
      <c r="BE355" t="s">
        <v>212</v>
      </c>
      <c r="BF355" t="s">
        <v>410</v>
      </c>
      <c r="BG355" t="s">
        <v>124</v>
      </c>
      <c r="BH355" t="s">
        <v>977</v>
      </c>
      <c r="BI355" t="s">
        <v>625</v>
      </c>
      <c r="BJ355" t="s">
        <v>127</v>
      </c>
      <c r="BK355" t="s">
        <v>8241</v>
      </c>
      <c r="BL355" t="s">
        <v>8242</v>
      </c>
      <c r="BM355" t="s">
        <v>8243</v>
      </c>
      <c r="BN355" t="s">
        <v>5499</v>
      </c>
      <c r="BO355" t="s">
        <v>866</v>
      </c>
      <c r="BP355" t="s">
        <v>505</v>
      </c>
      <c r="BQ355" t="s">
        <v>867</v>
      </c>
      <c r="BR355" t="s">
        <v>868</v>
      </c>
      <c r="BS355" t="s">
        <v>2151</v>
      </c>
      <c r="BU355" t="s">
        <v>8244</v>
      </c>
      <c r="BV355" t="s">
        <v>3585</v>
      </c>
      <c r="BW355" t="s">
        <v>598</v>
      </c>
      <c r="BX355" t="s">
        <v>225</v>
      </c>
      <c r="BY355" t="s">
        <v>8245</v>
      </c>
      <c r="BZ355" t="s">
        <v>8246</v>
      </c>
      <c r="CG355" t="s">
        <v>102</v>
      </c>
      <c r="CH355" t="s">
        <v>8247</v>
      </c>
      <c r="CJ355" t="s">
        <v>8248</v>
      </c>
      <c r="CK355" t="s">
        <v>8247</v>
      </c>
      <c r="CL355" t="s">
        <v>8240</v>
      </c>
      <c r="CM355" t="s">
        <v>410</v>
      </c>
      <c r="CN355" t="s">
        <v>8248</v>
      </c>
      <c r="CP355" t="s">
        <v>8247</v>
      </c>
      <c r="CQ355" t="s">
        <v>8247</v>
      </c>
    </row>
    <row r="356" spans="1:95">
      <c r="A356" t="s">
        <v>337</v>
      </c>
      <c r="B356">
        <v>3992941</v>
      </c>
      <c r="C356" t="s">
        <v>8249</v>
      </c>
      <c r="D356" t="str">
        <f>VLOOKUP(B356,'2025'!B:C,2,0)</f>
        <v>Saloni Shah</v>
      </c>
      <c r="F356" t="s">
        <v>95</v>
      </c>
      <c r="G356" t="s">
        <v>886</v>
      </c>
      <c r="H356" t="s">
        <v>848</v>
      </c>
      <c r="I356" t="s">
        <v>98</v>
      </c>
      <c r="J356" t="s">
        <v>8250</v>
      </c>
      <c r="K356" t="s">
        <v>100</v>
      </c>
      <c r="L356">
        <v>2318389</v>
      </c>
      <c r="M356">
        <v>2735699</v>
      </c>
      <c r="N356">
        <v>0</v>
      </c>
      <c r="O356">
        <v>0</v>
      </c>
      <c r="Q356">
        <v>0</v>
      </c>
      <c r="R356">
        <v>0</v>
      </c>
      <c r="T356">
        <v>2318389</v>
      </c>
      <c r="U356">
        <v>608</v>
      </c>
      <c r="V356" t="s">
        <v>8251</v>
      </c>
      <c r="W356" t="s">
        <v>102</v>
      </c>
      <c r="X356" t="s">
        <v>103</v>
      </c>
      <c r="Y356" t="s">
        <v>104</v>
      </c>
      <c r="AA356" t="s">
        <v>3656</v>
      </c>
      <c r="AB356" t="s">
        <v>8252</v>
      </c>
      <c r="AC356" t="s">
        <v>1523</v>
      </c>
      <c r="AD356" t="s">
        <v>8252</v>
      </c>
      <c r="AE356" t="s">
        <v>109</v>
      </c>
      <c r="AF356" t="s">
        <v>102</v>
      </c>
      <c r="AG356" t="s">
        <v>109</v>
      </c>
      <c r="AH356" t="s">
        <v>102</v>
      </c>
      <c r="AI356" t="s">
        <v>8253</v>
      </c>
      <c r="AJ356" t="s">
        <v>197</v>
      </c>
      <c r="AK356" t="s">
        <v>8254</v>
      </c>
      <c r="AL356" t="s">
        <v>8255</v>
      </c>
      <c r="AM356" t="s">
        <v>8256</v>
      </c>
      <c r="AN356" t="s">
        <v>8257</v>
      </c>
      <c r="AO356" t="s">
        <v>861</v>
      </c>
      <c r="AP356" t="s">
        <v>861</v>
      </c>
      <c r="AU356" t="s">
        <v>102</v>
      </c>
      <c r="AW356" t="s">
        <v>102</v>
      </c>
      <c r="AX356" t="s">
        <v>119</v>
      </c>
      <c r="BA356" t="s">
        <v>250</v>
      </c>
      <c r="BB356" t="s">
        <v>120</v>
      </c>
      <c r="BC356" t="s">
        <v>623</v>
      </c>
      <c r="BD356" t="s">
        <v>621</v>
      </c>
      <c r="BE356" t="s">
        <v>622</v>
      </c>
      <c r="BF356" t="s">
        <v>623</v>
      </c>
      <c r="BG356" t="s">
        <v>124</v>
      </c>
      <c r="BH356" t="s">
        <v>1447</v>
      </c>
      <c r="BI356" t="s">
        <v>8258</v>
      </c>
      <c r="BJ356" t="s">
        <v>127</v>
      </c>
      <c r="BK356" t="s">
        <v>8259</v>
      </c>
      <c r="BL356" t="s">
        <v>8260</v>
      </c>
      <c r="BM356" t="s">
        <v>8261</v>
      </c>
      <c r="BN356" t="s">
        <v>886</v>
      </c>
      <c r="BO356" t="s">
        <v>2284</v>
      </c>
      <c r="BP356" t="s">
        <v>132</v>
      </c>
      <c r="BQ356" t="s">
        <v>2285</v>
      </c>
      <c r="BR356" t="s">
        <v>2286</v>
      </c>
      <c r="BS356" t="s">
        <v>8262</v>
      </c>
      <c r="BU356" t="s">
        <v>8263</v>
      </c>
      <c r="BV356" t="s">
        <v>8264</v>
      </c>
      <c r="BW356" t="s">
        <v>354</v>
      </c>
      <c r="BX356" t="s">
        <v>8265</v>
      </c>
      <c r="BY356" t="s">
        <v>8266</v>
      </c>
      <c r="BZ356" t="s">
        <v>8267</v>
      </c>
      <c r="CG356" t="s">
        <v>907</v>
      </c>
      <c r="CH356" t="s">
        <v>8268</v>
      </c>
      <c r="CJ356" t="s">
        <v>8269</v>
      </c>
      <c r="CK356" t="s">
        <v>8268</v>
      </c>
      <c r="CL356" t="s">
        <v>623</v>
      </c>
      <c r="CM356" t="s">
        <v>621</v>
      </c>
      <c r="CN356" t="s">
        <v>8269</v>
      </c>
      <c r="CO356" t="s">
        <v>8270</v>
      </c>
      <c r="CP356" t="s">
        <v>8268</v>
      </c>
      <c r="CQ356" t="s">
        <v>8268</v>
      </c>
    </row>
    <row r="357" spans="1:95">
      <c r="A357" t="s">
        <v>149</v>
      </c>
      <c r="B357">
        <v>399475</v>
      </c>
      <c r="C357" t="s">
        <v>8271</v>
      </c>
      <c r="D357" t="str">
        <f>VLOOKUP(B357,'2025'!B:C,2,0)</f>
        <v>Pooja Kapoor</v>
      </c>
      <c r="F357" t="s">
        <v>95</v>
      </c>
      <c r="G357" t="s">
        <v>4806</v>
      </c>
      <c r="H357" t="s">
        <v>643</v>
      </c>
      <c r="I357" t="s">
        <v>98</v>
      </c>
      <c r="J357" t="s">
        <v>8272</v>
      </c>
      <c r="K357" t="s">
        <v>100</v>
      </c>
      <c r="L357">
        <v>3042341</v>
      </c>
      <c r="M357">
        <v>3326731</v>
      </c>
      <c r="N357">
        <v>0</v>
      </c>
      <c r="O357">
        <v>0</v>
      </c>
      <c r="Q357">
        <v>1462397</v>
      </c>
      <c r="R357">
        <v>1481</v>
      </c>
      <c r="S357" t="s">
        <v>8273</v>
      </c>
      <c r="T357">
        <v>1579944</v>
      </c>
      <c r="U357">
        <v>1538</v>
      </c>
      <c r="V357" t="s">
        <v>8274</v>
      </c>
      <c r="W357" t="s">
        <v>102</v>
      </c>
      <c r="X357" t="s">
        <v>103</v>
      </c>
      <c r="Y357" t="s">
        <v>155</v>
      </c>
      <c r="AA357" t="s">
        <v>96</v>
      </c>
      <c r="AB357" t="s">
        <v>8275</v>
      </c>
      <c r="AC357" t="s">
        <v>8276</v>
      </c>
      <c r="AD357" t="s">
        <v>8275</v>
      </c>
      <c r="AE357" t="s">
        <v>437</v>
      </c>
      <c r="AF357" t="s">
        <v>8275</v>
      </c>
      <c r="AG357" t="s">
        <v>160</v>
      </c>
      <c r="AH357" t="s">
        <v>8275</v>
      </c>
      <c r="AI357" t="s">
        <v>8277</v>
      </c>
      <c r="AJ357" t="s">
        <v>2815</v>
      </c>
      <c r="AK357" t="s">
        <v>5694</v>
      </c>
      <c r="AL357" t="s">
        <v>8278</v>
      </c>
      <c r="AM357" t="s">
        <v>8279</v>
      </c>
      <c r="AN357" t="s">
        <v>8280</v>
      </c>
      <c r="AO357" t="s">
        <v>8281</v>
      </c>
      <c r="AP357" t="s">
        <v>8282</v>
      </c>
      <c r="AT357" t="s">
        <v>169</v>
      </c>
      <c r="AU357" t="s">
        <v>102</v>
      </c>
      <c r="AW357" t="s">
        <v>951</v>
      </c>
      <c r="AX357" t="s">
        <v>119</v>
      </c>
      <c r="AY357" t="s">
        <v>170</v>
      </c>
      <c r="AZ357" t="s">
        <v>118</v>
      </c>
      <c r="BA357" t="s">
        <v>250</v>
      </c>
      <c r="BB357" t="s">
        <v>120</v>
      </c>
      <c r="BC357" t="s">
        <v>4403</v>
      </c>
      <c r="BD357" t="s">
        <v>4404</v>
      </c>
      <c r="BE357" t="s">
        <v>174</v>
      </c>
      <c r="BF357" t="s">
        <v>4405</v>
      </c>
      <c r="BG357" t="s">
        <v>124</v>
      </c>
      <c r="BH357" t="s">
        <v>5774</v>
      </c>
      <c r="BI357" t="s">
        <v>126</v>
      </c>
      <c r="BJ357" t="s">
        <v>127</v>
      </c>
      <c r="BK357" t="s">
        <v>8283</v>
      </c>
      <c r="BL357" t="s">
        <v>8284</v>
      </c>
      <c r="BM357" t="s">
        <v>8285</v>
      </c>
      <c r="BN357" t="s">
        <v>4806</v>
      </c>
      <c r="BO357" t="s">
        <v>179</v>
      </c>
      <c r="BP357" t="s">
        <v>180</v>
      </c>
      <c r="BQ357" t="s">
        <v>181</v>
      </c>
      <c r="BR357" t="s">
        <v>182</v>
      </c>
      <c r="BS357" t="s">
        <v>1111</v>
      </c>
      <c r="BU357" t="s">
        <v>8286</v>
      </c>
      <c r="BV357" t="s">
        <v>8287</v>
      </c>
      <c r="BW357" t="s">
        <v>138</v>
      </c>
      <c r="BX357" t="s">
        <v>8288</v>
      </c>
      <c r="BY357" t="s">
        <v>8289</v>
      </c>
      <c r="BZ357" t="s">
        <v>8288</v>
      </c>
      <c r="CA357" t="s">
        <v>8287</v>
      </c>
      <c r="CB357" t="s">
        <v>8290</v>
      </c>
      <c r="CC357" t="s">
        <v>8289</v>
      </c>
      <c r="CD357" t="s">
        <v>8291</v>
      </c>
      <c r="CE357" t="s">
        <v>8292</v>
      </c>
      <c r="CF357" t="s">
        <v>8293</v>
      </c>
      <c r="CG357" t="s">
        <v>102</v>
      </c>
      <c r="CH357" t="s">
        <v>8294</v>
      </c>
      <c r="CJ357" t="s">
        <v>8295</v>
      </c>
      <c r="CK357" t="s">
        <v>8294</v>
      </c>
      <c r="CL357" t="s">
        <v>4403</v>
      </c>
      <c r="CM357" t="s">
        <v>4404</v>
      </c>
      <c r="CN357" t="s">
        <v>8295</v>
      </c>
      <c r="CO357" t="s">
        <v>8296</v>
      </c>
      <c r="CP357" t="s">
        <v>8294</v>
      </c>
      <c r="CQ357" t="s">
        <v>8294</v>
      </c>
    </row>
    <row r="358" spans="1:95">
      <c r="A358" t="s">
        <v>337</v>
      </c>
      <c r="B358">
        <v>3994892</v>
      </c>
      <c r="C358" t="s">
        <v>8297</v>
      </c>
      <c r="D358" t="str">
        <f>VLOOKUP(B358,'2025'!B:C,2,0)</f>
        <v>Sumit Rana</v>
      </c>
      <c r="F358" t="s">
        <v>95</v>
      </c>
      <c r="G358" t="s">
        <v>8298</v>
      </c>
      <c r="H358" t="s">
        <v>193</v>
      </c>
      <c r="I358" t="s">
        <v>98</v>
      </c>
      <c r="J358" t="s">
        <v>8299</v>
      </c>
      <c r="K358" t="s">
        <v>100</v>
      </c>
      <c r="L358">
        <v>655740</v>
      </c>
      <c r="M358">
        <v>738117</v>
      </c>
      <c r="N358">
        <v>198090</v>
      </c>
      <c r="O358">
        <v>284</v>
      </c>
      <c r="P358" t="s">
        <v>8300</v>
      </c>
      <c r="Q358">
        <v>0</v>
      </c>
      <c r="R358">
        <v>0</v>
      </c>
      <c r="T358">
        <v>457650</v>
      </c>
      <c r="U358">
        <v>300</v>
      </c>
      <c r="V358" t="s">
        <v>1907</v>
      </c>
      <c r="W358" t="s">
        <v>102</v>
      </c>
      <c r="X358" t="s">
        <v>103</v>
      </c>
      <c r="Y358" t="s">
        <v>155</v>
      </c>
      <c r="AA358" t="s">
        <v>1778</v>
      </c>
      <c r="AB358" t="s">
        <v>8301</v>
      </c>
      <c r="AC358" t="s">
        <v>1124</v>
      </c>
      <c r="AD358" t="s">
        <v>8301</v>
      </c>
      <c r="AE358" t="s">
        <v>8276</v>
      </c>
      <c r="AF358" t="s">
        <v>8301</v>
      </c>
      <c r="AG358" t="s">
        <v>2719</v>
      </c>
      <c r="AH358" t="s">
        <v>8301</v>
      </c>
      <c r="AI358" t="s">
        <v>102</v>
      </c>
      <c r="AJ358" t="s">
        <v>8302</v>
      </c>
      <c r="AK358" t="s">
        <v>8254</v>
      </c>
      <c r="AL358" t="s">
        <v>8303</v>
      </c>
      <c r="AM358" t="s">
        <v>8304</v>
      </c>
      <c r="AN358" t="s">
        <v>8305</v>
      </c>
      <c r="AO358" t="s">
        <v>8306</v>
      </c>
      <c r="AP358" t="s">
        <v>8306</v>
      </c>
      <c r="AU358" t="s">
        <v>247</v>
      </c>
      <c r="AV358" t="s">
        <v>118</v>
      </c>
      <c r="AW358" t="s">
        <v>102</v>
      </c>
      <c r="AX358" t="s">
        <v>119</v>
      </c>
      <c r="BA358" t="s">
        <v>250</v>
      </c>
      <c r="BB358" t="s">
        <v>120</v>
      </c>
      <c r="BC358" t="s">
        <v>8307</v>
      </c>
      <c r="BD358" t="s">
        <v>1171</v>
      </c>
      <c r="BE358" t="s">
        <v>174</v>
      </c>
      <c r="BF358" t="s">
        <v>1172</v>
      </c>
      <c r="BG358" t="s">
        <v>124</v>
      </c>
      <c r="BH358" t="s">
        <v>232</v>
      </c>
      <c r="BI358" t="s">
        <v>126</v>
      </c>
      <c r="BJ358" t="s">
        <v>127</v>
      </c>
      <c r="BK358" t="s">
        <v>8308</v>
      </c>
      <c r="BL358" t="s">
        <v>8309</v>
      </c>
      <c r="BM358" t="s">
        <v>8310</v>
      </c>
      <c r="BN358" t="s">
        <v>8298</v>
      </c>
      <c r="BO358" t="s">
        <v>5557</v>
      </c>
      <c r="BP358" t="s">
        <v>180</v>
      </c>
      <c r="BQ358" t="s">
        <v>5558</v>
      </c>
      <c r="BR358" t="s">
        <v>5559</v>
      </c>
      <c r="BS358" t="s">
        <v>5560</v>
      </c>
      <c r="BU358" t="s">
        <v>8311</v>
      </c>
      <c r="BV358" t="s">
        <v>8312</v>
      </c>
      <c r="BW358" t="s">
        <v>354</v>
      </c>
      <c r="BX358" t="s">
        <v>8313</v>
      </c>
      <c r="BY358" t="s">
        <v>8314</v>
      </c>
      <c r="BZ358" t="s">
        <v>8315</v>
      </c>
      <c r="CD358" t="s">
        <v>8316</v>
      </c>
      <c r="CE358" t="s">
        <v>8317</v>
      </c>
      <c r="CF358" t="s">
        <v>8314</v>
      </c>
      <c r="CG358" t="s">
        <v>8318</v>
      </c>
      <c r="CH358" t="s">
        <v>8319</v>
      </c>
      <c r="CJ358" t="s">
        <v>8320</v>
      </c>
      <c r="CK358" t="s">
        <v>8319</v>
      </c>
      <c r="CL358" t="s">
        <v>8307</v>
      </c>
      <c r="CM358" t="s">
        <v>1171</v>
      </c>
      <c r="CN358" t="s">
        <v>8320</v>
      </c>
      <c r="CO358" t="s">
        <v>8321</v>
      </c>
      <c r="CP358" t="s">
        <v>8322</v>
      </c>
      <c r="CQ358" t="s">
        <v>8322</v>
      </c>
    </row>
    <row r="359" spans="1:95">
      <c r="A359" t="s">
        <v>337</v>
      </c>
      <c r="B359">
        <v>3995406</v>
      </c>
      <c r="C359" t="s">
        <v>8323</v>
      </c>
      <c r="E359" s="4" t="s">
        <v>17377</v>
      </c>
      <c r="F359" t="s">
        <v>95</v>
      </c>
      <c r="G359" t="s">
        <v>7695</v>
      </c>
      <c r="H359" t="s">
        <v>97</v>
      </c>
      <c r="I359" t="s">
        <v>98</v>
      </c>
      <c r="J359" t="s">
        <v>8324</v>
      </c>
      <c r="K359" t="s">
        <v>100</v>
      </c>
      <c r="L359">
        <v>76946</v>
      </c>
      <c r="M359">
        <v>76946</v>
      </c>
      <c r="N359">
        <v>76946</v>
      </c>
      <c r="O359">
        <v>81</v>
      </c>
      <c r="P359" t="s">
        <v>936</v>
      </c>
      <c r="Q359">
        <v>0</v>
      </c>
      <c r="R359">
        <v>0</v>
      </c>
      <c r="T359">
        <v>0</v>
      </c>
      <c r="U359">
        <v>0</v>
      </c>
      <c r="W359" t="s">
        <v>102</v>
      </c>
      <c r="X359" t="s">
        <v>275</v>
      </c>
      <c r="Z359" t="s">
        <v>160</v>
      </c>
      <c r="AA359" t="s">
        <v>109</v>
      </c>
      <c r="AB359" t="s">
        <v>102</v>
      </c>
      <c r="AC359" t="s">
        <v>109</v>
      </c>
      <c r="AD359" t="s">
        <v>102</v>
      </c>
      <c r="AE359" t="s">
        <v>109</v>
      </c>
      <c r="AF359" t="s">
        <v>102</v>
      </c>
      <c r="AG359" t="s">
        <v>109</v>
      </c>
      <c r="AH359" t="s">
        <v>102</v>
      </c>
      <c r="AI359" t="s">
        <v>102</v>
      </c>
      <c r="AJ359" t="s">
        <v>8186</v>
      </c>
      <c r="AK359" t="s">
        <v>8186</v>
      </c>
      <c r="AL359" t="s">
        <v>8325</v>
      </c>
      <c r="AM359" t="s">
        <v>8325</v>
      </c>
      <c r="AN359" t="s">
        <v>102</v>
      </c>
      <c r="AO359" t="s">
        <v>5151</v>
      </c>
      <c r="AP359" t="s">
        <v>5151</v>
      </c>
      <c r="AU359" t="s">
        <v>117</v>
      </c>
      <c r="AV359" t="s">
        <v>118</v>
      </c>
      <c r="AW359" t="s">
        <v>102</v>
      </c>
      <c r="AX359" t="s">
        <v>119</v>
      </c>
      <c r="BB359" t="s">
        <v>120</v>
      </c>
      <c r="BC359" t="s">
        <v>920</v>
      </c>
      <c r="BD359" t="s">
        <v>211</v>
      </c>
      <c r="BE359" t="s">
        <v>212</v>
      </c>
      <c r="BF359" t="s">
        <v>213</v>
      </c>
      <c r="BG359" t="s">
        <v>124</v>
      </c>
      <c r="BH359" t="s">
        <v>214</v>
      </c>
      <c r="BI359" t="s">
        <v>625</v>
      </c>
      <c r="BJ359" t="s">
        <v>127</v>
      </c>
      <c r="BK359" t="s">
        <v>8326</v>
      </c>
      <c r="BL359" t="s">
        <v>8327</v>
      </c>
      <c r="BM359" t="s">
        <v>8328</v>
      </c>
      <c r="BN359" t="s">
        <v>7695</v>
      </c>
      <c r="BO359" t="s">
        <v>7108</v>
      </c>
      <c r="BP359" t="s">
        <v>180</v>
      </c>
      <c r="BQ359" t="s">
        <v>7109</v>
      </c>
      <c r="BR359" t="s">
        <v>2151</v>
      </c>
      <c r="BS359" t="s">
        <v>222</v>
      </c>
      <c r="BU359" t="s">
        <v>8329</v>
      </c>
      <c r="BV359" t="s">
        <v>8330</v>
      </c>
      <c r="BW359" t="s">
        <v>598</v>
      </c>
      <c r="BX359" t="s">
        <v>8331</v>
      </c>
      <c r="BY359" t="s">
        <v>8332</v>
      </c>
      <c r="BZ359" t="s">
        <v>8331</v>
      </c>
      <c r="CA359" t="s">
        <v>8333</v>
      </c>
      <c r="CB359" t="s">
        <v>8334</v>
      </c>
      <c r="CC359" t="s">
        <v>8332</v>
      </c>
      <c r="CD359" t="s">
        <v>8335</v>
      </c>
      <c r="CE359" t="s">
        <v>8336</v>
      </c>
      <c r="CF359" t="s">
        <v>8332</v>
      </c>
      <c r="CG359" t="s">
        <v>102</v>
      </c>
      <c r="CH359" t="s">
        <v>8337</v>
      </c>
      <c r="CJ359" t="s">
        <v>5392</v>
      </c>
      <c r="CL359" t="s">
        <v>920</v>
      </c>
      <c r="CM359" t="s">
        <v>211</v>
      </c>
      <c r="CN359" t="s">
        <v>5392</v>
      </c>
      <c r="CP359" t="s">
        <v>8337</v>
      </c>
      <c r="CQ359" t="s">
        <v>8337</v>
      </c>
    </row>
    <row r="360" spans="1:95">
      <c r="A360" t="s">
        <v>337</v>
      </c>
      <c r="B360">
        <v>3996930</v>
      </c>
      <c r="C360" t="s">
        <v>8338</v>
      </c>
      <c r="E360" s="4" t="s">
        <v>17377</v>
      </c>
      <c r="F360" t="s">
        <v>95</v>
      </c>
      <c r="G360" t="s">
        <v>4556</v>
      </c>
      <c r="H360" t="s">
        <v>97</v>
      </c>
      <c r="I360" t="s">
        <v>98</v>
      </c>
      <c r="J360" t="s">
        <v>8339</v>
      </c>
      <c r="K360" t="s">
        <v>100</v>
      </c>
      <c r="L360">
        <v>289500</v>
      </c>
      <c r="M360">
        <v>289500</v>
      </c>
      <c r="N360">
        <v>289500</v>
      </c>
      <c r="O360">
        <v>386</v>
      </c>
      <c r="P360" t="s">
        <v>101</v>
      </c>
      <c r="Q360">
        <v>0</v>
      </c>
      <c r="R360">
        <v>0</v>
      </c>
      <c r="T360">
        <v>0</v>
      </c>
      <c r="U360">
        <v>0</v>
      </c>
      <c r="W360" t="s">
        <v>102</v>
      </c>
      <c r="X360" t="s">
        <v>103</v>
      </c>
      <c r="Y360" t="s">
        <v>104</v>
      </c>
      <c r="AA360" t="s">
        <v>8340</v>
      </c>
      <c r="AB360" t="s">
        <v>8341</v>
      </c>
      <c r="AC360" t="s">
        <v>1201</v>
      </c>
      <c r="AD360" t="s">
        <v>8341</v>
      </c>
      <c r="AE360" t="s">
        <v>109</v>
      </c>
      <c r="AF360" t="s">
        <v>102</v>
      </c>
      <c r="AG360" t="s">
        <v>109</v>
      </c>
      <c r="AH360" t="s">
        <v>102</v>
      </c>
      <c r="AI360" t="s">
        <v>8342</v>
      </c>
      <c r="AJ360" t="s">
        <v>3185</v>
      </c>
      <c r="AK360" t="s">
        <v>404</v>
      </c>
      <c r="AL360" t="s">
        <v>8343</v>
      </c>
      <c r="AM360" t="s">
        <v>8344</v>
      </c>
      <c r="AN360" t="s">
        <v>102</v>
      </c>
      <c r="AO360" t="s">
        <v>116</v>
      </c>
      <c r="AP360" t="s">
        <v>116</v>
      </c>
      <c r="AU360" t="s">
        <v>117</v>
      </c>
      <c r="AV360" t="s">
        <v>118</v>
      </c>
      <c r="AW360" t="s">
        <v>102</v>
      </c>
      <c r="AX360" t="s">
        <v>119</v>
      </c>
      <c r="BB360" t="s">
        <v>120</v>
      </c>
      <c r="BC360" t="s">
        <v>3735</v>
      </c>
      <c r="BD360" t="s">
        <v>410</v>
      </c>
      <c r="BE360" t="s">
        <v>212</v>
      </c>
      <c r="BF360" t="s">
        <v>410</v>
      </c>
      <c r="BG360" t="s">
        <v>124</v>
      </c>
      <c r="BH360" t="s">
        <v>439</v>
      </c>
      <c r="BI360" t="s">
        <v>160</v>
      </c>
      <c r="BJ360" t="s">
        <v>127</v>
      </c>
      <c r="BK360" t="s">
        <v>8345</v>
      </c>
      <c r="BL360" t="s">
        <v>8346</v>
      </c>
      <c r="BM360" t="s">
        <v>8347</v>
      </c>
      <c r="BN360" t="s">
        <v>4556</v>
      </c>
      <c r="BO360" t="s">
        <v>896</v>
      </c>
      <c r="BP360" t="s">
        <v>132</v>
      </c>
      <c r="BQ360" t="s">
        <v>897</v>
      </c>
      <c r="BR360" t="s">
        <v>898</v>
      </c>
      <c r="BS360" t="s">
        <v>899</v>
      </c>
      <c r="BU360" t="s">
        <v>8348</v>
      </c>
      <c r="BV360" t="s">
        <v>8349</v>
      </c>
      <c r="BW360" t="s">
        <v>138</v>
      </c>
      <c r="BX360" t="s">
        <v>8350</v>
      </c>
      <c r="BY360" t="s">
        <v>8351</v>
      </c>
      <c r="BZ360" t="s">
        <v>8352</v>
      </c>
      <c r="CA360" t="s">
        <v>8353</v>
      </c>
      <c r="CB360" t="s">
        <v>8350</v>
      </c>
      <c r="CC360" t="s">
        <v>8351</v>
      </c>
      <c r="CD360" t="s">
        <v>8354</v>
      </c>
      <c r="CE360" t="s">
        <v>8350</v>
      </c>
      <c r="CF360" t="s">
        <v>8355</v>
      </c>
      <c r="CG360" t="s">
        <v>3968</v>
      </c>
      <c r="CH360" t="s">
        <v>8356</v>
      </c>
      <c r="CJ360" t="s">
        <v>8357</v>
      </c>
      <c r="CK360" t="s">
        <v>8356</v>
      </c>
      <c r="CL360" t="s">
        <v>3735</v>
      </c>
      <c r="CM360" t="s">
        <v>410</v>
      </c>
      <c r="CN360" t="s">
        <v>8357</v>
      </c>
      <c r="CP360" t="s">
        <v>8356</v>
      </c>
      <c r="CQ360" t="s">
        <v>8356</v>
      </c>
    </row>
    <row r="361" spans="1:95">
      <c r="A361" t="s">
        <v>93</v>
      </c>
      <c r="B361">
        <v>3998030</v>
      </c>
      <c r="C361" t="s">
        <v>8358</v>
      </c>
      <c r="F361" t="s">
        <v>95</v>
      </c>
      <c r="G361" t="s">
        <v>847</v>
      </c>
      <c r="H361" t="s">
        <v>97</v>
      </c>
      <c r="I361" t="s">
        <v>98</v>
      </c>
      <c r="J361" t="s">
        <v>8359</v>
      </c>
      <c r="K361" t="s">
        <v>100</v>
      </c>
      <c r="L361">
        <v>58855</v>
      </c>
      <c r="M361">
        <v>58855</v>
      </c>
      <c r="N361">
        <v>58855</v>
      </c>
      <c r="O361">
        <v>107</v>
      </c>
      <c r="P361" t="s">
        <v>3431</v>
      </c>
      <c r="Q361">
        <v>0</v>
      </c>
      <c r="R361">
        <v>0</v>
      </c>
      <c r="T361">
        <v>0</v>
      </c>
      <c r="U361">
        <v>0</v>
      </c>
      <c r="W361" t="s">
        <v>102</v>
      </c>
      <c r="X361" t="s">
        <v>103</v>
      </c>
      <c r="Y361" t="s">
        <v>104</v>
      </c>
      <c r="AA361" t="s">
        <v>2605</v>
      </c>
      <c r="AB361" t="s">
        <v>8360</v>
      </c>
      <c r="AC361" t="s">
        <v>160</v>
      </c>
      <c r="AD361" t="s">
        <v>8361</v>
      </c>
      <c r="AE361" t="s">
        <v>109</v>
      </c>
      <c r="AF361" t="s">
        <v>102</v>
      </c>
      <c r="AG361" t="s">
        <v>109</v>
      </c>
      <c r="AH361" t="s">
        <v>102</v>
      </c>
      <c r="AI361" t="s">
        <v>8362</v>
      </c>
      <c r="AJ361" t="s">
        <v>2364</v>
      </c>
      <c r="AK361" t="s">
        <v>3434</v>
      </c>
      <c r="AL361" t="s">
        <v>8363</v>
      </c>
      <c r="AM361" t="s">
        <v>8364</v>
      </c>
      <c r="AN361" t="s">
        <v>8365</v>
      </c>
      <c r="AO361" t="s">
        <v>3438</v>
      </c>
      <c r="AP361" t="s">
        <v>3438</v>
      </c>
      <c r="AU361" t="s">
        <v>3439</v>
      </c>
      <c r="AV361" t="s">
        <v>118</v>
      </c>
      <c r="AW361" t="s">
        <v>102</v>
      </c>
      <c r="AX361" t="s">
        <v>119</v>
      </c>
      <c r="BB361" t="s">
        <v>120</v>
      </c>
      <c r="BC361" t="s">
        <v>7718</v>
      </c>
      <c r="BD361" t="s">
        <v>211</v>
      </c>
      <c r="BE361" t="s">
        <v>212</v>
      </c>
      <c r="BF361" t="s">
        <v>213</v>
      </c>
      <c r="BG361" t="s">
        <v>124</v>
      </c>
      <c r="BH361" t="s">
        <v>214</v>
      </c>
      <c r="BI361" t="s">
        <v>126</v>
      </c>
      <c r="BJ361" t="s">
        <v>127</v>
      </c>
      <c r="BK361" t="s">
        <v>8366</v>
      </c>
      <c r="BL361" t="s">
        <v>8367</v>
      </c>
      <c r="BM361" t="s">
        <v>8368</v>
      </c>
      <c r="BN361" t="s">
        <v>847</v>
      </c>
      <c r="BO361" t="s">
        <v>3443</v>
      </c>
      <c r="BP361" t="s">
        <v>180</v>
      </c>
      <c r="BQ361" t="s">
        <v>3444</v>
      </c>
      <c r="BR361" t="s">
        <v>3445</v>
      </c>
      <c r="BS361" t="s">
        <v>2151</v>
      </c>
      <c r="BU361" t="s">
        <v>8369</v>
      </c>
      <c r="BV361" t="s">
        <v>8370</v>
      </c>
      <c r="BW361" t="s">
        <v>138</v>
      </c>
      <c r="BX361" t="s">
        <v>3448</v>
      </c>
      <c r="BY361" t="s">
        <v>3449</v>
      </c>
      <c r="BZ361" t="s">
        <v>8371</v>
      </c>
      <c r="CA361" t="s">
        <v>8370</v>
      </c>
      <c r="CB361" t="s">
        <v>3448</v>
      </c>
      <c r="CC361" t="s">
        <v>3449</v>
      </c>
      <c r="CD361" t="s">
        <v>3451</v>
      </c>
      <c r="CE361" t="s">
        <v>3448</v>
      </c>
      <c r="CF361" t="s">
        <v>3449</v>
      </c>
      <c r="CG361" t="s">
        <v>3968</v>
      </c>
      <c r="CH361" t="s">
        <v>8372</v>
      </c>
      <c r="CJ361" t="s">
        <v>8373</v>
      </c>
      <c r="CK361" t="s">
        <v>8372</v>
      </c>
      <c r="CL361" t="s">
        <v>7718</v>
      </c>
      <c r="CM361" t="s">
        <v>211</v>
      </c>
      <c r="CN361" t="s">
        <v>8373</v>
      </c>
      <c r="CO361" t="s">
        <v>8374</v>
      </c>
      <c r="CP361" t="s">
        <v>8372</v>
      </c>
      <c r="CQ361" t="s">
        <v>8372</v>
      </c>
    </row>
    <row r="362" spans="1:95">
      <c r="A362" t="s">
        <v>93</v>
      </c>
      <c r="B362">
        <v>3998859</v>
      </c>
      <c r="C362" t="s">
        <v>8375</v>
      </c>
      <c r="E362" s="4" t="s">
        <v>17377</v>
      </c>
      <c r="F362" t="s">
        <v>95</v>
      </c>
      <c r="G362" t="s">
        <v>3108</v>
      </c>
      <c r="H362" t="s">
        <v>152</v>
      </c>
      <c r="I362" t="s">
        <v>98</v>
      </c>
      <c r="J362" t="s">
        <v>8376</v>
      </c>
      <c r="K362" t="s">
        <v>100</v>
      </c>
      <c r="L362">
        <v>1050000</v>
      </c>
      <c r="M362">
        <v>1050000</v>
      </c>
      <c r="N362">
        <v>0</v>
      </c>
      <c r="O362">
        <v>0</v>
      </c>
      <c r="Q362">
        <v>1050000</v>
      </c>
      <c r="R362">
        <v>600</v>
      </c>
      <c r="S362" t="s">
        <v>1376</v>
      </c>
      <c r="T362">
        <v>0</v>
      </c>
      <c r="U362">
        <v>0</v>
      </c>
      <c r="W362" t="s">
        <v>102</v>
      </c>
      <c r="X362" t="s">
        <v>103</v>
      </c>
      <c r="Y362" t="s">
        <v>155</v>
      </c>
      <c r="AA362" t="s">
        <v>96</v>
      </c>
      <c r="AB362" t="s">
        <v>8377</v>
      </c>
      <c r="AC362" t="s">
        <v>400</v>
      </c>
      <c r="AD362" t="s">
        <v>8377</v>
      </c>
      <c r="AE362" t="s">
        <v>159</v>
      </c>
      <c r="AF362" t="s">
        <v>8377</v>
      </c>
      <c r="AG362" t="s">
        <v>160</v>
      </c>
      <c r="AH362" t="s">
        <v>8377</v>
      </c>
      <c r="AI362" t="s">
        <v>102</v>
      </c>
      <c r="AJ362" t="s">
        <v>1600</v>
      </c>
      <c r="AK362" t="s">
        <v>1379</v>
      </c>
      <c r="AL362" t="s">
        <v>8378</v>
      </c>
      <c r="AM362" t="s">
        <v>8379</v>
      </c>
      <c r="AN362" t="s">
        <v>8380</v>
      </c>
      <c r="AO362" t="s">
        <v>116</v>
      </c>
      <c r="AP362" t="s">
        <v>116</v>
      </c>
      <c r="AU362" t="s">
        <v>102</v>
      </c>
      <c r="AW362" t="s">
        <v>155</v>
      </c>
      <c r="AX362" t="s">
        <v>119</v>
      </c>
      <c r="AY362" t="s">
        <v>170</v>
      </c>
      <c r="AZ362" t="s">
        <v>118</v>
      </c>
      <c r="BB362" t="s">
        <v>120</v>
      </c>
      <c r="BC362" t="s">
        <v>4403</v>
      </c>
      <c r="BD362" t="s">
        <v>4404</v>
      </c>
      <c r="BE362" t="s">
        <v>174</v>
      </c>
      <c r="BF362" t="s">
        <v>4405</v>
      </c>
      <c r="BG362" t="s">
        <v>124</v>
      </c>
      <c r="BH362" t="s">
        <v>365</v>
      </c>
      <c r="BI362" t="s">
        <v>126</v>
      </c>
      <c r="BJ362" t="s">
        <v>127</v>
      </c>
      <c r="BK362" t="s">
        <v>8381</v>
      </c>
      <c r="BL362" t="s">
        <v>8382</v>
      </c>
      <c r="BM362" t="s">
        <v>8383</v>
      </c>
      <c r="BN362" t="s">
        <v>3108</v>
      </c>
      <c r="BO362" t="s">
        <v>5531</v>
      </c>
      <c r="BP362" t="s">
        <v>258</v>
      </c>
      <c r="BQ362" t="s">
        <v>5532</v>
      </c>
      <c r="BR362" t="s">
        <v>5533</v>
      </c>
      <c r="BS362" t="s">
        <v>4413</v>
      </c>
      <c r="BT362" t="s">
        <v>1111</v>
      </c>
      <c r="BU362" t="s">
        <v>8384</v>
      </c>
      <c r="BV362" t="s">
        <v>8385</v>
      </c>
      <c r="BW362" t="s">
        <v>138</v>
      </c>
      <c r="BX362" t="s">
        <v>8386</v>
      </c>
      <c r="BY362" t="s">
        <v>8387</v>
      </c>
      <c r="BZ362" t="s">
        <v>8386</v>
      </c>
      <c r="CA362" t="s">
        <v>8388</v>
      </c>
      <c r="CB362" t="s">
        <v>8386</v>
      </c>
      <c r="CC362" t="s">
        <v>8387</v>
      </c>
      <c r="CD362" t="s">
        <v>8388</v>
      </c>
      <c r="CE362" t="s">
        <v>8386</v>
      </c>
      <c r="CF362" t="s">
        <v>8387</v>
      </c>
      <c r="CG362" t="s">
        <v>8389</v>
      </c>
      <c r="CH362" t="s">
        <v>8390</v>
      </c>
      <c r="CJ362" t="s">
        <v>8391</v>
      </c>
      <c r="CK362" t="s">
        <v>8390</v>
      </c>
      <c r="CL362" t="s">
        <v>4403</v>
      </c>
      <c r="CM362" t="s">
        <v>4404</v>
      </c>
      <c r="CN362" t="s">
        <v>8391</v>
      </c>
      <c r="CP362" t="s">
        <v>8390</v>
      </c>
      <c r="CQ362" t="s">
        <v>8390</v>
      </c>
    </row>
    <row r="363" spans="1:95">
      <c r="A363" t="s">
        <v>93</v>
      </c>
      <c r="B363">
        <v>3998876</v>
      </c>
      <c r="C363" t="s">
        <v>8392</v>
      </c>
      <c r="D363" t="str">
        <f>VLOOKUP(B363,'2025'!B:C,2,0)</f>
        <v>Vineeth T V</v>
      </c>
      <c r="F363" t="s">
        <v>95</v>
      </c>
      <c r="G363" t="s">
        <v>8393</v>
      </c>
      <c r="H363" t="s">
        <v>152</v>
      </c>
      <c r="I363" t="s">
        <v>98</v>
      </c>
      <c r="J363" t="s">
        <v>8394</v>
      </c>
      <c r="K363" t="s">
        <v>100</v>
      </c>
      <c r="L363">
        <v>2333677</v>
      </c>
      <c r="M363">
        <v>2333677</v>
      </c>
      <c r="N363">
        <v>0</v>
      </c>
      <c r="O363">
        <v>0</v>
      </c>
      <c r="Q363">
        <v>2333677</v>
      </c>
      <c r="R363">
        <v>1786</v>
      </c>
      <c r="S363" t="s">
        <v>8395</v>
      </c>
      <c r="T363">
        <v>0</v>
      </c>
      <c r="U363">
        <v>0</v>
      </c>
      <c r="W363" t="s">
        <v>102</v>
      </c>
      <c r="X363" t="s">
        <v>103</v>
      </c>
      <c r="Y363" t="s">
        <v>155</v>
      </c>
      <c r="AA363" t="s">
        <v>878</v>
      </c>
      <c r="AB363" t="s">
        <v>8396</v>
      </c>
      <c r="AC363" t="s">
        <v>467</v>
      </c>
      <c r="AD363" t="s">
        <v>8397</v>
      </c>
      <c r="AE363" t="s">
        <v>3711</v>
      </c>
      <c r="AF363" t="s">
        <v>8398</v>
      </c>
      <c r="AG363" t="s">
        <v>1719</v>
      </c>
      <c r="AH363" t="s">
        <v>8398</v>
      </c>
      <c r="AI363" t="s">
        <v>8399</v>
      </c>
      <c r="AJ363" t="s">
        <v>8400</v>
      </c>
      <c r="AK363" t="s">
        <v>442</v>
      </c>
      <c r="AL363" t="s">
        <v>8401</v>
      </c>
      <c r="AM363" t="s">
        <v>8402</v>
      </c>
      <c r="AN363" t="s">
        <v>8403</v>
      </c>
      <c r="AO363" t="s">
        <v>2054</v>
      </c>
      <c r="AP363" t="s">
        <v>2054</v>
      </c>
      <c r="AU363" t="s">
        <v>102</v>
      </c>
      <c r="AW363" t="s">
        <v>155</v>
      </c>
      <c r="AX363" t="s">
        <v>119</v>
      </c>
      <c r="AY363" t="s">
        <v>170</v>
      </c>
      <c r="AZ363" t="s">
        <v>118</v>
      </c>
      <c r="BB363" t="s">
        <v>171</v>
      </c>
      <c r="BC363" t="s">
        <v>409</v>
      </c>
      <c r="BD363" t="s">
        <v>410</v>
      </c>
      <c r="BE363" t="s">
        <v>212</v>
      </c>
      <c r="BF363" t="s">
        <v>410</v>
      </c>
      <c r="BG363" t="s">
        <v>124</v>
      </c>
      <c r="BH363" t="s">
        <v>232</v>
      </c>
      <c r="BI363" t="s">
        <v>126</v>
      </c>
      <c r="BJ363" t="s">
        <v>127</v>
      </c>
      <c r="BK363" t="s">
        <v>8404</v>
      </c>
      <c r="BL363" t="s">
        <v>8405</v>
      </c>
      <c r="BM363" t="s">
        <v>8406</v>
      </c>
      <c r="BN363" t="s">
        <v>8393</v>
      </c>
      <c r="BO363" t="s">
        <v>4955</v>
      </c>
      <c r="BP363" t="s">
        <v>180</v>
      </c>
      <c r="BQ363" t="s">
        <v>4956</v>
      </c>
      <c r="BR363" t="s">
        <v>4957</v>
      </c>
      <c r="BS363" t="s">
        <v>222</v>
      </c>
      <c r="BU363" t="s">
        <v>8407</v>
      </c>
      <c r="BV363" t="s">
        <v>8408</v>
      </c>
      <c r="BW363" t="s">
        <v>138</v>
      </c>
      <c r="BX363" t="s">
        <v>8409</v>
      </c>
      <c r="BY363" t="s">
        <v>8410</v>
      </c>
      <c r="BZ363" t="s">
        <v>8411</v>
      </c>
      <c r="CA363" t="s">
        <v>8408</v>
      </c>
      <c r="CB363" t="s">
        <v>8409</v>
      </c>
      <c r="CC363" t="s">
        <v>8410</v>
      </c>
      <c r="CG363" t="s">
        <v>3841</v>
      </c>
      <c r="CH363" t="s">
        <v>8412</v>
      </c>
      <c r="CJ363" t="s">
        <v>4204</v>
      </c>
      <c r="CK363" t="s">
        <v>8412</v>
      </c>
      <c r="CL363" t="s">
        <v>409</v>
      </c>
      <c r="CM363" t="s">
        <v>410</v>
      </c>
      <c r="CN363" t="s">
        <v>4204</v>
      </c>
      <c r="CO363" t="s">
        <v>8413</v>
      </c>
      <c r="CP363" t="s">
        <v>8412</v>
      </c>
      <c r="CQ363" t="s">
        <v>8412</v>
      </c>
    </row>
    <row r="364" spans="1:95">
      <c r="A364" t="s">
        <v>93</v>
      </c>
      <c r="B364">
        <v>3999214</v>
      </c>
      <c r="C364" t="s">
        <v>8414</v>
      </c>
      <c r="E364" s="4" t="s">
        <v>17377</v>
      </c>
      <c r="F364" t="s">
        <v>95</v>
      </c>
      <c r="G364" t="s">
        <v>8415</v>
      </c>
      <c r="H364" t="s">
        <v>848</v>
      </c>
      <c r="I364" t="s">
        <v>98</v>
      </c>
      <c r="J364" t="s">
        <v>8416</v>
      </c>
      <c r="K364" t="s">
        <v>100</v>
      </c>
      <c r="L364">
        <v>520101</v>
      </c>
      <c r="M364">
        <v>613719</v>
      </c>
      <c r="N364">
        <v>0</v>
      </c>
      <c r="O364">
        <v>0</v>
      </c>
      <c r="Q364">
        <v>0</v>
      </c>
      <c r="R364">
        <v>0</v>
      </c>
      <c r="T364">
        <v>520101</v>
      </c>
      <c r="U364">
        <v>279</v>
      </c>
      <c r="V364" t="s">
        <v>800</v>
      </c>
      <c r="W364" t="s">
        <v>102</v>
      </c>
      <c r="X364" t="s">
        <v>103</v>
      </c>
      <c r="Y364" t="s">
        <v>155</v>
      </c>
      <c r="AA364" t="s">
        <v>232</v>
      </c>
      <c r="AB364" t="s">
        <v>8417</v>
      </c>
      <c r="AC364" t="s">
        <v>2605</v>
      </c>
      <c r="AD364" t="s">
        <v>8417</v>
      </c>
      <c r="AE364" t="s">
        <v>648</v>
      </c>
      <c r="AF364" t="s">
        <v>8417</v>
      </c>
      <c r="AG364" t="s">
        <v>160</v>
      </c>
      <c r="AH364" t="s">
        <v>8417</v>
      </c>
      <c r="AI364" t="s">
        <v>102</v>
      </c>
      <c r="AL364" t="s">
        <v>8418</v>
      </c>
      <c r="AM364" t="s">
        <v>102</v>
      </c>
      <c r="AN364" t="s">
        <v>8418</v>
      </c>
      <c r="AO364" t="s">
        <v>4840</v>
      </c>
      <c r="AP364" t="s">
        <v>4840</v>
      </c>
      <c r="AU364" t="s">
        <v>102</v>
      </c>
      <c r="AW364" t="s">
        <v>102</v>
      </c>
      <c r="AX364" t="s">
        <v>119</v>
      </c>
      <c r="BA364" t="s">
        <v>250</v>
      </c>
      <c r="BB364" t="s">
        <v>120</v>
      </c>
      <c r="BC364" t="s">
        <v>8419</v>
      </c>
      <c r="BD364" t="s">
        <v>320</v>
      </c>
      <c r="BE364" t="s">
        <v>122</v>
      </c>
      <c r="BF364" t="s">
        <v>123</v>
      </c>
      <c r="BG364" t="s">
        <v>124</v>
      </c>
      <c r="BH364" t="s">
        <v>8420</v>
      </c>
      <c r="BI364" t="s">
        <v>126</v>
      </c>
      <c r="BJ364" t="s">
        <v>127</v>
      </c>
      <c r="BK364" t="s">
        <v>8421</v>
      </c>
      <c r="BL364" t="s">
        <v>8422</v>
      </c>
      <c r="BM364" t="s">
        <v>8423</v>
      </c>
      <c r="BN364" t="s">
        <v>8415</v>
      </c>
      <c r="BO364" t="s">
        <v>4845</v>
      </c>
      <c r="BP364" t="s">
        <v>258</v>
      </c>
      <c r="BQ364" t="s">
        <v>4846</v>
      </c>
      <c r="BR364" t="s">
        <v>4847</v>
      </c>
      <c r="BS364" t="s">
        <v>328</v>
      </c>
      <c r="BT364" t="s">
        <v>5743</v>
      </c>
      <c r="BU364" t="s">
        <v>8424</v>
      </c>
      <c r="BV364" t="s">
        <v>8425</v>
      </c>
      <c r="BW364" t="s">
        <v>354</v>
      </c>
      <c r="BX364" t="s">
        <v>8426</v>
      </c>
      <c r="BY364" t="s">
        <v>8427</v>
      </c>
      <c r="BZ364" t="s">
        <v>8426</v>
      </c>
      <c r="CG364" t="s">
        <v>102</v>
      </c>
      <c r="CH364" t="s">
        <v>8428</v>
      </c>
      <c r="CJ364" t="s">
        <v>8429</v>
      </c>
      <c r="CK364" t="s">
        <v>8428</v>
      </c>
      <c r="CL364" t="s">
        <v>8430</v>
      </c>
      <c r="CM364" t="s">
        <v>320</v>
      </c>
      <c r="CN364" t="s">
        <v>8429</v>
      </c>
      <c r="CP364" t="s">
        <v>8428</v>
      </c>
      <c r="CQ364" t="s">
        <v>8428</v>
      </c>
    </row>
    <row r="365" spans="1:95">
      <c r="A365" t="s">
        <v>93</v>
      </c>
      <c r="B365">
        <v>3999269</v>
      </c>
      <c r="C365" t="s">
        <v>8431</v>
      </c>
      <c r="D365" t="str">
        <f>VLOOKUP(B365,'2025'!B:C,2,0)</f>
        <v>Sumit Rana</v>
      </c>
      <c r="F365" t="s">
        <v>95</v>
      </c>
      <c r="G365" t="s">
        <v>8432</v>
      </c>
      <c r="H365" t="s">
        <v>152</v>
      </c>
      <c r="I365" t="s">
        <v>98</v>
      </c>
      <c r="J365" t="s">
        <v>8433</v>
      </c>
      <c r="K365" t="s">
        <v>100</v>
      </c>
      <c r="L365">
        <v>509386</v>
      </c>
      <c r="M365">
        <v>509386</v>
      </c>
      <c r="N365">
        <v>0</v>
      </c>
      <c r="O365">
        <v>0</v>
      </c>
      <c r="Q365">
        <v>509386</v>
      </c>
      <c r="R365">
        <v>409</v>
      </c>
      <c r="S365" t="s">
        <v>8434</v>
      </c>
      <c r="T365">
        <v>0</v>
      </c>
      <c r="U365">
        <v>0</v>
      </c>
      <c r="W365" t="s">
        <v>102</v>
      </c>
      <c r="X365" t="s">
        <v>679</v>
      </c>
      <c r="Y365" t="s">
        <v>155</v>
      </c>
      <c r="Z365" t="s">
        <v>160</v>
      </c>
      <c r="AA365" t="s">
        <v>8435</v>
      </c>
      <c r="AB365" t="s">
        <v>8436</v>
      </c>
      <c r="AC365" t="s">
        <v>8437</v>
      </c>
      <c r="AD365" t="s">
        <v>8436</v>
      </c>
      <c r="AE365" t="s">
        <v>2170</v>
      </c>
      <c r="AF365" t="s">
        <v>8436</v>
      </c>
      <c r="AG365" t="s">
        <v>8438</v>
      </c>
      <c r="AH365" t="s">
        <v>8436</v>
      </c>
      <c r="AI365" t="s">
        <v>102</v>
      </c>
      <c r="AJ365" t="s">
        <v>162</v>
      </c>
      <c r="AK365" t="s">
        <v>1305</v>
      </c>
      <c r="AL365" t="s">
        <v>8439</v>
      </c>
      <c r="AM365" t="s">
        <v>8440</v>
      </c>
      <c r="AN365" t="s">
        <v>8441</v>
      </c>
      <c r="AO365" t="s">
        <v>8442</v>
      </c>
      <c r="AP365" t="s">
        <v>8442</v>
      </c>
      <c r="AU365" t="s">
        <v>102</v>
      </c>
      <c r="AW365" t="s">
        <v>155</v>
      </c>
      <c r="AX365" t="s">
        <v>447</v>
      </c>
      <c r="AY365" t="s">
        <v>170</v>
      </c>
      <c r="AZ365" t="s">
        <v>118</v>
      </c>
      <c r="BB365" t="s">
        <v>120</v>
      </c>
      <c r="BC365" t="s">
        <v>8443</v>
      </c>
      <c r="BD365" t="s">
        <v>173</v>
      </c>
      <c r="BE365" t="s">
        <v>174</v>
      </c>
      <c r="BF365" t="s">
        <v>173</v>
      </c>
      <c r="BG365" t="s">
        <v>124</v>
      </c>
      <c r="BH365" t="s">
        <v>125</v>
      </c>
      <c r="BI365" t="s">
        <v>126</v>
      </c>
      <c r="BJ365" t="s">
        <v>127</v>
      </c>
      <c r="BK365" t="s">
        <v>8444</v>
      </c>
      <c r="BL365" t="s">
        <v>8445</v>
      </c>
      <c r="BM365" t="s">
        <v>8446</v>
      </c>
      <c r="BN365" t="s">
        <v>8432</v>
      </c>
      <c r="BO365" t="s">
        <v>8447</v>
      </c>
      <c r="BP365" t="s">
        <v>3941</v>
      </c>
      <c r="BQ365" t="s">
        <v>8448</v>
      </c>
      <c r="BR365" t="s">
        <v>8449</v>
      </c>
      <c r="BS365" t="s">
        <v>8450</v>
      </c>
      <c r="BU365" t="s">
        <v>8451</v>
      </c>
      <c r="BV365" t="s">
        <v>8452</v>
      </c>
      <c r="BW365" t="s">
        <v>138</v>
      </c>
      <c r="BX365" t="s">
        <v>8453</v>
      </c>
      <c r="BY365" t="s">
        <v>8454</v>
      </c>
      <c r="BZ365" t="s">
        <v>8455</v>
      </c>
      <c r="CA365" t="s">
        <v>8456</v>
      </c>
      <c r="CB365" t="s">
        <v>8455</v>
      </c>
      <c r="CC365" t="s">
        <v>8454</v>
      </c>
      <c r="CD365" t="s">
        <v>8457</v>
      </c>
      <c r="CE365" t="s">
        <v>8455</v>
      </c>
      <c r="CF365" t="s">
        <v>8458</v>
      </c>
      <c r="CG365" t="s">
        <v>8459</v>
      </c>
      <c r="CH365" t="s">
        <v>8460</v>
      </c>
      <c r="CJ365" t="s">
        <v>8461</v>
      </c>
      <c r="CK365" t="s">
        <v>8462</v>
      </c>
      <c r="CL365" t="s">
        <v>8443</v>
      </c>
      <c r="CM365" t="s">
        <v>173</v>
      </c>
      <c r="CN365" t="s">
        <v>8461</v>
      </c>
      <c r="CP365" t="s">
        <v>8463</v>
      </c>
      <c r="CQ365" t="s">
        <v>8464</v>
      </c>
    </row>
    <row r="366" spans="1:95">
      <c r="A366" t="s">
        <v>149</v>
      </c>
      <c r="B366">
        <v>3999496</v>
      </c>
      <c r="C366" t="s">
        <v>8465</v>
      </c>
      <c r="D366" t="str">
        <f>VLOOKUP(B366,'2025'!B:C,2,0)</f>
        <v>Tanya</v>
      </c>
      <c r="F366" t="s">
        <v>95</v>
      </c>
      <c r="G366" t="s">
        <v>8466</v>
      </c>
      <c r="H366" t="s">
        <v>2044</v>
      </c>
      <c r="I366" t="s">
        <v>98</v>
      </c>
      <c r="J366" t="s">
        <v>8467</v>
      </c>
      <c r="K366" t="s">
        <v>100</v>
      </c>
      <c r="L366">
        <v>566501</v>
      </c>
      <c r="M366">
        <v>566501</v>
      </c>
      <c r="N366">
        <v>202570</v>
      </c>
      <c r="O366">
        <v>466</v>
      </c>
      <c r="P366" t="s">
        <v>8468</v>
      </c>
      <c r="Q366">
        <v>363931</v>
      </c>
      <c r="R366">
        <v>483</v>
      </c>
      <c r="S366" t="s">
        <v>8469</v>
      </c>
      <c r="T366">
        <v>0</v>
      </c>
      <c r="U366">
        <v>0</v>
      </c>
      <c r="W366" t="s">
        <v>102</v>
      </c>
      <c r="X366" t="s">
        <v>103</v>
      </c>
      <c r="Y366" t="s">
        <v>155</v>
      </c>
      <c r="AA366" t="s">
        <v>517</v>
      </c>
      <c r="AB366" t="s">
        <v>8470</v>
      </c>
      <c r="AC366" t="s">
        <v>5499</v>
      </c>
      <c r="AD366" t="s">
        <v>8470</v>
      </c>
      <c r="AE366" t="s">
        <v>8471</v>
      </c>
      <c r="AF366" t="s">
        <v>8470</v>
      </c>
      <c r="AG366" t="s">
        <v>2911</v>
      </c>
      <c r="AH366" t="s">
        <v>8470</v>
      </c>
      <c r="AI366" t="s">
        <v>102</v>
      </c>
      <c r="AL366" t="s">
        <v>8472</v>
      </c>
      <c r="AM366" t="s">
        <v>102</v>
      </c>
      <c r="AN366" t="s">
        <v>8472</v>
      </c>
      <c r="AO366" t="s">
        <v>8473</v>
      </c>
      <c r="AP366" t="s">
        <v>8473</v>
      </c>
      <c r="AU366" t="s">
        <v>318</v>
      </c>
      <c r="AV366" t="s">
        <v>118</v>
      </c>
      <c r="AW366" t="s">
        <v>155</v>
      </c>
      <c r="AX366" t="s">
        <v>447</v>
      </c>
      <c r="AY366" t="s">
        <v>170</v>
      </c>
      <c r="AZ366" t="s">
        <v>118</v>
      </c>
      <c r="BB366" t="s">
        <v>120</v>
      </c>
      <c r="BC366" t="s">
        <v>4644</v>
      </c>
      <c r="BD366" t="s">
        <v>320</v>
      </c>
      <c r="BE366" t="s">
        <v>122</v>
      </c>
      <c r="BF366" t="s">
        <v>123</v>
      </c>
      <c r="BG366" t="s">
        <v>124</v>
      </c>
      <c r="BH366" t="s">
        <v>232</v>
      </c>
      <c r="BI366" t="s">
        <v>126</v>
      </c>
      <c r="BJ366" t="s">
        <v>127</v>
      </c>
      <c r="BK366" t="s">
        <v>8474</v>
      </c>
      <c r="BL366" t="s">
        <v>8475</v>
      </c>
      <c r="BM366" t="s">
        <v>8476</v>
      </c>
      <c r="BN366" t="s">
        <v>8466</v>
      </c>
      <c r="BO366" t="s">
        <v>593</v>
      </c>
      <c r="BP366" t="s">
        <v>505</v>
      </c>
      <c r="BQ366" t="s">
        <v>594</v>
      </c>
      <c r="BR366" t="s">
        <v>595</v>
      </c>
      <c r="BS366" t="s">
        <v>261</v>
      </c>
      <c r="BU366" t="s">
        <v>8477</v>
      </c>
      <c r="BV366" t="s">
        <v>8478</v>
      </c>
      <c r="BW366" t="s">
        <v>354</v>
      </c>
      <c r="BX366" t="s">
        <v>8479</v>
      </c>
      <c r="BY366" t="s">
        <v>8480</v>
      </c>
      <c r="BZ366" t="s">
        <v>8481</v>
      </c>
      <c r="CG366" t="s">
        <v>102</v>
      </c>
      <c r="CH366" t="s">
        <v>8482</v>
      </c>
      <c r="CJ366" t="s">
        <v>4655</v>
      </c>
      <c r="CK366" t="s">
        <v>8482</v>
      </c>
      <c r="CL366" t="s">
        <v>4644</v>
      </c>
      <c r="CM366" t="s">
        <v>320</v>
      </c>
      <c r="CN366" t="s">
        <v>4655</v>
      </c>
      <c r="CP366" t="s">
        <v>8482</v>
      </c>
      <c r="CQ366" t="s">
        <v>8482</v>
      </c>
    </row>
    <row r="367" spans="1:95">
      <c r="A367" t="s">
        <v>93</v>
      </c>
      <c r="B367">
        <v>3999763</v>
      </c>
      <c r="C367" t="s">
        <v>8483</v>
      </c>
      <c r="E367" s="4" t="s">
        <v>17377</v>
      </c>
      <c r="F367" t="s">
        <v>95</v>
      </c>
      <c r="G367" t="s">
        <v>2077</v>
      </c>
      <c r="H367" t="s">
        <v>152</v>
      </c>
      <c r="I367" t="s">
        <v>98</v>
      </c>
      <c r="J367" t="s">
        <v>8484</v>
      </c>
      <c r="K367" t="s">
        <v>100</v>
      </c>
      <c r="L367">
        <v>410229</v>
      </c>
      <c r="M367">
        <v>410229</v>
      </c>
      <c r="N367">
        <v>0</v>
      </c>
      <c r="O367">
        <v>0</v>
      </c>
      <c r="Q367">
        <v>410229</v>
      </c>
      <c r="R367">
        <v>293</v>
      </c>
      <c r="S367" t="s">
        <v>4289</v>
      </c>
      <c r="T367">
        <v>0</v>
      </c>
      <c r="U367">
        <v>0</v>
      </c>
      <c r="W367" t="s">
        <v>102</v>
      </c>
      <c r="X367" t="s">
        <v>103</v>
      </c>
      <c r="Y367" t="s">
        <v>398</v>
      </c>
      <c r="AA367" t="s">
        <v>847</v>
      </c>
      <c r="AB367" t="s">
        <v>8485</v>
      </c>
      <c r="AC367" t="s">
        <v>648</v>
      </c>
      <c r="AD367" t="s">
        <v>8486</v>
      </c>
      <c r="AE367" t="s">
        <v>680</v>
      </c>
      <c r="AF367" t="s">
        <v>8486</v>
      </c>
      <c r="AG367" t="s">
        <v>109</v>
      </c>
      <c r="AH367" t="s">
        <v>102</v>
      </c>
      <c r="AI367" t="s">
        <v>8487</v>
      </c>
      <c r="AJ367" t="s">
        <v>558</v>
      </c>
      <c r="AK367" t="s">
        <v>8488</v>
      </c>
      <c r="AL367" t="s">
        <v>8489</v>
      </c>
      <c r="AM367" t="s">
        <v>8490</v>
      </c>
      <c r="AN367" t="s">
        <v>8491</v>
      </c>
      <c r="AO367" t="s">
        <v>4298</v>
      </c>
      <c r="AP367" t="s">
        <v>4298</v>
      </c>
      <c r="AU367" t="s">
        <v>102</v>
      </c>
      <c r="AW367" t="s">
        <v>155</v>
      </c>
      <c r="AX367" t="s">
        <v>119</v>
      </c>
      <c r="AY367" t="s">
        <v>170</v>
      </c>
      <c r="AZ367" t="s">
        <v>118</v>
      </c>
      <c r="BB367" t="s">
        <v>120</v>
      </c>
      <c r="BC367" t="s">
        <v>555</v>
      </c>
      <c r="BD367" t="s">
        <v>556</v>
      </c>
      <c r="BE367" t="s">
        <v>122</v>
      </c>
      <c r="BF367" t="s">
        <v>557</v>
      </c>
      <c r="BG367" t="s">
        <v>124</v>
      </c>
      <c r="BH367" t="s">
        <v>578</v>
      </c>
      <c r="BI367" t="s">
        <v>559</v>
      </c>
      <c r="BJ367" t="s">
        <v>127</v>
      </c>
      <c r="BK367" t="s">
        <v>8492</v>
      </c>
      <c r="BL367" t="s">
        <v>8493</v>
      </c>
      <c r="BM367" t="s">
        <v>8494</v>
      </c>
      <c r="BN367" t="s">
        <v>2077</v>
      </c>
      <c r="BO367" t="s">
        <v>563</v>
      </c>
      <c r="BP367" t="s">
        <v>258</v>
      </c>
      <c r="BQ367" t="s">
        <v>564</v>
      </c>
      <c r="BR367" t="s">
        <v>565</v>
      </c>
      <c r="BS367" t="s">
        <v>566</v>
      </c>
      <c r="BT367" t="s">
        <v>566</v>
      </c>
      <c r="BU367" t="s">
        <v>8495</v>
      </c>
      <c r="BV367" t="s">
        <v>8496</v>
      </c>
      <c r="BW367" t="s">
        <v>138</v>
      </c>
      <c r="BX367" t="s">
        <v>8497</v>
      </c>
      <c r="BY367" t="s">
        <v>8498</v>
      </c>
      <c r="BZ367" t="s">
        <v>8499</v>
      </c>
      <c r="CA367" t="s">
        <v>8496</v>
      </c>
      <c r="CB367" t="s">
        <v>8497</v>
      </c>
      <c r="CC367" t="s">
        <v>8498</v>
      </c>
      <c r="CG367" t="s">
        <v>2270</v>
      </c>
      <c r="CH367" t="s">
        <v>8500</v>
      </c>
      <c r="CJ367" t="s">
        <v>1154</v>
      </c>
      <c r="CK367" t="s">
        <v>8500</v>
      </c>
      <c r="CL367" t="s">
        <v>555</v>
      </c>
      <c r="CM367" t="s">
        <v>556</v>
      </c>
      <c r="CN367" t="s">
        <v>1154</v>
      </c>
      <c r="CP367" t="s">
        <v>8500</v>
      </c>
      <c r="CQ367" t="s">
        <v>8500</v>
      </c>
    </row>
    <row r="368" spans="1:95">
      <c r="A368" t="s">
        <v>337</v>
      </c>
      <c r="B368">
        <v>3999846</v>
      </c>
      <c r="C368" t="s">
        <v>8501</v>
      </c>
      <c r="D368" t="str">
        <f>VLOOKUP(B368,'2025'!B:C,2,0)</f>
        <v>Vineeth T V</v>
      </c>
      <c r="F368" t="s">
        <v>95</v>
      </c>
      <c r="G368" t="s">
        <v>3789</v>
      </c>
      <c r="H368" t="s">
        <v>97</v>
      </c>
      <c r="I368" t="s">
        <v>98</v>
      </c>
      <c r="J368" t="s">
        <v>8502</v>
      </c>
      <c r="K368" t="s">
        <v>100</v>
      </c>
      <c r="L368">
        <v>523500</v>
      </c>
      <c r="M368">
        <v>523500</v>
      </c>
      <c r="N368">
        <v>523500</v>
      </c>
      <c r="O368">
        <v>698</v>
      </c>
      <c r="P368" t="s">
        <v>101</v>
      </c>
      <c r="Q368">
        <v>0</v>
      </c>
      <c r="R368">
        <v>0</v>
      </c>
      <c r="T368">
        <v>0</v>
      </c>
      <c r="U368">
        <v>0</v>
      </c>
      <c r="W368" t="s">
        <v>102</v>
      </c>
      <c r="X368" t="s">
        <v>103</v>
      </c>
      <c r="Y368" t="s">
        <v>398</v>
      </c>
      <c r="AA368" t="s">
        <v>583</v>
      </c>
      <c r="AB368" t="s">
        <v>8503</v>
      </c>
      <c r="AC368" t="s">
        <v>347</v>
      </c>
      <c r="AD368" t="s">
        <v>8504</v>
      </c>
      <c r="AE368" t="s">
        <v>7694</v>
      </c>
      <c r="AF368" t="s">
        <v>8504</v>
      </c>
      <c r="AG368" t="s">
        <v>109</v>
      </c>
      <c r="AH368" t="s">
        <v>102</v>
      </c>
      <c r="AI368" t="s">
        <v>8505</v>
      </c>
      <c r="AJ368" t="s">
        <v>5991</v>
      </c>
      <c r="AK368" t="s">
        <v>442</v>
      </c>
      <c r="AL368" t="s">
        <v>8506</v>
      </c>
      <c r="AM368" t="s">
        <v>8507</v>
      </c>
      <c r="AN368" t="s">
        <v>8508</v>
      </c>
      <c r="AO368" t="s">
        <v>116</v>
      </c>
      <c r="AP368" t="s">
        <v>116</v>
      </c>
      <c r="AU368" t="s">
        <v>117</v>
      </c>
      <c r="AV368" t="s">
        <v>118</v>
      </c>
      <c r="AW368" t="s">
        <v>102</v>
      </c>
      <c r="AX368" t="s">
        <v>119</v>
      </c>
      <c r="BB368" t="s">
        <v>120</v>
      </c>
      <c r="BC368" t="s">
        <v>8509</v>
      </c>
      <c r="BD368" t="s">
        <v>410</v>
      </c>
      <c r="BE368" t="s">
        <v>212</v>
      </c>
      <c r="BF368" t="s">
        <v>410</v>
      </c>
      <c r="BG368" t="s">
        <v>124</v>
      </c>
      <c r="BH368" t="s">
        <v>214</v>
      </c>
      <c r="BI368" t="s">
        <v>126</v>
      </c>
      <c r="BJ368" t="s">
        <v>127</v>
      </c>
      <c r="BK368" t="s">
        <v>8510</v>
      </c>
      <c r="BL368" t="s">
        <v>8511</v>
      </c>
      <c r="BM368" t="s">
        <v>8512</v>
      </c>
      <c r="BN368" t="s">
        <v>3789</v>
      </c>
      <c r="BO368" t="s">
        <v>4955</v>
      </c>
      <c r="BP368" t="s">
        <v>132</v>
      </c>
      <c r="BQ368" t="s">
        <v>4956</v>
      </c>
      <c r="BR368" t="s">
        <v>4957</v>
      </c>
      <c r="BS368" t="s">
        <v>1702</v>
      </c>
      <c r="BT368" t="s">
        <v>900</v>
      </c>
      <c r="BU368" t="s">
        <v>8513</v>
      </c>
      <c r="BV368" t="s">
        <v>8514</v>
      </c>
      <c r="BW368" t="s">
        <v>354</v>
      </c>
      <c r="BX368" t="s">
        <v>8515</v>
      </c>
      <c r="BY368" t="s">
        <v>8516</v>
      </c>
      <c r="BZ368" t="s">
        <v>8517</v>
      </c>
      <c r="CG368" t="s">
        <v>3968</v>
      </c>
      <c r="CH368" t="s">
        <v>8518</v>
      </c>
      <c r="CJ368" t="s">
        <v>8519</v>
      </c>
      <c r="CK368" t="s">
        <v>8518</v>
      </c>
      <c r="CL368" t="s">
        <v>8509</v>
      </c>
      <c r="CM368" t="s">
        <v>410</v>
      </c>
      <c r="CN368" t="s">
        <v>8519</v>
      </c>
      <c r="CO368" t="s">
        <v>8520</v>
      </c>
      <c r="CP368" t="s">
        <v>8518</v>
      </c>
      <c r="CQ368" t="s">
        <v>8518</v>
      </c>
    </row>
    <row r="369" spans="1:95">
      <c r="A369" t="s">
        <v>337</v>
      </c>
      <c r="B369">
        <v>4000126</v>
      </c>
      <c r="C369" t="s">
        <v>8528</v>
      </c>
      <c r="D369" t="str">
        <f>VLOOKUP(B369,'2025'!B:C,2,0)</f>
        <v>Chaitanya</v>
      </c>
      <c r="F369" t="s">
        <v>95</v>
      </c>
      <c r="G369" t="s">
        <v>3880</v>
      </c>
      <c r="H369" t="s">
        <v>97</v>
      </c>
      <c r="I369" t="s">
        <v>98</v>
      </c>
      <c r="J369" t="s">
        <v>8529</v>
      </c>
      <c r="K369" t="s">
        <v>100</v>
      </c>
      <c r="L369">
        <v>486000</v>
      </c>
      <c r="M369">
        <v>486000</v>
      </c>
      <c r="N369">
        <v>486000</v>
      </c>
      <c r="O369">
        <v>0</v>
      </c>
      <c r="P369" t="s">
        <v>102</v>
      </c>
      <c r="Q369">
        <v>0</v>
      </c>
      <c r="R369">
        <v>0</v>
      </c>
      <c r="S369" t="s">
        <v>102</v>
      </c>
      <c r="T369">
        <v>0</v>
      </c>
      <c r="U369">
        <v>0</v>
      </c>
      <c r="V369" t="s">
        <v>102</v>
      </c>
      <c r="W369" t="s">
        <v>102</v>
      </c>
      <c r="Y369" t="s">
        <v>115</v>
      </c>
      <c r="Z369" t="s">
        <v>3880</v>
      </c>
      <c r="AA369" t="s">
        <v>3880</v>
      </c>
      <c r="AB369" t="s">
        <v>102</v>
      </c>
      <c r="AC369" t="s">
        <v>3880</v>
      </c>
      <c r="AD369" t="s">
        <v>102</v>
      </c>
      <c r="AE369" t="s">
        <v>3880</v>
      </c>
      <c r="AF369" t="s">
        <v>102</v>
      </c>
      <c r="AG369" t="s">
        <v>3880</v>
      </c>
      <c r="AH369" t="s">
        <v>102</v>
      </c>
      <c r="AI369" t="s">
        <v>102</v>
      </c>
      <c r="AJ369" t="s">
        <v>3880</v>
      </c>
      <c r="AK369" t="s">
        <v>3880</v>
      </c>
      <c r="AL369" t="s">
        <v>8530</v>
      </c>
      <c r="AM369" t="s">
        <v>102</v>
      </c>
      <c r="AN369" t="s">
        <v>8530</v>
      </c>
      <c r="AO369" t="s">
        <v>102</v>
      </c>
      <c r="AP369" t="s">
        <v>102</v>
      </c>
      <c r="AQ369" t="s">
        <v>102</v>
      </c>
      <c r="AR369" t="s">
        <v>102</v>
      </c>
      <c r="AS369" t="s">
        <v>102</v>
      </c>
      <c r="AT369" t="s">
        <v>102</v>
      </c>
      <c r="AU369" t="s">
        <v>318</v>
      </c>
      <c r="AV369" t="s">
        <v>118</v>
      </c>
      <c r="AW369" t="s">
        <v>102</v>
      </c>
      <c r="BB369" t="s">
        <v>120</v>
      </c>
      <c r="BC369" t="s">
        <v>623</v>
      </c>
      <c r="BE369" t="s">
        <v>212</v>
      </c>
      <c r="BF369" t="s">
        <v>3881</v>
      </c>
      <c r="BG369" t="s">
        <v>124</v>
      </c>
      <c r="BH369" t="s">
        <v>3880</v>
      </c>
      <c r="BI369" t="s">
        <v>3880</v>
      </c>
      <c r="BJ369" t="s">
        <v>3882</v>
      </c>
      <c r="BK369" t="s">
        <v>8531</v>
      </c>
      <c r="BN369" t="s">
        <v>3880</v>
      </c>
      <c r="BO369" t="s">
        <v>225</v>
      </c>
      <c r="BP369" t="s">
        <v>225</v>
      </c>
      <c r="BQ369" t="s">
        <v>225</v>
      </c>
      <c r="BR369" t="s">
        <v>506</v>
      </c>
      <c r="BS369" t="s">
        <v>2593</v>
      </c>
      <c r="BT369" t="s">
        <v>2593</v>
      </c>
      <c r="BU369" t="s">
        <v>3880</v>
      </c>
      <c r="CG369" t="s">
        <v>102</v>
      </c>
    </row>
    <row r="370" spans="1:95">
      <c r="A370" t="s">
        <v>93</v>
      </c>
      <c r="B370">
        <v>4001826</v>
      </c>
      <c r="C370" t="s">
        <v>8532</v>
      </c>
      <c r="D370" t="str">
        <f>VLOOKUP(B370,'2025'!B:C,2,0)</f>
        <v>Shruti</v>
      </c>
      <c r="F370" t="s">
        <v>95</v>
      </c>
      <c r="G370" t="s">
        <v>716</v>
      </c>
      <c r="H370" t="s">
        <v>152</v>
      </c>
      <c r="I370" t="s">
        <v>98</v>
      </c>
      <c r="J370" t="s">
        <v>8533</v>
      </c>
      <c r="K370" t="s">
        <v>100</v>
      </c>
      <c r="L370">
        <v>351000</v>
      </c>
      <c r="M370">
        <v>351000</v>
      </c>
      <c r="N370">
        <v>0</v>
      </c>
      <c r="O370">
        <v>0</v>
      </c>
      <c r="Q370">
        <v>351000</v>
      </c>
      <c r="R370">
        <v>270</v>
      </c>
      <c r="S370" t="s">
        <v>8534</v>
      </c>
      <c r="T370">
        <v>0</v>
      </c>
      <c r="U370">
        <v>0</v>
      </c>
      <c r="W370" t="s">
        <v>102</v>
      </c>
      <c r="X370" t="s">
        <v>103</v>
      </c>
      <c r="Y370" t="s">
        <v>398</v>
      </c>
      <c r="AA370" t="s">
        <v>847</v>
      </c>
      <c r="AB370" t="s">
        <v>8535</v>
      </c>
      <c r="AC370" t="s">
        <v>311</v>
      </c>
      <c r="AD370" t="s">
        <v>8536</v>
      </c>
      <c r="AE370" t="s">
        <v>680</v>
      </c>
      <c r="AF370" t="s">
        <v>8536</v>
      </c>
      <c r="AG370" t="s">
        <v>109</v>
      </c>
      <c r="AH370" t="s">
        <v>102</v>
      </c>
      <c r="AI370" t="s">
        <v>102</v>
      </c>
      <c r="AJ370" t="s">
        <v>464</v>
      </c>
      <c r="AK370" t="s">
        <v>8537</v>
      </c>
      <c r="AL370" t="s">
        <v>7039</v>
      </c>
      <c r="AM370" t="s">
        <v>8538</v>
      </c>
      <c r="AN370" t="s">
        <v>8539</v>
      </c>
      <c r="AO370" t="s">
        <v>116</v>
      </c>
      <c r="AP370" t="s">
        <v>116</v>
      </c>
      <c r="AU370" t="s">
        <v>102</v>
      </c>
      <c r="AW370" t="s">
        <v>155</v>
      </c>
      <c r="AX370" t="s">
        <v>119</v>
      </c>
      <c r="AY370" t="s">
        <v>1138</v>
      </c>
      <c r="AZ370" t="s">
        <v>118</v>
      </c>
      <c r="BB370" t="s">
        <v>120</v>
      </c>
      <c r="BC370" t="s">
        <v>8540</v>
      </c>
      <c r="BD370" t="s">
        <v>556</v>
      </c>
      <c r="BE370" t="s">
        <v>122</v>
      </c>
      <c r="BF370" t="s">
        <v>557</v>
      </c>
      <c r="BG370" t="s">
        <v>124</v>
      </c>
      <c r="BH370" t="s">
        <v>4806</v>
      </c>
      <c r="BI370" t="s">
        <v>126</v>
      </c>
      <c r="BJ370" t="s">
        <v>127</v>
      </c>
      <c r="BK370" t="s">
        <v>8541</v>
      </c>
      <c r="BL370" t="s">
        <v>8542</v>
      </c>
      <c r="BM370" t="s">
        <v>8543</v>
      </c>
      <c r="BN370" t="s">
        <v>716</v>
      </c>
      <c r="BO370" t="s">
        <v>563</v>
      </c>
      <c r="BP370" t="s">
        <v>350</v>
      </c>
      <c r="BQ370" t="s">
        <v>564</v>
      </c>
      <c r="BR370" t="s">
        <v>565</v>
      </c>
      <c r="BS370" t="s">
        <v>566</v>
      </c>
      <c r="BU370" t="s">
        <v>8544</v>
      </c>
      <c r="BV370" t="s">
        <v>8545</v>
      </c>
      <c r="BW370" t="s">
        <v>354</v>
      </c>
      <c r="BX370" t="s">
        <v>8546</v>
      </c>
      <c r="BY370" t="s">
        <v>8547</v>
      </c>
      <c r="BZ370" t="s">
        <v>8546</v>
      </c>
      <c r="CG370" t="s">
        <v>6457</v>
      </c>
      <c r="CH370" t="s">
        <v>8548</v>
      </c>
      <c r="CJ370" t="s">
        <v>6459</v>
      </c>
      <c r="CK370" t="s">
        <v>8548</v>
      </c>
      <c r="CL370" t="s">
        <v>8540</v>
      </c>
      <c r="CM370" t="s">
        <v>556</v>
      </c>
      <c r="CN370" t="s">
        <v>6459</v>
      </c>
      <c r="CP370" t="s">
        <v>8548</v>
      </c>
      <c r="CQ370" t="s">
        <v>8548</v>
      </c>
    </row>
    <row r="371" spans="1:95">
      <c r="A371" t="s">
        <v>149</v>
      </c>
      <c r="B371">
        <v>4002148</v>
      </c>
      <c r="C371" t="s">
        <v>8549</v>
      </c>
      <c r="D371" t="str">
        <f>VLOOKUP(B371,'2025'!B:C,2,0)</f>
        <v>Sumit Rana</v>
      </c>
      <c r="F371" t="s">
        <v>95</v>
      </c>
      <c r="G371" t="s">
        <v>3234</v>
      </c>
      <c r="H371" t="s">
        <v>675</v>
      </c>
      <c r="I371" t="s">
        <v>98</v>
      </c>
      <c r="J371" t="s">
        <v>8550</v>
      </c>
      <c r="K371" t="s">
        <v>100</v>
      </c>
      <c r="L371">
        <v>919234</v>
      </c>
      <c r="M371">
        <v>919234</v>
      </c>
      <c r="N371">
        <v>283378</v>
      </c>
      <c r="O371">
        <v>436</v>
      </c>
      <c r="P371" t="s">
        <v>1122</v>
      </c>
      <c r="Q371">
        <v>635856</v>
      </c>
      <c r="R371">
        <v>314</v>
      </c>
      <c r="S371" t="s">
        <v>8551</v>
      </c>
      <c r="T371">
        <v>0</v>
      </c>
      <c r="U371">
        <v>0</v>
      </c>
      <c r="W371" t="s">
        <v>102</v>
      </c>
      <c r="X371" t="s">
        <v>103</v>
      </c>
      <c r="Y371" t="s">
        <v>801</v>
      </c>
      <c r="AA371" t="s">
        <v>8552</v>
      </c>
      <c r="AB371" t="s">
        <v>8553</v>
      </c>
      <c r="AC371" t="s">
        <v>8554</v>
      </c>
      <c r="AD371" t="s">
        <v>8555</v>
      </c>
      <c r="AE371" t="s">
        <v>2012</v>
      </c>
      <c r="AF371" t="s">
        <v>8556</v>
      </c>
      <c r="AG371" t="s">
        <v>807</v>
      </c>
      <c r="AH371" t="s">
        <v>8556</v>
      </c>
      <c r="AI371" t="s">
        <v>8557</v>
      </c>
      <c r="AJ371" t="s">
        <v>5500</v>
      </c>
      <c r="AK371" t="s">
        <v>8558</v>
      </c>
      <c r="AL371" t="s">
        <v>8559</v>
      </c>
      <c r="AM371" t="s">
        <v>8560</v>
      </c>
      <c r="AN371" t="s">
        <v>8561</v>
      </c>
      <c r="AO371" t="s">
        <v>8562</v>
      </c>
      <c r="AP371" t="s">
        <v>8562</v>
      </c>
      <c r="AU371" t="s">
        <v>207</v>
      </c>
      <c r="AV371" t="s">
        <v>118</v>
      </c>
      <c r="AW371" t="s">
        <v>3536</v>
      </c>
      <c r="AX371" t="s">
        <v>249</v>
      </c>
      <c r="AY371" t="s">
        <v>170</v>
      </c>
      <c r="AZ371" t="s">
        <v>118</v>
      </c>
      <c r="BB371" t="s">
        <v>120</v>
      </c>
      <c r="BC371" t="s">
        <v>1036</v>
      </c>
      <c r="BD371" t="s">
        <v>173</v>
      </c>
      <c r="BE371" t="s">
        <v>174</v>
      </c>
      <c r="BF371" t="s">
        <v>173</v>
      </c>
      <c r="BG371" t="s">
        <v>124</v>
      </c>
      <c r="BH371" t="s">
        <v>847</v>
      </c>
      <c r="BI371" t="s">
        <v>126</v>
      </c>
      <c r="BJ371" t="s">
        <v>127</v>
      </c>
      <c r="BK371" t="s">
        <v>8563</v>
      </c>
      <c r="BL371" t="s">
        <v>8564</v>
      </c>
      <c r="BM371" t="s">
        <v>8565</v>
      </c>
      <c r="BN371" t="s">
        <v>3234</v>
      </c>
      <c r="BO371" t="s">
        <v>179</v>
      </c>
      <c r="BP371" t="s">
        <v>180</v>
      </c>
      <c r="BQ371" t="s">
        <v>181</v>
      </c>
      <c r="BR371" t="s">
        <v>182</v>
      </c>
      <c r="BS371" t="s">
        <v>183</v>
      </c>
      <c r="BU371" t="s">
        <v>8566</v>
      </c>
      <c r="BV371" t="s">
        <v>8567</v>
      </c>
      <c r="BW371" t="s">
        <v>138</v>
      </c>
      <c r="BX371" t="s">
        <v>8568</v>
      </c>
      <c r="BY371" t="s">
        <v>8569</v>
      </c>
      <c r="BZ371" t="s">
        <v>8568</v>
      </c>
      <c r="CG371" t="s">
        <v>102</v>
      </c>
      <c r="CH371" t="s">
        <v>8570</v>
      </c>
      <c r="CJ371" t="s">
        <v>8571</v>
      </c>
      <c r="CK371" t="s">
        <v>8570</v>
      </c>
      <c r="CL371" t="s">
        <v>1036</v>
      </c>
      <c r="CM371" t="s">
        <v>173</v>
      </c>
      <c r="CN371" t="s">
        <v>8571</v>
      </c>
      <c r="CO371" t="s">
        <v>8572</v>
      </c>
      <c r="CP371" t="s">
        <v>8570</v>
      </c>
      <c r="CQ371" t="s">
        <v>8570</v>
      </c>
    </row>
    <row r="372" spans="1:95">
      <c r="A372" t="s">
        <v>93</v>
      </c>
      <c r="B372">
        <v>401650</v>
      </c>
      <c r="C372" t="s">
        <v>8573</v>
      </c>
      <c r="D372" t="str">
        <f>VLOOKUP(B372,'2025'!B:C,2,0)</f>
        <v>Lopamudra Das</v>
      </c>
      <c r="F372" t="s">
        <v>95</v>
      </c>
      <c r="G372" t="s">
        <v>558</v>
      </c>
      <c r="H372" t="s">
        <v>152</v>
      </c>
      <c r="I372" t="s">
        <v>98</v>
      </c>
      <c r="J372" t="s">
        <v>8574</v>
      </c>
      <c r="K372" t="s">
        <v>100</v>
      </c>
      <c r="L372">
        <v>1484720</v>
      </c>
      <c r="M372">
        <v>1484720</v>
      </c>
      <c r="N372">
        <v>0</v>
      </c>
      <c r="O372">
        <v>0</v>
      </c>
      <c r="Q372">
        <v>1484720</v>
      </c>
      <c r="R372">
        <v>910</v>
      </c>
      <c r="S372" t="s">
        <v>8575</v>
      </c>
      <c r="T372">
        <v>0</v>
      </c>
      <c r="U372">
        <v>0</v>
      </c>
      <c r="W372" t="s">
        <v>102</v>
      </c>
      <c r="X372" t="s">
        <v>103</v>
      </c>
      <c r="Y372" t="s">
        <v>155</v>
      </c>
      <c r="AA372" t="s">
        <v>8576</v>
      </c>
      <c r="AB372" t="s">
        <v>8577</v>
      </c>
      <c r="AC372" t="s">
        <v>558</v>
      </c>
      <c r="AD372" t="s">
        <v>8577</v>
      </c>
      <c r="AE372" t="s">
        <v>400</v>
      </c>
      <c r="AF372" t="s">
        <v>8577</v>
      </c>
      <c r="AG372" t="s">
        <v>719</v>
      </c>
      <c r="AH372" t="s">
        <v>8577</v>
      </c>
      <c r="AI372" t="s">
        <v>8578</v>
      </c>
      <c r="AJ372" t="s">
        <v>96</v>
      </c>
      <c r="AK372" t="s">
        <v>5015</v>
      </c>
      <c r="AL372" t="s">
        <v>8579</v>
      </c>
      <c r="AM372" t="s">
        <v>8580</v>
      </c>
      <c r="AN372" t="s">
        <v>8581</v>
      </c>
      <c r="AO372" t="s">
        <v>8582</v>
      </c>
      <c r="AP372" t="s">
        <v>8582</v>
      </c>
      <c r="AU372" t="s">
        <v>102</v>
      </c>
      <c r="AW372" t="s">
        <v>155</v>
      </c>
      <c r="AX372" t="s">
        <v>447</v>
      </c>
      <c r="AY372" t="s">
        <v>170</v>
      </c>
      <c r="AZ372" t="s">
        <v>118</v>
      </c>
      <c r="BB372" t="s">
        <v>171</v>
      </c>
      <c r="BC372" t="s">
        <v>375</v>
      </c>
      <c r="BD372" t="s">
        <v>376</v>
      </c>
      <c r="BE372" t="s">
        <v>174</v>
      </c>
      <c r="BF372" t="s">
        <v>376</v>
      </c>
      <c r="BG372" t="s">
        <v>124</v>
      </c>
      <c r="BH372" t="s">
        <v>558</v>
      </c>
      <c r="BI372" t="s">
        <v>3485</v>
      </c>
      <c r="BJ372" t="s">
        <v>127</v>
      </c>
      <c r="BK372" t="s">
        <v>8583</v>
      </c>
      <c r="BL372" t="s">
        <v>8584</v>
      </c>
      <c r="BM372" t="s">
        <v>8585</v>
      </c>
      <c r="BN372" t="s">
        <v>558</v>
      </c>
      <c r="BO372" t="s">
        <v>1831</v>
      </c>
      <c r="BP372" t="s">
        <v>180</v>
      </c>
      <c r="BQ372" t="s">
        <v>1832</v>
      </c>
      <c r="BR372" t="s">
        <v>1833</v>
      </c>
      <c r="BS372" t="s">
        <v>5177</v>
      </c>
      <c r="BU372" t="s">
        <v>8586</v>
      </c>
      <c r="BV372" t="s">
        <v>8587</v>
      </c>
      <c r="BW372" t="s">
        <v>138</v>
      </c>
      <c r="BX372" t="s">
        <v>8588</v>
      </c>
      <c r="BY372" t="s">
        <v>8589</v>
      </c>
      <c r="BZ372" t="s">
        <v>8590</v>
      </c>
      <c r="CG372" t="s">
        <v>334</v>
      </c>
      <c r="CH372" t="s">
        <v>8591</v>
      </c>
      <c r="CJ372" t="s">
        <v>8592</v>
      </c>
      <c r="CK372" t="s">
        <v>8591</v>
      </c>
      <c r="CL372" t="s">
        <v>375</v>
      </c>
      <c r="CM372" t="s">
        <v>376</v>
      </c>
      <c r="CN372" t="s">
        <v>8592</v>
      </c>
      <c r="CO372" t="s">
        <v>8593</v>
      </c>
      <c r="CP372" t="s">
        <v>8591</v>
      </c>
      <c r="CQ372" t="s">
        <v>8591</v>
      </c>
    </row>
    <row r="373" spans="1:95">
      <c r="A373" t="s">
        <v>337</v>
      </c>
      <c r="B373">
        <v>4022536</v>
      </c>
      <c r="C373" t="s">
        <v>8594</v>
      </c>
      <c r="E373" s="4" t="s">
        <v>17377</v>
      </c>
      <c r="F373" t="s">
        <v>95</v>
      </c>
      <c r="G373" t="s">
        <v>4370</v>
      </c>
      <c r="H373" t="s">
        <v>97</v>
      </c>
      <c r="I373" t="s">
        <v>98</v>
      </c>
      <c r="J373" t="s">
        <v>8595</v>
      </c>
      <c r="K373" t="s">
        <v>100</v>
      </c>
      <c r="L373">
        <v>54827</v>
      </c>
      <c r="M373">
        <v>54827</v>
      </c>
      <c r="N373">
        <v>54827</v>
      </c>
      <c r="O373">
        <v>61</v>
      </c>
      <c r="P373" t="s">
        <v>8596</v>
      </c>
      <c r="Q373">
        <v>0</v>
      </c>
      <c r="R373">
        <v>0</v>
      </c>
      <c r="T373">
        <v>0</v>
      </c>
      <c r="U373">
        <v>0</v>
      </c>
      <c r="W373" t="s">
        <v>102</v>
      </c>
      <c r="X373" t="s">
        <v>103</v>
      </c>
      <c r="Y373" t="s">
        <v>104</v>
      </c>
      <c r="AA373" t="s">
        <v>4370</v>
      </c>
      <c r="AB373" t="s">
        <v>8597</v>
      </c>
      <c r="AC373" t="s">
        <v>469</v>
      </c>
      <c r="AD373" t="s">
        <v>8597</v>
      </c>
      <c r="AE373" t="s">
        <v>109</v>
      </c>
      <c r="AF373" t="s">
        <v>102</v>
      </c>
      <c r="AG373" t="s">
        <v>109</v>
      </c>
      <c r="AH373" t="s">
        <v>102</v>
      </c>
      <c r="AI373" t="s">
        <v>102</v>
      </c>
      <c r="AJ373" t="s">
        <v>441</v>
      </c>
      <c r="AK373" t="s">
        <v>4946</v>
      </c>
      <c r="AL373" t="s">
        <v>8598</v>
      </c>
      <c r="AM373" t="s">
        <v>8599</v>
      </c>
      <c r="AN373" t="s">
        <v>8600</v>
      </c>
      <c r="AO373" t="s">
        <v>8601</v>
      </c>
      <c r="AP373" t="s">
        <v>8601</v>
      </c>
      <c r="AU373" t="s">
        <v>318</v>
      </c>
      <c r="AV373" t="s">
        <v>250</v>
      </c>
      <c r="AW373" t="s">
        <v>102</v>
      </c>
      <c r="AX373" t="s">
        <v>119</v>
      </c>
      <c r="BB373" t="s">
        <v>120</v>
      </c>
      <c r="BC373" t="s">
        <v>409</v>
      </c>
      <c r="BD373" t="s">
        <v>410</v>
      </c>
      <c r="BE373" t="s">
        <v>212</v>
      </c>
      <c r="BF373" t="s">
        <v>410</v>
      </c>
      <c r="BG373" t="s">
        <v>124</v>
      </c>
      <c r="BH373" t="s">
        <v>232</v>
      </c>
      <c r="BI373" t="s">
        <v>126</v>
      </c>
      <c r="BJ373" t="s">
        <v>127</v>
      </c>
      <c r="BK373" t="s">
        <v>8602</v>
      </c>
      <c r="BL373" t="s">
        <v>8603</v>
      </c>
      <c r="BM373" t="s">
        <v>8604</v>
      </c>
      <c r="BN373" t="s">
        <v>4370</v>
      </c>
      <c r="BO373" t="s">
        <v>6662</v>
      </c>
      <c r="BP373" t="s">
        <v>258</v>
      </c>
      <c r="BQ373" t="s">
        <v>6663</v>
      </c>
      <c r="BR373" t="s">
        <v>6664</v>
      </c>
      <c r="BS373" t="s">
        <v>1702</v>
      </c>
      <c r="BT373" t="s">
        <v>418</v>
      </c>
      <c r="BU373" t="s">
        <v>8605</v>
      </c>
      <c r="BV373" t="s">
        <v>8606</v>
      </c>
      <c r="BW373" t="s">
        <v>138</v>
      </c>
      <c r="BX373" t="s">
        <v>8607</v>
      </c>
      <c r="BY373" t="s">
        <v>8608</v>
      </c>
      <c r="BZ373" t="s">
        <v>8609</v>
      </c>
      <c r="CA373" t="s">
        <v>8606</v>
      </c>
      <c r="CB373" t="s">
        <v>8607</v>
      </c>
      <c r="CC373" t="s">
        <v>8608</v>
      </c>
      <c r="CG373" t="s">
        <v>1709</v>
      </c>
      <c r="CH373" t="s">
        <v>8610</v>
      </c>
      <c r="CJ373" t="s">
        <v>8611</v>
      </c>
      <c r="CK373" t="s">
        <v>8610</v>
      </c>
      <c r="CL373" t="s">
        <v>409</v>
      </c>
      <c r="CM373" t="s">
        <v>410</v>
      </c>
      <c r="CN373" t="s">
        <v>8611</v>
      </c>
      <c r="CP373" t="s">
        <v>8610</v>
      </c>
      <c r="CQ373" t="s">
        <v>8610</v>
      </c>
    </row>
    <row r="374" spans="1:95">
      <c r="A374" t="s">
        <v>337</v>
      </c>
      <c r="B374">
        <v>4030028</v>
      </c>
      <c r="C374" t="s">
        <v>8612</v>
      </c>
      <c r="D374" t="str">
        <f>VLOOKUP(B374,'2025'!B:C,2,0)</f>
        <v>Bhavishya</v>
      </c>
      <c r="F374" t="s">
        <v>95</v>
      </c>
      <c r="G374" t="s">
        <v>6994</v>
      </c>
      <c r="H374" t="s">
        <v>152</v>
      </c>
      <c r="I374" t="s">
        <v>98</v>
      </c>
      <c r="J374" t="s">
        <v>8613</v>
      </c>
      <c r="K374" t="s">
        <v>100</v>
      </c>
      <c r="L374">
        <v>563363</v>
      </c>
      <c r="M374">
        <v>563363</v>
      </c>
      <c r="N374">
        <v>0</v>
      </c>
      <c r="O374">
        <v>0</v>
      </c>
      <c r="Q374">
        <v>563363</v>
      </c>
      <c r="R374">
        <v>402</v>
      </c>
      <c r="S374" t="s">
        <v>8614</v>
      </c>
      <c r="T374">
        <v>0</v>
      </c>
      <c r="U374">
        <v>0</v>
      </c>
      <c r="W374" t="s">
        <v>102</v>
      </c>
      <c r="X374" t="s">
        <v>103</v>
      </c>
      <c r="Y374" t="s">
        <v>155</v>
      </c>
      <c r="AA374" t="s">
        <v>238</v>
      </c>
      <c r="AB374" t="s">
        <v>8615</v>
      </c>
      <c r="AC374" t="s">
        <v>197</v>
      </c>
      <c r="AD374" t="s">
        <v>8615</v>
      </c>
      <c r="AE374" t="s">
        <v>240</v>
      </c>
      <c r="AF374" t="s">
        <v>8615</v>
      </c>
      <c r="AG374" t="s">
        <v>160</v>
      </c>
      <c r="AH374" t="s">
        <v>8615</v>
      </c>
      <c r="AI374" t="s">
        <v>102</v>
      </c>
      <c r="AJ374" t="s">
        <v>2142</v>
      </c>
      <c r="AK374" t="s">
        <v>6341</v>
      </c>
      <c r="AL374" t="s">
        <v>8616</v>
      </c>
      <c r="AM374" t="s">
        <v>8617</v>
      </c>
      <c r="AN374" t="s">
        <v>8618</v>
      </c>
      <c r="AO374" t="s">
        <v>8619</v>
      </c>
      <c r="AP374" t="s">
        <v>8619</v>
      </c>
      <c r="AU374" t="s">
        <v>102</v>
      </c>
      <c r="AW374" t="s">
        <v>155</v>
      </c>
      <c r="AX374" t="s">
        <v>447</v>
      </c>
      <c r="AY374" t="s">
        <v>170</v>
      </c>
      <c r="AZ374" t="s">
        <v>118</v>
      </c>
      <c r="BB374" t="s">
        <v>120</v>
      </c>
      <c r="BC374" t="s">
        <v>7614</v>
      </c>
      <c r="BD374" t="s">
        <v>2800</v>
      </c>
      <c r="BE374" t="s">
        <v>122</v>
      </c>
      <c r="BF374" t="s">
        <v>346</v>
      </c>
      <c r="BG374" t="s">
        <v>124</v>
      </c>
      <c r="BH374" t="s">
        <v>3180</v>
      </c>
      <c r="BI374" t="s">
        <v>126</v>
      </c>
      <c r="BJ374" t="s">
        <v>127</v>
      </c>
      <c r="BK374" t="s">
        <v>8620</v>
      </c>
      <c r="BL374" t="s">
        <v>8621</v>
      </c>
      <c r="BM374" t="s">
        <v>8622</v>
      </c>
      <c r="BN374" t="s">
        <v>6994</v>
      </c>
      <c r="BO374" t="s">
        <v>325</v>
      </c>
      <c r="BP374" t="s">
        <v>258</v>
      </c>
      <c r="BQ374" t="s">
        <v>326</v>
      </c>
      <c r="BR374" t="s">
        <v>327</v>
      </c>
      <c r="BS374" t="s">
        <v>8623</v>
      </c>
      <c r="BU374" t="s">
        <v>8624</v>
      </c>
      <c r="BV374" t="s">
        <v>8625</v>
      </c>
      <c r="BW374" t="s">
        <v>354</v>
      </c>
      <c r="BX374" t="s">
        <v>8626</v>
      </c>
      <c r="BY374" t="s">
        <v>8627</v>
      </c>
      <c r="BZ374" t="s">
        <v>8628</v>
      </c>
      <c r="CA374" t="s">
        <v>8629</v>
      </c>
      <c r="CB374" t="s">
        <v>8630</v>
      </c>
      <c r="CC374" t="s">
        <v>8631</v>
      </c>
      <c r="CD374" t="s">
        <v>8632</v>
      </c>
      <c r="CE374" t="s">
        <v>8628</v>
      </c>
      <c r="CF374" t="s">
        <v>8633</v>
      </c>
      <c r="CG374" t="s">
        <v>4372</v>
      </c>
      <c r="CH374" t="s">
        <v>8634</v>
      </c>
      <c r="CJ374" t="s">
        <v>7630</v>
      </c>
      <c r="CK374" t="s">
        <v>8634</v>
      </c>
      <c r="CL374" t="s">
        <v>7614</v>
      </c>
      <c r="CM374" t="s">
        <v>2800</v>
      </c>
      <c r="CN374" t="s">
        <v>7630</v>
      </c>
      <c r="CP374" t="s">
        <v>8634</v>
      </c>
      <c r="CQ374" t="s">
        <v>8634</v>
      </c>
    </row>
    <row r="375" spans="1:95">
      <c r="A375" t="s">
        <v>93</v>
      </c>
      <c r="B375">
        <v>4064726</v>
      </c>
      <c r="C375" t="s">
        <v>8658</v>
      </c>
      <c r="D375" t="str">
        <f>VLOOKUP(B375,'2025'!B:C,2,0)</f>
        <v>Bhavishya</v>
      </c>
      <c r="F375" t="s">
        <v>95</v>
      </c>
      <c r="G375" t="s">
        <v>3789</v>
      </c>
      <c r="H375" t="s">
        <v>152</v>
      </c>
      <c r="I375" t="s">
        <v>98</v>
      </c>
      <c r="J375" t="s">
        <v>8659</v>
      </c>
      <c r="K375" t="s">
        <v>100</v>
      </c>
      <c r="L375">
        <v>951600</v>
      </c>
      <c r="M375">
        <v>951600</v>
      </c>
      <c r="N375">
        <v>0</v>
      </c>
      <c r="O375">
        <v>0</v>
      </c>
      <c r="Q375">
        <v>951600</v>
      </c>
      <c r="R375">
        <v>610</v>
      </c>
      <c r="S375" t="s">
        <v>544</v>
      </c>
      <c r="T375">
        <v>0</v>
      </c>
      <c r="U375">
        <v>0</v>
      </c>
      <c r="W375" t="s">
        <v>102</v>
      </c>
      <c r="X375" t="s">
        <v>103</v>
      </c>
      <c r="Y375" t="s">
        <v>155</v>
      </c>
      <c r="AA375" t="s">
        <v>646</v>
      </c>
      <c r="AB375" t="s">
        <v>8660</v>
      </c>
      <c r="AC375" t="s">
        <v>1818</v>
      </c>
      <c r="AD375" t="s">
        <v>8661</v>
      </c>
      <c r="AE375" t="s">
        <v>5221</v>
      </c>
      <c r="AF375" t="s">
        <v>8661</v>
      </c>
      <c r="AG375" t="s">
        <v>8471</v>
      </c>
      <c r="AH375" t="s">
        <v>8661</v>
      </c>
      <c r="AI375" t="s">
        <v>8662</v>
      </c>
      <c r="AJ375" t="s">
        <v>3134</v>
      </c>
      <c r="AK375" t="s">
        <v>8663</v>
      </c>
      <c r="AL375" t="s">
        <v>8664</v>
      </c>
      <c r="AM375" t="s">
        <v>8665</v>
      </c>
      <c r="AN375" t="s">
        <v>8666</v>
      </c>
      <c r="AO375" t="s">
        <v>554</v>
      </c>
      <c r="AP375" t="s">
        <v>554</v>
      </c>
      <c r="AU375" t="s">
        <v>102</v>
      </c>
      <c r="AW375" t="s">
        <v>155</v>
      </c>
      <c r="AX375" t="s">
        <v>447</v>
      </c>
      <c r="AY375" t="s">
        <v>170</v>
      </c>
      <c r="AZ375" t="s">
        <v>118</v>
      </c>
      <c r="BB375" t="s">
        <v>120</v>
      </c>
      <c r="BC375" t="s">
        <v>8667</v>
      </c>
      <c r="BD375" t="s">
        <v>345</v>
      </c>
      <c r="BE375" t="s">
        <v>122</v>
      </c>
      <c r="BF375" t="s">
        <v>346</v>
      </c>
      <c r="BG375" t="s">
        <v>124</v>
      </c>
      <c r="BH375" t="s">
        <v>232</v>
      </c>
      <c r="BI375" t="s">
        <v>126</v>
      </c>
      <c r="BJ375" t="s">
        <v>127</v>
      </c>
      <c r="BK375" t="s">
        <v>8668</v>
      </c>
      <c r="BL375" t="s">
        <v>8669</v>
      </c>
      <c r="BM375" t="s">
        <v>8670</v>
      </c>
      <c r="BN375" t="s">
        <v>3789</v>
      </c>
      <c r="BO375" t="s">
        <v>593</v>
      </c>
      <c r="BP375" t="s">
        <v>258</v>
      </c>
      <c r="BQ375" t="s">
        <v>594</v>
      </c>
      <c r="BR375" t="s">
        <v>595</v>
      </c>
      <c r="BS375" t="s">
        <v>328</v>
      </c>
      <c r="BU375" t="s">
        <v>8671</v>
      </c>
      <c r="BV375" t="s">
        <v>8672</v>
      </c>
      <c r="BW375" t="s">
        <v>138</v>
      </c>
      <c r="BX375" t="s">
        <v>8673</v>
      </c>
      <c r="BY375" t="s">
        <v>8674</v>
      </c>
      <c r="BZ375" t="s">
        <v>8673</v>
      </c>
      <c r="CA375" t="s">
        <v>8672</v>
      </c>
      <c r="CB375" t="s">
        <v>8673</v>
      </c>
      <c r="CC375" t="s">
        <v>8674</v>
      </c>
      <c r="CG375" t="s">
        <v>102</v>
      </c>
      <c r="CH375" t="s">
        <v>8675</v>
      </c>
      <c r="CJ375" t="s">
        <v>8676</v>
      </c>
      <c r="CK375" t="s">
        <v>8675</v>
      </c>
      <c r="CL375" t="s">
        <v>8667</v>
      </c>
      <c r="CM375" t="s">
        <v>345</v>
      </c>
      <c r="CN375" t="s">
        <v>8676</v>
      </c>
      <c r="CP375" t="s">
        <v>8675</v>
      </c>
      <c r="CQ375" t="s">
        <v>8675</v>
      </c>
    </row>
    <row r="376" spans="1:95">
      <c r="A376" t="s">
        <v>149</v>
      </c>
      <c r="B376">
        <v>4105283</v>
      </c>
      <c r="C376" t="s">
        <v>8677</v>
      </c>
      <c r="D376" t="str">
        <f>VLOOKUP(B376,'2025'!B:C,2,0)</f>
        <v>Shruti</v>
      </c>
      <c r="F376" t="s">
        <v>95</v>
      </c>
      <c r="G376" t="s">
        <v>1630</v>
      </c>
      <c r="H376" t="s">
        <v>675</v>
      </c>
      <c r="I376" t="s">
        <v>98</v>
      </c>
      <c r="J376" t="s">
        <v>8678</v>
      </c>
      <c r="K376" t="s">
        <v>100</v>
      </c>
      <c r="L376">
        <v>2327962</v>
      </c>
      <c r="M376">
        <v>2327962</v>
      </c>
      <c r="N376">
        <v>681462</v>
      </c>
      <c r="O376">
        <v>1048</v>
      </c>
      <c r="P376" t="s">
        <v>1122</v>
      </c>
      <c r="Q376">
        <v>1646500</v>
      </c>
      <c r="R376">
        <v>890</v>
      </c>
      <c r="S376" t="s">
        <v>1123</v>
      </c>
      <c r="T376">
        <v>0</v>
      </c>
      <c r="U376">
        <v>0</v>
      </c>
      <c r="W376" t="s">
        <v>102</v>
      </c>
      <c r="X376" t="s">
        <v>103</v>
      </c>
      <c r="Y376" t="s">
        <v>801</v>
      </c>
      <c r="AA376" t="s">
        <v>1630</v>
      </c>
      <c r="AB376" t="s">
        <v>8679</v>
      </c>
      <c r="AC376" t="s">
        <v>8680</v>
      </c>
      <c r="AD376" t="s">
        <v>8681</v>
      </c>
      <c r="AE376" t="s">
        <v>1094</v>
      </c>
      <c r="AF376" t="s">
        <v>8682</v>
      </c>
      <c r="AG376" t="s">
        <v>1095</v>
      </c>
      <c r="AH376" t="s">
        <v>8682</v>
      </c>
      <c r="AI376" t="s">
        <v>8683</v>
      </c>
      <c r="AJ376" t="s">
        <v>8684</v>
      </c>
      <c r="AK376" t="s">
        <v>8685</v>
      </c>
      <c r="AL376" t="s">
        <v>8686</v>
      </c>
      <c r="AM376" t="s">
        <v>8687</v>
      </c>
      <c r="AN376" t="s">
        <v>8688</v>
      </c>
      <c r="AO376" t="s">
        <v>8689</v>
      </c>
      <c r="AP376" t="s">
        <v>8689</v>
      </c>
      <c r="AU376" t="s">
        <v>207</v>
      </c>
      <c r="AV376" t="s">
        <v>118</v>
      </c>
      <c r="AW376" t="s">
        <v>248</v>
      </c>
      <c r="AX376" t="s">
        <v>119</v>
      </c>
      <c r="AY376" t="s">
        <v>1138</v>
      </c>
      <c r="AZ376" t="s">
        <v>118</v>
      </c>
      <c r="BB376" t="s">
        <v>120</v>
      </c>
      <c r="BC376" t="s">
        <v>555</v>
      </c>
      <c r="BD376" t="s">
        <v>556</v>
      </c>
      <c r="BE376" t="s">
        <v>122</v>
      </c>
      <c r="BF376" t="s">
        <v>557</v>
      </c>
      <c r="BG376" t="s">
        <v>124</v>
      </c>
      <c r="BH376" t="s">
        <v>232</v>
      </c>
      <c r="BI376" t="s">
        <v>126</v>
      </c>
      <c r="BJ376" t="s">
        <v>127</v>
      </c>
      <c r="BK376" t="s">
        <v>8690</v>
      </c>
      <c r="BL376" t="s">
        <v>8691</v>
      </c>
      <c r="BM376" t="s">
        <v>8692</v>
      </c>
      <c r="BN376" t="s">
        <v>1630</v>
      </c>
      <c r="BO376" t="s">
        <v>1142</v>
      </c>
      <c r="BP376" t="s">
        <v>350</v>
      </c>
      <c r="BQ376" t="s">
        <v>1143</v>
      </c>
      <c r="BR376" t="s">
        <v>1144</v>
      </c>
      <c r="BS376" t="s">
        <v>566</v>
      </c>
      <c r="BU376" t="s">
        <v>8693</v>
      </c>
      <c r="BV376" t="s">
        <v>1146</v>
      </c>
      <c r="BW376" t="s">
        <v>138</v>
      </c>
      <c r="BX376" t="s">
        <v>1147</v>
      </c>
      <c r="BY376" t="s">
        <v>1148</v>
      </c>
      <c r="BZ376" t="s">
        <v>8694</v>
      </c>
      <c r="CA376" t="s">
        <v>1146</v>
      </c>
      <c r="CB376" t="s">
        <v>1147</v>
      </c>
      <c r="CC376" t="s">
        <v>1148</v>
      </c>
      <c r="CD376" t="s">
        <v>8695</v>
      </c>
      <c r="CE376" t="s">
        <v>8696</v>
      </c>
      <c r="CF376" t="s">
        <v>8697</v>
      </c>
      <c r="CG376" t="s">
        <v>102</v>
      </c>
      <c r="CH376" t="s">
        <v>8698</v>
      </c>
      <c r="CJ376" t="s">
        <v>8699</v>
      </c>
      <c r="CK376" t="s">
        <v>8698</v>
      </c>
      <c r="CL376" t="s">
        <v>555</v>
      </c>
      <c r="CM376" t="s">
        <v>556</v>
      </c>
      <c r="CN376" t="s">
        <v>8699</v>
      </c>
      <c r="CO376" t="s">
        <v>1155</v>
      </c>
      <c r="CP376" t="s">
        <v>8698</v>
      </c>
      <c r="CQ376" t="s">
        <v>8698</v>
      </c>
    </row>
    <row r="377" spans="1:95">
      <c r="A377" t="s">
        <v>149</v>
      </c>
      <c r="B377">
        <v>411876</v>
      </c>
      <c r="C377" t="s">
        <v>8700</v>
      </c>
      <c r="D377" t="str">
        <f>VLOOKUP(B377,'2025'!B:C,2,0)</f>
        <v>Aruna</v>
      </c>
      <c r="F377" t="s">
        <v>95</v>
      </c>
      <c r="G377" t="s">
        <v>1493</v>
      </c>
      <c r="H377" t="s">
        <v>848</v>
      </c>
      <c r="I377" t="s">
        <v>98</v>
      </c>
      <c r="J377" t="s">
        <v>8701</v>
      </c>
      <c r="K377" t="s">
        <v>100</v>
      </c>
      <c r="L377">
        <v>1687342</v>
      </c>
      <c r="M377">
        <v>1991064</v>
      </c>
      <c r="N377">
        <v>0</v>
      </c>
      <c r="O377">
        <v>0</v>
      </c>
      <c r="Q377">
        <v>0</v>
      </c>
      <c r="R377">
        <v>0</v>
      </c>
      <c r="T377">
        <v>1687342</v>
      </c>
      <c r="U377">
        <v>905</v>
      </c>
      <c r="V377" t="s">
        <v>800</v>
      </c>
      <c r="W377" t="s">
        <v>102</v>
      </c>
      <c r="X377" t="s">
        <v>103</v>
      </c>
      <c r="Y377" t="s">
        <v>104</v>
      </c>
      <c r="AA377" t="s">
        <v>2173</v>
      </c>
      <c r="AB377" t="s">
        <v>8702</v>
      </c>
      <c r="AC377" t="s">
        <v>439</v>
      </c>
      <c r="AD377" t="s">
        <v>8702</v>
      </c>
      <c r="AE377" t="s">
        <v>109</v>
      </c>
      <c r="AF377" t="s">
        <v>102</v>
      </c>
      <c r="AG377" t="s">
        <v>109</v>
      </c>
      <c r="AH377" t="s">
        <v>102</v>
      </c>
      <c r="AI377" t="s">
        <v>8703</v>
      </c>
      <c r="AJ377" t="s">
        <v>467</v>
      </c>
      <c r="AK377" t="s">
        <v>3621</v>
      </c>
      <c r="AL377" t="s">
        <v>8704</v>
      </c>
      <c r="AM377" t="s">
        <v>8705</v>
      </c>
      <c r="AN377" t="s">
        <v>8706</v>
      </c>
      <c r="AO377" t="s">
        <v>8707</v>
      </c>
      <c r="AP377" t="s">
        <v>8707</v>
      </c>
      <c r="AU377" t="s">
        <v>102</v>
      </c>
      <c r="AW377" t="s">
        <v>102</v>
      </c>
      <c r="AX377" t="s">
        <v>119</v>
      </c>
      <c r="BA377" t="s">
        <v>250</v>
      </c>
      <c r="BB377" t="s">
        <v>2565</v>
      </c>
      <c r="BC377" t="s">
        <v>920</v>
      </c>
      <c r="BD377" t="s">
        <v>211</v>
      </c>
      <c r="BE377" t="s">
        <v>212</v>
      </c>
      <c r="BF377" t="s">
        <v>213</v>
      </c>
      <c r="BG377" t="s">
        <v>124</v>
      </c>
      <c r="BH377" t="s">
        <v>2173</v>
      </c>
      <c r="BI377" t="s">
        <v>8708</v>
      </c>
      <c r="BJ377" t="s">
        <v>127</v>
      </c>
      <c r="BK377" t="s">
        <v>8709</v>
      </c>
      <c r="BL377" t="s">
        <v>8710</v>
      </c>
      <c r="BM377" t="s">
        <v>8711</v>
      </c>
      <c r="BN377" t="s">
        <v>1493</v>
      </c>
      <c r="BO377" t="s">
        <v>415</v>
      </c>
      <c r="BP377" t="s">
        <v>180</v>
      </c>
      <c r="BQ377" t="s">
        <v>416</v>
      </c>
      <c r="BR377" t="s">
        <v>417</v>
      </c>
      <c r="BS377" t="s">
        <v>2151</v>
      </c>
      <c r="BU377" t="s">
        <v>8712</v>
      </c>
      <c r="BV377" t="s">
        <v>8713</v>
      </c>
      <c r="BW377" t="s">
        <v>598</v>
      </c>
      <c r="BX377" t="s">
        <v>8714</v>
      </c>
      <c r="BY377" t="s">
        <v>8715</v>
      </c>
      <c r="BZ377" t="s">
        <v>8716</v>
      </c>
      <c r="CG377" t="s">
        <v>102</v>
      </c>
      <c r="CH377" t="s">
        <v>8717</v>
      </c>
      <c r="CJ377" t="s">
        <v>5392</v>
      </c>
      <c r="CK377" t="s">
        <v>8717</v>
      </c>
      <c r="CL377" t="s">
        <v>920</v>
      </c>
      <c r="CM377" t="s">
        <v>211</v>
      </c>
      <c r="CN377" t="s">
        <v>5392</v>
      </c>
      <c r="CO377" t="s">
        <v>8718</v>
      </c>
      <c r="CP377" t="s">
        <v>8717</v>
      </c>
      <c r="CQ377" t="s">
        <v>8717</v>
      </c>
    </row>
    <row r="378" spans="1:95">
      <c r="A378" t="s">
        <v>495</v>
      </c>
      <c r="B378">
        <v>41269</v>
      </c>
      <c r="C378" t="s">
        <v>8719</v>
      </c>
      <c r="D378" t="str">
        <f>VLOOKUP(B378,'2025'!B:C,2,0)</f>
        <v>Ishita Jethwa</v>
      </c>
      <c r="F378" t="s">
        <v>95</v>
      </c>
      <c r="G378" t="s">
        <v>96</v>
      </c>
      <c r="H378" t="s">
        <v>152</v>
      </c>
      <c r="I378" t="s">
        <v>98</v>
      </c>
      <c r="J378" t="s">
        <v>8720</v>
      </c>
      <c r="K378" t="s">
        <v>100</v>
      </c>
      <c r="L378">
        <v>845988</v>
      </c>
      <c r="M378">
        <v>845988</v>
      </c>
      <c r="N378">
        <v>0</v>
      </c>
      <c r="O378">
        <v>0</v>
      </c>
      <c r="Q378">
        <v>845988</v>
      </c>
      <c r="R378">
        <v>1128</v>
      </c>
      <c r="S378" t="s">
        <v>101</v>
      </c>
      <c r="T378">
        <v>0</v>
      </c>
      <c r="U378">
        <v>0</v>
      </c>
      <c r="W378" t="s">
        <v>102</v>
      </c>
      <c r="X378" t="s">
        <v>103</v>
      </c>
      <c r="Y378" t="s">
        <v>104</v>
      </c>
      <c r="AA378" t="s">
        <v>125</v>
      </c>
      <c r="AB378" t="s">
        <v>8721</v>
      </c>
      <c r="AC378" t="s">
        <v>721</v>
      </c>
      <c r="AD378" t="s">
        <v>8721</v>
      </c>
      <c r="AE378" t="s">
        <v>109</v>
      </c>
      <c r="AF378" t="s">
        <v>102</v>
      </c>
      <c r="AG378" t="s">
        <v>109</v>
      </c>
      <c r="AH378" t="s">
        <v>102</v>
      </c>
      <c r="AI378" t="s">
        <v>8722</v>
      </c>
      <c r="AJ378" t="s">
        <v>3227</v>
      </c>
      <c r="AK378" t="s">
        <v>7853</v>
      </c>
      <c r="AL378" t="s">
        <v>8723</v>
      </c>
      <c r="AM378" t="s">
        <v>8724</v>
      </c>
      <c r="AN378" t="s">
        <v>8725</v>
      </c>
      <c r="AO378" t="s">
        <v>8726</v>
      </c>
      <c r="AP378" t="s">
        <v>8727</v>
      </c>
      <c r="AR378" t="s">
        <v>169</v>
      </c>
      <c r="AU378" t="s">
        <v>102</v>
      </c>
      <c r="AW378" t="s">
        <v>155</v>
      </c>
      <c r="AX378" t="s">
        <v>119</v>
      </c>
      <c r="AY378" t="s">
        <v>170</v>
      </c>
      <c r="AZ378" t="s">
        <v>118</v>
      </c>
      <c r="BB378" t="s">
        <v>120</v>
      </c>
      <c r="BC378" t="s">
        <v>729</v>
      </c>
      <c r="BD378" t="s">
        <v>730</v>
      </c>
      <c r="BE378" t="s">
        <v>622</v>
      </c>
      <c r="BF378" t="s">
        <v>730</v>
      </c>
      <c r="BG378" t="s">
        <v>124</v>
      </c>
      <c r="BH378" t="s">
        <v>232</v>
      </c>
      <c r="BI378" t="s">
        <v>126</v>
      </c>
      <c r="BJ378" t="s">
        <v>127</v>
      </c>
      <c r="BK378" t="s">
        <v>8728</v>
      </c>
      <c r="BL378" t="s">
        <v>8729</v>
      </c>
      <c r="BM378" t="s">
        <v>8730</v>
      </c>
      <c r="BN378" t="s">
        <v>96</v>
      </c>
      <c r="BO378" t="s">
        <v>734</v>
      </c>
      <c r="BP378" t="s">
        <v>350</v>
      </c>
      <c r="BQ378" t="s">
        <v>735</v>
      </c>
      <c r="BR378" t="s">
        <v>736</v>
      </c>
      <c r="BS378" t="s">
        <v>737</v>
      </c>
      <c r="BU378" t="s">
        <v>8731</v>
      </c>
      <c r="BV378" t="s">
        <v>8732</v>
      </c>
      <c r="BW378" t="s">
        <v>138</v>
      </c>
      <c r="BX378" t="s">
        <v>8733</v>
      </c>
      <c r="BY378" t="s">
        <v>8734</v>
      </c>
      <c r="BZ378" t="s">
        <v>8735</v>
      </c>
      <c r="CA378" t="s">
        <v>8732</v>
      </c>
      <c r="CB378" t="s">
        <v>8733</v>
      </c>
      <c r="CC378" t="s">
        <v>8734</v>
      </c>
      <c r="CD378" t="s">
        <v>8736</v>
      </c>
      <c r="CE378" t="s">
        <v>8737</v>
      </c>
      <c r="CF378" t="s">
        <v>8738</v>
      </c>
      <c r="CG378" t="s">
        <v>3841</v>
      </c>
      <c r="CH378" t="s">
        <v>8739</v>
      </c>
      <c r="CJ378" t="s">
        <v>8740</v>
      </c>
      <c r="CK378" t="s">
        <v>8739</v>
      </c>
      <c r="CL378" t="s">
        <v>729</v>
      </c>
      <c r="CM378" t="s">
        <v>2273</v>
      </c>
      <c r="CN378" t="s">
        <v>8740</v>
      </c>
      <c r="CO378" t="s">
        <v>8741</v>
      </c>
      <c r="CP378" t="s">
        <v>8739</v>
      </c>
      <c r="CQ378" t="s">
        <v>8739</v>
      </c>
    </row>
    <row r="379" spans="1:95">
      <c r="A379" t="s">
        <v>337</v>
      </c>
      <c r="B379">
        <v>4131552</v>
      </c>
      <c r="C379" t="s">
        <v>8742</v>
      </c>
      <c r="E379" s="4" t="s">
        <v>17377</v>
      </c>
      <c r="F379" t="s">
        <v>95</v>
      </c>
      <c r="G379" t="s">
        <v>8743</v>
      </c>
      <c r="H379" t="s">
        <v>848</v>
      </c>
      <c r="I379" t="s">
        <v>98</v>
      </c>
      <c r="J379" t="s">
        <v>8744</v>
      </c>
      <c r="K379" t="s">
        <v>100</v>
      </c>
      <c r="L379">
        <v>1100419</v>
      </c>
      <c r="M379">
        <v>1298494</v>
      </c>
      <c r="N379">
        <v>0</v>
      </c>
      <c r="O379">
        <v>0</v>
      </c>
      <c r="Q379">
        <v>0</v>
      </c>
      <c r="R379">
        <v>0</v>
      </c>
      <c r="T379">
        <v>1100419</v>
      </c>
      <c r="U379">
        <v>630</v>
      </c>
      <c r="V379" t="s">
        <v>8745</v>
      </c>
      <c r="W379" t="s">
        <v>102</v>
      </c>
      <c r="X379" t="s">
        <v>103</v>
      </c>
      <c r="Y379" t="s">
        <v>155</v>
      </c>
      <c r="AA379" t="s">
        <v>232</v>
      </c>
      <c r="AB379" t="s">
        <v>8746</v>
      </c>
      <c r="AC379" t="s">
        <v>892</v>
      </c>
      <c r="AD379" t="s">
        <v>8746</v>
      </c>
      <c r="AE379" t="s">
        <v>437</v>
      </c>
      <c r="AF379" t="s">
        <v>8746</v>
      </c>
      <c r="AG379" t="s">
        <v>160</v>
      </c>
      <c r="AH379" t="s">
        <v>8746</v>
      </c>
      <c r="AI379" t="s">
        <v>102</v>
      </c>
      <c r="AJ379" t="s">
        <v>582</v>
      </c>
      <c r="AK379" t="s">
        <v>8747</v>
      </c>
      <c r="AL379" t="s">
        <v>8748</v>
      </c>
      <c r="AM379" t="s">
        <v>8749</v>
      </c>
      <c r="AN379" t="s">
        <v>8750</v>
      </c>
      <c r="AO379" t="s">
        <v>8751</v>
      </c>
      <c r="AP379" t="s">
        <v>8751</v>
      </c>
      <c r="AU379" t="s">
        <v>102</v>
      </c>
      <c r="AW379" t="s">
        <v>102</v>
      </c>
      <c r="AX379" t="s">
        <v>119</v>
      </c>
      <c r="BA379" t="s">
        <v>250</v>
      </c>
      <c r="BB379" t="s">
        <v>1964</v>
      </c>
      <c r="BC379" t="s">
        <v>8752</v>
      </c>
      <c r="BD379" t="s">
        <v>2800</v>
      </c>
      <c r="BE379" t="s">
        <v>122</v>
      </c>
      <c r="BF379" t="s">
        <v>346</v>
      </c>
      <c r="BG379" t="s">
        <v>124</v>
      </c>
      <c r="BH379" t="s">
        <v>232</v>
      </c>
      <c r="BI379" t="s">
        <v>126</v>
      </c>
      <c r="BJ379" t="s">
        <v>127</v>
      </c>
      <c r="BK379" t="s">
        <v>8753</v>
      </c>
      <c r="BL379" t="s">
        <v>8754</v>
      </c>
      <c r="BM379" t="s">
        <v>8755</v>
      </c>
      <c r="BN379" t="s">
        <v>8743</v>
      </c>
      <c r="BO379" t="s">
        <v>4845</v>
      </c>
      <c r="BP379" t="s">
        <v>258</v>
      </c>
      <c r="BQ379" t="s">
        <v>4846</v>
      </c>
      <c r="BR379" t="s">
        <v>4847</v>
      </c>
      <c r="BS379" t="s">
        <v>8756</v>
      </c>
      <c r="BU379" t="s">
        <v>8757</v>
      </c>
      <c r="BV379" t="s">
        <v>8758</v>
      </c>
      <c r="BW379" t="s">
        <v>354</v>
      </c>
      <c r="BX379" t="s">
        <v>8759</v>
      </c>
      <c r="BY379" t="s">
        <v>8760</v>
      </c>
      <c r="BZ379" t="s">
        <v>8761</v>
      </c>
      <c r="CG379" t="s">
        <v>3968</v>
      </c>
      <c r="CH379" t="s">
        <v>8762</v>
      </c>
      <c r="CJ379" t="s">
        <v>8763</v>
      </c>
      <c r="CK379" t="s">
        <v>8762</v>
      </c>
      <c r="CL379" t="s">
        <v>8752</v>
      </c>
      <c r="CM379" t="s">
        <v>2800</v>
      </c>
      <c r="CN379" t="s">
        <v>8763</v>
      </c>
      <c r="CP379" t="s">
        <v>8762</v>
      </c>
      <c r="CQ379" t="s">
        <v>8762</v>
      </c>
    </row>
    <row r="380" spans="1:95">
      <c r="A380" t="s">
        <v>149</v>
      </c>
      <c r="B380">
        <v>4156856</v>
      </c>
      <c r="C380" t="s">
        <v>8764</v>
      </c>
      <c r="D380" t="str">
        <f>VLOOKUP(B380,'2025'!B:C,2,0)</f>
        <v>Vaishali</v>
      </c>
      <c r="F380" t="s">
        <v>95</v>
      </c>
      <c r="G380" t="s">
        <v>3901</v>
      </c>
      <c r="H380" t="s">
        <v>2163</v>
      </c>
      <c r="I380" t="s">
        <v>98</v>
      </c>
      <c r="J380" t="s">
        <v>8765</v>
      </c>
      <c r="K380" t="s">
        <v>100</v>
      </c>
      <c r="L380">
        <v>182902</v>
      </c>
      <c r="M380">
        <v>191482</v>
      </c>
      <c r="N380">
        <v>25197</v>
      </c>
      <c r="O380">
        <v>56</v>
      </c>
      <c r="P380" t="s">
        <v>5668</v>
      </c>
      <c r="Q380">
        <v>110036</v>
      </c>
      <c r="R380">
        <v>71</v>
      </c>
      <c r="S380" t="s">
        <v>8766</v>
      </c>
      <c r="T380">
        <v>47669</v>
      </c>
      <c r="U380">
        <v>87</v>
      </c>
      <c r="V380" t="s">
        <v>5670</v>
      </c>
      <c r="W380" t="s">
        <v>102</v>
      </c>
      <c r="X380" t="s">
        <v>103</v>
      </c>
      <c r="Y380" t="s">
        <v>155</v>
      </c>
      <c r="AA380" t="s">
        <v>232</v>
      </c>
      <c r="AB380" t="s">
        <v>8767</v>
      </c>
      <c r="AC380" t="s">
        <v>892</v>
      </c>
      <c r="AD380" t="s">
        <v>8767</v>
      </c>
      <c r="AE380" t="s">
        <v>437</v>
      </c>
      <c r="AF380" t="s">
        <v>8767</v>
      </c>
      <c r="AG380" t="s">
        <v>160</v>
      </c>
      <c r="AH380" t="s">
        <v>8767</v>
      </c>
      <c r="AI380" t="s">
        <v>102</v>
      </c>
      <c r="AJ380" t="s">
        <v>3576</v>
      </c>
      <c r="AK380" t="s">
        <v>3576</v>
      </c>
      <c r="AL380" t="s">
        <v>8768</v>
      </c>
      <c r="AM380" t="s">
        <v>8769</v>
      </c>
      <c r="AN380" t="s">
        <v>8770</v>
      </c>
      <c r="AO380" t="s">
        <v>8771</v>
      </c>
      <c r="AP380" t="s">
        <v>8772</v>
      </c>
      <c r="AT380" t="s">
        <v>169</v>
      </c>
      <c r="AU380" t="s">
        <v>247</v>
      </c>
      <c r="AV380" t="s">
        <v>118</v>
      </c>
      <c r="AW380" t="s">
        <v>3536</v>
      </c>
      <c r="AX380" t="s">
        <v>119</v>
      </c>
      <c r="AZ380" t="s">
        <v>250</v>
      </c>
      <c r="BA380" t="s">
        <v>250</v>
      </c>
      <c r="BB380" t="s">
        <v>1664</v>
      </c>
      <c r="BC380" t="s">
        <v>448</v>
      </c>
      <c r="BD380" t="s">
        <v>449</v>
      </c>
      <c r="BE380" t="s">
        <v>122</v>
      </c>
      <c r="BF380" t="s">
        <v>450</v>
      </c>
      <c r="BG380" t="s">
        <v>124</v>
      </c>
      <c r="BH380" t="s">
        <v>232</v>
      </c>
      <c r="BI380" t="s">
        <v>126</v>
      </c>
      <c r="BJ380" t="s">
        <v>127</v>
      </c>
      <c r="BK380" t="s">
        <v>8773</v>
      </c>
      <c r="BL380" t="s">
        <v>8774</v>
      </c>
      <c r="BM380" t="s">
        <v>8775</v>
      </c>
      <c r="BN380" t="s">
        <v>3901</v>
      </c>
      <c r="BO380" t="s">
        <v>1108</v>
      </c>
      <c r="BP380" t="s">
        <v>350</v>
      </c>
      <c r="BQ380" t="s">
        <v>1109</v>
      </c>
      <c r="BR380" t="s">
        <v>1110</v>
      </c>
      <c r="BS380" t="s">
        <v>135</v>
      </c>
      <c r="BU380" t="s">
        <v>8776</v>
      </c>
      <c r="BV380" t="s">
        <v>5680</v>
      </c>
      <c r="BX380" t="s">
        <v>5681</v>
      </c>
      <c r="BY380" t="s">
        <v>5682</v>
      </c>
      <c r="BZ380" t="s">
        <v>8015</v>
      </c>
      <c r="CA380" t="s">
        <v>8777</v>
      </c>
      <c r="CB380" t="s">
        <v>8778</v>
      </c>
      <c r="CC380" t="s">
        <v>5682</v>
      </c>
      <c r="CD380" t="s">
        <v>8779</v>
      </c>
      <c r="CE380" t="s">
        <v>8780</v>
      </c>
      <c r="CF380" t="s">
        <v>8019</v>
      </c>
      <c r="CG380" t="s">
        <v>102</v>
      </c>
      <c r="CH380" t="s">
        <v>8781</v>
      </c>
      <c r="CJ380" t="s">
        <v>8000</v>
      </c>
      <c r="CK380" t="s">
        <v>8781</v>
      </c>
      <c r="CL380" t="s">
        <v>448</v>
      </c>
      <c r="CM380" t="s">
        <v>449</v>
      </c>
      <c r="CN380" t="s">
        <v>8000</v>
      </c>
      <c r="CO380" t="s">
        <v>5687</v>
      </c>
      <c r="CP380" t="s">
        <v>8781</v>
      </c>
      <c r="CQ380" t="s">
        <v>8781</v>
      </c>
    </row>
    <row r="381" spans="1:95">
      <c r="A381" t="s">
        <v>337</v>
      </c>
      <c r="B381">
        <v>4156961</v>
      </c>
      <c r="C381" t="s">
        <v>8782</v>
      </c>
      <c r="D381" t="str">
        <f>VLOOKUP(B381,'2025'!B:C,2,0)</f>
        <v>Anushka</v>
      </c>
      <c r="F381" t="s">
        <v>95</v>
      </c>
      <c r="G381" t="s">
        <v>8783</v>
      </c>
      <c r="H381" t="s">
        <v>97</v>
      </c>
      <c r="I381" t="s">
        <v>98</v>
      </c>
      <c r="J381" t="s">
        <v>8784</v>
      </c>
      <c r="K381" t="s">
        <v>100</v>
      </c>
      <c r="L381">
        <v>0</v>
      </c>
      <c r="M381">
        <v>0</v>
      </c>
      <c r="N381">
        <v>0</v>
      </c>
      <c r="O381">
        <v>41</v>
      </c>
      <c r="P381" t="s">
        <v>102</v>
      </c>
      <c r="Q381">
        <v>0</v>
      </c>
      <c r="R381">
        <v>0</v>
      </c>
      <c r="T381">
        <v>0</v>
      </c>
      <c r="U381">
        <v>0</v>
      </c>
      <c r="W381" t="s">
        <v>102</v>
      </c>
      <c r="X381" t="s">
        <v>275</v>
      </c>
      <c r="Z381" t="s">
        <v>915</v>
      </c>
      <c r="AA381" t="s">
        <v>109</v>
      </c>
      <c r="AB381" t="s">
        <v>102</v>
      </c>
      <c r="AC381" t="s">
        <v>109</v>
      </c>
      <c r="AD381" t="s">
        <v>102</v>
      </c>
      <c r="AE381" t="s">
        <v>109</v>
      </c>
      <c r="AF381" t="s">
        <v>102</v>
      </c>
      <c r="AG381" t="s">
        <v>109</v>
      </c>
      <c r="AH381" t="s">
        <v>102</v>
      </c>
      <c r="AI381" t="s">
        <v>102</v>
      </c>
      <c r="AL381" t="s">
        <v>102</v>
      </c>
      <c r="AM381" t="s">
        <v>102</v>
      </c>
      <c r="AN381" t="s">
        <v>102</v>
      </c>
      <c r="AO381" t="s">
        <v>115</v>
      </c>
      <c r="AP381" t="s">
        <v>115</v>
      </c>
      <c r="AU381" t="s">
        <v>117</v>
      </c>
      <c r="AV381" t="s">
        <v>118</v>
      </c>
      <c r="AW381" t="s">
        <v>102</v>
      </c>
      <c r="AX381" t="s">
        <v>119</v>
      </c>
      <c r="BB381" t="s">
        <v>120</v>
      </c>
      <c r="BC381" t="s">
        <v>814</v>
      </c>
      <c r="BD381" t="s">
        <v>320</v>
      </c>
      <c r="BE381" t="s">
        <v>122</v>
      </c>
      <c r="BF381" t="s">
        <v>123</v>
      </c>
      <c r="BG381" t="s">
        <v>124</v>
      </c>
      <c r="BH381" t="s">
        <v>232</v>
      </c>
      <c r="BI381" t="s">
        <v>126</v>
      </c>
      <c r="BJ381" t="s">
        <v>127</v>
      </c>
      <c r="BK381" t="s">
        <v>8785</v>
      </c>
      <c r="BL381" t="s">
        <v>8786</v>
      </c>
      <c r="BM381" t="s">
        <v>8787</v>
      </c>
      <c r="BN381" t="s">
        <v>8783</v>
      </c>
      <c r="BO381" t="s">
        <v>8788</v>
      </c>
      <c r="BP381" t="s">
        <v>180</v>
      </c>
      <c r="BQ381" t="s">
        <v>8789</v>
      </c>
      <c r="BR381" t="s">
        <v>8790</v>
      </c>
      <c r="BS381" t="s">
        <v>1006</v>
      </c>
      <c r="BU381" t="s">
        <v>8791</v>
      </c>
      <c r="BV381" t="s">
        <v>3585</v>
      </c>
      <c r="BW381" t="s">
        <v>598</v>
      </c>
      <c r="BX381" t="s">
        <v>225</v>
      </c>
      <c r="BY381" t="s">
        <v>226</v>
      </c>
      <c r="BZ381" t="s">
        <v>8792</v>
      </c>
      <c r="CA381" t="s">
        <v>3585</v>
      </c>
      <c r="CB381" t="s">
        <v>225</v>
      </c>
      <c r="CC381" t="s">
        <v>226</v>
      </c>
      <c r="CD381" t="s">
        <v>3585</v>
      </c>
      <c r="CE381" t="s">
        <v>225</v>
      </c>
      <c r="CF381" t="s">
        <v>226</v>
      </c>
      <c r="CG381" t="s">
        <v>8793</v>
      </c>
      <c r="CH381" t="s">
        <v>8794</v>
      </c>
      <c r="CJ381" t="s">
        <v>8795</v>
      </c>
      <c r="CK381" t="s">
        <v>8794</v>
      </c>
      <c r="CL381" t="s">
        <v>814</v>
      </c>
      <c r="CM381" t="s">
        <v>320</v>
      </c>
      <c r="CN381" t="s">
        <v>8795</v>
      </c>
      <c r="CP381" t="s">
        <v>8794</v>
      </c>
      <c r="CQ381" t="s">
        <v>8794</v>
      </c>
    </row>
    <row r="382" spans="1:95">
      <c r="A382" t="s">
        <v>337</v>
      </c>
      <c r="B382">
        <v>4157259</v>
      </c>
      <c r="C382" t="s">
        <v>8796</v>
      </c>
      <c r="E382" s="4" t="s">
        <v>17377</v>
      </c>
      <c r="F382" t="s">
        <v>95</v>
      </c>
      <c r="G382" t="s">
        <v>5752</v>
      </c>
      <c r="H382" t="s">
        <v>152</v>
      </c>
      <c r="I382" t="s">
        <v>98</v>
      </c>
      <c r="J382" t="s">
        <v>8797</v>
      </c>
      <c r="K382" t="s">
        <v>100</v>
      </c>
      <c r="L382">
        <v>388752</v>
      </c>
      <c r="M382">
        <v>388752</v>
      </c>
      <c r="N382">
        <v>0</v>
      </c>
      <c r="O382">
        <v>0</v>
      </c>
      <c r="Q382">
        <v>388752</v>
      </c>
      <c r="R382">
        <v>240</v>
      </c>
      <c r="S382" t="s">
        <v>6691</v>
      </c>
      <c r="T382">
        <v>0</v>
      </c>
      <c r="U382">
        <v>0</v>
      </c>
      <c r="W382" t="s">
        <v>102</v>
      </c>
      <c r="X382" t="s">
        <v>275</v>
      </c>
      <c r="Z382" t="s">
        <v>3155</v>
      </c>
      <c r="AA382" t="s">
        <v>109</v>
      </c>
      <c r="AB382" t="s">
        <v>102</v>
      </c>
      <c r="AC382" t="s">
        <v>109</v>
      </c>
      <c r="AD382" t="s">
        <v>102</v>
      </c>
      <c r="AE382" t="s">
        <v>109</v>
      </c>
      <c r="AF382" t="s">
        <v>102</v>
      </c>
      <c r="AG382" t="s">
        <v>109</v>
      </c>
      <c r="AH382" t="s">
        <v>102</v>
      </c>
      <c r="AI382" t="s">
        <v>102</v>
      </c>
      <c r="AJ382" t="s">
        <v>878</v>
      </c>
      <c r="AK382" t="s">
        <v>1201</v>
      </c>
      <c r="AL382" t="s">
        <v>8798</v>
      </c>
      <c r="AM382" t="s">
        <v>8799</v>
      </c>
      <c r="AN382" t="s">
        <v>8800</v>
      </c>
      <c r="AO382" t="s">
        <v>8801</v>
      </c>
      <c r="AP382" t="s">
        <v>8801</v>
      </c>
      <c r="AU382" t="s">
        <v>102</v>
      </c>
      <c r="AW382" t="s">
        <v>155</v>
      </c>
      <c r="AX382" t="s">
        <v>447</v>
      </c>
      <c r="AY382" t="s">
        <v>1138</v>
      </c>
      <c r="AZ382" t="s">
        <v>118</v>
      </c>
      <c r="BB382" t="s">
        <v>209</v>
      </c>
      <c r="BC382" t="s">
        <v>8802</v>
      </c>
      <c r="BD382" t="s">
        <v>6595</v>
      </c>
      <c r="BE382" t="s">
        <v>174</v>
      </c>
      <c r="BF382" t="s">
        <v>4405</v>
      </c>
      <c r="BG382" t="s">
        <v>124</v>
      </c>
      <c r="BH382" t="s">
        <v>5021</v>
      </c>
      <c r="BI382" t="s">
        <v>1473</v>
      </c>
      <c r="BJ382" t="s">
        <v>127</v>
      </c>
      <c r="BK382" t="s">
        <v>8803</v>
      </c>
      <c r="BL382" t="s">
        <v>8804</v>
      </c>
      <c r="BM382" t="s">
        <v>8805</v>
      </c>
      <c r="BN382" t="s">
        <v>5752</v>
      </c>
      <c r="BO382" t="s">
        <v>5531</v>
      </c>
      <c r="BP382" t="s">
        <v>258</v>
      </c>
      <c r="BQ382" t="s">
        <v>5532</v>
      </c>
      <c r="BR382" t="s">
        <v>5533</v>
      </c>
      <c r="BS382" t="s">
        <v>4413</v>
      </c>
      <c r="BT382" t="s">
        <v>1111</v>
      </c>
      <c r="BU382" t="s">
        <v>8806</v>
      </c>
      <c r="BV382" t="s">
        <v>8807</v>
      </c>
      <c r="BX382" t="s">
        <v>8808</v>
      </c>
      <c r="BY382" t="s">
        <v>8809</v>
      </c>
      <c r="BZ382" t="s">
        <v>8810</v>
      </c>
      <c r="CA382" t="s">
        <v>8811</v>
      </c>
      <c r="CB382" t="s">
        <v>8808</v>
      </c>
      <c r="CC382" t="s">
        <v>8809</v>
      </c>
      <c r="CD382" t="s">
        <v>8812</v>
      </c>
      <c r="CE382" t="s">
        <v>8808</v>
      </c>
      <c r="CF382" t="s">
        <v>8813</v>
      </c>
      <c r="CG382" t="s">
        <v>6604</v>
      </c>
      <c r="CH382" t="s">
        <v>8814</v>
      </c>
      <c r="CJ382" t="s">
        <v>8815</v>
      </c>
      <c r="CK382" t="s">
        <v>8814</v>
      </c>
      <c r="CL382" t="s">
        <v>8802</v>
      </c>
      <c r="CM382" t="s">
        <v>6595</v>
      </c>
      <c r="CN382" t="s">
        <v>8815</v>
      </c>
      <c r="CP382" t="s">
        <v>8814</v>
      </c>
      <c r="CQ382" t="s">
        <v>8814</v>
      </c>
    </row>
    <row r="383" spans="1:95">
      <c r="A383" t="s">
        <v>495</v>
      </c>
      <c r="B383">
        <v>416343</v>
      </c>
      <c r="C383" t="s">
        <v>8816</v>
      </c>
      <c r="D383" t="str">
        <f>VLOOKUP(B383,'2025'!B:C,2,0)</f>
        <v>Saloni Shah</v>
      </c>
      <c r="F383" t="s">
        <v>95</v>
      </c>
      <c r="G383" t="s">
        <v>6614</v>
      </c>
      <c r="H383" t="s">
        <v>97</v>
      </c>
      <c r="I383" t="s">
        <v>98</v>
      </c>
      <c r="J383" t="s">
        <v>8817</v>
      </c>
      <c r="K383" t="s">
        <v>100</v>
      </c>
      <c r="L383">
        <v>294000</v>
      </c>
      <c r="M383">
        <v>294000</v>
      </c>
      <c r="N383">
        <v>294000</v>
      </c>
      <c r="O383">
        <v>392</v>
      </c>
      <c r="P383" t="s">
        <v>101</v>
      </c>
      <c r="Q383">
        <v>0</v>
      </c>
      <c r="R383">
        <v>0</v>
      </c>
      <c r="T383">
        <v>0</v>
      </c>
      <c r="U383">
        <v>0</v>
      </c>
      <c r="W383" t="s">
        <v>102</v>
      </c>
      <c r="X383" t="s">
        <v>103</v>
      </c>
      <c r="Y383" t="s">
        <v>104</v>
      </c>
      <c r="AA383" t="s">
        <v>6614</v>
      </c>
      <c r="AB383" t="s">
        <v>8818</v>
      </c>
      <c r="AC383" t="s">
        <v>1473</v>
      </c>
      <c r="AD383" t="s">
        <v>8819</v>
      </c>
      <c r="AE383" t="s">
        <v>109</v>
      </c>
      <c r="AF383" t="s">
        <v>102</v>
      </c>
      <c r="AG383" t="s">
        <v>109</v>
      </c>
      <c r="AH383" t="s">
        <v>102</v>
      </c>
      <c r="AI383" t="s">
        <v>8820</v>
      </c>
      <c r="AJ383" t="s">
        <v>497</v>
      </c>
      <c r="AK383" t="s">
        <v>857</v>
      </c>
      <c r="AL383" t="s">
        <v>8821</v>
      </c>
      <c r="AM383" t="s">
        <v>8822</v>
      </c>
      <c r="AN383" t="s">
        <v>8823</v>
      </c>
      <c r="AO383" t="s">
        <v>116</v>
      </c>
      <c r="AP383" t="s">
        <v>116</v>
      </c>
      <c r="AU383" t="s">
        <v>117</v>
      </c>
      <c r="AV383" t="s">
        <v>118</v>
      </c>
      <c r="AW383" t="s">
        <v>102</v>
      </c>
      <c r="AX383" t="s">
        <v>119</v>
      </c>
      <c r="BB383" t="s">
        <v>120</v>
      </c>
      <c r="BC383" t="s">
        <v>8824</v>
      </c>
      <c r="BD383" t="s">
        <v>621</v>
      </c>
      <c r="BE383" t="s">
        <v>622</v>
      </c>
      <c r="BF383" t="s">
        <v>976</v>
      </c>
      <c r="BG383" t="s">
        <v>124</v>
      </c>
      <c r="BH383" t="s">
        <v>214</v>
      </c>
      <c r="BI383" t="s">
        <v>625</v>
      </c>
      <c r="BJ383" t="s">
        <v>127</v>
      </c>
      <c r="BK383" t="s">
        <v>8825</v>
      </c>
      <c r="BL383" t="s">
        <v>8826</v>
      </c>
      <c r="BM383" t="s">
        <v>8827</v>
      </c>
      <c r="BN383" t="s">
        <v>6614</v>
      </c>
      <c r="BO383" t="s">
        <v>629</v>
      </c>
      <c r="BP383" t="s">
        <v>132</v>
      </c>
      <c r="BQ383" t="s">
        <v>630</v>
      </c>
      <c r="BR383" t="s">
        <v>631</v>
      </c>
      <c r="BS383" t="s">
        <v>507</v>
      </c>
      <c r="BU383" t="s">
        <v>8828</v>
      </c>
      <c r="BV383" t="s">
        <v>4869</v>
      </c>
      <c r="BX383" t="s">
        <v>1734</v>
      </c>
      <c r="BY383" t="s">
        <v>4870</v>
      </c>
      <c r="BZ383" t="s">
        <v>8829</v>
      </c>
      <c r="CA383" t="s">
        <v>8830</v>
      </c>
      <c r="CB383" t="s">
        <v>8831</v>
      </c>
      <c r="CC383" t="s">
        <v>8832</v>
      </c>
      <c r="CD383" t="s">
        <v>8833</v>
      </c>
      <c r="CE383" t="s">
        <v>8834</v>
      </c>
      <c r="CF383" t="s">
        <v>8835</v>
      </c>
      <c r="CG383" t="s">
        <v>102</v>
      </c>
      <c r="CH383" t="s">
        <v>8836</v>
      </c>
      <c r="CJ383" t="s">
        <v>7502</v>
      </c>
      <c r="CK383" t="s">
        <v>8836</v>
      </c>
      <c r="CL383" t="s">
        <v>8824</v>
      </c>
      <c r="CM383" t="s">
        <v>621</v>
      </c>
      <c r="CN383" t="s">
        <v>7502</v>
      </c>
      <c r="CO383" t="s">
        <v>8837</v>
      </c>
      <c r="CP383" t="s">
        <v>8836</v>
      </c>
      <c r="CQ383" t="s">
        <v>8836</v>
      </c>
    </row>
    <row r="384" spans="1:95">
      <c r="A384" t="s">
        <v>337</v>
      </c>
      <c r="B384">
        <v>4165</v>
      </c>
      <c r="C384" t="s">
        <v>8838</v>
      </c>
      <c r="E384" s="4" t="s">
        <v>17377</v>
      </c>
      <c r="F384" t="s">
        <v>95</v>
      </c>
      <c r="G384" t="s">
        <v>1447</v>
      </c>
      <c r="H384" t="s">
        <v>97</v>
      </c>
      <c r="I384" t="s">
        <v>98</v>
      </c>
      <c r="J384" t="s">
        <v>8839</v>
      </c>
      <c r="K384" t="s">
        <v>100</v>
      </c>
      <c r="L384">
        <v>206150</v>
      </c>
      <c r="M384">
        <v>206150</v>
      </c>
      <c r="N384">
        <v>206150</v>
      </c>
      <c r="O384">
        <v>217</v>
      </c>
      <c r="P384" t="s">
        <v>936</v>
      </c>
      <c r="Q384">
        <v>0</v>
      </c>
      <c r="R384">
        <v>0</v>
      </c>
      <c r="T384">
        <v>0</v>
      </c>
      <c r="U384">
        <v>0</v>
      </c>
      <c r="W384" t="s">
        <v>102</v>
      </c>
      <c r="X384" t="s">
        <v>275</v>
      </c>
      <c r="Z384" t="s">
        <v>339</v>
      </c>
      <c r="AA384" t="s">
        <v>109</v>
      </c>
      <c r="AB384" t="s">
        <v>102</v>
      </c>
      <c r="AC384" t="s">
        <v>109</v>
      </c>
      <c r="AD384" t="s">
        <v>102</v>
      </c>
      <c r="AE384" t="s">
        <v>109</v>
      </c>
      <c r="AF384" t="s">
        <v>102</v>
      </c>
      <c r="AG384" t="s">
        <v>109</v>
      </c>
      <c r="AH384" t="s">
        <v>102</v>
      </c>
      <c r="AI384" t="s">
        <v>102</v>
      </c>
      <c r="AJ384" t="s">
        <v>497</v>
      </c>
      <c r="AK384" t="s">
        <v>497</v>
      </c>
      <c r="AL384" t="s">
        <v>8840</v>
      </c>
      <c r="AM384" t="s">
        <v>8841</v>
      </c>
      <c r="AN384" t="s">
        <v>8842</v>
      </c>
      <c r="AO384" t="s">
        <v>116</v>
      </c>
      <c r="AP384" t="s">
        <v>116</v>
      </c>
      <c r="AU384" t="s">
        <v>117</v>
      </c>
      <c r="AV384" t="s">
        <v>118</v>
      </c>
      <c r="AW384" t="s">
        <v>102</v>
      </c>
      <c r="AX384" t="s">
        <v>119</v>
      </c>
      <c r="BB384" t="s">
        <v>120</v>
      </c>
      <c r="BC384" t="s">
        <v>409</v>
      </c>
      <c r="BD384" t="s">
        <v>410</v>
      </c>
      <c r="BE384" t="s">
        <v>212</v>
      </c>
      <c r="BF384" t="s">
        <v>410</v>
      </c>
      <c r="BG384" t="s">
        <v>124</v>
      </c>
      <c r="BH384" t="s">
        <v>214</v>
      </c>
      <c r="BI384" t="s">
        <v>625</v>
      </c>
      <c r="BJ384" t="s">
        <v>127</v>
      </c>
      <c r="BK384" t="s">
        <v>8843</v>
      </c>
      <c r="BL384" t="s">
        <v>8844</v>
      </c>
      <c r="BM384" t="s">
        <v>8845</v>
      </c>
      <c r="BN384" t="s">
        <v>1447</v>
      </c>
      <c r="BO384" t="s">
        <v>1699</v>
      </c>
      <c r="BP384" t="s">
        <v>132</v>
      </c>
      <c r="BQ384" t="s">
        <v>1700</v>
      </c>
      <c r="BR384" t="s">
        <v>1701</v>
      </c>
      <c r="BS384" t="s">
        <v>8846</v>
      </c>
      <c r="BU384" t="s">
        <v>8847</v>
      </c>
      <c r="BV384" t="s">
        <v>8848</v>
      </c>
      <c r="BW384" t="s">
        <v>138</v>
      </c>
      <c r="BX384" t="s">
        <v>8849</v>
      </c>
      <c r="BY384" t="s">
        <v>8850</v>
      </c>
      <c r="BZ384" t="s">
        <v>8851</v>
      </c>
      <c r="CG384" t="s">
        <v>2270</v>
      </c>
      <c r="CH384" t="s">
        <v>8852</v>
      </c>
      <c r="CJ384" t="s">
        <v>4204</v>
      </c>
      <c r="CK384" t="s">
        <v>8852</v>
      </c>
      <c r="CL384" t="s">
        <v>409</v>
      </c>
      <c r="CM384" t="s">
        <v>410</v>
      </c>
      <c r="CN384" t="s">
        <v>4204</v>
      </c>
      <c r="CP384" t="s">
        <v>8852</v>
      </c>
      <c r="CQ384" t="s">
        <v>8852</v>
      </c>
    </row>
    <row r="385" spans="1:95">
      <c r="A385" t="s">
        <v>93</v>
      </c>
      <c r="B385">
        <v>4166956</v>
      </c>
      <c r="C385" t="s">
        <v>8853</v>
      </c>
      <c r="D385" t="str">
        <f>VLOOKUP(B385,'2025'!B:C,2,0)</f>
        <v>Pooja</v>
      </c>
      <c r="F385" t="s">
        <v>95</v>
      </c>
      <c r="G385" t="s">
        <v>1295</v>
      </c>
      <c r="H385" t="s">
        <v>848</v>
      </c>
      <c r="I385" t="s">
        <v>98</v>
      </c>
      <c r="J385" t="s">
        <v>8854</v>
      </c>
      <c r="K385" t="s">
        <v>100</v>
      </c>
      <c r="L385">
        <v>286031</v>
      </c>
      <c r="M385">
        <v>337517</v>
      </c>
      <c r="N385">
        <v>0</v>
      </c>
      <c r="O385">
        <v>0</v>
      </c>
      <c r="Q385">
        <v>0</v>
      </c>
      <c r="R385">
        <v>0</v>
      </c>
      <c r="T385">
        <v>286031</v>
      </c>
      <c r="U385">
        <v>125</v>
      </c>
      <c r="V385" t="s">
        <v>8855</v>
      </c>
      <c r="W385" t="s">
        <v>102</v>
      </c>
      <c r="X385" t="s">
        <v>275</v>
      </c>
      <c r="Z385" t="s">
        <v>341</v>
      </c>
      <c r="AA385" t="s">
        <v>109</v>
      </c>
      <c r="AB385" t="s">
        <v>102</v>
      </c>
      <c r="AC385" t="s">
        <v>109</v>
      </c>
      <c r="AD385" t="s">
        <v>102</v>
      </c>
      <c r="AE385" t="s">
        <v>109</v>
      </c>
      <c r="AF385" t="s">
        <v>102</v>
      </c>
      <c r="AG385" t="s">
        <v>109</v>
      </c>
      <c r="AH385" t="s">
        <v>102</v>
      </c>
      <c r="AI385" t="s">
        <v>8856</v>
      </c>
      <c r="AJ385" t="s">
        <v>441</v>
      </c>
      <c r="AK385" t="s">
        <v>441</v>
      </c>
      <c r="AL385" t="s">
        <v>8857</v>
      </c>
      <c r="AM385" t="s">
        <v>8858</v>
      </c>
      <c r="AN385" t="s">
        <v>115</v>
      </c>
      <c r="AO385" t="s">
        <v>317</v>
      </c>
      <c r="AP385" t="s">
        <v>116</v>
      </c>
      <c r="AQ385" t="s">
        <v>343</v>
      </c>
      <c r="AU385" t="s">
        <v>102</v>
      </c>
      <c r="AW385" t="s">
        <v>102</v>
      </c>
      <c r="AX385" t="s">
        <v>119</v>
      </c>
      <c r="BA385" t="s">
        <v>250</v>
      </c>
      <c r="BB385" t="s">
        <v>120</v>
      </c>
      <c r="BC385" t="s">
        <v>8859</v>
      </c>
      <c r="BD385" t="s">
        <v>376</v>
      </c>
      <c r="BE385" t="s">
        <v>174</v>
      </c>
      <c r="BF385" t="s">
        <v>376</v>
      </c>
      <c r="BG385" t="s">
        <v>124</v>
      </c>
      <c r="BH385" t="s">
        <v>1692</v>
      </c>
      <c r="BI385" t="s">
        <v>126</v>
      </c>
      <c r="BJ385" t="s">
        <v>127</v>
      </c>
      <c r="BK385" t="s">
        <v>8860</v>
      </c>
      <c r="BL385" t="s">
        <v>8861</v>
      </c>
      <c r="BM385" t="s">
        <v>8862</v>
      </c>
      <c r="BN385" t="s">
        <v>1295</v>
      </c>
      <c r="BO385" t="s">
        <v>1831</v>
      </c>
      <c r="BP385" t="s">
        <v>505</v>
      </c>
      <c r="BQ385" t="s">
        <v>1832</v>
      </c>
      <c r="BR385" t="s">
        <v>1833</v>
      </c>
      <c r="BS385" t="s">
        <v>5177</v>
      </c>
      <c r="BU385" t="s">
        <v>8863</v>
      </c>
      <c r="BV385" t="s">
        <v>8864</v>
      </c>
      <c r="BW385" t="s">
        <v>138</v>
      </c>
      <c r="BX385" t="s">
        <v>225</v>
      </c>
      <c r="BZ385" t="s">
        <v>8865</v>
      </c>
      <c r="CA385" t="s">
        <v>8866</v>
      </c>
      <c r="CB385" t="s">
        <v>8867</v>
      </c>
      <c r="CG385" t="s">
        <v>334</v>
      </c>
      <c r="CH385" t="s">
        <v>8868</v>
      </c>
      <c r="CJ385" t="s">
        <v>8869</v>
      </c>
      <c r="CK385" t="s">
        <v>8868</v>
      </c>
      <c r="CL385" t="s">
        <v>8859</v>
      </c>
      <c r="CM385" t="s">
        <v>376</v>
      </c>
      <c r="CN385" t="s">
        <v>8869</v>
      </c>
      <c r="CP385" t="s">
        <v>8868</v>
      </c>
      <c r="CQ385" t="s">
        <v>8868</v>
      </c>
    </row>
    <row r="386" spans="1:95">
      <c r="A386" t="s">
        <v>149</v>
      </c>
      <c r="B386">
        <v>416793</v>
      </c>
      <c r="C386" t="s">
        <v>8870</v>
      </c>
      <c r="D386" t="str">
        <f>VLOOKUP(B386,'2025'!B:C,2,0)</f>
        <v>Pooja Kapoor</v>
      </c>
      <c r="F386" t="s">
        <v>95</v>
      </c>
      <c r="G386" t="s">
        <v>1955</v>
      </c>
      <c r="H386" t="s">
        <v>97</v>
      </c>
      <c r="I386" t="s">
        <v>98</v>
      </c>
      <c r="J386" t="s">
        <v>8871</v>
      </c>
      <c r="K386" t="s">
        <v>100</v>
      </c>
      <c r="L386">
        <v>1164998</v>
      </c>
      <c r="M386">
        <v>1164998</v>
      </c>
      <c r="N386">
        <v>1164998</v>
      </c>
      <c r="O386">
        <v>949</v>
      </c>
      <c r="P386" t="s">
        <v>8872</v>
      </c>
      <c r="Q386">
        <v>0</v>
      </c>
      <c r="R386">
        <v>0</v>
      </c>
      <c r="T386">
        <v>0</v>
      </c>
      <c r="U386">
        <v>0</v>
      </c>
      <c r="W386" t="s">
        <v>102</v>
      </c>
      <c r="X386" t="s">
        <v>275</v>
      </c>
      <c r="Z386" t="s">
        <v>341</v>
      </c>
      <c r="AA386" t="s">
        <v>109</v>
      </c>
      <c r="AB386" t="s">
        <v>102</v>
      </c>
      <c r="AC386" t="s">
        <v>109</v>
      </c>
      <c r="AD386" t="s">
        <v>102</v>
      </c>
      <c r="AE386" t="s">
        <v>109</v>
      </c>
      <c r="AF386" t="s">
        <v>102</v>
      </c>
      <c r="AG386" t="s">
        <v>109</v>
      </c>
      <c r="AH386" t="s">
        <v>102</v>
      </c>
      <c r="AI386" t="s">
        <v>8873</v>
      </c>
      <c r="AJ386" t="s">
        <v>377</v>
      </c>
      <c r="AK386" t="s">
        <v>377</v>
      </c>
      <c r="AL386" t="s">
        <v>8874</v>
      </c>
      <c r="AM386" t="s">
        <v>8875</v>
      </c>
      <c r="AN386" t="s">
        <v>8876</v>
      </c>
      <c r="AO386" t="s">
        <v>8877</v>
      </c>
      <c r="AP386" t="s">
        <v>8878</v>
      </c>
      <c r="AQ386" t="s">
        <v>343</v>
      </c>
      <c r="AU386" t="s">
        <v>318</v>
      </c>
      <c r="AV386" t="s">
        <v>118</v>
      </c>
      <c r="AW386" t="s">
        <v>102</v>
      </c>
      <c r="AX386" t="s">
        <v>119</v>
      </c>
      <c r="BB386" t="s">
        <v>171</v>
      </c>
      <c r="BC386" t="s">
        <v>4403</v>
      </c>
      <c r="BD386" t="s">
        <v>4404</v>
      </c>
      <c r="BE386" t="s">
        <v>174</v>
      </c>
      <c r="BF386" t="s">
        <v>4405</v>
      </c>
      <c r="BG386" t="s">
        <v>124</v>
      </c>
      <c r="BH386" t="s">
        <v>517</v>
      </c>
      <c r="BI386" t="s">
        <v>126</v>
      </c>
      <c r="BJ386" t="s">
        <v>127</v>
      </c>
      <c r="BK386" t="s">
        <v>8879</v>
      </c>
      <c r="BL386" t="s">
        <v>8880</v>
      </c>
      <c r="BM386" t="s">
        <v>8881</v>
      </c>
      <c r="BN386" t="s">
        <v>1955</v>
      </c>
      <c r="BO386" t="s">
        <v>381</v>
      </c>
      <c r="BP386" t="s">
        <v>258</v>
      </c>
      <c r="BQ386" t="s">
        <v>382</v>
      </c>
      <c r="BR386" t="s">
        <v>383</v>
      </c>
      <c r="BS386" t="s">
        <v>1111</v>
      </c>
      <c r="BU386" t="s">
        <v>8882</v>
      </c>
      <c r="BV386" t="s">
        <v>8883</v>
      </c>
      <c r="BX386" t="s">
        <v>8884</v>
      </c>
      <c r="BY386" t="s">
        <v>8885</v>
      </c>
      <c r="BZ386" t="s">
        <v>8884</v>
      </c>
      <c r="CA386" t="s">
        <v>8886</v>
      </c>
      <c r="CB386" t="s">
        <v>8887</v>
      </c>
      <c r="CC386" t="s">
        <v>8888</v>
      </c>
      <c r="CD386" t="s">
        <v>8889</v>
      </c>
      <c r="CE386" t="s">
        <v>8890</v>
      </c>
      <c r="CF386" t="s">
        <v>8891</v>
      </c>
      <c r="CG386" t="s">
        <v>102</v>
      </c>
      <c r="CH386" t="s">
        <v>8892</v>
      </c>
      <c r="CJ386" t="s">
        <v>8893</v>
      </c>
      <c r="CK386" t="s">
        <v>8892</v>
      </c>
      <c r="CL386" t="s">
        <v>4403</v>
      </c>
      <c r="CM386" t="s">
        <v>4404</v>
      </c>
      <c r="CN386" t="s">
        <v>8893</v>
      </c>
      <c r="CP386" t="s">
        <v>8892</v>
      </c>
      <c r="CQ386" t="s">
        <v>8892</v>
      </c>
    </row>
    <row r="387" spans="1:95">
      <c r="A387" t="s">
        <v>149</v>
      </c>
      <c r="B387">
        <v>420525</v>
      </c>
      <c r="C387" t="s">
        <v>8894</v>
      </c>
      <c r="D387" t="str">
        <f>VLOOKUP(B387,'2025'!B:C,2,0)</f>
        <v>Aruna</v>
      </c>
      <c r="F387" t="s">
        <v>95</v>
      </c>
      <c r="G387" t="s">
        <v>4806</v>
      </c>
      <c r="H387" t="s">
        <v>193</v>
      </c>
      <c r="I387" t="s">
        <v>98</v>
      </c>
      <c r="J387" t="s">
        <v>8895</v>
      </c>
      <c r="K387" t="s">
        <v>100</v>
      </c>
      <c r="L387">
        <v>4790037</v>
      </c>
      <c r="M387">
        <v>5479442</v>
      </c>
      <c r="N387">
        <v>960012</v>
      </c>
      <c r="O387">
        <v>1873</v>
      </c>
      <c r="P387" t="s">
        <v>8896</v>
      </c>
      <c r="Q387">
        <v>0</v>
      </c>
      <c r="R387">
        <v>0</v>
      </c>
      <c r="T387">
        <v>3830025</v>
      </c>
      <c r="U387">
        <v>2176</v>
      </c>
      <c r="V387" t="s">
        <v>5818</v>
      </c>
      <c r="W387" t="s">
        <v>102</v>
      </c>
      <c r="X387" t="s">
        <v>103</v>
      </c>
      <c r="Y387" t="s">
        <v>5317</v>
      </c>
      <c r="AA387" t="s">
        <v>520</v>
      </c>
      <c r="AB387" t="s">
        <v>8897</v>
      </c>
      <c r="AC387" t="s">
        <v>5820</v>
      </c>
      <c r="AD387" t="s">
        <v>8898</v>
      </c>
      <c r="AE387" t="s">
        <v>807</v>
      </c>
      <c r="AF387" t="s">
        <v>8899</v>
      </c>
      <c r="AG387" t="s">
        <v>109</v>
      </c>
      <c r="AH387" t="s">
        <v>102</v>
      </c>
      <c r="AI387" t="s">
        <v>8900</v>
      </c>
      <c r="AJ387" t="s">
        <v>8901</v>
      </c>
      <c r="AK387" t="s">
        <v>8902</v>
      </c>
      <c r="AL387" t="s">
        <v>8903</v>
      </c>
      <c r="AM387" t="s">
        <v>8904</v>
      </c>
      <c r="AN387" t="s">
        <v>8905</v>
      </c>
      <c r="AO387" t="s">
        <v>8906</v>
      </c>
      <c r="AP387" t="s">
        <v>8906</v>
      </c>
      <c r="AU387" t="s">
        <v>247</v>
      </c>
      <c r="AV387" t="s">
        <v>118</v>
      </c>
      <c r="AW387" t="s">
        <v>102</v>
      </c>
      <c r="AX387" t="s">
        <v>119</v>
      </c>
      <c r="BA387" t="s">
        <v>250</v>
      </c>
      <c r="BB387" t="s">
        <v>171</v>
      </c>
      <c r="BC387" t="s">
        <v>920</v>
      </c>
      <c r="BD387" t="s">
        <v>211</v>
      </c>
      <c r="BE387" t="s">
        <v>212</v>
      </c>
      <c r="BF387" t="s">
        <v>213</v>
      </c>
      <c r="BG387" t="s">
        <v>124</v>
      </c>
      <c r="BH387" t="s">
        <v>5329</v>
      </c>
      <c r="BI387" t="s">
        <v>1245</v>
      </c>
      <c r="BJ387" t="s">
        <v>127</v>
      </c>
      <c r="BK387" t="s">
        <v>8907</v>
      </c>
      <c r="BL387" t="s">
        <v>8908</v>
      </c>
      <c r="BM387" t="s">
        <v>8909</v>
      </c>
      <c r="BN387" t="s">
        <v>4806</v>
      </c>
      <c r="BO387" t="s">
        <v>924</v>
      </c>
      <c r="BP387" t="s">
        <v>258</v>
      </c>
      <c r="BQ387" t="s">
        <v>925</v>
      </c>
      <c r="BR387" t="s">
        <v>926</v>
      </c>
      <c r="BS387" t="s">
        <v>2151</v>
      </c>
      <c r="BU387" t="s">
        <v>8910</v>
      </c>
      <c r="BV387" t="s">
        <v>8911</v>
      </c>
      <c r="BW387" t="s">
        <v>138</v>
      </c>
      <c r="BX387" t="s">
        <v>8912</v>
      </c>
      <c r="BY387" t="s">
        <v>8913</v>
      </c>
      <c r="BZ387" t="s">
        <v>8912</v>
      </c>
      <c r="CA387" t="s">
        <v>8911</v>
      </c>
      <c r="CB387" t="s">
        <v>8912</v>
      </c>
      <c r="CC387" t="s">
        <v>8913</v>
      </c>
      <c r="CD387" t="s">
        <v>8914</v>
      </c>
      <c r="CE387" t="s">
        <v>8915</v>
      </c>
      <c r="CF387" t="s">
        <v>8916</v>
      </c>
      <c r="CG387" t="s">
        <v>8917</v>
      </c>
      <c r="CH387" t="s">
        <v>8918</v>
      </c>
      <c r="CJ387" t="s">
        <v>8919</v>
      </c>
      <c r="CK387" t="s">
        <v>8918</v>
      </c>
      <c r="CL387" t="s">
        <v>920</v>
      </c>
      <c r="CM387" t="s">
        <v>211</v>
      </c>
      <c r="CN387" t="s">
        <v>8919</v>
      </c>
      <c r="CO387" t="s">
        <v>8920</v>
      </c>
      <c r="CP387" t="s">
        <v>8918</v>
      </c>
      <c r="CQ387" t="s">
        <v>8918</v>
      </c>
    </row>
    <row r="388" spans="1:95">
      <c r="A388" t="s">
        <v>149</v>
      </c>
      <c r="B388">
        <v>42625</v>
      </c>
      <c r="C388" t="s">
        <v>8921</v>
      </c>
      <c r="D388" t="str">
        <f>VLOOKUP(B388,'2025'!B:C,2,0)</f>
        <v>Sudhi</v>
      </c>
      <c r="F388" t="s">
        <v>95</v>
      </c>
      <c r="G388" t="s">
        <v>578</v>
      </c>
      <c r="H388" t="s">
        <v>152</v>
      </c>
      <c r="I388" t="s">
        <v>98</v>
      </c>
      <c r="J388" t="s">
        <v>8922</v>
      </c>
      <c r="K388" t="s">
        <v>100</v>
      </c>
      <c r="L388">
        <v>1154099</v>
      </c>
      <c r="M388">
        <v>1154099</v>
      </c>
      <c r="N388">
        <v>0</v>
      </c>
      <c r="O388">
        <v>0</v>
      </c>
      <c r="Q388">
        <v>1154099</v>
      </c>
      <c r="R388">
        <v>915</v>
      </c>
      <c r="S388" t="s">
        <v>8923</v>
      </c>
      <c r="T388">
        <v>0</v>
      </c>
      <c r="U388">
        <v>0</v>
      </c>
      <c r="W388" t="s">
        <v>102</v>
      </c>
      <c r="X388" t="s">
        <v>103</v>
      </c>
      <c r="Y388" t="s">
        <v>155</v>
      </c>
      <c r="AA388" t="s">
        <v>2388</v>
      </c>
      <c r="AB388" t="s">
        <v>8924</v>
      </c>
      <c r="AC388" t="s">
        <v>977</v>
      </c>
      <c r="AD388" t="s">
        <v>8924</v>
      </c>
      <c r="AE388" t="s">
        <v>3483</v>
      </c>
      <c r="AF388" t="s">
        <v>8924</v>
      </c>
      <c r="AG388" t="s">
        <v>854</v>
      </c>
      <c r="AH388" t="s">
        <v>8924</v>
      </c>
      <c r="AI388" t="s">
        <v>8925</v>
      </c>
      <c r="AJ388" t="s">
        <v>499</v>
      </c>
      <c r="AK388" t="s">
        <v>7695</v>
      </c>
      <c r="AL388" t="s">
        <v>8926</v>
      </c>
      <c r="AM388" t="s">
        <v>8927</v>
      </c>
      <c r="AN388" t="s">
        <v>8928</v>
      </c>
      <c r="AO388" t="s">
        <v>8929</v>
      </c>
      <c r="AP388" t="s">
        <v>8929</v>
      </c>
      <c r="AU388" t="s">
        <v>102</v>
      </c>
      <c r="AW388" t="s">
        <v>155</v>
      </c>
      <c r="AX388" t="s">
        <v>119</v>
      </c>
      <c r="AZ388" t="s">
        <v>250</v>
      </c>
      <c r="BB388" t="s">
        <v>120</v>
      </c>
      <c r="BC388" t="s">
        <v>8930</v>
      </c>
      <c r="BD388" t="s">
        <v>2800</v>
      </c>
      <c r="BE388" t="s">
        <v>122</v>
      </c>
      <c r="BF388" t="s">
        <v>346</v>
      </c>
      <c r="BG388" t="s">
        <v>124</v>
      </c>
      <c r="BH388" t="s">
        <v>578</v>
      </c>
      <c r="BI388" t="s">
        <v>126</v>
      </c>
      <c r="BJ388" t="s">
        <v>127</v>
      </c>
      <c r="BK388" t="s">
        <v>8931</v>
      </c>
      <c r="BL388" t="s">
        <v>8932</v>
      </c>
      <c r="BM388" t="s">
        <v>8933</v>
      </c>
      <c r="BN388" t="s">
        <v>578</v>
      </c>
      <c r="BO388" t="s">
        <v>593</v>
      </c>
      <c r="BP388" t="s">
        <v>350</v>
      </c>
      <c r="BQ388" t="s">
        <v>594</v>
      </c>
      <c r="BR388" t="s">
        <v>595</v>
      </c>
      <c r="BS388" t="s">
        <v>328</v>
      </c>
      <c r="BU388" t="s">
        <v>8934</v>
      </c>
      <c r="BV388" t="s">
        <v>8935</v>
      </c>
      <c r="BW388" t="s">
        <v>598</v>
      </c>
      <c r="BX388" t="s">
        <v>8936</v>
      </c>
      <c r="BY388" t="s">
        <v>8937</v>
      </c>
      <c r="BZ388" t="s">
        <v>8938</v>
      </c>
      <c r="CG388" t="s">
        <v>102</v>
      </c>
      <c r="CH388" t="s">
        <v>8939</v>
      </c>
      <c r="CJ388" t="s">
        <v>8940</v>
      </c>
      <c r="CK388" t="s">
        <v>8939</v>
      </c>
      <c r="CL388" t="s">
        <v>8930</v>
      </c>
      <c r="CM388" t="s">
        <v>2800</v>
      </c>
      <c r="CN388" t="s">
        <v>8940</v>
      </c>
      <c r="CO388" t="s">
        <v>8941</v>
      </c>
      <c r="CP388" t="s">
        <v>8939</v>
      </c>
      <c r="CQ388" t="s">
        <v>8939</v>
      </c>
    </row>
    <row r="389" spans="1:95">
      <c r="A389" t="s">
        <v>337</v>
      </c>
      <c r="B389">
        <v>434619</v>
      </c>
      <c r="C389" t="s">
        <v>8942</v>
      </c>
      <c r="D389" t="str">
        <f>VLOOKUP(B389,'2025'!B:C,2,0)</f>
        <v>Chaitanya</v>
      </c>
      <c r="F389" t="s">
        <v>95</v>
      </c>
      <c r="G389" t="s">
        <v>3880</v>
      </c>
      <c r="H389" t="s">
        <v>97</v>
      </c>
      <c r="I389" t="s">
        <v>98</v>
      </c>
      <c r="J389" t="s">
        <v>8943</v>
      </c>
      <c r="K389" t="s">
        <v>100</v>
      </c>
      <c r="L389">
        <v>278400</v>
      </c>
      <c r="M389">
        <v>278400</v>
      </c>
      <c r="N389">
        <v>278400</v>
      </c>
      <c r="O389">
        <v>0</v>
      </c>
      <c r="P389" t="s">
        <v>102</v>
      </c>
      <c r="Q389">
        <v>0</v>
      </c>
      <c r="R389">
        <v>0</v>
      </c>
      <c r="S389" t="s">
        <v>102</v>
      </c>
      <c r="T389">
        <v>0</v>
      </c>
      <c r="U389">
        <v>0</v>
      </c>
      <c r="V389" t="s">
        <v>102</v>
      </c>
      <c r="W389" t="s">
        <v>102</v>
      </c>
      <c r="Y389" t="s">
        <v>115</v>
      </c>
      <c r="Z389" t="s">
        <v>3880</v>
      </c>
      <c r="AA389" t="s">
        <v>3880</v>
      </c>
      <c r="AB389" t="s">
        <v>102</v>
      </c>
      <c r="AC389" t="s">
        <v>3880</v>
      </c>
      <c r="AD389" t="s">
        <v>102</v>
      </c>
      <c r="AE389" t="s">
        <v>3880</v>
      </c>
      <c r="AF389" t="s">
        <v>102</v>
      </c>
      <c r="AG389" t="s">
        <v>3880</v>
      </c>
      <c r="AH389" t="s">
        <v>102</v>
      </c>
      <c r="AI389" t="s">
        <v>102</v>
      </c>
      <c r="AJ389" t="s">
        <v>3880</v>
      </c>
      <c r="AK389" t="s">
        <v>3880</v>
      </c>
      <c r="AL389" t="s">
        <v>8944</v>
      </c>
      <c r="AM389" t="s">
        <v>102</v>
      </c>
      <c r="AN389" t="s">
        <v>8944</v>
      </c>
      <c r="AO389" t="s">
        <v>102</v>
      </c>
      <c r="AP389" t="s">
        <v>102</v>
      </c>
      <c r="AQ389" t="s">
        <v>102</v>
      </c>
      <c r="AR389" t="s">
        <v>102</v>
      </c>
      <c r="AS389" t="s">
        <v>102</v>
      </c>
      <c r="AT389" t="s">
        <v>102</v>
      </c>
      <c r="AU389" t="s">
        <v>318</v>
      </c>
      <c r="AV389" t="s">
        <v>118</v>
      </c>
      <c r="AW389" t="s">
        <v>102</v>
      </c>
      <c r="BB389" t="s">
        <v>120</v>
      </c>
      <c r="BC389" t="s">
        <v>623</v>
      </c>
      <c r="BE389" t="s">
        <v>212</v>
      </c>
      <c r="BF389" t="s">
        <v>3881</v>
      </c>
      <c r="BG389" t="s">
        <v>124</v>
      </c>
      <c r="BH389" t="s">
        <v>3880</v>
      </c>
      <c r="BI389" t="s">
        <v>3880</v>
      </c>
      <c r="BJ389" t="s">
        <v>3882</v>
      </c>
      <c r="BK389" t="s">
        <v>8945</v>
      </c>
      <c r="BN389" t="s">
        <v>3880</v>
      </c>
      <c r="BO389" t="s">
        <v>225</v>
      </c>
      <c r="BP389" t="s">
        <v>225</v>
      </c>
      <c r="BQ389" t="s">
        <v>225</v>
      </c>
      <c r="BR389" t="s">
        <v>506</v>
      </c>
      <c r="BS389" t="s">
        <v>2593</v>
      </c>
      <c r="BT389" t="s">
        <v>2593</v>
      </c>
      <c r="BU389" t="s">
        <v>3880</v>
      </c>
      <c r="CG389" t="s">
        <v>102</v>
      </c>
    </row>
    <row r="390" spans="1:95">
      <c r="A390" t="s">
        <v>337</v>
      </c>
      <c r="B390">
        <v>437634</v>
      </c>
      <c r="C390" t="s">
        <v>8946</v>
      </c>
      <c r="D390" t="str">
        <f>VLOOKUP(B390,'2025'!B:C,2,0)</f>
        <v>Unnati Sharma</v>
      </c>
      <c r="F390" t="s">
        <v>95</v>
      </c>
      <c r="G390" t="s">
        <v>719</v>
      </c>
      <c r="H390" t="s">
        <v>152</v>
      </c>
      <c r="I390" t="s">
        <v>98</v>
      </c>
      <c r="J390" t="s">
        <v>8947</v>
      </c>
      <c r="K390" t="s">
        <v>100</v>
      </c>
      <c r="L390">
        <v>1000077</v>
      </c>
      <c r="M390">
        <v>1000077</v>
      </c>
      <c r="N390">
        <v>0</v>
      </c>
      <c r="O390">
        <v>0</v>
      </c>
      <c r="Q390">
        <v>1000077</v>
      </c>
      <c r="R390">
        <v>2634</v>
      </c>
      <c r="S390" t="s">
        <v>7353</v>
      </c>
      <c r="T390">
        <v>0</v>
      </c>
      <c r="U390">
        <v>0</v>
      </c>
      <c r="W390" t="s">
        <v>102</v>
      </c>
      <c r="X390" t="s">
        <v>103</v>
      </c>
      <c r="Y390" t="s">
        <v>104</v>
      </c>
      <c r="AA390" t="s">
        <v>96</v>
      </c>
      <c r="AB390" t="s">
        <v>8948</v>
      </c>
      <c r="AC390" t="s">
        <v>197</v>
      </c>
      <c r="AD390" t="s">
        <v>8949</v>
      </c>
      <c r="AE390" t="s">
        <v>109</v>
      </c>
      <c r="AF390" t="s">
        <v>102</v>
      </c>
      <c r="AG390" t="s">
        <v>109</v>
      </c>
      <c r="AH390" t="s">
        <v>102</v>
      </c>
      <c r="AI390" t="s">
        <v>8950</v>
      </c>
      <c r="AJ390" t="s">
        <v>96</v>
      </c>
      <c r="AK390" t="s">
        <v>1200</v>
      </c>
      <c r="AL390" t="s">
        <v>8951</v>
      </c>
      <c r="AM390" t="s">
        <v>8952</v>
      </c>
      <c r="AN390" t="s">
        <v>8953</v>
      </c>
      <c r="AO390" t="s">
        <v>8954</v>
      </c>
      <c r="AP390" t="s">
        <v>8954</v>
      </c>
      <c r="AU390" t="s">
        <v>102</v>
      </c>
      <c r="AW390" t="s">
        <v>155</v>
      </c>
      <c r="AX390" t="s">
        <v>119</v>
      </c>
      <c r="AZ390" t="s">
        <v>250</v>
      </c>
      <c r="BB390" t="s">
        <v>120</v>
      </c>
      <c r="BC390" t="s">
        <v>3714</v>
      </c>
      <c r="BD390" t="s">
        <v>730</v>
      </c>
      <c r="BE390" t="s">
        <v>622</v>
      </c>
      <c r="BF390" t="s">
        <v>730</v>
      </c>
      <c r="BG390" t="s">
        <v>124</v>
      </c>
      <c r="BH390" t="s">
        <v>232</v>
      </c>
      <c r="BI390" t="s">
        <v>126</v>
      </c>
      <c r="BJ390" t="s">
        <v>127</v>
      </c>
      <c r="BK390" t="s">
        <v>8955</v>
      </c>
      <c r="BL390" t="s">
        <v>8956</v>
      </c>
      <c r="BM390" t="s">
        <v>8957</v>
      </c>
      <c r="BN390" t="s">
        <v>719</v>
      </c>
      <c r="BO390" t="s">
        <v>3910</v>
      </c>
      <c r="BP390" t="s">
        <v>350</v>
      </c>
      <c r="BQ390" t="s">
        <v>3911</v>
      </c>
      <c r="BR390" t="s">
        <v>3912</v>
      </c>
      <c r="BS390" t="s">
        <v>2569</v>
      </c>
      <c r="BU390" t="s">
        <v>8958</v>
      </c>
      <c r="BV390" t="s">
        <v>8959</v>
      </c>
      <c r="BW390" t="s">
        <v>598</v>
      </c>
      <c r="BX390" t="s">
        <v>8960</v>
      </c>
      <c r="BY390" t="s">
        <v>8961</v>
      </c>
      <c r="BZ390" t="s">
        <v>8962</v>
      </c>
      <c r="CG390" t="s">
        <v>8963</v>
      </c>
      <c r="CH390" t="s">
        <v>8964</v>
      </c>
      <c r="CJ390" t="s">
        <v>8965</v>
      </c>
      <c r="CK390" t="s">
        <v>8964</v>
      </c>
      <c r="CL390" t="s">
        <v>3714</v>
      </c>
      <c r="CM390" t="s">
        <v>730</v>
      </c>
      <c r="CN390" t="s">
        <v>8965</v>
      </c>
      <c r="CO390" t="s">
        <v>8966</v>
      </c>
      <c r="CP390" t="s">
        <v>8964</v>
      </c>
      <c r="CQ390" t="s">
        <v>8964</v>
      </c>
    </row>
    <row r="391" spans="1:95">
      <c r="A391" t="s">
        <v>149</v>
      </c>
      <c r="B391">
        <v>440751</v>
      </c>
      <c r="C391" t="s">
        <v>8967</v>
      </c>
      <c r="D391" t="str">
        <f>VLOOKUP(B391,'2025'!B:C,2,0)</f>
        <v>Pooja Kapoor</v>
      </c>
      <c r="F391" t="s">
        <v>95</v>
      </c>
      <c r="G391" t="s">
        <v>5416</v>
      </c>
      <c r="H391" t="s">
        <v>643</v>
      </c>
      <c r="I391" t="s">
        <v>98</v>
      </c>
      <c r="J391" t="s">
        <v>8968</v>
      </c>
      <c r="K391" t="s">
        <v>100</v>
      </c>
      <c r="L391">
        <v>930217</v>
      </c>
      <c r="M391">
        <v>1003482</v>
      </c>
      <c r="N391">
        <v>0</v>
      </c>
      <c r="O391">
        <v>0</v>
      </c>
      <c r="Q391">
        <v>523188</v>
      </c>
      <c r="R391">
        <v>233</v>
      </c>
      <c r="S391" t="s">
        <v>8969</v>
      </c>
      <c r="T391">
        <v>407029</v>
      </c>
      <c r="U391">
        <v>285</v>
      </c>
      <c r="V391" t="s">
        <v>8970</v>
      </c>
      <c r="W391" t="s">
        <v>102</v>
      </c>
      <c r="X391" t="s">
        <v>103</v>
      </c>
      <c r="Y391" t="s">
        <v>155</v>
      </c>
      <c r="AA391" t="s">
        <v>2947</v>
      </c>
      <c r="AB391" t="s">
        <v>8971</v>
      </c>
      <c r="AC391" t="s">
        <v>977</v>
      </c>
      <c r="AD391" t="s">
        <v>8971</v>
      </c>
      <c r="AE391" t="s">
        <v>2323</v>
      </c>
      <c r="AF391" t="s">
        <v>8971</v>
      </c>
      <c r="AG391" t="s">
        <v>160</v>
      </c>
      <c r="AH391" t="s">
        <v>8971</v>
      </c>
      <c r="AI391" t="s">
        <v>8972</v>
      </c>
      <c r="AJ391" t="s">
        <v>8973</v>
      </c>
      <c r="AK391" t="s">
        <v>3880</v>
      </c>
      <c r="AL391" t="s">
        <v>8974</v>
      </c>
      <c r="AM391" t="s">
        <v>8975</v>
      </c>
      <c r="AN391" t="s">
        <v>8976</v>
      </c>
      <c r="AO391" t="s">
        <v>8977</v>
      </c>
      <c r="AP391" t="s">
        <v>8977</v>
      </c>
      <c r="AU391" t="s">
        <v>102</v>
      </c>
      <c r="AW391" t="s">
        <v>3536</v>
      </c>
      <c r="AX391" t="s">
        <v>249</v>
      </c>
      <c r="AZ391" t="s">
        <v>250</v>
      </c>
      <c r="BA391" t="s">
        <v>250</v>
      </c>
      <c r="BB391" t="s">
        <v>120</v>
      </c>
      <c r="BC391" t="s">
        <v>8978</v>
      </c>
      <c r="BD391" t="s">
        <v>5879</v>
      </c>
      <c r="BE391" t="s">
        <v>174</v>
      </c>
      <c r="BF391" t="s">
        <v>4405</v>
      </c>
      <c r="BG391" t="s">
        <v>124</v>
      </c>
      <c r="BH391" t="s">
        <v>377</v>
      </c>
      <c r="BI391" t="s">
        <v>126</v>
      </c>
      <c r="BJ391" t="s">
        <v>127</v>
      </c>
      <c r="BK391" t="s">
        <v>8979</v>
      </c>
      <c r="BL391" t="s">
        <v>8980</v>
      </c>
      <c r="BM391" t="s">
        <v>8981</v>
      </c>
      <c r="BN391" t="s">
        <v>5416</v>
      </c>
      <c r="BO391" t="s">
        <v>381</v>
      </c>
      <c r="BP391" t="s">
        <v>180</v>
      </c>
      <c r="BQ391" t="s">
        <v>382</v>
      </c>
      <c r="BR391" t="s">
        <v>383</v>
      </c>
      <c r="BS391" t="s">
        <v>1111</v>
      </c>
      <c r="BU391" t="s">
        <v>8982</v>
      </c>
      <c r="BV391" t="s">
        <v>8983</v>
      </c>
      <c r="BW391" t="s">
        <v>138</v>
      </c>
      <c r="BX391" t="s">
        <v>8984</v>
      </c>
      <c r="BY391" t="s">
        <v>8985</v>
      </c>
      <c r="BZ391" t="s">
        <v>8984</v>
      </c>
      <c r="CA391" t="s">
        <v>8983</v>
      </c>
      <c r="CB391" t="s">
        <v>8984</v>
      </c>
      <c r="CC391" t="s">
        <v>8985</v>
      </c>
      <c r="CD391" t="s">
        <v>8986</v>
      </c>
      <c r="CE391" t="s">
        <v>8984</v>
      </c>
      <c r="CF391" t="s">
        <v>8987</v>
      </c>
      <c r="CG391" t="s">
        <v>102</v>
      </c>
      <c r="CH391" t="s">
        <v>8988</v>
      </c>
      <c r="CJ391" t="s">
        <v>8989</v>
      </c>
      <c r="CK391" t="s">
        <v>8988</v>
      </c>
      <c r="CL391" t="s">
        <v>8978</v>
      </c>
      <c r="CM391" t="s">
        <v>5879</v>
      </c>
      <c r="CN391" t="s">
        <v>8989</v>
      </c>
      <c r="CO391" t="s">
        <v>8990</v>
      </c>
      <c r="CP391" t="s">
        <v>8991</v>
      </c>
      <c r="CQ391" t="s">
        <v>8988</v>
      </c>
    </row>
    <row r="392" spans="1:95">
      <c r="A392" t="s">
        <v>149</v>
      </c>
      <c r="B392">
        <v>47745</v>
      </c>
      <c r="C392" t="s">
        <v>8992</v>
      </c>
      <c r="D392" t="str">
        <f>VLOOKUP(B392,'2025'!B:C,2,0)</f>
        <v>Anushka</v>
      </c>
      <c r="F392" t="s">
        <v>95</v>
      </c>
      <c r="G392" t="s">
        <v>578</v>
      </c>
      <c r="H392" t="s">
        <v>97</v>
      </c>
      <c r="I392" t="s">
        <v>98</v>
      </c>
      <c r="J392" t="s">
        <v>8993</v>
      </c>
      <c r="K392" t="s">
        <v>100</v>
      </c>
      <c r="L392">
        <v>1040160</v>
      </c>
      <c r="M392">
        <v>1040160</v>
      </c>
      <c r="N392">
        <v>1040160</v>
      </c>
      <c r="O392">
        <v>1600</v>
      </c>
      <c r="P392" t="s">
        <v>1122</v>
      </c>
      <c r="Q392">
        <v>0</v>
      </c>
      <c r="R392">
        <v>0</v>
      </c>
      <c r="T392">
        <v>0</v>
      </c>
      <c r="U392">
        <v>0</v>
      </c>
      <c r="W392" t="s">
        <v>102</v>
      </c>
      <c r="X392" t="s">
        <v>103</v>
      </c>
      <c r="Y392" t="s">
        <v>104</v>
      </c>
      <c r="AA392" t="s">
        <v>719</v>
      </c>
      <c r="AB392" t="s">
        <v>8994</v>
      </c>
      <c r="AC392" t="s">
        <v>5499</v>
      </c>
      <c r="AD392" t="s">
        <v>8995</v>
      </c>
      <c r="AE392" t="s">
        <v>109</v>
      </c>
      <c r="AF392" t="s">
        <v>102</v>
      </c>
      <c r="AG392" t="s">
        <v>109</v>
      </c>
      <c r="AH392" t="s">
        <v>102</v>
      </c>
      <c r="AI392" t="s">
        <v>102</v>
      </c>
      <c r="AJ392" t="s">
        <v>321</v>
      </c>
      <c r="AK392" t="s">
        <v>8996</v>
      </c>
      <c r="AL392" t="s">
        <v>8997</v>
      </c>
      <c r="AM392" t="s">
        <v>8998</v>
      </c>
      <c r="AN392" t="s">
        <v>8999</v>
      </c>
      <c r="AO392" t="s">
        <v>6322</v>
      </c>
      <c r="AP392" t="s">
        <v>6322</v>
      </c>
      <c r="AU392" t="s">
        <v>318</v>
      </c>
      <c r="AV392" t="s">
        <v>118</v>
      </c>
      <c r="AW392" t="s">
        <v>102</v>
      </c>
      <c r="AX392" t="s">
        <v>119</v>
      </c>
      <c r="BB392" t="s">
        <v>120</v>
      </c>
      <c r="BC392" t="s">
        <v>2204</v>
      </c>
      <c r="BD392" t="s">
        <v>121</v>
      </c>
      <c r="BE392" t="s">
        <v>122</v>
      </c>
      <c r="BF392" t="s">
        <v>123</v>
      </c>
      <c r="BG392" t="s">
        <v>124</v>
      </c>
      <c r="BH392" t="s">
        <v>578</v>
      </c>
      <c r="BI392" t="s">
        <v>126</v>
      </c>
      <c r="BJ392" t="s">
        <v>127</v>
      </c>
      <c r="BK392" t="s">
        <v>9000</v>
      </c>
      <c r="BL392" t="s">
        <v>9001</v>
      </c>
      <c r="BM392" t="s">
        <v>9002</v>
      </c>
      <c r="BN392" t="s">
        <v>578</v>
      </c>
      <c r="BO392" t="s">
        <v>593</v>
      </c>
      <c r="BP392" t="s">
        <v>258</v>
      </c>
      <c r="BQ392" t="s">
        <v>594</v>
      </c>
      <c r="BR392" t="s">
        <v>595</v>
      </c>
      <c r="BS392" t="s">
        <v>1006</v>
      </c>
      <c r="BU392" t="s">
        <v>9003</v>
      </c>
      <c r="BV392" t="s">
        <v>9004</v>
      </c>
      <c r="BW392" t="s">
        <v>138</v>
      </c>
      <c r="BX392" t="s">
        <v>9005</v>
      </c>
      <c r="BY392" t="s">
        <v>9006</v>
      </c>
      <c r="BZ392" t="s">
        <v>9007</v>
      </c>
      <c r="CA392" t="s">
        <v>9004</v>
      </c>
      <c r="CB392" t="s">
        <v>9005</v>
      </c>
      <c r="CC392" t="s">
        <v>9006</v>
      </c>
      <c r="CD392" t="s">
        <v>9008</v>
      </c>
      <c r="CE392" t="s">
        <v>9009</v>
      </c>
      <c r="CF392" t="s">
        <v>9010</v>
      </c>
      <c r="CG392" t="s">
        <v>102</v>
      </c>
      <c r="CH392" t="s">
        <v>9011</v>
      </c>
      <c r="CJ392" t="s">
        <v>5311</v>
      </c>
      <c r="CK392" t="s">
        <v>9011</v>
      </c>
      <c r="CL392" t="s">
        <v>2204</v>
      </c>
      <c r="CM392" t="s">
        <v>121</v>
      </c>
      <c r="CN392" t="s">
        <v>5311</v>
      </c>
      <c r="CP392" t="s">
        <v>9011</v>
      </c>
      <c r="CQ392" t="s">
        <v>9011</v>
      </c>
    </row>
    <row r="393" spans="1:95">
      <c r="A393" t="s">
        <v>495</v>
      </c>
      <c r="B393">
        <v>48496</v>
      </c>
      <c r="C393" t="s">
        <v>9012</v>
      </c>
      <c r="E393" s="4" t="s">
        <v>17377</v>
      </c>
      <c r="F393" t="s">
        <v>95</v>
      </c>
      <c r="G393" t="s">
        <v>497</v>
      </c>
      <c r="H393" t="s">
        <v>97</v>
      </c>
      <c r="I393" t="s">
        <v>98</v>
      </c>
      <c r="J393" t="s">
        <v>9013</v>
      </c>
      <c r="K393" t="s">
        <v>100</v>
      </c>
      <c r="L393">
        <v>0</v>
      </c>
      <c r="M393">
        <v>0</v>
      </c>
      <c r="N393">
        <v>0</v>
      </c>
      <c r="O393">
        <v>627</v>
      </c>
      <c r="P393" t="s">
        <v>102</v>
      </c>
      <c r="Q393">
        <v>0</v>
      </c>
      <c r="R393">
        <v>0</v>
      </c>
      <c r="T393">
        <v>0</v>
      </c>
      <c r="U393">
        <v>0</v>
      </c>
      <c r="W393" t="s">
        <v>102</v>
      </c>
      <c r="X393" t="s">
        <v>275</v>
      </c>
      <c r="Z393" t="s">
        <v>499</v>
      </c>
      <c r="AA393" t="s">
        <v>109</v>
      </c>
      <c r="AB393" t="s">
        <v>102</v>
      </c>
      <c r="AC393" t="s">
        <v>109</v>
      </c>
      <c r="AD393" t="s">
        <v>102</v>
      </c>
      <c r="AE393" t="s">
        <v>109</v>
      </c>
      <c r="AF393" t="s">
        <v>102</v>
      </c>
      <c r="AG393" t="s">
        <v>109</v>
      </c>
      <c r="AH393" t="s">
        <v>102</v>
      </c>
      <c r="AI393" t="s">
        <v>102</v>
      </c>
      <c r="AL393" t="s">
        <v>102</v>
      </c>
      <c r="AM393" t="s">
        <v>102</v>
      </c>
      <c r="AN393" t="s">
        <v>102</v>
      </c>
      <c r="AO393" t="s">
        <v>115</v>
      </c>
      <c r="AP393" t="s">
        <v>115</v>
      </c>
      <c r="AU393" t="s">
        <v>117</v>
      </c>
      <c r="AV393" t="s">
        <v>118</v>
      </c>
      <c r="AW393" t="s">
        <v>102</v>
      </c>
      <c r="AX393" t="s">
        <v>119</v>
      </c>
      <c r="BB393" t="s">
        <v>171</v>
      </c>
      <c r="BC393" t="s">
        <v>623</v>
      </c>
      <c r="BD393" t="s">
        <v>621</v>
      </c>
      <c r="BE393" t="s">
        <v>622</v>
      </c>
      <c r="BF393" t="s">
        <v>623</v>
      </c>
      <c r="BG393" t="s">
        <v>124</v>
      </c>
      <c r="BH393" t="s">
        <v>501</v>
      </c>
      <c r="BI393" t="s">
        <v>126</v>
      </c>
      <c r="BJ393" t="s">
        <v>127</v>
      </c>
      <c r="BK393" t="s">
        <v>9014</v>
      </c>
      <c r="BL393" t="s">
        <v>9015</v>
      </c>
      <c r="BM393" t="s">
        <v>9016</v>
      </c>
      <c r="BN393" t="s">
        <v>497</v>
      </c>
      <c r="BO393" t="s">
        <v>505</v>
      </c>
      <c r="BP393" t="s">
        <v>505</v>
      </c>
      <c r="BQ393" t="s">
        <v>225</v>
      </c>
      <c r="BR393" t="s">
        <v>506</v>
      </c>
      <c r="BS393" t="s">
        <v>507</v>
      </c>
      <c r="BU393" t="s">
        <v>9017</v>
      </c>
      <c r="BV393" t="s">
        <v>9018</v>
      </c>
      <c r="BW393" t="s">
        <v>138</v>
      </c>
      <c r="BX393" t="s">
        <v>9019</v>
      </c>
      <c r="BY393" t="s">
        <v>9020</v>
      </c>
      <c r="BZ393" t="s">
        <v>9021</v>
      </c>
      <c r="CA393" t="s">
        <v>9018</v>
      </c>
      <c r="CB393" t="s">
        <v>9019</v>
      </c>
      <c r="CC393" t="s">
        <v>9020</v>
      </c>
      <c r="CD393" t="s">
        <v>9022</v>
      </c>
      <c r="CE393" t="s">
        <v>9019</v>
      </c>
      <c r="CF393" t="s">
        <v>9023</v>
      </c>
      <c r="CG393" t="s">
        <v>102</v>
      </c>
      <c r="CH393" t="s">
        <v>9024</v>
      </c>
      <c r="CJ393" t="s">
        <v>1351</v>
      </c>
      <c r="CK393" t="s">
        <v>9024</v>
      </c>
      <c r="CL393" t="s">
        <v>623</v>
      </c>
      <c r="CM393" t="s">
        <v>621</v>
      </c>
      <c r="CN393" t="s">
        <v>1351</v>
      </c>
      <c r="CP393" t="s">
        <v>9024</v>
      </c>
      <c r="CQ393" t="s">
        <v>9024</v>
      </c>
    </row>
    <row r="394" spans="1:95">
      <c r="A394" t="s">
        <v>149</v>
      </c>
      <c r="B394">
        <v>4930</v>
      </c>
      <c r="C394" t="s">
        <v>9025</v>
      </c>
      <c r="D394" t="str">
        <f>VLOOKUP(B394,'2025'!B:C,2,0)</f>
        <v>Aruna</v>
      </c>
      <c r="F394" t="s">
        <v>95</v>
      </c>
      <c r="G394" t="s">
        <v>9026</v>
      </c>
      <c r="H394" t="s">
        <v>193</v>
      </c>
      <c r="I394" t="s">
        <v>98</v>
      </c>
      <c r="J394" t="s">
        <v>9027</v>
      </c>
      <c r="K394" t="s">
        <v>100</v>
      </c>
      <c r="L394">
        <v>1882813</v>
      </c>
      <c r="M394">
        <v>2117582</v>
      </c>
      <c r="N394">
        <v>578541</v>
      </c>
      <c r="O394">
        <v>883</v>
      </c>
      <c r="P394" t="s">
        <v>9028</v>
      </c>
      <c r="Q394">
        <v>0</v>
      </c>
      <c r="R394">
        <v>0</v>
      </c>
      <c r="T394">
        <v>1304272</v>
      </c>
      <c r="U394">
        <v>780</v>
      </c>
      <c r="V394" t="s">
        <v>9029</v>
      </c>
      <c r="W394" t="s">
        <v>102</v>
      </c>
      <c r="X394" t="s">
        <v>275</v>
      </c>
      <c r="Z394" t="s">
        <v>9030</v>
      </c>
      <c r="AA394" t="s">
        <v>109</v>
      </c>
      <c r="AB394" t="s">
        <v>102</v>
      </c>
      <c r="AC394" t="s">
        <v>109</v>
      </c>
      <c r="AD394" t="s">
        <v>102</v>
      </c>
      <c r="AE394" t="s">
        <v>109</v>
      </c>
      <c r="AF394" t="s">
        <v>102</v>
      </c>
      <c r="AG394" t="s">
        <v>109</v>
      </c>
      <c r="AH394" t="s">
        <v>102</v>
      </c>
      <c r="AI394" t="s">
        <v>102</v>
      </c>
      <c r="AJ394" t="s">
        <v>214</v>
      </c>
      <c r="AK394" t="s">
        <v>214</v>
      </c>
      <c r="AL394" t="s">
        <v>9031</v>
      </c>
      <c r="AM394" t="s">
        <v>9032</v>
      </c>
      <c r="AN394" t="s">
        <v>9033</v>
      </c>
      <c r="AO394" t="s">
        <v>9034</v>
      </c>
      <c r="AP394" t="s">
        <v>9034</v>
      </c>
      <c r="AU394" t="s">
        <v>247</v>
      </c>
      <c r="AV394" t="s">
        <v>118</v>
      </c>
      <c r="AW394" t="s">
        <v>102</v>
      </c>
      <c r="AX394" t="s">
        <v>119</v>
      </c>
      <c r="BA394" t="s">
        <v>250</v>
      </c>
      <c r="BB394" t="s">
        <v>120</v>
      </c>
      <c r="BC394" t="s">
        <v>920</v>
      </c>
      <c r="BD394" t="s">
        <v>211</v>
      </c>
      <c r="BE394" t="s">
        <v>212</v>
      </c>
      <c r="BF394" t="s">
        <v>213</v>
      </c>
      <c r="BG394" t="s">
        <v>124</v>
      </c>
      <c r="BH394" t="s">
        <v>214</v>
      </c>
      <c r="BI394" t="s">
        <v>625</v>
      </c>
      <c r="BJ394" t="s">
        <v>127</v>
      </c>
      <c r="BK394" t="s">
        <v>9035</v>
      </c>
      <c r="BL394" t="s">
        <v>9036</v>
      </c>
      <c r="BM394" t="s">
        <v>9037</v>
      </c>
      <c r="BN394" t="s">
        <v>9026</v>
      </c>
      <c r="BO394" t="s">
        <v>9038</v>
      </c>
      <c r="BP394" t="s">
        <v>5833</v>
      </c>
      <c r="BQ394" t="s">
        <v>9039</v>
      </c>
      <c r="BR394" t="s">
        <v>9040</v>
      </c>
      <c r="BS394" t="s">
        <v>2151</v>
      </c>
      <c r="BU394" t="s">
        <v>9041</v>
      </c>
      <c r="BV394" t="s">
        <v>9042</v>
      </c>
      <c r="BW394" t="s">
        <v>598</v>
      </c>
      <c r="BX394" t="s">
        <v>9043</v>
      </c>
      <c r="BY394" t="s">
        <v>7113</v>
      </c>
      <c r="BZ394" t="s">
        <v>7114</v>
      </c>
      <c r="CA394" t="s">
        <v>9044</v>
      </c>
      <c r="CB394" t="s">
        <v>9045</v>
      </c>
      <c r="CC394" t="s">
        <v>9046</v>
      </c>
      <c r="CD394" t="s">
        <v>9047</v>
      </c>
      <c r="CE394" t="s">
        <v>9048</v>
      </c>
      <c r="CF394" t="s">
        <v>9046</v>
      </c>
      <c r="CG394" t="s">
        <v>102</v>
      </c>
      <c r="CH394" t="s">
        <v>9049</v>
      </c>
      <c r="CJ394" t="s">
        <v>9050</v>
      </c>
      <c r="CK394" t="s">
        <v>9049</v>
      </c>
      <c r="CL394" t="s">
        <v>920</v>
      </c>
      <c r="CM394" t="s">
        <v>211</v>
      </c>
      <c r="CN394" t="s">
        <v>9050</v>
      </c>
      <c r="CP394" t="s">
        <v>9049</v>
      </c>
      <c r="CQ394" t="s">
        <v>9049</v>
      </c>
    </row>
    <row r="395" spans="1:95">
      <c r="A395" t="s">
        <v>337</v>
      </c>
      <c r="B395">
        <v>5000929</v>
      </c>
      <c r="C395" t="s">
        <v>9051</v>
      </c>
      <c r="E395" s="4" t="s">
        <v>17377</v>
      </c>
      <c r="F395" t="s">
        <v>95</v>
      </c>
      <c r="G395" t="s">
        <v>9052</v>
      </c>
      <c r="H395" t="s">
        <v>848</v>
      </c>
      <c r="I395" t="s">
        <v>98</v>
      </c>
      <c r="J395" t="s">
        <v>9053</v>
      </c>
      <c r="K395" t="s">
        <v>100</v>
      </c>
      <c r="L395">
        <v>146422</v>
      </c>
      <c r="M395">
        <v>172778</v>
      </c>
      <c r="N395">
        <v>0</v>
      </c>
      <c r="O395">
        <v>0</v>
      </c>
      <c r="Q395">
        <v>0</v>
      </c>
      <c r="R395">
        <v>0</v>
      </c>
      <c r="T395">
        <v>146422</v>
      </c>
      <c r="U395">
        <v>53</v>
      </c>
      <c r="V395" t="s">
        <v>4311</v>
      </c>
      <c r="W395" t="s">
        <v>102</v>
      </c>
      <c r="X395" t="s">
        <v>275</v>
      </c>
      <c r="Z395" t="s">
        <v>9054</v>
      </c>
      <c r="AA395" t="s">
        <v>109</v>
      </c>
      <c r="AB395" t="s">
        <v>102</v>
      </c>
      <c r="AC395" t="s">
        <v>109</v>
      </c>
      <c r="AD395" t="s">
        <v>102</v>
      </c>
      <c r="AE395" t="s">
        <v>109</v>
      </c>
      <c r="AF395" t="s">
        <v>102</v>
      </c>
      <c r="AG395" t="s">
        <v>109</v>
      </c>
      <c r="AH395" t="s">
        <v>102</v>
      </c>
      <c r="AI395" t="s">
        <v>9055</v>
      </c>
      <c r="AJ395" t="s">
        <v>9056</v>
      </c>
      <c r="AK395" t="s">
        <v>9056</v>
      </c>
      <c r="AL395" t="s">
        <v>9057</v>
      </c>
      <c r="AM395" t="s">
        <v>9058</v>
      </c>
      <c r="AN395" t="s">
        <v>9059</v>
      </c>
      <c r="AO395" t="s">
        <v>9060</v>
      </c>
      <c r="AP395" t="s">
        <v>9060</v>
      </c>
      <c r="AU395" t="s">
        <v>102</v>
      </c>
      <c r="AW395" t="s">
        <v>102</v>
      </c>
      <c r="AX395" t="s">
        <v>119</v>
      </c>
      <c r="BA395" t="s">
        <v>250</v>
      </c>
      <c r="BB395" t="s">
        <v>1664</v>
      </c>
      <c r="BC395" t="s">
        <v>623</v>
      </c>
      <c r="BD395" t="s">
        <v>621</v>
      </c>
      <c r="BE395" t="s">
        <v>622</v>
      </c>
      <c r="BF395" t="s">
        <v>623</v>
      </c>
      <c r="BG395" t="s">
        <v>124</v>
      </c>
      <c r="BH395" t="s">
        <v>3457</v>
      </c>
      <c r="BI395" t="s">
        <v>9061</v>
      </c>
      <c r="BJ395" t="s">
        <v>127</v>
      </c>
      <c r="BK395" t="s">
        <v>9062</v>
      </c>
      <c r="BL395" t="s">
        <v>9063</v>
      </c>
      <c r="BM395" t="s">
        <v>9064</v>
      </c>
      <c r="BN395" t="s">
        <v>9052</v>
      </c>
      <c r="BO395" t="s">
        <v>1670</v>
      </c>
      <c r="BP395" t="s">
        <v>258</v>
      </c>
      <c r="BQ395" t="s">
        <v>1671</v>
      </c>
      <c r="BR395" t="s">
        <v>1672</v>
      </c>
      <c r="BS395" t="s">
        <v>507</v>
      </c>
      <c r="BT395" t="s">
        <v>1279</v>
      </c>
      <c r="BU395" t="s">
        <v>9065</v>
      </c>
      <c r="BV395" t="s">
        <v>9066</v>
      </c>
      <c r="BW395" t="s">
        <v>138</v>
      </c>
      <c r="BX395" t="s">
        <v>9067</v>
      </c>
      <c r="BY395" t="s">
        <v>9068</v>
      </c>
      <c r="BZ395" t="s">
        <v>9069</v>
      </c>
      <c r="CA395" t="s">
        <v>9070</v>
      </c>
      <c r="CB395" t="s">
        <v>9067</v>
      </c>
      <c r="CC395" t="s">
        <v>9068</v>
      </c>
      <c r="CD395" t="s">
        <v>9071</v>
      </c>
      <c r="CE395" t="s">
        <v>9072</v>
      </c>
      <c r="CF395" t="s">
        <v>9073</v>
      </c>
      <c r="CG395" t="s">
        <v>9074</v>
      </c>
      <c r="CH395" t="s">
        <v>9075</v>
      </c>
      <c r="CJ395" t="s">
        <v>7139</v>
      </c>
      <c r="CK395" t="s">
        <v>9075</v>
      </c>
      <c r="CL395" t="s">
        <v>623</v>
      </c>
      <c r="CM395" t="s">
        <v>621</v>
      </c>
      <c r="CN395" t="s">
        <v>7139</v>
      </c>
      <c r="CP395" t="s">
        <v>9075</v>
      </c>
      <c r="CQ395" t="s">
        <v>9075</v>
      </c>
    </row>
    <row r="396" spans="1:95">
      <c r="A396" t="s">
        <v>149</v>
      </c>
      <c r="B396">
        <v>5002504</v>
      </c>
      <c r="C396" t="s">
        <v>9076</v>
      </c>
      <c r="D396" t="str">
        <f>VLOOKUP(B396,'2025'!B:C,2,0)</f>
        <v>Tanya, Chaitanya</v>
      </c>
      <c r="F396" t="s">
        <v>95</v>
      </c>
      <c r="G396" t="s">
        <v>9077</v>
      </c>
      <c r="H396" t="s">
        <v>9078</v>
      </c>
      <c r="I396" t="s">
        <v>98</v>
      </c>
      <c r="J396" t="s">
        <v>9079</v>
      </c>
      <c r="K396" t="s">
        <v>100</v>
      </c>
      <c r="L396">
        <v>0</v>
      </c>
      <c r="M396">
        <v>0</v>
      </c>
      <c r="N396">
        <v>0</v>
      </c>
      <c r="O396">
        <v>399</v>
      </c>
      <c r="P396" t="s">
        <v>102</v>
      </c>
      <c r="Q396">
        <v>0</v>
      </c>
      <c r="R396">
        <v>355</v>
      </c>
      <c r="S396" t="s">
        <v>102</v>
      </c>
      <c r="T396">
        <v>0</v>
      </c>
      <c r="U396">
        <v>412</v>
      </c>
      <c r="V396" t="s">
        <v>102</v>
      </c>
      <c r="W396" t="s">
        <v>102</v>
      </c>
      <c r="X396" t="s">
        <v>679</v>
      </c>
      <c r="Y396" t="s">
        <v>155</v>
      </c>
      <c r="Z396" t="s">
        <v>721</v>
      </c>
      <c r="AA396" t="s">
        <v>2914</v>
      </c>
      <c r="AB396" t="s">
        <v>102</v>
      </c>
      <c r="AC396" t="s">
        <v>9080</v>
      </c>
      <c r="AD396" t="s">
        <v>102</v>
      </c>
      <c r="AE396" t="s">
        <v>9081</v>
      </c>
      <c r="AF396" t="s">
        <v>102</v>
      </c>
      <c r="AG396" t="s">
        <v>807</v>
      </c>
      <c r="AH396" t="s">
        <v>102</v>
      </c>
      <c r="AI396" t="s">
        <v>102</v>
      </c>
      <c r="AL396" t="s">
        <v>102</v>
      </c>
      <c r="AM396" t="s">
        <v>102</v>
      </c>
      <c r="AN396" t="s">
        <v>102</v>
      </c>
      <c r="AO396" t="s">
        <v>115</v>
      </c>
      <c r="AP396" t="s">
        <v>115</v>
      </c>
      <c r="AU396" t="s">
        <v>6700</v>
      </c>
      <c r="AV396" t="s">
        <v>250</v>
      </c>
      <c r="AW396" t="s">
        <v>1103</v>
      </c>
      <c r="AX396" t="s">
        <v>119</v>
      </c>
      <c r="AZ396" t="s">
        <v>250</v>
      </c>
      <c r="BA396" t="s">
        <v>250</v>
      </c>
      <c r="BB396" t="s">
        <v>120</v>
      </c>
      <c r="BC396" t="s">
        <v>9082</v>
      </c>
      <c r="BD396" t="s">
        <v>1244</v>
      </c>
      <c r="BE396" t="s">
        <v>122</v>
      </c>
      <c r="BF396" t="s">
        <v>1244</v>
      </c>
      <c r="BG396" t="s">
        <v>124</v>
      </c>
      <c r="BH396" t="s">
        <v>9083</v>
      </c>
      <c r="BI396" t="s">
        <v>1245</v>
      </c>
      <c r="BJ396" t="s">
        <v>127</v>
      </c>
      <c r="BK396" t="s">
        <v>9084</v>
      </c>
      <c r="BL396" t="s">
        <v>9085</v>
      </c>
      <c r="BM396" t="s">
        <v>9086</v>
      </c>
      <c r="BN396" t="s">
        <v>9077</v>
      </c>
      <c r="BO396" t="s">
        <v>9087</v>
      </c>
      <c r="BP396" t="s">
        <v>2928</v>
      </c>
      <c r="BQ396" t="s">
        <v>9088</v>
      </c>
      <c r="BR396" t="s">
        <v>9089</v>
      </c>
      <c r="BS396" t="s">
        <v>261</v>
      </c>
      <c r="BU396" t="s">
        <v>9090</v>
      </c>
      <c r="BV396" t="s">
        <v>9091</v>
      </c>
      <c r="BW396" t="s">
        <v>9092</v>
      </c>
      <c r="BX396" t="s">
        <v>9093</v>
      </c>
      <c r="BY396" t="s">
        <v>9094</v>
      </c>
      <c r="BZ396" t="s">
        <v>9095</v>
      </c>
      <c r="CA396" t="s">
        <v>9096</v>
      </c>
      <c r="CB396" t="s">
        <v>9097</v>
      </c>
      <c r="CC396" t="s">
        <v>9098</v>
      </c>
      <c r="CD396" t="s">
        <v>9099</v>
      </c>
      <c r="CE396" t="s">
        <v>9100</v>
      </c>
      <c r="CF396" t="s">
        <v>9098</v>
      </c>
      <c r="CG396" t="s">
        <v>102</v>
      </c>
      <c r="CH396" t="s">
        <v>9101</v>
      </c>
      <c r="CJ396" t="s">
        <v>9102</v>
      </c>
      <c r="CK396" t="s">
        <v>9103</v>
      </c>
      <c r="CL396" t="s">
        <v>9082</v>
      </c>
      <c r="CM396" t="s">
        <v>1244</v>
      </c>
      <c r="CN396" t="s">
        <v>9102</v>
      </c>
      <c r="CP396" t="s">
        <v>9103</v>
      </c>
      <c r="CQ396" t="s">
        <v>9103</v>
      </c>
    </row>
    <row r="397" spans="1:95">
      <c r="A397" t="s">
        <v>149</v>
      </c>
      <c r="B397">
        <v>5002616</v>
      </c>
      <c r="C397" t="s">
        <v>9104</v>
      </c>
      <c r="D397" t="str">
        <f>VLOOKUP(B397,'2025'!B:C,2,0)</f>
        <v>Aruna</v>
      </c>
      <c r="F397" t="s">
        <v>95</v>
      </c>
      <c r="G397" t="s">
        <v>1521</v>
      </c>
      <c r="H397" t="s">
        <v>152</v>
      </c>
      <c r="I397" t="s">
        <v>98</v>
      </c>
      <c r="J397" t="s">
        <v>9105</v>
      </c>
      <c r="K397" t="s">
        <v>100</v>
      </c>
      <c r="L397">
        <v>559200</v>
      </c>
      <c r="M397">
        <v>559200</v>
      </c>
      <c r="N397">
        <v>0</v>
      </c>
      <c r="O397">
        <v>0</v>
      </c>
      <c r="Q397">
        <v>559200</v>
      </c>
      <c r="R397">
        <v>466</v>
      </c>
      <c r="S397" t="s">
        <v>880</v>
      </c>
      <c r="T397">
        <v>0</v>
      </c>
      <c r="U397">
        <v>0</v>
      </c>
      <c r="W397" t="s">
        <v>102</v>
      </c>
      <c r="X397" t="s">
        <v>103</v>
      </c>
      <c r="Y397" t="s">
        <v>155</v>
      </c>
      <c r="AA397" t="s">
        <v>883</v>
      </c>
      <c r="AB397" t="s">
        <v>9106</v>
      </c>
      <c r="AC397" t="s">
        <v>1602</v>
      </c>
      <c r="AD397" t="s">
        <v>9106</v>
      </c>
      <c r="AE397" t="s">
        <v>240</v>
      </c>
      <c r="AF397" t="s">
        <v>9106</v>
      </c>
      <c r="AG397" t="s">
        <v>1473</v>
      </c>
      <c r="AH397" t="s">
        <v>9106</v>
      </c>
      <c r="AI397" t="s">
        <v>9107</v>
      </c>
      <c r="AJ397" t="s">
        <v>2173</v>
      </c>
      <c r="AK397" t="s">
        <v>4741</v>
      </c>
      <c r="AL397" t="s">
        <v>9108</v>
      </c>
      <c r="AM397" t="s">
        <v>9109</v>
      </c>
      <c r="AN397" t="s">
        <v>9110</v>
      </c>
      <c r="AO397" t="s">
        <v>9111</v>
      </c>
      <c r="AP397" t="s">
        <v>9111</v>
      </c>
      <c r="AU397" t="s">
        <v>102</v>
      </c>
      <c r="AW397" t="s">
        <v>104</v>
      </c>
      <c r="AX397" t="s">
        <v>119</v>
      </c>
      <c r="AZ397" t="s">
        <v>250</v>
      </c>
      <c r="BB397" t="s">
        <v>120</v>
      </c>
      <c r="BC397" t="s">
        <v>920</v>
      </c>
      <c r="BD397" t="s">
        <v>211</v>
      </c>
      <c r="BE397" t="s">
        <v>212</v>
      </c>
      <c r="BF397" t="s">
        <v>213</v>
      </c>
      <c r="BG397" t="s">
        <v>124</v>
      </c>
      <c r="BH397" t="s">
        <v>214</v>
      </c>
      <c r="BI397" t="s">
        <v>625</v>
      </c>
      <c r="BJ397" t="s">
        <v>127</v>
      </c>
      <c r="BK397" t="s">
        <v>9112</v>
      </c>
      <c r="BL397" t="s">
        <v>9113</v>
      </c>
      <c r="BM397" t="s">
        <v>9114</v>
      </c>
      <c r="BN397" t="s">
        <v>1521</v>
      </c>
      <c r="BO397" t="s">
        <v>219</v>
      </c>
      <c r="BP397" t="s">
        <v>132</v>
      </c>
      <c r="BQ397" t="s">
        <v>220</v>
      </c>
      <c r="BR397" t="s">
        <v>221</v>
      </c>
      <c r="BS397" t="s">
        <v>222</v>
      </c>
      <c r="BU397" t="s">
        <v>9115</v>
      </c>
      <c r="BV397" t="s">
        <v>2184</v>
      </c>
      <c r="BW397" t="s">
        <v>138</v>
      </c>
      <c r="BX397" t="s">
        <v>2185</v>
      </c>
      <c r="BY397" t="s">
        <v>2186</v>
      </c>
      <c r="BZ397" t="s">
        <v>2187</v>
      </c>
      <c r="CA397" t="s">
        <v>2184</v>
      </c>
      <c r="CB397" t="s">
        <v>2185</v>
      </c>
      <c r="CC397" t="s">
        <v>2186</v>
      </c>
      <c r="CG397" t="s">
        <v>102</v>
      </c>
      <c r="CH397" t="s">
        <v>2188</v>
      </c>
      <c r="CJ397" t="s">
        <v>2189</v>
      </c>
      <c r="CK397" t="s">
        <v>2188</v>
      </c>
      <c r="CL397" t="s">
        <v>920</v>
      </c>
      <c r="CM397" t="s">
        <v>2474</v>
      </c>
      <c r="CN397" t="s">
        <v>2189</v>
      </c>
      <c r="CO397" t="s">
        <v>2190</v>
      </c>
      <c r="CP397" t="s">
        <v>2188</v>
      </c>
      <c r="CQ397" t="s">
        <v>2188</v>
      </c>
    </row>
    <row r="398" spans="1:95">
      <c r="A398" t="s">
        <v>149</v>
      </c>
      <c r="B398">
        <v>5002617</v>
      </c>
      <c r="C398" t="s">
        <v>9116</v>
      </c>
      <c r="D398" t="str">
        <f>VLOOKUP(B398,'2025'!B:C,2,0)</f>
        <v>Aruna</v>
      </c>
      <c r="F398" t="s">
        <v>95</v>
      </c>
      <c r="G398" t="s">
        <v>1521</v>
      </c>
      <c r="H398" t="s">
        <v>152</v>
      </c>
      <c r="I398" t="s">
        <v>98</v>
      </c>
      <c r="J398" t="s">
        <v>9117</v>
      </c>
      <c r="K398" t="s">
        <v>100</v>
      </c>
      <c r="L398">
        <v>285600</v>
      </c>
      <c r="M398">
        <v>285600</v>
      </c>
      <c r="N398">
        <v>0</v>
      </c>
      <c r="O398">
        <v>0</v>
      </c>
      <c r="Q398">
        <v>285600</v>
      </c>
      <c r="R398">
        <v>238</v>
      </c>
      <c r="S398" t="s">
        <v>880</v>
      </c>
      <c r="T398">
        <v>0</v>
      </c>
      <c r="U398">
        <v>0</v>
      </c>
      <c r="W398" t="s">
        <v>102</v>
      </c>
      <c r="X398" t="s">
        <v>103</v>
      </c>
      <c r="Y398" t="s">
        <v>155</v>
      </c>
      <c r="AA398" t="s">
        <v>883</v>
      </c>
      <c r="AB398" t="s">
        <v>9118</v>
      </c>
      <c r="AC398" t="s">
        <v>1602</v>
      </c>
      <c r="AD398" t="s">
        <v>9118</v>
      </c>
      <c r="AE398" t="s">
        <v>240</v>
      </c>
      <c r="AF398" t="s">
        <v>9118</v>
      </c>
      <c r="AG398" t="s">
        <v>1473</v>
      </c>
      <c r="AH398" t="s">
        <v>9118</v>
      </c>
      <c r="AI398" t="s">
        <v>9119</v>
      </c>
      <c r="AJ398" t="s">
        <v>4741</v>
      </c>
      <c r="AK398" t="s">
        <v>9120</v>
      </c>
      <c r="AL398" t="s">
        <v>9121</v>
      </c>
      <c r="AM398" t="s">
        <v>9122</v>
      </c>
      <c r="AN398" t="s">
        <v>9123</v>
      </c>
      <c r="AO398" t="s">
        <v>9111</v>
      </c>
      <c r="AP398" t="s">
        <v>9111</v>
      </c>
      <c r="AU398" t="s">
        <v>102</v>
      </c>
      <c r="AW398" t="s">
        <v>104</v>
      </c>
      <c r="AX398" t="s">
        <v>119</v>
      </c>
      <c r="AZ398" t="s">
        <v>250</v>
      </c>
      <c r="BB398" t="s">
        <v>120</v>
      </c>
      <c r="BC398" t="s">
        <v>920</v>
      </c>
      <c r="BD398" t="s">
        <v>211</v>
      </c>
      <c r="BE398" t="s">
        <v>212</v>
      </c>
      <c r="BF398" t="s">
        <v>213</v>
      </c>
      <c r="BG398" t="s">
        <v>124</v>
      </c>
      <c r="BH398" t="s">
        <v>214</v>
      </c>
      <c r="BI398" t="s">
        <v>625</v>
      </c>
      <c r="BJ398" t="s">
        <v>127</v>
      </c>
      <c r="BK398" t="s">
        <v>9124</v>
      </c>
      <c r="BL398" t="s">
        <v>9125</v>
      </c>
      <c r="BM398" t="s">
        <v>9126</v>
      </c>
      <c r="BN398" t="s">
        <v>1521</v>
      </c>
      <c r="BO398" t="s">
        <v>219</v>
      </c>
      <c r="BP398" t="s">
        <v>180</v>
      </c>
      <c r="BQ398" t="s">
        <v>220</v>
      </c>
      <c r="BR398" t="s">
        <v>221</v>
      </c>
      <c r="BS398" t="s">
        <v>222</v>
      </c>
      <c r="BU398" t="s">
        <v>9127</v>
      </c>
      <c r="BV398" t="s">
        <v>4750</v>
      </c>
      <c r="BW398" t="s">
        <v>138</v>
      </c>
      <c r="BX398" t="s">
        <v>4751</v>
      </c>
      <c r="BY398" t="s">
        <v>4752</v>
      </c>
      <c r="BZ398" t="s">
        <v>4751</v>
      </c>
      <c r="CG398" t="s">
        <v>102</v>
      </c>
      <c r="CH398" t="s">
        <v>4753</v>
      </c>
      <c r="CJ398" t="s">
        <v>3982</v>
      </c>
      <c r="CK398" t="s">
        <v>4753</v>
      </c>
      <c r="CL398" t="s">
        <v>920</v>
      </c>
      <c r="CM398" t="s">
        <v>2474</v>
      </c>
      <c r="CN398" t="s">
        <v>3982</v>
      </c>
      <c r="CO398" t="s">
        <v>2190</v>
      </c>
      <c r="CP398" t="s">
        <v>4753</v>
      </c>
      <c r="CQ398" t="s">
        <v>4753</v>
      </c>
    </row>
    <row r="399" spans="1:95">
      <c r="A399" t="s">
        <v>149</v>
      </c>
      <c r="B399">
        <v>5002619</v>
      </c>
      <c r="C399" t="s">
        <v>9128</v>
      </c>
      <c r="D399" t="str">
        <f>VLOOKUP(B399,'2025'!B:C,2,0)</f>
        <v>Lopamudra Das</v>
      </c>
      <c r="F399" t="s">
        <v>95</v>
      </c>
      <c r="G399" t="s">
        <v>9129</v>
      </c>
      <c r="H399" t="s">
        <v>97</v>
      </c>
      <c r="I399" t="s">
        <v>98</v>
      </c>
      <c r="J399" t="s">
        <v>9130</v>
      </c>
      <c r="K399" t="s">
        <v>100</v>
      </c>
      <c r="L399">
        <v>319274</v>
      </c>
      <c r="M399">
        <v>319274</v>
      </c>
      <c r="N399">
        <v>319274</v>
      </c>
      <c r="O399">
        <v>515</v>
      </c>
      <c r="P399" t="s">
        <v>9131</v>
      </c>
      <c r="Q399">
        <v>0</v>
      </c>
      <c r="R399">
        <v>0</v>
      </c>
      <c r="T399">
        <v>0</v>
      </c>
      <c r="U399">
        <v>0</v>
      </c>
      <c r="W399" t="s">
        <v>102</v>
      </c>
      <c r="X399" t="s">
        <v>275</v>
      </c>
      <c r="Z399" t="s">
        <v>1781</v>
      </c>
      <c r="AA399" t="s">
        <v>109</v>
      </c>
      <c r="AB399" t="s">
        <v>102</v>
      </c>
      <c r="AC399" t="s">
        <v>109</v>
      </c>
      <c r="AD399" t="s">
        <v>102</v>
      </c>
      <c r="AE399" t="s">
        <v>109</v>
      </c>
      <c r="AF399" t="s">
        <v>102</v>
      </c>
      <c r="AG399" t="s">
        <v>109</v>
      </c>
      <c r="AH399" t="s">
        <v>102</v>
      </c>
      <c r="AI399" t="s">
        <v>102</v>
      </c>
      <c r="AJ399" t="s">
        <v>2008</v>
      </c>
      <c r="AK399" t="s">
        <v>2008</v>
      </c>
      <c r="AL399" t="s">
        <v>9132</v>
      </c>
      <c r="AM399" t="s">
        <v>9132</v>
      </c>
      <c r="AN399" t="s">
        <v>102</v>
      </c>
      <c r="AO399" t="s">
        <v>9133</v>
      </c>
      <c r="AP399" t="s">
        <v>9133</v>
      </c>
      <c r="AU399" t="s">
        <v>117</v>
      </c>
      <c r="AV399" t="s">
        <v>118</v>
      </c>
      <c r="AW399" t="s">
        <v>102</v>
      </c>
      <c r="AX399" t="s">
        <v>119</v>
      </c>
      <c r="BB399" t="s">
        <v>120</v>
      </c>
      <c r="BC399" t="s">
        <v>375</v>
      </c>
      <c r="BD399" t="s">
        <v>376</v>
      </c>
      <c r="BE399" t="s">
        <v>174</v>
      </c>
      <c r="BF399" t="s">
        <v>376</v>
      </c>
      <c r="BG399" t="s">
        <v>124</v>
      </c>
      <c r="BH399" t="s">
        <v>721</v>
      </c>
      <c r="BI399" t="s">
        <v>126</v>
      </c>
      <c r="BJ399" t="s">
        <v>127</v>
      </c>
      <c r="BK399" t="s">
        <v>9134</v>
      </c>
      <c r="BL399" t="s">
        <v>9135</v>
      </c>
      <c r="BM399" t="s">
        <v>9136</v>
      </c>
      <c r="BN399" t="s">
        <v>9129</v>
      </c>
      <c r="BO399" t="s">
        <v>179</v>
      </c>
      <c r="BP399" t="s">
        <v>180</v>
      </c>
      <c r="BQ399" t="s">
        <v>181</v>
      </c>
      <c r="BR399" t="s">
        <v>182</v>
      </c>
      <c r="BS399" t="s">
        <v>384</v>
      </c>
      <c r="BU399" t="s">
        <v>9137</v>
      </c>
      <c r="BV399" t="s">
        <v>9138</v>
      </c>
      <c r="BW399" t="s">
        <v>138</v>
      </c>
      <c r="BX399" t="s">
        <v>9139</v>
      </c>
      <c r="BY399" t="s">
        <v>9140</v>
      </c>
      <c r="BZ399" t="s">
        <v>9141</v>
      </c>
      <c r="CA399" t="s">
        <v>9138</v>
      </c>
      <c r="CB399" t="s">
        <v>9142</v>
      </c>
      <c r="CC399" t="s">
        <v>9140</v>
      </c>
      <c r="CD399" t="s">
        <v>9143</v>
      </c>
      <c r="CE399" t="s">
        <v>9144</v>
      </c>
      <c r="CF399" t="s">
        <v>9145</v>
      </c>
      <c r="CG399" t="s">
        <v>102</v>
      </c>
      <c r="CH399" t="s">
        <v>9146</v>
      </c>
      <c r="CJ399" t="s">
        <v>9147</v>
      </c>
      <c r="CK399" t="s">
        <v>9146</v>
      </c>
      <c r="CL399" t="s">
        <v>375</v>
      </c>
      <c r="CM399" t="s">
        <v>376</v>
      </c>
      <c r="CN399" t="s">
        <v>9147</v>
      </c>
      <c r="CP399" t="s">
        <v>9148</v>
      </c>
      <c r="CQ399" t="s">
        <v>9149</v>
      </c>
    </row>
    <row r="400" spans="1:95">
      <c r="A400" t="s">
        <v>337</v>
      </c>
      <c r="B400">
        <v>5002735</v>
      </c>
      <c r="C400" t="s">
        <v>9150</v>
      </c>
      <c r="D400" t="str">
        <f>VLOOKUP(B400,'2025'!B:C,2,0)</f>
        <v>Aarti Iyer</v>
      </c>
      <c r="F400" t="s">
        <v>95</v>
      </c>
      <c r="G400" t="s">
        <v>111</v>
      </c>
      <c r="H400" t="s">
        <v>97</v>
      </c>
      <c r="I400" t="s">
        <v>98</v>
      </c>
      <c r="J400" t="s">
        <v>9151</v>
      </c>
      <c r="K400" t="s">
        <v>100</v>
      </c>
      <c r="L400">
        <v>391025</v>
      </c>
      <c r="M400">
        <v>391025</v>
      </c>
      <c r="N400">
        <v>391025</v>
      </c>
      <c r="O400">
        <v>391</v>
      </c>
      <c r="P400" t="s">
        <v>5042</v>
      </c>
      <c r="Q400">
        <v>0</v>
      </c>
      <c r="R400">
        <v>0</v>
      </c>
      <c r="T400">
        <v>0</v>
      </c>
      <c r="U400">
        <v>0</v>
      </c>
      <c r="W400" t="s">
        <v>102</v>
      </c>
      <c r="X400" t="s">
        <v>103</v>
      </c>
      <c r="Y400" t="s">
        <v>104</v>
      </c>
      <c r="AA400" t="s">
        <v>968</v>
      </c>
      <c r="AB400" t="s">
        <v>9152</v>
      </c>
      <c r="AC400" t="s">
        <v>2349</v>
      </c>
      <c r="AD400" t="s">
        <v>9152</v>
      </c>
      <c r="AE400" t="s">
        <v>109</v>
      </c>
      <c r="AF400" t="s">
        <v>102</v>
      </c>
      <c r="AG400" t="s">
        <v>109</v>
      </c>
      <c r="AH400" t="s">
        <v>102</v>
      </c>
      <c r="AI400" t="s">
        <v>9153</v>
      </c>
      <c r="AJ400" t="s">
        <v>5268</v>
      </c>
      <c r="AK400" t="s">
        <v>4497</v>
      </c>
      <c r="AL400" t="s">
        <v>9154</v>
      </c>
      <c r="AM400" t="s">
        <v>9155</v>
      </c>
      <c r="AN400" t="s">
        <v>9156</v>
      </c>
      <c r="AO400" t="s">
        <v>9157</v>
      </c>
      <c r="AP400" t="s">
        <v>9157</v>
      </c>
      <c r="AU400" t="s">
        <v>318</v>
      </c>
      <c r="AV400" t="s">
        <v>118</v>
      </c>
      <c r="AW400" t="s">
        <v>102</v>
      </c>
      <c r="AX400" t="s">
        <v>119</v>
      </c>
      <c r="BB400" t="s">
        <v>120</v>
      </c>
      <c r="BC400" t="s">
        <v>2127</v>
      </c>
      <c r="BD400" t="s">
        <v>621</v>
      </c>
      <c r="BE400" t="s">
        <v>622</v>
      </c>
      <c r="BF400" t="s">
        <v>976</v>
      </c>
      <c r="BG400" t="s">
        <v>124</v>
      </c>
      <c r="BH400" t="s">
        <v>400</v>
      </c>
      <c r="BI400" t="s">
        <v>1236</v>
      </c>
      <c r="BJ400" t="s">
        <v>127</v>
      </c>
      <c r="BK400" t="s">
        <v>9158</v>
      </c>
      <c r="BL400" t="s">
        <v>9159</v>
      </c>
      <c r="BM400" t="s">
        <v>9160</v>
      </c>
      <c r="BN400" t="s">
        <v>111</v>
      </c>
      <c r="BO400" t="s">
        <v>5802</v>
      </c>
      <c r="BP400" t="s">
        <v>132</v>
      </c>
      <c r="BQ400" t="s">
        <v>5803</v>
      </c>
      <c r="BR400" t="s">
        <v>5804</v>
      </c>
      <c r="BS400" t="s">
        <v>984</v>
      </c>
      <c r="BU400" t="s">
        <v>9161</v>
      </c>
      <c r="BV400" t="s">
        <v>9162</v>
      </c>
      <c r="BW400" t="s">
        <v>138</v>
      </c>
      <c r="BX400" t="s">
        <v>9163</v>
      </c>
      <c r="BY400" t="s">
        <v>9164</v>
      </c>
      <c r="BZ400" t="s">
        <v>9165</v>
      </c>
      <c r="CG400" t="s">
        <v>2270</v>
      </c>
      <c r="CH400" t="s">
        <v>9166</v>
      </c>
      <c r="CJ400" t="s">
        <v>9167</v>
      </c>
      <c r="CK400" t="s">
        <v>9166</v>
      </c>
      <c r="CL400" t="s">
        <v>2127</v>
      </c>
      <c r="CM400" t="s">
        <v>621</v>
      </c>
      <c r="CN400" t="s">
        <v>9167</v>
      </c>
      <c r="CP400" t="s">
        <v>9166</v>
      </c>
      <c r="CQ400" t="s">
        <v>9166</v>
      </c>
    </row>
    <row r="401" spans="1:95">
      <c r="A401" t="s">
        <v>149</v>
      </c>
      <c r="B401">
        <v>5002748</v>
      </c>
      <c r="C401" t="s">
        <v>9168</v>
      </c>
      <c r="E401" s="4" t="s">
        <v>17377</v>
      </c>
      <c r="F401" t="s">
        <v>95</v>
      </c>
      <c r="G401" t="s">
        <v>9169</v>
      </c>
      <c r="H401" t="s">
        <v>2044</v>
      </c>
      <c r="I401" t="s">
        <v>98</v>
      </c>
      <c r="J401" t="s">
        <v>9170</v>
      </c>
      <c r="K401" t="s">
        <v>100</v>
      </c>
      <c r="L401">
        <v>131872</v>
      </c>
      <c r="M401">
        <v>131872</v>
      </c>
      <c r="N401">
        <v>63346</v>
      </c>
      <c r="O401">
        <v>66</v>
      </c>
      <c r="P401" t="s">
        <v>9171</v>
      </c>
      <c r="Q401">
        <v>68526</v>
      </c>
      <c r="R401">
        <v>66</v>
      </c>
      <c r="S401" t="s">
        <v>9172</v>
      </c>
      <c r="T401">
        <v>0</v>
      </c>
      <c r="U401">
        <v>0</v>
      </c>
      <c r="W401" t="s">
        <v>102</v>
      </c>
      <c r="X401" t="s">
        <v>275</v>
      </c>
      <c r="Z401" t="s">
        <v>341</v>
      </c>
      <c r="AA401" t="s">
        <v>109</v>
      </c>
      <c r="AB401" t="s">
        <v>102</v>
      </c>
      <c r="AC401" t="s">
        <v>109</v>
      </c>
      <c r="AD401" t="s">
        <v>102</v>
      </c>
      <c r="AE401" t="s">
        <v>109</v>
      </c>
      <c r="AF401" t="s">
        <v>102</v>
      </c>
      <c r="AG401" t="s">
        <v>109</v>
      </c>
      <c r="AH401" t="s">
        <v>102</v>
      </c>
      <c r="AI401" t="s">
        <v>9173</v>
      </c>
      <c r="AJ401" t="s">
        <v>3231</v>
      </c>
      <c r="AK401" t="s">
        <v>3231</v>
      </c>
      <c r="AL401" t="s">
        <v>9174</v>
      </c>
      <c r="AM401" t="s">
        <v>9175</v>
      </c>
      <c r="AN401" t="s">
        <v>102</v>
      </c>
      <c r="AO401" t="s">
        <v>9176</v>
      </c>
      <c r="AP401" t="s">
        <v>9177</v>
      </c>
      <c r="AQ401" t="s">
        <v>343</v>
      </c>
      <c r="AS401" t="s">
        <v>169</v>
      </c>
      <c r="AT401" t="s">
        <v>169</v>
      </c>
      <c r="AU401" t="s">
        <v>318</v>
      </c>
      <c r="AV401" t="s">
        <v>118</v>
      </c>
      <c r="AW401" t="s">
        <v>104</v>
      </c>
      <c r="AX401" t="s">
        <v>119</v>
      </c>
      <c r="AY401" t="s">
        <v>170</v>
      </c>
      <c r="AZ401" t="s">
        <v>118</v>
      </c>
      <c r="BB401" t="s">
        <v>120</v>
      </c>
      <c r="BC401" t="s">
        <v>9178</v>
      </c>
      <c r="BD401" t="s">
        <v>320</v>
      </c>
      <c r="BE401" t="s">
        <v>122</v>
      </c>
      <c r="BF401" t="s">
        <v>123</v>
      </c>
      <c r="BG401" t="s">
        <v>124</v>
      </c>
      <c r="BH401" t="s">
        <v>214</v>
      </c>
      <c r="BI401" t="s">
        <v>126</v>
      </c>
      <c r="BJ401" t="s">
        <v>127</v>
      </c>
      <c r="BK401" t="s">
        <v>9179</v>
      </c>
      <c r="BL401" t="s">
        <v>9180</v>
      </c>
      <c r="BM401" t="s">
        <v>9181</v>
      </c>
      <c r="BN401" t="s">
        <v>9169</v>
      </c>
      <c r="BO401" t="s">
        <v>1108</v>
      </c>
      <c r="BP401" t="s">
        <v>696</v>
      </c>
      <c r="BQ401" t="s">
        <v>1109</v>
      </c>
      <c r="BR401" t="s">
        <v>1110</v>
      </c>
      <c r="BS401" t="s">
        <v>135</v>
      </c>
      <c r="BT401" t="s">
        <v>135</v>
      </c>
      <c r="BU401" t="s">
        <v>9182</v>
      </c>
      <c r="BV401" t="s">
        <v>9183</v>
      </c>
      <c r="BW401" t="s">
        <v>9184</v>
      </c>
      <c r="BX401" t="s">
        <v>9185</v>
      </c>
      <c r="BY401" t="s">
        <v>9186</v>
      </c>
      <c r="BZ401" t="s">
        <v>9187</v>
      </c>
      <c r="CG401" t="s">
        <v>102</v>
      </c>
      <c r="CH401" t="s">
        <v>9188</v>
      </c>
      <c r="CJ401" t="s">
        <v>5161</v>
      </c>
      <c r="CK401" t="s">
        <v>9188</v>
      </c>
      <c r="CL401" t="s">
        <v>9178</v>
      </c>
      <c r="CM401" t="s">
        <v>320</v>
      </c>
      <c r="CN401" t="s">
        <v>5161</v>
      </c>
      <c r="CO401" t="s">
        <v>9189</v>
      </c>
      <c r="CP401" t="s">
        <v>9188</v>
      </c>
      <c r="CQ401" t="s">
        <v>9188</v>
      </c>
    </row>
    <row r="402" spans="1:95">
      <c r="A402" t="s">
        <v>149</v>
      </c>
      <c r="B402">
        <v>5004123</v>
      </c>
      <c r="C402" t="s">
        <v>9190</v>
      </c>
      <c r="D402" t="str">
        <f>VLOOKUP(B402,'2025'!B:C,2,0)</f>
        <v>Ishita Jethwa</v>
      </c>
      <c r="F402" t="s">
        <v>95</v>
      </c>
      <c r="G402" t="s">
        <v>9191</v>
      </c>
      <c r="H402" t="s">
        <v>97</v>
      </c>
      <c r="I402" t="s">
        <v>98</v>
      </c>
      <c r="J402" t="s">
        <v>9192</v>
      </c>
      <c r="K402" t="s">
        <v>100</v>
      </c>
      <c r="L402">
        <v>284061</v>
      </c>
      <c r="M402">
        <v>284061</v>
      </c>
      <c r="N402">
        <v>284061</v>
      </c>
      <c r="O402">
        <v>437</v>
      </c>
      <c r="P402" t="s">
        <v>1122</v>
      </c>
      <c r="Q402">
        <v>0</v>
      </c>
      <c r="R402">
        <v>0</v>
      </c>
      <c r="T402">
        <v>0</v>
      </c>
      <c r="U402">
        <v>0</v>
      </c>
      <c r="W402" t="s">
        <v>102</v>
      </c>
      <c r="X402" t="s">
        <v>275</v>
      </c>
      <c r="Z402" t="s">
        <v>341</v>
      </c>
      <c r="AA402" t="s">
        <v>109</v>
      </c>
      <c r="AB402" t="s">
        <v>102</v>
      </c>
      <c r="AC402" t="s">
        <v>109</v>
      </c>
      <c r="AD402" t="s">
        <v>102</v>
      </c>
      <c r="AE402" t="s">
        <v>109</v>
      </c>
      <c r="AF402" t="s">
        <v>102</v>
      </c>
      <c r="AG402" t="s">
        <v>109</v>
      </c>
      <c r="AH402" t="s">
        <v>102</v>
      </c>
      <c r="AI402" t="s">
        <v>9193</v>
      </c>
      <c r="AJ402" t="s">
        <v>9194</v>
      </c>
      <c r="AK402" t="s">
        <v>9194</v>
      </c>
      <c r="AL402" t="s">
        <v>9195</v>
      </c>
      <c r="AM402" t="s">
        <v>9196</v>
      </c>
      <c r="AN402" t="s">
        <v>9197</v>
      </c>
      <c r="AO402" t="s">
        <v>9198</v>
      </c>
      <c r="AP402" t="s">
        <v>9199</v>
      </c>
      <c r="AQ402" t="s">
        <v>343</v>
      </c>
      <c r="AT402" t="s">
        <v>169</v>
      </c>
      <c r="AU402" t="s">
        <v>117</v>
      </c>
      <c r="AV402" t="s">
        <v>118</v>
      </c>
      <c r="AW402" t="s">
        <v>102</v>
      </c>
      <c r="AX402" t="s">
        <v>119</v>
      </c>
      <c r="BB402" t="s">
        <v>3678</v>
      </c>
      <c r="BC402" t="s">
        <v>2327</v>
      </c>
      <c r="BD402" t="s">
        <v>730</v>
      </c>
      <c r="BE402" t="s">
        <v>622</v>
      </c>
      <c r="BF402" t="s">
        <v>730</v>
      </c>
      <c r="BG402" t="s">
        <v>124</v>
      </c>
      <c r="BH402" t="s">
        <v>892</v>
      </c>
      <c r="BI402" t="s">
        <v>411</v>
      </c>
      <c r="BJ402" t="s">
        <v>127</v>
      </c>
      <c r="BK402" t="s">
        <v>9200</v>
      </c>
      <c r="BL402" t="s">
        <v>9201</v>
      </c>
      <c r="BM402" t="s">
        <v>9202</v>
      </c>
      <c r="BN402" t="s">
        <v>9191</v>
      </c>
      <c r="BO402" t="s">
        <v>1733</v>
      </c>
      <c r="BP402" t="s">
        <v>350</v>
      </c>
      <c r="BQ402" t="s">
        <v>1734</v>
      </c>
      <c r="BR402" t="s">
        <v>1735</v>
      </c>
      <c r="BS402" t="s">
        <v>2525</v>
      </c>
      <c r="BU402" t="s">
        <v>9203</v>
      </c>
      <c r="BV402" t="s">
        <v>9204</v>
      </c>
      <c r="BW402" t="s">
        <v>598</v>
      </c>
      <c r="BX402" t="s">
        <v>9205</v>
      </c>
      <c r="BY402" t="s">
        <v>9206</v>
      </c>
      <c r="BZ402" t="s">
        <v>9207</v>
      </c>
      <c r="CG402" t="s">
        <v>102</v>
      </c>
      <c r="CH402" t="s">
        <v>9208</v>
      </c>
      <c r="CJ402" t="s">
        <v>4712</v>
      </c>
      <c r="CK402" t="s">
        <v>9208</v>
      </c>
      <c r="CL402" t="s">
        <v>2327</v>
      </c>
      <c r="CM402" t="s">
        <v>730</v>
      </c>
      <c r="CN402" t="s">
        <v>4712</v>
      </c>
      <c r="CP402" t="s">
        <v>9208</v>
      </c>
      <c r="CQ402" t="s">
        <v>9208</v>
      </c>
    </row>
    <row r="403" spans="1:95">
      <c r="A403" t="s">
        <v>149</v>
      </c>
      <c r="B403">
        <v>5004125</v>
      </c>
      <c r="C403" t="s">
        <v>9209</v>
      </c>
      <c r="F403" t="s">
        <v>95</v>
      </c>
      <c r="G403" t="s">
        <v>2579</v>
      </c>
      <c r="H403" t="s">
        <v>97</v>
      </c>
      <c r="I403" t="s">
        <v>98</v>
      </c>
      <c r="J403" t="s">
        <v>9210</v>
      </c>
      <c r="K403" t="s">
        <v>100</v>
      </c>
      <c r="L403">
        <v>276879</v>
      </c>
      <c r="M403">
        <v>276879</v>
      </c>
      <c r="N403">
        <v>276879</v>
      </c>
      <c r="O403">
        <v>426</v>
      </c>
      <c r="P403" t="s">
        <v>1122</v>
      </c>
      <c r="Q403">
        <v>0</v>
      </c>
      <c r="R403">
        <v>0</v>
      </c>
      <c r="T403">
        <v>0</v>
      </c>
      <c r="U403">
        <v>0</v>
      </c>
      <c r="W403" t="s">
        <v>102</v>
      </c>
      <c r="X403" t="s">
        <v>275</v>
      </c>
      <c r="Z403" t="s">
        <v>96</v>
      </c>
      <c r="AA403" t="s">
        <v>109</v>
      </c>
      <c r="AB403" t="s">
        <v>102</v>
      </c>
      <c r="AC403" t="s">
        <v>109</v>
      </c>
      <c r="AD403" t="s">
        <v>102</v>
      </c>
      <c r="AE403" t="s">
        <v>109</v>
      </c>
      <c r="AF403" t="s">
        <v>102</v>
      </c>
      <c r="AG403" t="s">
        <v>109</v>
      </c>
      <c r="AH403" t="s">
        <v>102</v>
      </c>
      <c r="AI403" t="s">
        <v>9211</v>
      </c>
      <c r="AJ403" t="s">
        <v>5774</v>
      </c>
      <c r="AK403" t="s">
        <v>5774</v>
      </c>
      <c r="AL403" t="s">
        <v>9212</v>
      </c>
      <c r="AM403" t="s">
        <v>9213</v>
      </c>
      <c r="AN403" t="s">
        <v>9214</v>
      </c>
      <c r="AO403" t="s">
        <v>5355</v>
      </c>
      <c r="AP403" t="s">
        <v>5355</v>
      </c>
      <c r="AU403" t="s">
        <v>117</v>
      </c>
      <c r="AV403" t="s">
        <v>118</v>
      </c>
      <c r="AW403" t="s">
        <v>102</v>
      </c>
      <c r="AX403" t="s">
        <v>119</v>
      </c>
      <c r="BB403" t="s">
        <v>120</v>
      </c>
      <c r="BC403" t="s">
        <v>920</v>
      </c>
      <c r="BD403" t="s">
        <v>211</v>
      </c>
      <c r="BE403" t="s">
        <v>212</v>
      </c>
      <c r="BF403" t="s">
        <v>213</v>
      </c>
      <c r="BG403" t="s">
        <v>124</v>
      </c>
      <c r="BH403" t="s">
        <v>214</v>
      </c>
      <c r="BI403" t="s">
        <v>126</v>
      </c>
      <c r="BJ403" t="s">
        <v>127</v>
      </c>
      <c r="BK403" t="s">
        <v>9215</v>
      </c>
      <c r="BL403" t="s">
        <v>9216</v>
      </c>
      <c r="BM403" t="s">
        <v>9217</v>
      </c>
      <c r="BN403" t="s">
        <v>2579</v>
      </c>
      <c r="BO403" t="s">
        <v>924</v>
      </c>
      <c r="BP403" t="s">
        <v>180</v>
      </c>
      <c r="BQ403" t="s">
        <v>925</v>
      </c>
      <c r="BR403" t="s">
        <v>926</v>
      </c>
      <c r="BS403" t="s">
        <v>2151</v>
      </c>
      <c r="BU403" t="s">
        <v>9218</v>
      </c>
      <c r="BV403" t="s">
        <v>9219</v>
      </c>
      <c r="BW403" t="s">
        <v>598</v>
      </c>
      <c r="BX403" t="s">
        <v>9220</v>
      </c>
      <c r="BY403" t="s">
        <v>9221</v>
      </c>
      <c r="BZ403" t="s">
        <v>9222</v>
      </c>
      <c r="CA403" t="s">
        <v>9223</v>
      </c>
      <c r="CB403" t="s">
        <v>9224</v>
      </c>
      <c r="CC403" t="s">
        <v>9225</v>
      </c>
      <c r="CD403" t="s">
        <v>9226</v>
      </c>
      <c r="CE403" t="s">
        <v>9220</v>
      </c>
      <c r="CF403" t="s">
        <v>9221</v>
      </c>
      <c r="CG403" t="s">
        <v>102</v>
      </c>
      <c r="CH403" t="s">
        <v>9227</v>
      </c>
      <c r="CJ403" t="s">
        <v>9228</v>
      </c>
      <c r="CK403" t="s">
        <v>9227</v>
      </c>
      <c r="CL403" t="s">
        <v>920</v>
      </c>
      <c r="CM403" t="s">
        <v>211</v>
      </c>
      <c r="CN403" t="s">
        <v>9228</v>
      </c>
      <c r="CO403" t="s">
        <v>9229</v>
      </c>
      <c r="CP403" t="s">
        <v>9227</v>
      </c>
      <c r="CQ403" t="s">
        <v>9227</v>
      </c>
    </row>
    <row r="404" spans="1:95">
      <c r="A404" t="s">
        <v>149</v>
      </c>
      <c r="B404">
        <v>5004172</v>
      </c>
      <c r="C404" t="s">
        <v>9230</v>
      </c>
      <c r="D404" t="str">
        <f>VLOOKUP(B404,'2025'!B:C,2,0)</f>
        <v>Jasper Jessie</v>
      </c>
      <c r="F404" t="s">
        <v>95</v>
      </c>
      <c r="G404" t="s">
        <v>156</v>
      </c>
      <c r="H404" t="s">
        <v>1746</v>
      </c>
      <c r="I404" t="s">
        <v>98</v>
      </c>
      <c r="J404" t="s">
        <v>9231</v>
      </c>
      <c r="K404" t="s">
        <v>100</v>
      </c>
      <c r="L404">
        <v>0</v>
      </c>
      <c r="M404">
        <v>0</v>
      </c>
      <c r="N404">
        <v>0</v>
      </c>
      <c r="O404">
        <v>77</v>
      </c>
      <c r="P404" t="s">
        <v>102</v>
      </c>
      <c r="Q404">
        <v>0</v>
      </c>
      <c r="R404">
        <v>77</v>
      </c>
      <c r="S404" t="s">
        <v>102</v>
      </c>
      <c r="T404">
        <v>0</v>
      </c>
      <c r="U404">
        <v>96</v>
      </c>
      <c r="V404" t="s">
        <v>102</v>
      </c>
      <c r="W404" t="s">
        <v>102</v>
      </c>
      <c r="X404" t="s">
        <v>275</v>
      </c>
      <c r="Z404" t="s">
        <v>156</v>
      </c>
      <c r="AA404" t="s">
        <v>109</v>
      </c>
      <c r="AB404" t="s">
        <v>102</v>
      </c>
      <c r="AC404" t="s">
        <v>109</v>
      </c>
      <c r="AD404" t="s">
        <v>102</v>
      </c>
      <c r="AE404" t="s">
        <v>109</v>
      </c>
      <c r="AF404" t="s">
        <v>102</v>
      </c>
      <c r="AG404" t="s">
        <v>109</v>
      </c>
      <c r="AH404" t="s">
        <v>102</v>
      </c>
      <c r="AI404" t="s">
        <v>102</v>
      </c>
      <c r="AL404" t="s">
        <v>102</v>
      </c>
      <c r="AM404" t="s">
        <v>102</v>
      </c>
      <c r="AN404" t="s">
        <v>102</v>
      </c>
      <c r="AO404" t="s">
        <v>115</v>
      </c>
      <c r="AP404" t="s">
        <v>115</v>
      </c>
      <c r="AU404" t="s">
        <v>6700</v>
      </c>
      <c r="AV404" t="s">
        <v>250</v>
      </c>
      <c r="AW404" t="s">
        <v>155</v>
      </c>
      <c r="AX404" t="s">
        <v>119</v>
      </c>
      <c r="AZ404" t="s">
        <v>250</v>
      </c>
      <c r="BA404" t="s">
        <v>250</v>
      </c>
      <c r="BB404" t="s">
        <v>209</v>
      </c>
      <c r="BC404" t="s">
        <v>7718</v>
      </c>
      <c r="BD404" t="s">
        <v>211</v>
      </c>
      <c r="BE404" t="s">
        <v>212</v>
      </c>
      <c r="BF404" t="s">
        <v>213</v>
      </c>
      <c r="BG404" t="s">
        <v>124</v>
      </c>
      <c r="BH404" t="s">
        <v>851</v>
      </c>
      <c r="BI404" t="s">
        <v>126</v>
      </c>
      <c r="BJ404" t="s">
        <v>127</v>
      </c>
      <c r="BK404" t="s">
        <v>9232</v>
      </c>
      <c r="BL404" t="s">
        <v>9233</v>
      </c>
      <c r="BM404" t="s">
        <v>9234</v>
      </c>
      <c r="BN404" t="s">
        <v>156</v>
      </c>
      <c r="BO404" t="s">
        <v>219</v>
      </c>
      <c r="BP404" t="s">
        <v>505</v>
      </c>
      <c r="BQ404" t="s">
        <v>220</v>
      </c>
      <c r="BR404" t="s">
        <v>221</v>
      </c>
      <c r="BS404" t="s">
        <v>483</v>
      </c>
      <c r="BU404" t="s">
        <v>9235</v>
      </c>
      <c r="BV404" t="s">
        <v>224</v>
      </c>
      <c r="BX404" t="s">
        <v>225</v>
      </c>
      <c r="BY404" t="s">
        <v>226</v>
      </c>
      <c r="BZ404" t="s">
        <v>9236</v>
      </c>
      <c r="CG404" t="s">
        <v>102</v>
      </c>
      <c r="CH404" t="s">
        <v>9237</v>
      </c>
      <c r="CJ404" t="s">
        <v>5844</v>
      </c>
      <c r="CK404" t="s">
        <v>9237</v>
      </c>
      <c r="CL404" t="s">
        <v>7718</v>
      </c>
      <c r="CM404" t="s">
        <v>211</v>
      </c>
      <c r="CN404" t="s">
        <v>5844</v>
      </c>
      <c r="CP404" t="s">
        <v>9237</v>
      </c>
      <c r="CQ404" t="s">
        <v>9237</v>
      </c>
    </row>
    <row r="405" spans="1:95">
      <c r="A405" t="s">
        <v>337</v>
      </c>
      <c r="B405">
        <v>5004186</v>
      </c>
      <c r="C405" t="s">
        <v>9238</v>
      </c>
      <c r="E405" s="4" t="s">
        <v>17377</v>
      </c>
      <c r="F405" t="s">
        <v>95</v>
      </c>
      <c r="G405" t="s">
        <v>9239</v>
      </c>
      <c r="H405" t="s">
        <v>152</v>
      </c>
      <c r="I405" t="s">
        <v>98</v>
      </c>
      <c r="J405" t="s">
        <v>9240</v>
      </c>
      <c r="K405" t="s">
        <v>100</v>
      </c>
      <c r="L405">
        <v>420420</v>
      </c>
      <c r="M405">
        <v>420420</v>
      </c>
      <c r="N405">
        <v>0</v>
      </c>
      <c r="O405">
        <v>0</v>
      </c>
      <c r="Q405">
        <v>420420</v>
      </c>
      <c r="R405">
        <v>317</v>
      </c>
      <c r="S405" t="s">
        <v>9241</v>
      </c>
      <c r="T405">
        <v>0</v>
      </c>
      <c r="U405">
        <v>0</v>
      </c>
      <c r="W405" t="s">
        <v>102</v>
      </c>
      <c r="X405" t="s">
        <v>103</v>
      </c>
      <c r="Y405" t="s">
        <v>5317</v>
      </c>
      <c r="AA405" t="s">
        <v>9242</v>
      </c>
      <c r="AB405" t="s">
        <v>9243</v>
      </c>
      <c r="AC405" t="s">
        <v>159</v>
      </c>
      <c r="AD405" t="s">
        <v>9244</v>
      </c>
      <c r="AE405" t="s">
        <v>8053</v>
      </c>
      <c r="AF405" t="s">
        <v>9244</v>
      </c>
      <c r="AG405" t="s">
        <v>109</v>
      </c>
      <c r="AH405" t="s">
        <v>102</v>
      </c>
      <c r="AI405" t="s">
        <v>9245</v>
      </c>
      <c r="AJ405" t="s">
        <v>1132</v>
      </c>
      <c r="AK405" t="s">
        <v>9246</v>
      </c>
      <c r="AL405" t="s">
        <v>9247</v>
      </c>
      <c r="AM405" t="s">
        <v>9248</v>
      </c>
      <c r="AN405" t="s">
        <v>9241</v>
      </c>
      <c r="AO405" t="s">
        <v>9249</v>
      </c>
      <c r="AP405" t="s">
        <v>9249</v>
      </c>
      <c r="AU405" t="s">
        <v>102</v>
      </c>
      <c r="AW405" t="s">
        <v>155</v>
      </c>
      <c r="AX405" t="s">
        <v>119</v>
      </c>
      <c r="AY405" t="s">
        <v>170</v>
      </c>
      <c r="AZ405" t="s">
        <v>118</v>
      </c>
      <c r="BB405" t="s">
        <v>209</v>
      </c>
      <c r="BC405" t="s">
        <v>5527</v>
      </c>
      <c r="BD405" t="s">
        <v>4404</v>
      </c>
      <c r="BE405" t="s">
        <v>174</v>
      </c>
      <c r="BF405" t="s">
        <v>4405</v>
      </c>
      <c r="BG405" t="s">
        <v>124</v>
      </c>
      <c r="BH405" t="s">
        <v>4211</v>
      </c>
      <c r="BI405" t="s">
        <v>126</v>
      </c>
      <c r="BJ405" t="s">
        <v>127</v>
      </c>
      <c r="BK405" t="s">
        <v>9250</v>
      </c>
      <c r="BL405" t="s">
        <v>9251</v>
      </c>
      <c r="BM405" t="s">
        <v>9252</v>
      </c>
      <c r="BN405" t="s">
        <v>9239</v>
      </c>
      <c r="BO405" t="s">
        <v>5531</v>
      </c>
      <c r="BP405" t="s">
        <v>180</v>
      </c>
      <c r="BQ405" t="s">
        <v>5532</v>
      </c>
      <c r="BR405" t="s">
        <v>5533</v>
      </c>
      <c r="BS405" t="s">
        <v>4413</v>
      </c>
      <c r="BT405" t="s">
        <v>5534</v>
      </c>
      <c r="BU405" t="s">
        <v>9253</v>
      </c>
      <c r="BV405" t="s">
        <v>9254</v>
      </c>
      <c r="BW405" t="s">
        <v>138</v>
      </c>
      <c r="BX405" t="s">
        <v>9255</v>
      </c>
      <c r="BY405" t="s">
        <v>9256</v>
      </c>
      <c r="BZ405" t="s">
        <v>9255</v>
      </c>
      <c r="CA405" t="s">
        <v>9254</v>
      </c>
      <c r="CB405" t="s">
        <v>9255</v>
      </c>
      <c r="CC405" t="s">
        <v>9256</v>
      </c>
      <c r="CD405" t="s">
        <v>9257</v>
      </c>
      <c r="CE405" t="s">
        <v>9255</v>
      </c>
      <c r="CF405" t="s">
        <v>9258</v>
      </c>
      <c r="CG405" t="s">
        <v>9259</v>
      </c>
      <c r="CH405" t="s">
        <v>9260</v>
      </c>
      <c r="CJ405" t="s">
        <v>9261</v>
      </c>
      <c r="CK405" t="s">
        <v>9260</v>
      </c>
      <c r="CL405" t="s">
        <v>5527</v>
      </c>
      <c r="CM405" t="s">
        <v>4404</v>
      </c>
      <c r="CN405" t="s">
        <v>9261</v>
      </c>
      <c r="CP405" t="s">
        <v>9260</v>
      </c>
      <c r="CQ405" t="s">
        <v>9260</v>
      </c>
    </row>
    <row r="406" spans="1:95">
      <c r="A406" t="s">
        <v>337</v>
      </c>
      <c r="B406">
        <v>500529</v>
      </c>
      <c r="C406" t="s">
        <v>9262</v>
      </c>
      <c r="D406" t="str">
        <f>VLOOKUP(B406,'2025'!B:C,2,0)</f>
        <v>Aarti Iyer</v>
      </c>
      <c r="F406" t="s">
        <v>95</v>
      </c>
      <c r="G406" t="s">
        <v>451</v>
      </c>
      <c r="H406" t="s">
        <v>97</v>
      </c>
      <c r="I406" t="s">
        <v>98</v>
      </c>
      <c r="J406" t="s">
        <v>9263</v>
      </c>
      <c r="K406" t="s">
        <v>100</v>
      </c>
      <c r="L406">
        <v>1094225</v>
      </c>
      <c r="M406">
        <v>1094225</v>
      </c>
      <c r="N406">
        <v>1094225</v>
      </c>
      <c r="O406">
        <v>977</v>
      </c>
      <c r="P406" t="s">
        <v>7431</v>
      </c>
      <c r="Q406">
        <v>0</v>
      </c>
      <c r="R406">
        <v>0</v>
      </c>
      <c r="T406">
        <v>0</v>
      </c>
      <c r="U406">
        <v>0</v>
      </c>
      <c r="W406" t="s">
        <v>102</v>
      </c>
      <c r="X406" t="s">
        <v>103</v>
      </c>
      <c r="Y406" t="s">
        <v>104</v>
      </c>
      <c r="AA406" t="s">
        <v>7506</v>
      </c>
      <c r="AB406" t="s">
        <v>9264</v>
      </c>
      <c r="AC406" t="s">
        <v>197</v>
      </c>
      <c r="AD406" t="s">
        <v>9264</v>
      </c>
      <c r="AE406" t="s">
        <v>109</v>
      </c>
      <c r="AF406" t="s">
        <v>102</v>
      </c>
      <c r="AG406" t="s">
        <v>109</v>
      </c>
      <c r="AH406" t="s">
        <v>102</v>
      </c>
      <c r="AI406" t="s">
        <v>9265</v>
      </c>
      <c r="AJ406" t="s">
        <v>111</v>
      </c>
      <c r="AK406" t="s">
        <v>240</v>
      </c>
      <c r="AL406" t="s">
        <v>9266</v>
      </c>
      <c r="AM406" t="s">
        <v>9267</v>
      </c>
      <c r="AN406" t="s">
        <v>104</v>
      </c>
      <c r="AO406" t="s">
        <v>1826</v>
      </c>
      <c r="AP406" t="s">
        <v>1826</v>
      </c>
      <c r="AU406" t="s">
        <v>318</v>
      </c>
      <c r="AV406" t="s">
        <v>118</v>
      </c>
      <c r="AW406" t="s">
        <v>102</v>
      </c>
      <c r="AX406" t="s">
        <v>119</v>
      </c>
      <c r="BB406" t="s">
        <v>120</v>
      </c>
      <c r="BC406" t="s">
        <v>9268</v>
      </c>
      <c r="BD406" t="s">
        <v>9269</v>
      </c>
      <c r="BE406" t="s">
        <v>622</v>
      </c>
      <c r="BF406" t="s">
        <v>976</v>
      </c>
      <c r="BG406" t="s">
        <v>124</v>
      </c>
      <c r="BH406" t="s">
        <v>400</v>
      </c>
      <c r="BI406" t="s">
        <v>4461</v>
      </c>
      <c r="BJ406" t="s">
        <v>127</v>
      </c>
      <c r="BK406" t="s">
        <v>9270</v>
      </c>
      <c r="BL406" t="s">
        <v>9271</v>
      </c>
      <c r="BM406" t="s">
        <v>9272</v>
      </c>
      <c r="BN406" t="s">
        <v>451</v>
      </c>
      <c r="BO406" t="s">
        <v>5802</v>
      </c>
      <c r="BP406" t="s">
        <v>350</v>
      </c>
      <c r="BQ406" t="s">
        <v>5803</v>
      </c>
      <c r="BR406" t="s">
        <v>5804</v>
      </c>
      <c r="BS406" t="s">
        <v>2847</v>
      </c>
      <c r="BU406" t="s">
        <v>9273</v>
      </c>
      <c r="BV406" t="s">
        <v>9274</v>
      </c>
      <c r="BW406" t="s">
        <v>138</v>
      </c>
      <c r="BX406" t="s">
        <v>9275</v>
      </c>
      <c r="BY406" t="s">
        <v>9276</v>
      </c>
      <c r="BZ406" t="s">
        <v>9275</v>
      </c>
      <c r="CG406" t="s">
        <v>9277</v>
      </c>
      <c r="CH406" t="s">
        <v>9268</v>
      </c>
      <c r="CJ406" t="s">
        <v>9278</v>
      </c>
      <c r="CK406" t="s">
        <v>9268</v>
      </c>
      <c r="CL406" t="s">
        <v>9268</v>
      </c>
      <c r="CM406" t="s">
        <v>9269</v>
      </c>
      <c r="CN406" t="s">
        <v>9278</v>
      </c>
      <c r="CO406" t="s">
        <v>9279</v>
      </c>
      <c r="CP406" t="s">
        <v>9268</v>
      </c>
      <c r="CQ406" t="s">
        <v>9268</v>
      </c>
    </row>
    <row r="407" spans="1:95">
      <c r="A407" t="s">
        <v>149</v>
      </c>
      <c r="B407">
        <v>5014602</v>
      </c>
      <c r="C407" t="s">
        <v>9280</v>
      </c>
      <c r="D407" t="str">
        <f>VLOOKUP(B407,'2025'!B:C,2,0)</f>
        <v>Vaishali, Chaitanya</v>
      </c>
      <c r="F407" t="s">
        <v>95</v>
      </c>
      <c r="G407" t="s">
        <v>1692</v>
      </c>
      <c r="H407" t="s">
        <v>1746</v>
      </c>
      <c r="I407" t="s">
        <v>98</v>
      </c>
      <c r="J407" t="s">
        <v>9281</v>
      </c>
      <c r="K407" t="s">
        <v>100</v>
      </c>
      <c r="L407">
        <v>0</v>
      </c>
      <c r="M407">
        <v>0</v>
      </c>
      <c r="N407">
        <v>0</v>
      </c>
      <c r="O407">
        <v>257</v>
      </c>
      <c r="P407" t="s">
        <v>102</v>
      </c>
      <c r="Q407">
        <v>0</v>
      </c>
      <c r="R407">
        <v>257</v>
      </c>
      <c r="S407" t="s">
        <v>102</v>
      </c>
      <c r="T407">
        <v>0</v>
      </c>
      <c r="U407">
        <v>309</v>
      </c>
      <c r="V407" t="s">
        <v>102</v>
      </c>
      <c r="W407" t="s">
        <v>102</v>
      </c>
      <c r="X407" t="s">
        <v>103</v>
      </c>
      <c r="Y407" t="s">
        <v>155</v>
      </c>
      <c r="AA407" t="s">
        <v>197</v>
      </c>
      <c r="AB407" t="s">
        <v>102</v>
      </c>
      <c r="AC407" t="s">
        <v>1472</v>
      </c>
      <c r="AD407" t="s">
        <v>102</v>
      </c>
      <c r="AE407" t="s">
        <v>240</v>
      </c>
      <c r="AF407" t="s">
        <v>102</v>
      </c>
      <c r="AG407" t="s">
        <v>160</v>
      </c>
      <c r="AH407" t="s">
        <v>102</v>
      </c>
      <c r="AI407" t="s">
        <v>102</v>
      </c>
      <c r="AL407" t="s">
        <v>102</v>
      </c>
      <c r="AM407" t="s">
        <v>102</v>
      </c>
      <c r="AN407" t="s">
        <v>102</v>
      </c>
      <c r="AO407" t="s">
        <v>115</v>
      </c>
      <c r="AP407" t="s">
        <v>115</v>
      </c>
      <c r="AU407" t="s">
        <v>6700</v>
      </c>
      <c r="AV407" t="s">
        <v>250</v>
      </c>
      <c r="AW407" t="s">
        <v>104</v>
      </c>
      <c r="AX407" t="s">
        <v>119</v>
      </c>
      <c r="AZ407" t="s">
        <v>250</v>
      </c>
      <c r="BA407" t="s">
        <v>250</v>
      </c>
      <c r="BB407" t="s">
        <v>9282</v>
      </c>
      <c r="BC407" t="s">
        <v>9082</v>
      </c>
      <c r="BD407" t="s">
        <v>449</v>
      </c>
      <c r="BE407" t="s">
        <v>122</v>
      </c>
      <c r="BF407" t="s">
        <v>253</v>
      </c>
      <c r="BG407" t="s">
        <v>124</v>
      </c>
      <c r="BH407" t="s">
        <v>851</v>
      </c>
      <c r="BI407" t="s">
        <v>625</v>
      </c>
      <c r="BJ407" t="s">
        <v>127</v>
      </c>
      <c r="BK407" t="s">
        <v>9283</v>
      </c>
      <c r="BL407" t="s">
        <v>9284</v>
      </c>
      <c r="BM407" t="s">
        <v>9285</v>
      </c>
      <c r="BN407" t="s">
        <v>1692</v>
      </c>
      <c r="BO407" t="s">
        <v>257</v>
      </c>
      <c r="BP407" t="s">
        <v>350</v>
      </c>
      <c r="BQ407" t="s">
        <v>259</v>
      </c>
      <c r="BR407" t="s">
        <v>260</v>
      </c>
      <c r="BS407" t="s">
        <v>135</v>
      </c>
      <c r="BU407" t="s">
        <v>9286</v>
      </c>
      <c r="BV407" t="s">
        <v>224</v>
      </c>
      <c r="BX407" t="s">
        <v>225</v>
      </c>
      <c r="BY407" t="s">
        <v>226</v>
      </c>
      <c r="BZ407" t="s">
        <v>9287</v>
      </c>
      <c r="CG407" t="s">
        <v>102</v>
      </c>
      <c r="CH407" t="s">
        <v>9288</v>
      </c>
      <c r="CJ407" t="s">
        <v>9102</v>
      </c>
      <c r="CK407" t="s">
        <v>9289</v>
      </c>
      <c r="CL407" t="s">
        <v>9290</v>
      </c>
      <c r="CM407" t="s">
        <v>449</v>
      </c>
      <c r="CN407" t="s">
        <v>9291</v>
      </c>
      <c r="CP407" t="s">
        <v>9288</v>
      </c>
      <c r="CQ407" t="s">
        <v>9289</v>
      </c>
    </row>
    <row r="408" spans="1:95">
      <c r="A408" t="s">
        <v>149</v>
      </c>
      <c r="B408">
        <v>5014778</v>
      </c>
      <c r="C408" t="s">
        <v>9292</v>
      </c>
      <c r="D408" t="str">
        <f>VLOOKUP(B408,'2025'!B:C,2,0)</f>
        <v>Chaitanya</v>
      </c>
      <c r="F408" t="s">
        <v>95</v>
      </c>
      <c r="G408" t="s">
        <v>9293</v>
      </c>
      <c r="H408" t="s">
        <v>675</v>
      </c>
      <c r="I408" t="s">
        <v>98</v>
      </c>
      <c r="J408" t="s">
        <v>9294</v>
      </c>
      <c r="K408" t="s">
        <v>100</v>
      </c>
      <c r="L408">
        <v>472184</v>
      </c>
      <c r="M408">
        <v>472184</v>
      </c>
      <c r="N408">
        <v>190800</v>
      </c>
      <c r="O408">
        <v>318</v>
      </c>
      <c r="P408" t="s">
        <v>310</v>
      </c>
      <c r="Q408">
        <v>281384</v>
      </c>
      <c r="R408">
        <v>201</v>
      </c>
      <c r="S408" t="s">
        <v>4289</v>
      </c>
      <c r="T408">
        <v>0</v>
      </c>
      <c r="U408">
        <v>0</v>
      </c>
      <c r="W408" t="s">
        <v>102</v>
      </c>
      <c r="X408" t="s">
        <v>275</v>
      </c>
      <c r="Z408" t="s">
        <v>9295</v>
      </c>
      <c r="AA408" t="s">
        <v>109</v>
      </c>
      <c r="AB408" t="s">
        <v>102</v>
      </c>
      <c r="AC408" t="s">
        <v>109</v>
      </c>
      <c r="AD408" t="s">
        <v>102</v>
      </c>
      <c r="AE408" t="s">
        <v>109</v>
      </c>
      <c r="AF408" t="s">
        <v>102</v>
      </c>
      <c r="AG408" t="s">
        <v>109</v>
      </c>
      <c r="AH408" t="s">
        <v>102</v>
      </c>
      <c r="AI408" t="s">
        <v>102</v>
      </c>
      <c r="AJ408" t="s">
        <v>5991</v>
      </c>
      <c r="AK408" t="s">
        <v>9296</v>
      </c>
      <c r="AL408" t="s">
        <v>9297</v>
      </c>
      <c r="AM408" t="s">
        <v>9297</v>
      </c>
      <c r="AN408" t="s">
        <v>102</v>
      </c>
      <c r="AO408" t="s">
        <v>9298</v>
      </c>
      <c r="AP408" t="s">
        <v>9298</v>
      </c>
      <c r="AU408" t="s">
        <v>207</v>
      </c>
      <c r="AV408" t="s">
        <v>250</v>
      </c>
      <c r="AW408" t="s">
        <v>655</v>
      </c>
      <c r="AX408" t="s">
        <v>119</v>
      </c>
      <c r="AZ408" t="s">
        <v>250</v>
      </c>
      <c r="BB408" t="s">
        <v>120</v>
      </c>
      <c r="BC408" t="s">
        <v>284</v>
      </c>
      <c r="BD408" t="s">
        <v>285</v>
      </c>
      <c r="BE408" t="s">
        <v>212</v>
      </c>
      <c r="BF408" t="s">
        <v>286</v>
      </c>
      <c r="BG408" t="s">
        <v>124</v>
      </c>
      <c r="BH408" t="s">
        <v>6471</v>
      </c>
      <c r="BI408" t="s">
        <v>9299</v>
      </c>
      <c r="BJ408" t="s">
        <v>127</v>
      </c>
      <c r="BK408" t="s">
        <v>9300</v>
      </c>
      <c r="BL408" t="s">
        <v>9301</v>
      </c>
      <c r="BM408" t="s">
        <v>9302</v>
      </c>
      <c r="BN408" t="s">
        <v>9293</v>
      </c>
      <c r="BO408" t="s">
        <v>290</v>
      </c>
      <c r="BP408" t="s">
        <v>132</v>
      </c>
      <c r="BQ408" t="s">
        <v>291</v>
      </c>
      <c r="BR408" t="s">
        <v>292</v>
      </c>
      <c r="BS408" t="s">
        <v>293</v>
      </c>
      <c r="BU408" t="s">
        <v>9303</v>
      </c>
      <c r="BV408" t="s">
        <v>9304</v>
      </c>
      <c r="BW408" t="s">
        <v>354</v>
      </c>
      <c r="BX408" t="s">
        <v>9305</v>
      </c>
      <c r="BY408" t="s">
        <v>9306</v>
      </c>
      <c r="BZ408" t="s">
        <v>9307</v>
      </c>
      <c r="CA408" t="s">
        <v>9308</v>
      </c>
      <c r="CB408" t="s">
        <v>9309</v>
      </c>
      <c r="CC408" t="s">
        <v>9310</v>
      </c>
      <c r="CD408" t="s">
        <v>9311</v>
      </c>
      <c r="CE408" t="s">
        <v>9312</v>
      </c>
      <c r="CF408" t="s">
        <v>9310</v>
      </c>
      <c r="CG408" t="s">
        <v>102</v>
      </c>
      <c r="CH408" t="s">
        <v>9313</v>
      </c>
      <c r="CJ408" t="s">
        <v>9314</v>
      </c>
      <c r="CK408" t="s">
        <v>9315</v>
      </c>
      <c r="CL408" t="s">
        <v>284</v>
      </c>
      <c r="CM408" t="s">
        <v>285</v>
      </c>
      <c r="CN408" t="s">
        <v>9314</v>
      </c>
      <c r="CP408" t="s">
        <v>9316</v>
      </c>
      <c r="CQ408" t="s">
        <v>9316</v>
      </c>
    </row>
    <row r="409" spans="1:95">
      <c r="A409" t="s">
        <v>149</v>
      </c>
      <c r="B409">
        <v>5014840</v>
      </c>
      <c r="C409" t="s">
        <v>9317</v>
      </c>
      <c r="D409" t="str">
        <f>VLOOKUP(B409,'2025'!B:C,2,0)</f>
        <v>Vineeth T V</v>
      </c>
      <c r="F409" t="s">
        <v>95</v>
      </c>
      <c r="G409" t="s">
        <v>9318</v>
      </c>
      <c r="H409" t="s">
        <v>675</v>
      </c>
      <c r="I409" t="s">
        <v>98</v>
      </c>
      <c r="J409" t="s">
        <v>9319</v>
      </c>
      <c r="K409" t="s">
        <v>100</v>
      </c>
      <c r="L409">
        <v>408779</v>
      </c>
      <c r="M409">
        <v>408779</v>
      </c>
      <c r="N409">
        <v>356129</v>
      </c>
      <c r="O409">
        <v>469</v>
      </c>
      <c r="P409" t="s">
        <v>9320</v>
      </c>
      <c r="Q409">
        <v>52650</v>
      </c>
      <c r="R409">
        <v>65</v>
      </c>
      <c r="S409" t="s">
        <v>6750</v>
      </c>
      <c r="T409">
        <v>0</v>
      </c>
      <c r="U409">
        <v>0</v>
      </c>
      <c r="W409" t="s">
        <v>102</v>
      </c>
      <c r="X409" t="s">
        <v>103</v>
      </c>
      <c r="Y409" t="s">
        <v>104</v>
      </c>
      <c r="AA409" t="s">
        <v>451</v>
      </c>
      <c r="AB409" t="s">
        <v>9321</v>
      </c>
      <c r="AC409" t="s">
        <v>339</v>
      </c>
      <c r="AD409" t="s">
        <v>9322</v>
      </c>
      <c r="AE409" t="s">
        <v>109</v>
      </c>
      <c r="AF409" t="s">
        <v>102</v>
      </c>
      <c r="AG409" t="s">
        <v>109</v>
      </c>
      <c r="AH409" t="s">
        <v>102</v>
      </c>
      <c r="AI409" t="s">
        <v>9323</v>
      </c>
      <c r="AJ409" t="s">
        <v>9324</v>
      </c>
      <c r="AK409" t="s">
        <v>3774</v>
      </c>
      <c r="AL409" t="s">
        <v>9325</v>
      </c>
      <c r="AM409" t="s">
        <v>9326</v>
      </c>
      <c r="AN409" t="s">
        <v>9327</v>
      </c>
      <c r="AO409" t="s">
        <v>9328</v>
      </c>
      <c r="AP409" t="s">
        <v>9328</v>
      </c>
      <c r="AU409" t="s">
        <v>247</v>
      </c>
      <c r="AV409" t="s">
        <v>118</v>
      </c>
      <c r="AW409" t="s">
        <v>1103</v>
      </c>
      <c r="AX409" t="s">
        <v>119</v>
      </c>
      <c r="AY409" t="s">
        <v>170</v>
      </c>
      <c r="AZ409" t="s">
        <v>118</v>
      </c>
      <c r="BB409" t="s">
        <v>120</v>
      </c>
      <c r="BC409" t="s">
        <v>9329</v>
      </c>
      <c r="BD409" t="s">
        <v>410</v>
      </c>
      <c r="BE409" t="s">
        <v>212</v>
      </c>
      <c r="BF409" t="s">
        <v>410</v>
      </c>
      <c r="BG409" t="s">
        <v>124</v>
      </c>
      <c r="BH409" t="s">
        <v>9330</v>
      </c>
      <c r="BI409" t="s">
        <v>1038</v>
      </c>
      <c r="BJ409" t="s">
        <v>127</v>
      </c>
      <c r="BK409" t="s">
        <v>9331</v>
      </c>
      <c r="BL409" t="s">
        <v>9332</v>
      </c>
      <c r="BM409" t="s">
        <v>9333</v>
      </c>
      <c r="BN409" t="s">
        <v>9318</v>
      </c>
      <c r="BO409" t="s">
        <v>9334</v>
      </c>
      <c r="BP409" t="s">
        <v>132</v>
      </c>
      <c r="BQ409" t="s">
        <v>9335</v>
      </c>
      <c r="BR409" t="s">
        <v>9336</v>
      </c>
      <c r="BS409" t="s">
        <v>9337</v>
      </c>
      <c r="BU409" t="s">
        <v>9338</v>
      </c>
      <c r="BV409" t="s">
        <v>9339</v>
      </c>
      <c r="BW409" t="s">
        <v>138</v>
      </c>
      <c r="BX409" t="s">
        <v>9340</v>
      </c>
      <c r="BY409" t="s">
        <v>9341</v>
      </c>
      <c r="BZ409" t="s">
        <v>9342</v>
      </c>
      <c r="CA409" t="s">
        <v>9339</v>
      </c>
      <c r="CB409" t="s">
        <v>9340</v>
      </c>
      <c r="CC409" t="s">
        <v>9341</v>
      </c>
      <c r="CD409" t="s">
        <v>9343</v>
      </c>
      <c r="CE409" t="s">
        <v>9344</v>
      </c>
      <c r="CF409" t="s">
        <v>9345</v>
      </c>
      <c r="CG409" t="s">
        <v>102</v>
      </c>
      <c r="CH409" t="s">
        <v>9346</v>
      </c>
      <c r="CJ409" t="s">
        <v>9347</v>
      </c>
      <c r="CK409" t="s">
        <v>9346</v>
      </c>
      <c r="CL409" t="s">
        <v>409</v>
      </c>
      <c r="CM409" t="s">
        <v>410</v>
      </c>
      <c r="CN409" t="s">
        <v>9348</v>
      </c>
      <c r="CO409" t="s">
        <v>4205</v>
      </c>
      <c r="CP409" t="s">
        <v>9349</v>
      </c>
      <c r="CQ409" t="s">
        <v>9349</v>
      </c>
    </row>
    <row r="410" spans="1:95">
      <c r="A410" t="s">
        <v>337</v>
      </c>
      <c r="B410">
        <v>5014895</v>
      </c>
      <c r="C410" t="s">
        <v>9350</v>
      </c>
      <c r="D410" t="str">
        <f>VLOOKUP(B410,'2025'!B:C,2,0)</f>
        <v>Chaitanya</v>
      </c>
      <c r="F410" t="s">
        <v>95</v>
      </c>
      <c r="G410" t="s">
        <v>9351</v>
      </c>
      <c r="H410" t="s">
        <v>2193</v>
      </c>
      <c r="I410" t="s">
        <v>98</v>
      </c>
      <c r="J410" t="s">
        <v>9352</v>
      </c>
      <c r="K410" t="s">
        <v>100</v>
      </c>
      <c r="L410">
        <v>400000</v>
      </c>
      <c r="M410">
        <v>472000</v>
      </c>
      <c r="N410">
        <v>0</v>
      </c>
      <c r="O410">
        <v>789</v>
      </c>
      <c r="P410" t="s">
        <v>102</v>
      </c>
      <c r="Q410">
        <v>0</v>
      </c>
      <c r="R410">
        <v>0</v>
      </c>
      <c r="S410" t="s">
        <v>102</v>
      </c>
      <c r="T410">
        <v>0</v>
      </c>
      <c r="U410">
        <v>0</v>
      </c>
      <c r="V410" t="s">
        <v>102</v>
      </c>
      <c r="W410" t="s">
        <v>2195</v>
      </c>
      <c r="X410" t="s">
        <v>103</v>
      </c>
      <c r="Y410" t="s">
        <v>2196</v>
      </c>
      <c r="Z410" t="s">
        <v>2947</v>
      </c>
      <c r="AA410" t="s">
        <v>9351</v>
      </c>
      <c r="AB410" t="s">
        <v>102</v>
      </c>
      <c r="AC410" t="s">
        <v>9353</v>
      </c>
      <c r="AD410" t="s">
        <v>102</v>
      </c>
      <c r="AE410" t="s">
        <v>9354</v>
      </c>
      <c r="AF410" t="s">
        <v>102</v>
      </c>
      <c r="AG410" t="s">
        <v>9355</v>
      </c>
      <c r="AH410" t="s">
        <v>102</v>
      </c>
      <c r="AI410" t="s">
        <v>102</v>
      </c>
      <c r="AJ410" t="s">
        <v>2947</v>
      </c>
      <c r="AK410" t="s">
        <v>2947</v>
      </c>
      <c r="AL410" t="s">
        <v>2195</v>
      </c>
      <c r="AM410" t="s">
        <v>102</v>
      </c>
      <c r="AN410" t="s">
        <v>2195</v>
      </c>
      <c r="AO410" t="s">
        <v>2202</v>
      </c>
      <c r="AP410" t="s">
        <v>2202</v>
      </c>
      <c r="AQ410" t="s">
        <v>102</v>
      </c>
      <c r="AR410" t="s">
        <v>102</v>
      </c>
      <c r="AS410" t="s">
        <v>102</v>
      </c>
      <c r="AT410" t="s">
        <v>102</v>
      </c>
      <c r="AU410" t="s">
        <v>247</v>
      </c>
      <c r="AV410" t="s">
        <v>118</v>
      </c>
      <c r="AW410" t="s">
        <v>102</v>
      </c>
      <c r="AX410" t="s">
        <v>119</v>
      </c>
      <c r="BB410" t="s">
        <v>120</v>
      </c>
      <c r="BC410" t="s">
        <v>121</v>
      </c>
      <c r="BD410" t="s">
        <v>121</v>
      </c>
      <c r="BE410" t="s">
        <v>122</v>
      </c>
      <c r="BF410" t="s">
        <v>123</v>
      </c>
      <c r="BG410" t="s">
        <v>124</v>
      </c>
      <c r="BH410" t="s">
        <v>9356</v>
      </c>
      <c r="BI410" t="s">
        <v>9357</v>
      </c>
      <c r="BJ410" t="s">
        <v>2207</v>
      </c>
      <c r="BK410" t="s">
        <v>9358</v>
      </c>
      <c r="BL410" t="s">
        <v>9359</v>
      </c>
      <c r="BM410" t="s">
        <v>9360</v>
      </c>
      <c r="BN410" t="s">
        <v>9351</v>
      </c>
      <c r="BO410" t="s">
        <v>2766</v>
      </c>
      <c r="BP410" t="s">
        <v>3064</v>
      </c>
      <c r="BQ410" t="s">
        <v>2213</v>
      </c>
      <c r="BR410" t="s">
        <v>2214</v>
      </c>
      <c r="BS410" t="s">
        <v>2215</v>
      </c>
      <c r="BT410" t="s">
        <v>2216</v>
      </c>
      <c r="BU410" t="s">
        <v>9361</v>
      </c>
      <c r="BV410" t="s">
        <v>9362</v>
      </c>
      <c r="BW410" t="s">
        <v>138</v>
      </c>
      <c r="BX410" t="s">
        <v>225</v>
      </c>
      <c r="BY410" t="s">
        <v>9363</v>
      </c>
      <c r="BZ410" t="s">
        <v>9364</v>
      </c>
      <c r="CG410" t="s">
        <v>9365</v>
      </c>
      <c r="CH410" t="s">
        <v>9366</v>
      </c>
      <c r="CJ410" t="s">
        <v>9367</v>
      </c>
      <c r="CK410" t="s">
        <v>9368</v>
      </c>
      <c r="CL410" t="s">
        <v>121</v>
      </c>
      <c r="CM410" t="s">
        <v>121</v>
      </c>
      <c r="CN410" t="s">
        <v>9367</v>
      </c>
      <c r="CP410" t="s">
        <v>9366</v>
      </c>
      <c r="CQ410" t="s">
        <v>9368</v>
      </c>
    </row>
    <row r="411" spans="1:95">
      <c r="A411" t="s">
        <v>149</v>
      </c>
      <c r="B411">
        <v>5014914</v>
      </c>
      <c r="C411" t="s">
        <v>9369</v>
      </c>
      <c r="D411" t="str">
        <f>VLOOKUP(B411,'2025'!B:C,2,0)</f>
        <v>Ishita Jethwa</v>
      </c>
      <c r="F411" t="s">
        <v>95</v>
      </c>
      <c r="G411" t="s">
        <v>9370</v>
      </c>
      <c r="H411" t="s">
        <v>97</v>
      </c>
      <c r="I411" t="s">
        <v>98</v>
      </c>
      <c r="J411" t="s">
        <v>9371</v>
      </c>
      <c r="K411" t="s">
        <v>100</v>
      </c>
      <c r="L411">
        <v>497475</v>
      </c>
      <c r="M411">
        <v>497475</v>
      </c>
      <c r="N411">
        <v>497475</v>
      </c>
      <c r="O411">
        <v>603</v>
      </c>
      <c r="P411" t="s">
        <v>3811</v>
      </c>
      <c r="Q411">
        <v>0</v>
      </c>
      <c r="R411">
        <v>0</v>
      </c>
      <c r="T411">
        <v>0</v>
      </c>
      <c r="U411">
        <v>0</v>
      </c>
      <c r="W411" t="s">
        <v>102</v>
      </c>
      <c r="X411" t="s">
        <v>275</v>
      </c>
      <c r="Z411" t="s">
        <v>1299</v>
      </c>
      <c r="AA411" t="s">
        <v>109</v>
      </c>
      <c r="AB411" t="s">
        <v>102</v>
      </c>
      <c r="AC411" t="s">
        <v>109</v>
      </c>
      <c r="AD411" t="s">
        <v>102</v>
      </c>
      <c r="AE411" t="s">
        <v>109</v>
      </c>
      <c r="AF411" t="s">
        <v>102</v>
      </c>
      <c r="AG411" t="s">
        <v>109</v>
      </c>
      <c r="AH411" t="s">
        <v>102</v>
      </c>
      <c r="AI411" t="s">
        <v>9372</v>
      </c>
      <c r="AJ411" t="s">
        <v>400</v>
      </c>
      <c r="AK411" t="s">
        <v>1603</v>
      </c>
      <c r="AL411" t="s">
        <v>9373</v>
      </c>
      <c r="AM411" t="s">
        <v>9374</v>
      </c>
      <c r="AN411" t="s">
        <v>9375</v>
      </c>
      <c r="AO411" t="s">
        <v>1826</v>
      </c>
      <c r="AP411" t="s">
        <v>554</v>
      </c>
      <c r="AT411" t="s">
        <v>169</v>
      </c>
      <c r="AU411" t="s">
        <v>318</v>
      </c>
      <c r="AV411" t="s">
        <v>250</v>
      </c>
      <c r="AW411" t="s">
        <v>102</v>
      </c>
      <c r="AX411" t="s">
        <v>119</v>
      </c>
      <c r="BB411" t="s">
        <v>120</v>
      </c>
      <c r="BC411" t="s">
        <v>5071</v>
      </c>
      <c r="BD411" t="s">
        <v>730</v>
      </c>
      <c r="BE411" t="s">
        <v>622</v>
      </c>
      <c r="BF411" t="s">
        <v>730</v>
      </c>
      <c r="BG411" t="s">
        <v>124</v>
      </c>
      <c r="BH411" t="s">
        <v>892</v>
      </c>
      <c r="BI411" t="s">
        <v>126</v>
      </c>
      <c r="BJ411" t="s">
        <v>127</v>
      </c>
      <c r="BK411" t="s">
        <v>9376</v>
      </c>
      <c r="BL411" t="s">
        <v>9377</v>
      </c>
      <c r="BM411" t="s">
        <v>9378</v>
      </c>
      <c r="BN411" t="s">
        <v>9370</v>
      </c>
      <c r="BO411" t="s">
        <v>1733</v>
      </c>
      <c r="BP411" t="s">
        <v>350</v>
      </c>
      <c r="BQ411" t="s">
        <v>1734</v>
      </c>
      <c r="BR411" t="s">
        <v>1735</v>
      </c>
      <c r="BS411" t="s">
        <v>2525</v>
      </c>
      <c r="BU411" t="s">
        <v>9379</v>
      </c>
      <c r="BV411" t="s">
        <v>9380</v>
      </c>
      <c r="BW411" t="s">
        <v>138</v>
      </c>
      <c r="BX411" t="s">
        <v>9381</v>
      </c>
      <c r="BY411" t="s">
        <v>9382</v>
      </c>
      <c r="BZ411" t="s">
        <v>9383</v>
      </c>
      <c r="CG411" t="s">
        <v>102</v>
      </c>
      <c r="CH411" t="s">
        <v>9384</v>
      </c>
      <c r="CJ411" t="s">
        <v>9385</v>
      </c>
      <c r="CK411" t="s">
        <v>9384</v>
      </c>
      <c r="CL411" t="s">
        <v>5071</v>
      </c>
      <c r="CM411" t="s">
        <v>730</v>
      </c>
      <c r="CN411" t="s">
        <v>9385</v>
      </c>
      <c r="CO411" t="s">
        <v>9386</v>
      </c>
      <c r="CP411" t="s">
        <v>9384</v>
      </c>
      <c r="CQ411" t="s">
        <v>9384</v>
      </c>
    </row>
    <row r="412" spans="1:95">
      <c r="A412" t="s">
        <v>149</v>
      </c>
      <c r="B412">
        <v>5014915</v>
      </c>
      <c r="C412" t="s">
        <v>9387</v>
      </c>
      <c r="D412" t="str">
        <f>VLOOKUP(B412,'2025'!B:C,2,0)</f>
        <v>Ishita Jethwa</v>
      </c>
      <c r="F412" t="s">
        <v>95</v>
      </c>
      <c r="G412" t="s">
        <v>2455</v>
      </c>
      <c r="H412" t="s">
        <v>848</v>
      </c>
      <c r="I412" t="s">
        <v>98</v>
      </c>
      <c r="J412" t="s">
        <v>9388</v>
      </c>
      <c r="K412" t="s">
        <v>100</v>
      </c>
      <c r="L412">
        <v>562673</v>
      </c>
      <c r="M412">
        <v>663954</v>
      </c>
      <c r="N412">
        <v>0</v>
      </c>
      <c r="O412">
        <v>0</v>
      </c>
      <c r="Q412">
        <v>0</v>
      </c>
      <c r="R412">
        <v>0</v>
      </c>
      <c r="T412">
        <v>562673</v>
      </c>
      <c r="U412">
        <v>348</v>
      </c>
      <c r="V412" t="s">
        <v>9389</v>
      </c>
      <c r="W412" t="s">
        <v>102</v>
      </c>
      <c r="X412" t="s">
        <v>275</v>
      </c>
      <c r="Z412" t="s">
        <v>996</v>
      </c>
      <c r="AA412" t="s">
        <v>109</v>
      </c>
      <c r="AB412" t="s">
        <v>102</v>
      </c>
      <c r="AC412" t="s">
        <v>109</v>
      </c>
      <c r="AD412" t="s">
        <v>102</v>
      </c>
      <c r="AE412" t="s">
        <v>109</v>
      </c>
      <c r="AF412" t="s">
        <v>102</v>
      </c>
      <c r="AG412" t="s">
        <v>109</v>
      </c>
      <c r="AH412" t="s">
        <v>102</v>
      </c>
      <c r="AI412" t="s">
        <v>102</v>
      </c>
      <c r="AJ412" t="s">
        <v>3227</v>
      </c>
      <c r="AK412" t="s">
        <v>3227</v>
      </c>
      <c r="AL412" t="s">
        <v>9390</v>
      </c>
      <c r="AM412" t="s">
        <v>9391</v>
      </c>
      <c r="AN412" t="s">
        <v>9392</v>
      </c>
      <c r="AO412" t="s">
        <v>9393</v>
      </c>
      <c r="AP412" t="s">
        <v>9394</v>
      </c>
      <c r="AQ412" t="s">
        <v>343</v>
      </c>
      <c r="AT412" t="s">
        <v>169</v>
      </c>
      <c r="AU412" t="s">
        <v>102</v>
      </c>
      <c r="AW412" t="s">
        <v>102</v>
      </c>
      <c r="AX412" t="s">
        <v>119</v>
      </c>
      <c r="BA412" t="s">
        <v>250</v>
      </c>
      <c r="BB412" t="s">
        <v>120</v>
      </c>
      <c r="BC412" t="s">
        <v>1729</v>
      </c>
      <c r="BD412" t="s">
        <v>730</v>
      </c>
      <c r="BE412" t="s">
        <v>622</v>
      </c>
      <c r="BF412" t="s">
        <v>730</v>
      </c>
      <c r="BG412" t="s">
        <v>124</v>
      </c>
      <c r="BH412" t="s">
        <v>232</v>
      </c>
      <c r="BI412" t="s">
        <v>126</v>
      </c>
      <c r="BJ412" t="s">
        <v>127</v>
      </c>
      <c r="BK412" t="s">
        <v>9395</v>
      </c>
      <c r="BL412" t="s">
        <v>9396</v>
      </c>
      <c r="BM412" t="s">
        <v>9397</v>
      </c>
      <c r="BN412" t="s">
        <v>2455</v>
      </c>
      <c r="BO412" t="s">
        <v>1733</v>
      </c>
      <c r="BP412" t="s">
        <v>258</v>
      </c>
      <c r="BQ412" t="s">
        <v>1734</v>
      </c>
      <c r="BR412" t="s">
        <v>1735</v>
      </c>
      <c r="BS412" t="s">
        <v>2525</v>
      </c>
      <c r="BU412" t="s">
        <v>9398</v>
      </c>
      <c r="BV412" t="s">
        <v>9399</v>
      </c>
      <c r="BW412" t="s">
        <v>354</v>
      </c>
      <c r="BX412" t="s">
        <v>9400</v>
      </c>
      <c r="BY412" t="s">
        <v>9401</v>
      </c>
      <c r="BZ412" t="s">
        <v>9402</v>
      </c>
      <c r="CD412" t="s">
        <v>9403</v>
      </c>
      <c r="CE412" t="s">
        <v>9402</v>
      </c>
      <c r="CF412" t="s">
        <v>9404</v>
      </c>
      <c r="CG412" t="s">
        <v>102</v>
      </c>
      <c r="CH412" t="s">
        <v>9405</v>
      </c>
      <c r="CJ412" t="s">
        <v>1743</v>
      </c>
      <c r="CK412" t="s">
        <v>9405</v>
      </c>
      <c r="CL412" t="s">
        <v>1729</v>
      </c>
      <c r="CM412" t="s">
        <v>730</v>
      </c>
      <c r="CN412" t="s">
        <v>9406</v>
      </c>
      <c r="CP412" t="s">
        <v>9405</v>
      </c>
      <c r="CQ412" t="s">
        <v>9405</v>
      </c>
    </row>
    <row r="413" spans="1:95">
      <c r="A413" t="s">
        <v>337</v>
      </c>
      <c r="B413">
        <v>5015049</v>
      </c>
      <c r="C413" t="s">
        <v>9407</v>
      </c>
      <c r="D413" t="str">
        <f>VLOOKUP(B413,'2025'!B:C,2,0)</f>
        <v>Jasper Jessie</v>
      </c>
      <c r="F413" t="s">
        <v>95</v>
      </c>
      <c r="G413" t="s">
        <v>125</v>
      </c>
      <c r="H413" t="s">
        <v>9408</v>
      </c>
      <c r="I413" t="s">
        <v>98</v>
      </c>
      <c r="J413" t="s">
        <v>9409</v>
      </c>
      <c r="K413" t="s">
        <v>100</v>
      </c>
      <c r="L413">
        <v>1141565</v>
      </c>
      <c r="M413">
        <v>1261752</v>
      </c>
      <c r="N413">
        <v>338861</v>
      </c>
      <c r="O413">
        <v>384</v>
      </c>
      <c r="P413" t="s">
        <v>9410</v>
      </c>
      <c r="Q413">
        <v>135000</v>
      </c>
      <c r="R413">
        <v>75</v>
      </c>
      <c r="S413" t="s">
        <v>3005</v>
      </c>
      <c r="T413">
        <v>667704</v>
      </c>
      <c r="U413">
        <v>372</v>
      </c>
      <c r="V413" t="s">
        <v>9411</v>
      </c>
      <c r="W413" t="s">
        <v>102</v>
      </c>
      <c r="X413" t="s">
        <v>103</v>
      </c>
      <c r="Y413" t="s">
        <v>938</v>
      </c>
      <c r="AA413" t="s">
        <v>9412</v>
      </c>
      <c r="AB413" t="s">
        <v>9413</v>
      </c>
      <c r="AC413" t="s">
        <v>9414</v>
      </c>
      <c r="AD413" t="s">
        <v>9415</v>
      </c>
      <c r="AE413" t="s">
        <v>9416</v>
      </c>
      <c r="AF413" t="s">
        <v>9417</v>
      </c>
      <c r="AG413" t="s">
        <v>6550</v>
      </c>
      <c r="AH413" t="s">
        <v>9418</v>
      </c>
      <c r="AI413" t="s">
        <v>102</v>
      </c>
      <c r="AJ413" t="s">
        <v>9419</v>
      </c>
      <c r="AK413" t="s">
        <v>9420</v>
      </c>
      <c r="AL413" t="s">
        <v>9421</v>
      </c>
      <c r="AM413" t="s">
        <v>9422</v>
      </c>
      <c r="AN413" t="s">
        <v>9423</v>
      </c>
      <c r="AO413" t="s">
        <v>9424</v>
      </c>
      <c r="AP413" t="s">
        <v>9425</v>
      </c>
      <c r="AS413" t="s">
        <v>169</v>
      </c>
      <c r="AU413" t="s">
        <v>207</v>
      </c>
      <c r="AV413" t="s">
        <v>118</v>
      </c>
      <c r="AW413" t="s">
        <v>655</v>
      </c>
      <c r="AX413" t="s">
        <v>119</v>
      </c>
      <c r="AZ413" t="s">
        <v>250</v>
      </c>
      <c r="BA413" t="s">
        <v>250</v>
      </c>
      <c r="BB413" t="s">
        <v>120</v>
      </c>
      <c r="BC413" t="s">
        <v>920</v>
      </c>
      <c r="BD413" t="s">
        <v>211</v>
      </c>
      <c r="BE413" t="s">
        <v>212</v>
      </c>
      <c r="BF413" t="s">
        <v>213</v>
      </c>
      <c r="BG413" t="s">
        <v>124</v>
      </c>
      <c r="BH413" t="s">
        <v>125</v>
      </c>
      <c r="BI413" t="s">
        <v>411</v>
      </c>
      <c r="BJ413" t="s">
        <v>127</v>
      </c>
      <c r="BK413" t="s">
        <v>9426</v>
      </c>
      <c r="BL413" t="s">
        <v>9427</v>
      </c>
      <c r="BM413" t="s">
        <v>9428</v>
      </c>
      <c r="BN413" t="s">
        <v>125</v>
      </c>
      <c r="BO413" t="s">
        <v>480</v>
      </c>
      <c r="BP413" t="s">
        <v>5833</v>
      </c>
      <c r="BQ413" t="s">
        <v>481</v>
      </c>
      <c r="BR413" t="s">
        <v>482</v>
      </c>
      <c r="BS413" t="s">
        <v>7225</v>
      </c>
      <c r="BU413" t="s">
        <v>9429</v>
      </c>
      <c r="BV413" t="s">
        <v>9430</v>
      </c>
      <c r="BW413" t="s">
        <v>138</v>
      </c>
      <c r="BX413" t="s">
        <v>9431</v>
      </c>
      <c r="BY413" t="s">
        <v>9432</v>
      </c>
      <c r="BZ413" t="s">
        <v>9433</v>
      </c>
      <c r="CA413" t="s">
        <v>9434</v>
      </c>
      <c r="CB413" t="s">
        <v>9431</v>
      </c>
      <c r="CC413" t="s">
        <v>9432</v>
      </c>
      <c r="CD413" t="s">
        <v>9435</v>
      </c>
      <c r="CE413" t="s">
        <v>9436</v>
      </c>
      <c r="CF413" t="s">
        <v>9437</v>
      </c>
      <c r="CG413" t="s">
        <v>4802</v>
      </c>
      <c r="CH413" t="s">
        <v>9438</v>
      </c>
      <c r="CJ413" t="s">
        <v>9439</v>
      </c>
      <c r="CK413" t="s">
        <v>9438</v>
      </c>
      <c r="CL413" t="s">
        <v>920</v>
      </c>
      <c r="CM413" t="s">
        <v>211</v>
      </c>
      <c r="CN413" t="s">
        <v>9439</v>
      </c>
      <c r="CP413" t="s">
        <v>9438</v>
      </c>
      <c r="CQ413" t="s">
        <v>9438</v>
      </c>
    </row>
    <row r="414" spans="1:95">
      <c r="A414" t="s">
        <v>337</v>
      </c>
      <c r="B414">
        <v>5015458</v>
      </c>
      <c r="C414" t="s">
        <v>9440</v>
      </c>
      <c r="E414" s="4" t="s">
        <v>17377</v>
      </c>
      <c r="F414" t="s">
        <v>95</v>
      </c>
      <c r="G414" t="s">
        <v>367</v>
      </c>
      <c r="H414" t="s">
        <v>848</v>
      </c>
      <c r="I414" t="s">
        <v>98</v>
      </c>
      <c r="J414" t="s">
        <v>9441</v>
      </c>
      <c r="K414" t="s">
        <v>100</v>
      </c>
      <c r="L414">
        <v>423784</v>
      </c>
      <c r="M414">
        <v>500065</v>
      </c>
      <c r="N414">
        <v>0</v>
      </c>
      <c r="O414">
        <v>0</v>
      </c>
      <c r="Q414">
        <v>0</v>
      </c>
      <c r="R414">
        <v>0</v>
      </c>
      <c r="T414">
        <v>423784</v>
      </c>
      <c r="U414">
        <v>125</v>
      </c>
      <c r="V414" t="s">
        <v>9442</v>
      </c>
      <c r="W414" t="s">
        <v>102</v>
      </c>
      <c r="X414" t="s">
        <v>103</v>
      </c>
      <c r="Y414" t="s">
        <v>155</v>
      </c>
      <c r="AA414" t="s">
        <v>367</v>
      </c>
      <c r="AB414" t="s">
        <v>9443</v>
      </c>
      <c r="AC414" t="s">
        <v>501</v>
      </c>
      <c r="AD414" t="s">
        <v>5498</v>
      </c>
      <c r="AE414" t="s">
        <v>721</v>
      </c>
      <c r="AF414" t="s">
        <v>5498</v>
      </c>
      <c r="AG414" t="s">
        <v>160</v>
      </c>
      <c r="AH414" t="s">
        <v>5498</v>
      </c>
      <c r="AI414" t="s">
        <v>102</v>
      </c>
      <c r="AJ414" t="s">
        <v>892</v>
      </c>
      <c r="AK414" t="s">
        <v>892</v>
      </c>
      <c r="AL414" t="s">
        <v>4182</v>
      </c>
      <c r="AM414" t="s">
        <v>573</v>
      </c>
      <c r="AN414" t="s">
        <v>9444</v>
      </c>
      <c r="AO414" t="s">
        <v>9445</v>
      </c>
      <c r="AP414" t="s">
        <v>9445</v>
      </c>
      <c r="AU414" t="s">
        <v>102</v>
      </c>
      <c r="AW414" t="s">
        <v>102</v>
      </c>
      <c r="AX414" t="s">
        <v>119</v>
      </c>
      <c r="BA414" t="s">
        <v>250</v>
      </c>
      <c r="BB414" t="s">
        <v>120</v>
      </c>
      <c r="BC414" t="s">
        <v>9446</v>
      </c>
      <c r="BD414" t="s">
        <v>410</v>
      </c>
      <c r="BE414" t="s">
        <v>212</v>
      </c>
      <c r="BF414" t="s">
        <v>410</v>
      </c>
      <c r="BG414" t="s">
        <v>124</v>
      </c>
      <c r="BH414" t="s">
        <v>977</v>
      </c>
      <c r="BI414" t="s">
        <v>411</v>
      </c>
      <c r="BJ414" t="s">
        <v>127</v>
      </c>
      <c r="BK414" t="s">
        <v>9447</v>
      </c>
      <c r="BL414" t="s">
        <v>9448</v>
      </c>
      <c r="BM414" t="s">
        <v>9449</v>
      </c>
      <c r="BN414" t="s">
        <v>367</v>
      </c>
      <c r="BO414" t="s">
        <v>896</v>
      </c>
      <c r="BP414" t="s">
        <v>258</v>
      </c>
      <c r="BQ414" t="s">
        <v>897</v>
      </c>
      <c r="BR414" t="s">
        <v>898</v>
      </c>
      <c r="BS414" t="s">
        <v>8846</v>
      </c>
      <c r="BT414" t="s">
        <v>418</v>
      </c>
      <c r="BU414" t="s">
        <v>9450</v>
      </c>
      <c r="BV414" t="s">
        <v>9451</v>
      </c>
      <c r="BW414" t="s">
        <v>354</v>
      </c>
      <c r="BX414" t="s">
        <v>9452</v>
      </c>
      <c r="BY414" t="s">
        <v>9453</v>
      </c>
      <c r="BZ414" t="s">
        <v>9454</v>
      </c>
      <c r="CA414" t="s">
        <v>9455</v>
      </c>
      <c r="CB414" t="s">
        <v>9454</v>
      </c>
      <c r="CC414" t="s">
        <v>9456</v>
      </c>
      <c r="CD414" t="s">
        <v>9455</v>
      </c>
      <c r="CE414" t="s">
        <v>9454</v>
      </c>
      <c r="CF414" t="s">
        <v>9456</v>
      </c>
      <c r="CG414" t="s">
        <v>907</v>
      </c>
      <c r="CH414" t="s">
        <v>9457</v>
      </c>
      <c r="CJ414" t="s">
        <v>102</v>
      </c>
      <c r="CK414" t="s">
        <v>9457</v>
      </c>
      <c r="CL414" t="s">
        <v>9446</v>
      </c>
      <c r="CM414" t="s">
        <v>410</v>
      </c>
      <c r="CN414" t="s">
        <v>102</v>
      </c>
      <c r="CP414" t="s">
        <v>9457</v>
      </c>
      <c r="CQ414" t="s">
        <v>9457</v>
      </c>
    </row>
    <row r="415" spans="1:95">
      <c r="A415" t="s">
        <v>93</v>
      </c>
      <c r="B415">
        <v>5015687</v>
      </c>
      <c r="C415" t="s">
        <v>9461</v>
      </c>
      <c r="E415" s="4" t="s">
        <v>17377</v>
      </c>
      <c r="F415" t="s">
        <v>95</v>
      </c>
      <c r="G415" t="s">
        <v>3640</v>
      </c>
      <c r="H415" t="s">
        <v>848</v>
      </c>
      <c r="I415" t="s">
        <v>98</v>
      </c>
      <c r="J415" t="s">
        <v>9462</v>
      </c>
      <c r="K415" t="s">
        <v>100</v>
      </c>
      <c r="L415">
        <v>452395</v>
      </c>
      <c r="M415">
        <v>533826</v>
      </c>
      <c r="N415">
        <v>0</v>
      </c>
      <c r="O415">
        <v>0</v>
      </c>
      <c r="Q415">
        <v>0</v>
      </c>
      <c r="R415">
        <v>0</v>
      </c>
      <c r="T415">
        <v>452395</v>
      </c>
      <c r="U415">
        <v>259</v>
      </c>
      <c r="V415" t="s">
        <v>8745</v>
      </c>
      <c r="W415" t="s">
        <v>102</v>
      </c>
      <c r="X415" t="s">
        <v>103</v>
      </c>
      <c r="Y415" t="s">
        <v>155</v>
      </c>
      <c r="AA415" t="s">
        <v>232</v>
      </c>
      <c r="AB415" t="s">
        <v>9463</v>
      </c>
      <c r="AC415" t="s">
        <v>892</v>
      </c>
      <c r="AD415" t="s">
        <v>9463</v>
      </c>
      <c r="AE415" t="s">
        <v>437</v>
      </c>
      <c r="AF415" t="s">
        <v>9463</v>
      </c>
      <c r="AG415" t="s">
        <v>160</v>
      </c>
      <c r="AH415" t="s">
        <v>9463</v>
      </c>
      <c r="AI415" t="s">
        <v>102</v>
      </c>
      <c r="AJ415" t="s">
        <v>9464</v>
      </c>
      <c r="AK415" t="s">
        <v>1200</v>
      </c>
      <c r="AL415" t="s">
        <v>9465</v>
      </c>
      <c r="AM415" t="s">
        <v>3841</v>
      </c>
      <c r="AN415" t="s">
        <v>9466</v>
      </c>
      <c r="AO415" t="s">
        <v>8751</v>
      </c>
      <c r="AP415" t="s">
        <v>8751</v>
      </c>
      <c r="AU415" t="s">
        <v>102</v>
      </c>
      <c r="AW415" t="s">
        <v>102</v>
      </c>
      <c r="AX415" t="s">
        <v>119</v>
      </c>
      <c r="BA415" t="s">
        <v>250</v>
      </c>
      <c r="BB415" t="s">
        <v>1964</v>
      </c>
      <c r="BC415" t="s">
        <v>4841</v>
      </c>
      <c r="BD415" t="s">
        <v>2800</v>
      </c>
      <c r="BE415" t="s">
        <v>122</v>
      </c>
      <c r="BF415" t="s">
        <v>346</v>
      </c>
      <c r="BG415" t="s">
        <v>124</v>
      </c>
      <c r="BH415" t="s">
        <v>232</v>
      </c>
      <c r="BI415" t="s">
        <v>126</v>
      </c>
      <c r="BJ415" t="s">
        <v>127</v>
      </c>
      <c r="BK415" t="s">
        <v>9467</v>
      </c>
      <c r="BL415" t="s">
        <v>9468</v>
      </c>
      <c r="BM415" t="s">
        <v>9469</v>
      </c>
      <c r="BN415" t="s">
        <v>3640</v>
      </c>
      <c r="BO415" t="s">
        <v>4845</v>
      </c>
      <c r="BP415" t="s">
        <v>258</v>
      </c>
      <c r="BQ415" t="s">
        <v>4846</v>
      </c>
      <c r="BR415" t="s">
        <v>4847</v>
      </c>
      <c r="BS415" t="s">
        <v>328</v>
      </c>
      <c r="BT415" t="s">
        <v>5743</v>
      </c>
      <c r="BU415" t="s">
        <v>9470</v>
      </c>
      <c r="BV415" t="s">
        <v>9471</v>
      </c>
      <c r="BW415" t="s">
        <v>354</v>
      </c>
      <c r="BX415" t="s">
        <v>9472</v>
      </c>
      <c r="BY415" t="s">
        <v>9473</v>
      </c>
      <c r="BZ415" t="s">
        <v>9472</v>
      </c>
      <c r="CG415" t="s">
        <v>334</v>
      </c>
      <c r="CH415" t="s">
        <v>9474</v>
      </c>
      <c r="CJ415" t="s">
        <v>4856</v>
      </c>
      <c r="CK415" t="s">
        <v>9474</v>
      </c>
      <c r="CL415" t="s">
        <v>4841</v>
      </c>
      <c r="CM415" t="s">
        <v>2800</v>
      </c>
      <c r="CN415" t="s">
        <v>4856</v>
      </c>
      <c r="CP415" t="s">
        <v>9474</v>
      </c>
      <c r="CQ415" t="s">
        <v>9474</v>
      </c>
    </row>
    <row r="416" spans="1:95">
      <c r="A416" t="s">
        <v>149</v>
      </c>
      <c r="B416">
        <v>5015734</v>
      </c>
      <c r="C416" t="s">
        <v>9475</v>
      </c>
      <c r="D416" t="str">
        <f>VLOOKUP(B416,'2025'!B:C,2,0)</f>
        <v>Aarti Iyer</v>
      </c>
      <c r="F416" t="s">
        <v>95</v>
      </c>
      <c r="G416" t="s">
        <v>583</v>
      </c>
      <c r="H416" t="s">
        <v>1746</v>
      </c>
      <c r="I416" t="s">
        <v>98</v>
      </c>
      <c r="J416" t="s">
        <v>9476</v>
      </c>
      <c r="K416" t="s">
        <v>100</v>
      </c>
      <c r="L416">
        <v>355769</v>
      </c>
      <c r="M416">
        <v>396045</v>
      </c>
      <c r="N416">
        <v>44004</v>
      </c>
      <c r="O416">
        <v>132</v>
      </c>
      <c r="P416" t="s">
        <v>4516</v>
      </c>
      <c r="Q416">
        <v>88007</v>
      </c>
      <c r="R416">
        <v>132</v>
      </c>
      <c r="S416" t="s">
        <v>8218</v>
      </c>
      <c r="T416">
        <v>223758</v>
      </c>
      <c r="U416">
        <v>132</v>
      </c>
      <c r="V416" t="s">
        <v>2007</v>
      </c>
      <c r="W416" t="s">
        <v>102</v>
      </c>
      <c r="X416" t="s">
        <v>103</v>
      </c>
      <c r="Y416" t="s">
        <v>155</v>
      </c>
      <c r="AA416" t="s">
        <v>2605</v>
      </c>
      <c r="AB416" t="s">
        <v>9477</v>
      </c>
      <c r="AC416" t="s">
        <v>158</v>
      </c>
      <c r="AD416" t="s">
        <v>9477</v>
      </c>
      <c r="AE416" t="s">
        <v>159</v>
      </c>
      <c r="AF416" t="s">
        <v>9477</v>
      </c>
      <c r="AG416" t="s">
        <v>160</v>
      </c>
      <c r="AH416" t="s">
        <v>9477</v>
      </c>
      <c r="AI416" t="s">
        <v>102</v>
      </c>
      <c r="AJ416" t="s">
        <v>1451</v>
      </c>
      <c r="AK416" t="s">
        <v>4665</v>
      </c>
      <c r="AL416" t="s">
        <v>9478</v>
      </c>
      <c r="AM416" t="s">
        <v>9479</v>
      </c>
      <c r="AN416" t="s">
        <v>9480</v>
      </c>
      <c r="AO416" t="s">
        <v>9481</v>
      </c>
      <c r="AP416" t="s">
        <v>9482</v>
      </c>
      <c r="AT416" t="s">
        <v>169</v>
      </c>
      <c r="AU416" t="s">
        <v>117</v>
      </c>
      <c r="AV416" t="s">
        <v>250</v>
      </c>
      <c r="AW416" t="s">
        <v>155</v>
      </c>
      <c r="AX416" t="s">
        <v>119</v>
      </c>
      <c r="AZ416" t="s">
        <v>250</v>
      </c>
      <c r="BA416" t="s">
        <v>250</v>
      </c>
      <c r="BB416" t="s">
        <v>1242</v>
      </c>
      <c r="BC416" t="s">
        <v>9483</v>
      </c>
      <c r="BD416" t="s">
        <v>621</v>
      </c>
      <c r="BE416" t="s">
        <v>622</v>
      </c>
      <c r="BF416" t="s">
        <v>976</v>
      </c>
      <c r="BG416" t="s">
        <v>124</v>
      </c>
      <c r="BH416" t="s">
        <v>214</v>
      </c>
      <c r="BI416" t="s">
        <v>625</v>
      </c>
      <c r="BJ416" t="s">
        <v>127</v>
      </c>
      <c r="BK416" t="s">
        <v>9484</v>
      </c>
      <c r="BL416" t="s">
        <v>9485</v>
      </c>
      <c r="BM416" t="s">
        <v>9486</v>
      </c>
      <c r="BN416" t="s">
        <v>583</v>
      </c>
      <c r="BO416" t="s">
        <v>981</v>
      </c>
      <c r="BP416" t="s">
        <v>258</v>
      </c>
      <c r="BQ416" t="s">
        <v>982</v>
      </c>
      <c r="BR416" t="s">
        <v>983</v>
      </c>
      <c r="BS416" t="s">
        <v>984</v>
      </c>
      <c r="BU416" t="s">
        <v>9487</v>
      </c>
      <c r="BV416" t="s">
        <v>9488</v>
      </c>
      <c r="BW416" t="s">
        <v>138</v>
      </c>
      <c r="BX416" t="s">
        <v>9489</v>
      </c>
      <c r="BY416" t="s">
        <v>9490</v>
      </c>
      <c r="BZ416" t="s">
        <v>9491</v>
      </c>
      <c r="CA416" t="s">
        <v>9488</v>
      </c>
      <c r="CB416" t="s">
        <v>9489</v>
      </c>
      <c r="CC416" t="s">
        <v>9490</v>
      </c>
      <c r="CD416" t="s">
        <v>9492</v>
      </c>
      <c r="CE416" t="s">
        <v>9493</v>
      </c>
      <c r="CF416" t="s">
        <v>9494</v>
      </c>
      <c r="CG416" t="s">
        <v>102</v>
      </c>
      <c r="CH416" t="s">
        <v>9495</v>
      </c>
      <c r="CJ416" t="s">
        <v>9496</v>
      </c>
      <c r="CK416" t="s">
        <v>9495</v>
      </c>
      <c r="CL416" t="s">
        <v>9483</v>
      </c>
      <c r="CM416" t="s">
        <v>621</v>
      </c>
      <c r="CN416" t="s">
        <v>9496</v>
      </c>
      <c r="CP416" t="s">
        <v>9495</v>
      </c>
      <c r="CQ416" t="s">
        <v>9495</v>
      </c>
    </row>
    <row r="417" spans="1:95">
      <c r="A417" t="s">
        <v>337</v>
      </c>
      <c r="B417">
        <v>5015804</v>
      </c>
      <c r="C417" t="s">
        <v>9497</v>
      </c>
      <c r="E417" s="4" t="s">
        <v>17377</v>
      </c>
      <c r="F417" t="s">
        <v>95</v>
      </c>
      <c r="G417" t="s">
        <v>2712</v>
      </c>
      <c r="H417" t="s">
        <v>97</v>
      </c>
      <c r="I417" t="s">
        <v>98</v>
      </c>
      <c r="J417" t="s">
        <v>9498</v>
      </c>
      <c r="K417" t="s">
        <v>100</v>
      </c>
      <c r="L417">
        <v>144486</v>
      </c>
      <c r="M417">
        <v>144486</v>
      </c>
      <c r="N417">
        <v>144486</v>
      </c>
      <c r="O417">
        <v>289</v>
      </c>
      <c r="P417" t="s">
        <v>364</v>
      </c>
      <c r="Q417">
        <v>0</v>
      </c>
      <c r="R417">
        <v>0</v>
      </c>
      <c r="T417">
        <v>0</v>
      </c>
      <c r="U417">
        <v>0</v>
      </c>
      <c r="W417" t="s">
        <v>102</v>
      </c>
      <c r="X417" t="s">
        <v>103</v>
      </c>
      <c r="Y417" t="s">
        <v>104</v>
      </c>
      <c r="AA417" t="s">
        <v>545</v>
      </c>
      <c r="AB417" t="s">
        <v>9499</v>
      </c>
      <c r="AC417" t="s">
        <v>2582</v>
      </c>
      <c r="AD417" t="s">
        <v>9500</v>
      </c>
      <c r="AE417" t="s">
        <v>109</v>
      </c>
      <c r="AF417" t="s">
        <v>102</v>
      </c>
      <c r="AG417" t="s">
        <v>109</v>
      </c>
      <c r="AH417" t="s">
        <v>102</v>
      </c>
      <c r="AI417" t="s">
        <v>9501</v>
      </c>
      <c r="AJ417" t="s">
        <v>464</v>
      </c>
      <c r="AK417" t="s">
        <v>945</v>
      </c>
      <c r="AL417" t="s">
        <v>9502</v>
      </c>
      <c r="AM417" t="s">
        <v>9503</v>
      </c>
      <c r="AN417" t="s">
        <v>102</v>
      </c>
      <c r="AO417" t="s">
        <v>2307</v>
      </c>
      <c r="AP417" t="s">
        <v>2307</v>
      </c>
      <c r="AU417" t="s">
        <v>117</v>
      </c>
      <c r="AV417" t="s">
        <v>118</v>
      </c>
      <c r="AW417" t="s">
        <v>102</v>
      </c>
      <c r="AX417" t="s">
        <v>119</v>
      </c>
      <c r="BB417" t="s">
        <v>120</v>
      </c>
      <c r="BC417" t="s">
        <v>920</v>
      </c>
      <c r="BD417" t="s">
        <v>211</v>
      </c>
      <c r="BE417" t="s">
        <v>212</v>
      </c>
      <c r="BF417" t="s">
        <v>213</v>
      </c>
      <c r="BG417" t="s">
        <v>124</v>
      </c>
      <c r="BH417" t="s">
        <v>232</v>
      </c>
      <c r="BI417" t="s">
        <v>126</v>
      </c>
      <c r="BJ417" t="s">
        <v>127</v>
      </c>
      <c r="BK417" t="s">
        <v>9504</v>
      </c>
      <c r="BL417" t="s">
        <v>9505</v>
      </c>
      <c r="BM417" t="s">
        <v>9506</v>
      </c>
      <c r="BN417" t="s">
        <v>2712</v>
      </c>
      <c r="BO417" t="s">
        <v>480</v>
      </c>
      <c r="BP417" t="s">
        <v>180</v>
      </c>
      <c r="BQ417" t="s">
        <v>481</v>
      </c>
      <c r="BR417" t="s">
        <v>482</v>
      </c>
      <c r="BS417" t="s">
        <v>2593</v>
      </c>
      <c r="BT417" t="s">
        <v>900</v>
      </c>
      <c r="BU417" t="s">
        <v>9507</v>
      </c>
      <c r="BV417" t="s">
        <v>9508</v>
      </c>
      <c r="BW417" t="s">
        <v>138</v>
      </c>
      <c r="BX417" t="s">
        <v>9509</v>
      </c>
      <c r="BY417" t="s">
        <v>9510</v>
      </c>
      <c r="BZ417" t="s">
        <v>9511</v>
      </c>
      <c r="CA417" t="s">
        <v>9508</v>
      </c>
      <c r="CB417" t="s">
        <v>9509</v>
      </c>
      <c r="CC417" t="s">
        <v>9510</v>
      </c>
      <c r="CG417" t="s">
        <v>5007</v>
      </c>
      <c r="CH417" t="s">
        <v>9512</v>
      </c>
      <c r="CJ417" t="s">
        <v>9513</v>
      </c>
      <c r="CK417" t="s">
        <v>9514</v>
      </c>
      <c r="CL417" t="s">
        <v>920</v>
      </c>
      <c r="CM417" t="s">
        <v>211</v>
      </c>
      <c r="CN417" t="s">
        <v>9513</v>
      </c>
      <c r="CO417" t="s">
        <v>9515</v>
      </c>
      <c r="CP417" t="s">
        <v>9512</v>
      </c>
      <c r="CQ417" t="s">
        <v>9514</v>
      </c>
    </row>
    <row r="418" spans="1:95">
      <c r="A418" t="s">
        <v>149</v>
      </c>
      <c r="B418">
        <v>5015850</v>
      </c>
      <c r="C418" t="s">
        <v>9516</v>
      </c>
      <c r="D418" t="str">
        <f>VLOOKUP(B418,'2025'!B:C,2,0)</f>
        <v>Hetal Parmar</v>
      </c>
      <c r="F418" t="s">
        <v>95</v>
      </c>
      <c r="G418" t="s">
        <v>441</v>
      </c>
      <c r="H418" t="s">
        <v>97</v>
      </c>
      <c r="I418" t="s">
        <v>98</v>
      </c>
      <c r="J418" t="s">
        <v>9517</v>
      </c>
      <c r="K418" t="s">
        <v>100</v>
      </c>
      <c r="L418">
        <v>42075</v>
      </c>
      <c r="M418">
        <v>42075</v>
      </c>
      <c r="N418">
        <v>42075</v>
      </c>
      <c r="O418">
        <v>51</v>
      </c>
      <c r="P418" t="s">
        <v>3811</v>
      </c>
      <c r="Q418">
        <v>0</v>
      </c>
      <c r="R418">
        <v>0</v>
      </c>
      <c r="T418">
        <v>0</v>
      </c>
      <c r="U418">
        <v>0</v>
      </c>
      <c r="W418" t="s">
        <v>102</v>
      </c>
      <c r="X418" t="s">
        <v>275</v>
      </c>
      <c r="Z418" t="s">
        <v>441</v>
      </c>
      <c r="AA418" t="s">
        <v>109</v>
      </c>
      <c r="AB418" t="s">
        <v>102</v>
      </c>
      <c r="AC418" t="s">
        <v>109</v>
      </c>
      <c r="AD418" t="s">
        <v>102</v>
      </c>
      <c r="AE418" t="s">
        <v>109</v>
      </c>
      <c r="AF418" t="s">
        <v>102</v>
      </c>
      <c r="AG418" t="s">
        <v>109</v>
      </c>
      <c r="AH418" t="s">
        <v>102</v>
      </c>
      <c r="AI418" t="s">
        <v>102</v>
      </c>
      <c r="AJ418" t="s">
        <v>2079</v>
      </c>
      <c r="AK418" t="s">
        <v>2079</v>
      </c>
      <c r="AL418" t="s">
        <v>9518</v>
      </c>
      <c r="AM418" t="s">
        <v>9518</v>
      </c>
      <c r="AN418" t="s">
        <v>102</v>
      </c>
      <c r="AO418" t="s">
        <v>1826</v>
      </c>
      <c r="AP418" t="s">
        <v>1826</v>
      </c>
      <c r="AU418" t="s">
        <v>318</v>
      </c>
      <c r="AV418" t="s">
        <v>118</v>
      </c>
      <c r="AW418" t="s">
        <v>102</v>
      </c>
      <c r="AX418" t="s">
        <v>119</v>
      </c>
      <c r="BB418" t="s">
        <v>1964</v>
      </c>
      <c r="BC418" t="s">
        <v>623</v>
      </c>
      <c r="BD418" t="s">
        <v>621</v>
      </c>
      <c r="BE418" t="s">
        <v>622</v>
      </c>
      <c r="BF418" t="s">
        <v>623</v>
      </c>
      <c r="BG418" t="s">
        <v>124</v>
      </c>
      <c r="BH418" t="s">
        <v>441</v>
      </c>
      <c r="BI418" t="s">
        <v>625</v>
      </c>
      <c r="BJ418" t="s">
        <v>127</v>
      </c>
      <c r="BK418" t="s">
        <v>9519</v>
      </c>
      <c r="BL418" t="s">
        <v>9520</v>
      </c>
      <c r="BM418" t="s">
        <v>9521</v>
      </c>
      <c r="BN418" t="s">
        <v>441</v>
      </c>
      <c r="BO418" t="s">
        <v>629</v>
      </c>
      <c r="BP418" t="s">
        <v>132</v>
      </c>
      <c r="BQ418" t="s">
        <v>630</v>
      </c>
      <c r="BR418" t="s">
        <v>631</v>
      </c>
      <c r="BS418" t="s">
        <v>1279</v>
      </c>
      <c r="BU418" t="s">
        <v>9522</v>
      </c>
      <c r="BV418" t="s">
        <v>3817</v>
      </c>
      <c r="BW418" t="s">
        <v>138</v>
      </c>
      <c r="BX418" t="s">
        <v>3818</v>
      </c>
      <c r="BY418" t="s">
        <v>3819</v>
      </c>
      <c r="BZ418" t="s">
        <v>3818</v>
      </c>
      <c r="CG418" t="s">
        <v>102</v>
      </c>
      <c r="CH418" t="s">
        <v>9523</v>
      </c>
      <c r="CJ418" t="s">
        <v>3821</v>
      </c>
      <c r="CK418" t="s">
        <v>9523</v>
      </c>
      <c r="CL418" t="s">
        <v>623</v>
      </c>
      <c r="CM418" t="s">
        <v>621</v>
      </c>
      <c r="CN418" t="s">
        <v>3821</v>
      </c>
      <c r="CP418" t="s">
        <v>9523</v>
      </c>
      <c r="CQ418" t="s">
        <v>9523</v>
      </c>
    </row>
    <row r="419" spans="1:95">
      <c r="A419" t="s">
        <v>149</v>
      </c>
      <c r="B419">
        <v>5015890</v>
      </c>
      <c r="C419" t="s">
        <v>9531</v>
      </c>
      <c r="D419" t="str">
        <f>VLOOKUP(B419,'2025'!B:C,2,0)</f>
        <v>Aarti Iyer</v>
      </c>
      <c r="F419" t="s">
        <v>95</v>
      </c>
      <c r="G419" t="s">
        <v>892</v>
      </c>
      <c r="H419" t="s">
        <v>97</v>
      </c>
      <c r="I419" t="s">
        <v>98</v>
      </c>
      <c r="J419" t="s">
        <v>9532</v>
      </c>
      <c r="K419" t="s">
        <v>100</v>
      </c>
      <c r="L419">
        <v>69006</v>
      </c>
      <c r="M419">
        <v>69006</v>
      </c>
      <c r="N419">
        <v>69006</v>
      </c>
      <c r="O419">
        <v>138</v>
      </c>
      <c r="P419" t="s">
        <v>364</v>
      </c>
      <c r="Q419">
        <v>0</v>
      </c>
      <c r="R419">
        <v>0</v>
      </c>
      <c r="T419">
        <v>0</v>
      </c>
      <c r="U419">
        <v>0</v>
      </c>
      <c r="W419" t="s">
        <v>102</v>
      </c>
      <c r="X419" t="s">
        <v>275</v>
      </c>
      <c r="Z419" t="s">
        <v>646</v>
      </c>
      <c r="AA419" t="s">
        <v>109</v>
      </c>
      <c r="AB419" t="s">
        <v>102</v>
      </c>
      <c r="AC419" t="s">
        <v>109</v>
      </c>
      <c r="AD419" t="s">
        <v>102</v>
      </c>
      <c r="AE419" t="s">
        <v>109</v>
      </c>
      <c r="AF419" t="s">
        <v>102</v>
      </c>
      <c r="AG419" t="s">
        <v>109</v>
      </c>
      <c r="AH419" t="s">
        <v>102</v>
      </c>
      <c r="AI419" t="s">
        <v>102</v>
      </c>
      <c r="AJ419" t="s">
        <v>156</v>
      </c>
      <c r="AK419" t="s">
        <v>156</v>
      </c>
      <c r="AL419" t="s">
        <v>9533</v>
      </c>
      <c r="AM419" t="s">
        <v>9534</v>
      </c>
      <c r="AN419" t="s">
        <v>9535</v>
      </c>
      <c r="AO419" t="s">
        <v>2125</v>
      </c>
      <c r="AP419" t="s">
        <v>2126</v>
      </c>
      <c r="AQ419" t="s">
        <v>343</v>
      </c>
      <c r="AU419" t="s">
        <v>318</v>
      </c>
      <c r="AV419" t="s">
        <v>118</v>
      </c>
      <c r="AW419" t="s">
        <v>102</v>
      </c>
      <c r="AX419" t="s">
        <v>119</v>
      </c>
      <c r="BB419" t="s">
        <v>120</v>
      </c>
      <c r="BC419" t="s">
        <v>2127</v>
      </c>
      <c r="BD419" t="s">
        <v>621</v>
      </c>
      <c r="BE419" t="s">
        <v>622</v>
      </c>
      <c r="BF419" t="s">
        <v>976</v>
      </c>
      <c r="BG419" t="s">
        <v>124</v>
      </c>
      <c r="BH419" t="s">
        <v>892</v>
      </c>
      <c r="BI419" t="s">
        <v>625</v>
      </c>
      <c r="BJ419" t="s">
        <v>127</v>
      </c>
      <c r="BK419" t="s">
        <v>9536</v>
      </c>
      <c r="BL419" t="s">
        <v>9537</v>
      </c>
      <c r="BM419" t="s">
        <v>9538</v>
      </c>
      <c r="BN419" t="s">
        <v>892</v>
      </c>
      <c r="BO419" t="s">
        <v>981</v>
      </c>
      <c r="BP419" t="s">
        <v>350</v>
      </c>
      <c r="BQ419" t="s">
        <v>982</v>
      </c>
      <c r="BR419" t="s">
        <v>983</v>
      </c>
      <c r="BS419" t="s">
        <v>984</v>
      </c>
      <c r="BU419" t="s">
        <v>9539</v>
      </c>
      <c r="BV419" t="s">
        <v>9540</v>
      </c>
      <c r="BW419" t="s">
        <v>138</v>
      </c>
      <c r="BX419" t="s">
        <v>9541</v>
      </c>
      <c r="BY419" t="s">
        <v>9542</v>
      </c>
      <c r="BZ419" t="s">
        <v>9541</v>
      </c>
      <c r="CG419" t="s">
        <v>102</v>
      </c>
      <c r="CH419" t="s">
        <v>9543</v>
      </c>
      <c r="CJ419" t="s">
        <v>9544</v>
      </c>
      <c r="CK419" t="s">
        <v>9543</v>
      </c>
      <c r="CL419" t="s">
        <v>2127</v>
      </c>
      <c r="CM419" t="s">
        <v>621</v>
      </c>
      <c r="CN419" t="s">
        <v>9544</v>
      </c>
      <c r="CP419" t="s">
        <v>9543</v>
      </c>
      <c r="CQ419" t="s">
        <v>9543</v>
      </c>
    </row>
    <row r="420" spans="1:95">
      <c r="A420" t="s">
        <v>93</v>
      </c>
      <c r="B420">
        <v>5016136</v>
      </c>
      <c r="C420" t="s">
        <v>9545</v>
      </c>
      <c r="E420" s="4" t="s">
        <v>17377</v>
      </c>
      <c r="F420" t="s">
        <v>95</v>
      </c>
      <c r="G420" t="s">
        <v>5021</v>
      </c>
      <c r="H420" t="s">
        <v>152</v>
      </c>
      <c r="I420" t="s">
        <v>98</v>
      </c>
      <c r="J420" t="s">
        <v>9546</v>
      </c>
      <c r="K420" t="s">
        <v>100</v>
      </c>
      <c r="L420">
        <v>444380</v>
      </c>
      <c r="M420">
        <v>444380</v>
      </c>
      <c r="N420">
        <v>0</v>
      </c>
      <c r="O420">
        <v>0</v>
      </c>
      <c r="Q420">
        <v>444380</v>
      </c>
      <c r="R420">
        <v>235</v>
      </c>
      <c r="S420" t="s">
        <v>9547</v>
      </c>
      <c r="T420">
        <v>0</v>
      </c>
      <c r="U420">
        <v>0</v>
      </c>
      <c r="W420" t="s">
        <v>102</v>
      </c>
      <c r="X420" t="s">
        <v>103</v>
      </c>
      <c r="Y420" t="s">
        <v>398</v>
      </c>
      <c r="AA420" t="s">
        <v>558</v>
      </c>
      <c r="AB420" t="s">
        <v>9548</v>
      </c>
      <c r="AC420" t="s">
        <v>311</v>
      </c>
      <c r="AD420" t="s">
        <v>9549</v>
      </c>
      <c r="AE420" t="s">
        <v>3232</v>
      </c>
      <c r="AF420" t="s">
        <v>9549</v>
      </c>
      <c r="AG420" t="s">
        <v>109</v>
      </c>
      <c r="AH420" t="s">
        <v>102</v>
      </c>
      <c r="AI420" t="s">
        <v>102</v>
      </c>
      <c r="AJ420" t="s">
        <v>96</v>
      </c>
      <c r="AK420" t="s">
        <v>8054</v>
      </c>
      <c r="AL420" t="s">
        <v>9550</v>
      </c>
      <c r="AM420" t="s">
        <v>9551</v>
      </c>
      <c r="AN420" t="s">
        <v>9552</v>
      </c>
      <c r="AO420" t="s">
        <v>9553</v>
      </c>
      <c r="AP420" t="s">
        <v>9553</v>
      </c>
      <c r="AU420" t="s">
        <v>102</v>
      </c>
      <c r="AW420" t="s">
        <v>155</v>
      </c>
      <c r="AX420" t="s">
        <v>119</v>
      </c>
      <c r="AY420" t="s">
        <v>170</v>
      </c>
      <c r="AZ420" t="s">
        <v>118</v>
      </c>
      <c r="BB420" t="s">
        <v>120</v>
      </c>
      <c r="BC420" t="s">
        <v>9554</v>
      </c>
      <c r="BD420" t="s">
        <v>556</v>
      </c>
      <c r="BE420" t="s">
        <v>122</v>
      </c>
      <c r="BF420" t="s">
        <v>557</v>
      </c>
      <c r="BG420" t="s">
        <v>124</v>
      </c>
      <c r="BH420" t="s">
        <v>232</v>
      </c>
      <c r="BI420" t="s">
        <v>559</v>
      </c>
      <c r="BJ420" t="s">
        <v>127</v>
      </c>
      <c r="BK420" t="s">
        <v>9555</v>
      </c>
      <c r="BL420" t="s">
        <v>9556</v>
      </c>
      <c r="BM420" t="s">
        <v>9557</v>
      </c>
      <c r="BN420" t="s">
        <v>5021</v>
      </c>
      <c r="BO420" t="s">
        <v>563</v>
      </c>
      <c r="BP420" t="s">
        <v>350</v>
      </c>
      <c r="BQ420" t="s">
        <v>564</v>
      </c>
      <c r="BR420" t="s">
        <v>565</v>
      </c>
      <c r="BS420" t="s">
        <v>563</v>
      </c>
      <c r="BT420" t="s">
        <v>566</v>
      </c>
      <c r="BU420" t="s">
        <v>9558</v>
      </c>
      <c r="BV420" t="s">
        <v>9559</v>
      </c>
      <c r="BW420" t="s">
        <v>354</v>
      </c>
      <c r="BX420" t="s">
        <v>9560</v>
      </c>
      <c r="BY420" t="s">
        <v>9561</v>
      </c>
      <c r="BZ420" t="s">
        <v>9560</v>
      </c>
      <c r="CG420" t="s">
        <v>573</v>
      </c>
      <c r="CH420" t="s">
        <v>9562</v>
      </c>
      <c r="CJ420" t="s">
        <v>9563</v>
      </c>
      <c r="CK420" t="s">
        <v>9562</v>
      </c>
      <c r="CL420" t="s">
        <v>9564</v>
      </c>
      <c r="CM420" t="s">
        <v>556</v>
      </c>
      <c r="CN420" t="s">
        <v>9563</v>
      </c>
      <c r="CP420" t="s">
        <v>9562</v>
      </c>
      <c r="CQ420" t="s">
        <v>9562</v>
      </c>
    </row>
    <row r="421" spans="1:95">
      <c r="A421" t="s">
        <v>149</v>
      </c>
      <c r="B421">
        <v>5016141</v>
      </c>
      <c r="C421" t="s">
        <v>9565</v>
      </c>
      <c r="D421" t="str">
        <f>VLOOKUP(B421,'2025'!B:C,2,0)</f>
        <v>Hetal Parmar</v>
      </c>
      <c r="F421" t="s">
        <v>95</v>
      </c>
      <c r="G421" t="s">
        <v>3134</v>
      </c>
      <c r="H421" t="s">
        <v>97</v>
      </c>
      <c r="I421" t="s">
        <v>98</v>
      </c>
      <c r="J421" t="s">
        <v>9566</v>
      </c>
      <c r="K421" t="s">
        <v>100</v>
      </c>
      <c r="L421">
        <v>414600</v>
      </c>
      <c r="M421">
        <v>414600</v>
      </c>
      <c r="N421">
        <v>414600</v>
      </c>
      <c r="O421">
        <v>1382</v>
      </c>
      <c r="P421" t="s">
        <v>3205</v>
      </c>
      <c r="Q421">
        <v>0</v>
      </c>
      <c r="R421">
        <v>0</v>
      </c>
      <c r="T421">
        <v>0</v>
      </c>
      <c r="U421">
        <v>0</v>
      </c>
      <c r="W421" t="s">
        <v>102</v>
      </c>
      <c r="X421" t="s">
        <v>275</v>
      </c>
      <c r="Z421" t="s">
        <v>3134</v>
      </c>
      <c r="AA421" t="s">
        <v>109</v>
      </c>
      <c r="AB421" t="s">
        <v>102</v>
      </c>
      <c r="AC421" t="s">
        <v>109</v>
      </c>
      <c r="AD421" t="s">
        <v>102</v>
      </c>
      <c r="AE421" t="s">
        <v>109</v>
      </c>
      <c r="AF421" t="s">
        <v>102</v>
      </c>
      <c r="AG421" t="s">
        <v>109</v>
      </c>
      <c r="AH421" t="s">
        <v>102</v>
      </c>
      <c r="AI421" t="s">
        <v>102</v>
      </c>
      <c r="AJ421" t="s">
        <v>469</v>
      </c>
      <c r="AK421" t="s">
        <v>3880</v>
      </c>
      <c r="AL421" t="s">
        <v>9567</v>
      </c>
      <c r="AM421" t="s">
        <v>9567</v>
      </c>
      <c r="AN421" t="s">
        <v>102</v>
      </c>
      <c r="AO421" t="s">
        <v>3213</v>
      </c>
      <c r="AP421" t="s">
        <v>3213</v>
      </c>
      <c r="AU421" t="s">
        <v>318</v>
      </c>
      <c r="AV421" t="s">
        <v>118</v>
      </c>
      <c r="AW421" t="s">
        <v>102</v>
      </c>
      <c r="AX421" t="s">
        <v>119</v>
      </c>
      <c r="BB421" t="s">
        <v>1964</v>
      </c>
      <c r="BC421" t="s">
        <v>623</v>
      </c>
      <c r="BD421" t="s">
        <v>621</v>
      </c>
      <c r="BE421" t="s">
        <v>622</v>
      </c>
      <c r="BF421" t="s">
        <v>623</v>
      </c>
      <c r="BG421" t="s">
        <v>124</v>
      </c>
      <c r="BH421" t="s">
        <v>214</v>
      </c>
      <c r="BI421" t="s">
        <v>625</v>
      </c>
      <c r="BJ421" t="s">
        <v>127</v>
      </c>
      <c r="BK421" t="s">
        <v>9568</v>
      </c>
      <c r="BL421" t="s">
        <v>9569</v>
      </c>
      <c r="BM421" t="s">
        <v>9570</v>
      </c>
      <c r="BN421" t="s">
        <v>3134</v>
      </c>
      <c r="BO421" t="s">
        <v>629</v>
      </c>
      <c r="BP421" t="s">
        <v>505</v>
      </c>
      <c r="BQ421" t="s">
        <v>630</v>
      </c>
      <c r="BR421" t="s">
        <v>631</v>
      </c>
      <c r="BS421" t="s">
        <v>1279</v>
      </c>
      <c r="BU421" t="s">
        <v>9571</v>
      </c>
      <c r="BV421" t="s">
        <v>9572</v>
      </c>
      <c r="BW421" t="s">
        <v>138</v>
      </c>
      <c r="BX421" t="s">
        <v>9573</v>
      </c>
      <c r="BY421" t="s">
        <v>9574</v>
      </c>
      <c r="BZ421" t="s">
        <v>9575</v>
      </c>
      <c r="CG421" t="s">
        <v>102</v>
      </c>
      <c r="CH421" t="s">
        <v>9576</v>
      </c>
      <c r="CJ421" t="s">
        <v>9577</v>
      </c>
      <c r="CK421" t="s">
        <v>9578</v>
      </c>
      <c r="CL421" t="s">
        <v>623</v>
      </c>
      <c r="CM421" t="s">
        <v>621</v>
      </c>
      <c r="CN421" t="s">
        <v>9577</v>
      </c>
      <c r="CP421" t="s">
        <v>9576</v>
      </c>
      <c r="CQ421" t="s">
        <v>9578</v>
      </c>
    </row>
    <row r="422" spans="1:95">
      <c r="A422" t="s">
        <v>337</v>
      </c>
      <c r="B422">
        <v>5016187</v>
      </c>
      <c r="C422" t="s">
        <v>9579</v>
      </c>
      <c r="D422" t="str">
        <f>VLOOKUP(B422,'2025'!B:C,2,0)</f>
        <v>Chaitanya</v>
      </c>
      <c r="F422" t="s">
        <v>95</v>
      </c>
      <c r="G422" t="s">
        <v>9580</v>
      </c>
      <c r="H422" t="s">
        <v>2193</v>
      </c>
      <c r="I422" t="s">
        <v>98</v>
      </c>
      <c r="J422" t="s">
        <v>9581</v>
      </c>
      <c r="K422" t="s">
        <v>100</v>
      </c>
      <c r="L422">
        <v>400000</v>
      </c>
      <c r="M422">
        <v>472000</v>
      </c>
      <c r="N422">
        <v>0</v>
      </c>
      <c r="O422">
        <v>1093</v>
      </c>
      <c r="P422" t="s">
        <v>102</v>
      </c>
      <c r="Q422">
        <v>0</v>
      </c>
      <c r="R422">
        <v>0</v>
      </c>
      <c r="S422" t="s">
        <v>102</v>
      </c>
      <c r="T422">
        <v>0</v>
      </c>
      <c r="U422">
        <v>0</v>
      </c>
      <c r="V422" t="s">
        <v>102</v>
      </c>
      <c r="W422" t="s">
        <v>2195</v>
      </c>
      <c r="X422" t="s">
        <v>103</v>
      </c>
      <c r="Y422" t="s">
        <v>2196</v>
      </c>
      <c r="Z422" t="s">
        <v>232</v>
      </c>
      <c r="AA422" t="s">
        <v>9580</v>
      </c>
      <c r="AB422" t="s">
        <v>102</v>
      </c>
      <c r="AC422" t="s">
        <v>9582</v>
      </c>
      <c r="AD422" t="s">
        <v>102</v>
      </c>
      <c r="AE422" t="s">
        <v>9583</v>
      </c>
      <c r="AF422" t="s">
        <v>102</v>
      </c>
      <c r="AG422" t="s">
        <v>1091</v>
      </c>
      <c r="AH422" t="s">
        <v>102</v>
      </c>
      <c r="AI422" t="s">
        <v>102</v>
      </c>
      <c r="AJ422" t="s">
        <v>232</v>
      </c>
      <c r="AK422" t="s">
        <v>232</v>
      </c>
      <c r="AL422" t="s">
        <v>2195</v>
      </c>
      <c r="AM422" t="s">
        <v>102</v>
      </c>
      <c r="AN422" t="s">
        <v>2195</v>
      </c>
      <c r="AO422" t="s">
        <v>2202</v>
      </c>
      <c r="AP422" t="s">
        <v>2202</v>
      </c>
      <c r="AQ422" t="s">
        <v>102</v>
      </c>
      <c r="AR422" t="s">
        <v>102</v>
      </c>
      <c r="AS422" t="s">
        <v>102</v>
      </c>
      <c r="AT422" t="s">
        <v>102</v>
      </c>
      <c r="AU422" t="s">
        <v>247</v>
      </c>
      <c r="AV422" t="s">
        <v>118</v>
      </c>
      <c r="AW422" t="s">
        <v>102</v>
      </c>
      <c r="AX422" t="s">
        <v>119</v>
      </c>
      <c r="BB422" t="s">
        <v>120</v>
      </c>
      <c r="BC422" t="s">
        <v>3854</v>
      </c>
      <c r="BD422" t="s">
        <v>449</v>
      </c>
      <c r="BE422" t="s">
        <v>122</v>
      </c>
      <c r="BF422" t="s">
        <v>4256</v>
      </c>
      <c r="BG422" t="s">
        <v>124</v>
      </c>
      <c r="BH422" t="s">
        <v>232</v>
      </c>
      <c r="BI422" t="s">
        <v>9584</v>
      </c>
      <c r="BJ422" t="s">
        <v>2207</v>
      </c>
      <c r="BK422" t="s">
        <v>9585</v>
      </c>
      <c r="BL422" t="s">
        <v>9586</v>
      </c>
      <c r="BM422" t="s">
        <v>9587</v>
      </c>
      <c r="BN422" t="s">
        <v>9580</v>
      </c>
      <c r="BO422" t="s">
        <v>2766</v>
      </c>
      <c r="BP422" t="s">
        <v>3064</v>
      </c>
      <c r="BQ422" t="s">
        <v>2213</v>
      </c>
      <c r="BR422" t="s">
        <v>2214</v>
      </c>
      <c r="BS422" t="s">
        <v>2215</v>
      </c>
      <c r="BT422" t="s">
        <v>2216</v>
      </c>
      <c r="BU422" t="s">
        <v>9588</v>
      </c>
      <c r="BV422" t="s">
        <v>9589</v>
      </c>
      <c r="BW422" t="s">
        <v>138</v>
      </c>
      <c r="BX422" t="s">
        <v>225</v>
      </c>
      <c r="BY422" t="s">
        <v>226</v>
      </c>
      <c r="BZ422" t="s">
        <v>9590</v>
      </c>
      <c r="CG422" t="s">
        <v>4269</v>
      </c>
      <c r="CH422" t="s">
        <v>9591</v>
      </c>
      <c r="CJ422" t="s">
        <v>7472</v>
      </c>
      <c r="CK422" t="s">
        <v>9591</v>
      </c>
      <c r="CL422" t="s">
        <v>3854</v>
      </c>
      <c r="CM422" t="s">
        <v>449</v>
      </c>
      <c r="CN422" t="s">
        <v>7472</v>
      </c>
      <c r="CP422" t="s">
        <v>9591</v>
      </c>
      <c r="CQ422" t="s">
        <v>9591</v>
      </c>
    </row>
    <row r="423" spans="1:95">
      <c r="A423" t="s">
        <v>337</v>
      </c>
      <c r="B423">
        <v>5016188</v>
      </c>
      <c r="C423" t="s">
        <v>3351</v>
      </c>
      <c r="D423" t="str">
        <f>VLOOKUP(B423,'2025'!B:C,2,0)</f>
        <v>Ishita Jethwa</v>
      </c>
      <c r="F423" t="s">
        <v>95</v>
      </c>
      <c r="G423" t="s">
        <v>2142</v>
      </c>
      <c r="H423" t="s">
        <v>97</v>
      </c>
      <c r="I423" t="s">
        <v>98</v>
      </c>
      <c r="J423" t="s">
        <v>9592</v>
      </c>
      <c r="K423" t="s">
        <v>100</v>
      </c>
      <c r="L423">
        <v>207017</v>
      </c>
      <c r="M423">
        <v>207017</v>
      </c>
      <c r="N423">
        <v>207017</v>
      </c>
      <c r="O423">
        <v>207</v>
      </c>
      <c r="P423" t="s">
        <v>5042</v>
      </c>
      <c r="Q423">
        <v>0</v>
      </c>
      <c r="R423">
        <v>0</v>
      </c>
      <c r="T423">
        <v>0</v>
      </c>
      <c r="U423">
        <v>0</v>
      </c>
      <c r="W423" t="s">
        <v>102</v>
      </c>
      <c r="X423" t="s">
        <v>275</v>
      </c>
      <c r="Z423" t="s">
        <v>9370</v>
      </c>
      <c r="AA423" t="s">
        <v>109</v>
      </c>
      <c r="AB423" t="s">
        <v>102</v>
      </c>
      <c r="AC423" t="s">
        <v>109</v>
      </c>
      <c r="AD423" t="s">
        <v>102</v>
      </c>
      <c r="AE423" t="s">
        <v>109</v>
      </c>
      <c r="AF423" t="s">
        <v>102</v>
      </c>
      <c r="AG423" t="s">
        <v>109</v>
      </c>
      <c r="AH423" t="s">
        <v>102</v>
      </c>
      <c r="AI423" t="s">
        <v>102</v>
      </c>
      <c r="AJ423" t="s">
        <v>3155</v>
      </c>
      <c r="AK423" t="s">
        <v>1162</v>
      </c>
      <c r="AL423" t="s">
        <v>9593</v>
      </c>
      <c r="AM423" t="s">
        <v>9594</v>
      </c>
      <c r="AN423" t="s">
        <v>9595</v>
      </c>
      <c r="AO423" t="s">
        <v>9596</v>
      </c>
      <c r="AP423" t="s">
        <v>9596</v>
      </c>
      <c r="AU423" t="s">
        <v>318</v>
      </c>
      <c r="AV423" t="s">
        <v>250</v>
      </c>
      <c r="AW423" t="s">
        <v>102</v>
      </c>
      <c r="AX423" t="s">
        <v>119</v>
      </c>
      <c r="BB423" t="s">
        <v>1964</v>
      </c>
      <c r="BC423" t="s">
        <v>1729</v>
      </c>
      <c r="BD423" t="s">
        <v>730</v>
      </c>
      <c r="BE423" t="s">
        <v>622</v>
      </c>
      <c r="BF423" t="s">
        <v>730</v>
      </c>
      <c r="BG423" t="s">
        <v>124</v>
      </c>
      <c r="BH423" t="s">
        <v>214</v>
      </c>
      <c r="BI423" t="s">
        <v>625</v>
      </c>
      <c r="BJ423" t="s">
        <v>127</v>
      </c>
      <c r="BK423" t="s">
        <v>9597</v>
      </c>
      <c r="BL423" t="s">
        <v>9598</v>
      </c>
      <c r="BM423" t="s">
        <v>9599</v>
      </c>
      <c r="BN423" t="s">
        <v>2142</v>
      </c>
      <c r="BO423" t="s">
        <v>2262</v>
      </c>
      <c r="BP423" t="s">
        <v>258</v>
      </c>
      <c r="BQ423" t="s">
        <v>2263</v>
      </c>
      <c r="BR423" t="s">
        <v>2264</v>
      </c>
      <c r="BS423" t="s">
        <v>2569</v>
      </c>
      <c r="BU423" t="s">
        <v>9600</v>
      </c>
      <c r="BV423" t="s">
        <v>9601</v>
      </c>
      <c r="BW423" t="s">
        <v>138</v>
      </c>
      <c r="BX423" t="s">
        <v>9602</v>
      </c>
      <c r="BY423" t="s">
        <v>9603</v>
      </c>
      <c r="BZ423" t="s">
        <v>9604</v>
      </c>
      <c r="CA423" t="s">
        <v>9601</v>
      </c>
      <c r="CB423" t="s">
        <v>9602</v>
      </c>
      <c r="CC423" t="s">
        <v>9603</v>
      </c>
      <c r="CD423" t="s">
        <v>9605</v>
      </c>
      <c r="CE423" t="s">
        <v>9606</v>
      </c>
      <c r="CF423" t="s">
        <v>9603</v>
      </c>
      <c r="CG423" t="s">
        <v>9607</v>
      </c>
      <c r="CH423" t="s">
        <v>9608</v>
      </c>
      <c r="CJ423" t="s">
        <v>7932</v>
      </c>
      <c r="CK423" t="s">
        <v>9609</v>
      </c>
      <c r="CL423" t="s">
        <v>1729</v>
      </c>
      <c r="CM423" t="s">
        <v>730</v>
      </c>
      <c r="CN423" t="s">
        <v>9610</v>
      </c>
      <c r="CP423" t="s">
        <v>9608</v>
      </c>
      <c r="CQ423" t="s">
        <v>9609</v>
      </c>
    </row>
    <row r="424" spans="1:95">
      <c r="A424" t="s">
        <v>93</v>
      </c>
      <c r="B424">
        <v>5016213</v>
      </c>
      <c r="C424" t="s">
        <v>9611</v>
      </c>
      <c r="D424" t="str">
        <f>VLOOKUP(B424,'2025'!B:C,2,0)</f>
        <v>Vaishali</v>
      </c>
      <c r="F424" t="s">
        <v>95</v>
      </c>
      <c r="G424" t="s">
        <v>2082</v>
      </c>
      <c r="H424" t="s">
        <v>675</v>
      </c>
      <c r="I424" t="s">
        <v>98</v>
      </c>
      <c r="J424" t="s">
        <v>9612</v>
      </c>
      <c r="K424" t="s">
        <v>100</v>
      </c>
      <c r="L424">
        <v>459600</v>
      </c>
      <c r="M424">
        <v>459600</v>
      </c>
      <c r="N424">
        <v>90000</v>
      </c>
      <c r="O424">
        <v>150</v>
      </c>
      <c r="P424" t="s">
        <v>310</v>
      </c>
      <c r="Q424">
        <v>369600</v>
      </c>
      <c r="R424">
        <v>154</v>
      </c>
      <c r="S424" t="s">
        <v>4372</v>
      </c>
      <c r="T424">
        <v>0</v>
      </c>
      <c r="U424">
        <v>0</v>
      </c>
      <c r="W424" t="s">
        <v>102</v>
      </c>
      <c r="X424" t="s">
        <v>103</v>
      </c>
      <c r="Y424" t="s">
        <v>801</v>
      </c>
      <c r="AA424" t="s">
        <v>9613</v>
      </c>
      <c r="AB424" t="s">
        <v>9614</v>
      </c>
      <c r="AC424" t="s">
        <v>9615</v>
      </c>
      <c r="AD424" t="s">
        <v>9616</v>
      </c>
      <c r="AE424" t="s">
        <v>805</v>
      </c>
      <c r="AF424" t="s">
        <v>9617</v>
      </c>
      <c r="AG424" t="s">
        <v>807</v>
      </c>
      <c r="AH424" t="s">
        <v>9617</v>
      </c>
      <c r="AI424" t="s">
        <v>102</v>
      </c>
      <c r="AJ424" t="s">
        <v>2077</v>
      </c>
      <c r="AK424" t="s">
        <v>9618</v>
      </c>
      <c r="AL424" t="s">
        <v>9619</v>
      </c>
      <c r="AM424" t="s">
        <v>9620</v>
      </c>
      <c r="AN424" t="s">
        <v>9621</v>
      </c>
      <c r="AO424" t="s">
        <v>9622</v>
      </c>
      <c r="AP424" t="s">
        <v>9622</v>
      </c>
      <c r="AU424" t="s">
        <v>207</v>
      </c>
      <c r="AV424" t="s">
        <v>118</v>
      </c>
      <c r="AW424" t="s">
        <v>3536</v>
      </c>
      <c r="AX424" t="s">
        <v>249</v>
      </c>
      <c r="AY424" t="s">
        <v>170</v>
      </c>
      <c r="AZ424" t="s">
        <v>118</v>
      </c>
      <c r="BB424" t="s">
        <v>120</v>
      </c>
      <c r="BC424" t="s">
        <v>9082</v>
      </c>
      <c r="BD424" t="s">
        <v>1244</v>
      </c>
      <c r="BE424" t="s">
        <v>122</v>
      </c>
      <c r="BF424" t="s">
        <v>1244</v>
      </c>
      <c r="BG424" t="s">
        <v>124</v>
      </c>
      <c r="BH424" t="s">
        <v>232</v>
      </c>
      <c r="BI424" t="s">
        <v>9623</v>
      </c>
      <c r="BJ424" t="s">
        <v>127</v>
      </c>
      <c r="BK424" t="s">
        <v>9624</v>
      </c>
      <c r="BL424" t="s">
        <v>9625</v>
      </c>
      <c r="BM424" t="s">
        <v>9626</v>
      </c>
      <c r="BN424" t="s">
        <v>2082</v>
      </c>
      <c r="BO424" t="s">
        <v>9627</v>
      </c>
      <c r="BP424" t="s">
        <v>350</v>
      </c>
      <c r="BQ424" t="s">
        <v>9628</v>
      </c>
      <c r="BR424" t="s">
        <v>9629</v>
      </c>
      <c r="BS424" t="s">
        <v>261</v>
      </c>
      <c r="BU424" t="s">
        <v>9630</v>
      </c>
      <c r="BV424" t="s">
        <v>9631</v>
      </c>
      <c r="BW424" t="s">
        <v>354</v>
      </c>
      <c r="BX424" t="s">
        <v>9632</v>
      </c>
      <c r="BY424" t="s">
        <v>9633</v>
      </c>
      <c r="BZ424" t="s">
        <v>9632</v>
      </c>
      <c r="CG424" t="s">
        <v>9634</v>
      </c>
      <c r="CH424" t="s">
        <v>9635</v>
      </c>
      <c r="CJ424" t="s">
        <v>9636</v>
      </c>
      <c r="CK424" t="s">
        <v>9635</v>
      </c>
      <c r="CL424" t="s">
        <v>9082</v>
      </c>
      <c r="CM424" t="s">
        <v>1244</v>
      </c>
      <c r="CN424" t="s">
        <v>9636</v>
      </c>
      <c r="CO424" t="s">
        <v>9637</v>
      </c>
      <c r="CP424" t="s">
        <v>9635</v>
      </c>
      <c r="CQ424" t="s">
        <v>9635</v>
      </c>
    </row>
    <row r="425" spans="1:95">
      <c r="A425" t="s">
        <v>337</v>
      </c>
      <c r="B425">
        <v>5016260</v>
      </c>
      <c r="C425" t="s">
        <v>9638</v>
      </c>
      <c r="E425" s="4" t="s">
        <v>17377</v>
      </c>
      <c r="F425" t="s">
        <v>95</v>
      </c>
      <c r="G425" t="s">
        <v>4312</v>
      </c>
      <c r="H425" t="s">
        <v>152</v>
      </c>
      <c r="I425" t="s">
        <v>98</v>
      </c>
      <c r="J425" t="s">
        <v>9639</v>
      </c>
      <c r="K425" t="s">
        <v>100</v>
      </c>
      <c r="L425">
        <v>280022</v>
      </c>
      <c r="M425">
        <v>280022</v>
      </c>
      <c r="N425">
        <v>0</v>
      </c>
      <c r="O425">
        <v>0</v>
      </c>
      <c r="Q425">
        <v>280022</v>
      </c>
      <c r="R425">
        <v>100</v>
      </c>
      <c r="S425" t="s">
        <v>9640</v>
      </c>
      <c r="T425">
        <v>0</v>
      </c>
      <c r="U425">
        <v>0</v>
      </c>
      <c r="W425" t="s">
        <v>102</v>
      </c>
      <c r="X425" t="s">
        <v>103</v>
      </c>
      <c r="Y425" t="s">
        <v>155</v>
      </c>
      <c r="AA425" t="s">
        <v>1816</v>
      </c>
      <c r="AB425" t="s">
        <v>9641</v>
      </c>
      <c r="AC425" t="s">
        <v>968</v>
      </c>
      <c r="AD425" t="s">
        <v>9641</v>
      </c>
      <c r="AE425" t="s">
        <v>2630</v>
      </c>
      <c r="AF425" t="s">
        <v>9641</v>
      </c>
      <c r="AG425" t="s">
        <v>160</v>
      </c>
      <c r="AH425" t="s">
        <v>9641</v>
      </c>
      <c r="AI425" t="s">
        <v>9459</v>
      </c>
      <c r="AJ425" t="s">
        <v>3789</v>
      </c>
      <c r="AK425" t="s">
        <v>857</v>
      </c>
      <c r="AL425" t="s">
        <v>9642</v>
      </c>
      <c r="AM425" t="s">
        <v>9643</v>
      </c>
      <c r="AN425" t="s">
        <v>9644</v>
      </c>
      <c r="AO425" t="s">
        <v>9645</v>
      </c>
      <c r="AP425" t="s">
        <v>9645</v>
      </c>
      <c r="AU425" t="s">
        <v>102</v>
      </c>
      <c r="AW425" t="s">
        <v>1758</v>
      </c>
      <c r="AX425" t="s">
        <v>119</v>
      </c>
      <c r="AY425" t="s">
        <v>170</v>
      </c>
      <c r="AZ425" t="s">
        <v>118</v>
      </c>
      <c r="BB425" t="s">
        <v>120</v>
      </c>
      <c r="BC425" t="s">
        <v>9564</v>
      </c>
      <c r="BD425" t="s">
        <v>556</v>
      </c>
      <c r="BE425" t="s">
        <v>122</v>
      </c>
      <c r="BF425" t="s">
        <v>557</v>
      </c>
      <c r="BG425" t="s">
        <v>124</v>
      </c>
      <c r="BH425" t="s">
        <v>549</v>
      </c>
      <c r="BI425" t="s">
        <v>559</v>
      </c>
      <c r="BJ425" t="s">
        <v>127</v>
      </c>
      <c r="BK425" t="s">
        <v>9646</v>
      </c>
      <c r="BL425" t="s">
        <v>9647</v>
      </c>
      <c r="BM425" t="s">
        <v>9648</v>
      </c>
      <c r="BN425" t="s">
        <v>4312</v>
      </c>
      <c r="BO425" t="s">
        <v>563</v>
      </c>
      <c r="BP425" t="s">
        <v>350</v>
      </c>
      <c r="BQ425" t="s">
        <v>564</v>
      </c>
      <c r="BR425" t="s">
        <v>565</v>
      </c>
      <c r="BS425" t="s">
        <v>563</v>
      </c>
      <c r="BT425" t="s">
        <v>566</v>
      </c>
      <c r="BU425" t="s">
        <v>9649</v>
      </c>
      <c r="BV425" t="s">
        <v>9650</v>
      </c>
      <c r="BW425" t="s">
        <v>354</v>
      </c>
      <c r="BX425" t="s">
        <v>9651</v>
      </c>
      <c r="BY425" t="s">
        <v>9652</v>
      </c>
      <c r="BZ425" t="s">
        <v>9653</v>
      </c>
      <c r="CG425" t="s">
        <v>573</v>
      </c>
      <c r="CH425" t="s">
        <v>9654</v>
      </c>
      <c r="CJ425" t="s">
        <v>9563</v>
      </c>
      <c r="CK425" t="s">
        <v>9655</v>
      </c>
      <c r="CL425" t="s">
        <v>9564</v>
      </c>
      <c r="CM425" t="s">
        <v>556</v>
      </c>
      <c r="CN425" t="s">
        <v>9563</v>
      </c>
      <c r="CP425" t="s">
        <v>9654</v>
      </c>
      <c r="CQ425" t="s">
        <v>9655</v>
      </c>
    </row>
    <row r="426" spans="1:95">
      <c r="A426" t="s">
        <v>337</v>
      </c>
      <c r="B426">
        <v>5016387</v>
      </c>
      <c r="C426" t="s">
        <v>9656</v>
      </c>
      <c r="E426" s="4" t="s">
        <v>17377</v>
      </c>
      <c r="F426" t="s">
        <v>95</v>
      </c>
      <c r="G426" t="s">
        <v>549</v>
      </c>
      <c r="H426" t="s">
        <v>97</v>
      </c>
      <c r="I426" t="s">
        <v>98</v>
      </c>
      <c r="J426" t="s">
        <v>9657</v>
      </c>
      <c r="K426" t="s">
        <v>100</v>
      </c>
      <c r="L426">
        <v>703420</v>
      </c>
      <c r="M426">
        <v>703420</v>
      </c>
      <c r="N426">
        <v>703420</v>
      </c>
      <c r="O426">
        <v>879</v>
      </c>
      <c r="P426" t="s">
        <v>1297</v>
      </c>
      <c r="Q426">
        <v>0</v>
      </c>
      <c r="R426">
        <v>0</v>
      </c>
      <c r="T426">
        <v>0</v>
      </c>
      <c r="U426">
        <v>0</v>
      </c>
      <c r="W426" t="s">
        <v>102</v>
      </c>
      <c r="X426" t="s">
        <v>103</v>
      </c>
      <c r="Y426" t="s">
        <v>104</v>
      </c>
      <c r="AA426" t="s">
        <v>545</v>
      </c>
      <c r="AB426" t="s">
        <v>9658</v>
      </c>
      <c r="AC426" t="s">
        <v>96</v>
      </c>
      <c r="AD426" t="s">
        <v>9658</v>
      </c>
      <c r="AE426" t="s">
        <v>109</v>
      </c>
      <c r="AF426" t="s">
        <v>102</v>
      </c>
      <c r="AG426" t="s">
        <v>109</v>
      </c>
      <c r="AH426" t="s">
        <v>102</v>
      </c>
      <c r="AI426" t="s">
        <v>102</v>
      </c>
      <c r="AJ426" t="s">
        <v>377</v>
      </c>
      <c r="AK426" t="s">
        <v>8996</v>
      </c>
      <c r="AL426" t="s">
        <v>9659</v>
      </c>
      <c r="AM426" t="s">
        <v>9660</v>
      </c>
      <c r="AN426" t="s">
        <v>9661</v>
      </c>
      <c r="AO426" t="s">
        <v>9662</v>
      </c>
      <c r="AP426" t="s">
        <v>9662</v>
      </c>
      <c r="AU426" t="s">
        <v>318</v>
      </c>
      <c r="AV426" t="s">
        <v>118</v>
      </c>
      <c r="AW426" t="s">
        <v>102</v>
      </c>
      <c r="AX426" t="s">
        <v>119</v>
      </c>
      <c r="BB426" t="s">
        <v>120</v>
      </c>
      <c r="BC426" t="s">
        <v>9663</v>
      </c>
      <c r="BD426" t="s">
        <v>621</v>
      </c>
      <c r="BE426" t="s">
        <v>622</v>
      </c>
      <c r="BF426" t="s">
        <v>976</v>
      </c>
      <c r="BG426" t="s">
        <v>124</v>
      </c>
      <c r="BH426" t="s">
        <v>1745</v>
      </c>
      <c r="BI426" t="s">
        <v>96</v>
      </c>
      <c r="BJ426" t="s">
        <v>127</v>
      </c>
      <c r="BK426" t="s">
        <v>9664</v>
      </c>
      <c r="BL426" t="s">
        <v>9665</v>
      </c>
      <c r="BM426" t="s">
        <v>9666</v>
      </c>
      <c r="BN426" t="s">
        <v>549</v>
      </c>
      <c r="BO426" t="s">
        <v>5802</v>
      </c>
      <c r="BP426" t="s">
        <v>258</v>
      </c>
      <c r="BQ426" t="s">
        <v>5803</v>
      </c>
      <c r="BR426" t="s">
        <v>5804</v>
      </c>
      <c r="BS426" t="s">
        <v>2847</v>
      </c>
      <c r="BT426" t="s">
        <v>985</v>
      </c>
      <c r="BU426" t="s">
        <v>9667</v>
      </c>
      <c r="BV426" t="s">
        <v>9668</v>
      </c>
      <c r="BW426" t="s">
        <v>138</v>
      </c>
      <c r="BX426" t="s">
        <v>9669</v>
      </c>
      <c r="BY426" t="s">
        <v>9670</v>
      </c>
      <c r="BZ426" t="s">
        <v>9669</v>
      </c>
      <c r="CA426" t="s">
        <v>9668</v>
      </c>
      <c r="CB426" t="s">
        <v>9669</v>
      </c>
      <c r="CC426" t="s">
        <v>9670</v>
      </c>
      <c r="CD426" t="s">
        <v>9671</v>
      </c>
      <c r="CE426" t="s">
        <v>9669</v>
      </c>
      <c r="CF426" t="s">
        <v>9672</v>
      </c>
      <c r="CG426" t="s">
        <v>9277</v>
      </c>
      <c r="CH426" t="s">
        <v>9673</v>
      </c>
      <c r="CJ426" t="s">
        <v>9674</v>
      </c>
      <c r="CK426" t="s">
        <v>9673</v>
      </c>
      <c r="CL426" t="s">
        <v>9663</v>
      </c>
      <c r="CM426" t="s">
        <v>621</v>
      </c>
      <c r="CN426" t="s">
        <v>9674</v>
      </c>
      <c r="CP426" t="s">
        <v>9673</v>
      </c>
      <c r="CQ426" t="s">
        <v>9673</v>
      </c>
    </row>
    <row r="427" spans="1:95">
      <c r="A427" t="s">
        <v>337</v>
      </c>
      <c r="B427">
        <v>5016540</v>
      </c>
      <c r="C427" t="s">
        <v>9675</v>
      </c>
      <c r="E427" s="4" t="s">
        <v>17377</v>
      </c>
      <c r="F427" t="s">
        <v>95</v>
      </c>
      <c r="G427" t="s">
        <v>241</v>
      </c>
      <c r="H427" t="s">
        <v>97</v>
      </c>
      <c r="I427" t="s">
        <v>98</v>
      </c>
      <c r="J427" t="s">
        <v>9676</v>
      </c>
      <c r="K427" t="s">
        <v>100</v>
      </c>
      <c r="L427">
        <v>25800</v>
      </c>
      <c r="M427">
        <v>25800</v>
      </c>
      <c r="N427">
        <v>25800</v>
      </c>
      <c r="O427">
        <v>43</v>
      </c>
      <c r="P427" t="s">
        <v>310</v>
      </c>
      <c r="Q427">
        <v>0</v>
      </c>
      <c r="R427">
        <v>0</v>
      </c>
      <c r="T427">
        <v>0</v>
      </c>
      <c r="U427">
        <v>0</v>
      </c>
      <c r="W427" t="s">
        <v>102</v>
      </c>
      <c r="X427" t="s">
        <v>275</v>
      </c>
      <c r="Z427" t="s">
        <v>648</v>
      </c>
      <c r="AA427" t="s">
        <v>109</v>
      </c>
      <c r="AB427" t="s">
        <v>102</v>
      </c>
      <c r="AC427" t="s">
        <v>109</v>
      </c>
      <c r="AD427" t="s">
        <v>102</v>
      </c>
      <c r="AE427" t="s">
        <v>109</v>
      </c>
      <c r="AF427" t="s">
        <v>102</v>
      </c>
      <c r="AG427" t="s">
        <v>109</v>
      </c>
      <c r="AH427" t="s">
        <v>102</v>
      </c>
      <c r="AI427" t="s">
        <v>102</v>
      </c>
      <c r="AJ427" t="s">
        <v>9677</v>
      </c>
      <c r="AK427" t="s">
        <v>9677</v>
      </c>
      <c r="AL427" t="s">
        <v>9678</v>
      </c>
      <c r="AM427" t="s">
        <v>9678</v>
      </c>
      <c r="AN427" t="s">
        <v>102</v>
      </c>
      <c r="AO427" t="s">
        <v>317</v>
      </c>
      <c r="AP427" t="s">
        <v>317</v>
      </c>
      <c r="AU427" t="s">
        <v>117</v>
      </c>
      <c r="AV427" t="s">
        <v>118</v>
      </c>
      <c r="AW427" t="s">
        <v>102</v>
      </c>
      <c r="AX427" t="s">
        <v>119</v>
      </c>
      <c r="BB427" t="s">
        <v>120</v>
      </c>
      <c r="BC427" t="s">
        <v>2327</v>
      </c>
      <c r="BD427" t="s">
        <v>730</v>
      </c>
      <c r="BE427" t="s">
        <v>622</v>
      </c>
      <c r="BF427" t="s">
        <v>730</v>
      </c>
      <c r="BG427" t="s">
        <v>124</v>
      </c>
      <c r="BH427" t="s">
        <v>648</v>
      </c>
      <c r="BI427" t="s">
        <v>126</v>
      </c>
      <c r="BJ427" t="s">
        <v>127</v>
      </c>
      <c r="BK427" t="s">
        <v>9679</v>
      </c>
      <c r="BL427" t="s">
        <v>9680</v>
      </c>
      <c r="BM427" t="s">
        <v>9681</v>
      </c>
      <c r="BN427" t="s">
        <v>241</v>
      </c>
      <c r="BO427" t="s">
        <v>2262</v>
      </c>
      <c r="BP427" t="s">
        <v>350</v>
      </c>
      <c r="BQ427" t="s">
        <v>2263</v>
      </c>
      <c r="BR427" t="s">
        <v>2264</v>
      </c>
      <c r="BS427" t="s">
        <v>2331</v>
      </c>
      <c r="BU427" t="s">
        <v>9682</v>
      </c>
      <c r="BV427" t="s">
        <v>9683</v>
      </c>
      <c r="BW427" t="s">
        <v>569</v>
      </c>
      <c r="BX427" t="s">
        <v>9684</v>
      </c>
      <c r="BY427" t="s">
        <v>9685</v>
      </c>
      <c r="BZ427" t="s">
        <v>9686</v>
      </c>
      <c r="CA427" t="s">
        <v>9687</v>
      </c>
      <c r="CB427" t="s">
        <v>9688</v>
      </c>
      <c r="CC427" t="s">
        <v>9685</v>
      </c>
      <c r="CD427" t="s">
        <v>9689</v>
      </c>
      <c r="CE427" t="s">
        <v>9690</v>
      </c>
      <c r="CF427" t="s">
        <v>9691</v>
      </c>
      <c r="CG427" t="s">
        <v>9692</v>
      </c>
      <c r="CH427" t="s">
        <v>9693</v>
      </c>
      <c r="CJ427" t="s">
        <v>9694</v>
      </c>
      <c r="CK427" t="s">
        <v>9693</v>
      </c>
      <c r="CL427" t="s">
        <v>2327</v>
      </c>
      <c r="CM427" t="s">
        <v>730</v>
      </c>
      <c r="CN427" t="s">
        <v>9694</v>
      </c>
      <c r="CP427" t="s">
        <v>9693</v>
      </c>
      <c r="CQ427" t="s">
        <v>9693</v>
      </c>
    </row>
    <row r="428" spans="1:95">
      <c r="A428" t="s">
        <v>337</v>
      </c>
      <c r="B428">
        <v>5016543</v>
      </c>
      <c r="C428" t="s">
        <v>9695</v>
      </c>
      <c r="E428" s="4" t="s">
        <v>17377</v>
      </c>
      <c r="F428" t="s">
        <v>95</v>
      </c>
      <c r="G428" t="s">
        <v>3929</v>
      </c>
      <c r="H428" t="s">
        <v>152</v>
      </c>
      <c r="I428" t="s">
        <v>98</v>
      </c>
      <c r="J428" t="s">
        <v>9696</v>
      </c>
      <c r="K428" t="s">
        <v>100</v>
      </c>
      <c r="L428">
        <v>381264</v>
      </c>
      <c r="M428">
        <v>381264</v>
      </c>
      <c r="N428">
        <v>0</v>
      </c>
      <c r="O428">
        <v>0</v>
      </c>
      <c r="Q428">
        <v>381264</v>
      </c>
      <c r="R428">
        <v>376</v>
      </c>
      <c r="S428" t="s">
        <v>3505</v>
      </c>
      <c r="T428">
        <v>0</v>
      </c>
      <c r="U428">
        <v>0</v>
      </c>
      <c r="W428" t="s">
        <v>102</v>
      </c>
      <c r="X428" t="s">
        <v>103</v>
      </c>
      <c r="Y428" t="s">
        <v>155</v>
      </c>
      <c r="AA428" t="s">
        <v>3711</v>
      </c>
      <c r="AB428" t="s">
        <v>9697</v>
      </c>
      <c r="AC428" t="s">
        <v>159</v>
      </c>
      <c r="AD428" t="s">
        <v>9697</v>
      </c>
      <c r="AE428" t="s">
        <v>915</v>
      </c>
      <c r="AF428" t="s">
        <v>9697</v>
      </c>
      <c r="AG428" t="s">
        <v>160</v>
      </c>
      <c r="AH428" t="s">
        <v>9697</v>
      </c>
      <c r="AI428" t="s">
        <v>102</v>
      </c>
      <c r="AJ428" t="s">
        <v>886</v>
      </c>
      <c r="AK428" t="s">
        <v>886</v>
      </c>
      <c r="AL428" t="s">
        <v>9698</v>
      </c>
      <c r="AM428" t="s">
        <v>3841</v>
      </c>
      <c r="AN428" t="s">
        <v>9699</v>
      </c>
      <c r="AO428" t="s">
        <v>3510</v>
      </c>
      <c r="AP428" t="s">
        <v>3510</v>
      </c>
      <c r="AU428" t="s">
        <v>102</v>
      </c>
      <c r="AW428" t="s">
        <v>155</v>
      </c>
      <c r="AX428" t="s">
        <v>119</v>
      </c>
      <c r="AY428" t="s">
        <v>170</v>
      </c>
      <c r="AZ428" t="s">
        <v>118</v>
      </c>
      <c r="BB428" t="s">
        <v>120</v>
      </c>
      <c r="BC428" t="s">
        <v>409</v>
      </c>
      <c r="BD428" t="s">
        <v>410</v>
      </c>
      <c r="BE428" t="s">
        <v>212</v>
      </c>
      <c r="BF428" t="s">
        <v>410</v>
      </c>
      <c r="BG428" t="s">
        <v>124</v>
      </c>
      <c r="BH428" t="s">
        <v>232</v>
      </c>
      <c r="BI428" t="s">
        <v>625</v>
      </c>
      <c r="BJ428" t="s">
        <v>127</v>
      </c>
      <c r="BK428" t="s">
        <v>9700</v>
      </c>
      <c r="BL428" t="s">
        <v>9701</v>
      </c>
      <c r="BM428" t="s">
        <v>9702</v>
      </c>
      <c r="BN428" t="s">
        <v>3929</v>
      </c>
      <c r="BO428" t="s">
        <v>1699</v>
      </c>
      <c r="BP428" t="s">
        <v>258</v>
      </c>
      <c r="BQ428" t="s">
        <v>1700</v>
      </c>
      <c r="BR428" t="s">
        <v>1701</v>
      </c>
      <c r="BS428" t="s">
        <v>1702</v>
      </c>
      <c r="BU428" t="s">
        <v>9703</v>
      </c>
      <c r="BV428" t="s">
        <v>9704</v>
      </c>
      <c r="BW428" t="s">
        <v>138</v>
      </c>
      <c r="BX428" t="s">
        <v>9705</v>
      </c>
      <c r="BY428" t="s">
        <v>9706</v>
      </c>
      <c r="BZ428" t="s">
        <v>9707</v>
      </c>
      <c r="CA428" t="s">
        <v>9708</v>
      </c>
      <c r="CB428" t="s">
        <v>9709</v>
      </c>
      <c r="CC428" t="s">
        <v>9710</v>
      </c>
      <c r="CD428" t="s">
        <v>9711</v>
      </c>
      <c r="CE428" t="s">
        <v>9709</v>
      </c>
      <c r="CF428" t="s">
        <v>9712</v>
      </c>
      <c r="CG428" t="s">
        <v>3474</v>
      </c>
      <c r="CH428" t="s">
        <v>9713</v>
      </c>
      <c r="CJ428" t="s">
        <v>9714</v>
      </c>
      <c r="CK428" t="s">
        <v>9713</v>
      </c>
      <c r="CL428" t="s">
        <v>409</v>
      </c>
      <c r="CM428" t="s">
        <v>9715</v>
      </c>
      <c r="CN428" t="s">
        <v>9714</v>
      </c>
      <c r="CP428" t="s">
        <v>9713</v>
      </c>
      <c r="CQ428" t="s">
        <v>9713</v>
      </c>
    </row>
    <row r="429" spans="1:95">
      <c r="A429" t="s">
        <v>93</v>
      </c>
      <c r="B429">
        <v>5016602</v>
      </c>
      <c r="C429" t="s">
        <v>9716</v>
      </c>
      <c r="D429" t="str">
        <f>VLOOKUP(B429,'2025'!B:C,2,0)</f>
        <v>Anushka</v>
      </c>
      <c r="F429" t="s">
        <v>95</v>
      </c>
      <c r="G429" t="s">
        <v>2043</v>
      </c>
      <c r="H429" t="s">
        <v>2044</v>
      </c>
      <c r="I429" t="s">
        <v>98</v>
      </c>
      <c r="J429" t="s">
        <v>9717</v>
      </c>
      <c r="K429" t="s">
        <v>100</v>
      </c>
      <c r="L429">
        <v>1954680</v>
      </c>
      <c r="M429">
        <v>1954680</v>
      </c>
      <c r="N429">
        <v>574938</v>
      </c>
      <c r="O429">
        <v>1053</v>
      </c>
      <c r="P429" t="s">
        <v>2046</v>
      </c>
      <c r="Q429">
        <v>1379742</v>
      </c>
      <c r="R429">
        <v>1083</v>
      </c>
      <c r="S429" t="s">
        <v>2047</v>
      </c>
      <c r="T429">
        <v>0</v>
      </c>
      <c r="U429">
        <v>0</v>
      </c>
      <c r="W429" t="s">
        <v>102</v>
      </c>
      <c r="X429" t="s">
        <v>275</v>
      </c>
      <c r="Z429" t="s">
        <v>2048</v>
      </c>
      <c r="AA429" t="s">
        <v>109</v>
      </c>
      <c r="AB429" t="s">
        <v>102</v>
      </c>
      <c r="AC429" t="s">
        <v>109</v>
      </c>
      <c r="AD429" t="s">
        <v>102</v>
      </c>
      <c r="AE429" t="s">
        <v>109</v>
      </c>
      <c r="AF429" t="s">
        <v>102</v>
      </c>
      <c r="AG429" t="s">
        <v>109</v>
      </c>
      <c r="AH429" t="s">
        <v>102</v>
      </c>
      <c r="AI429" t="s">
        <v>9718</v>
      </c>
      <c r="AJ429" t="s">
        <v>2048</v>
      </c>
      <c r="AK429" t="s">
        <v>2050</v>
      </c>
      <c r="AL429" t="s">
        <v>9719</v>
      </c>
      <c r="AM429" t="s">
        <v>9720</v>
      </c>
      <c r="AN429" t="s">
        <v>9721</v>
      </c>
      <c r="AO429" t="s">
        <v>2054</v>
      </c>
      <c r="AP429" t="s">
        <v>2055</v>
      </c>
      <c r="AR429" t="s">
        <v>169</v>
      </c>
      <c r="AS429" t="s">
        <v>169</v>
      </c>
      <c r="AU429" t="s">
        <v>318</v>
      </c>
      <c r="AV429" t="s">
        <v>118</v>
      </c>
      <c r="AW429" t="s">
        <v>155</v>
      </c>
      <c r="AX429" t="s">
        <v>119</v>
      </c>
      <c r="AY429" t="s">
        <v>170</v>
      </c>
      <c r="AZ429" t="s">
        <v>118</v>
      </c>
      <c r="BB429" t="s">
        <v>120</v>
      </c>
      <c r="BC429" t="s">
        <v>2056</v>
      </c>
      <c r="BD429" t="s">
        <v>320</v>
      </c>
      <c r="BE429" t="s">
        <v>122</v>
      </c>
      <c r="BF429" t="s">
        <v>123</v>
      </c>
      <c r="BG429" t="s">
        <v>124</v>
      </c>
      <c r="BH429" t="s">
        <v>232</v>
      </c>
      <c r="BI429" t="s">
        <v>126</v>
      </c>
      <c r="BJ429" t="s">
        <v>127</v>
      </c>
      <c r="BK429" t="s">
        <v>9722</v>
      </c>
      <c r="BL429" t="s">
        <v>9723</v>
      </c>
      <c r="BM429" t="s">
        <v>9724</v>
      </c>
      <c r="BN429" t="s">
        <v>2043</v>
      </c>
      <c r="BO429" t="s">
        <v>695</v>
      </c>
      <c r="BP429" t="s">
        <v>350</v>
      </c>
      <c r="BQ429" t="s">
        <v>697</v>
      </c>
      <c r="BR429" t="s">
        <v>698</v>
      </c>
      <c r="BS429" t="s">
        <v>1006</v>
      </c>
      <c r="BU429" t="s">
        <v>9725</v>
      </c>
      <c r="BV429" t="s">
        <v>2061</v>
      </c>
      <c r="BW429" t="s">
        <v>354</v>
      </c>
      <c r="BX429" t="s">
        <v>2062</v>
      </c>
      <c r="BY429" t="s">
        <v>2063</v>
      </c>
      <c r="BZ429" t="s">
        <v>2062</v>
      </c>
      <c r="CA429" t="s">
        <v>9726</v>
      </c>
      <c r="CB429" t="s">
        <v>9727</v>
      </c>
      <c r="CC429" t="s">
        <v>9728</v>
      </c>
      <c r="CD429" t="s">
        <v>2067</v>
      </c>
      <c r="CE429" t="s">
        <v>2062</v>
      </c>
      <c r="CF429" t="s">
        <v>2068</v>
      </c>
      <c r="CG429" t="s">
        <v>2069</v>
      </c>
      <c r="CH429" t="s">
        <v>9729</v>
      </c>
      <c r="CJ429" t="s">
        <v>2071</v>
      </c>
      <c r="CK429" t="s">
        <v>9729</v>
      </c>
      <c r="CL429" t="s">
        <v>2056</v>
      </c>
      <c r="CM429" t="s">
        <v>320</v>
      </c>
      <c r="CN429" t="s">
        <v>2071</v>
      </c>
      <c r="CO429" t="s">
        <v>2072</v>
      </c>
      <c r="CP429" t="s">
        <v>9729</v>
      </c>
      <c r="CQ429" t="s">
        <v>9729</v>
      </c>
    </row>
    <row r="430" spans="1:95">
      <c r="A430" t="s">
        <v>93</v>
      </c>
      <c r="B430">
        <v>5016606</v>
      </c>
      <c r="C430" t="s">
        <v>9730</v>
      </c>
      <c r="F430" t="s">
        <v>95</v>
      </c>
      <c r="G430" t="s">
        <v>3748</v>
      </c>
      <c r="H430" t="s">
        <v>97</v>
      </c>
      <c r="I430" t="s">
        <v>98</v>
      </c>
      <c r="J430" t="s">
        <v>9731</v>
      </c>
      <c r="K430" t="s">
        <v>100</v>
      </c>
      <c r="L430">
        <v>564750</v>
      </c>
      <c r="M430">
        <v>564750</v>
      </c>
      <c r="N430">
        <v>564750</v>
      </c>
      <c r="O430">
        <v>753</v>
      </c>
      <c r="P430" t="s">
        <v>101</v>
      </c>
      <c r="Q430">
        <v>0</v>
      </c>
      <c r="R430">
        <v>0</v>
      </c>
      <c r="T430">
        <v>0</v>
      </c>
      <c r="U430">
        <v>0</v>
      </c>
      <c r="W430" t="s">
        <v>102</v>
      </c>
      <c r="X430" t="s">
        <v>103</v>
      </c>
      <c r="Y430" t="s">
        <v>104</v>
      </c>
      <c r="AA430" t="s">
        <v>1600</v>
      </c>
      <c r="AB430" t="s">
        <v>9732</v>
      </c>
      <c r="AC430" t="s">
        <v>151</v>
      </c>
      <c r="AD430" t="s">
        <v>9733</v>
      </c>
      <c r="AE430" t="s">
        <v>109</v>
      </c>
      <c r="AF430" t="s">
        <v>102</v>
      </c>
      <c r="AG430" t="s">
        <v>109</v>
      </c>
      <c r="AH430" t="s">
        <v>102</v>
      </c>
      <c r="AI430" t="s">
        <v>9734</v>
      </c>
      <c r="AJ430" t="s">
        <v>1721</v>
      </c>
      <c r="AK430" t="s">
        <v>1165</v>
      </c>
      <c r="AL430" t="s">
        <v>9735</v>
      </c>
      <c r="AM430" t="s">
        <v>9736</v>
      </c>
      <c r="AN430" t="s">
        <v>102</v>
      </c>
      <c r="AO430" t="s">
        <v>116</v>
      </c>
      <c r="AP430" t="s">
        <v>116</v>
      </c>
      <c r="AU430" t="s">
        <v>117</v>
      </c>
      <c r="AV430" t="s">
        <v>118</v>
      </c>
      <c r="AW430" t="s">
        <v>102</v>
      </c>
      <c r="AX430" t="s">
        <v>119</v>
      </c>
      <c r="BB430" t="s">
        <v>120</v>
      </c>
      <c r="BC430" t="s">
        <v>284</v>
      </c>
      <c r="BD430" t="s">
        <v>285</v>
      </c>
      <c r="BE430" t="s">
        <v>212</v>
      </c>
      <c r="BF430" t="s">
        <v>286</v>
      </c>
      <c r="BG430" t="s">
        <v>124</v>
      </c>
      <c r="BH430" t="s">
        <v>232</v>
      </c>
      <c r="BI430" t="s">
        <v>857</v>
      </c>
      <c r="BJ430" t="s">
        <v>127</v>
      </c>
      <c r="BK430" t="s">
        <v>9737</v>
      </c>
      <c r="BL430" t="s">
        <v>9738</v>
      </c>
      <c r="BM430" t="s">
        <v>9739</v>
      </c>
      <c r="BN430" t="s">
        <v>3748</v>
      </c>
      <c r="BO430" t="s">
        <v>2615</v>
      </c>
      <c r="BP430" t="s">
        <v>132</v>
      </c>
      <c r="BQ430" t="s">
        <v>2616</v>
      </c>
      <c r="BR430" t="s">
        <v>2617</v>
      </c>
      <c r="BS430" t="s">
        <v>293</v>
      </c>
      <c r="BU430" t="s">
        <v>9740</v>
      </c>
      <c r="BV430" t="s">
        <v>9741</v>
      </c>
      <c r="BW430" t="s">
        <v>138</v>
      </c>
      <c r="BX430" t="s">
        <v>9742</v>
      </c>
      <c r="BY430" t="s">
        <v>9743</v>
      </c>
      <c r="BZ430" t="s">
        <v>9742</v>
      </c>
      <c r="CA430" t="s">
        <v>9741</v>
      </c>
      <c r="CB430" t="s">
        <v>9742</v>
      </c>
      <c r="CC430" t="s">
        <v>9743</v>
      </c>
      <c r="CG430" t="s">
        <v>9744</v>
      </c>
      <c r="CH430" t="s">
        <v>9745</v>
      </c>
      <c r="CJ430" t="s">
        <v>9746</v>
      </c>
      <c r="CK430" t="s">
        <v>9745</v>
      </c>
      <c r="CL430" t="s">
        <v>284</v>
      </c>
      <c r="CM430" t="s">
        <v>285</v>
      </c>
      <c r="CN430" t="s">
        <v>9746</v>
      </c>
      <c r="CO430" t="s">
        <v>6404</v>
      </c>
      <c r="CP430" t="s">
        <v>9745</v>
      </c>
      <c r="CQ430" t="s">
        <v>9745</v>
      </c>
    </row>
    <row r="431" spans="1:95">
      <c r="A431" t="s">
        <v>337</v>
      </c>
      <c r="B431">
        <v>5016611</v>
      </c>
      <c r="C431" t="s">
        <v>9747</v>
      </c>
      <c r="E431" s="4" t="s">
        <v>17377</v>
      </c>
      <c r="F431" t="s">
        <v>95</v>
      </c>
      <c r="G431" t="s">
        <v>7593</v>
      </c>
      <c r="H431" t="s">
        <v>97</v>
      </c>
      <c r="I431" t="s">
        <v>98</v>
      </c>
      <c r="J431" t="s">
        <v>9748</v>
      </c>
      <c r="K431" t="s">
        <v>100</v>
      </c>
      <c r="L431">
        <v>145950</v>
      </c>
      <c r="M431">
        <v>145950</v>
      </c>
      <c r="N431">
        <v>145950</v>
      </c>
      <c r="O431">
        <v>139</v>
      </c>
      <c r="P431" t="s">
        <v>433</v>
      </c>
      <c r="Q431">
        <v>0</v>
      </c>
      <c r="R431">
        <v>0</v>
      </c>
      <c r="T431">
        <v>0</v>
      </c>
      <c r="U431">
        <v>0</v>
      </c>
      <c r="W431" t="s">
        <v>102</v>
      </c>
      <c r="X431" t="s">
        <v>103</v>
      </c>
      <c r="Y431" t="s">
        <v>104</v>
      </c>
      <c r="AA431" t="s">
        <v>5021</v>
      </c>
      <c r="AB431" t="s">
        <v>1958</v>
      </c>
      <c r="AC431" t="s">
        <v>2605</v>
      </c>
      <c r="AD431" t="s">
        <v>9749</v>
      </c>
      <c r="AE431" t="s">
        <v>109</v>
      </c>
      <c r="AF431" t="s">
        <v>102</v>
      </c>
      <c r="AG431" t="s">
        <v>109</v>
      </c>
      <c r="AH431" t="s">
        <v>102</v>
      </c>
      <c r="AI431" t="s">
        <v>102</v>
      </c>
      <c r="AJ431" t="s">
        <v>1467</v>
      </c>
      <c r="AK431" t="s">
        <v>1628</v>
      </c>
      <c r="AL431" t="s">
        <v>9750</v>
      </c>
      <c r="AM431" t="s">
        <v>9751</v>
      </c>
      <c r="AN431" t="s">
        <v>115</v>
      </c>
      <c r="AO431" t="s">
        <v>4664</v>
      </c>
      <c r="AP431" t="s">
        <v>4664</v>
      </c>
      <c r="AU431" t="s">
        <v>318</v>
      </c>
      <c r="AV431" t="s">
        <v>118</v>
      </c>
      <c r="AW431" t="s">
        <v>102</v>
      </c>
      <c r="AX431" t="s">
        <v>119</v>
      </c>
      <c r="BB431" t="s">
        <v>120</v>
      </c>
      <c r="BC431" t="s">
        <v>920</v>
      </c>
      <c r="BD431" t="s">
        <v>211</v>
      </c>
      <c r="BE431" t="s">
        <v>212</v>
      </c>
      <c r="BF431" t="s">
        <v>213</v>
      </c>
      <c r="BG431" t="s">
        <v>124</v>
      </c>
      <c r="BH431" t="s">
        <v>125</v>
      </c>
      <c r="BI431" t="s">
        <v>411</v>
      </c>
      <c r="BJ431" t="s">
        <v>127</v>
      </c>
      <c r="BK431" t="s">
        <v>9752</v>
      </c>
      <c r="BL431" t="s">
        <v>9753</v>
      </c>
      <c r="BM431" t="s">
        <v>9754</v>
      </c>
      <c r="BN431" t="s">
        <v>7593</v>
      </c>
      <c r="BO431" t="s">
        <v>1309</v>
      </c>
      <c r="BP431" t="s">
        <v>180</v>
      </c>
      <c r="BQ431" t="s">
        <v>1310</v>
      </c>
      <c r="BR431" t="s">
        <v>1311</v>
      </c>
      <c r="BS431" t="s">
        <v>2463</v>
      </c>
      <c r="BT431" t="s">
        <v>2151</v>
      </c>
      <c r="BU431" t="s">
        <v>9755</v>
      </c>
      <c r="BV431" t="s">
        <v>9756</v>
      </c>
      <c r="BW431" t="s">
        <v>354</v>
      </c>
      <c r="BX431" t="s">
        <v>9757</v>
      </c>
      <c r="BY431" t="s">
        <v>9758</v>
      </c>
      <c r="BZ431" t="s">
        <v>9757</v>
      </c>
      <c r="CG431" t="s">
        <v>9759</v>
      </c>
      <c r="CH431" t="s">
        <v>9760</v>
      </c>
      <c r="CJ431" t="s">
        <v>2473</v>
      </c>
      <c r="CK431" t="s">
        <v>9760</v>
      </c>
      <c r="CL431" t="s">
        <v>920</v>
      </c>
      <c r="CM431" t="s">
        <v>211</v>
      </c>
      <c r="CN431" t="s">
        <v>2473</v>
      </c>
      <c r="CP431" t="s">
        <v>9760</v>
      </c>
      <c r="CQ431" t="s">
        <v>9760</v>
      </c>
    </row>
    <row r="432" spans="1:95">
      <c r="A432" t="s">
        <v>149</v>
      </c>
      <c r="B432">
        <v>5016613</v>
      </c>
      <c r="C432" t="s">
        <v>9761</v>
      </c>
      <c r="F432" t="s">
        <v>95</v>
      </c>
      <c r="G432" t="s">
        <v>545</v>
      </c>
      <c r="H432" t="s">
        <v>848</v>
      </c>
      <c r="I432" t="s">
        <v>98</v>
      </c>
      <c r="J432" t="s">
        <v>9762</v>
      </c>
      <c r="K432" t="s">
        <v>100</v>
      </c>
      <c r="L432">
        <v>1017565</v>
      </c>
      <c r="M432">
        <v>1200727</v>
      </c>
      <c r="N432">
        <v>0</v>
      </c>
      <c r="O432">
        <v>0</v>
      </c>
      <c r="Q432">
        <v>0</v>
      </c>
      <c r="R432">
        <v>0</v>
      </c>
      <c r="T432">
        <v>1017565</v>
      </c>
      <c r="U432">
        <v>828</v>
      </c>
      <c r="V432" t="s">
        <v>6858</v>
      </c>
      <c r="W432" t="s">
        <v>102</v>
      </c>
      <c r="X432" t="s">
        <v>103</v>
      </c>
      <c r="Y432" t="s">
        <v>398</v>
      </c>
      <c r="AA432" t="s">
        <v>5416</v>
      </c>
      <c r="AB432" t="s">
        <v>9763</v>
      </c>
      <c r="AC432" t="s">
        <v>197</v>
      </c>
      <c r="AD432" t="s">
        <v>9764</v>
      </c>
      <c r="AE432" t="s">
        <v>240</v>
      </c>
      <c r="AF432" t="s">
        <v>9764</v>
      </c>
      <c r="AG432" t="s">
        <v>109</v>
      </c>
      <c r="AH432" t="s">
        <v>102</v>
      </c>
      <c r="AI432" t="s">
        <v>9765</v>
      </c>
      <c r="AJ432" t="s">
        <v>716</v>
      </c>
      <c r="AK432" t="s">
        <v>8340</v>
      </c>
      <c r="AL432" t="s">
        <v>9766</v>
      </c>
      <c r="AM432" t="s">
        <v>9767</v>
      </c>
      <c r="AN432" t="s">
        <v>9768</v>
      </c>
      <c r="AO432" t="s">
        <v>9769</v>
      </c>
      <c r="AP432" t="s">
        <v>9769</v>
      </c>
      <c r="AU432" t="s">
        <v>102</v>
      </c>
      <c r="AW432" t="s">
        <v>102</v>
      </c>
      <c r="AX432" t="s">
        <v>119</v>
      </c>
      <c r="BA432" t="s">
        <v>250</v>
      </c>
      <c r="BB432" t="s">
        <v>8521</v>
      </c>
      <c r="BC432" t="s">
        <v>284</v>
      </c>
      <c r="BD432" t="s">
        <v>285</v>
      </c>
      <c r="BE432" t="s">
        <v>212</v>
      </c>
      <c r="BF432" t="s">
        <v>286</v>
      </c>
      <c r="BG432" t="s">
        <v>124</v>
      </c>
      <c r="BH432" t="s">
        <v>545</v>
      </c>
      <c r="BI432" t="s">
        <v>9770</v>
      </c>
      <c r="BJ432" t="s">
        <v>127</v>
      </c>
      <c r="BK432" t="s">
        <v>9771</v>
      </c>
      <c r="BL432" t="s">
        <v>9772</v>
      </c>
      <c r="BM432" t="s">
        <v>9773</v>
      </c>
      <c r="BN432" t="s">
        <v>545</v>
      </c>
      <c r="BO432" t="s">
        <v>290</v>
      </c>
      <c r="BP432" t="s">
        <v>132</v>
      </c>
      <c r="BQ432" t="s">
        <v>291</v>
      </c>
      <c r="BR432" t="s">
        <v>292</v>
      </c>
      <c r="BS432" t="s">
        <v>4765</v>
      </c>
      <c r="BU432" t="s">
        <v>9774</v>
      </c>
      <c r="BV432" t="s">
        <v>6875</v>
      </c>
      <c r="BW432" t="s">
        <v>296</v>
      </c>
      <c r="BX432" t="s">
        <v>6876</v>
      </c>
      <c r="BY432" t="s">
        <v>6877</v>
      </c>
      <c r="CA432" t="s">
        <v>6879</v>
      </c>
      <c r="CB432" t="s">
        <v>6880</v>
      </c>
      <c r="CC432" t="s">
        <v>6881</v>
      </c>
      <c r="CD432" t="s">
        <v>6882</v>
      </c>
      <c r="CE432" t="s">
        <v>6883</v>
      </c>
      <c r="CF432" t="s">
        <v>6884</v>
      </c>
      <c r="CG432" t="s">
        <v>102</v>
      </c>
      <c r="CH432" t="s">
        <v>9775</v>
      </c>
      <c r="CJ432" t="s">
        <v>6729</v>
      </c>
      <c r="CK432" t="s">
        <v>9775</v>
      </c>
      <c r="CL432" t="s">
        <v>284</v>
      </c>
      <c r="CM432" t="s">
        <v>285</v>
      </c>
      <c r="CN432" t="s">
        <v>6729</v>
      </c>
      <c r="CO432" t="s">
        <v>6886</v>
      </c>
      <c r="CP432" t="s">
        <v>9776</v>
      </c>
      <c r="CQ432" t="s">
        <v>9775</v>
      </c>
    </row>
    <row r="433" spans="1:95">
      <c r="A433" t="s">
        <v>149</v>
      </c>
      <c r="B433">
        <v>5016674</v>
      </c>
      <c r="C433" t="s">
        <v>9777</v>
      </c>
      <c r="D433" t="str">
        <f>VLOOKUP(B433,'2025'!B:C,2,0)</f>
        <v>Chaitanya</v>
      </c>
      <c r="F433" t="s">
        <v>95</v>
      </c>
      <c r="G433" t="s">
        <v>7937</v>
      </c>
      <c r="H433" t="s">
        <v>97</v>
      </c>
      <c r="I433" t="s">
        <v>98</v>
      </c>
      <c r="J433" t="s">
        <v>9778</v>
      </c>
      <c r="K433" t="s">
        <v>100</v>
      </c>
      <c r="L433">
        <v>72300</v>
      </c>
      <c r="M433">
        <v>72300</v>
      </c>
      <c r="N433">
        <v>72300</v>
      </c>
      <c r="O433">
        <v>45</v>
      </c>
      <c r="P433" t="s">
        <v>9779</v>
      </c>
      <c r="Q433">
        <v>0</v>
      </c>
      <c r="R433">
        <v>0</v>
      </c>
      <c r="T433">
        <v>0</v>
      </c>
      <c r="U433">
        <v>0</v>
      </c>
      <c r="W433" t="s">
        <v>102</v>
      </c>
      <c r="X433" t="s">
        <v>275</v>
      </c>
      <c r="Z433" t="s">
        <v>158</v>
      </c>
      <c r="AA433" t="s">
        <v>109</v>
      </c>
      <c r="AB433" t="s">
        <v>102</v>
      </c>
      <c r="AC433" t="s">
        <v>109</v>
      </c>
      <c r="AD433" t="s">
        <v>102</v>
      </c>
      <c r="AE433" t="s">
        <v>109</v>
      </c>
      <c r="AF433" t="s">
        <v>102</v>
      </c>
      <c r="AG433" t="s">
        <v>109</v>
      </c>
      <c r="AH433" t="s">
        <v>102</v>
      </c>
      <c r="AI433" t="s">
        <v>102</v>
      </c>
      <c r="AL433" t="s">
        <v>9780</v>
      </c>
      <c r="AM433" t="s">
        <v>102</v>
      </c>
      <c r="AN433" t="s">
        <v>9780</v>
      </c>
      <c r="AO433" t="s">
        <v>102</v>
      </c>
      <c r="AU433" t="s">
        <v>318</v>
      </c>
      <c r="AV433" t="s">
        <v>250</v>
      </c>
      <c r="AW433" t="s">
        <v>102</v>
      </c>
      <c r="AX433" t="s">
        <v>119</v>
      </c>
      <c r="BB433" t="s">
        <v>120</v>
      </c>
      <c r="BC433" t="s">
        <v>4153</v>
      </c>
      <c r="BD433" t="s">
        <v>320</v>
      </c>
      <c r="BE433" t="s">
        <v>122</v>
      </c>
      <c r="BF433" t="s">
        <v>123</v>
      </c>
      <c r="BG433" t="s">
        <v>124</v>
      </c>
      <c r="BH433" t="s">
        <v>400</v>
      </c>
      <c r="BI433" t="s">
        <v>126</v>
      </c>
      <c r="BJ433" t="s">
        <v>127</v>
      </c>
      <c r="BK433" t="s">
        <v>9781</v>
      </c>
      <c r="BL433" t="s">
        <v>9782</v>
      </c>
      <c r="BM433" t="s">
        <v>9783</v>
      </c>
      <c r="BN433" t="s">
        <v>7937</v>
      </c>
      <c r="BO433" t="s">
        <v>1108</v>
      </c>
      <c r="BP433" t="s">
        <v>258</v>
      </c>
      <c r="BQ433" t="s">
        <v>1109</v>
      </c>
      <c r="BR433" t="s">
        <v>1110</v>
      </c>
      <c r="BS433" t="s">
        <v>1111</v>
      </c>
      <c r="BU433" t="s">
        <v>9784</v>
      </c>
      <c r="BV433" t="s">
        <v>4073</v>
      </c>
      <c r="BW433" t="s">
        <v>296</v>
      </c>
      <c r="BX433" t="s">
        <v>4074</v>
      </c>
      <c r="BY433" t="s">
        <v>4075</v>
      </c>
      <c r="BZ433" t="s">
        <v>9785</v>
      </c>
      <c r="CG433" t="s">
        <v>102</v>
      </c>
      <c r="CH433" t="s">
        <v>9786</v>
      </c>
      <c r="CJ433" t="s">
        <v>4160</v>
      </c>
      <c r="CK433" t="s">
        <v>9786</v>
      </c>
      <c r="CL433" t="s">
        <v>4153</v>
      </c>
      <c r="CM433" t="s">
        <v>320</v>
      </c>
      <c r="CN433" t="s">
        <v>4160</v>
      </c>
      <c r="CP433" t="s">
        <v>9786</v>
      </c>
      <c r="CQ433" t="s">
        <v>9786</v>
      </c>
    </row>
    <row r="434" spans="1:95">
      <c r="A434" t="s">
        <v>93</v>
      </c>
      <c r="B434">
        <v>5016893</v>
      </c>
      <c r="C434" t="s">
        <v>9787</v>
      </c>
      <c r="F434" t="s">
        <v>95</v>
      </c>
      <c r="G434" t="s">
        <v>9788</v>
      </c>
      <c r="H434" t="s">
        <v>193</v>
      </c>
      <c r="I434" t="s">
        <v>98</v>
      </c>
      <c r="J434" t="s">
        <v>9789</v>
      </c>
      <c r="K434" t="s">
        <v>100</v>
      </c>
      <c r="L434">
        <v>362133</v>
      </c>
      <c r="M434">
        <v>386687</v>
      </c>
      <c r="N434">
        <v>225720</v>
      </c>
      <c r="O434">
        <v>342</v>
      </c>
      <c r="P434" t="s">
        <v>4273</v>
      </c>
      <c r="Q434">
        <v>0</v>
      </c>
      <c r="R434">
        <v>0</v>
      </c>
      <c r="T434">
        <v>136413</v>
      </c>
      <c r="U434">
        <v>111</v>
      </c>
      <c r="V434" t="s">
        <v>6858</v>
      </c>
      <c r="W434" t="s">
        <v>102</v>
      </c>
      <c r="X434" t="s">
        <v>103</v>
      </c>
      <c r="Y434" t="s">
        <v>5317</v>
      </c>
      <c r="AA434" t="s">
        <v>5416</v>
      </c>
      <c r="AB434" t="s">
        <v>9790</v>
      </c>
      <c r="AC434" t="s">
        <v>6860</v>
      </c>
      <c r="AD434" t="s">
        <v>9791</v>
      </c>
      <c r="AE434" t="s">
        <v>2170</v>
      </c>
      <c r="AF434" t="s">
        <v>9792</v>
      </c>
      <c r="AG434" t="s">
        <v>109</v>
      </c>
      <c r="AH434" t="s">
        <v>102</v>
      </c>
      <c r="AI434" t="s">
        <v>9793</v>
      </c>
      <c r="AJ434" t="s">
        <v>716</v>
      </c>
      <c r="AK434" t="s">
        <v>9794</v>
      </c>
      <c r="AL434" t="s">
        <v>9795</v>
      </c>
      <c r="AM434" t="s">
        <v>9796</v>
      </c>
      <c r="AN434" t="s">
        <v>9797</v>
      </c>
      <c r="AO434" t="s">
        <v>9798</v>
      </c>
      <c r="AP434" t="s">
        <v>9798</v>
      </c>
      <c r="AU434" t="s">
        <v>207</v>
      </c>
      <c r="AV434" t="s">
        <v>118</v>
      </c>
      <c r="AW434" t="s">
        <v>102</v>
      </c>
      <c r="AX434" t="s">
        <v>119</v>
      </c>
      <c r="BA434" t="s">
        <v>250</v>
      </c>
      <c r="BB434" t="s">
        <v>120</v>
      </c>
      <c r="BC434" t="s">
        <v>284</v>
      </c>
      <c r="BD434" t="s">
        <v>285</v>
      </c>
      <c r="BE434" t="s">
        <v>212</v>
      </c>
      <c r="BF434" t="s">
        <v>286</v>
      </c>
      <c r="BG434" t="s">
        <v>124</v>
      </c>
      <c r="BH434" t="s">
        <v>9799</v>
      </c>
      <c r="BI434" t="s">
        <v>6870</v>
      </c>
      <c r="BJ434" t="s">
        <v>127</v>
      </c>
      <c r="BK434" t="s">
        <v>9800</v>
      </c>
      <c r="BL434" t="s">
        <v>9801</v>
      </c>
      <c r="BM434" t="s">
        <v>9802</v>
      </c>
      <c r="BN434" t="s">
        <v>9788</v>
      </c>
      <c r="BO434" t="s">
        <v>290</v>
      </c>
      <c r="BP434" t="s">
        <v>132</v>
      </c>
      <c r="BQ434" t="s">
        <v>291</v>
      </c>
      <c r="BR434" t="s">
        <v>292</v>
      </c>
      <c r="BS434" t="s">
        <v>293</v>
      </c>
      <c r="BU434" t="s">
        <v>9803</v>
      </c>
      <c r="BV434" t="s">
        <v>6875</v>
      </c>
      <c r="BW434" t="s">
        <v>296</v>
      </c>
      <c r="BX434" t="s">
        <v>6876</v>
      </c>
      <c r="BY434" t="s">
        <v>6877</v>
      </c>
      <c r="BZ434" t="s">
        <v>6876</v>
      </c>
      <c r="CA434" t="s">
        <v>9804</v>
      </c>
      <c r="CB434" t="s">
        <v>9805</v>
      </c>
      <c r="CD434" t="s">
        <v>9806</v>
      </c>
      <c r="CE434" t="s">
        <v>9807</v>
      </c>
      <c r="CF434" t="s">
        <v>9808</v>
      </c>
      <c r="CG434" t="s">
        <v>102</v>
      </c>
      <c r="CH434" t="s">
        <v>9809</v>
      </c>
      <c r="CJ434" t="s">
        <v>6711</v>
      </c>
      <c r="CK434" t="s">
        <v>9809</v>
      </c>
      <c r="CL434" t="s">
        <v>284</v>
      </c>
      <c r="CM434" t="s">
        <v>285</v>
      </c>
      <c r="CN434" t="s">
        <v>6711</v>
      </c>
      <c r="CO434" t="s">
        <v>6886</v>
      </c>
      <c r="CP434" t="s">
        <v>9810</v>
      </c>
      <c r="CQ434" t="s">
        <v>9809</v>
      </c>
    </row>
    <row r="435" spans="1:95">
      <c r="A435" t="s">
        <v>93</v>
      </c>
      <c r="B435">
        <v>5016913</v>
      </c>
      <c r="C435" t="s">
        <v>9811</v>
      </c>
      <c r="D435" t="str">
        <f>VLOOKUP(B435,'2025'!B:C,2,0)</f>
        <v>Sumit Rana</v>
      </c>
      <c r="F435" t="s">
        <v>95</v>
      </c>
      <c r="G435" t="s">
        <v>977</v>
      </c>
      <c r="H435" t="s">
        <v>152</v>
      </c>
      <c r="I435" t="s">
        <v>98</v>
      </c>
      <c r="J435" t="s">
        <v>9812</v>
      </c>
      <c r="K435" t="s">
        <v>100</v>
      </c>
      <c r="L435">
        <v>316008</v>
      </c>
      <c r="M435">
        <v>316008</v>
      </c>
      <c r="N435">
        <v>0</v>
      </c>
      <c r="O435">
        <v>0</v>
      </c>
      <c r="Q435">
        <v>316008</v>
      </c>
      <c r="R435">
        <v>264</v>
      </c>
      <c r="S435" t="s">
        <v>2716</v>
      </c>
      <c r="T435">
        <v>0</v>
      </c>
      <c r="U435">
        <v>0</v>
      </c>
      <c r="W435" t="s">
        <v>102</v>
      </c>
      <c r="X435" t="s">
        <v>103</v>
      </c>
      <c r="Y435" t="s">
        <v>155</v>
      </c>
      <c r="AA435" t="s">
        <v>886</v>
      </c>
      <c r="AB435" t="s">
        <v>9813</v>
      </c>
      <c r="AC435" t="s">
        <v>7937</v>
      </c>
      <c r="AD435" t="s">
        <v>9813</v>
      </c>
      <c r="AE435" t="s">
        <v>9194</v>
      </c>
      <c r="AF435" t="s">
        <v>9813</v>
      </c>
      <c r="AG435" t="s">
        <v>3974</v>
      </c>
      <c r="AH435" t="s">
        <v>9813</v>
      </c>
      <c r="AI435" t="s">
        <v>102</v>
      </c>
      <c r="AJ435" t="s">
        <v>1447</v>
      </c>
      <c r="AK435" t="s">
        <v>9814</v>
      </c>
      <c r="AL435" t="s">
        <v>9815</v>
      </c>
      <c r="AM435" t="s">
        <v>9816</v>
      </c>
      <c r="AN435" t="s">
        <v>9817</v>
      </c>
      <c r="AO435" t="s">
        <v>9818</v>
      </c>
      <c r="AP435" t="s">
        <v>9818</v>
      </c>
      <c r="AU435" t="s">
        <v>102</v>
      </c>
      <c r="AW435" t="s">
        <v>155</v>
      </c>
      <c r="AX435" t="s">
        <v>447</v>
      </c>
      <c r="AY435" t="s">
        <v>1138</v>
      </c>
      <c r="AZ435" t="s">
        <v>118</v>
      </c>
      <c r="BB435" t="s">
        <v>120</v>
      </c>
      <c r="BC435" t="s">
        <v>9819</v>
      </c>
      <c r="BD435" t="s">
        <v>173</v>
      </c>
      <c r="BE435" t="s">
        <v>174</v>
      </c>
      <c r="BF435" t="s">
        <v>173</v>
      </c>
      <c r="BG435" t="s">
        <v>124</v>
      </c>
      <c r="BH435" t="s">
        <v>197</v>
      </c>
      <c r="BI435" t="s">
        <v>126</v>
      </c>
      <c r="BJ435" t="s">
        <v>127</v>
      </c>
      <c r="BK435" t="s">
        <v>9820</v>
      </c>
      <c r="BL435" t="s">
        <v>9821</v>
      </c>
      <c r="BM435" t="s">
        <v>9822</v>
      </c>
      <c r="BN435" t="s">
        <v>977</v>
      </c>
      <c r="BO435" t="s">
        <v>9823</v>
      </c>
      <c r="BP435" t="s">
        <v>180</v>
      </c>
      <c r="BQ435" t="s">
        <v>9824</v>
      </c>
      <c r="BR435" t="s">
        <v>9825</v>
      </c>
      <c r="BS435" t="s">
        <v>1176</v>
      </c>
      <c r="BU435" t="s">
        <v>9826</v>
      </c>
      <c r="BV435" t="s">
        <v>9827</v>
      </c>
      <c r="BX435" t="s">
        <v>9828</v>
      </c>
      <c r="BY435" t="s">
        <v>9829</v>
      </c>
      <c r="BZ435" t="s">
        <v>9830</v>
      </c>
      <c r="CG435" t="s">
        <v>9831</v>
      </c>
      <c r="CH435" t="s">
        <v>9832</v>
      </c>
      <c r="CJ435" t="s">
        <v>9833</v>
      </c>
      <c r="CK435" t="s">
        <v>9832</v>
      </c>
      <c r="CL435" t="s">
        <v>9819</v>
      </c>
      <c r="CM435" t="s">
        <v>173</v>
      </c>
      <c r="CN435" t="s">
        <v>9833</v>
      </c>
      <c r="CP435" t="s">
        <v>9834</v>
      </c>
      <c r="CQ435" t="s">
        <v>9834</v>
      </c>
    </row>
    <row r="436" spans="1:95">
      <c r="A436" t="s">
        <v>93</v>
      </c>
      <c r="B436">
        <v>5017017</v>
      </c>
      <c r="C436" t="s">
        <v>9835</v>
      </c>
      <c r="D436" t="str">
        <f>VLOOKUP(B436,'2025'!B:C,2,0)</f>
        <v>Sumit Rana</v>
      </c>
      <c r="F436" t="s">
        <v>95</v>
      </c>
      <c r="G436" t="s">
        <v>1059</v>
      </c>
      <c r="H436" t="s">
        <v>152</v>
      </c>
      <c r="I436" t="s">
        <v>98</v>
      </c>
      <c r="J436" t="s">
        <v>9836</v>
      </c>
      <c r="K436" t="s">
        <v>100</v>
      </c>
      <c r="L436">
        <v>762980</v>
      </c>
      <c r="M436">
        <v>762980</v>
      </c>
      <c r="N436">
        <v>0</v>
      </c>
      <c r="O436">
        <v>0</v>
      </c>
      <c r="Q436">
        <v>762980</v>
      </c>
      <c r="R436">
        <v>408</v>
      </c>
      <c r="S436" t="s">
        <v>9837</v>
      </c>
      <c r="T436">
        <v>0</v>
      </c>
      <c r="U436">
        <v>0</v>
      </c>
      <c r="W436" t="s">
        <v>102</v>
      </c>
      <c r="X436" t="s">
        <v>103</v>
      </c>
      <c r="Y436" t="s">
        <v>155</v>
      </c>
      <c r="AA436" t="s">
        <v>1159</v>
      </c>
      <c r="AB436" t="s">
        <v>9838</v>
      </c>
      <c r="AC436" t="s">
        <v>1161</v>
      </c>
      <c r="AD436" t="s">
        <v>9838</v>
      </c>
      <c r="AE436" t="s">
        <v>1162</v>
      </c>
      <c r="AF436" t="s">
        <v>9838</v>
      </c>
      <c r="AG436" t="s">
        <v>160</v>
      </c>
      <c r="AH436" t="s">
        <v>9838</v>
      </c>
      <c r="AI436" t="s">
        <v>9839</v>
      </c>
      <c r="AJ436" t="s">
        <v>1164</v>
      </c>
      <c r="AK436" t="s">
        <v>9840</v>
      </c>
      <c r="AL436" t="s">
        <v>9841</v>
      </c>
      <c r="AM436" t="s">
        <v>9842</v>
      </c>
      <c r="AN436" t="s">
        <v>9843</v>
      </c>
      <c r="AO436" t="s">
        <v>9844</v>
      </c>
      <c r="AP436" t="s">
        <v>9844</v>
      </c>
      <c r="AU436" t="s">
        <v>102</v>
      </c>
      <c r="AW436" t="s">
        <v>155</v>
      </c>
      <c r="AX436" t="s">
        <v>447</v>
      </c>
      <c r="AY436" t="s">
        <v>170</v>
      </c>
      <c r="AZ436" t="s">
        <v>118</v>
      </c>
      <c r="BB436" t="s">
        <v>120</v>
      </c>
      <c r="BC436" t="s">
        <v>1036</v>
      </c>
      <c r="BD436" t="s">
        <v>173</v>
      </c>
      <c r="BE436" t="s">
        <v>174</v>
      </c>
      <c r="BF436" t="s">
        <v>173</v>
      </c>
      <c r="BG436" t="s">
        <v>124</v>
      </c>
      <c r="BH436" t="s">
        <v>377</v>
      </c>
      <c r="BI436" t="s">
        <v>126</v>
      </c>
      <c r="BJ436" t="s">
        <v>127</v>
      </c>
      <c r="BK436" t="s">
        <v>9845</v>
      </c>
      <c r="BL436" t="s">
        <v>9846</v>
      </c>
      <c r="BM436" t="s">
        <v>9847</v>
      </c>
      <c r="BN436" t="s">
        <v>1059</v>
      </c>
      <c r="BO436" t="s">
        <v>381</v>
      </c>
      <c r="BP436" t="s">
        <v>180</v>
      </c>
      <c r="BQ436" t="s">
        <v>382</v>
      </c>
      <c r="BR436" t="s">
        <v>383</v>
      </c>
      <c r="BS436" t="s">
        <v>1176</v>
      </c>
      <c r="BU436" t="s">
        <v>9848</v>
      </c>
      <c r="BV436" t="s">
        <v>1178</v>
      </c>
      <c r="BX436" t="s">
        <v>1179</v>
      </c>
      <c r="BY436" t="s">
        <v>1180</v>
      </c>
      <c r="CG436" t="s">
        <v>102</v>
      </c>
      <c r="CH436" t="s">
        <v>9849</v>
      </c>
      <c r="CJ436" t="s">
        <v>1054</v>
      </c>
      <c r="CK436" t="s">
        <v>9849</v>
      </c>
      <c r="CL436" t="s">
        <v>1036</v>
      </c>
      <c r="CM436" t="s">
        <v>173</v>
      </c>
      <c r="CN436" t="s">
        <v>1054</v>
      </c>
      <c r="CO436" t="s">
        <v>1191</v>
      </c>
      <c r="CP436" t="s">
        <v>9850</v>
      </c>
      <c r="CQ436" t="s">
        <v>9849</v>
      </c>
    </row>
    <row r="437" spans="1:95">
      <c r="A437" t="s">
        <v>93</v>
      </c>
      <c r="B437">
        <v>5017080</v>
      </c>
      <c r="C437" t="s">
        <v>9851</v>
      </c>
      <c r="F437" t="s">
        <v>95</v>
      </c>
      <c r="G437" t="s">
        <v>3161</v>
      </c>
      <c r="H437" t="s">
        <v>2044</v>
      </c>
      <c r="I437" t="s">
        <v>98</v>
      </c>
      <c r="J437" t="s">
        <v>9852</v>
      </c>
      <c r="K437" t="s">
        <v>100</v>
      </c>
      <c r="L437">
        <v>187502</v>
      </c>
      <c r="M437">
        <v>187502</v>
      </c>
      <c r="N437">
        <v>55834</v>
      </c>
      <c r="O437">
        <v>67</v>
      </c>
      <c r="P437" t="s">
        <v>5690</v>
      </c>
      <c r="Q437">
        <v>131668</v>
      </c>
      <c r="R437">
        <v>79</v>
      </c>
      <c r="S437" t="s">
        <v>5691</v>
      </c>
      <c r="T437">
        <v>0</v>
      </c>
      <c r="U437">
        <v>0</v>
      </c>
      <c r="W437" t="s">
        <v>102</v>
      </c>
      <c r="X437" t="s">
        <v>103</v>
      </c>
      <c r="Y437" t="s">
        <v>398</v>
      </c>
      <c r="AA437" t="s">
        <v>883</v>
      </c>
      <c r="AB437" t="s">
        <v>9853</v>
      </c>
      <c r="AC437" t="s">
        <v>1602</v>
      </c>
      <c r="AD437" t="s">
        <v>9854</v>
      </c>
      <c r="AE437" t="s">
        <v>1473</v>
      </c>
      <c r="AF437" t="s">
        <v>9854</v>
      </c>
      <c r="AG437" t="s">
        <v>109</v>
      </c>
      <c r="AH437" t="s">
        <v>102</v>
      </c>
      <c r="AI437" t="s">
        <v>102</v>
      </c>
      <c r="AJ437" t="s">
        <v>2107</v>
      </c>
      <c r="AK437" t="s">
        <v>2107</v>
      </c>
      <c r="AL437" t="s">
        <v>9855</v>
      </c>
      <c r="AM437" t="s">
        <v>9856</v>
      </c>
      <c r="AN437" t="s">
        <v>9857</v>
      </c>
      <c r="AO437" t="s">
        <v>5698</v>
      </c>
      <c r="AP437" t="s">
        <v>5699</v>
      </c>
      <c r="AS437" t="s">
        <v>169</v>
      </c>
      <c r="AU437" t="s">
        <v>318</v>
      </c>
      <c r="AV437" t="s">
        <v>118</v>
      </c>
      <c r="AW437" t="s">
        <v>1758</v>
      </c>
      <c r="AX437" t="s">
        <v>119</v>
      </c>
      <c r="AY437" t="s">
        <v>1138</v>
      </c>
      <c r="AZ437" t="s">
        <v>118</v>
      </c>
      <c r="BB437" t="s">
        <v>120</v>
      </c>
      <c r="BC437" t="s">
        <v>284</v>
      </c>
      <c r="BD437" t="s">
        <v>285</v>
      </c>
      <c r="BE437" t="s">
        <v>212</v>
      </c>
      <c r="BF437" t="s">
        <v>286</v>
      </c>
      <c r="BG437" t="s">
        <v>124</v>
      </c>
      <c r="BH437" t="s">
        <v>214</v>
      </c>
      <c r="BI437" t="s">
        <v>126</v>
      </c>
      <c r="BJ437" t="s">
        <v>127</v>
      </c>
      <c r="BK437" t="s">
        <v>9858</v>
      </c>
      <c r="BL437" t="s">
        <v>9859</v>
      </c>
      <c r="BM437" t="s">
        <v>9860</v>
      </c>
      <c r="BN437" t="s">
        <v>3161</v>
      </c>
      <c r="BO437" t="s">
        <v>290</v>
      </c>
      <c r="BP437" t="s">
        <v>258</v>
      </c>
      <c r="BQ437" t="s">
        <v>291</v>
      </c>
      <c r="BR437" t="s">
        <v>292</v>
      </c>
      <c r="BS437" t="s">
        <v>293</v>
      </c>
      <c r="BU437" t="s">
        <v>9861</v>
      </c>
      <c r="BV437" t="s">
        <v>5704</v>
      </c>
      <c r="BW437" t="s">
        <v>138</v>
      </c>
      <c r="BX437" t="s">
        <v>5705</v>
      </c>
      <c r="BY437" t="s">
        <v>5706</v>
      </c>
      <c r="BZ437" t="s">
        <v>5705</v>
      </c>
      <c r="CA437" t="s">
        <v>5704</v>
      </c>
      <c r="CB437" t="s">
        <v>5705</v>
      </c>
      <c r="CC437" t="s">
        <v>5706</v>
      </c>
      <c r="CD437" t="s">
        <v>5708</v>
      </c>
      <c r="CE437" t="s">
        <v>5709</v>
      </c>
      <c r="CF437" t="s">
        <v>5710</v>
      </c>
      <c r="CG437" t="s">
        <v>102</v>
      </c>
      <c r="CH437" t="s">
        <v>5711</v>
      </c>
      <c r="CJ437" t="s">
        <v>5712</v>
      </c>
      <c r="CK437" t="s">
        <v>5711</v>
      </c>
      <c r="CL437" t="s">
        <v>284</v>
      </c>
      <c r="CM437" t="s">
        <v>285</v>
      </c>
      <c r="CN437" t="s">
        <v>5712</v>
      </c>
      <c r="CP437" t="s">
        <v>5711</v>
      </c>
      <c r="CQ437" t="s">
        <v>5711</v>
      </c>
    </row>
    <row r="438" spans="1:95">
      <c r="A438" t="s">
        <v>93</v>
      </c>
      <c r="B438">
        <v>5017199</v>
      </c>
      <c r="C438" t="s">
        <v>9862</v>
      </c>
      <c r="D438" t="str">
        <f>VLOOKUP(B438,'2025'!B:C,2,0)</f>
        <v>Gargi Ghosh</v>
      </c>
      <c r="F438" t="s">
        <v>95</v>
      </c>
      <c r="G438" t="s">
        <v>9863</v>
      </c>
      <c r="H438" t="s">
        <v>152</v>
      </c>
      <c r="I438" t="s">
        <v>98</v>
      </c>
      <c r="J438" t="s">
        <v>9864</v>
      </c>
      <c r="K438" t="s">
        <v>100</v>
      </c>
      <c r="L438">
        <v>742599</v>
      </c>
      <c r="M438">
        <v>742599</v>
      </c>
      <c r="N438">
        <v>0</v>
      </c>
      <c r="O438">
        <v>0</v>
      </c>
      <c r="Q438">
        <v>742599</v>
      </c>
      <c r="R438">
        <v>450</v>
      </c>
      <c r="S438" t="s">
        <v>9865</v>
      </c>
      <c r="T438">
        <v>0</v>
      </c>
      <c r="U438">
        <v>0</v>
      </c>
      <c r="W438" t="s">
        <v>102</v>
      </c>
      <c r="X438" t="s">
        <v>103</v>
      </c>
      <c r="Y438" t="s">
        <v>155</v>
      </c>
      <c r="AA438" t="s">
        <v>232</v>
      </c>
      <c r="AB438" t="s">
        <v>9866</v>
      </c>
      <c r="AC438" t="s">
        <v>214</v>
      </c>
      <c r="AD438" t="s">
        <v>9866</v>
      </c>
      <c r="AE438" t="s">
        <v>501</v>
      </c>
      <c r="AF438" t="s">
        <v>9866</v>
      </c>
      <c r="AG438" t="s">
        <v>402</v>
      </c>
      <c r="AH438" t="s">
        <v>9866</v>
      </c>
      <c r="AI438" t="s">
        <v>102</v>
      </c>
      <c r="AJ438" t="s">
        <v>2947</v>
      </c>
      <c r="AK438" t="s">
        <v>559</v>
      </c>
      <c r="AL438" t="s">
        <v>9867</v>
      </c>
      <c r="AM438" t="s">
        <v>9868</v>
      </c>
      <c r="AN438" t="s">
        <v>9869</v>
      </c>
      <c r="AO438" t="s">
        <v>9870</v>
      </c>
      <c r="AP438" t="s">
        <v>9870</v>
      </c>
      <c r="AU438" t="s">
        <v>102</v>
      </c>
      <c r="AW438" t="s">
        <v>155</v>
      </c>
      <c r="AX438" t="s">
        <v>119</v>
      </c>
      <c r="AY438" t="s">
        <v>170</v>
      </c>
      <c r="AZ438" t="s">
        <v>118</v>
      </c>
      <c r="BB438" t="s">
        <v>120</v>
      </c>
      <c r="BC438" t="s">
        <v>1170</v>
      </c>
      <c r="BD438" t="s">
        <v>1171</v>
      </c>
      <c r="BE438" t="s">
        <v>174</v>
      </c>
      <c r="BF438" t="s">
        <v>1172</v>
      </c>
      <c r="BG438" t="s">
        <v>124</v>
      </c>
      <c r="BH438" t="s">
        <v>232</v>
      </c>
      <c r="BI438" t="s">
        <v>126</v>
      </c>
      <c r="BJ438" t="s">
        <v>127</v>
      </c>
      <c r="BK438" t="s">
        <v>9871</v>
      </c>
      <c r="BL438" t="s">
        <v>9872</v>
      </c>
      <c r="BM438" t="s">
        <v>9873</v>
      </c>
      <c r="BN438" t="s">
        <v>9863</v>
      </c>
      <c r="BO438" t="s">
        <v>5557</v>
      </c>
      <c r="BP438" t="s">
        <v>258</v>
      </c>
      <c r="BQ438" t="s">
        <v>5558</v>
      </c>
      <c r="BR438" t="s">
        <v>5559</v>
      </c>
      <c r="BS438" t="s">
        <v>5560</v>
      </c>
      <c r="BU438" t="s">
        <v>9874</v>
      </c>
      <c r="BV438" t="s">
        <v>9875</v>
      </c>
      <c r="BW438" t="s">
        <v>138</v>
      </c>
      <c r="BX438" t="s">
        <v>9876</v>
      </c>
      <c r="BY438" t="s">
        <v>9877</v>
      </c>
      <c r="BZ438" t="s">
        <v>9878</v>
      </c>
      <c r="CA438" t="s">
        <v>9879</v>
      </c>
      <c r="CB438" t="s">
        <v>9876</v>
      </c>
      <c r="CC438" t="s">
        <v>9877</v>
      </c>
      <c r="CD438" t="s">
        <v>9875</v>
      </c>
      <c r="CE438" t="s">
        <v>9876</v>
      </c>
      <c r="CF438" t="s">
        <v>9877</v>
      </c>
      <c r="CG438" t="s">
        <v>9880</v>
      </c>
      <c r="CH438" t="s">
        <v>9881</v>
      </c>
      <c r="CJ438" t="s">
        <v>9882</v>
      </c>
      <c r="CK438" t="s">
        <v>9881</v>
      </c>
      <c r="CL438" t="s">
        <v>1170</v>
      </c>
      <c r="CM438" t="s">
        <v>1171</v>
      </c>
      <c r="CN438" t="s">
        <v>9882</v>
      </c>
      <c r="CP438" t="s">
        <v>9881</v>
      </c>
      <c r="CQ438" t="s">
        <v>9881</v>
      </c>
    </row>
    <row r="439" spans="1:95">
      <c r="A439" t="s">
        <v>93</v>
      </c>
      <c r="B439">
        <v>5017204</v>
      </c>
      <c r="C439" t="s">
        <v>9883</v>
      </c>
      <c r="D439" t="str">
        <f>VLOOKUP(B439,'2025'!B:C,2,0)</f>
        <v>Vaishali</v>
      </c>
      <c r="F439" t="s">
        <v>95</v>
      </c>
      <c r="G439" t="s">
        <v>2867</v>
      </c>
      <c r="H439" t="s">
        <v>97</v>
      </c>
      <c r="I439" t="s">
        <v>98</v>
      </c>
      <c r="J439" t="s">
        <v>9884</v>
      </c>
      <c r="K439" t="s">
        <v>100</v>
      </c>
      <c r="L439">
        <v>185032</v>
      </c>
      <c r="M439">
        <v>185032</v>
      </c>
      <c r="N439">
        <v>185032</v>
      </c>
      <c r="O439">
        <v>189</v>
      </c>
      <c r="P439" t="s">
        <v>9885</v>
      </c>
      <c r="Q439">
        <v>0</v>
      </c>
      <c r="R439">
        <v>0</v>
      </c>
      <c r="T439">
        <v>0</v>
      </c>
      <c r="U439">
        <v>0</v>
      </c>
      <c r="W439" t="s">
        <v>102</v>
      </c>
      <c r="X439" t="s">
        <v>275</v>
      </c>
      <c r="Z439" t="s">
        <v>3483</v>
      </c>
      <c r="AA439" t="s">
        <v>109</v>
      </c>
      <c r="AB439" t="s">
        <v>102</v>
      </c>
      <c r="AC439" t="s">
        <v>109</v>
      </c>
      <c r="AD439" t="s">
        <v>102</v>
      </c>
      <c r="AE439" t="s">
        <v>109</v>
      </c>
      <c r="AF439" t="s">
        <v>102</v>
      </c>
      <c r="AG439" t="s">
        <v>109</v>
      </c>
      <c r="AH439" t="s">
        <v>102</v>
      </c>
      <c r="AI439" t="s">
        <v>102</v>
      </c>
      <c r="AJ439" t="s">
        <v>1523</v>
      </c>
      <c r="AK439" t="s">
        <v>1523</v>
      </c>
      <c r="AL439" t="s">
        <v>9886</v>
      </c>
      <c r="AM439" t="s">
        <v>9887</v>
      </c>
      <c r="AN439" t="s">
        <v>9888</v>
      </c>
      <c r="AO439" t="s">
        <v>9889</v>
      </c>
      <c r="AP439" t="s">
        <v>9889</v>
      </c>
      <c r="AU439" t="s">
        <v>117</v>
      </c>
      <c r="AV439" t="s">
        <v>118</v>
      </c>
      <c r="AW439" t="s">
        <v>102</v>
      </c>
      <c r="AX439" t="s">
        <v>119</v>
      </c>
      <c r="BB439" t="s">
        <v>120</v>
      </c>
      <c r="BC439" t="s">
        <v>4153</v>
      </c>
      <c r="BD439" t="s">
        <v>320</v>
      </c>
      <c r="BE439" t="s">
        <v>122</v>
      </c>
      <c r="BF439" t="s">
        <v>123</v>
      </c>
      <c r="BG439" t="s">
        <v>124</v>
      </c>
      <c r="BH439" t="s">
        <v>437</v>
      </c>
      <c r="BI439" t="s">
        <v>126</v>
      </c>
      <c r="BJ439" t="s">
        <v>127</v>
      </c>
      <c r="BK439" t="s">
        <v>9890</v>
      </c>
      <c r="BL439" t="s">
        <v>9891</v>
      </c>
      <c r="BM439" t="s">
        <v>9892</v>
      </c>
      <c r="BN439" t="s">
        <v>2867</v>
      </c>
      <c r="BO439" t="s">
        <v>3267</v>
      </c>
      <c r="BP439" t="s">
        <v>350</v>
      </c>
      <c r="BQ439" t="s">
        <v>3268</v>
      </c>
      <c r="BR439" t="s">
        <v>3269</v>
      </c>
      <c r="BS439" t="s">
        <v>135</v>
      </c>
      <c r="BU439" t="s">
        <v>9893</v>
      </c>
      <c r="BV439" t="s">
        <v>6966</v>
      </c>
      <c r="BW439" t="s">
        <v>598</v>
      </c>
      <c r="BX439" t="s">
        <v>6967</v>
      </c>
      <c r="BY439" t="s">
        <v>6968</v>
      </c>
      <c r="BZ439" t="s">
        <v>6969</v>
      </c>
      <c r="CA439" t="s">
        <v>9894</v>
      </c>
      <c r="CB439" t="s">
        <v>6969</v>
      </c>
      <c r="CC439" t="s">
        <v>6971</v>
      </c>
      <c r="CD439" t="s">
        <v>9895</v>
      </c>
      <c r="CE439" t="s">
        <v>6967</v>
      </c>
      <c r="CF439" t="s">
        <v>6968</v>
      </c>
      <c r="CG439" t="s">
        <v>102</v>
      </c>
      <c r="CH439" t="s">
        <v>9896</v>
      </c>
      <c r="CJ439" t="s">
        <v>9897</v>
      </c>
      <c r="CK439" t="s">
        <v>9896</v>
      </c>
      <c r="CL439" t="s">
        <v>4153</v>
      </c>
      <c r="CM439" t="s">
        <v>320</v>
      </c>
      <c r="CN439" t="s">
        <v>9897</v>
      </c>
      <c r="CP439" t="s">
        <v>9896</v>
      </c>
      <c r="CQ439" t="s">
        <v>9896</v>
      </c>
    </row>
    <row r="440" spans="1:95">
      <c r="A440" t="s">
        <v>93</v>
      </c>
      <c r="B440">
        <v>5017209</v>
      </c>
      <c r="C440" t="s">
        <v>9898</v>
      </c>
      <c r="E440" s="4" t="s">
        <v>17377</v>
      </c>
      <c r="F440" t="s">
        <v>95</v>
      </c>
      <c r="G440" t="s">
        <v>232</v>
      </c>
      <c r="H440" t="s">
        <v>1746</v>
      </c>
      <c r="I440" t="s">
        <v>98</v>
      </c>
      <c r="J440" t="s">
        <v>9899</v>
      </c>
      <c r="K440" t="s">
        <v>100</v>
      </c>
      <c r="L440">
        <v>716279</v>
      </c>
      <c r="M440">
        <v>780305</v>
      </c>
      <c r="N440">
        <v>80779</v>
      </c>
      <c r="O440">
        <v>260</v>
      </c>
      <c r="P440" t="s">
        <v>195</v>
      </c>
      <c r="Q440">
        <v>279802</v>
      </c>
      <c r="R440">
        <v>260</v>
      </c>
      <c r="S440" t="s">
        <v>9900</v>
      </c>
      <c r="T440">
        <v>355698</v>
      </c>
      <c r="U440">
        <v>260</v>
      </c>
      <c r="V440" t="s">
        <v>9901</v>
      </c>
      <c r="W440" t="s">
        <v>102</v>
      </c>
      <c r="X440" t="s">
        <v>103</v>
      </c>
      <c r="Y440" t="s">
        <v>155</v>
      </c>
      <c r="AA440" t="s">
        <v>238</v>
      </c>
      <c r="AB440" t="s">
        <v>9902</v>
      </c>
      <c r="AC440" t="s">
        <v>197</v>
      </c>
      <c r="AD440" t="s">
        <v>9902</v>
      </c>
      <c r="AE440" t="s">
        <v>240</v>
      </c>
      <c r="AF440" t="s">
        <v>9902</v>
      </c>
      <c r="AG440" t="s">
        <v>1473</v>
      </c>
      <c r="AH440" t="s">
        <v>9902</v>
      </c>
      <c r="AI440" t="s">
        <v>9903</v>
      </c>
      <c r="AJ440" t="s">
        <v>5268</v>
      </c>
      <c r="AK440" t="s">
        <v>3485</v>
      </c>
      <c r="AL440" t="s">
        <v>9904</v>
      </c>
      <c r="AM440" t="s">
        <v>9905</v>
      </c>
      <c r="AN440" t="s">
        <v>9906</v>
      </c>
      <c r="AO440" t="s">
        <v>9907</v>
      </c>
      <c r="AP440" t="s">
        <v>9907</v>
      </c>
      <c r="AU440" t="s">
        <v>117</v>
      </c>
      <c r="AV440" t="s">
        <v>250</v>
      </c>
      <c r="AW440" t="s">
        <v>1758</v>
      </c>
      <c r="AX440" t="s">
        <v>119</v>
      </c>
      <c r="AZ440" t="s">
        <v>250</v>
      </c>
      <c r="BA440" t="s">
        <v>250</v>
      </c>
      <c r="BB440" t="s">
        <v>120</v>
      </c>
      <c r="BC440" t="s">
        <v>3735</v>
      </c>
      <c r="BD440" t="s">
        <v>410</v>
      </c>
      <c r="BE440" t="s">
        <v>212</v>
      </c>
      <c r="BF440" t="s">
        <v>410</v>
      </c>
      <c r="BG440" t="s">
        <v>124</v>
      </c>
      <c r="BH440" t="s">
        <v>847</v>
      </c>
      <c r="BI440" t="s">
        <v>126</v>
      </c>
      <c r="BJ440" t="s">
        <v>127</v>
      </c>
      <c r="BK440" t="s">
        <v>9908</v>
      </c>
      <c r="BL440" t="s">
        <v>9909</v>
      </c>
      <c r="BM440" t="s">
        <v>9910</v>
      </c>
      <c r="BN440" t="s">
        <v>232</v>
      </c>
      <c r="BO440" t="s">
        <v>896</v>
      </c>
      <c r="BP440" t="s">
        <v>258</v>
      </c>
      <c r="BQ440" t="s">
        <v>897</v>
      </c>
      <c r="BR440" t="s">
        <v>898</v>
      </c>
      <c r="BS440" t="s">
        <v>418</v>
      </c>
      <c r="BT440" t="s">
        <v>418</v>
      </c>
      <c r="BU440" t="s">
        <v>9911</v>
      </c>
      <c r="BV440" t="s">
        <v>9912</v>
      </c>
      <c r="BW440" t="s">
        <v>138</v>
      </c>
      <c r="BX440" t="s">
        <v>9913</v>
      </c>
      <c r="BY440" t="s">
        <v>9914</v>
      </c>
      <c r="BZ440" t="s">
        <v>9913</v>
      </c>
      <c r="CA440" t="s">
        <v>9912</v>
      </c>
      <c r="CB440" t="s">
        <v>9913</v>
      </c>
      <c r="CC440" t="s">
        <v>9914</v>
      </c>
      <c r="CD440" t="s">
        <v>9915</v>
      </c>
      <c r="CE440" t="s">
        <v>9913</v>
      </c>
      <c r="CF440" t="s">
        <v>9916</v>
      </c>
      <c r="CG440" t="s">
        <v>9917</v>
      </c>
      <c r="CH440" t="s">
        <v>9918</v>
      </c>
      <c r="CJ440" t="s">
        <v>9919</v>
      </c>
      <c r="CK440" t="s">
        <v>9920</v>
      </c>
      <c r="CL440" t="s">
        <v>3735</v>
      </c>
      <c r="CM440" t="s">
        <v>410</v>
      </c>
      <c r="CN440" t="s">
        <v>9919</v>
      </c>
      <c r="CP440" t="s">
        <v>9918</v>
      </c>
      <c r="CQ440" t="s">
        <v>9920</v>
      </c>
    </row>
    <row r="441" spans="1:95">
      <c r="A441" t="s">
        <v>93</v>
      </c>
      <c r="B441">
        <v>5017215</v>
      </c>
      <c r="C441" t="s">
        <v>9921</v>
      </c>
      <c r="D441" t="str">
        <f>VLOOKUP(B441,'2025'!B:C,2,0)</f>
        <v>Aruna</v>
      </c>
      <c r="F441" t="s">
        <v>95</v>
      </c>
      <c r="G441" t="s">
        <v>2173</v>
      </c>
      <c r="H441" t="s">
        <v>848</v>
      </c>
      <c r="I441" t="s">
        <v>98</v>
      </c>
      <c r="J441" t="s">
        <v>9922</v>
      </c>
      <c r="K441" t="s">
        <v>100</v>
      </c>
      <c r="L441">
        <v>108139</v>
      </c>
      <c r="M441">
        <v>127604</v>
      </c>
      <c r="N441">
        <v>0</v>
      </c>
      <c r="O441">
        <v>0</v>
      </c>
      <c r="Q441">
        <v>0</v>
      </c>
      <c r="R441">
        <v>0</v>
      </c>
      <c r="T441">
        <v>108139</v>
      </c>
      <c r="U441">
        <v>58</v>
      </c>
      <c r="V441" t="s">
        <v>800</v>
      </c>
      <c r="W441" t="s">
        <v>102</v>
      </c>
      <c r="X441" t="s">
        <v>103</v>
      </c>
      <c r="Y441" t="s">
        <v>104</v>
      </c>
      <c r="AA441" t="s">
        <v>2173</v>
      </c>
      <c r="AB441" t="s">
        <v>9923</v>
      </c>
      <c r="AC441" t="s">
        <v>439</v>
      </c>
      <c r="AD441" t="s">
        <v>9923</v>
      </c>
      <c r="AE441" t="s">
        <v>109</v>
      </c>
      <c r="AF441" t="s">
        <v>102</v>
      </c>
      <c r="AG441" t="s">
        <v>109</v>
      </c>
      <c r="AH441" t="s">
        <v>102</v>
      </c>
      <c r="AI441" t="s">
        <v>9924</v>
      </c>
      <c r="AJ441" t="s">
        <v>467</v>
      </c>
      <c r="AK441" t="s">
        <v>550</v>
      </c>
      <c r="AL441" t="s">
        <v>9925</v>
      </c>
      <c r="AM441" t="s">
        <v>9926</v>
      </c>
      <c r="AN441" t="s">
        <v>9927</v>
      </c>
      <c r="AO441" t="s">
        <v>8707</v>
      </c>
      <c r="AP441" t="s">
        <v>8707</v>
      </c>
      <c r="AU441" t="s">
        <v>102</v>
      </c>
      <c r="AW441" t="s">
        <v>102</v>
      </c>
      <c r="AX441" t="s">
        <v>119</v>
      </c>
      <c r="BA441" t="s">
        <v>250</v>
      </c>
      <c r="BB441" t="s">
        <v>1242</v>
      </c>
      <c r="BC441" t="s">
        <v>920</v>
      </c>
      <c r="BD441" t="s">
        <v>211</v>
      </c>
      <c r="BE441" t="s">
        <v>212</v>
      </c>
      <c r="BF441" t="s">
        <v>213</v>
      </c>
      <c r="BG441" t="s">
        <v>124</v>
      </c>
      <c r="BH441" t="s">
        <v>2173</v>
      </c>
      <c r="BI441" t="s">
        <v>8708</v>
      </c>
      <c r="BJ441" t="s">
        <v>127</v>
      </c>
      <c r="BK441" t="s">
        <v>9928</v>
      </c>
      <c r="BL441" t="s">
        <v>9929</v>
      </c>
      <c r="BM441" t="s">
        <v>9930</v>
      </c>
      <c r="BN441" t="s">
        <v>2173</v>
      </c>
      <c r="BO441" t="s">
        <v>415</v>
      </c>
      <c r="BP441" t="s">
        <v>180</v>
      </c>
      <c r="BQ441" t="s">
        <v>416</v>
      </c>
      <c r="BR441" t="s">
        <v>417</v>
      </c>
      <c r="BS441" t="s">
        <v>2151</v>
      </c>
      <c r="BU441" t="s">
        <v>9931</v>
      </c>
      <c r="BV441" t="s">
        <v>9932</v>
      </c>
      <c r="BW441" t="s">
        <v>598</v>
      </c>
      <c r="BX441" t="s">
        <v>9933</v>
      </c>
      <c r="BY441" t="s">
        <v>9934</v>
      </c>
      <c r="BZ441" t="s">
        <v>9935</v>
      </c>
      <c r="CG441" t="s">
        <v>9936</v>
      </c>
      <c r="CH441" t="s">
        <v>9937</v>
      </c>
      <c r="CJ441" t="s">
        <v>9938</v>
      </c>
      <c r="CK441" t="s">
        <v>9937</v>
      </c>
      <c r="CL441" t="s">
        <v>920</v>
      </c>
      <c r="CM441" t="s">
        <v>211</v>
      </c>
      <c r="CN441" t="s">
        <v>9938</v>
      </c>
      <c r="CO441" t="s">
        <v>8718</v>
      </c>
      <c r="CP441" t="s">
        <v>9937</v>
      </c>
      <c r="CQ441" t="s">
        <v>9937</v>
      </c>
    </row>
    <row r="442" spans="1:95">
      <c r="A442" t="s">
        <v>337</v>
      </c>
      <c r="B442">
        <v>5017383</v>
      </c>
      <c r="C442" t="s">
        <v>9939</v>
      </c>
      <c r="D442" t="str">
        <f>VLOOKUP(B442,'2025'!B:C,2,0)</f>
        <v>Chaitanya</v>
      </c>
      <c r="F442" t="s">
        <v>95</v>
      </c>
      <c r="G442" t="s">
        <v>9940</v>
      </c>
      <c r="H442" t="s">
        <v>2193</v>
      </c>
      <c r="I442" t="s">
        <v>98</v>
      </c>
      <c r="J442" t="s">
        <v>9941</v>
      </c>
      <c r="K442" t="s">
        <v>100</v>
      </c>
      <c r="L442">
        <v>400000</v>
      </c>
      <c r="M442">
        <v>472000</v>
      </c>
      <c r="N442">
        <v>0</v>
      </c>
      <c r="O442">
        <v>369</v>
      </c>
      <c r="P442" t="s">
        <v>102</v>
      </c>
      <c r="Q442">
        <v>0</v>
      </c>
      <c r="R442">
        <v>0</v>
      </c>
      <c r="S442" t="s">
        <v>102</v>
      </c>
      <c r="T442">
        <v>0</v>
      </c>
      <c r="U442">
        <v>0</v>
      </c>
      <c r="V442" t="s">
        <v>102</v>
      </c>
      <c r="W442" t="s">
        <v>2195</v>
      </c>
      <c r="X442" t="s">
        <v>103</v>
      </c>
      <c r="Y442" t="s">
        <v>2196</v>
      </c>
      <c r="Z442" t="s">
        <v>6297</v>
      </c>
      <c r="AA442" t="s">
        <v>9940</v>
      </c>
      <c r="AB442" t="s">
        <v>102</v>
      </c>
      <c r="AC442" t="s">
        <v>9942</v>
      </c>
      <c r="AD442" t="s">
        <v>102</v>
      </c>
      <c r="AE442" t="s">
        <v>9943</v>
      </c>
      <c r="AF442" t="s">
        <v>102</v>
      </c>
      <c r="AG442" t="s">
        <v>9944</v>
      </c>
      <c r="AH442" t="s">
        <v>102</v>
      </c>
      <c r="AI442" t="s">
        <v>102</v>
      </c>
      <c r="AJ442" t="s">
        <v>6297</v>
      </c>
      <c r="AK442" t="s">
        <v>6297</v>
      </c>
      <c r="AL442" t="s">
        <v>2195</v>
      </c>
      <c r="AM442" t="s">
        <v>102</v>
      </c>
      <c r="AN442" t="s">
        <v>2195</v>
      </c>
      <c r="AO442" t="s">
        <v>2202</v>
      </c>
      <c r="AP442" t="s">
        <v>2202</v>
      </c>
      <c r="AQ442" t="s">
        <v>102</v>
      </c>
      <c r="AR442" t="s">
        <v>102</v>
      </c>
      <c r="AS442" t="s">
        <v>102</v>
      </c>
      <c r="AT442" t="s">
        <v>102</v>
      </c>
      <c r="AU442" t="s">
        <v>247</v>
      </c>
      <c r="AV442" t="s">
        <v>118</v>
      </c>
      <c r="AW442" t="s">
        <v>102</v>
      </c>
      <c r="AX442" t="s">
        <v>119</v>
      </c>
      <c r="BB442" t="s">
        <v>120</v>
      </c>
      <c r="BC442" t="s">
        <v>1407</v>
      </c>
      <c r="BD442" t="s">
        <v>449</v>
      </c>
      <c r="BE442" t="s">
        <v>122</v>
      </c>
      <c r="BF442" t="s">
        <v>4256</v>
      </c>
      <c r="BG442" t="s">
        <v>124</v>
      </c>
      <c r="BH442" t="s">
        <v>9945</v>
      </c>
      <c r="BI442" t="s">
        <v>9946</v>
      </c>
      <c r="BJ442" t="s">
        <v>2207</v>
      </c>
      <c r="BK442" t="s">
        <v>9947</v>
      </c>
      <c r="BL442" t="s">
        <v>9948</v>
      </c>
      <c r="BM442" t="s">
        <v>9949</v>
      </c>
      <c r="BN442" t="s">
        <v>9940</v>
      </c>
      <c r="BO442" t="s">
        <v>2766</v>
      </c>
      <c r="BP442" t="s">
        <v>3064</v>
      </c>
      <c r="BQ442" t="s">
        <v>2213</v>
      </c>
      <c r="BR442" t="s">
        <v>2214</v>
      </c>
      <c r="BS442" t="s">
        <v>2215</v>
      </c>
      <c r="BT442" t="s">
        <v>2216</v>
      </c>
      <c r="BU442" t="s">
        <v>9950</v>
      </c>
      <c r="BV442" t="s">
        <v>9951</v>
      </c>
      <c r="BW442" t="s">
        <v>138</v>
      </c>
      <c r="BX442" t="s">
        <v>225</v>
      </c>
      <c r="BY442" t="s">
        <v>226</v>
      </c>
      <c r="BZ442" t="s">
        <v>9952</v>
      </c>
      <c r="CG442" t="s">
        <v>3068</v>
      </c>
      <c r="CH442" t="s">
        <v>9953</v>
      </c>
      <c r="CJ442" t="s">
        <v>7810</v>
      </c>
      <c r="CK442" t="s">
        <v>9953</v>
      </c>
      <c r="CL442" t="s">
        <v>1407</v>
      </c>
      <c r="CM442" t="s">
        <v>449</v>
      </c>
      <c r="CN442" t="s">
        <v>7810</v>
      </c>
      <c r="CP442" t="s">
        <v>9953</v>
      </c>
      <c r="CQ442" t="s">
        <v>9953</v>
      </c>
    </row>
    <row r="443" spans="1:95">
      <c r="A443" t="s">
        <v>337</v>
      </c>
      <c r="B443">
        <v>5017422</v>
      </c>
      <c r="C443" t="s">
        <v>9954</v>
      </c>
      <c r="E443" s="4" t="s">
        <v>17377</v>
      </c>
      <c r="F443" t="s">
        <v>95</v>
      </c>
      <c r="G443" t="s">
        <v>238</v>
      </c>
      <c r="H443" t="s">
        <v>848</v>
      </c>
      <c r="I443" t="s">
        <v>98</v>
      </c>
      <c r="J443" t="s">
        <v>9955</v>
      </c>
      <c r="K443" t="s">
        <v>100</v>
      </c>
      <c r="L443">
        <v>186619</v>
      </c>
      <c r="M443">
        <v>220210</v>
      </c>
      <c r="N443">
        <v>0</v>
      </c>
      <c r="O443">
        <v>0</v>
      </c>
      <c r="Q443">
        <v>0</v>
      </c>
      <c r="R443">
        <v>0</v>
      </c>
      <c r="T443">
        <v>186619</v>
      </c>
      <c r="U443">
        <v>100</v>
      </c>
      <c r="V443" t="s">
        <v>9956</v>
      </c>
      <c r="W443" t="s">
        <v>102</v>
      </c>
      <c r="X443" t="s">
        <v>103</v>
      </c>
      <c r="Y443" t="s">
        <v>155</v>
      </c>
      <c r="AA443" t="s">
        <v>719</v>
      </c>
      <c r="AB443" t="s">
        <v>9957</v>
      </c>
      <c r="AC443" t="s">
        <v>892</v>
      </c>
      <c r="AD443" t="s">
        <v>9957</v>
      </c>
      <c r="AE443" t="s">
        <v>437</v>
      </c>
      <c r="AF443" t="s">
        <v>9957</v>
      </c>
      <c r="AG443" t="s">
        <v>160</v>
      </c>
      <c r="AH443" t="s">
        <v>9957</v>
      </c>
      <c r="AI443" t="s">
        <v>102</v>
      </c>
      <c r="AJ443" t="s">
        <v>3227</v>
      </c>
      <c r="AK443" t="s">
        <v>3227</v>
      </c>
      <c r="AL443" t="s">
        <v>9958</v>
      </c>
      <c r="AM443" t="s">
        <v>9959</v>
      </c>
      <c r="AN443" t="s">
        <v>9960</v>
      </c>
      <c r="AO443" t="s">
        <v>9961</v>
      </c>
      <c r="AP443" t="s">
        <v>9961</v>
      </c>
      <c r="AU443" t="s">
        <v>102</v>
      </c>
      <c r="AW443" t="s">
        <v>102</v>
      </c>
      <c r="AX443" t="s">
        <v>119</v>
      </c>
      <c r="BA443" t="s">
        <v>250</v>
      </c>
      <c r="BB443" t="s">
        <v>120</v>
      </c>
      <c r="BC443" t="s">
        <v>9962</v>
      </c>
      <c r="BD443" t="s">
        <v>320</v>
      </c>
      <c r="BE443" t="s">
        <v>122</v>
      </c>
      <c r="BF443" t="s">
        <v>123</v>
      </c>
      <c r="BG443" t="s">
        <v>124</v>
      </c>
      <c r="BH443" t="s">
        <v>232</v>
      </c>
      <c r="BI443" t="s">
        <v>126</v>
      </c>
      <c r="BJ443" t="s">
        <v>127</v>
      </c>
      <c r="BK443" t="s">
        <v>9963</v>
      </c>
      <c r="BL443" t="s">
        <v>9964</v>
      </c>
      <c r="BM443" t="s">
        <v>9965</v>
      </c>
      <c r="BN443" t="s">
        <v>238</v>
      </c>
      <c r="BO443" t="s">
        <v>4845</v>
      </c>
      <c r="BP443" t="s">
        <v>350</v>
      </c>
      <c r="BQ443" t="s">
        <v>4846</v>
      </c>
      <c r="BR443" t="s">
        <v>4847</v>
      </c>
      <c r="BS443" t="s">
        <v>8756</v>
      </c>
      <c r="BT443" t="s">
        <v>5743</v>
      </c>
      <c r="BU443" t="s">
        <v>9966</v>
      </c>
      <c r="BV443" t="s">
        <v>9967</v>
      </c>
      <c r="BX443" t="s">
        <v>9968</v>
      </c>
      <c r="BY443" t="s">
        <v>9969</v>
      </c>
      <c r="BZ443" t="s">
        <v>9968</v>
      </c>
      <c r="CG443" t="s">
        <v>1538</v>
      </c>
      <c r="CH443" t="s">
        <v>9970</v>
      </c>
      <c r="CJ443" t="s">
        <v>8429</v>
      </c>
      <c r="CK443" t="s">
        <v>9971</v>
      </c>
      <c r="CL443" t="s">
        <v>9962</v>
      </c>
      <c r="CM443" t="s">
        <v>320</v>
      </c>
      <c r="CN443" t="s">
        <v>8429</v>
      </c>
      <c r="CP443" t="s">
        <v>9970</v>
      </c>
      <c r="CQ443" t="s">
        <v>9971</v>
      </c>
    </row>
    <row r="444" spans="1:95">
      <c r="A444" t="s">
        <v>337</v>
      </c>
      <c r="B444">
        <v>5017447</v>
      </c>
      <c r="C444" t="s">
        <v>9972</v>
      </c>
      <c r="D444" t="str">
        <f>VLOOKUP(B444,'2025'!B:C,2,0)</f>
        <v>Gargi Ghosh</v>
      </c>
      <c r="F444" t="s">
        <v>95</v>
      </c>
      <c r="G444" t="s">
        <v>9973</v>
      </c>
      <c r="H444" t="s">
        <v>848</v>
      </c>
      <c r="I444" t="s">
        <v>98</v>
      </c>
      <c r="J444" t="s">
        <v>9974</v>
      </c>
      <c r="K444" t="s">
        <v>100</v>
      </c>
      <c r="L444">
        <v>363550</v>
      </c>
      <c r="M444">
        <v>428989</v>
      </c>
      <c r="N444">
        <v>0</v>
      </c>
      <c r="O444">
        <v>0</v>
      </c>
      <c r="Q444">
        <v>0</v>
      </c>
      <c r="R444">
        <v>0</v>
      </c>
      <c r="T444">
        <v>363550</v>
      </c>
      <c r="U444">
        <v>165</v>
      </c>
      <c r="V444" t="s">
        <v>608</v>
      </c>
      <c r="W444" t="s">
        <v>102</v>
      </c>
      <c r="X444" t="s">
        <v>103</v>
      </c>
      <c r="Y444" t="s">
        <v>155</v>
      </c>
      <c r="AA444" t="s">
        <v>232</v>
      </c>
      <c r="AB444" t="s">
        <v>9975</v>
      </c>
      <c r="AC444" t="s">
        <v>892</v>
      </c>
      <c r="AD444" t="s">
        <v>9975</v>
      </c>
      <c r="AE444" t="s">
        <v>437</v>
      </c>
      <c r="AF444" t="s">
        <v>9975</v>
      </c>
      <c r="AG444" t="s">
        <v>4946</v>
      </c>
      <c r="AH444" t="s">
        <v>9975</v>
      </c>
      <c r="AI444" t="s">
        <v>9976</v>
      </c>
      <c r="AJ444" t="s">
        <v>1745</v>
      </c>
      <c r="AK444" t="s">
        <v>559</v>
      </c>
      <c r="AL444" t="s">
        <v>9977</v>
      </c>
      <c r="AM444" t="s">
        <v>9978</v>
      </c>
      <c r="AN444" t="s">
        <v>9979</v>
      </c>
      <c r="AO444" t="s">
        <v>5355</v>
      </c>
      <c r="AP444" t="s">
        <v>5355</v>
      </c>
      <c r="AU444" t="s">
        <v>102</v>
      </c>
      <c r="AW444" t="s">
        <v>102</v>
      </c>
      <c r="AX444" t="s">
        <v>119</v>
      </c>
      <c r="BA444" t="s">
        <v>250</v>
      </c>
      <c r="BB444" t="s">
        <v>120</v>
      </c>
      <c r="BC444" t="s">
        <v>375</v>
      </c>
      <c r="BD444" t="s">
        <v>376</v>
      </c>
      <c r="BE444" t="s">
        <v>174</v>
      </c>
      <c r="BF444" t="s">
        <v>376</v>
      </c>
      <c r="BG444" t="s">
        <v>124</v>
      </c>
      <c r="BH444" t="s">
        <v>1955</v>
      </c>
      <c r="BI444" t="s">
        <v>126</v>
      </c>
      <c r="BJ444" t="s">
        <v>127</v>
      </c>
      <c r="BK444" t="s">
        <v>9980</v>
      </c>
      <c r="BL444" t="s">
        <v>9981</v>
      </c>
      <c r="BM444" t="s">
        <v>9982</v>
      </c>
      <c r="BN444" t="s">
        <v>9973</v>
      </c>
      <c r="BO444" t="s">
        <v>1831</v>
      </c>
      <c r="BP444" t="s">
        <v>180</v>
      </c>
      <c r="BQ444" t="s">
        <v>1832</v>
      </c>
      <c r="BR444" t="s">
        <v>1833</v>
      </c>
      <c r="BS444" t="s">
        <v>1858</v>
      </c>
      <c r="BU444" t="s">
        <v>9983</v>
      </c>
      <c r="BV444" t="s">
        <v>1510</v>
      </c>
      <c r="BW444" t="s">
        <v>354</v>
      </c>
      <c r="BX444" t="s">
        <v>1511</v>
      </c>
      <c r="BY444" t="s">
        <v>1512</v>
      </c>
      <c r="BZ444" t="s">
        <v>1511</v>
      </c>
      <c r="CA444" t="s">
        <v>9984</v>
      </c>
      <c r="CB444" t="s">
        <v>9985</v>
      </c>
      <c r="CC444" t="s">
        <v>9986</v>
      </c>
      <c r="CD444" t="s">
        <v>9984</v>
      </c>
      <c r="CE444" t="s">
        <v>9985</v>
      </c>
      <c r="CF444" t="s">
        <v>9986</v>
      </c>
      <c r="CG444" t="s">
        <v>3968</v>
      </c>
      <c r="CH444" t="s">
        <v>9987</v>
      </c>
      <c r="CJ444" t="s">
        <v>9988</v>
      </c>
      <c r="CK444" t="s">
        <v>9989</v>
      </c>
      <c r="CL444" t="s">
        <v>375</v>
      </c>
      <c r="CM444" t="s">
        <v>376</v>
      </c>
      <c r="CN444" t="s">
        <v>9988</v>
      </c>
      <c r="CO444" t="s">
        <v>1516</v>
      </c>
      <c r="CP444" t="s">
        <v>9987</v>
      </c>
      <c r="CQ444" t="s">
        <v>9989</v>
      </c>
    </row>
    <row r="445" spans="1:95">
      <c r="A445" t="s">
        <v>337</v>
      </c>
      <c r="B445">
        <v>5017529</v>
      </c>
      <c r="C445" t="s">
        <v>9990</v>
      </c>
      <c r="D445" t="str">
        <f>VLOOKUP(B445,'2025'!B:C,2,0)</f>
        <v>Pooja Kapoor</v>
      </c>
      <c r="F445" t="s">
        <v>95</v>
      </c>
      <c r="G445" t="s">
        <v>9991</v>
      </c>
      <c r="H445" t="s">
        <v>643</v>
      </c>
      <c r="I445" t="s">
        <v>98</v>
      </c>
      <c r="J445" t="s">
        <v>9992</v>
      </c>
      <c r="K445" t="s">
        <v>100</v>
      </c>
      <c r="L445">
        <v>366123</v>
      </c>
      <c r="M445">
        <v>393324</v>
      </c>
      <c r="N445">
        <v>0</v>
      </c>
      <c r="O445">
        <v>0</v>
      </c>
      <c r="Q445">
        <v>215007</v>
      </c>
      <c r="R445">
        <v>149</v>
      </c>
      <c r="S445" t="s">
        <v>9993</v>
      </c>
      <c r="T445">
        <v>151116</v>
      </c>
      <c r="U445">
        <v>127</v>
      </c>
      <c r="V445" t="s">
        <v>9994</v>
      </c>
      <c r="W445" t="s">
        <v>102</v>
      </c>
      <c r="X445" t="s">
        <v>679</v>
      </c>
      <c r="Y445" t="s">
        <v>104</v>
      </c>
      <c r="Z445" t="s">
        <v>3155</v>
      </c>
      <c r="AA445" t="s">
        <v>9995</v>
      </c>
      <c r="AB445" t="s">
        <v>9996</v>
      </c>
      <c r="AC445" t="s">
        <v>9997</v>
      </c>
      <c r="AD445" t="s">
        <v>9996</v>
      </c>
      <c r="AE445" t="s">
        <v>109</v>
      </c>
      <c r="AF445" t="s">
        <v>102</v>
      </c>
      <c r="AG445" t="s">
        <v>109</v>
      </c>
      <c r="AH445" t="s">
        <v>102</v>
      </c>
      <c r="AI445" t="s">
        <v>102</v>
      </c>
      <c r="AJ445" t="s">
        <v>9998</v>
      </c>
      <c r="AK445" t="s">
        <v>9999</v>
      </c>
      <c r="AL445" t="s">
        <v>10000</v>
      </c>
      <c r="AM445" t="s">
        <v>10001</v>
      </c>
      <c r="AN445" t="s">
        <v>10002</v>
      </c>
      <c r="AO445" t="s">
        <v>10003</v>
      </c>
      <c r="AP445" t="s">
        <v>10003</v>
      </c>
      <c r="AU445" t="s">
        <v>102</v>
      </c>
      <c r="AW445" t="s">
        <v>655</v>
      </c>
      <c r="AX445" t="s">
        <v>119</v>
      </c>
      <c r="AY445" t="s">
        <v>170</v>
      </c>
      <c r="AZ445" t="s">
        <v>118</v>
      </c>
      <c r="BA445" t="s">
        <v>250</v>
      </c>
      <c r="BB445" t="s">
        <v>598</v>
      </c>
      <c r="BC445" t="s">
        <v>6594</v>
      </c>
      <c r="BD445" t="s">
        <v>6595</v>
      </c>
      <c r="BE445" t="s">
        <v>174</v>
      </c>
      <c r="BF445" t="s">
        <v>4405</v>
      </c>
      <c r="BG445" t="s">
        <v>124</v>
      </c>
      <c r="BH445" t="s">
        <v>10004</v>
      </c>
      <c r="BI445" t="s">
        <v>10005</v>
      </c>
      <c r="BJ445" t="s">
        <v>127</v>
      </c>
      <c r="BK445" t="s">
        <v>10006</v>
      </c>
      <c r="BL445" t="s">
        <v>10007</v>
      </c>
      <c r="BM445" t="s">
        <v>10008</v>
      </c>
      <c r="BN445" t="s">
        <v>9991</v>
      </c>
      <c r="BO445" t="s">
        <v>5531</v>
      </c>
      <c r="BP445" t="s">
        <v>258</v>
      </c>
      <c r="BQ445" t="s">
        <v>5532</v>
      </c>
      <c r="BR445" t="s">
        <v>5533</v>
      </c>
      <c r="BS445" t="s">
        <v>4413</v>
      </c>
      <c r="BU445" t="s">
        <v>10009</v>
      </c>
      <c r="BV445" t="s">
        <v>10010</v>
      </c>
      <c r="BX445" t="s">
        <v>10011</v>
      </c>
      <c r="BY445" t="s">
        <v>10012</v>
      </c>
      <c r="BZ445" t="s">
        <v>10011</v>
      </c>
      <c r="CA445" t="s">
        <v>10013</v>
      </c>
      <c r="CB445" t="s">
        <v>10011</v>
      </c>
      <c r="CC445" t="s">
        <v>10012</v>
      </c>
      <c r="CD445" t="s">
        <v>10014</v>
      </c>
      <c r="CE445" t="s">
        <v>10015</v>
      </c>
      <c r="CF445" t="s">
        <v>10016</v>
      </c>
      <c r="CG445" t="s">
        <v>10017</v>
      </c>
      <c r="CH445" t="s">
        <v>10018</v>
      </c>
      <c r="CJ445" t="s">
        <v>10019</v>
      </c>
      <c r="CK445" t="s">
        <v>10018</v>
      </c>
      <c r="CL445" t="s">
        <v>6594</v>
      </c>
      <c r="CM445" t="s">
        <v>6595</v>
      </c>
      <c r="CN445" t="s">
        <v>10019</v>
      </c>
      <c r="CP445" t="s">
        <v>10018</v>
      </c>
      <c r="CQ445" t="s">
        <v>10018</v>
      </c>
    </row>
    <row r="446" spans="1:95">
      <c r="A446" t="s">
        <v>337</v>
      </c>
      <c r="B446">
        <v>5017533</v>
      </c>
      <c r="C446" t="s">
        <v>10020</v>
      </c>
      <c r="D446" t="str">
        <f>VLOOKUP(B446,'2025'!B:C,2,0)</f>
        <v>Ishita Jethwa</v>
      </c>
      <c r="F446" t="s">
        <v>95</v>
      </c>
      <c r="G446" t="s">
        <v>911</v>
      </c>
      <c r="H446" t="s">
        <v>193</v>
      </c>
      <c r="I446" t="s">
        <v>98</v>
      </c>
      <c r="J446" t="s">
        <v>10021</v>
      </c>
      <c r="K446" t="s">
        <v>100</v>
      </c>
      <c r="L446">
        <v>153081</v>
      </c>
      <c r="M446">
        <v>169944</v>
      </c>
      <c r="N446">
        <v>59400</v>
      </c>
      <c r="O446">
        <v>66</v>
      </c>
      <c r="P446" t="s">
        <v>2451</v>
      </c>
      <c r="Q446">
        <v>0</v>
      </c>
      <c r="R446">
        <v>0</v>
      </c>
      <c r="T446">
        <v>93681</v>
      </c>
      <c r="U446">
        <v>69</v>
      </c>
      <c r="V446" t="s">
        <v>10022</v>
      </c>
      <c r="W446" t="s">
        <v>102</v>
      </c>
      <c r="X446" t="s">
        <v>103</v>
      </c>
      <c r="Y446" t="s">
        <v>104</v>
      </c>
      <c r="AA446" t="s">
        <v>3656</v>
      </c>
      <c r="AB446" t="s">
        <v>10023</v>
      </c>
      <c r="AC446" t="s">
        <v>158</v>
      </c>
      <c r="AD446" t="s">
        <v>10024</v>
      </c>
      <c r="AE446" t="s">
        <v>109</v>
      </c>
      <c r="AF446" t="s">
        <v>102</v>
      </c>
      <c r="AG446" t="s">
        <v>109</v>
      </c>
      <c r="AH446" t="s">
        <v>102</v>
      </c>
      <c r="AI446" t="s">
        <v>102</v>
      </c>
      <c r="AJ446" t="s">
        <v>311</v>
      </c>
      <c r="AK446" t="s">
        <v>10025</v>
      </c>
      <c r="AL446" t="s">
        <v>10026</v>
      </c>
      <c r="AM446" t="s">
        <v>10027</v>
      </c>
      <c r="AN446" t="s">
        <v>10028</v>
      </c>
      <c r="AO446" t="s">
        <v>10029</v>
      </c>
      <c r="AP446" t="s">
        <v>10029</v>
      </c>
      <c r="AU446" t="s">
        <v>207</v>
      </c>
      <c r="AV446" t="s">
        <v>250</v>
      </c>
      <c r="AW446" t="s">
        <v>102</v>
      </c>
      <c r="AX446" t="s">
        <v>119</v>
      </c>
      <c r="BA446" t="s">
        <v>250</v>
      </c>
      <c r="BB446" t="s">
        <v>209</v>
      </c>
      <c r="BC446" t="s">
        <v>1729</v>
      </c>
      <c r="BD446" t="s">
        <v>730</v>
      </c>
      <c r="BE446" t="s">
        <v>622</v>
      </c>
      <c r="BF446" t="s">
        <v>730</v>
      </c>
      <c r="BG446" t="s">
        <v>124</v>
      </c>
      <c r="BH446" t="s">
        <v>1199</v>
      </c>
      <c r="BI446" t="s">
        <v>10030</v>
      </c>
      <c r="BJ446" t="s">
        <v>127</v>
      </c>
      <c r="BK446" t="s">
        <v>10031</v>
      </c>
      <c r="BL446" t="s">
        <v>10032</v>
      </c>
      <c r="BM446" t="s">
        <v>10033</v>
      </c>
      <c r="BN446" t="s">
        <v>911</v>
      </c>
      <c r="BO446" t="s">
        <v>3910</v>
      </c>
      <c r="BP446" t="s">
        <v>180</v>
      </c>
      <c r="BQ446" t="s">
        <v>3911</v>
      </c>
      <c r="BR446" t="s">
        <v>3912</v>
      </c>
      <c r="BS446" t="s">
        <v>2569</v>
      </c>
      <c r="BU446" t="s">
        <v>10034</v>
      </c>
      <c r="BV446" t="s">
        <v>10035</v>
      </c>
      <c r="BW446" t="s">
        <v>354</v>
      </c>
      <c r="BX446" t="s">
        <v>10036</v>
      </c>
      <c r="BY446" t="s">
        <v>10037</v>
      </c>
      <c r="BZ446" t="s">
        <v>10038</v>
      </c>
      <c r="CG446" t="s">
        <v>1594</v>
      </c>
      <c r="CH446" t="s">
        <v>10039</v>
      </c>
      <c r="CJ446" t="s">
        <v>4103</v>
      </c>
      <c r="CK446" t="s">
        <v>10039</v>
      </c>
      <c r="CL446" t="s">
        <v>1729</v>
      </c>
      <c r="CM446" t="s">
        <v>730</v>
      </c>
      <c r="CN446" t="s">
        <v>4103</v>
      </c>
      <c r="CP446" t="s">
        <v>10040</v>
      </c>
      <c r="CQ446" t="s">
        <v>10039</v>
      </c>
    </row>
    <row r="447" spans="1:95">
      <c r="A447" t="s">
        <v>337</v>
      </c>
      <c r="B447">
        <v>5017593</v>
      </c>
      <c r="C447" t="s">
        <v>10041</v>
      </c>
      <c r="E447" s="4" t="s">
        <v>17377</v>
      </c>
      <c r="F447" t="s">
        <v>95</v>
      </c>
      <c r="G447" t="s">
        <v>1470</v>
      </c>
      <c r="H447" t="s">
        <v>152</v>
      </c>
      <c r="I447" t="s">
        <v>98</v>
      </c>
      <c r="J447" t="s">
        <v>10042</v>
      </c>
      <c r="K447" t="s">
        <v>100</v>
      </c>
      <c r="L447">
        <v>213850</v>
      </c>
      <c r="M447">
        <v>213850</v>
      </c>
      <c r="N447">
        <v>0</v>
      </c>
      <c r="O447">
        <v>0</v>
      </c>
      <c r="Q447">
        <v>213850</v>
      </c>
      <c r="R447">
        <v>175</v>
      </c>
      <c r="S447" t="s">
        <v>10043</v>
      </c>
      <c r="T447">
        <v>0</v>
      </c>
      <c r="U447">
        <v>0</v>
      </c>
      <c r="W447" t="s">
        <v>102</v>
      </c>
      <c r="X447" t="s">
        <v>103</v>
      </c>
      <c r="Y447" t="s">
        <v>398</v>
      </c>
      <c r="AA447" t="s">
        <v>3161</v>
      </c>
      <c r="AB447" t="s">
        <v>10044</v>
      </c>
      <c r="AC447" t="s">
        <v>892</v>
      </c>
      <c r="AD447" t="s">
        <v>10045</v>
      </c>
      <c r="AE447" t="s">
        <v>437</v>
      </c>
      <c r="AF447" t="s">
        <v>10045</v>
      </c>
      <c r="AG447" t="s">
        <v>109</v>
      </c>
      <c r="AH447" t="s">
        <v>102</v>
      </c>
      <c r="AI447" t="s">
        <v>102</v>
      </c>
      <c r="AJ447" t="s">
        <v>1818</v>
      </c>
      <c r="AK447" t="s">
        <v>1818</v>
      </c>
      <c r="AL447" t="s">
        <v>10046</v>
      </c>
      <c r="AM447" t="s">
        <v>10047</v>
      </c>
      <c r="AN447" t="s">
        <v>10048</v>
      </c>
      <c r="AO447" t="s">
        <v>5019</v>
      </c>
      <c r="AP447" t="s">
        <v>5019</v>
      </c>
      <c r="AU447" t="s">
        <v>102</v>
      </c>
      <c r="AW447" t="s">
        <v>155</v>
      </c>
      <c r="AX447" t="s">
        <v>119</v>
      </c>
      <c r="AY447" t="s">
        <v>170</v>
      </c>
      <c r="AZ447" t="s">
        <v>118</v>
      </c>
      <c r="BB447" t="s">
        <v>120</v>
      </c>
      <c r="BC447" t="s">
        <v>10049</v>
      </c>
      <c r="BD447" t="s">
        <v>410</v>
      </c>
      <c r="BE447" t="s">
        <v>212</v>
      </c>
      <c r="BF447" t="s">
        <v>410</v>
      </c>
      <c r="BG447" t="s">
        <v>124</v>
      </c>
      <c r="BH447" t="s">
        <v>365</v>
      </c>
      <c r="BI447" t="s">
        <v>126</v>
      </c>
      <c r="BJ447" t="s">
        <v>127</v>
      </c>
      <c r="BK447" t="s">
        <v>10050</v>
      </c>
      <c r="BL447" t="s">
        <v>10051</v>
      </c>
      <c r="BM447" t="s">
        <v>10052</v>
      </c>
      <c r="BN447" t="s">
        <v>1470</v>
      </c>
      <c r="BO447" t="s">
        <v>4955</v>
      </c>
      <c r="BP447" t="s">
        <v>132</v>
      </c>
      <c r="BQ447" t="s">
        <v>4956</v>
      </c>
      <c r="BR447" t="s">
        <v>4957</v>
      </c>
      <c r="BS447" t="s">
        <v>1702</v>
      </c>
      <c r="BT447" t="s">
        <v>418</v>
      </c>
      <c r="BU447" t="s">
        <v>10053</v>
      </c>
      <c r="BV447" t="s">
        <v>10054</v>
      </c>
      <c r="BW447" t="s">
        <v>354</v>
      </c>
      <c r="BX447" t="s">
        <v>10055</v>
      </c>
      <c r="BY447" t="s">
        <v>10056</v>
      </c>
      <c r="BZ447" t="s">
        <v>10055</v>
      </c>
      <c r="CG447" t="s">
        <v>573</v>
      </c>
      <c r="CH447" t="s">
        <v>10057</v>
      </c>
      <c r="CJ447" t="s">
        <v>10058</v>
      </c>
      <c r="CK447" t="s">
        <v>10057</v>
      </c>
      <c r="CL447" t="s">
        <v>10049</v>
      </c>
      <c r="CM447" t="s">
        <v>410</v>
      </c>
      <c r="CN447" t="s">
        <v>10058</v>
      </c>
      <c r="CP447" t="s">
        <v>10057</v>
      </c>
      <c r="CQ447" t="s">
        <v>10057</v>
      </c>
    </row>
    <row r="448" spans="1:95">
      <c r="A448" t="s">
        <v>337</v>
      </c>
      <c r="B448">
        <v>5017598</v>
      </c>
      <c r="C448" t="s">
        <v>10059</v>
      </c>
      <c r="D448" t="str">
        <f>VLOOKUP(B448,'2025'!B:C,2,0)</f>
        <v>Vineeth T V</v>
      </c>
      <c r="F448" t="s">
        <v>95</v>
      </c>
      <c r="G448" t="s">
        <v>10060</v>
      </c>
      <c r="H448" t="s">
        <v>848</v>
      </c>
      <c r="I448" t="s">
        <v>98</v>
      </c>
      <c r="J448" t="s">
        <v>10061</v>
      </c>
      <c r="K448" t="s">
        <v>100</v>
      </c>
      <c r="L448">
        <v>122064</v>
      </c>
      <c r="M448">
        <v>144036</v>
      </c>
      <c r="N448">
        <v>0</v>
      </c>
      <c r="O448">
        <v>0</v>
      </c>
      <c r="Q448">
        <v>0</v>
      </c>
      <c r="R448">
        <v>0</v>
      </c>
      <c r="T448">
        <v>122064</v>
      </c>
      <c r="U448">
        <v>120</v>
      </c>
      <c r="V448" t="s">
        <v>3924</v>
      </c>
      <c r="W448" t="s">
        <v>102</v>
      </c>
      <c r="X448" t="s">
        <v>103</v>
      </c>
      <c r="Y448" t="s">
        <v>104</v>
      </c>
      <c r="AA448" t="s">
        <v>4778</v>
      </c>
      <c r="AB448" t="s">
        <v>10062</v>
      </c>
      <c r="AC448" t="s">
        <v>1493</v>
      </c>
      <c r="AD448" t="s">
        <v>10062</v>
      </c>
      <c r="AE448" t="s">
        <v>109</v>
      </c>
      <c r="AF448" t="s">
        <v>102</v>
      </c>
      <c r="AG448" t="s">
        <v>109</v>
      </c>
      <c r="AH448" t="s">
        <v>102</v>
      </c>
      <c r="AI448" t="s">
        <v>102</v>
      </c>
      <c r="AJ448" t="s">
        <v>10063</v>
      </c>
      <c r="AK448" t="s">
        <v>3711</v>
      </c>
      <c r="AL448" t="s">
        <v>10064</v>
      </c>
      <c r="AM448" t="s">
        <v>10065</v>
      </c>
      <c r="AN448" t="s">
        <v>10066</v>
      </c>
      <c r="AO448" t="s">
        <v>2353</v>
      </c>
      <c r="AP448" t="s">
        <v>2353</v>
      </c>
      <c r="AU448" t="s">
        <v>102</v>
      </c>
      <c r="AW448" t="s">
        <v>102</v>
      </c>
      <c r="AX448" t="s">
        <v>119</v>
      </c>
      <c r="BA448" t="s">
        <v>250</v>
      </c>
      <c r="BB448" t="s">
        <v>120</v>
      </c>
      <c r="BC448" t="s">
        <v>3214</v>
      </c>
      <c r="BD448" t="s">
        <v>410</v>
      </c>
      <c r="BE448" t="s">
        <v>212</v>
      </c>
      <c r="BF448" t="s">
        <v>410</v>
      </c>
      <c r="BG448" t="s">
        <v>124</v>
      </c>
      <c r="BH448" t="s">
        <v>214</v>
      </c>
      <c r="BI448" t="s">
        <v>126</v>
      </c>
      <c r="BJ448" t="s">
        <v>127</v>
      </c>
      <c r="BK448" t="s">
        <v>10067</v>
      </c>
      <c r="BL448" t="s">
        <v>10068</v>
      </c>
      <c r="BM448" t="s">
        <v>10069</v>
      </c>
      <c r="BN448" t="s">
        <v>10060</v>
      </c>
      <c r="BO448" t="s">
        <v>896</v>
      </c>
      <c r="BP448" t="s">
        <v>258</v>
      </c>
      <c r="BQ448" t="s">
        <v>897</v>
      </c>
      <c r="BR448" t="s">
        <v>898</v>
      </c>
      <c r="BS448" t="s">
        <v>899</v>
      </c>
      <c r="BT448" t="s">
        <v>900</v>
      </c>
      <c r="BU448" t="s">
        <v>10070</v>
      </c>
      <c r="BV448" t="s">
        <v>10071</v>
      </c>
      <c r="BW448" t="s">
        <v>138</v>
      </c>
      <c r="BX448" t="s">
        <v>3221</v>
      </c>
      <c r="BY448" t="s">
        <v>3222</v>
      </c>
      <c r="BZ448" t="s">
        <v>3221</v>
      </c>
      <c r="CA448" t="s">
        <v>10071</v>
      </c>
      <c r="CB448" t="s">
        <v>3221</v>
      </c>
      <c r="CC448" t="s">
        <v>3222</v>
      </c>
      <c r="CD448" t="s">
        <v>10072</v>
      </c>
      <c r="CE448" t="s">
        <v>10073</v>
      </c>
      <c r="CF448" t="s">
        <v>10074</v>
      </c>
      <c r="CG448" t="s">
        <v>2270</v>
      </c>
      <c r="CH448" t="s">
        <v>10075</v>
      </c>
      <c r="CJ448" t="s">
        <v>3225</v>
      </c>
      <c r="CK448" t="s">
        <v>10075</v>
      </c>
      <c r="CL448" t="s">
        <v>3214</v>
      </c>
      <c r="CM448" t="s">
        <v>10076</v>
      </c>
      <c r="CN448" t="s">
        <v>3225</v>
      </c>
      <c r="CP448" t="s">
        <v>10075</v>
      </c>
      <c r="CQ448" t="s">
        <v>10075</v>
      </c>
    </row>
    <row r="449" spans="1:95">
      <c r="A449" t="s">
        <v>337</v>
      </c>
      <c r="B449">
        <v>5017638</v>
      </c>
      <c r="C449" t="s">
        <v>10077</v>
      </c>
      <c r="E449" s="4" t="s">
        <v>17377</v>
      </c>
      <c r="F449" t="s">
        <v>95</v>
      </c>
      <c r="G449" t="s">
        <v>10078</v>
      </c>
      <c r="H449" t="s">
        <v>152</v>
      </c>
      <c r="I449" t="s">
        <v>98</v>
      </c>
      <c r="J449" t="s">
        <v>10079</v>
      </c>
      <c r="K449" t="s">
        <v>100</v>
      </c>
      <c r="L449">
        <v>931000</v>
      </c>
      <c r="M449">
        <v>931000</v>
      </c>
      <c r="N449">
        <v>0</v>
      </c>
      <c r="O449">
        <v>0</v>
      </c>
      <c r="Q449">
        <v>931000</v>
      </c>
      <c r="R449">
        <v>500</v>
      </c>
      <c r="S449" t="s">
        <v>10080</v>
      </c>
      <c r="T449">
        <v>0</v>
      </c>
      <c r="U449">
        <v>0</v>
      </c>
      <c r="W449" t="s">
        <v>102</v>
      </c>
      <c r="X449" t="s">
        <v>103</v>
      </c>
      <c r="Y449" t="s">
        <v>155</v>
      </c>
      <c r="AA449" t="s">
        <v>238</v>
      </c>
      <c r="AB449" t="s">
        <v>10081</v>
      </c>
      <c r="AC449" t="s">
        <v>197</v>
      </c>
      <c r="AD449" t="s">
        <v>10081</v>
      </c>
      <c r="AE449" t="s">
        <v>240</v>
      </c>
      <c r="AF449" t="s">
        <v>10081</v>
      </c>
      <c r="AG449" t="s">
        <v>680</v>
      </c>
      <c r="AH449" t="s">
        <v>10081</v>
      </c>
      <c r="AI449" t="s">
        <v>102</v>
      </c>
      <c r="AJ449" t="s">
        <v>151</v>
      </c>
      <c r="AK449" t="s">
        <v>151</v>
      </c>
      <c r="AL449" t="s">
        <v>10082</v>
      </c>
      <c r="AM449" t="s">
        <v>907</v>
      </c>
      <c r="AN449" t="s">
        <v>10083</v>
      </c>
      <c r="AO449" t="s">
        <v>10084</v>
      </c>
      <c r="AP449" t="s">
        <v>10084</v>
      </c>
      <c r="AU449" t="s">
        <v>102</v>
      </c>
      <c r="AW449" t="s">
        <v>1758</v>
      </c>
      <c r="AX449" t="s">
        <v>119</v>
      </c>
      <c r="AY449" t="s">
        <v>170</v>
      </c>
      <c r="AZ449" t="s">
        <v>118</v>
      </c>
      <c r="BB449" t="s">
        <v>10085</v>
      </c>
      <c r="BC449" t="s">
        <v>10086</v>
      </c>
      <c r="BD449" t="s">
        <v>556</v>
      </c>
      <c r="BE449" t="s">
        <v>122</v>
      </c>
      <c r="BF449" t="s">
        <v>557</v>
      </c>
      <c r="BG449" t="s">
        <v>124</v>
      </c>
      <c r="BH449" t="s">
        <v>892</v>
      </c>
      <c r="BI449" t="s">
        <v>559</v>
      </c>
      <c r="BJ449" t="s">
        <v>127</v>
      </c>
      <c r="BK449" t="s">
        <v>10087</v>
      </c>
      <c r="BL449" t="s">
        <v>10088</v>
      </c>
      <c r="BM449" t="s">
        <v>10089</v>
      </c>
      <c r="BN449" t="s">
        <v>10078</v>
      </c>
      <c r="BO449" t="s">
        <v>563</v>
      </c>
      <c r="BP449" t="s">
        <v>258</v>
      </c>
      <c r="BQ449" t="s">
        <v>564</v>
      </c>
      <c r="BR449" t="s">
        <v>565</v>
      </c>
      <c r="BS449" t="s">
        <v>563</v>
      </c>
      <c r="BT449" t="s">
        <v>566</v>
      </c>
      <c r="BU449" t="s">
        <v>10090</v>
      </c>
      <c r="BV449" t="s">
        <v>10091</v>
      </c>
      <c r="BW449" t="s">
        <v>354</v>
      </c>
      <c r="BX449" t="s">
        <v>10092</v>
      </c>
      <c r="BY449" t="s">
        <v>10093</v>
      </c>
      <c r="BZ449" t="s">
        <v>10092</v>
      </c>
      <c r="CG449" t="s">
        <v>3474</v>
      </c>
      <c r="CH449" t="s">
        <v>10094</v>
      </c>
      <c r="CJ449" t="s">
        <v>10095</v>
      </c>
      <c r="CK449" t="s">
        <v>10094</v>
      </c>
      <c r="CL449" t="s">
        <v>10086</v>
      </c>
      <c r="CM449" t="s">
        <v>556</v>
      </c>
      <c r="CN449" t="s">
        <v>10095</v>
      </c>
      <c r="CP449" t="s">
        <v>10094</v>
      </c>
      <c r="CQ449" t="s">
        <v>10094</v>
      </c>
    </row>
    <row r="450" spans="1:95">
      <c r="A450" t="s">
        <v>337</v>
      </c>
      <c r="B450">
        <v>5017643</v>
      </c>
      <c r="C450" t="s">
        <v>10096</v>
      </c>
      <c r="E450" s="4" t="s">
        <v>17377</v>
      </c>
      <c r="F450" t="s">
        <v>95</v>
      </c>
      <c r="G450" t="s">
        <v>847</v>
      </c>
      <c r="H450" t="s">
        <v>152</v>
      </c>
      <c r="I450" t="s">
        <v>98</v>
      </c>
      <c r="J450" t="s">
        <v>10097</v>
      </c>
      <c r="K450" t="s">
        <v>100</v>
      </c>
      <c r="L450">
        <v>890221</v>
      </c>
      <c r="M450">
        <v>890221</v>
      </c>
      <c r="N450">
        <v>0</v>
      </c>
      <c r="O450">
        <v>0</v>
      </c>
      <c r="Q450">
        <v>890221</v>
      </c>
      <c r="R450">
        <v>547</v>
      </c>
      <c r="S450" t="s">
        <v>10098</v>
      </c>
      <c r="T450">
        <v>0</v>
      </c>
      <c r="U450">
        <v>0</v>
      </c>
      <c r="W450" t="s">
        <v>102</v>
      </c>
      <c r="X450" t="s">
        <v>103</v>
      </c>
      <c r="Y450" t="s">
        <v>155</v>
      </c>
      <c r="AA450" t="s">
        <v>197</v>
      </c>
      <c r="AB450" t="s">
        <v>10099</v>
      </c>
      <c r="AC450" t="s">
        <v>3711</v>
      </c>
      <c r="AD450" t="s">
        <v>10099</v>
      </c>
      <c r="AE450" t="s">
        <v>1719</v>
      </c>
      <c r="AF450" t="s">
        <v>10099</v>
      </c>
      <c r="AG450" t="s">
        <v>160</v>
      </c>
      <c r="AH450" t="s">
        <v>10099</v>
      </c>
      <c r="AI450" t="s">
        <v>10100</v>
      </c>
      <c r="AJ450" t="s">
        <v>642</v>
      </c>
      <c r="AK450" t="s">
        <v>107</v>
      </c>
      <c r="AL450" t="s">
        <v>10101</v>
      </c>
      <c r="AM450" t="s">
        <v>10102</v>
      </c>
      <c r="AN450" t="s">
        <v>10103</v>
      </c>
      <c r="AO450" t="s">
        <v>10104</v>
      </c>
      <c r="AP450" t="s">
        <v>10104</v>
      </c>
      <c r="AU450" t="s">
        <v>102</v>
      </c>
      <c r="AW450" t="s">
        <v>155</v>
      </c>
      <c r="AX450" t="s">
        <v>119</v>
      </c>
      <c r="AY450" t="s">
        <v>170</v>
      </c>
      <c r="AZ450" t="s">
        <v>118</v>
      </c>
      <c r="BB450" t="s">
        <v>1964</v>
      </c>
      <c r="BC450" t="s">
        <v>8226</v>
      </c>
      <c r="BD450" t="s">
        <v>211</v>
      </c>
      <c r="BE450" t="s">
        <v>212</v>
      </c>
      <c r="BF450" t="s">
        <v>213</v>
      </c>
      <c r="BG450" t="s">
        <v>124</v>
      </c>
      <c r="BH450" t="s">
        <v>125</v>
      </c>
      <c r="BI450" t="s">
        <v>411</v>
      </c>
      <c r="BJ450" t="s">
        <v>127</v>
      </c>
      <c r="BK450" t="s">
        <v>10105</v>
      </c>
      <c r="BL450" t="s">
        <v>10106</v>
      </c>
      <c r="BM450" t="s">
        <v>10107</v>
      </c>
      <c r="BN450" t="s">
        <v>847</v>
      </c>
      <c r="BO450" t="s">
        <v>1309</v>
      </c>
      <c r="BP450" t="s">
        <v>258</v>
      </c>
      <c r="BQ450" t="s">
        <v>1310</v>
      </c>
      <c r="BR450" t="s">
        <v>1311</v>
      </c>
      <c r="BS450" t="s">
        <v>10108</v>
      </c>
      <c r="BT450" t="s">
        <v>2151</v>
      </c>
      <c r="BU450" t="s">
        <v>10109</v>
      </c>
      <c r="BV450" t="s">
        <v>10110</v>
      </c>
      <c r="BW450" t="s">
        <v>354</v>
      </c>
      <c r="BX450" t="s">
        <v>10111</v>
      </c>
      <c r="BY450" t="s">
        <v>10112</v>
      </c>
      <c r="BZ450" t="s">
        <v>10113</v>
      </c>
      <c r="CD450" t="s">
        <v>10114</v>
      </c>
      <c r="CE450" t="s">
        <v>10115</v>
      </c>
      <c r="CF450" t="s">
        <v>10116</v>
      </c>
      <c r="CG450" t="s">
        <v>10117</v>
      </c>
      <c r="CH450" t="s">
        <v>10118</v>
      </c>
      <c r="CJ450" t="s">
        <v>10119</v>
      </c>
      <c r="CK450" t="s">
        <v>10118</v>
      </c>
      <c r="CL450" t="s">
        <v>8226</v>
      </c>
      <c r="CM450" t="s">
        <v>211</v>
      </c>
      <c r="CN450" t="s">
        <v>10119</v>
      </c>
      <c r="CP450" t="s">
        <v>10118</v>
      </c>
      <c r="CQ450" t="s">
        <v>10118</v>
      </c>
    </row>
    <row r="451" spans="1:95">
      <c r="A451" t="s">
        <v>337</v>
      </c>
      <c r="B451">
        <v>5017668</v>
      </c>
      <c r="C451" t="s">
        <v>10120</v>
      </c>
      <c r="E451" s="4" t="s">
        <v>17377</v>
      </c>
      <c r="F451" t="s">
        <v>95</v>
      </c>
      <c r="G451" t="s">
        <v>10121</v>
      </c>
      <c r="H451" t="s">
        <v>848</v>
      </c>
      <c r="I451" t="s">
        <v>98</v>
      </c>
      <c r="J451" t="s">
        <v>10122</v>
      </c>
      <c r="K451" t="s">
        <v>100</v>
      </c>
      <c r="L451">
        <v>340788</v>
      </c>
      <c r="M451">
        <v>402130</v>
      </c>
      <c r="N451">
        <v>0</v>
      </c>
      <c r="O451">
        <v>0</v>
      </c>
      <c r="Q451">
        <v>0</v>
      </c>
      <c r="R451">
        <v>0</v>
      </c>
      <c r="T451">
        <v>340788</v>
      </c>
      <c r="U451">
        <v>142</v>
      </c>
      <c r="V451" t="s">
        <v>4372</v>
      </c>
      <c r="W451" t="s">
        <v>102</v>
      </c>
      <c r="X451" t="s">
        <v>103</v>
      </c>
      <c r="Y451" t="s">
        <v>155</v>
      </c>
      <c r="AA451" t="s">
        <v>10123</v>
      </c>
      <c r="AB451" t="s">
        <v>10124</v>
      </c>
      <c r="AC451" t="s">
        <v>3161</v>
      </c>
      <c r="AD451" t="s">
        <v>10124</v>
      </c>
      <c r="AE451" t="s">
        <v>1819</v>
      </c>
      <c r="AF451" t="s">
        <v>10124</v>
      </c>
      <c r="AG451" t="s">
        <v>10125</v>
      </c>
      <c r="AH451" t="s">
        <v>10124</v>
      </c>
      <c r="AI451" t="s">
        <v>102</v>
      </c>
      <c r="AJ451" t="s">
        <v>642</v>
      </c>
      <c r="AK451" t="s">
        <v>8128</v>
      </c>
      <c r="AL451" t="s">
        <v>10126</v>
      </c>
      <c r="AM451" t="s">
        <v>10127</v>
      </c>
      <c r="AN451" t="s">
        <v>10128</v>
      </c>
      <c r="AO451" t="s">
        <v>10129</v>
      </c>
      <c r="AP451" t="s">
        <v>10129</v>
      </c>
      <c r="AU451" t="s">
        <v>102</v>
      </c>
      <c r="AW451" t="s">
        <v>102</v>
      </c>
      <c r="AX451" t="s">
        <v>119</v>
      </c>
      <c r="BA451" t="s">
        <v>250</v>
      </c>
      <c r="BB451" t="s">
        <v>120</v>
      </c>
      <c r="BC451" t="s">
        <v>2056</v>
      </c>
      <c r="BD451" t="s">
        <v>320</v>
      </c>
      <c r="BE451" t="s">
        <v>122</v>
      </c>
      <c r="BF451" t="s">
        <v>123</v>
      </c>
      <c r="BG451" t="s">
        <v>124</v>
      </c>
      <c r="BH451" t="s">
        <v>3901</v>
      </c>
      <c r="BI451" t="s">
        <v>126</v>
      </c>
      <c r="BJ451" t="s">
        <v>127</v>
      </c>
      <c r="BK451" t="s">
        <v>10130</v>
      </c>
      <c r="BL451" t="s">
        <v>10131</v>
      </c>
      <c r="BM451" t="s">
        <v>10132</v>
      </c>
      <c r="BN451" t="s">
        <v>10121</v>
      </c>
      <c r="BO451" t="s">
        <v>695</v>
      </c>
      <c r="BP451" t="s">
        <v>258</v>
      </c>
      <c r="BQ451" t="s">
        <v>697</v>
      </c>
      <c r="BR451" t="s">
        <v>698</v>
      </c>
      <c r="BS451" t="s">
        <v>819</v>
      </c>
      <c r="BT451" t="s">
        <v>135</v>
      </c>
      <c r="BU451" t="s">
        <v>10133</v>
      </c>
      <c r="BV451" t="s">
        <v>10134</v>
      </c>
      <c r="BW451" t="s">
        <v>138</v>
      </c>
      <c r="BX451" t="s">
        <v>10135</v>
      </c>
      <c r="BY451" t="s">
        <v>10136</v>
      </c>
      <c r="BZ451" t="s">
        <v>10135</v>
      </c>
      <c r="CA451" t="s">
        <v>10134</v>
      </c>
      <c r="CB451" t="s">
        <v>10135</v>
      </c>
      <c r="CC451" t="s">
        <v>10136</v>
      </c>
      <c r="CD451" t="s">
        <v>10137</v>
      </c>
      <c r="CE451" t="s">
        <v>10138</v>
      </c>
      <c r="CF451" t="s">
        <v>10139</v>
      </c>
      <c r="CG451" t="s">
        <v>8070</v>
      </c>
      <c r="CH451" t="s">
        <v>10140</v>
      </c>
      <c r="CJ451" t="s">
        <v>2071</v>
      </c>
      <c r="CK451" t="s">
        <v>10140</v>
      </c>
      <c r="CL451" t="s">
        <v>2056</v>
      </c>
      <c r="CM451" t="s">
        <v>320</v>
      </c>
      <c r="CN451" t="s">
        <v>2071</v>
      </c>
      <c r="CP451" t="s">
        <v>10140</v>
      </c>
      <c r="CQ451" t="s">
        <v>10140</v>
      </c>
    </row>
    <row r="452" spans="1:95">
      <c r="A452" t="s">
        <v>337</v>
      </c>
      <c r="B452">
        <v>5017708</v>
      </c>
      <c r="C452" t="s">
        <v>10141</v>
      </c>
      <c r="F452" t="s">
        <v>95</v>
      </c>
      <c r="G452" t="s">
        <v>4942</v>
      </c>
      <c r="H452" t="s">
        <v>8024</v>
      </c>
      <c r="I452" t="s">
        <v>98</v>
      </c>
      <c r="J452" t="s">
        <v>10142</v>
      </c>
      <c r="K452" t="s">
        <v>100</v>
      </c>
      <c r="L452">
        <v>430766</v>
      </c>
      <c r="M452">
        <v>488353</v>
      </c>
      <c r="N452">
        <v>0</v>
      </c>
      <c r="O452">
        <v>0</v>
      </c>
      <c r="Q452">
        <v>110838</v>
      </c>
      <c r="R452">
        <v>174</v>
      </c>
      <c r="S452" t="s">
        <v>10143</v>
      </c>
      <c r="T452">
        <v>319928</v>
      </c>
      <c r="U452">
        <v>214</v>
      </c>
      <c r="V452" t="s">
        <v>10144</v>
      </c>
      <c r="W452" t="s">
        <v>102</v>
      </c>
      <c r="X452" t="s">
        <v>103</v>
      </c>
      <c r="Y452" t="s">
        <v>104</v>
      </c>
      <c r="AA452" t="s">
        <v>214</v>
      </c>
      <c r="AB452" t="s">
        <v>10145</v>
      </c>
      <c r="AC452" t="s">
        <v>439</v>
      </c>
      <c r="AD452" t="s">
        <v>10145</v>
      </c>
      <c r="AE452" t="s">
        <v>109</v>
      </c>
      <c r="AF452" t="s">
        <v>102</v>
      </c>
      <c r="AG452" t="s">
        <v>109</v>
      </c>
      <c r="AH452" t="s">
        <v>102</v>
      </c>
      <c r="AI452" t="s">
        <v>102</v>
      </c>
      <c r="AJ452" t="s">
        <v>2911</v>
      </c>
      <c r="AK452" t="s">
        <v>2911</v>
      </c>
      <c r="AL452" t="s">
        <v>10146</v>
      </c>
      <c r="AM452" t="s">
        <v>5842</v>
      </c>
      <c r="AN452" t="s">
        <v>10147</v>
      </c>
      <c r="AO452" t="s">
        <v>10148</v>
      </c>
      <c r="AP452" t="s">
        <v>10148</v>
      </c>
      <c r="AU452" t="s">
        <v>102</v>
      </c>
      <c r="AW452" t="s">
        <v>155</v>
      </c>
      <c r="AX452" t="s">
        <v>119</v>
      </c>
      <c r="AY452" t="s">
        <v>170</v>
      </c>
      <c r="AZ452" t="s">
        <v>118</v>
      </c>
      <c r="BA452" t="s">
        <v>250</v>
      </c>
      <c r="BB452" t="s">
        <v>120</v>
      </c>
      <c r="BC452" t="s">
        <v>7718</v>
      </c>
      <c r="BD452" t="s">
        <v>211</v>
      </c>
      <c r="BE452" t="s">
        <v>212</v>
      </c>
      <c r="BF452" t="s">
        <v>213</v>
      </c>
      <c r="BG452" t="s">
        <v>124</v>
      </c>
      <c r="BH452" t="s">
        <v>232</v>
      </c>
      <c r="BI452" t="s">
        <v>126</v>
      </c>
      <c r="BJ452" t="s">
        <v>127</v>
      </c>
      <c r="BK452" t="s">
        <v>10149</v>
      </c>
      <c r="BL452" t="s">
        <v>10150</v>
      </c>
      <c r="BM452" t="s">
        <v>10151</v>
      </c>
      <c r="BN452" t="s">
        <v>4942</v>
      </c>
      <c r="BO452" t="s">
        <v>4053</v>
      </c>
      <c r="BP452" t="s">
        <v>6248</v>
      </c>
      <c r="BQ452" t="s">
        <v>4054</v>
      </c>
      <c r="BR452" t="s">
        <v>4055</v>
      </c>
      <c r="BS452" t="s">
        <v>4056</v>
      </c>
      <c r="BT452" t="s">
        <v>10152</v>
      </c>
      <c r="BU452" t="s">
        <v>10153</v>
      </c>
      <c r="BV452" t="s">
        <v>10154</v>
      </c>
      <c r="BW452" t="s">
        <v>354</v>
      </c>
      <c r="BX452" t="s">
        <v>1560</v>
      </c>
      <c r="BY452" t="s">
        <v>10155</v>
      </c>
      <c r="BZ452" t="s">
        <v>1560</v>
      </c>
      <c r="CG452" t="s">
        <v>573</v>
      </c>
      <c r="CH452" t="s">
        <v>10156</v>
      </c>
      <c r="CJ452" t="s">
        <v>10157</v>
      </c>
      <c r="CK452" t="s">
        <v>10156</v>
      </c>
      <c r="CL452" t="s">
        <v>7718</v>
      </c>
      <c r="CM452" t="s">
        <v>211</v>
      </c>
      <c r="CN452" t="s">
        <v>10157</v>
      </c>
      <c r="CP452" t="s">
        <v>10156</v>
      </c>
      <c r="CQ452" t="s">
        <v>10156</v>
      </c>
    </row>
    <row r="453" spans="1:95">
      <c r="A453" t="s">
        <v>337</v>
      </c>
      <c r="B453">
        <v>5017739</v>
      </c>
      <c r="C453" t="s">
        <v>10158</v>
      </c>
      <c r="D453" t="str">
        <f>VLOOKUP(B453,'2025'!B:C,2,0)</f>
        <v>Tanya</v>
      </c>
      <c r="F453" t="s">
        <v>95</v>
      </c>
      <c r="G453" t="s">
        <v>5774</v>
      </c>
      <c r="H453" t="s">
        <v>1746</v>
      </c>
      <c r="I453" t="s">
        <v>98</v>
      </c>
      <c r="J453" t="s">
        <v>10159</v>
      </c>
      <c r="K453" t="s">
        <v>100</v>
      </c>
      <c r="L453">
        <v>235513</v>
      </c>
      <c r="M453">
        <v>245965</v>
      </c>
      <c r="N453">
        <v>62807</v>
      </c>
      <c r="O453">
        <v>66</v>
      </c>
      <c r="P453" t="s">
        <v>10160</v>
      </c>
      <c r="Q453">
        <v>114638</v>
      </c>
      <c r="R453">
        <v>139</v>
      </c>
      <c r="S453" t="s">
        <v>3811</v>
      </c>
      <c r="T453">
        <v>58068</v>
      </c>
      <c r="U453">
        <v>30</v>
      </c>
      <c r="V453" t="s">
        <v>10161</v>
      </c>
      <c r="W453" t="s">
        <v>102</v>
      </c>
      <c r="X453" t="s">
        <v>275</v>
      </c>
      <c r="Z453" t="s">
        <v>341</v>
      </c>
      <c r="AA453" t="s">
        <v>109</v>
      </c>
      <c r="AB453" t="s">
        <v>102</v>
      </c>
      <c r="AC453" t="s">
        <v>109</v>
      </c>
      <c r="AD453" t="s">
        <v>102</v>
      </c>
      <c r="AE453" t="s">
        <v>109</v>
      </c>
      <c r="AF453" t="s">
        <v>102</v>
      </c>
      <c r="AG453" t="s">
        <v>109</v>
      </c>
      <c r="AH453" t="s">
        <v>102</v>
      </c>
      <c r="AI453" t="s">
        <v>102</v>
      </c>
      <c r="AJ453" t="s">
        <v>545</v>
      </c>
      <c r="AK453" t="s">
        <v>545</v>
      </c>
      <c r="AL453" t="s">
        <v>10162</v>
      </c>
      <c r="AM453" t="s">
        <v>10163</v>
      </c>
      <c r="AN453" t="s">
        <v>10164</v>
      </c>
      <c r="AO453" t="s">
        <v>10165</v>
      </c>
      <c r="AP453" t="s">
        <v>10166</v>
      </c>
      <c r="AQ453" t="s">
        <v>343</v>
      </c>
      <c r="AS453" t="s">
        <v>169</v>
      </c>
      <c r="AU453" t="s">
        <v>318</v>
      </c>
      <c r="AV453" t="s">
        <v>118</v>
      </c>
      <c r="AW453" t="s">
        <v>104</v>
      </c>
      <c r="AX453" t="s">
        <v>119</v>
      </c>
      <c r="AY453" t="s">
        <v>170</v>
      </c>
      <c r="AZ453" t="s">
        <v>118</v>
      </c>
      <c r="BA453" t="s">
        <v>250</v>
      </c>
      <c r="BB453" t="s">
        <v>120</v>
      </c>
      <c r="BC453" t="s">
        <v>448</v>
      </c>
      <c r="BD453" t="s">
        <v>449</v>
      </c>
      <c r="BE453" t="s">
        <v>122</v>
      </c>
      <c r="BF453" t="s">
        <v>450</v>
      </c>
      <c r="BG453" t="s">
        <v>124</v>
      </c>
      <c r="BH453" t="s">
        <v>3457</v>
      </c>
      <c r="BI453" t="s">
        <v>10167</v>
      </c>
      <c r="BJ453" t="s">
        <v>127</v>
      </c>
      <c r="BK453" t="s">
        <v>10168</v>
      </c>
      <c r="BL453" t="s">
        <v>10169</v>
      </c>
      <c r="BM453" t="s">
        <v>10170</v>
      </c>
      <c r="BN453" t="s">
        <v>5774</v>
      </c>
      <c r="BO453" t="s">
        <v>131</v>
      </c>
      <c r="BP453" t="s">
        <v>350</v>
      </c>
      <c r="BQ453" t="s">
        <v>133</v>
      </c>
      <c r="BR453" t="s">
        <v>134</v>
      </c>
      <c r="BS453" t="s">
        <v>455</v>
      </c>
      <c r="BU453" t="s">
        <v>10171</v>
      </c>
      <c r="BV453" t="s">
        <v>10172</v>
      </c>
      <c r="BW453" t="s">
        <v>598</v>
      </c>
      <c r="BX453" t="s">
        <v>7995</v>
      </c>
      <c r="BY453" t="s">
        <v>7996</v>
      </c>
      <c r="BZ453" t="s">
        <v>7995</v>
      </c>
      <c r="CG453" t="s">
        <v>7998</v>
      </c>
      <c r="CH453" t="s">
        <v>10173</v>
      </c>
      <c r="CJ453" t="s">
        <v>10174</v>
      </c>
      <c r="CK453" t="s">
        <v>10173</v>
      </c>
      <c r="CL453" t="s">
        <v>448</v>
      </c>
      <c r="CM453" t="s">
        <v>449</v>
      </c>
      <c r="CN453" t="s">
        <v>10174</v>
      </c>
      <c r="CP453" t="s">
        <v>10173</v>
      </c>
      <c r="CQ453" t="s">
        <v>10173</v>
      </c>
    </row>
    <row r="454" spans="1:95">
      <c r="A454" t="s">
        <v>149</v>
      </c>
      <c r="B454">
        <v>5017776</v>
      </c>
      <c r="C454" t="s">
        <v>10175</v>
      </c>
      <c r="E454" s="4" t="s">
        <v>17377</v>
      </c>
      <c r="F454" t="s">
        <v>95</v>
      </c>
      <c r="G454" t="s">
        <v>3108</v>
      </c>
      <c r="H454" t="s">
        <v>97</v>
      </c>
      <c r="I454" t="s">
        <v>98</v>
      </c>
      <c r="J454" t="s">
        <v>10176</v>
      </c>
      <c r="K454" t="s">
        <v>100</v>
      </c>
      <c r="L454">
        <v>49288</v>
      </c>
      <c r="M454">
        <v>49288</v>
      </c>
      <c r="N454">
        <v>49288</v>
      </c>
      <c r="O454">
        <v>42</v>
      </c>
      <c r="P454" t="s">
        <v>10177</v>
      </c>
      <c r="Q454">
        <v>0</v>
      </c>
      <c r="R454">
        <v>0</v>
      </c>
      <c r="T454">
        <v>0</v>
      </c>
      <c r="U454">
        <v>0</v>
      </c>
      <c r="W454" t="s">
        <v>102</v>
      </c>
      <c r="X454" t="s">
        <v>275</v>
      </c>
      <c r="Z454" t="s">
        <v>1745</v>
      </c>
      <c r="AA454" t="s">
        <v>109</v>
      </c>
      <c r="AB454" t="s">
        <v>102</v>
      </c>
      <c r="AC454" t="s">
        <v>109</v>
      </c>
      <c r="AD454" t="s">
        <v>102</v>
      </c>
      <c r="AE454" t="s">
        <v>109</v>
      </c>
      <c r="AF454" t="s">
        <v>102</v>
      </c>
      <c r="AG454" t="s">
        <v>109</v>
      </c>
      <c r="AH454" t="s">
        <v>102</v>
      </c>
      <c r="AI454" t="s">
        <v>10178</v>
      </c>
      <c r="AJ454" t="s">
        <v>5268</v>
      </c>
      <c r="AK454" t="s">
        <v>5268</v>
      </c>
      <c r="AL454" t="s">
        <v>10179</v>
      </c>
      <c r="AM454" t="s">
        <v>10180</v>
      </c>
      <c r="AN454" t="s">
        <v>102</v>
      </c>
      <c r="AO454" t="s">
        <v>10181</v>
      </c>
      <c r="AP454" t="s">
        <v>10181</v>
      </c>
      <c r="AU454" t="s">
        <v>318</v>
      </c>
      <c r="AV454" t="s">
        <v>250</v>
      </c>
      <c r="AW454" t="s">
        <v>102</v>
      </c>
      <c r="AX454" t="s">
        <v>119</v>
      </c>
      <c r="BB454" t="s">
        <v>120</v>
      </c>
      <c r="BC454" t="s">
        <v>7266</v>
      </c>
      <c r="BD454" t="s">
        <v>730</v>
      </c>
      <c r="BE454" t="s">
        <v>622</v>
      </c>
      <c r="BF454" t="s">
        <v>730</v>
      </c>
      <c r="BG454" t="s">
        <v>124</v>
      </c>
      <c r="BH454" t="s">
        <v>232</v>
      </c>
      <c r="BI454" t="s">
        <v>126</v>
      </c>
      <c r="BJ454" t="s">
        <v>127</v>
      </c>
      <c r="BK454" t="s">
        <v>10182</v>
      </c>
      <c r="BL454" t="s">
        <v>10183</v>
      </c>
      <c r="BM454" t="s">
        <v>10184</v>
      </c>
      <c r="BN454" t="s">
        <v>3108</v>
      </c>
      <c r="BO454" t="s">
        <v>1733</v>
      </c>
      <c r="BP454" t="s">
        <v>258</v>
      </c>
      <c r="BQ454" t="s">
        <v>1734</v>
      </c>
      <c r="BR454" t="s">
        <v>1735</v>
      </c>
      <c r="BS454" t="s">
        <v>2525</v>
      </c>
      <c r="BT454" t="s">
        <v>2525</v>
      </c>
      <c r="BU454" t="s">
        <v>10185</v>
      </c>
      <c r="BV454" t="s">
        <v>10186</v>
      </c>
      <c r="BX454" t="s">
        <v>10187</v>
      </c>
      <c r="BY454" t="s">
        <v>10188</v>
      </c>
      <c r="BZ454" t="s">
        <v>10189</v>
      </c>
      <c r="CD454" t="s">
        <v>10190</v>
      </c>
      <c r="CE454" t="s">
        <v>10191</v>
      </c>
      <c r="CF454" t="s">
        <v>10192</v>
      </c>
      <c r="CG454" t="s">
        <v>102</v>
      </c>
      <c r="CH454" t="s">
        <v>7281</v>
      </c>
      <c r="CJ454" t="s">
        <v>7282</v>
      </c>
      <c r="CK454" t="s">
        <v>7281</v>
      </c>
      <c r="CL454" t="s">
        <v>7266</v>
      </c>
      <c r="CM454" t="s">
        <v>730</v>
      </c>
      <c r="CN454" t="s">
        <v>7282</v>
      </c>
      <c r="CP454" t="s">
        <v>7281</v>
      </c>
      <c r="CQ454" t="s">
        <v>7281</v>
      </c>
    </row>
    <row r="455" spans="1:95">
      <c r="A455" t="s">
        <v>337</v>
      </c>
      <c r="B455">
        <v>5017780</v>
      </c>
      <c r="C455" t="s">
        <v>10193</v>
      </c>
      <c r="F455" t="s">
        <v>95</v>
      </c>
      <c r="G455" t="s">
        <v>10194</v>
      </c>
      <c r="H455" t="s">
        <v>848</v>
      </c>
      <c r="I455" t="s">
        <v>98</v>
      </c>
      <c r="J455" t="s">
        <v>10195</v>
      </c>
      <c r="K455" t="s">
        <v>100</v>
      </c>
      <c r="L455">
        <v>313218</v>
      </c>
      <c r="M455">
        <v>369597</v>
      </c>
      <c r="N455">
        <v>0</v>
      </c>
      <c r="O455">
        <v>0</v>
      </c>
      <c r="Q455">
        <v>0</v>
      </c>
      <c r="R455">
        <v>0</v>
      </c>
      <c r="T455">
        <v>313218</v>
      </c>
      <c r="U455">
        <v>176</v>
      </c>
      <c r="V455" t="s">
        <v>4042</v>
      </c>
      <c r="W455" t="s">
        <v>102</v>
      </c>
      <c r="X455" t="s">
        <v>103</v>
      </c>
      <c r="Y455" t="s">
        <v>155</v>
      </c>
      <c r="AA455" t="s">
        <v>1905</v>
      </c>
      <c r="AB455" t="s">
        <v>10196</v>
      </c>
      <c r="AC455" t="s">
        <v>214</v>
      </c>
      <c r="AD455" t="s">
        <v>10196</v>
      </c>
      <c r="AE455" t="s">
        <v>501</v>
      </c>
      <c r="AF455" t="s">
        <v>10196</v>
      </c>
      <c r="AG455" t="s">
        <v>402</v>
      </c>
      <c r="AH455" t="s">
        <v>10196</v>
      </c>
      <c r="AI455" t="s">
        <v>102</v>
      </c>
      <c r="AJ455" t="s">
        <v>4806</v>
      </c>
      <c r="AK455" t="s">
        <v>3988</v>
      </c>
      <c r="AL455" t="s">
        <v>10197</v>
      </c>
      <c r="AM455" t="s">
        <v>10198</v>
      </c>
      <c r="AN455" t="s">
        <v>10199</v>
      </c>
      <c r="AO455" t="s">
        <v>3645</v>
      </c>
      <c r="AP455" t="s">
        <v>3645</v>
      </c>
      <c r="AU455" t="s">
        <v>102</v>
      </c>
      <c r="AW455" t="s">
        <v>102</v>
      </c>
      <c r="AX455" t="s">
        <v>119</v>
      </c>
      <c r="BA455" t="s">
        <v>250</v>
      </c>
      <c r="BB455" t="s">
        <v>120</v>
      </c>
      <c r="BC455" t="s">
        <v>10200</v>
      </c>
      <c r="BD455" t="s">
        <v>410</v>
      </c>
      <c r="BE455" t="s">
        <v>212</v>
      </c>
      <c r="BF455" t="s">
        <v>410</v>
      </c>
      <c r="BG455" t="s">
        <v>124</v>
      </c>
      <c r="BH455" t="s">
        <v>232</v>
      </c>
      <c r="BI455" t="s">
        <v>126</v>
      </c>
      <c r="BJ455" t="s">
        <v>127</v>
      </c>
      <c r="BK455" t="s">
        <v>10201</v>
      </c>
      <c r="BL455" t="s">
        <v>10202</v>
      </c>
      <c r="BM455" t="s">
        <v>10203</v>
      </c>
      <c r="BN455" t="s">
        <v>10194</v>
      </c>
      <c r="BO455" t="s">
        <v>896</v>
      </c>
      <c r="BP455" t="s">
        <v>132</v>
      </c>
      <c r="BQ455" t="s">
        <v>897</v>
      </c>
      <c r="BR455" t="s">
        <v>898</v>
      </c>
      <c r="BS455" t="s">
        <v>899</v>
      </c>
      <c r="BU455" t="s">
        <v>10204</v>
      </c>
      <c r="BV455" t="s">
        <v>10205</v>
      </c>
      <c r="BW455" t="s">
        <v>138</v>
      </c>
      <c r="BX455" t="s">
        <v>10206</v>
      </c>
      <c r="BY455" t="s">
        <v>10207</v>
      </c>
      <c r="BZ455" t="s">
        <v>10206</v>
      </c>
      <c r="CA455" t="s">
        <v>10205</v>
      </c>
      <c r="CB455" t="s">
        <v>10206</v>
      </c>
      <c r="CC455" t="s">
        <v>10207</v>
      </c>
      <c r="CD455" t="s">
        <v>10208</v>
      </c>
      <c r="CE455" t="s">
        <v>10206</v>
      </c>
      <c r="CF455" t="s">
        <v>10209</v>
      </c>
      <c r="CG455" t="s">
        <v>3968</v>
      </c>
      <c r="CH455" t="s">
        <v>10210</v>
      </c>
      <c r="CJ455" t="s">
        <v>10211</v>
      </c>
      <c r="CK455" t="s">
        <v>10210</v>
      </c>
      <c r="CL455" t="s">
        <v>10200</v>
      </c>
      <c r="CM455" t="s">
        <v>10076</v>
      </c>
      <c r="CN455" t="s">
        <v>10211</v>
      </c>
      <c r="CO455" t="s">
        <v>10212</v>
      </c>
      <c r="CP455" t="s">
        <v>10210</v>
      </c>
      <c r="CQ455" t="s">
        <v>10210</v>
      </c>
    </row>
    <row r="456" spans="1:95">
      <c r="A456" t="s">
        <v>337</v>
      </c>
      <c r="B456">
        <v>5017809</v>
      </c>
      <c r="C456" t="s">
        <v>10213</v>
      </c>
      <c r="D456" t="str">
        <f>VLOOKUP(B456,'2025'!B:C,2,0)</f>
        <v>Rohit</v>
      </c>
      <c r="F456" t="s">
        <v>95</v>
      </c>
      <c r="G456" t="s">
        <v>578</v>
      </c>
      <c r="H456" t="s">
        <v>2044</v>
      </c>
      <c r="I456" t="s">
        <v>98</v>
      </c>
      <c r="J456" t="s">
        <v>10214</v>
      </c>
      <c r="K456" t="s">
        <v>100</v>
      </c>
      <c r="L456">
        <v>346523</v>
      </c>
      <c r="M456">
        <v>346523</v>
      </c>
      <c r="N456">
        <v>179369</v>
      </c>
      <c r="O456">
        <v>186</v>
      </c>
      <c r="P456" t="s">
        <v>10215</v>
      </c>
      <c r="Q456">
        <v>167154</v>
      </c>
      <c r="R456">
        <v>200</v>
      </c>
      <c r="S456" t="s">
        <v>10216</v>
      </c>
      <c r="T456">
        <v>0</v>
      </c>
      <c r="U456">
        <v>0</v>
      </c>
      <c r="W456" t="s">
        <v>102</v>
      </c>
      <c r="X456" t="s">
        <v>103</v>
      </c>
      <c r="Y456" t="s">
        <v>155</v>
      </c>
      <c r="AA456" t="s">
        <v>1467</v>
      </c>
      <c r="AB456" t="s">
        <v>10217</v>
      </c>
      <c r="AC456" t="s">
        <v>2298</v>
      </c>
      <c r="AD456" t="s">
        <v>10218</v>
      </c>
      <c r="AE456" t="s">
        <v>158</v>
      </c>
      <c r="AF456" t="s">
        <v>10219</v>
      </c>
      <c r="AG456" t="s">
        <v>439</v>
      </c>
      <c r="AH456" t="s">
        <v>10219</v>
      </c>
      <c r="AI456" t="s">
        <v>10220</v>
      </c>
      <c r="AJ456" t="s">
        <v>1467</v>
      </c>
      <c r="AK456" t="s">
        <v>10221</v>
      </c>
      <c r="AL456" t="s">
        <v>10222</v>
      </c>
      <c r="AM456" t="s">
        <v>10223</v>
      </c>
      <c r="AN456" t="s">
        <v>10224</v>
      </c>
      <c r="AO456" t="s">
        <v>10225</v>
      </c>
      <c r="AP456" t="s">
        <v>10226</v>
      </c>
      <c r="AS456" t="s">
        <v>169</v>
      </c>
      <c r="AU456" t="s">
        <v>318</v>
      </c>
      <c r="AV456" t="s">
        <v>118</v>
      </c>
      <c r="AW456" t="s">
        <v>104</v>
      </c>
      <c r="AX456" t="s">
        <v>447</v>
      </c>
      <c r="AY456" t="s">
        <v>170</v>
      </c>
      <c r="AZ456" t="s">
        <v>118</v>
      </c>
      <c r="BB456" t="s">
        <v>1964</v>
      </c>
      <c r="BC456" t="s">
        <v>10227</v>
      </c>
      <c r="BD456" t="s">
        <v>1244</v>
      </c>
      <c r="BE456" t="s">
        <v>122</v>
      </c>
      <c r="BF456" t="s">
        <v>1244</v>
      </c>
      <c r="BG456" t="s">
        <v>124</v>
      </c>
      <c r="BH456" t="s">
        <v>214</v>
      </c>
      <c r="BI456" t="s">
        <v>625</v>
      </c>
      <c r="BJ456" t="s">
        <v>127</v>
      </c>
      <c r="BK456" t="s">
        <v>10228</v>
      </c>
      <c r="BL456" t="s">
        <v>10229</v>
      </c>
      <c r="BM456" t="s">
        <v>10230</v>
      </c>
      <c r="BN456" t="s">
        <v>578</v>
      </c>
      <c r="BO456" t="s">
        <v>9627</v>
      </c>
      <c r="BP456" t="s">
        <v>350</v>
      </c>
      <c r="BQ456" t="s">
        <v>9628</v>
      </c>
      <c r="BR456" t="s">
        <v>9629</v>
      </c>
      <c r="BS456" t="s">
        <v>10231</v>
      </c>
      <c r="BT456" t="s">
        <v>1075</v>
      </c>
      <c r="BU456" t="s">
        <v>10232</v>
      </c>
      <c r="BV456" t="s">
        <v>10233</v>
      </c>
      <c r="BW456" t="s">
        <v>138</v>
      </c>
      <c r="BX456" t="s">
        <v>10234</v>
      </c>
      <c r="BY456" t="s">
        <v>10235</v>
      </c>
      <c r="BZ456" t="s">
        <v>10234</v>
      </c>
      <c r="CA456" t="s">
        <v>10233</v>
      </c>
      <c r="CB456" t="s">
        <v>10234</v>
      </c>
      <c r="CC456" t="s">
        <v>10235</v>
      </c>
      <c r="CG456" t="s">
        <v>3499</v>
      </c>
      <c r="CH456" t="s">
        <v>10236</v>
      </c>
      <c r="CJ456" t="s">
        <v>10237</v>
      </c>
      <c r="CK456" t="s">
        <v>10238</v>
      </c>
      <c r="CL456" t="s">
        <v>10227</v>
      </c>
      <c r="CM456" t="s">
        <v>1244</v>
      </c>
      <c r="CN456" t="s">
        <v>10237</v>
      </c>
      <c r="CO456" t="s">
        <v>10239</v>
      </c>
      <c r="CP456" t="s">
        <v>10236</v>
      </c>
      <c r="CQ456" t="s">
        <v>10238</v>
      </c>
    </row>
    <row r="457" spans="1:95">
      <c r="A457" t="s">
        <v>337</v>
      </c>
      <c r="B457">
        <v>5017812</v>
      </c>
      <c r="C457" t="s">
        <v>10240</v>
      </c>
      <c r="D457" t="str">
        <f>VLOOKUP(B457,'2025'!B:C,2,0)</f>
        <v>Lopa/Sumit</v>
      </c>
      <c r="F457" t="s">
        <v>95</v>
      </c>
      <c r="G457" t="s">
        <v>2452</v>
      </c>
      <c r="H457" t="s">
        <v>1746</v>
      </c>
      <c r="I457" t="s">
        <v>98</v>
      </c>
      <c r="J457" t="s">
        <v>10241</v>
      </c>
      <c r="K457" t="s">
        <v>100</v>
      </c>
      <c r="L457">
        <v>194831</v>
      </c>
      <c r="M457">
        <v>210123</v>
      </c>
      <c r="N457">
        <v>40576</v>
      </c>
      <c r="O457">
        <v>68</v>
      </c>
      <c r="P457" t="s">
        <v>10242</v>
      </c>
      <c r="Q457">
        <v>69297</v>
      </c>
      <c r="R457">
        <v>67</v>
      </c>
      <c r="S457" t="s">
        <v>10243</v>
      </c>
      <c r="T457">
        <v>84958</v>
      </c>
      <c r="U457">
        <v>42</v>
      </c>
      <c r="V457" t="s">
        <v>10244</v>
      </c>
      <c r="W457" t="s">
        <v>102</v>
      </c>
      <c r="X457" t="s">
        <v>275</v>
      </c>
      <c r="Z457" t="s">
        <v>341</v>
      </c>
      <c r="AA457" t="s">
        <v>109</v>
      </c>
      <c r="AB457" t="s">
        <v>102</v>
      </c>
      <c r="AC457" t="s">
        <v>109</v>
      </c>
      <c r="AD457" t="s">
        <v>102</v>
      </c>
      <c r="AE457" t="s">
        <v>109</v>
      </c>
      <c r="AF457" t="s">
        <v>102</v>
      </c>
      <c r="AG457" t="s">
        <v>109</v>
      </c>
      <c r="AH457" t="s">
        <v>102</v>
      </c>
      <c r="AI457" t="s">
        <v>102</v>
      </c>
      <c r="AJ457" t="s">
        <v>2455</v>
      </c>
      <c r="AK457" t="s">
        <v>2455</v>
      </c>
      <c r="AL457" t="s">
        <v>10245</v>
      </c>
      <c r="AM457" t="s">
        <v>10246</v>
      </c>
      <c r="AN457" t="s">
        <v>10247</v>
      </c>
      <c r="AO457" t="s">
        <v>9818</v>
      </c>
      <c r="AP457" t="s">
        <v>10248</v>
      </c>
      <c r="AQ457" t="s">
        <v>343</v>
      </c>
      <c r="AU457" t="s">
        <v>318</v>
      </c>
      <c r="AV457" t="s">
        <v>118</v>
      </c>
      <c r="AW457" t="s">
        <v>155</v>
      </c>
      <c r="AX457" t="s">
        <v>119</v>
      </c>
      <c r="AY457" t="s">
        <v>170</v>
      </c>
      <c r="AZ457" t="s">
        <v>118</v>
      </c>
      <c r="BA457" t="s">
        <v>250</v>
      </c>
      <c r="BB457" t="s">
        <v>120</v>
      </c>
      <c r="BC457" t="s">
        <v>375</v>
      </c>
      <c r="BD457" t="s">
        <v>376</v>
      </c>
      <c r="BE457" t="s">
        <v>174</v>
      </c>
      <c r="BF457" t="s">
        <v>376</v>
      </c>
      <c r="BG457" t="s">
        <v>124</v>
      </c>
      <c r="BH457" t="s">
        <v>578</v>
      </c>
      <c r="BI457" t="s">
        <v>4836</v>
      </c>
      <c r="BJ457" t="s">
        <v>127</v>
      </c>
      <c r="BK457" t="s">
        <v>10249</v>
      </c>
      <c r="BL457" t="s">
        <v>10250</v>
      </c>
      <c r="BM457" t="s">
        <v>10251</v>
      </c>
      <c r="BN457" t="s">
        <v>2452</v>
      </c>
      <c r="BO457" t="s">
        <v>1831</v>
      </c>
      <c r="BP457" t="s">
        <v>180</v>
      </c>
      <c r="BQ457" t="s">
        <v>1832</v>
      </c>
      <c r="BR457" t="s">
        <v>1833</v>
      </c>
      <c r="BS457" t="s">
        <v>1858</v>
      </c>
      <c r="BT457" t="s">
        <v>5534</v>
      </c>
      <c r="BU457" t="s">
        <v>10252</v>
      </c>
      <c r="BV457" t="s">
        <v>10253</v>
      </c>
      <c r="BW457" t="s">
        <v>354</v>
      </c>
      <c r="BX457" t="s">
        <v>10254</v>
      </c>
      <c r="BZ457" t="s">
        <v>6802</v>
      </c>
      <c r="CA457" t="s">
        <v>10255</v>
      </c>
      <c r="CB457" t="s">
        <v>10256</v>
      </c>
      <c r="CC457" t="s">
        <v>10257</v>
      </c>
      <c r="CD457" t="s">
        <v>10255</v>
      </c>
      <c r="CE457" t="s">
        <v>10256</v>
      </c>
      <c r="CF457" t="s">
        <v>10257</v>
      </c>
      <c r="CG457" t="s">
        <v>10258</v>
      </c>
      <c r="CH457" t="s">
        <v>10259</v>
      </c>
      <c r="CJ457" t="s">
        <v>10260</v>
      </c>
      <c r="CK457" t="s">
        <v>10259</v>
      </c>
      <c r="CL457" t="s">
        <v>375</v>
      </c>
      <c r="CM457" t="s">
        <v>376</v>
      </c>
      <c r="CN457" t="s">
        <v>10260</v>
      </c>
      <c r="CO457" t="s">
        <v>6808</v>
      </c>
      <c r="CP457" t="s">
        <v>10259</v>
      </c>
      <c r="CQ457" t="s">
        <v>10259</v>
      </c>
    </row>
    <row r="458" spans="1:95">
      <c r="A458" t="s">
        <v>337</v>
      </c>
      <c r="B458">
        <v>5017818</v>
      </c>
      <c r="C458" t="s">
        <v>10261</v>
      </c>
      <c r="F458" t="s">
        <v>95</v>
      </c>
      <c r="G458" t="s">
        <v>5416</v>
      </c>
      <c r="H458" t="s">
        <v>848</v>
      </c>
      <c r="I458" t="s">
        <v>98</v>
      </c>
      <c r="J458" t="s">
        <v>10262</v>
      </c>
      <c r="K458" t="s">
        <v>100</v>
      </c>
      <c r="L458">
        <v>285186</v>
      </c>
      <c r="M458">
        <v>336519</v>
      </c>
      <c r="N458">
        <v>0</v>
      </c>
      <c r="O458">
        <v>0</v>
      </c>
      <c r="Q458">
        <v>0</v>
      </c>
      <c r="R458">
        <v>0</v>
      </c>
      <c r="T458">
        <v>285186</v>
      </c>
      <c r="U458">
        <v>232</v>
      </c>
      <c r="V458" t="s">
        <v>6858</v>
      </c>
      <c r="W458" t="s">
        <v>102</v>
      </c>
      <c r="X458" t="s">
        <v>103</v>
      </c>
      <c r="Y458" t="s">
        <v>398</v>
      </c>
      <c r="AA458" t="s">
        <v>5416</v>
      </c>
      <c r="AB458" t="s">
        <v>10263</v>
      </c>
      <c r="AC458" t="s">
        <v>197</v>
      </c>
      <c r="AD458" t="s">
        <v>10264</v>
      </c>
      <c r="AE458" t="s">
        <v>240</v>
      </c>
      <c r="AF458" t="s">
        <v>10264</v>
      </c>
      <c r="AG458" t="s">
        <v>109</v>
      </c>
      <c r="AH458" t="s">
        <v>102</v>
      </c>
      <c r="AI458" t="s">
        <v>10265</v>
      </c>
      <c r="AJ458" t="s">
        <v>716</v>
      </c>
      <c r="AK458" t="s">
        <v>7734</v>
      </c>
      <c r="AL458" t="s">
        <v>10266</v>
      </c>
      <c r="AM458" t="s">
        <v>10267</v>
      </c>
      <c r="AN458" t="s">
        <v>10268</v>
      </c>
      <c r="AO458" t="s">
        <v>10269</v>
      </c>
      <c r="AP458" t="s">
        <v>10269</v>
      </c>
      <c r="AU458" t="s">
        <v>102</v>
      </c>
      <c r="AW458" t="s">
        <v>102</v>
      </c>
      <c r="AX458" t="s">
        <v>119</v>
      </c>
      <c r="BA458" t="s">
        <v>250</v>
      </c>
      <c r="BB458" t="s">
        <v>8521</v>
      </c>
      <c r="BC458" t="s">
        <v>284</v>
      </c>
      <c r="BD458" t="s">
        <v>285</v>
      </c>
      <c r="BE458" t="s">
        <v>212</v>
      </c>
      <c r="BF458" t="s">
        <v>286</v>
      </c>
      <c r="BG458" t="s">
        <v>124</v>
      </c>
      <c r="BH458" t="s">
        <v>545</v>
      </c>
      <c r="BI458" t="s">
        <v>9770</v>
      </c>
      <c r="BJ458" t="s">
        <v>127</v>
      </c>
      <c r="BK458" t="s">
        <v>10270</v>
      </c>
      <c r="BL458" t="s">
        <v>10271</v>
      </c>
      <c r="BM458" t="s">
        <v>10272</v>
      </c>
      <c r="BN458" t="s">
        <v>5416</v>
      </c>
      <c r="BO458" t="s">
        <v>290</v>
      </c>
      <c r="BP458" t="s">
        <v>132</v>
      </c>
      <c r="BQ458" t="s">
        <v>291</v>
      </c>
      <c r="BR458" t="s">
        <v>292</v>
      </c>
      <c r="BS458" t="s">
        <v>3362</v>
      </c>
      <c r="BU458" t="s">
        <v>10273</v>
      </c>
      <c r="BV458" t="s">
        <v>6875</v>
      </c>
      <c r="BW458" t="s">
        <v>296</v>
      </c>
      <c r="BX458" t="s">
        <v>6876</v>
      </c>
      <c r="BY458" t="s">
        <v>6877</v>
      </c>
      <c r="BZ458" t="s">
        <v>6876</v>
      </c>
      <c r="CA458" t="s">
        <v>9804</v>
      </c>
      <c r="CB458" t="s">
        <v>9805</v>
      </c>
      <c r="CD458" t="s">
        <v>9806</v>
      </c>
      <c r="CE458" t="s">
        <v>9807</v>
      </c>
      <c r="CF458" t="s">
        <v>9808</v>
      </c>
      <c r="CG458" t="s">
        <v>102</v>
      </c>
      <c r="CH458" t="s">
        <v>9809</v>
      </c>
      <c r="CJ458" t="s">
        <v>6711</v>
      </c>
      <c r="CK458" t="s">
        <v>9809</v>
      </c>
      <c r="CL458" t="s">
        <v>284</v>
      </c>
      <c r="CM458" t="s">
        <v>285</v>
      </c>
      <c r="CN458" t="s">
        <v>6711</v>
      </c>
      <c r="CO458" t="s">
        <v>6886</v>
      </c>
      <c r="CP458" t="s">
        <v>9810</v>
      </c>
      <c r="CQ458" t="s">
        <v>9809</v>
      </c>
    </row>
    <row r="459" spans="1:95">
      <c r="A459" t="s">
        <v>337</v>
      </c>
      <c r="B459">
        <v>5017851</v>
      </c>
      <c r="C459" t="s">
        <v>10274</v>
      </c>
      <c r="E459" s="4" t="s">
        <v>17377</v>
      </c>
      <c r="F459" t="s">
        <v>95</v>
      </c>
      <c r="G459" t="s">
        <v>2455</v>
      </c>
      <c r="H459" t="s">
        <v>97</v>
      </c>
      <c r="I459" t="s">
        <v>676</v>
      </c>
      <c r="J459" t="s">
        <v>10275</v>
      </c>
      <c r="K459" t="s">
        <v>100</v>
      </c>
      <c r="L459">
        <v>172186</v>
      </c>
      <c r="M459">
        <v>172186</v>
      </c>
      <c r="N459">
        <v>172186</v>
      </c>
      <c r="O459">
        <v>1721</v>
      </c>
      <c r="P459" t="s">
        <v>10276</v>
      </c>
      <c r="Q459">
        <v>0</v>
      </c>
      <c r="R459">
        <v>0</v>
      </c>
      <c r="T459">
        <v>0</v>
      </c>
      <c r="U459">
        <v>0</v>
      </c>
      <c r="W459" t="s">
        <v>102</v>
      </c>
      <c r="X459" t="s">
        <v>103</v>
      </c>
      <c r="Y459" t="s">
        <v>398</v>
      </c>
      <c r="AA459" t="s">
        <v>2947</v>
      </c>
      <c r="AB459" t="s">
        <v>10277</v>
      </c>
      <c r="AC459" t="s">
        <v>2349</v>
      </c>
      <c r="AD459" t="s">
        <v>10278</v>
      </c>
      <c r="AE459" t="s">
        <v>2582</v>
      </c>
      <c r="AF459" t="s">
        <v>10278</v>
      </c>
      <c r="AG459" t="s">
        <v>109</v>
      </c>
      <c r="AH459" t="s">
        <v>102</v>
      </c>
      <c r="AI459" t="s">
        <v>102</v>
      </c>
      <c r="AJ459" t="s">
        <v>2082</v>
      </c>
      <c r="AK459" t="s">
        <v>2082</v>
      </c>
      <c r="AL459" t="s">
        <v>10279</v>
      </c>
      <c r="AM459" t="s">
        <v>10280</v>
      </c>
      <c r="AN459" t="s">
        <v>10281</v>
      </c>
      <c r="AO459" t="s">
        <v>10282</v>
      </c>
      <c r="AP459" t="s">
        <v>10282</v>
      </c>
      <c r="AU459" t="s">
        <v>117</v>
      </c>
      <c r="AV459" t="s">
        <v>118</v>
      </c>
      <c r="AW459" t="s">
        <v>102</v>
      </c>
      <c r="AX459" t="s">
        <v>119</v>
      </c>
      <c r="BB459" t="s">
        <v>209</v>
      </c>
      <c r="BC459" t="s">
        <v>1729</v>
      </c>
      <c r="BD459" t="s">
        <v>730</v>
      </c>
      <c r="BE459" t="s">
        <v>622</v>
      </c>
      <c r="BF459" t="s">
        <v>730</v>
      </c>
      <c r="BG459" t="s">
        <v>124</v>
      </c>
      <c r="BH459" t="s">
        <v>214</v>
      </c>
      <c r="BI459" t="s">
        <v>625</v>
      </c>
      <c r="BJ459" t="s">
        <v>127</v>
      </c>
      <c r="BK459" t="s">
        <v>10283</v>
      </c>
      <c r="BL459" t="s">
        <v>10284</v>
      </c>
      <c r="BM459" t="s">
        <v>10285</v>
      </c>
      <c r="BN459" t="s">
        <v>2455</v>
      </c>
      <c r="BO459" t="s">
        <v>3910</v>
      </c>
      <c r="BP459" t="s">
        <v>505</v>
      </c>
      <c r="BQ459" t="s">
        <v>3911</v>
      </c>
      <c r="BR459" t="s">
        <v>3912</v>
      </c>
      <c r="BS459" t="s">
        <v>2569</v>
      </c>
      <c r="BT459" t="s">
        <v>985</v>
      </c>
      <c r="BU459" t="s">
        <v>10286</v>
      </c>
      <c r="BV459" t="s">
        <v>10287</v>
      </c>
      <c r="BW459" t="s">
        <v>354</v>
      </c>
      <c r="BX459" t="s">
        <v>3911</v>
      </c>
      <c r="BY459" t="s">
        <v>10288</v>
      </c>
      <c r="BZ459" t="s">
        <v>10289</v>
      </c>
      <c r="CG459" t="s">
        <v>1538</v>
      </c>
      <c r="CH459" t="s">
        <v>10290</v>
      </c>
      <c r="CJ459" t="s">
        <v>1743</v>
      </c>
      <c r="CK459" t="s">
        <v>10290</v>
      </c>
      <c r="CL459" t="s">
        <v>1729</v>
      </c>
      <c r="CM459" t="s">
        <v>730</v>
      </c>
      <c r="CN459" t="s">
        <v>1743</v>
      </c>
      <c r="CP459" t="s">
        <v>10290</v>
      </c>
      <c r="CQ459" t="s">
        <v>10290</v>
      </c>
    </row>
    <row r="460" spans="1:95">
      <c r="A460" t="s">
        <v>337</v>
      </c>
      <c r="B460">
        <v>5017864</v>
      </c>
      <c r="C460" t="s">
        <v>10291</v>
      </c>
      <c r="E460" s="4" t="s">
        <v>17377</v>
      </c>
      <c r="F460" t="s">
        <v>95</v>
      </c>
      <c r="G460" t="s">
        <v>646</v>
      </c>
      <c r="H460" t="s">
        <v>97</v>
      </c>
      <c r="I460" t="s">
        <v>98</v>
      </c>
      <c r="J460" t="s">
        <v>10292</v>
      </c>
      <c r="K460" t="s">
        <v>100</v>
      </c>
      <c r="L460">
        <v>117360</v>
      </c>
      <c r="M460">
        <v>117360</v>
      </c>
      <c r="N460">
        <v>117360</v>
      </c>
      <c r="O460">
        <v>163</v>
      </c>
      <c r="P460" t="s">
        <v>995</v>
      </c>
      <c r="Q460">
        <v>0</v>
      </c>
      <c r="R460">
        <v>0</v>
      </c>
      <c r="T460">
        <v>0</v>
      </c>
      <c r="U460">
        <v>0</v>
      </c>
      <c r="W460" t="s">
        <v>102</v>
      </c>
      <c r="X460" t="s">
        <v>103</v>
      </c>
      <c r="Y460" t="s">
        <v>398</v>
      </c>
      <c r="AA460" t="s">
        <v>1600</v>
      </c>
      <c r="AB460" t="s">
        <v>10293</v>
      </c>
      <c r="AC460" t="s">
        <v>3926</v>
      </c>
      <c r="AD460" t="s">
        <v>10294</v>
      </c>
      <c r="AE460" t="s">
        <v>2304</v>
      </c>
      <c r="AF460" t="s">
        <v>10294</v>
      </c>
      <c r="AG460" t="s">
        <v>109</v>
      </c>
      <c r="AH460" t="s">
        <v>102</v>
      </c>
      <c r="AI460" t="s">
        <v>102</v>
      </c>
      <c r="AJ460" t="s">
        <v>7937</v>
      </c>
      <c r="AK460" t="s">
        <v>3232</v>
      </c>
      <c r="AL460" t="s">
        <v>10295</v>
      </c>
      <c r="AM460" t="s">
        <v>10295</v>
      </c>
      <c r="AN460" t="s">
        <v>102</v>
      </c>
      <c r="AO460" t="s">
        <v>4168</v>
      </c>
      <c r="AP460" t="s">
        <v>4168</v>
      </c>
      <c r="AU460" t="s">
        <v>117</v>
      </c>
      <c r="AV460" t="s">
        <v>118</v>
      </c>
      <c r="AW460" t="s">
        <v>102</v>
      </c>
      <c r="AX460" t="s">
        <v>119</v>
      </c>
      <c r="BB460" t="s">
        <v>1964</v>
      </c>
      <c r="BC460" t="s">
        <v>375</v>
      </c>
      <c r="BD460" t="s">
        <v>376</v>
      </c>
      <c r="BE460" t="s">
        <v>174</v>
      </c>
      <c r="BF460" t="s">
        <v>376</v>
      </c>
      <c r="BG460" t="s">
        <v>124</v>
      </c>
      <c r="BH460" t="s">
        <v>377</v>
      </c>
      <c r="BI460" t="s">
        <v>857</v>
      </c>
      <c r="BJ460" t="s">
        <v>127</v>
      </c>
      <c r="BK460" t="s">
        <v>10296</v>
      </c>
      <c r="BL460" t="s">
        <v>10297</v>
      </c>
      <c r="BM460" t="s">
        <v>10298</v>
      </c>
      <c r="BN460" t="s">
        <v>646</v>
      </c>
      <c r="BO460" t="s">
        <v>1831</v>
      </c>
      <c r="BP460" t="s">
        <v>180</v>
      </c>
      <c r="BQ460" t="s">
        <v>1832</v>
      </c>
      <c r="BR460" t="s">
        <v>1833</v>
      </c>
      <c r="BS460" t="s">
        <v>1834</v>
      </c>
      <c r="BT460" t="s">
        <v>384</v>
      </c>
      <c r="BU460" t="s">
        <v>10299</v>
      </c>
      <c r="BV460" t="s">
        <v>10300</v>
      </c>
      <c r="BW460" t="s">
        <v>138</v>
      </c>
      <c r="BX460" t="s">
        <v>10301</v>
      </c>
      <c r="BZ460" t="s">
        <v>10302</v>
      </c>
      <c r="CA460" t="s">
        <v>10300</v>
      </c>
      <c r="CB460" t="s">
        <v>10301</v>
      </c>
      <c r="CC460" t="s">
        <v>10303</v>
      </c>
      <c r="CD460" t="s">
        <v>10304</v>
      </c>
      <c r="CE460" t="s">
        <v>10301</v>
      </c>
      <c r="CF460" t="s">
        <v>10303</v>
      </c>
      <c r="CG460" t="s">
        <v>6370</v>
      </c>
      <c r="CH460" t="s">
        <v>10305</v>
      </c>
      <c r="CJ460" t="s">
        <v>10306</v>
      </c>
      <c r="CK460" t="s">
        <v>10307</v>
      </c>
      <c r="CL460" t="s">
        <v>375</v>
      </c>
      <c r="CM460" t="s">
        <v>376</v>
      </c>
      <c r="CN460" t="s">
        <v>10306</v>
      </c>
      <c r="CP460" t="s">
        <v>10305</v>
      </c>
      <c r="CQ460" t="s">
        <v>10307</v>
      </c>
    </row>
    <row r="461" spans="1:95">
      <c r="A461" t="s">
        <v>337</v>
      </c>
      <c r="B461">
        <v>5017915</v>
      </c>
      <c r="C461" t="s">
        <v>10308</v>
      </c>
      <c r="D461" t="str">
        <f>VLOOKUP(B461,'2025'!B:C,2,0)</f>
        <v>Jasper Jessie</v>
      </c>
      <c r="F461" t="s">
        <v>95</v>
      </c>
      <c r="G461" t="s">
        <v>2079</v>
      </c>
      <c r="H461" t="s">
        <v>848</v>
      </c>
      <c r="I461" t="s">
        <v>98</v>
      </c>
      <c r="J461" t="s">
        <v>10309</v>
      </c>
      <c r="K461" t="s">
        <v>100</v>
      </c>
      <c r="L461">
        <v>356967</v>
      </c>
      <c r="M461">
        <v>421221</v>
      </c>
      <c r="N461">
        <v>0</v>
      </c>
      <c r="O461">
        <v>0</v>
      </c>
      <c r="Q461">
        <v>0</v>
      </c>
      <c r="R461">
        <v>0</v>
      </c>
      <c r="T461">
        <v>356967</v>
      </c>
      <c r="U461">
        <v>117</v>
      </c>
      <c r="V461" t="s">
        <v>1652</v>
      </c>
      <c r="W461" t="s">
        <v>102</v>
      </c>
      <c r="X461" t="s">
        <v>275</v>
      </c>
      <c r="Z461" t="s">
        <v>1199</v>
      </c>
      <c r="AA461" t="s">
        <v>109</v>
      </c>
      <c r="AB461" t="s">
        <v>102</v>
      </c>
      <c r="AC461" t="s">
        <v>109</v>
      </c>
      <c r="AD461" t="s">
        <v>102</v>
      </c>
      <c r="AE461" t="s">
        <v>109</v>
      </c>
      <c r="AF461" t="s">
        <v>102</v>
      </c>
      <c r="AG461" t="s">
        <v>109</v>
      </c>
      <c r="AH461" t="s">
        <v>102</v>
      </c>
      <c r="AI461" t="s">
        <v>10310</v>
      </c>
      <c r="AJ461" t="s">
        <v>2364</v>
      </c>
      <c r="AK461" t="s">
        <v>2364</v>
      </c>
      <c r="AL461" t="s">
        <v>10311</v>
      </c>
      <c r="AM461" t="s">
        <v>10312</v>
      </c>
      <c r="AN461" t="s">
        <v>102</v>
      </c>
      <c r="AO461" t="s">
        <v>116</v>
      </c>
      <c r="AP461" t="s">
        <v>116</v>
      </c>
      <c r="AU461" t="s">
        <v>102</v>
      </c>
      <c r="AW461" t="s">
        <v>102</v>
      </c>
      <c r="AX461" t="s">
        <v>119</v>
      </c>
      <c r="BA461" t="s">
        <v>250</v>
      </c>
      <c r="BB461" t="s">
        <v>120</v>
      </c>
      <c r="BC461" t="s">
        <v>7718</v>
      </c>
      <c r="BD461" t="s">
        <v>211</v>
      </c>
      <c r="BE461" t="s">
        <v>212</v>
      </c>
      <c r="BF461" t="s">
        <v>213</v>
      </c>
      <c r="BG461" t="s">
        <v>124</v>
      </c>
      <c r="BH461" t="s">
        <v>2079</v>
      </c>
      <c r="BI461" t="s">
        <v>1408</v>
      </c>
      <c r="BJ461" t="s">
        <v>127</v>
      </c>
      <c r="BK461" t="s">
        <v>10313</v>
      </c>
      <c r="BL461" t="s">
        <v>10314</v>
      </c>
      <c r="BM461" t="s">
        <v>10315</v>
      </c>
      <c r="BN461" t="s">
        <v>2079</v>
      </c>
      <c r="BO461" t="s">
        <v>3443</v>
      </c>
      <c r="BP461" t="s">
        <v>180</v>
      </c>
      <c r="BQ461" t="s">
        <v>3444</v>
      </c>
      <c r="BR461" t="s">
        <v>3445</v>
      </c>
      <c r="BS461" t="s">
        <v>10316</v>
      </c>
      <c r="BU461" t="s">
        <v>10317</v>
      </c>
      <c r="BV461" t="s">
        <v>10318</v>
      </c>
      <c r="BW461" t="s">
        <v>138</v>
      </c>
      <c r="BX461" t="s">
        <v>10319</v>
      </c>
      <c r="BY461" t="s">
        <v>10320</v>
      </c>
      <c r="BZ461" t="s">
        <v>10319</v>
      </c>
      <c r="CG461" t="s">
        <v>6290</v>
      </c>
      <c r="CH461" t="s">
        <v>10321</v>
      </c>
      <c r="CJ461" t="s">
        <v>7826</v>
      </c>
      <c r="CK461" t="s">
        <v>10321</v>
      </c>
      <c r="CL461" t="s">
        <v>7718</v>
      </c>
      <c r="CM461" t="s">
        <v>211</v>
      </c>
      <c r="CN461" t="s">
        <v>7826</v>
      </c>
      <c r="CP461" t="s">
        <v>10321</v>
      </c>
      <c r="CQ461" t="s">
        <v>10321</v>
      </c>
    </row>
    <row r="462" spans="1:95">
      <c r="A462" t="s">
        <v>337</v>
      </c>
      <c r="B462">
        <v>5017936</v>
      </c>
      <c r="C462" t="s">
        <v>10322</v>
      </c>
      <c r="D462" t="str">
        <f>VLOOKUP(B462,'2025'!B:C,2,0)</f>
        <v>Preeti Kapoor</v>
      </c>
      <c r="F462" t="s">
        <v>95</v>
      </c>
      <c r="G462" t="s">
        <v>10323</v>
      </c>
      <c r="H462" t="s">
        <v>152</v>
      </c>
      <c r="I462" t="s">
        <v>98</v>
      </c>
      <c r="J462" t="s">
        <v>10324</v>
      </c>
      <c r="K462" t="s">
        <v>100</v>
      </c>
      <c r="L462">
        <v>1440846</v>
      </c>
      <c r="M462">
        <v>1440846</v>
      </c>
      <c r="N462">
        <v>0</v>
      </c>
      <c r="O462">
        <v>0</v>
      </c>
      <c r="Q462">
        <v>1440846</v>
      </c>
      <c r="R462">
        <v>1247</v>
      </c>
      <c r="S462" t="s">
        <v>10325</v>
      </c>
      <c r="T462">
        <v>0</v>
      </c>
      <c r="U462">
        <v>0</v>
      </c>
      <c r="W462" t="s">
        <v>102</v>
      </c>
      <c r="X462" t="s">
        <v>275</v>
      </c>
      <c r="Z462" t="s">
        <v>10326</v>
      </c>
      <c r="AA462" t="s">
        <v>109</v>
      </c>
      <c r="AB462" t="s">
        <v>102</v>
      </c>
      <c r="AC462" t="s">
        <v>109</v>
      </c>
      <c r="AD462" t="s">
        <v>102</v>
      </c>
      <c r="AE462" t="s">
        <v>109</v>
      </c>
      <c r="AF462" t="s">
        <v>102</v>
      </c>
      <c r="AG462" t="s">
        <v>109</v>
      </c>
      <c r="AH462" t="s">
        <v>102</v>
      </c>
      <c r="AI462" t="s">
        <v>10327</v>
      </c>
      <c r="AJ462" t="s">
        <v>10328</v>
      </c>
      <c r="AK462" t="s">
        <v>1781</v>
      </c>
      <c r="AL462" t="s">
        <v>10329</v>
      </c>
      <c r="AM462" t="s">
        <v>10330</v>
      </c>
      <c r="AN462" t="s">
        <v>10331</v>
      </c>
      <c r="AO462" t="s">
        <v>10332</v>
      </c>
      <c r="AP462" t="s">
        <v>10332</v>
      </c>
      <c r="AU462" t="s">
        <v>102</v>
      </c>
      <c r="AW462" t="s">
        <v>801</v>
      </c>
      <c r="AX462" t="s">
        <v>119</v>
      </c>
      <c r="AY462" t="s">
        <v>170</v>
      </c>
      <c r="AZ462" t="s">
        <v>118</v>
      </c>
      <c r="BB462" t="s">
        <v>1964</v>
      </c>
      <c r="BC462" t="s">
        <v>623</v>
      </c>
      <c r="BD462" t="s">
        <v>621</v>
      </c>
      <c r="BE462" t="s">
        <v>622</v>
      </c>
      <c r="BF462" t="s">
        <v>623</v>
      </c>
      <c r="BG462" t="s">
        <v>124</v>
      </c>
      <c r="BH462" t="s">
        <v>232</v>
      </c>
      <c r="BI462" t="s">
        <v>126</v>
      </c>
      <c r="BJ462" t="s">
        <v>127</v>
      </c>
      <c r="BK462" t="s">
        <v>10333</v>
      </c>
      <c r="BL462" t="s">
        <v>10334</v>
      </c>
      <c r="BM462" t="s">
        <v>10335</v>
      </c>
      <c r="BN462" t="s">
        <v>10323</v>
      </c>
      <c r="BO462" t="s">
        <v>4326</v>
      </c>
      <c r="BP462" t="s">
        <v>132</v>
      </c>
      <c r="BQ462" t="s">
        <v>4327</v>
      </c>
      <c r="BR462" t="s">
        <v>4328</v>
      </c>
      <c r="BS462" t="s">
        <v>507</v>
      </c>
      <c r="BU462" t="s">
        <v>10336</v>
      </c>
      <c r="BV462" t="s">
        <v>10337</v>
      </c>
      <c r="BW462" t="s">
        <v>138</v>
      </c>
      <c r="BX462" t="s">
        <v>10338</v>
      </c>
      <c r="BY462" t="s">
        <v>10339</v>
      </c>
      <c r="BZ462" t="s">
        <v>10340</v>
      </c>
      <c r="CA462" t="s">
        <v>10337</v>
      </c>
      <c r="CB462" t="s">
        <v>10340</v>
      </c>
      <c r="CC462" t="s">
        <v>3174</v>
      </c>
      <c r="CD462" t="s">
        <v>10341</v>
      </c>
      <c r="CE462" t="s">
        <v>10342</v>
      </c>
      <c r="CF462" t="s">
        <v>10343</v>
      </c>
      <c r="CG462" t="s">
        <v>10344</v>
      </c>
      <c r="CH462" t="s">
        <v>10345</v>
      </c>
      <c r="CJ462" t="s">
        <v>3177</v>
      </c>
      <c r="CK462" t="s">
        <v>10345</v>
      </c>
      <c r="CL462" t="s">
        <v>623</v>
      </c>
      <c r="CM462" t="s">
        <v>621</v>
      </c>
      <c r="CN462" t="s">
        <v>3177</v>
      </c>
      <c r="CO462" t="s">
        <v>3178</v>
      </c>
      <c r="CP462" t="s">
        <v>10345</v>
      </c>
      <c r="CQ462" t="s">
        <v>10345</v>
      </c>
    </row>
    <row r="463" spans="1:95">
      <c r="A463" t="s">
        <v>337</v>
      </c>
      <c r="B463">
        <v>5017937</v>
      </c>
      <c r="C463" t="s">
        <v>10346</v>
      </c>
      <c r="E463" s="4" t="s">
        <v>17377</v>
      </c>
      <c r="F463" t="s">
        <v>95</v>
      </c>
      <c r="G463" t="s">
        <v>5774</v>
      </c>
      <c r="H463" t="s">
        <v>97</v>
      </c>
      <c r="I463" t="s">
        <v>98</v>
      </c>
      <c r="J463" t="s">
        <v>10347</v>
      </c>
      <c r="K463" t="s">
        <v>100</v>
      </c>
      <c r="L463">
        <v>169424</v>
      </c>
      <c r="M463">
        <v>169424</v>
      </c>
      <c r="N463">
        <v>169424</v>
      </c>
      <c r="O463">
        <v>113</v>
      </c>
      <c r="P463" t="s">
        <v>10348</v>
      </c>
      <c r="Q463">
        <v>0</v>
      </c>
      <c r="R463">
        <v>0</v>
      </c>
      <c r="T463">
        <v>0</v>
      </c>
      <c r="U463">
        <v>0</v>
      </c>
      <c r="W463" t="s">
        <v>102</v>
      </c>
      <c r="X463" t="s">
        <v>103</v>
      </c>
      <c r="Y463" t="s">
        <v>104</v>
      </c>
      <c r="AA463" t="s">
        <v>716</v>
      </c>
      <c r="AB463" t="s">
        <v>10349</v>
      </c>
      <c r="AC463" t="s">
        <v>8254</v>
      </c>
      <c r="AD463" t="s">
        <v>10350</v>
      </c>
      <c r="AE463" t="s">
        <v>109</v>
      </c>
      <c r="AF463" t="s">
        <v>102</v>
      </c>
      <c r="AG463" t="s">
        <v>109</v>
      </c>
      <c r="AH463" t="s">
        <v>102</v>
      </c>
      <c r="AI463" t="s">
        <v>10351</v>
      </c>
      <c r="AJ463" t="s">
        <v>1848</v>
      </c>
      <c r="AK463" t="s">
        <v>1722</v>
      </c>
      <c r="AL463" t="s">
        <v>10352</v>
      </c>
      <c r="AM463" t="s">
        <v>10353</v>
      </c>
      <c r="AN463" t="s">
        <v>10354</v>
      </c>
      <c r="AO463" t="s">
        <v>10355</v>
      </c>
      <c r="AP463" t="s">
        <v>10355</v>
      </c>
      <c r="AU463" t="s">
        <v>117</v>
      </c>
      <c r="AV463" t="s">
        <v>118</v>
      </c>
      <c r="AW463" t="s">
        <v>102</v>
      </c>
      <c r="AX463" t="s">
        <v>119</v>
      </c>
      <c r="BB463" t="s">
        <v>1964</v>
      </c>
      <c r="BC463" t="s">
        <v>623</v>
      </c>
      <c r="BD463" t="s">
        <v>621</v>
      </c>
      <c r="BE463" t="s">
        <v>622</v>
      </c>
      <c r="BF463" t="s">
        <v>623</v>
      </c>
      <c r="BG463" t="s">
        <v>124</v>
      </c>
      <c r="BH463" t="s">
        <v>892</v>
      </c>
      <c r="BI463" t="s">
        <v>126</v>
      </c>
      <c r="BJ463" t="s">
        <v>127</v>
      </c>
      <c r="BK463" t="s">
        <v>10356</v>
      </c>
      <c r="BL463" t="s">
        <v>10357</v>
      </c>
      <c r="BM463" t="s">
        <v>10358</v>
      </c>
      <c r="BN463" t="s">
        <v>5774</v>
      </c>
      <c r="BO463" t="s">
        <v>1670</v>
      </c>
      <c r="BP463" t="s">
        <v>258</v>
      </c>
      <c r="BQ463" t="s">
        <v>1671</v>
      </c>
      <c r="BR463" t="s">
        <v>1672</v>
      </c>
      <c r="BS463" t="s">
        <v>507</v>
      </c>
      <c r="BT463" t="s">
        <v>1279</v>
      </c>
      <c r="BU463" t="s">
        <v>10359</v>
      </c>
      <c r="BV463" t="s">
        <v>10360</v>
      </c>
      <c r="BW463" t="s">
        <v>138</v>
      </c>
      <c r="BX463" t="s">
        <v>10361</v>
      </c>
      <c r="BY463" t="s">
        <v>10362</v>
      </c>
      <c r="BZ463" t="s">
        <v>10361</v>
      </c>
      <c r="CA463" t="s">
        <v>10360</v>
      </c>
      <c r="CB463" t="s">
        <v>10361</v>
      </c>
      <c r="CC463" t="s">
        <v>10362</v>
      </c>
      <c r="CD463" t="s">
        <v>10363</v>
      </c>
      <c r="CE463" t="s">
        <v>10361</v>
      </c>
      <c r="CF463" t="s">
        <v>10364</v>
      </c>
      <c r="CG463" t="s">
        <v>10365</v>
      </c>
      <c r="CH463" t="s">
        <v>10366</v>
      </c>
      <c r="CJ463" t="s">
        <v>10367</v>
      </c>
      <c r="CK463" t="s">
        <v>10366</v>
      </c>
      <c r="CL463" t="s">
        <v>623</v>
      </c>
      <c r="CM463" t="s">
        <v>621</v>
      </c>
      <c r="CN463" t="s">
        <v>10367</v>
      </c>
      <c r="CO463" t="s">
        <v>10368</v>
      </c>
      <c r="CP463" t="s">
        <v>10366</v>
      </c>
      <c r="CQ463" t="s">
        <v>10366</v>
      </c>
    </row>
    <row r="464" spans="1:95">
      <c r="A464" t="s">
        <v>337</v>
      </c>
      <c r="B464">
        <v>5017967</v>
      </c>
      <c r="C464" t="s">
        <v>10369</v>
      </c>
      <c r="E464" s="4" t="s">
        <v>17377</v>
      </c>
      <c r="F464" t="s">
        <v>95</v>
      </c>
      <c r="G464" t="s">
        <v>365</v>
      </c>
      <c r="H464" t="s">
        <v>152</v>
      </c>
      <c r="I464" t="s">
        <v>98</v>
      </c>
      <c r="J464" t="s">
        <v>10370</v>
      </c>
      <c r="K464" t="s">
        <v>100</v>
      </c>
      <c r="L464">
        <v>182610</v>
      </c>
      <c r="M464">
        <v>182610</v>
      </c>
      <c r="N464">
        <v>0</v>
      </c>
      <c r="O464">
        <v>0</v>
      </c>
      <c r="Q464">
        <v>182610</v>
      </c>
      <c r="R464">
        <v>83</v>
      </c>
      <c r="S464" t="s">
        <v>10371</v>
      </c>
      <c r="T464">
        <v>0</v>
      </c>
      <c r="U464">
        <v>0</v>
      </c>
      <c r="W464" t="s">
        <v>102</v>
      </c>
      <c r="X464" t="s">
        <v>275</v>
      </c>
      <c r="Z464" t="s">
        <v>96</v>
      </c>
      <c r="AA464" t="s">
        <v>109</v>
      </c>
      <c r="AB464" t="s">
        <v>102</v>
      </c>
      <c r="AC464" t="s">
        <v>109</v>
      </c>
      <c r="AD464" t="s">
        <v>102</v>
      </c>
      <c r="AE464" t="s">
        <v>109</v>
      </c>
      <c r="AF464" t="s">
        <v>102</v>
      </c>
      <c r="AG464" t="s">
        <v>109</v>
      </c>
      <c r="AH464" t="s">
        <v>102</v>
      </c>
      <c r="AI464" t="s">
        <v>102</v>
      </c>
      <c r="AJ464" t="s">
        <v>6079</v>
      </c>
      <c r="AK464" t="s">
        <v>2582</v>
      </c>
      <c r="AL464" t="s">
        <v>10372</v>
      </c>
      <c r="AM464" t="s">
        <v>10373</v>
      </c>
      <c r="AN464" t="s">
        <v>10374</v>
      </c>
      <c r="AO464" t="s">
        <v>10375</v>
      </c>
      <c r="AP464" t="s">
        <v>10375</v>
      </c>
      <c r="AU464" t="s">
        <v>102</v>
      </c>
      <c r="AW464" t="s">
        <v>155</v>
      </c>
      <c r="AX464" t="s">
        <v>447</v>
      </c>
      <c r="AY464" t="s">
        <v>170</v>
      </c>
      <c r="AZ464" t="s">
        <v>118</v>
      </c>
      <c r="BB464" t="s">
        <v>120</v>
      </c>
      <c r="BC464" t="s">
        <v>1729</v>
      </c>
      <c r="BD464" t="s">
        <v>730</v>
      </c>
      <c r="BE464" t="s">
        <v>622</v>
      </c>
      <c r="BF464" t="s">
        <v>730</v>
      </c>
      <c r="BG464" t="s">
        <v>124</v>
      </c>
      <c r="BH464" t="s">
        <v>232</v>
      </c>
      <c r="BI464" t="s">
        <v>126</v>
      </c>
      <c r="BJ464" t="s">
        <v>127</v>
      </c>
      <c r="BK464" t="s">
        <v>10376</v>
      </c>
      <c r="BL464" t="s">
        <v>10377</v>
      </c>
      <c r="BM464" t="s">
        <v>10378</v>
      </c>
      <c r="BN464" t="s">
        <v>365</v>
      </c>
      <c r="BO464" t="s">
        <v>3910</v>
      </c>
      <c r="BP464" t="s">
        <v>350</v>
      </c>
      <c r="BQ464" t="s">
        <v>3911</v>
      </c>
      <c r="BR464" t="s">
        <v>3912</v>
      </c>
      <c r="BS464" t="s">
        <v>2569</v>
      </c>
      <c r="BT464" t="s">
        <v>2525</v>
      </c>
      <c r="BU464" t="s">
        <v>10379</v>
      </c>
      <c r="BV464" t="s">
        <v>10380</v>
      </c>
      <c r="BW464" t="s">
        <v>598</v>
      </c>
      <c r="BX464" t="s">
        <v>10381</v>
      </c>
      <c r="BY464" t="s">
        <v>10382</v>
      </c>
      <c r="CA464" t="s">
        <v>10383</v>
      </c>
      <c r="CB464" t="s">
        <v>10384</v>
      </c>
      <c r="CC464" t="s">
        <v>10385</v>
      </c>
      <c r="CD464" t="s">
        <v>10386</v>
      </c>
      <c r="CE464" t="s">
        <v>10384</v>
      </c>
      <c r="CF464" t="s">
        <v>10387</v>
      </c>
      <c r="CG464" t="s">
        <v>102</v>
      </c>
      <c r="CH464" t="s">
        <v>10388</v>
      </c>
      <c r="CJ464" t="s">
        <v>1743</v>
      </c>
      <c r="CK464" t="s">
        <v>10389</v>
      </c>
      <c r="CL464" t="s">
        <v>3714</v>
      </c>
      <c r="CM464" t="s">
        <v>730</v>
      </c>
      <c r="CN464" t="s">
        <v>10390</v>
      </c>
      <c r="CP464" t="s">
        <v>10391</v>
      </c>
      <c r="CQ464" t="s">
        <v>10389</v>
      </c>
    </row>
    <row r="465" spans="1:95">
      <c r="A465" t="s">
        <v>337</v>
      </c>
      <c r="B465">
        <v>5017989</v>
      </c>
      <c r="C465" t="s">
        <v>10392</v>
      </c>
      <c r="D465" t="str">
        <f>VLOOKUP(B465,'2025'!B:C,2,0)</f>
        <v>Unnati Sharma</v>
      </c>
      <c r="F465" t="s">
        <v>95</v>
      </c>
      <c r="G465" t="s">
        <v>6079</v>
      </c>
      <c r="H465" t="s">
        <v>848</v>
      </c>
      <c r="I465" t="s">
        <v>98</v>
      </c>
      <c r="J465" t="s">
        <v>10393</v>
      </c>
      <c r="K465" t="s">
        <v>100</v>
      </c>
      <c r="L465">
        <v>136426</v>
      </c>
      <c r="M465">
        <v>160983</v>
      </c>
      <c r="N465">
        <v>0</v>
      </c>
      <c r="O465">
        <v>0</v>
      </c>
      <c r="Q465">
        <v>0</v>
      </c>
      <c r="R465">
        <v>0</v>
      </c>
      <c r="T465">
        <v>136426</v>
      </c>
      <c r="U465">
        <v>107</v>
      </c>
      <c r="V465" t="s">
        <v>10394</v>
      </c>
      <c r="W465" t="s">
        <v>102</v>
      </c>
      <c r="X465" t="s">
        <v>275</v>
      </c>
      <c r="Z465" t="s">
        <v>1818</v>
      </c>
      <c r="AA465" t="s">
        <v>109</v>
      </c>
      <c r="AB465" t="s">
        <v>102</v>
      </c>
      <c r="AC465" t="s">
        <v>109</v>
      </c>
      <c r="AD465" t="s">
        <v>102</v>
      </c>
      <c r="AE465" t="s">
        <v>109</v>
      </c>
      <c r="AF465" t="s">
        <v>102</v>
      </c>
      <c r="AG465" t="s">
        <v>109</v>
      </c>
      <c r="AH465" t="s">
        <v>102</v>
      </c>
      <c r="AI465" t="s">
        <v>102</v>
      </c>
      <c r="AJ465" t="s">
        <v>4374</v>
      </c>
      <c r="AK465" t="s">
        <v>4374</v>
      </c>
      <c r="AL465" t="s">
        <v>10395</v>
      </c>
      <c r="AM465" t="s">
        <v>10396</v>
      </c>
      <c r="AN465" t="s">
        <v>10397</v>
      </c>
      <c r="AO465" t="s">
        <v>10398</v>
      </c>
      <c r="AP465" t="s">
        <v>10398</v>
      </c>
      <c r="AU465" t="s">
        <v>102</v>
      </c>
      <c r="AW465" t="s">
        <v>102</v>
      </c>
      <c r="AX465" t="s">
        <v>119</v>
      </c>
      <c r="BA465" t="s">
        <v>250</v>
      </c>
      <c r="BB465" t="s">
        <v>10399</v>
      </c>
      <c r="BC465" t="s">
        <v>1729</v>
      </c>
      <c r="BD465" t="s">
        <v>730</v>
      </c>
      <c r="BE465" t="s">
        <v>622</v>
      </c>
      <c r="BF465" t="s">
        <v>730</v>
      </c>
      <c r="BG465" t="s">
        <v>124</v>
      </c>
      <c r="BH465" t="s">
        <v>214</v>
      </c>
      <c r="BI465" t="s">
        <v>8708</v>
      </c>
      <c r="BJ465" t="s">
        <v>127</v>
      </c>
      <c r="BK465" t="s">
        <v>10400</v>
      </c>
      <c r="BL465" t="s">
        <v>10401</v>
      </c>
      <c r="BM465" t="s">
        <v>10402</v>
      </c>
      <c r="BN465" t="s">
        <v>6079</v>
      </c>
      <c r="BO465" t="s">
        <v>2262</v>
      </c>
      <c r="BP465" t="s">
        <v>350</v>
      </c>
      <c r="BQ465" t="s">
        <v>2263</v>
      </c>
      <c r="BR465" t="s">
        <v>2264</v>
      </c>
      <c r="BS465" t="s">
        <v>2569</v>
      </c>
      <c r="BU465" t="s">
        <v>10403</v>
      </c>
      <c r="BV465" t="s">
        <v>10404</v>
      </c>
      <c r="BW465" t="s">
        <v>354</v>
      </c>
      <c r="BX465" t="s">
        <v>10405</v>
      </c>
      <c r="BY465" t="s">
        <v>10406</v>
      </c>
      <c r="BZ465" t="s">
        <v>10407</v>
      </c>
      <c r="CG465" t="s">
        <v>5007</v>
      </c>
      <c r="CH465" t="s">
        <v>10408</v>
      </c>
      <c r="CJ465" t="s">
        <v>1743</v>
      </c>
      <c r="CK465" t="s">
        <v>10409</v>
      </c>
      <c r="CL465" t="s">
        <v>1729</v>
      </c>
      <c r="CM465" t="s">
        <v>730</v>
      </c>
      <c r="CN465" t="s">
        <v>1743</v>
      </c>
      <c r="CP465" t="s">
        <v>10408</v>
      </c>
      <c r="CQ465" t="s">
        <v>10409</v>
      </c>
    </row>
    <row r="466" spans="1:95">
      <c r="A466" t="s">
        <v>337</v>
      </c>
      <c r="B466">
        <v>5017990</v>
      </c>
      <c r="C466" t="s">
        <v>10410</v>
      </c>
      <c r="D466" t="str">
        <f>VLOOKUP(B466,'2025'!B:C,2,0)</f>
        <v>Unnati Sharma</v>
      </c>
      <c r="F466" t="s">
        <v>95</v>
      </c>
      <c r="G466" t="s">
        <v>6079</v>
      </c>
      <c r="H466" t="s">
        <v>848</v>
      </c>
      <c r="I466" t="s">
        <v>98</v>
      </c>
      <c r="J466" t="s">
        <v>10411</v>
      </c>
      <c r="K466" t="s">
        <v>100</v>
      </c>
      <c r="L466">
        <v>104551</v>
      </c>
      <c r="M466">
        <v>123370</v>
      </c>
      <c r="N466">
        <v>0</v>
      </c>
      <c r="O466">
        <v>0</v>
      </c>
      <c r="Q466">
        <v>0</v>
      </c>
      <c r="R466">
        <v>0</v>
      </c>
      <c r="T466">
        <v>104551</v>
      </c>
      <c r="U466">
        <v>82</v>
      </c>
      <c r="V466" t="s">
        <v>10394</v>
      </c>
      <c r="W466" t="s">
        <v>102</v>
      </c>
      <c r="X466" t="s">
        <v>275</v>
      </c>
      <c r="Z466" t="s">
        <v>1818</v>
      </c>
      <c r="AA466" t="s">
        <v>109</v>
      </c>
      <c r="AB466" t="s">
        <v>102</v>
      </c>
      <c r="AC466" t="s">
        <v>109</v>
      </c>
      <c r="AD466" t="s">
        <v>102</v>
      </c>
      <c r="AE466" t="s">
        <v>109</v>
      </c>
      <c r="AF466" t="s">
        <v>102</v>
      </c>
      <c r="AG466" t="s">
        <v>109</v>
      </c>
      <c r="AH466" t="s">
        <v>102</v>
      </c>
      <c r="AI466" t="s">
        <v>102</v>
      </c>
      <c r="AJ466" t="s">
        <v>4374</v>
      </c>
      <c r="AK466" t="s">
        <v>4374</v>
      </c>
      <c r="AL466" t="s">
        <v>10412</v>
      </c>
      <c r="AM466" t="s">
        <v>10413</v>
      </c>
      <c r="AN466" t="s">
        <v>10414</v>
      </c>
      <c r="AO466" t="s">
        <v>10398</v>
      </c>
      <c r="AP466" t="s">
        <v>10398</v>
      </c>
      <c r="AU466" t="s">
        <v>102</v>
      </c>
      <c r="AW466" t="s">
        <v>102</v>
      </c>
      <c r="AX466" t="s">
        <v>119</v>
      </c>
      <c r="BA466" t="s">
        <v>250</v>
      </c>
      <c r="BB466" t="s">
        <v>10399</v>
      </c>
      <c r="BC466" t="s">
        <v>1729</v>
      </c>
      <c r="BD466" t="s">
        <v>730</v>
      </c>
      <c r="BE466" t="s">
        <v>622</v>
      </c>
      <c r="BF466" t="s">
        <v>730</v>
      </c>
      <c r="BG466" t="s">
        <v>124</v>
      </c>
      <c r="BH466" t="s">
        <v>214</v>
      </c>
      <c r="BI466" t="s">
        <v>8708</v>
      </c>
      <c r="BJ466" t="s">
        <v>127</v>
      </c>
      <c r="BK466" t="s">
        <v>10415</v>
      </c>
      <c r="BL466" t="s">
        <v>10416</v>
      </c>
      <c r="BM466" t="s">
        <v>10417</v>
      </c>
      <c r="BN466" t="s">
        <v>6079</v>
      </c>
      <c r="BO466" t="s">
        <v>2262</v>
      </c>
      <c r="BP466" t="s">
        <v>350</v>
      </c>
      <c r="BQ466" t="s">
        <v>2263</v>
      </c>
      <c r="BR466" t="s">
        <v>2264</v>
      </c>
      <c r="BS466" t="s">
        <v>2569</v>
      </c>
      <c r="BU466" t="s">
        <v>10418</v>
      </c>
      <c r="BV466" t="s">
        <v>10404</v>
      </c>
      <c r="BW466" t="s">
        <v>354</v>
      </c>
      <c r="BX466" t="s">
        <v>10419</v>
      </c>
      <c r="BY466" t="s">
        <v>10406</v>
      </c>
      <c r="BZ466" t="s">
        <v>10407</v>
      </c>
      <c r="CG466" t="s">
        <v>5007</v>
      </c>
      <c r="CH466" t="s">
        <v>10420</v>
      </c>
      <c r="CJ466" t="s">
        <v>10421</v>
      </c>
      <c r="CK466" t="s">
        <v>10422</v>
      </c>
      <c r="CL466" t="s">
        <v>1729</v>
      </c>
      <c r="CM466" t="s">
        <v>730</v>
      </c>
      <c r="CN466" t="s">
        <v>10421</v>
      </c>
      <c r="CP466" t="s">
        <v>10420</v>
      </c>
      <c r="CQ466" t="s">
        <v>10422</v>
      </c>
    </row>
    <row r="467" spans="1:95">
      <c r="A467" t="s">
        <v>337</v>
      </c>
      <c r="B467">
        <v>5017993</v>
      </c>
      <c r="C467" t="s">
        <v>10423</v>
      </c>
      <c r="D467" t="str">
        <f>VLOOKUP(B467,'2025'!B:C,2,0)</f>
        <v>Unnati Sharma</v>
      </c>
      <c r="F467" t="s">
        <v>95</v>
      </c>
      <c r="G467" t="s">
        <v>6079</v>
      </c>
      <c r="H467" t="s">
        <v>848</v>
      </c>
      <c r="I467" t="s">
        <v>98</v>
      </c>
      <c r="J467" t="s">
        <v>10424</v>
      </c>
      <c r="K467" t="s">
        <v>100</v>
      </c>
      <c r="L467">
        <v>121126</v>
      </c>
      <c r="M467">
        <v>142929</v>
      </c>
      <c r="N467">
        <v>0</v>
      </c>
      <c r="O467">
        <v>0</v>
      </c>
      <c r="Q467">
        <v>0</v>
      </c>
      <c r="R467">
        <v>0</v>
      </c>
      <c r="T467">
        <v>121126</v>
      </c>
      <c r="U467">
        <v>95</v>
      </c>
      <c r="V467" t="s">
        <v>10394</v>
      </c>
      <c r="W467" t="s">
        <v>102</v>
      </c>
      <c r="X467" t="s">
        <v>275</v>
      </c>
      <c r="Z467" t="s">
        <v>1818</v>
      </c>
      <c r="AA467" t="s">
        <v>109</v>
      </c>
      <c r="AB467" t="s">
        <v>102</v>
      </c>
      <c r="AC467" t="s">
        <v>109</v>
      </c>
      <c r="AD467" t="s">
        <v>102</v>
      </c>
      <c r="AE467" t="s">
        <v>109</v>
      </c>
      <c r="AF467" t="s">
        <v>102</v>
      </c>
      <c r="AG467" t="s">
        <v>109</v>
      </c>
      <c r="AH467" t="s">
        <v>102</v>
      </c>
      <c r="AI467" t="s">
        <v>102</v>
      </c>
      <c r="AJ467" t="s">
        <v>4374</v>
      </c>
      <c r="AK467" t="s">
        <v>4374</v>
      </c>
      <c r="AL467" t="s">
        <v>10425</v>
      </c>
      <c r="AM467" t="s">
        <v>10426</v>
      </c>
      <c r="AN467" t="s">
        <v>10427</v>
      </c>
      <c r="AO467" t="s">
        <v>10398</v>
      </c>
      <c r="AP467" t="s">
        <v>10398</v>
      </c>
      <c r="AU467" t="s">
        <v>102</v>
      </c>
      <c r="AW467" t="s">
        <v>102</v>
      </c>
      <c r="AX467" t="s">
        <v>119</v>
      </c>
      <c r="BA467" t="s">
        <v>250</v>
      </c>
      <c r="BB467" t="s">
        <v>10399</v>
      </c>
      <c r="BC467" t="s">
        <v>1729</v>
      </c>
      <c r="BD467" t="s">
        <v>730</v>
      </c>
      <c r="BE467" t="s">
        <v>622</v>
      </c>
      <c r="BF467" t="s">
        <v>730</v>
      </c>
      <c r="BG467" t="s">
        <v>124</v>
      </c>
      <c r="BH467" t="s">
        <v>214</v>
      </c>
      <c r="BI467" t="s">
        <v>8708</v>
      </c>
      <c r="BJ467" t="s">
        <v>127</v>
      </c>
      <c r="BK467" t="s">
        <v>10428</v>
      </c>
      <c r="BL467" t="s">
        <v>10429</v>
      </c>
      <c r="BM467" t="s">
        <v>10430</v>
      </c>
      <c r="BN467" t="s">
        <v>6079</v>
      </c>
      <c r="BO467" t="s">
        <v>2262</v>
      </c>
      <c r="BP467" t="s">
        <v>350</v>
      </c>
      <c r="BQ467" t="s">
        <v>2263</v>
      </c>
      <c r="BR467" t="s">
        <v>2264</v>
      </c>
      <c r="BS467" t="s">
        <v>2569</v>
      </c>
      <c r="BU467" t="s">
        <v>10431</v>
      </c>
      <c r="BV467" t="s">
        <v>10404</v>
      </c>
      <c r="BW467" t="s">
        <v>354</v>
      </c>
      <c r="BX467" t="s">
        <v>10419</v>
      </c>
      <c r="BY467" t="s">
        <v>10406</v>
      </c>
      <c r="BZ467" t="s">
        <v>10407</v>
      </c>
      <c r="CG467" t="s">
        <v>5007</v>
      </c>
      <c r="CH467" t="s">
        <v>10432</v>
      </c>
      <c r="CJ467" t="s">
        <v>7868</v>
      </c>
      <c r="CK467" t="s">
        <v>10433</v>
      </c>
      <c r="CL467" t="s">
        <v>1729</v>
      </c>
      <c r="CM467" t="s">
        <v>730</v>
      </c>
      <c r="CN467" t="s">
        <v>7868</v>
      </c>
      <c r="CP467" t="s">
        <v>10432</v>
      </c>
      <c r="CQ467" t="s">
        <v>10433</v>
      </c>
    </row>
    <row r="468" spans="1:95">
      <c r="A468" t="s">
        <v>149</v>
      </c>
      <c r="B468">
        <v>5018044</v>
      </c>
      <c r="C468" t="s">
        <v>10434</v>
      </c>
      <c r="D468" t="str">
        <f>VLOOKUP(B468,'2025'!B:C,2,0)</f>
        <v>Chaitanya</v>
      </c>
      <c r="F468" t="s">
        <v>95</v>
      </c>
      <c r="G468" t="s">
        <v>851</v>
      </c>
      <c r="H468" t="s">
        <v>1746</v>
      </c>
      <c r="I468" t="s">
        <v>676</v>
      </c>
      <c r="J468" t="s">
        <v>10435</v>
      </c>
      <c r="K468" t="s">
        <v>100</v>
      </c>
      <c r="L468">
        <v>1705817</v>
      </c>
      <c r="M468">
        <v>1822433</v>
      </c>
      <c r="N468">
        <v>421654</v>
      </c>
      <c r="O468">
        <v>810</v>
      </c>
      <c r="P468" t="s">
        <v>10436</v>
      </c>
      <c r="Q468">
        <v>636298</v>
      </c>
      <c r="R468">
        <v>810</v>
      </c>
      <c r="S468" t="s">
        <v>10437</v>
      </c>
      <c r="T468">
        <v>647865</v>
      </c>
      <c r="U468">
        <v>979</v>
      </c>
      <c r="V468" t="s">
        <v>10438</v>
      </c>
      <c r="W468" t="s">
        <v>102</v>
      </c>
      <c r="X468" t="s">
        <v>103</v>
      </c>
      <c r="Y468" t="s">
        <v>398</v>
      </c>
      <c r="AA468" t="s">
        <v>96</v>
      </c>
      <c r="AB468" t="s">
        <v>10439</v>
      </c>
      <c r="AC468" t="s">
        <v>400</v>
      </c>
      <c r="AD468" t="s">
        <v>10440</v>
      </c>
      <c r="AE468" t="s">
        <v>721</v>
      </c>
      <c r="AF468" t="s">
        <v>10440</v>
      </c>
      <c r="AG468" t="s">
        <v>109</v>
      </c>
      <c r="AH468" t="s">
        <v>102</v>
      </c>
      <c r="AI468" t="s">
        <v>102</v>
      </c>
      <c r="AL468" t="s">
        <v>10441</v>
      </c>
      <c r="AM468" t="s">
        <v>102</v>
      </c>
      <c r="AN468" t="s">
        <v>10441</v>
      </c>
      <c r="AO468" t="s">
        <v>6015</v>
      </c>
      <c r="AP468" t="s">
        <v>10442</v>
      </c>
      <c r="AR468" t="s">
        <v>169</v>
      </c>
      <c r="AS468" t="s">
        <v>169</v>
      </c>
      <c r="AU468" t="s">
        <v>6700</v>
      </c>
      <c r="AV468" t="s">
        <v>250</v>
      </c>
      <c r="AW468" t="s">
        <v>155</v>
      </c>
      <c r="AX468" t="s">
        <v>119</v>
      </c>
      <c r="AZ468" t="s">
        <v>250</v>
      </c>
      <c r="BA468" t="s">
        <v>250</v>
      </c>
      <c r="BB468" t="s">
        <v>120</v>
      </c>
      <c r="BC468" t="s">
        <v>9082</v>
      </c>
      <c r="BD468" t="s">
        <v>1244</v>
      </c>
      <c r="BE468" t="s">
        <v>122</v>
      </c>
      <c r="BF468" t="s">
        <v>1244</v>
      </c>
      <c r="BG468" t="s">
        <v>124</v>
      </c>
      <c r="BH468" t="s">
        <v>851</v>
      </c>
      <c r="BI468" t="s">
        <v>126</v>
      </c>
      <c r="BJ468" t="s">
        <v>127</v>
      </c>
      <c r="BK468" t="s">
        <v>10443</v>
      </c>
      <c r="BL468" t="s">
        <v>10444</v>
      </c>
      <c r="BM468" t="s">
        <v>10445</v>
      </c>
      <c r="BN468" t="s">
        <v>851</v>
      </c>
      <c r="BO468" t="s">
        <v>1733</v>
      </c>
      <c r="BP468" t="s">
        <v>350</v>
      </c>
      <c r="BQ468" t="s">
        <v>1734</v>
      </c>
      <c r="BR468" t="s">
        <v>1735</v>
      </c>
      <c r="BS468" t="s">
        <v>566</v>
      </c>
      <c r="BU468" t="s">
        <v>10446</v>
      </c>
      <c r="BV468" t="s">
        <v>10447</v>
      </c>
      <c r="BW468" t="s">
        <v>598</v>
      </c>
      <c r="BX468" t="s">
        <v>10448</v>
      </c>
      <c r="BY468" t="s">
        <v>10449</v>
      </c>
      <c r="BZ468" t="s">
        <v>10448</v>
      </c>
      <c r="CG468" t="s">
        <v>102</v>
      </c>
      <c r="CH468" t="s">
        <v>9082</v>
      </c>
      <c r="CJ468" t="s">
        <v>9102</v>
      </c>
      <c r="CK468" t="s">
        <v>10450</v>
      </c>
      <c r="CL468" t="s">
        <v>9082</v>
      </c>
      <c r="CM468" t="s">
        <v>1244</v>
      </c>
      <c r="CN468" t="s">
        <v>9102</v>
      </c>
      <c r="CP468" t="s">
        <v>10451</v>
      </c>
      <c r="CQ468" t="s">
        <v>10451</v>
      </c>
    </row>
    <row r="469" spans="1:95">
      <c r="A469" t="s">
        <v>337</v>
      </c>
      <c r="B469">
        <v>5018122</v>
      </c>
      <c r="C469" t="s">
        <v>10452</v>
      </c>
      <c r="D469" t="str">
        <f>VLOOKUP(B469,'2025'!B:C,2,0)</f>
        <v>Unnati Sharma</v>
      </c>
      <c r="F469" t="s">
        <v>95</v>
      </c>
      <c r="G469" t="s">
        <v>1493</v>
      </c>
      <c r="H469" t="s">
        <v>97</v>
      </c>
      <c r="I469" t="s">
        <v>98</v>
      </c>
      <c r="J469" t="s">
        <v>10453</v>
      </c>
      <c r="K469" t="s">
        <v>100</v>
      </c>
      <c r="L469">
        <v>119700</v>
      </c>
      <c r="M469">
        <v>119700</v>
      </c>
      <c r="N469">
        <v>119700</v>
      </c>
      <c r="O469">
        <v>78</v>
      </c>
      <c r="P469" t="s">
        <v>10454</v>
      </c>
      <c r="Q469">
        <v>0</v>
      </c>
      <c r="R469">
        <v>0</v>
      </c>
      <c r="T469">
        <v>0</v>
      </c>
      <c r="U469">
        <v>0</v>
      </c>
      <c r="W469" t="s">
        <v>102</v>
      </c>
      <c r="X469" t="s">
        <v>275</v>
      </c>
      <c r="Z469" t="s">
        <v>151</v>
      </c>
      <c r="AA469" t="s">
        <v>109</v>
      </c>
      <c r="AB469" t="s">
        <v>102</v>
      </c>
      <c r="AC469" t="s">
        <v>109</v>
      </c>
      <c r="AD469" t="s">
        <v>102</v>
      </c>
      <c r="AE469" t="s">
        <v>109</v>
      </c>
      <c r="AF469" t="s">
        <v>102</v>
      </c>
      <c r="AG469" t="s">
        <v>109</v>
      </c>
      <c r="AH469" t="s">
        <v>102</v>
      </c>
      <c r="AI469" t="s">
        <v>10455</v>
      </c>
      <c r="AJ469" t="s">
        <v>911</v>
      </c>
      <c r="AK469" t="s">
        <v>911</v>
      </c>
      <c r="AL469" t="s">
        <v>10456</v>
      </c>
      <c r="AM469" t="s">
        <v>10457</v>
      </c>
      <c r="AN469" t="s">
        <v>10458</v>
      </c>
      <c r="AO469" t="s">
        <v>343</v>
      </c>
      <c r="AP469" t="s">
        <v>343</v>
      </c>
      <c r="AU469" t="s">
        <v>117</v>
      </c>
      <c r="AV469" t="s">
        <v>118</v>
      </c>
      <c r="AW469" t="s">
        <v>102</v>
      </c>
      <c r="AX469" t="s">
        <v>119</v>
      </c>
      <c r="BB469" t="s">
        <v>3678</v>
      </c>
      <c r="BC469" t="s">
        <v>4889</v>
      </c>
      <c r="BD469" t="s">
        <v>730</v>
      </c>
      <c r="BE469" t="s">
        <v>622</v>
      </c>
      <c r="BF469" t="s">
        <v>730</v>
      </c>
      <c r="BG469" t="s">
        <v>124</v>
      </c>
      <c r="BH469" t="s">
        <v>214</v>
      </c>
      <c r="BI469" t="s">
        <v>625</v>
      </c>
      <c r="BJ469" t="s">
        <v>127</v>
      </c>
      <c r="BK469" t="s">
        <v>10459</v>
      </c>
      <c r="BL469" t="s">
        <v>10460</v>
      </c>
      <c r="BM469" t="s">
        <v>10461</v>
      </c>
      <c r="BN469" t="s">
        <v>1493</v>
      </c>
      <c r="BO469" t="s">
        <v>734</v>
      </c>
      <c r="BP469" t="s">
        <v>350</v>
      </c>
      <c r="BQ469" t="s">
        <v>735</v>
      </c>
      <c r="BR469" t="s">
        <v>736</v>
      </c>
      <c r="BS469" t="s">
        <v>2569</v>
      </c>
      <c r="BU469" t="s">
        <v>10462</v>
      </c>
      <c r="BV469" t="s">
        <v>10463</v>
      </c>
      <c r="BW469" t="s">
        <v>138</v>
      </c>
      <c r="BX469" t="s">
        <v>10464</v>
      </c>
      <c r="BY469" t="s">
        <v>10465</v>
      </c>
      <c r="BZ469" t="s">
        <v>10466</v>
      </c>
      <c r="CA469" t="s">
        <v>10463</v>
      </c>
      <c r="CB469" t="s">
        <v>10464</v>
      </c>
      <c r="CC469" t="s">
        <v>10465</v>
      </c>
      <c r="CG469" t="s">
        <v>5842</v>
      </c>
      <c r="CH469" t="s">
        <v>10467</v>
      </c>
      <c r="CJ469" t="s">
        <v>4903</v>
      </c>
      <c r="CK469" t="s">
        <v>10467</v>
      </c>
      <c r="CL469" t="s">
        <v>4889</v>
      </c>
      <c r="CM469" t="s">
        <v>730</v>
      </c>
      <c r="CN469" t="s">
        <v>4903</v>
      </c>
      <c r="CO469" t="s">
        <v>10468</v>
      </c>
      <c r="CP469" t="s">
        <v>10467</v>
      </c>
      <c r="CQ469" t="s">
        <v>10467</v>
      </c>
    </row>
    <row r="470" spans="1:95">
      <c r="A470" t="s">
        <v>337</v>
      </c>
      <c r="B470">
        <v>5018142</v>
      </c>
      <c r="C470" t="s">
        <v>10469</v>
      </c>
      <c r="F470" t="s">
        <v>95</v>
      </c>
      <c r="G470" t="s">
        <v>4741</v>
      </c>
      <c r="H470" t="s">
        <v>97</v>
      </c>
      <c r="I470" t="s">
        <v>98</v>
      </c>
      <c r="J470" t="s">
        <v>10470</v>
      </c>
      <c r="K470" t="s">
        <v>100</v>
      </c>
      <c r="L470">
        <v>0</v>
      </c>
      <c r="M470">
        <v>0</v>
      </c>
      <c r="N470">
        <v>0</v>
      </c>
      <c r="O470">
        <v>12</v>
      </c>
      <c r="P470" t="s">
        <v>102</v>
      </c>
      <c r="Q470">
        <v>0</v>
      </c>
      <c r="R470">
        <v>0</v>
      </c>
      <c r="T470">
        <v>0</v>
      </c>
      <c r="U470">
        <v>0</v>
      </c>
      <c r="W470" t="s">
        <v>102</v>
      </c>
      <c r="X470" t="s">
        <v>275</v>
      </c>
      <c r="Z470" t="s">
        <v>96</v>
      </c>
      <c r="AA470" t="s">
        <v>109</v>
      </c>
      <c r="AB470" t="s">
        <v>102</v>
      </c>
      <c r="AC470" t="s">
        <v>109</v>
      </c>
      <c r="AD470" t="s">
        <v>102</v>
      </c>
      <c r="AE470" t="s">
        <v>109</v>
      </c>
      <c r="AF470" t="s">
        <v>102</v>
      </c>
      <c r="AG470" t="s">
        <v>109</v>
      </c>
      <c r="AH470" t="s">
        <v>102</v>
      </c>
      <c r="AI470" t="s">
        <v>102</v>
      </c>
      <c r="AL470" t="s">
        <v>102</v>
      </c>
      <c r="AM470" t="s">
        <v>102</v>
      </c>
      <c r="AN470" t="s">
        <v>102</v>
      </c>
      <c r="AO470" t="s">
        <v>115</v>
      </c>
      <c r="AP470" t="s">
        <v>115</v>
      </c>
      <c r="AU470" t="s">
        <v>318</v>
      </c>
      <c r="AV470" t="s">
        <v>250</v>
      </c>
      <c r="AW470" t="s">
        <v>102</v>
      </c>
      <c r="AX470" t="s">
        <v>119</v>
      </c>
      <c r="BB470" t="s">
        <v>209</v>
      </c>
      <c r="BC470" t="s">
        <v>284</v>
      </c>
      <c r="BD470" t="s">
        <v>285</v>
      </c>
      <c r="BE470" t="s">
        <v>212</v>
      </c>
      <c r="BF470" t="s">
        <v>286</v>
      </c>
      <c r="BG470" t="s">
        <v>124</v>
      </c>
      <c r="BH470" t="s">
        <v>892</v>
      </c>
      <c r="BI470" t="s">
        <v>411</v>
      </c>
      <c r="BJ470" t="s">
        <v>127</v>
      </c>
      <c r="BK470" t="s">
        <v>10471</v>
      </c>
      <c r="BL470" t="s">
        <v>10472</v>
      </c>
      <c r="BM470" t="s">
        <v>10473</v>
      </c>
      <c r="BN470" t="s">
        <v>4741</v>
      </c>
      <c r="BO470" t="s">
        <v>956</v>
      </c>
      <c r="BP470" t="s">
        <v>505</v>
      </c>
      <c r="BQ470" t="s">
        <v>958</v>
      </c>
      <c r="BR470" t="s">
        <v>959</v>
      </c>
      <c r="BS470" t="s">
        <v>4765</v>
      </c>
      <c r="BU470" t="s">
        <v>10474</v>
      </c>
      <c r="BV470" t="s">
        <v>3585</v>
      </c>
      <c r="BW470" t="s">
        <v>598</v>
      </c>
      <c r="BX470" t="s">
        <v>225</v>
      </c>
      <c r="BY470" t="s">
        <v>10475</v>
      </c>
      <c r="CA470" t="s">
        <v>10476</v>
      </c>
      <c r="CB470" t="s">
        <v>225</v>
      </c>
      <c r="CC470" t="s">
        <v>10477</v>
      </c>
      <c r="CD470" t="s">
        <v>10476</v>
      </c>
      <c r="CE470" t="s">
        <v>225</v>
      </c>
      <c r="CF470" t="s">
        <v>10477</v>
      </c>
      <c r="CG470" t="s">
        <v>102</v>
      </c>
      <c r="CH470" t="s">
        <v>10478</v>
      </c>
      <c r="CJ470" t="s">
        <v>10479</v>
      </c>
      <c r="CK470" t="s">
        <v>10478</v>
      </c>
      <c r="CL470" t="s">
        <v>284</v>
      </c>
      <c r="CM470" t="s">
        <v>285</v>
      </c>
      <c r="CN470" t="s">
        <v>10479</v>
      </c>
      <c r="CP470" t="s">
        <v>10480</v>
      </c>
      <c r="CQ470" t="s">
        <v>10480</v>
      </c>
    </row>
    <row r="471" spans="1:95">
      <c r="A471" t="s">
        <v>149</v>
      </c>
      <c r="B471">
        <v>5018143</v>
      </c>
      <c r="C471" t="s">
        <v>10481</v>
      </c>
      <c r="F471" t="s">
        <v>95</v>
      </c>
      <c r="G471" t="s">
        <v>5268</v>
      </c>
      <c r="H471" t="s">
        <v>1746</v>
      </c>
      <c r="I471" t="s">
        <v>98</v>
      </c>
      <c r="J471" t="s">
        <v>10482</v>
      </c>
      <c r="K471" t="s">
        <v>100</v>
      </c>
      <c r="L471">
        <v>0</v>
      </c>
      <c r="M471">
        <v>0</v>
      </c>
      <c r="N471">
        <v>0</v>
      </c>
      <c r="O471">
        <v>150</v>
      </c>
      <c r="P471" t="s">
        <v>102</v>
      </c>
      <c r="Q471">
        <v>0</v>
      </c>
      <c r="R471">
        <v>150</v>
      </c>
      <c r="S471" t="s">
        <v>102</v>
      </c>
      <c r="T471">
        <v>0</v>
      </c>
      <c r="U471">
        <v>210</v>
      </c>
      <c r="V471" t="s">
        <v>102</v>
      </c>
      <c r="W471" t="s">
        <v>102</v>
      </c>
      <c r="X471" t="s">
        <v>103</v>
      </c>
      <c r="Y471" t="s">
        <v>398</v>
      </c>
      <c r="AA471" t="s">
        <v>96</v>
      </c>
      <c r="AB471" t="s">
        <v>102</v>
      </c>
      <c r="AC471" t="s">
        <v>400</v>
      </c>
      <c r="AD471" t="s">
        <v>102</v>
      </c>
      <c r="AE471" t="s">
        <v>721</v>
      </c>
      <c r="AF471" t="s">
        <v>102</v>
      </c>
      <c r="AG471" t="s">
        <v>109</v>
      </c>
      <c r="AH471" t="s">
        <v>102</v>
      </c>
      <c r="AI471" t="s">
        <v>102</v>
      </c>
      <c r="AL471" t="s">
        <v>102</v>
      </c>
      <c r="AM471" t="s">
        <v>102</v>
      </c>
      <c r="AN471" t="s">
        <v>102</v>
      </c>
      <c r="AO471" t="s">
        <v>115</v>
      </c>
      <c r="AP471" t="s">
        <v>115</v>
      </c>
      <c r="AU471" t="s">
        <v>6700</v>
      </c>
      <c r="AV471" t="s">
        <v>250</v>
      </c>
      <c r="AW471" t="s">
        <v>104</v>
      </c>
      <c r="AX471" t="s">
        <v>119</v>
      </c>
      <c r="AZ471" t="s">
        <v>250</v>
      </c>
      <c r="BA471" t="s">
        <v>250</v>
      </c>
      <c r="BB471" t="s">
        <v>209</v>
      </c>
      <c r="BC471" t="s">
        <v>284</v>
      </c>
      <c r="BD471" t="s">
        <v>285</v>
      </c>
      <c r="BE471" t="s">
        <v>212</v>
      </c>
      <c r="BF471" t="s">
        <v>286</v>
      </c>
      <c r="BG471" t="s">
        <v>124</v>
      </c>
      <c r="BH471" t="s">
        <v>892</v>
      </c>
      <c r="BI471" t="s">
        <v>411</v>
      </c>
      <c r="BJ471" t="s">
        <v>127</v>
      </c>
      <c r="BK471" t="s">
        <v>10483</v>
      </c>
      <c r="BL471" t="s">
        <v>10484</v>
      </c>
      <c r="BM471" t="s">
        <v>10485</v>
      </c>
      <c r="BN471" t="s">
        <v>5268</v>
      </c>
      <c r="BO471" t="s">
        <v>290</v>
      </c>
      <c r="BP471" t="s">
        <v>258</v>
      </c>
      <c r="BQ471" t="s">
        <v>291</v>
      </c>
      <c r="BR471" t="s">
        <v>292</v>
      </c>
      <c r="BS471" t="s">
        <v>4765</v>
      </c>
      <c r="BU471" t="s">
        <v>10486</v>
      </c>
      <c r="BV471" t="s">
        <v>10487</v>
      </c>
      <c r="BW471" t="s">
        <v>138</v>
      </c>
      <c r="BX471" t="s">
        <v>225</v>
      </c>
      <c r="BY471" t="s">
        <v>226</v>
      </c>
      <c r="CG471" t="s">
        <v>102</v>
      </c>
      <c r="CH471" t="s">
        <v>10478</v>
      </c>
      <c r="CJ471" t="s">
        <v>10479</v>
      </c>
      <c r="CK471" t="s">
        <v>10478</v>
      </c>
      <c r="CL471" t="s">
        <v>284</v>
      </c>
      <c r="CM471" t="s">
        <v>285</v>
      </c>
      <c r="CN471" t="s">
        <v>10479</v>
      </c>
      <c r="CP471" t="s">
        <v>10480</v>
      </c>
      <c r="CQ471" t="s">
        <v>10480</v>
      </c>
    </row>
    <row r="472" spans="1:95">
      <c r="A472" t="s">
        <v>337</v>
      </c>
      <c r="B472">
        <v>5018145</v>
      </c>
      <c r="C472" t="s">
        <v>10488</v>
      </c>
      <c r="E472" s="4" t="s">
        <v>17377</v>
      </c>
      <c r="F472" t="s">
        <v>95</v>
      </c>
      <c r="G472" t="s">
        <v>911</v>
      </c>
      <c r="H472" t="s">
        <v>97</v>
      </c>
      <c r="I472" t="s">
        <v>98</v>
      </c>
      <c r="J472" t="s">
        <v>10489</v>
      </c>
      <c r="K472" t="s">
        <v>100</v>
      </c>
      <c r="L472">
        <v>28500</v>
      </c>
      <c r="M472">
        <v>28500</v>
      </c>
      <c r="N472">
        <v>28500</v>
      </c>
      <c r="O472">
        <v>19</v>
      </c>
      <c r="P472" t="s">
        <v>6441</v>
      </c>
      <c r="Q472">
        <v>0</v>
      </c>
      <c r="R472">
        <v>0</v>
      </c>
      <c r="T472">
        <v>0</v>
      </c>
      <c r="U472">
        <v>0</v>
      </c>
      <c r="W472" t="s">
        <v>102</v>
      </c>
      <c r="X472" t="s">
        <v>275</v>
      </c>
      <c r="Z472" t="s">
        <v>977</v>
      </c>
      <c r="AA472" t="s">
        <v>109</v>
      </c>
      <c r="AB472" t="s">
        <v>102</v>
      </c>
      <c r="AC472" t="s">
        <v>109</v>
      </c>
      <c r="AD472" t="s">
        <v>102</v>
      </c>
      <c r="AE472" t="s">
        <v>109</v>
      </c>
      <c r="AF472" t="s">
        <v>102</v>
      </c>
      <c r="AG472" t="s">
        <v>109</v>
      </c>
      <c r="AH472" t="s">
        <v>102</v>
      </c>
      <c r="AI472" t="s">
        <v>102</v>
      </c>
      <c r="AJ472" t="s">
        <v>2303</v>
      </c>
      <c r="AK472" t="s">
        <v>2303</v>
      </c>
      <c r="AL472" t="s">
        <v>10490</v>
      </c>
      <c r="AM472" t="s">
        <v>10491</v>
      </c>
      <c r="AN472" t="s">
        <v>6441</v>
      </c>
      <c r="AO472" t="s">
        <v>102</v>
      </c>
      <c r="AU472" t="s">
        <v>318</v>
      </c>
      <c r="AV472" t="s">
        <v>250</v>
      </c>
      <c r="AW472" t="s">
        <v>102</v>
      </c>
      <c r="AX472" t="s">
        <v>119</v>
      </c>
      <c r="BB472" t="s">
        <v>3678</v>
      </c>
      <c r="BC472" t="s">
        <v>9082</v>
      </c>
      <c r="BD472" t="s">
        <v>1244</v>
      </c>
      <c r="BE472" t="s">
        <v>122</v>
      </c>
      <c r="BF472" t="s">
        <v>1244</v>
      </c>
      <c r="BG472" t="s">
        <v>124</v>
      </c>
      <c r="BH472" t="s">
        <v>232</v>
      </c>
      <c r="BI472" t="s">
        <v>126</v>
      </c>
      <c r="BJ472" t="s">
        <v>127</v>
      </c>
      <c r="BK472" t="s">
        <v>10492</v>
      </c>
      <c r="BL472" t="s">
        <v>10493</v>
      </c>
      <c r="BM472" t="s">
        <v>10494</v>
      </c>
      <c r="BN472" t="s">
        <v>911</v>
      </c>
      <c r="BO472" t="s">
        <v>9627</v>
      </c>
      <c r="BP472" t="s">
        <v>258</v>
      </c>
      <c r="BQ472" t="s">
        <v>9628</v>
      </c>
      <c r="BR472" t="s">
        <v>9629</v>
      </c>
      <c r="BS472" t="s">
        <v>10231</v>
      </c>
      <c r="BT472" t="s">
        <v>1075</v>
      </c>
      <c r="BU472" t="s">
        <v>10495</v>
      </c>
      <c r="BV472" t="s">
        <v>10488</v>
      </c>
      <c r="BW472" t="s">
        <v>138</v>
      </c>
      <c r="BX472" t="s">
        <v>10496</v>
      </c>
      <c r="BY472" t="s">
        <v>10497</v>
      </c>
      <c r="BZ472" t="s">
        <v>10496</v>
      </c>
      <c r="CG472" t="s">
        <v>2405</v>
      </c>
      <c r="CH472" t="s">
        <v>10498</v>
      </c>
      <c r="CJ472" t="s">
        <v>10499</v>
      </c>
      <c r="CK472" t="s">
        <v>10500</v>
      </c>
      <c r="CL472" t="s">
        <v>9082</v>
      </c>
      <c r="CM472" t="s">
        <v>1244</v>
      </c>
      <c r="CN472" t="s">
        <v>10499</v>
      </c>
      <c r="CP472" t="s">
        <v>10498</v>
      </c>
      <c r="CQ472" t="s">
        <v>10500</v>
      </c>
    </row>
    <row r="473" spans="1:95">
      <c r="A473" t="s">
        <v>149</v>
      </c>
      <c r="B473">
        <v>5018147</v>
      </c>
      <c r="C473" t="s">
        <v>10501</v>
      </c>
      <c r="D473" t="str">
        <f>VLOOKUP(B473,'2025'!B:C,2,0)</f>
        <v>Chaitanya</v>
      </c>
      <c r="F473" t="s">
        <v>95</v>
      </c>
      <c r="G473" t="s">
        <v>7937</v>
      </c>
      <c r="H473" t="s">
        <v>97</v>
      </c>
      <c r="I473" t="s">
        <v>98</v>
      </c>
      <c r="J473" t="s">
        <v>10502</v>
      </c>
      <c r="K473" t="s">
        <v>100</v>
      </c>
      <c r="L473">
        <v>0</v>
      </c>
      <c r="M473">
        <v>0</v>
      </c>
      <c r="N473">
        <v>0</v>
      </c>
      <c r="O473">
        <v>74</v>
      </c>
      <c r="P473" t="s">
        <v>102</v>
      </c>
      <c r="Q473">
        <v>0</v>
      </c>
      <c r="R473">
        <v>0</v>
      </c>
      <c r="T473">
        <v>0</v>
      </c>
      <c r="U473">
        <v>0</v>
      </c>
      <c r="W473" t="s">
        <v>102</v>
      </c>
      <c r="X473" t="s">
        <v>275</v>
      </c>
      <c r="Z473" t="s">
        <v>158</v>
      </c>
      <c r="AA473" t="s">
        <v>109</v>
      </c>
      <c r="AB473" t="s">
        <v>102</v>
      </c>
      <c r="AC473" t="s">
        <v>109</v>
      </c>
      <c r="AD473" t="s">
        <v>102</v>
      </c>
      <c r="AE473" t="s">
        <v>109</v>
      </c>
      <c r="AF473" t="s">
        <v>102</v>
      </c>
      <c r="AG473" t="s">
        <v>109</v>
      </c>
      <c r="AH473" t="s">
        <v>102</v>
      </c>
      <c r="AI473" t="s">
        <v>102</v>
      </c>
      <c r="AL473" t="s">
        <v>102</v>
      </c>
      <c r="AM473" t="s">
        <v>102</v>
      </c>
      <c r="AN473" t="s">
        <v>102</v>
      </c>
      <c r="AO473" t="s">
        <v>115</v>
      </c>
      <c r="AP473" t="s">
        <v>115</v>
      </c>
      <c r="AU473" t="s">
        <v>318</v>
      </c>
      <c r="AV473" t="s">
        <v>250</v>
      </c>
      <c r="AW473" t="s">
        <v>102</v>
      </c>
      <c r="AX473" t="s">
        <v>119</v>
      </c>
      <c r="BB473" t="s">
        <v>120</v>
      </c>
      <c r="BC473" t="s">
        <v>1407</v>
      </c>
      <c r="BD473" t="s">
        <v>449</v>
      </c>
      <c r="BE473" t="s">
        <v>122</v>
      </c>
      <c r="BF473" t="s">
        <v>450</v>
      </c>
      <c r="BG473" t="s">
        <v>124</v>
      </c>
      <c r="BH473" t="s">
        <v>232</v>
      </c>
      <c r="BI473" t="s">
        <v>126</v>
      </c>
      <c r="BJ473" t="s">
        <v>127</v>
      </c>
      <c r="BK473" t="s">
        <v>10503</v>
      </c>
      <c r="BL473" t="s">
        <v>10504</v>
      </c>
      <c r="BM473" t="s">
        <v>10505</v>
      </c>
      <c r="BN473" t="s">
        <v>7937</v>
      </c>
      <c r="BO473" t="s">
        <v>1108</v>
      </c>
      <c r="BP473" t="s">
        <v>258</v>
      </c>
      <c r="BQ473" t="s">
        <v>1109</v>
      </c>
      <c r="BR473" t="s">
        <v>1110</v>
      </c>
      <c r="BS473" t="s">
        <v>1111</v>
      </c>
      <c r="BU473" t="s">
        <v>10506</v>
      </c>
      <c r="BV473" t="s">
        <v>4073</v>
      </c>
      <c r="BW473" t="s">
        <v>296</v>
      </c>
      <c r="BX473" t="s">
        <v>4074</v>
      </c>
      <c r="BY473" t="s">
        <v>4075</v>
      </c>
      <c r="BZ473" t="s">
        <v>4076</v>
      </c>
      <c r="CG473" t="s">
        <v>102</v>
      </c>
      <c r="CH473" t="s">
        <v>4077</v>
      </c>
      <c r="CJ473" t="s">
        <v>4078</v>
      </c>
      <c r="CK473" t="s">
        <v>4077</v>
      </c>
      <c r="CL473" t="s">
        <v>1407</v>
      </c>
      <c r="CM473" t="s">
        <v>449</v>
      </c>
      <c r="CN473" t="s">
        <v>4078</v>
      </c>
      <c r="CP473" t="s">
        <v>4077</v>
      </c>
      <c r="CQ473" t="s">
        <v>4077</v>
      </c>
    </row>
    <row r="474" spans="1:95">
      <c r="A474" t="s">
        <v>149</v>
      </c>
      <c r="B474">
        <v>5018148</v>
      </c>
      <c r="C474" t="s">
        <v>10507</v>
      </c>
      <c r="D474" t="str">
        <f>VLOOKUP(B474,'2025'!B:C,2,0)</f>
        <v>Chaitanya</v>
      </c>
      <c r="F474" t="s">
        <v>95</v>
      </c>
      <c r="G474" t="s">
        <v>7937</v>
      </c>
      <c r="H474" t="s">
        <v>97</v>
      </c>
      <c r="I474" t="s">
        <v>98</v>
      </c>
      <c r="J474" t="s">
        <v>10508</v>
      </c>
      <c r="K474" t="s">
        <v>100</v>
      </c>
      <c r="L474">
        <v>0</v>
      </c>
      <c r="M474">
        <v>0</v>
      </c>
      <c r="N474">
        <v>0</v>
      </c>
      <c r="O474">
        <v>58</v>
      </c>
      <c r="P474" t="s">
        <v>102</v>
      </c>
      <c r="Q474">
        <v>0</v>
      </c>
      <c r="R474">
        <v>0</v>
      </c>
      <c r="T474">
        <v>0</v>
      </c>
      <c r="U474">
        <v>0</v>
      </c>
      <c r="W474" t="s">
        <v>102</v>
      </c>
      <c r="X474" t="s">
        <v>275</v>
      </c>
      <c r="Z474" t="s">
        <v>158</v>
      </c>
      <c r="AA474" t="s">
        <v>109</v>
      </c>
      <c r="AB474" t="s">
        <v>102</v>
      </c>
      <c r="AC474" t="s">
        <v>109</v>
      </c>
      <c r="AD474" t="s">
        <v>102</v>
      </c>
      <c r="AE474" t="s">
        <v>109</v>
      </c>
      <c r="AF474" t="s">
        <v>102</v>
      </c>
      <c r="AG474" t="s">
        <v>109</v>
      </c>
      <c r="AH474" t="s">
        <v>102</v>
      </c>
      <c r="AI474" t="s">
        <v>102</v>
      </c>
      <c r="AL474" t="s">
        <v>102</v>
      </c>
      <c r="AM474" t="s">
        <v>102</v>
      </c>
      <c r="AN474" t="s">
        <v>102</v>
      </c>
      <c r="AO474" t="s">
        <v>115</v>
      </c>
      <c r="AP474" t="s">
        <v>115</v>
      </c>
      <c r="AU474" t="s">
        <v>318</v>
      </c>
      <c r="AV474" t="s">
        <v>250</v>
      </c>
      <c r="AW474" t="s">
        <v>102</v>
      </c>
      <c r="AX474" t="s">
        <v>119</v>
      </c>
      <c r="BB474" t="s">
        <v>120</v>
      </c>
      <c r="BC474" t="s">
        <v>1407</v>
      </c>
      <c r="BD474" t="s">
        <v>449</v>
      </c>
      <c r="BE474" t="s">
        <v>122</v>
      </c>
      <c r="BF474" t="s">
        <v>450</v>
      </c>
      <c r="BG474" t="s">
        <v>124</v>
      </c>
      <c r="BH474" t="s">
        <v>232</v>
      </c>
      <c r="BI474" t="s">
        <v>126</v>
      </c>
      <c r="BJ474" t="s">
        <v>127</v>
      </c>
      <c r="BK474" t="s">
        <v>10509</v>
      </c>
      <c r="BL474" t="s">
        <v>10510</v>
      </c>
      <c r="BM474" t="s">
        <v>10511</v>
      </c>
      <c r="BN474" t="s">
        <v>7937</v>
      </c>
      <c r="BO474" t="s">
        <v>1108</v>
      </c>
      <c r="BP474" t="s">
        <v>258</v>
      </c>
      <c r="BQ474" t="s">
        <v>1109</v>
      </c>
      <c r="BR474" t="s">
        <v>1110</v>
      </c>
      <c r="BS474" t="s">
        <v>1111</v>
      </c>
      <c r="BU474" t="s">
        <v>10512</v>
      </c>
      <c r="BV474" t="s">
        <v>4073</v>
      </c>
      <c r="BW474" t="s">
        <v>296</v>
      </c>
      <c r="BX474" t="s">
        <v>4074</v>
      </c>
      <c r="BY474" t="s">
        <v>4075</v>
      </c>
      <c r="BZ474" t="s">
        <v>4076</v>
      </c>
      <c r="CG474" t="s">
        <v>102</v>
      </c>
      <c r="CH474" t="s">
        <v>4077</v>
      </c>
      <c r="CJ474" t="s">
        <v>4078</v>
      </c>
      <c r="CK474" t="s">
        <v>4077</v>
      </c>
      <c r="CL474" t="s">
        <v>1407</v>
      </c>
      <c r="CM474" t="s">
        <v>449</v>
      </c>
      <c r="CN474" t="s">
        <v>4078</v>
      </c>
      <c r="CP474" t="s">
        <v>4077</v>
      </c>
      <c r="CQ474" t="s">
        <v>4077</v>
      </c>
    </row>
    <row r="475" spans="1:95">
      <c r="A475" t="s">
        <v>149</v>
      </c>
      <c r="B475">
        <v>5018150</v>
      </c>
      <c r="C475" t="s">
        <v>10513</v>
      </c>
      <c r="D475" t="str">
        <f>VLOOKUP(B475,'2025'!B:C,2,0)</f>
        <v>Chaitanya</v>
      </c>
      <c r="F475" t="s">
        <v>95</v>
      </c>
      <c r="G475" t="s">
        <v>469</v>
      </c>
      <c r="H475" t="s">
        <v>97</v>
      </c>
      <c r="I475" t="s">
        <v>98</v>
      </c>
      <c r="J475" t="s">
        <v>10514</v>
      </c>
      <c r="K475" t="s">
        <v>100</v>
      </c>
      <c r="L475">
        <v>0</v>
      </c>
      <c r="M475">
        <v>0</v>
      </c>
      <c r="N475">
        <v>0</v>
      </c>
      <c r="O475">
        <v>39</v>
      </c>
      <c r="P475" t="s">
        <v>102</v>
      </c>
      <c r="Q475">
        <v>0</v>
      </c>
      <c r="R475">
        <v>0</v>
      </c>
      <c r="T475">
        <v>0</v>
      </c>
      <c r="U475">
        <v>0</v>
      </c>
      <c r="W475" t="s">
        <v>102</v>
      </c>
      <c r="X475" t="s">
        <v>275</v>
      </c>
      <c r="Z475" t="s">
        <v>158</v>
      </c>
      <c r="AA475" t="s">
        <v>109</v>
      </c>
      <c r="AB475" t="s">
        <v>102</v>
      </c>
      <c r="AC475" t="s">
        <v>109</v>
      </c>
      <c r="AD475" t="s">
        <v>102</v>
      </c>
      <c r="AE475" t="s">
        <v>109</v>
      </c>
      <c r="AF475" t="s">
        <v>102</v>
      </c>
      <c r="AG475" t="s">
        <v>109</v>
      </c>
      <c r="AH475" t="s">
        <v>102</v>
      </c>
      <c r="AI475" t="s">
        <v>102</v>
      </c>
      <c r="AL475" t="s">
        <v>102</v>
      </c>
      <c r="AM475" t="s">
        <v>102</v>
      </c>
      <c r="AN475" t="s">
        <v>102</v>
      </c>
      <c r="AO475" t="s">
        <v>115</v>
      </c>
      <c r="AP475" t="s">
        <v>115</v>
      </c>
      <c r="AU475" t="s">
        <v>318</v>
      </c>
      <c r="AV475" t="s">
        <v>250</v>
      </c>
      <c r="AW475" t="s">
        <v>102</v>
      </c>
      <c r="AX475" t="s">
        <v>119</v>
      </c>
      <c r="BB475" t="s">
        <v>120</v>
      </c>
      <c r="BC475" t="s">
        <v>3058</v>
      </c>
      <c r="BD475" t="s">
        <v>320</v>
      </c>
      <c r="BE475" t="s">
        <v>122</v>
      </c>
      <c r="BF475" t="s">
        <v>123</v>
      </c>
      <c r="BG475" t="s">
        <v>124</v>
      </c>
      <c r="BH475" t="s">
        <v>232</v>
      </c>
      <c r="BI475" t="s">
        <v>126</v>
      </c>
      <c r="BJ475" t="s">
        <v>127</v>
      </c>
      <c r="BK475" t="s">
        <v>10515</v>
      </c>
      <c r="BL475" t="s">
        <v>10516</v>
      </c>
      <c r="BM475" t="s">
        <v>10517</v>
      </c>
      <c r="BN475" t="s">
        <v>469</v>
      </c>
      <c r="BO475" t="s">
        <v>1108</v>
      </c>
      <c r="BP475" t="s">
        <v>258</v>
      </c>
      <c r="BQ475" t="s">
        <v>1109</v>
      </c>
      <c r="BR475" t="s">
        <v>1110</v>
      </c>
      <c r="BS475" t="s">
        <v>1111</v>
      </c>
      <c r="BU475" t="s">
        <v>10518</v>
      </c>
      <c r="BV475" t="s">
        <v>4073</v>
      </c>
      <c r="BW475" t="s">
        <v>296</v>
      </c>
      <c r="BX475" t="s">
        <v>4074</v>
      </c>
      <c r="BY475" t="s">
        <v>4075</v>
      </c>
      <c r="BZ475" t="s">
        <v>10519</v>
      </c>
      <c r="CG475" t="s">
        <v>102</v>
      </c>
      <c r="CH475" t="s">
        <v>10520</v>
      </c>
      <c r="CJ475" t="s">
        <v>3070</v>
      </c>
      <c r="CK475" t="s">
        <v>10520</v>
      </c>
      <c r="CL475" t="s">
        <v>3058</v>
      </c>
      <c r="CM475" t="s">
        <v>320</v>
      </c>
      <c r="CN475" t="s">
        <v>3070</v>
      </c>
      <c r="CP475" t="s">
        <v>10520</v>
      </c>
      <c r="CQ475" t="s">
        <v>10520</v>
      </c>
    </row>
    <row r="476" spans="1:95">
      <c r="A476" t="s">
        <v>149</v>
      </c>
      <c r="B476">
        <v>5018151</v>
      </c>
      <c r="C476" t="s">
        <v>10521</v>
      </c>
      <c r="D476" t="str">
        <f>VLOOKUP(B476,'2025'!B:C,2,0)</f>
        <v>Chaitanya</v>
      </c>
      <c r="F476" t="s">
        <v>95</v>
      </c>
      <c r="G476" t="s">
        <v>469</v>
      </c>
      <c r="H476" t="s">
        <v>97</v>
      </c>
      <c r="I476" t="s">
        <v>98</v>
      </c>
      <c r="J476" t="s">
        <v>10522</v>
      </c>
      <c r="K476" t="s">
        <v>100</v>
      </c>
      <c r="L476">
        <v>0</v>
      </c>
      <c r="M476">
        <v>0</v>
      </c>
      <c r="N476">
        <v>0</v>
      </c>
      <c r="O476">
        <v>30</v>
      </c>
      <c r="P476" t="s">
        <v>102</v>
      </c>
      <c r="Q476">
        <v>0</v>
      </c>
      <c r="R476">
        <v>0</v>
      </c>
      <c r="T476">
        <v>0</v>
      </c>
      <c r="U476">
        <v>0</v>
      </c>
      <c r="W476" t="s">
        <v>102</v>
      </c>
      <c r="X476" t="s">
        <v>275</v>
      </c>
      <c r="Z476" t="s">
        <v>158</v>
      </c>
      <c r="AA476" t="s">
        <v>109</v>
      </c>
      <c r="AB476" t="s">
        <v>102</v>
      </c>
      <c r="AC476" t="s">
        <v>109</v>
      </c>
      <c r="AD476" t="s">
        <v>102</v>
      </c>
      <c r="AE476" t="s">
        <v>109</v>
      </c>
      <c r="AF476" t="s">
        <v>102</v>
      </c>
      <c r="AG476" t="s">
        <v>109</v>
      </c>
      <c r="AH476" t="s">
        <v>102</v>
      </c>
      <c r="AI476" t="s">
        <v>102</v>
      </c>
      <c r="AL476" t="s">
        <v>102</v>
      </c>
      <c r="AM476" t="s">
        <v>102</v>
      </c>
      <c r="AN476" t="s">
        <v>102</v>
      </c>
      <c r="AO476" t="s">
        <v>115</v>
      </c>
      <c r="AP476" t="s">
        <v>115</v>
      </c>
      <c r="AU476" t="s">
        <v>318</v>
      </c>
      <c r="AV476" t="s">
        <v>250</v>
      </c>
      <c r="AW476" t="s">
        <v>102</v>
      </c>
      <c r="AX476" t="s">
        <v>119</v>
      </c>
      <c r="BB476" t="s">
        <v>120</v>
      </c>
      <c r="BC476" t="s">
        <v>3058</v>
      </c>
      <c r="BD476" t="s">
        <v>320</v>
      </c>
      <c r="BE476" t="s">
        <v>122</v>
      </c>
      <c r="BF476" t="s">
        <v>123</v>
      </c>
      <c r="BG476" t="s">
        <v>124</v>
      </c>
      <c r="BH476" t="s">
        <v>232</v>
      </c>
      <c r="BI476" t="s">
        <v>126</v>
      </c>
      <c r="BJ476" t="s">
        <v>127</v>
      </c>
      <c r="BK476" t="s">
        <v>10523</v>
      </c>
      <c r="BL476" t="s">
        <v>10524</v>
      </c>
      <c r="BM476" t="s">
        <v>10525</v>
      </c>
      <c r="BN476" t="s">
        <v>469</v>
      </c>
      <c r="BO476" t="s">
        <v>1108</v>
      </c>
      <c r="BP476" t="s">
        <v>258</v>
      </c>
      <c r="BQ476" t="s">
        <v>1109</v>
      </c>
      <c r="BR476" t="s">
        <v>1110</v>
      </c>
      <c r="BS476" t="s">
        <v>1111</v>
      </c>
      <c r="BU476" t="s">
        <v>10526</v>
      </c>
      <c r="BV476" t="s">
        <v>4073</v>
      </c>
      <c r="BW476" t="s">
        <v>296</v>
      </c>
      <c r="BX476" t="s">
        <v>4074</v>
      </c>
      <c r="BY476" t="s">
        <v>4075</v>
      </c>
      <c r="BZ476" t="s">
        <v>10519</v>
      </c>
      <c r="CG476" t="s">
        <v>102</v>
      </c>
      <c r="CH476" t="s">
        <v>10527</v>
      </c>
      <c r="CJ476" t="s">
        <v>3070</v>
      </c>
      <c r="CK476" t="s">
        <v>10527</v>
      </c>
      <c r="CL476" t="s">
        <v>3058</v>
      </c>
      <c r="CM476" t="s">
        <v>320</v>
      </c>
      <c r="CN476" t="s">
        <v>3070</v>
      </c>
      <c r="CP476" t="s">
        <v>10527</v>
      </c>
      <c r="CQ476" t="s">
        <v>10527</v>
      </c>
    </row>
    <row r="477" spans="1:95">
      <c r="A477" t="s">
        <v>149</v>
      </c>
      <c r="B477">
        <v>5018152</v>
      </c>
      <c r="C477" t="s">
        <v>10528</v>
      </c>
      <c r="D477" t="str">
        <f>VLOOKUP(B477,'2025'!B:C,2,0)</f>
        <v>Chaitanya</v>
      </c>
      <c r="F477" t="s">
        <v>95</v>
      </c>
      <c r="G477" t="s">
        <v>7937</v>
      </c>
      <c r="H477" t="s">
        <v>97</v>
      </c>
      <c r="I477" t="s">
        <v>98</v>
      </c>
      <c r="J477" t="s">
        <v>10529</v>
      </c>
      <c r="K477" t="s">
        <v>100</v>
      </c>
      <c r="L477">
        <v>0</v>
      </c>
      <c r="M477">
        <v>0</v>
      </c>
      <c r="N477">
        <v>0</v>
      </c>
      <c r="O477">
        <v>96</v>
      </c>
      <c r="P477" t="s">
        <v>102</v>
      </c>
      <c r="Q477">
        <v>0</v>
      </c>
      <c r="R477">
        <v>0</v>
      </c>
      <c r="T477">
        <v>0</v>
      </c>
      <c r="U477">
        <v>0</v>
      </c>
      <c r="W477" t="s">
        <v>102</v>
      </c>
      <c r="X477" t="s">
        <v>275</v>
      </c>
      <c r="Z477" t="s">
        <v>158</v>
      </c>
      <c r="AA477" t="s">
        <v>109</v>
      </c>
      <c r="AB477" t="s">
        <v>102</v>
      </c>
      <c r="AC477" t="s">
        <v>109</v>
      </c>
      <c r="AD477" t="s">
        <v>102</v>
      </c>
      <c r="AE477" t="s">
        <v>109</v>
      </c>
      <c r="AF477" t="s">
        <v>102</v>
      </c>
      <c r="AG477" t="s">
        <v>109</v>
      </c>
      <c r="AH477" t="s">
        <v>102</v>
      </c>
      <c r="AI477" t="s">
        <v>102</v>
      </c>
      <c r="AL477" t="s">
        <v>102</v>
      </c>
      <c r="AM477" t="s">
        <v>102</v>
      </c>
      <c r="AN477" t="s">
        <v>102</v>
      </c>
      <c r="AO477" t="s">
        <v>115</v>
      </c>
      <c r="AP477" t="s">
        <v>115</v>
      </c>
      <c r="AU477" t="s">
        <v>318</v>
      </c>
      <c r="AV477" t="s">
        <v>250</v>
      </c>
      <c r="AW477" t="s">
        <v>102</v>
      </c>
      <c r="AX477" t="s">
        <v>119</v>
      </c>
      <c r="BB477" t="s">
        <v>3678</v>
      </c>
      <c r="BC477" t="s">
        <v>320</v>
      </c>
      <c r="BD477" t="s">
        <v>320</v>
      </c>
      <c r="BE477" t="s">
        <v>122</v>
      </c>
      <c r="BF477" t="s">
        <v>123</v>
      </c>
      <c r="BG477" t="s">
        <v>124</v>
      </c>
      <c r="BH477" t="s">
        <v>232</v>
      </c>
      <c r="BI477" t="s">
        <v>126</v>
      </c>
      <c r="BJ477" t="s">
        <v>127</v>
      </c>
      <c r="BK477" t="s">
        <v>10530</v>
      </c>
      <c r="BL477" t="s">
        <v>10531</v>
      </c>
      <c r="BM477" t="s">
        <v>10532</v>
      </c>
      <c r="BN477" t="s">
        <v>7937</v>
      </c>
      <c r="BO477" t="s">
        <v>1108</v>
      </c>
      <c r="BP477" t="s">
        <v>258</v>
      </c>
      <c r="BQ477" t="s">
        <v>1109</v>
      </c>
      <c r="BR477" t="s">
        <v>1110</v>
      </c>
      <c r="BS477" t="s">
        <v>1111</v>
      </c>
      <c r="BU477" t="s">
        <v>10533</v>
      </c>
      <c r="BV477" t="s">
        <v>10534</v>
      </c>
      <c r="BW477" t="s">
        <v>598</v>
      </c>
      <c r="BX477" t="s">
        <v>4074</v>
      </c>
      <c r="BY477" t="s">
        <v>4075</v>
      </c>
      <c r="BZ477" t="s">
        <v>9785</v>
      </c>
      <c r="CG477" t="s">
        <v>102</v>
      </c>
      <c r="CH477" t="s">
        <v>10535</v>
      </c>
      <c r="CJ477" t="s">
        <v>4160</v>
      </c>
      <c r="CK477" t="s">
        <v>10535</v>
      </c>
      <c r="CL477" t="s">
        <v>320</v>
      </c>
      <c r="CM477" t="s">
        <v>320</v>
      </c>
      <c r="CN477" t="s">
        <v>4160</v>
      </c>
      <c r="CP477" t="s">
        <v>10536</v>
      </c>
      <c r="CQ477" t="s">
        <v>10536</v>
      </c>
    </row>
    <row r="478" spans="1:95">
      <c r="A478" t="s">
        <v>149</v>
      </c>
      <c r="B478">
        <v>5018153</v>
      </c>
      <c r="C478" t="s">
        <v>10537</v>
      </c>
      <c r="D478" t="str">
        <f>VLOOKUP(B478,'2025'!B:C,2,0)</f>
        <v>Chaitanya</v>
      </c>
      <c r="F478" t="s">
        <v>95</v>
      </c>
      <c r="G478" t="s">
        <v>1330</v>
      </c>
      <c r="H478" t="s">
        <v>97</v>
      </c>
      <c r="I478" t="s">
        <v>676</v>
      </c>
      <c r="J478" t="s">
        <v>10538</v>
      </c>
      <c r="K478" t="s">
        <v>100</v>
      </c>
      <c r="L478">
        <v>2285203</v>
      </c>
      <c r="M478">
        <v>2285203</v>
      </c>
      <c r="N478">
        <v>2285203</v>
      </c>
      <c r="O478">
        <v>2749</v>
      </c>
      <c r="P478" t="s">
        <v>4860</v>
      </c>
      <c r="Q478">
        <v>0</v>
      </c>
      <c r="R478">
        <v>0</v>
      </c>
      <c r="T478">
        <v>0</v>
      </c>
      <c r="U478">
        <v>0</v>
      </c>
      <c r="W478" t="s">
        <v>102</v>
      </c>
      <c r="X478" t="s">
        <v>103</v>
      </c>
      <c r="Y478" t="s">
        <v>104</v>
      </c>
      <c r="AA478" t="s">
        <v>10539</v>
      </c>
      <c r="AB478" t="s">
        <v>10540</v>
      </c>
      <c r="AC478" t="s">
        <v>1161</v>
      </c>
      <c r="AD478" t="s">
        <v>10540</v>
      </c>
      <c r="AE478" t="s">
        <v>109</v>
      </c>
      <c r="AF478" t="s">
        <v>102</v>
      </c>
      <c r="AG478" t="s">
        <v>109</v>
      </c>
      <c r="AH478" t="s">
        <v>102</v>
      </c>
      <c r="AI478" t="s">
        <v>10541</v>
      </c>
      <c r="AJ478" t="s">
        <v>5022</v>
      </c>
      <c r="AK478" t="s">
        <v>5928</v>
      </c>
      <c r="AL478" t="s">
        <v>10542</v>
      </c>
      <c r="AM478" t="s">
        <v>10543</v>
      </c>
      <c r="AN478" t="s">
        <v>10544</v>
      </c>
      <c r="AO478" t="s">
        <v>10545</v>
      </c>
      <c r="AP478" t="s">
        <v>10546</v>
      </c>
      <c r="AR478" t="s">
        <v>169</v>
      </c>
      <c r="AU478" t="s">
        <v>318</v>
      </c>
      <c r="AV478" t="s">
        <v>250</v>
      </c>
      <c r="AW478" t="s">
        <v>102</v>
      </c>
      <c r="AX478" t="s">
        <v>119</v>
      </c>
      <c r="BB478" t="s">
        <v>120</v>
      </c>
      <c r="BC478" t="s">
        <v>1407</v>
      </c>
      <c r="BD478" t="s">
        <v>449</v>
      </c>
      <c r="BE478" t="s">
        <v>122</v>
      </c>
      <c r="BF478" t="s">
        <v>450</v>
      </c>
      <c r="BG478" t="s">
        <v>124</v>
      </c>
      <c r="BH478" t="s">
        <v>232</v>
      </c>
      <c r="BI478" t="s">
        <v>126</v>
      </c>
      <c r="BJ478" t="s">
        <v>127</v>
      </c>
      <c r="BK478" t="s">
        <v>10547</v>
      </c>
      <c r="BL478" t="s">
        <v>10548</v>
      </c>
      <c r="BM478" t="s">
        <v>10549</v>
      </c>
      <c r="BN478" t="s">
        <v>1330</v>
      </c>
      <c r="BO478" t="s">
        <v>1108</v>
      </c>
      <c r="BP478" t="s">
        <v>350</v>
      </c>
      <c r="BQ478" t="s">
        <v>1109</v>
      </c>
      <c r="BR478" t="s">
        <v>1110</v>
      </c>
      <c r="BS478" t="s">
        <v>1111</v>
      </c>
      <c r="BU478" t="s">
        <v>10550</v>
      </c>
      <c r="BV478" t="s">
        <v>4073</v>
      </c>
      <c r="BW478" t="s">
        <v>296</v>
      </c>
      <c r="BX478" t="s">
        <v>4074</v>
      </c>
      <c r="BY478" t="s">
        <v>4075</v>
      </c>
      <c r="CG478" t="s">
        <v>102</v>
      </c>
      <c r="CH478" t="s">
        <v>10551</v>
      </c>
      <c r="CJ478" t="s">
        <v>1419</v>
      </c>
      <c r="CK478" t="s">
        <v>10551</v>
      </c>
      <c r="CL478" t="s">
        <v>1407</v>
      </c>
      <c r="CM478" t="s">
        <v>449</v>
      </c>
      <c r="CN478" t="s">
        <v>1419</v>
      </c>
      <c r="CO478" t="s">
        <v>5919</v>
      </c>
      <c r="CP478" t="s">
        <v>10551</v>
      </c>
      <c r="CQ478" t="s">
        <v>10551</v>
      </c>
    </row>
    <row r="479" spans="1:95">
      <c r="A479" t="s">
        <v>495</v>
      </c>
      <c r="B479">
        <v>5018164</v>
      </c>
      <c r="C479" t="s">
        <v>10552</v>
      </c>
      <c r="F479" t="s">
        <v>95</v>
      </c>
      <c r="G479" t="s">
        <v>10539</v>
      </c>
      <c r="H479" t="s">
        <v>848</v>
      </c>
      <c r="I479" t="s">
        <v>98</v>
      </c>
      <c r="J479" t="s">
        <v>10553</v>
      </c>
      <c r="K479" t="s">
        <v>100</v>
      </c>
      <c r="L479">
        <v>101232</v>
      </c>
      <c r="M479">
        <v>119454</v>
      </c>
      <c r="N479">
        <v>0</v>
      </c>
      <c r="O479">
        <v>0</v>
      </c>
      <c r="Q479">
        <v>0</v>
      </c>
      <c r="R479">
        <v>0</v>
      </c>
      <c r="T479">
        <v>101232</v>
      </c>
      <c r="U479">
        <v>79</v>
      </c>
      <c r="V479" t="s">
        <v>10554</v>
      </c>
      <c r="W479" t="s">
        <v>102</v>
      </c>
      <c r="X479" t="s">
        <v>103</v>
      </c>
      <c r="Y479" t="s">
        <v>104</v>
      </c>
      <c r="AA479" t="s">
        <v>400</v>
      </c>
      <c r="AB479" t="s">
        <v>10555</v>
      </c>
      <c r="AC479" t="s">
        <v>648</v>
      </c>
      <c r="AD479" t="s">
        <v>10556</v>
      </c>
      <c r="AE479" t="s">
        <v>109</v>
      </c>
      <c r="AF479" t="s">
        <v>102</v>
      </c>
      <c r="AG479" t="s">
        <v>109</v>
      </c>
      <c r="AH479" t="s">
        <v>102</v>
      </c>
      <c r="AI479" t="s">
        <v>10557</v>
      </c>
      <c r="AJ479" t="s">
        <v>1571</v>
      </c>
      <c r="AK479" t="s">
        <v>1571</v>
      </c>
      <c r="AL479" t="s">
        <v>10558</v>
      </c>
      <c r="AM479" t="s">
        <v>10559</v>
      </c>
      <c r="AN479" t="s">
        <v>10560</v>
      </c>
      <c r="AO479" t="s">
        <v>10561</v>
      </c>
      <c r="AP479" t="s">
        <v>10561</v>
      </c>
      <c r="AU479" t="s">
        <v>102</v>
      </c>
      <c r="AW479" t="s">
        <v>102</v>
      </c>
      <c r="AX479" t="s">
        <v>119</v>
      </c>
      <c r="BA479" t="s">
        <v>250</v>
      </c>
      <c r="BB479" t="s">
        <v>120</v>
      </c>
      <c r="BC479" t="s">
        <v>6389</v>
      </c>
      <c r="BD479" t="s">
        <v>6390</v>
      </c>
      <c r="BE479" t="s">
        <v>212</v>
      </c>
      <c r="BF479" t="s">
        <v>286</v>
      </c>
      <c r="BG479" t="s">
        <v>124</v>
      </c>
      <c r="BH479" t="s">
        <v>400</v>
      </c>
      <c r="BI479" t="s">
        <v>9770</v>
      </c>
      <c r="BJ479" t="s">
        <v>127</v>
      </c>
      <c r="BK479" t="s">
        <v>10562</v>
      </c>
      <c r="BL479" t="s">
        <v>10563</v>
      </c>
      <c r="BM479" t="s">
        <v>10564</v>
      </c>
      <c r="BN479" t="s">
        <v>10539</v>
      </c>
      <c r="BO479" t="s">
        <v>2615</v>
      </c>
      <c r="BP479" t="s">
        <v>505</v>
      </c>
      <c r="BQ479" t="s">
        <v>2616</v>
      </c>
      <c r="BR479" t="s">
        <v>2617</v>
      </c>
      <c r="BS479" t="s">
        <v>737</v>
      </c>
      <c r="BU479" t="s">
        <v>10565</v>
      </c>
      <c r="BV479" t="s">
        <v>10566</v>
      </c>
      <c r="BW479" t="s">
        <v>138</v>
      </c>
      <c r="BX479" t="s">
        <v>10567</v>
      </c>
      <c r="BY479" t="s">
        <v>10568</v>
      </c>
      <c r="BZ479" t="s">
        <v>10567</v>
      </c>
      <c r="CG479" t="s">
        <v>7248</v>
      </c>
      <c r="CH479" t="s">
        <v>10569</v>
      </c>
      <c r="CJ479" t="s">
        <v>102</v>
      </c>
      <c r="CK479" t="s">
        <v>10570</v>
      </c>
      <c r="CL479" t="s">
        <v>6389</v>
      </c>
      <c r="CM479" t="s">
        <v>6390</v>
      </c>
      <c r="CN479" t="s">
        <v>102</v>
      </c>
      <c r="CP479" t="s">
        <v>10569</v>
      </c>
      <c r="CQ479" t="s">
        <v>10570</v>
      </c>
    </row>
    <row r="480" spans="1:95">
      <c r="A480" t="s">
        <v>337</v>
      </c>
      <c r="B480">
        <v>5018165</v>
      </c>
      <c r="C480" t="s">
        <v>10571</v>
      </c>
      <c r="E480" s="4" t="s">
        <v>17377</v>
      </c>
      <c r="F480" t="s">
        <v>95</v>
      </c>
      <c r="G480" t="s">
        <v>1447</v>
      </c>
      <c r="H480" t="s">
        <v>152</v>
      </c>
      <c r="I480" t="s">
        <v>98</v>
      </c>
      <c r="J480" t="s">
        <v>10572</v>
      </c>
      <c r="K480" t="s">
        <v>100</v>
      </c>
      <c r="L480">
        <v>378222</v>
      </c>
      <c r="M480">
        <v>378222</v>
      </c>
      <c r="N480">
        <v>0</v>
      </c>
      <c r="O480">
        <v>0</v>
      </c>
      <c r="Q480">
        <v>378222</v>
      </c>
      <c r="R480">
        <v>373</v>
      </c>
      <c r="S480" t="s">
        <v>3505</v>
      </c>
      <c r="T480">
        <v>0</v>
      </c>
      <c r="U480">
        <v>0</v>
      </c>
      <c r="W480" t="s">
        <v>102</v>
      </c>
      <c r="X480" t="s">
        <v>103</v>
      </c>
      <c r="Y480" t="s">
        <v>155</v>
      </c>
      <c r="AA480" t="s">
        <v>2349</v>
      </c>
      <c r="AB480" t="s">
        <v>10573</v>
      </c>
      <c r="AC480" t="s">
        <v>339</v>
      </c>
      <c r="AD480" t="s">
        <v>10573</v>
      </c>
      <c r="AE480" t="s">
        <v>159</v>
      </c>
      <c r="AF480" t="s">
        <v>10573</v>
      </c>
      <c r="AG480" t="s">
        <v>160</v>
      </c>
      <c r="AH480" t="s">
        <v>10573</v>
      </c>
      <c r="AI480" t="s">
        <v>102</v>
      </c>
      <c r="AJ480" t="s">
        <v>1299</v>
      </c>
      <c r="AK480" t="s">
        <v>1299</v>
      </c>
      <c r="AL480" t="s">
        <v>10574</v>
      </c>
      <c r="AM480" t="s">
        <v>4937</v>
      </c>
      <c r="AN480" t="s">
        <v>10575</v>
      </c>
      <c r="AO480" t="s">
        <v>3510</v>
      </c>
      <c r="AP480" t="s">
        <v>3510</v>
      </c>
      <c r="AU480" t="s">
        <v>117</v>
      </c>
      <c r="AV480" t="s">
        <v>118</v>
      </c>
      <c r="AW480" t="s">
        <v>155</v>
      </c>
      <c r="AX480" t="s">
        <v>119</v>
      </c>
      <c r="AY480" t="s">
        <v>170</v>
      </c>
      <c r="AZ480" t="s">
        <v>118</v>
      </c>
      <c r="BB480" t="s">
        <v>120</v>
      </c>
      <c r="BC480" t="s">
        <v>409</v>
      </c>
      <c r="BD480" t="s">
        <v>410</v>
      </c>
      <c r="BE480" t="s">
        <v>212</v>
      </c>
      <c r="BF480" t="s">
        <v>410</v>
      </c>
      <c r="BG480" t="s">
        <v>124</v>
      </c>
      <c r="BH480" t="s">
        <v>214</v>
      </c>
      <c r="BI480" t="s">
        <v>625</v>
      </c>
      <c r="BJ480" t="s">
        <v>127</v>
      </c>
      <c r="BK480" t="s">
        <v>10576</v>
      </c>
      <c r="BL480" t="s">
        <v>10577</v>
      </c>
      <c r="BM480" t="s">
        <v>10578</v>
      </c>
      <c r="BN480" t="s">
        <v>1447</v>
      </c>
      <c r="BO480" t="s">
        <v>1699</v>
      </c>
      <c r="BP480" t="s">
        <v>505</v>
      </c>
      <c r="BQ480" t="s">
        <v>1700</v>
      </c>
      <c r="BR480" t="s">
        <v>1701</v>
      </c>
      <c r="BS480" t="s">
        <v>1702</v>
      </c>
      <c r="BU480" t="s">
        <v>10579</v>
      </c>
      <c r="BV480" t="s">
        <v>10580</v>
      </c>
      <c r="BW480" t="s">
        <v>138</v>
      </c>
      <c r="BX480" t="s">
        <v>10581</v>
      </c>
      <c r="BY480" t="s">
        <v>9712</v>
      </c>
      <c r="BZ480" t="s">
        <v>10582</v>
      </c>
      <c r="CG480" t="s">
        <v>10583</v>
      </c>
      <c r="CH480" t="s">
        <v>10584</v>
      </c>
      <c r="CJ480" t="s">
        <v>10585</v>
      </c>
      <c r="CK480" t="s">
        <v>10584</v>
      </c>
      <c r="CL480" t="s">
        <v>409</v>
      </c>
      <c r="CM480" t="s">
        <v>10076</v>
      </c>
      <c r="CN480" t="s">
        <v>10585</v>
      </c>
      <c r="CP480" t="s">
        <v>10584</v>
      </c>
      <c r="CQ480" t="s">
        <v>10584</v>
      </c>
    </row>
    <row r="481" spans="1:95">
      <c r="A481" t="s">
        <v>337</v>
      </c>
      <c r="B481">
        <v>5018167</v>
      </c>
      <c r="C481" t="s">
        <v>10586</v>
      </c>
      <c r="E481" s="4" t="s">
        <v>17377</v>
      </c>
      <c r="F481" t="s">
        <v>95</v>
      </c>
      <c r="G481" t="s">
        <v>520</v>
      </c>
      <c r="H481" t="s">
        <v>848</v>
      </c>
      <c r="I481" t="s">
        <v>98</v>
      </c>
      <c r="J481" t="s">
        <v>10587</v>
      </c>
      <c r="K481" t="s">
        <v>100</v>
      </c>
      <c r="L481">
        <v>0</v>
      </c>
      <c r="M481">
        <v>0</v>
      </c>
      <c r="N481">
        <v>0</v>
      </c>
      <c r="O481">
        <v>0</v>
      </c>
      <c r="Q481">
        <v>0</v>
      </c>
      <c r="R481">
        <v>0</v>
      </c>
      <c r="T481">
        <v>0</v>
      </c>
      <c r="U481">
        <v>113</v>
      </c>
      <c r="V481" t="s">
        <v>102</v>
      </c>
      <c r="W481" t="s">
        <v>102</v>
      </c>
      <c r="X481" t="s">
        <v>275</v>
      </c>
      <c r="Z481" t="s">
        <v>339</v>
      </c>
      <c r="AA481" t="s">
        <v>109</v>
      </c>
      <c r="AB481" t="s">
        <v>102</v>
      </c>
      <c r="AC481" t="s">
        <v>109</v>
      </c>
      <c r="AD481" t="s">
        <v>102</v>
      </c>
      <c r="AE481" t="s">
        <v>109</v>
      </c>
      <c r="AF481" t="s">
        <v>102</v>
      </c>
      <c r="AG481" t="s">
        <v>109</v>
      </c>
      <c r="AH481" t="s">
        <v>102</v>
      </c>
      <c r="AI481" t="s">
        <v>102</v>
      </c>
      <c r="AL481" t="s">
        <v>102</v>
      </c>
      <c r="AM481" t="s">
        <v>102</v>
      </c>
      <c r="AN481" t="s">
        <v>102</v>
      </c>
      <c r="AO481" t="s">
        <v>115</v>
      </c>
      <c r="AP481" t="s">
        <v>115</v>
      </c>
      <c r="AU481" t="s">
        <v>102</v>
      </c>
      <c r="AW481" t="s">
        <v>102</v>
      </c>
      <c r="AX481" t="s">
        <v>119</v>
      </c>
      <c r="BA481" t="s">
        <v>250</v>
      </c>
      <c r="BB481" t="s">
        <v>209</v>
      </c>
      <c r="BC481" t="s">
        <v>10588</v>
      </c>
      <c r="BD481" t="s">
        <v>173</v>
      </c>
      <c r="BE481" t="s">
        <v>174</v>
      </c>
      <c r="BF481" t="s">
        <v>173</v>
      </c>
      <c r="BG481" t="s">
        <v>124</v>
      </c>
      <c r="BH481" t="s">
        <v>1602</v>
      </c>
      <c r="BI481" t="s">
        <v>411</v>
      </c>
      <c r="BJ481" t="s">
        <v>127</v>
      </c>
      <c r="BK481" t="s">
        <v>10589</v>
      </c>
      <c r="BL481" t="s">
        <v>10590</v>
      </c>
      <c r="BM481" t="s">
        <v>10591</v>
      </c>
      <c r="BN481" t="s">
        <v>520</v>
      </c>
      <c r="BO481" t="s">
        <v>8447</v>
      </c>
      <c r="BP481" t="s">
        <v>180</v>
      </c>
      <c r="BQ481" t="s">
        <v>8448</v>
      </c>
      <c r="BR481" t="s">
        <v>8449</v>
      </c>
      <c r="BS481" t="s">
        <v>8450</v>
      </c>
      <c r="BU481" t="s">
        <v>10592</v>
      </c>
      <c r="BV481" t="s">
        <v>10593</v>
      </c>
      <c r="BW481" t="s">
        <v>569</v>
      </c>
      <c r="BX481" t="s">
        <v>10594</v>
      </c>
      <c r="BY481" t="s">
        <v>10595</v>
      </c>
      <c r="BZ481" t="s">
        <v>10596</v>
      </c>
      <c r="CG481" t="s">
        <v>5042</v>
      </c>
      <c r="CH481" t="s">
        <v>10597</v>
      </c>
      <c r="CJ481" t="s">
        <v>10598</v>
      </c>
      <c r="CK481" t="s">
        <v>10597</v>
      </c>
      <c r="CL481" t="s">
        <v>10588</v>
      </c>
      <c r="CM481" t="s">
        <v>173</v>
      </c>
      <c r="CN481" t="s">
        <v>10598</v>
      </c>
      <c r="CP481" t="s">
        <v>10597</v>
      </c>
      <c r="CQ481" t="s">
        <v>10597</v>
      </c>
    </row>
    <row r="482" spans="1:95">
      <c r="A482" t="s">
        <v>337</v>
      </c>
      <c r="B482">
        <v>5018174</v>
      </c>
      <c r="C482" t="s">
        <v>10599</v>
      </c>
      <c r="D482" t="str">
        <f>VLOOKUP(B482,'2025'!B:C,2,0)</f>
        <v>Nisha Murali</v>
      </c>
      <c r="F482" t="s">
        <v>95</v>
      </c>
      <c r="G482" t="s">
        <v>7125</v>
      </c>
      <c r="H482" t="s">
        <v>152</v>
      </c>
      <c r="I482" t="s">
        <v>98</v>
      </c>
      <c r="J482" t="s">
        <v>10600</v>
      </c>
      <c r="K482" t="s">
        <v>100</v>
      </c>
      <c r="L482">
        <v>0</v>
      </c>
      <c r="M482">
        <v>0</v>
      </c>
      <c r="N482">
        <v>0</v>
      </c>
      <c r="O482">
        <v>0</v>
      </c>
      <c r="Q482">
        <v>0</v>
      </c>
      <c r="R482">
        <v>157</v>
      </c>
      <c r="S482" t="s">
        <v>102</v>
      </c>
      <c r="T482">
        <v>0</v>
      </c>
      <c r="U482">
        <v>0</v>
      </c>
      <c r="W482" t="s">
        <v>102</v>
      </c>
      <c r="X482" t="s">
        <v>275</v>
      </c>
      <c r="Z482" t="s">
        <v>3731</v>
      </c>
      <c r="AA482" t="s">
        <v>109</v>
      </c>
      <c r="AB482" t="s">
        <v>102</v>
      </c>
      <c r="AC482" t="s">
        <v>109</v>
      </c>
      <c r="AD482" t="s">
        <v>102</v>
      </c>
      <c r="AE482" t="s">
        <v>109</v>
      </c>
      <c r="AF482" t="s">
        <v>102</v>
      </c>
      <c r="AG482" t="s">
        <v>109</v>
      </c>
      <c r="AH482" t="s">
        <v>102</v>
      </c>
      <c r="AI482" t="s">
        <v>102</v>
      </c>
      <c r="AL482" t="s">
        <v>102</v>
      </c>
      <c r="AM482" t="s">
        <v>102</v>
      </c>
      <c r="AN482" t="s">
        <v>102</v>
      </c>
      <c r="AO482" t="s">
        <v>115</v>
      </c>
      <c r="AP482" t="s">
        <v>115</v>
      </c>
      <c r="AU482" t="s">
        <v>102</v>
      </c>
      <c r="AW482" t="s">
        <v>1384</v>
      </c>
      <c r="AX482" t="s">
        <v>119</v>
      </c>
      <c r="AZ482" t="s">
        <v>250</v>
      </c>
      <c r="BB482" t="s">
        <v>209</v>
      </c>
      <c r="BC482" t="s">
        <v>1759</v>
      </c>
      <c r="BD482" t="s">
        <v>410</v>
      </c>
      <c r="BE482" t="s">
        <v>212</v>
      </c>
      <c r="BF482" t="s">
        <v>410</v>
      </c>
      <c r="BG482" t="s">
        <v>124</v>
      </c>
      <c r="BH482" t="s">
        <v>400</v>
      </c>
      <c r="BI482" t="s">
        <v>411</v>
      </c>
      <c r="BJ482" t="s">
        <v>127</v>
      </c>
      <c r="BK482" t="s">
        <v>10601</v>
      </c>
      <c r="BL482" t="s">
        <v>10602</v>
      </c>
      <c r="BM482" t="s">
        <v>10603</v>
      </c>
      <c r="BN482" t="s">
        <v>7125</v>
      </c>
      <c r="BO482" t="s">
        <v>415</v>
      </c>
      <c r="BP482" t="s">
        <v>505</v>
      </c>
      <c r="BQ482" t="s">
        <v>416</v>
      </c>
      <c r="BR482" t="s">
        <v>417</v>
      </c>
      <c r="BS482" t="s">
        <v>222</v>
      </c>
      <c r="BU482" t="s">
        <v>10604</v>
      </c>
      <c r="BV482" t="s">
        <v>3585</v>
      </c>
      <c r="BW482" t="s">
        <v>598</v>
      </c>
      <c r="BX482" t="s">
        <v>225</v>
      </c>
      <c r="BY482" t="s">
        <v>10475</v>
      </c>
      <c r="BZ482" t="s">
        <v>1769</v>
      </c>
      <c r="CG482" t="s">
        <v>102</v>
      </c>
      <c r="CH482" t="s">
        <v>1773</v>
      </c>
      <c r="CJ482" t="s">
        <v>1774</v>
      </c>
      <c r="CK482" t="s">
        <v>1773</v>
      </c>
      <c r="CL482" t="s">
        <v>1759</v>
      </c>
      <c r="CM482" t="s">
        <v>410</v>
      </c>
      <c r="CN482" t="s">
        <v>1774</v>
      </c>
      <c r="CP482" t="s">
        <v>1773</v>
      </c>
      <c r="CQ482" t="s">
        <v>1773</v>
      </c>
    </row>
    <row r="483" spans="1:95">
      <c r="A483" t="s">
        <v>495</v>
      </c>
      <c r="B483">
        <v>5018199</v>
      </c>
      <c r="C483" t="s">
        <v>10605</v>
      </c>
      <c r="E483" s="4" t="s">
        <v>17377</v>
      </c>
      <c r="F483" t="s">
        <v>95</v>
      </c>
      <c r="G483" t="s">
        <v>1161</v>
      </c>
      <c r="H483" t="s">
        <v>97</v>
      </c>
      <c r="I483" t="s">
        <v>676</v>
      </c>
      <c r="J483" t="s">
        <v>10606</v>
      </c>
      <c r="K483" t="s">
        <v>100</v>
      </c>
      <c r="L483">
        <v>2404156</v>
      </c>
      <c r="M483">
        <v>2404156</v>
      </c>
      <c r="N483">
        <v>2404156</v>
      </c>
      <c r="O483">
        <v>3435</v>
      </c>
      <c r="P483" t="s">
        <v>799</v>
      </c>
      <c r="Q483">
        <v>0</v>
      </c>
      <c r="R483">
        <v>0</v>
      </c>
      <c r="T483">
        <v>0</v>
      </c>
      <c r="U483">
        <v>0</v>
      </c>
      <c r="W483" t="s">
        <v>102</v>
      </c>
      <c r="X483" t="s">
        <v>103</v>
      </c>
      <c r="Y483" t="s">
        <v>104</v>
      </c>
      <c r="AA483" t="s">
        <v>7712</v>
      </c>
      <c r="AB483" t="s">
        <v>10607</v>
      </c>
      <c r="AC483" t="s">
        <v>680</v>
      </c>
      <c r="AD483" t="s">
        <v>10607</v>
      </c>
      <c r="AE483" t="s">
        <v>109</v>
      </c>
      <c r="AF483" t="s">
        <v>102</v>
      </c>
      <c r="AG483" t="s">
        <v>109</v>
      </c>
      <c r="AH483" t="s">
        <v>102</v>
      </c>
      <c r="AI483" t="s">
        <v>10608</v>
      </c>
      <c r="AJ483" t="s">
        <v>339</v>
      </c>
      <c r="AK483" t="s">
        <v>4660</v>
      </c>
      <c r="AL483" t="s">
        <v>10609</v>
      </c>
      <c r="AM483" t="s">
        <v>10610</v>
      </c>
      <c r="AN483" t="s">
        <v>10611</v>
      </c>
      <c r="AO483" t="s">
        <v>10612</v>
      </c>
      <c r="AP483" t="s">
        <v>10612</v>
      </c>
      <c r="AU483" t="s">
        <v>117</v>
      </c>
      <c r="AV483" t="s">
        <v>118</v>
      </c>
      <c r="AW483" t="s">
        <v>102</v>
      </c>
      <c r="AX483" t="s">
        <v>119</v>
      </c>
      <c r="BB483" t="s">
        <v>209</v>
      </c>
      <c r="BC483" t="s">
        <v>623</v>
      </c>
      <c r="BD483" t="s">
        <v>621</v>
      </c>
      <c r="BE483" t="s">
        <v>622</v>
      </c>
      <c r="BF483" t="s">
        <v>623</v>
      </c>
      <c r="BG483" t="s">
        <v>124</v>
      </c>
      <c r="BH483" t="s">
        <v>1161</v>
      </c>
      <c r="BI483" t="s">
        <v>160</v>
      </c>
      <c r="BJ483" t="s">
        <v>127</v>
      </c>
      <c r="BK483" t="s">
        <v>10613</v>
      </c>
      <c r="BL483" t="s">
        <v>10614</v>
      </c>
      <c r="BM483" t="s">
        <v>10615</v>
      </c>
      <c r="BN483" t="s">
        <v>1161</v>
      </c>
      <c r="BO483" t="s">
        <v>1670</v>
      </c>
      <c r="BP483" t="s">
        <v>505</v>
      </c>
      <c r="BQ483" t="s">
        <v>1671</v>
      </c>
      <c r="BR483" t="s">
        <v>1672</v>
      </c>
      <c r="BS483" t="s">
        <v>507</v>
      </c>
      <c r="BU483" t="s">
        <v>10616</v>
      </c>
      <c r="BV483" t="s">
        <v>10617</v>
      </c>
      <c r="BW483" t="s">
        <v>598</v>
      </c>
      <c r="BX483" t="s">
        <v>10618</v>
      </c>
      <c r="BY483" t="s">
        <v>10619</v>
      </c>
      <c r="BZ483" t="s">
        <v>10620</v>
      </c>
      <c r="CG483" t="s">
        <v>10621</v>
      </c>
      <c r="CH483" t="s">
        <v>10622</v>
      </c>
      <c r="CJ483" t="s">
        <v>1351</v>
      </c>
      <c r="CK483" t="s">
        <v>10622</v>
      </c>
      <c r="CL483" t="s">
        <v>623</v>
      </c>
      <c r="CM483" t="s">
        <v>621</v>
      </c>
      <c r="CN483" t="s">
        <v>1351</v>
      </c>
      <c r="CP483" t="s">
        <v>10622</v>
      </c>
      <c r="CQ483" t="s">
        <v>10622</v>
      </c>
    </row>
    <row r="484" spans="1:95">
      <c r="A484" t="s">
        <v>149</v>
      </c>
      <c r="B484">
        <v>5018231</v>
      </c>
      <c r="C484" t="s">
        <v>10623</v>
      </c>
      <c r="E484" s="4" t="s">
        <v>23422</v>
      </c>
      <c r="F484" t="s">
        <v>95</v>
      </c>
      <c r="G484" t="s">
        <v>1603</v>
      </c>
      <c r="H484" t="s">
        <v>152</v>
      </c>
      <c r="I484" t="s">
        <v>98</v>
      </c>
      <c r="J484" t="s">
        <v>10624</v>
      </c>
      <c r="K484" t="s">
        <v>100</v>
      </c>
      <c r="L484">
        <v>0</v>
      </c>
      <c r="M484">
        <v>0</v>
      </c>
      <c r="N484">
        <v>0</v>
      </c>
      <c r="O484">
        <v>0</v>
      </c>
      <c r="Q484">
        <v>0</v>
      </c>
      <c r="R484">
        <v>17</v>
      </c>
      <c r="S484" t="s">
        <v>102</v>
      </c>
      <c r="T484">
        <v>0</v>
      </c>
      <c r="U484">
        <v>0</v>
      </c>
      <c r="W484" t="s">
        <v>102</v>
      </c>
      <c r="X484" t="s">
        <v>275</v>
      </c>
      <c r="Z484" t="s">
        <v>1603</v>
      </c>
      <c r="AA484" t="s">
        <v>109</v>
      </c>
      <c r="AB484" t="s">
        <v>102</v>
      </c>
      <c r="AC484" t="s">
        <v>109</v>
      </c>
      <c r="AD484" t="s">
        <v>102</v>
      </c>
      <c r="AE484" t="s">
        <v>109</v>
      </c>
      <c r="AF484" t="s">
        <v>102</v>
      </c>
      <c r="AG484" t="s">
        <v>109</v>
      </c>
      <c r="AH484" t="s">
        <v>102</v>
      </c>
      <c r="AI484" t="s">
        <v>102</v>
      </c>
      <c r="AL484" t="s">
        <v>102</v>
      </c>
      <c r="AM484" t="s">
        <v>102</v>
      </c>
      <c r="AN484" t="s">
        <v>102</v>
      </c>
      <c r="AO484" t="s">
        <v>115</v>
      </c>
      <c r="AP484" t="s">
        <v>115</v>
      </c>
      <c r="AU484" t="s">
        <v>102</v>
      </c>
      <c r="AW484" t="s">
        <v>104</v>
      </c>
      <c r="AX484" t="s">
        <v>119</v>
      </c>
      <c r="AY484" t="s">
        <v>170</v>
      </c>
      <c r="AZ484" t="s">
        <v>118</v>
      </c>
      <c r="BB484" t="s">
        <v>1242</v>
      </c>
      <c r="BC484" t="s">
        <v>2327</v>
      </c>
      <c r="BD484" t="s">
        <v>730</v>
      </c>
      <c r="BE484" t="s">
        <v>622</v>
      </c>
      <c r="BF484" t="s">
        <v>730</v>
      </c>
      <c r="BG484" t="s">
        <v>124</v>
      </c>
      <c r="BH484" t="s">
        <v>977</v>
      </c>
      <c r="BI484" t="s">
        <v>126</v>
      </c>
      <c r="BJ484" t="s">
        <v>127</v>
      </c>
      <c r="BK484" t="s">
        <v>10625</v>
      </c>
      <c r="BL484" t="s">
        <v>10626</v>
      </c>
      <c r="BM484" t="s">
        <v>10627</v>
      </c>
      <c r="BN484" t="s">
        <v>1603</v>
      </c>
      <c r="BO484" t="s">
        <v>3606</v>
      </c>
      <c r="BP484" t="s">
        <v>258</v>
      </c>
      <c r="BQ484" t="s">
        <v>3607</v>
      </c>
      <c r="BR484" t="s">
        <v>3608</v>
      </c>
      <c r="BS484" t="s">
        <v>2525</v>
      </c>
      <c r="BU484" t="s">
        <v>10628</v>
      </c>
      <c r="BV484" t="s">
        <v>10629</v>
      </c>
      <c r="BW484" t="s">
        <v>138</v>
      </c>
      <c r="BX484" t="s">
        <v>3611</v>
      </c>
      <c r="BY484" t="s">
        <v>3612</v>
      </c>
      <c r="BZ484" t="s">
        <v>3613</v>
      </c>
      <c r="CG484" t="s">
        <v>102</v>
      </c>
      <c r="CH484" t="s">
        <v>3614</v>
      </c>
      <c r="CJ484" t="s">
        <v>3615</v>
      </c>
      <c r="CK484" t="s">
        <v>3614</v>
      </c>
      <c r="CL484" t="s">
        <v>2327</v>
      </c>
      <c r="CM484" t="s">
        <v>730</v>
      </c>
      <c r="CN484" t="s">
        <v>3615</v>
      </c>
      <c r="CP484" t="s">
        <v>3614</v>
      </c>
      <c r="CQ484" t="s">
        <v>3614</v>
      </c>
    </row>
    <row r="485" spans="1:95">
      <c r="A485" t="s">
        <v>337</v>
      </c>
      <c r="B485">
        <v>5018233</v>
      </c>
      <c r="C485" t="s">
        <v>10630</v>
      </c>
      <c r="D485" t="str">
        <f>VLOOKUP(B485,'2025'!B:C,2,0)</f>
        <v>Chaitanya</v>
      </c>
      <c r="F485" t="s">
        <v>95</v>
      </c>
      <c r="G485" t="s">
        <v>10631</v>
      </c>
      <c r="H485" t="s">
        <v>2193</v>
      </c>
      <c r="I485" t="s">
        <v>98</v>
      </c>
      <c r="J485" t="s">
        <v>10632</v>
      </c>
      <c r="K485" t="s">
        <v>100</v>
      </c>
      <c r="L485">
        <v>400000</v>
      </c>
      <c r="M485">
        <v>472000</v>
      </c>
      <c r="N485">
        <v>0</v>
      </c>
      <c r="O485">
        <v>1548</v>
      </c>
      <c r="P485" t="s">
        <v>102</v>
      </c>
      <c r="Q485">
        <v>0</v>
      </c>
      <c r="R485">
        <v>0</v>
      </c>
      <c r="S485" t="s">
        <v>102</v>
      </c>
      <c r="T485">
        <v>0</v>
      </c>
      <c r="U485">
        <v>0</v>
      </c>
      <c r="V485" t="s">
        <v>102</v>
      </c>
      <c r="W485" t="s">
        <v>2195</v>
      </c>
      <c r="X485" t="s">
        <v>103</v>
      </c>
      <c r="Y485" t="s">
        <v>2196</v>
      </c>
      <c r="Z485" t="s">
        <v>558</v>
      </c>
      <c r="AA485" t="s">
        <v>10631</v>
      </c>
      <c r="AB485" t="s">
        <v>102</v>
      </c>
      <c r="AC485" t="s">
        <v>10633</v>
      </c>
      <c r="AD485" t="s">
        <v>102</v>
      </c>
      <c r="AE485" t="s">
        <v>10634</v>
      </c>
      <c r="AF485" t="s">
        <v>102</v>
      </c>
      <c r="AG485" t="s">
        <v>10635</v>
      </c>
      <c r="AH485" t="s">
        <v>102</v>
      </c>
      <c r="AI485" t="s">
        <v>102</v>
      </c>
      <c r="AJ485" t="s">
        <v>558</v>
      </c>
      <c r="AK485" t="s">
        <v>558</v>
      </c>
      <c r="AL485" t="s">
        <v>2195</v>
      </c>
      <c r="AM485" t="s">
        <v>102</v>
      </c>
      <c r="AN485" t="s">
        <v>2195</v>
      </c>
      <c r="AO485" t="s">
        <v>2202</v>
      </c>
      <c r="AP485" t="s">
        <v>2202</v>
      </c>
      <c r="AQ485" t="s">
        <v>102</v>
      </c>
      <c r="AR485" t="s">
        <v>102</v>
      </c>
      <c r="AS485" t="s">
        <v>102</v>
      </c>
      <c r="AT485" t="s">
        <v>102</v>
      </c>
      <c r="AU485" t="s">
        <v>247</v>
      </c>
      <c r="AV485" t="s">
        <v>118</v>
      </c>
      <c r="AW485" t="s">
        <v>102</v>
      </c>
      <c r="AX485" t="s">
        <v>119</v>
      </c>
      <c r="BB485" t="s">
        <v>120</v>
      </c>
      <c r="BC485" t="s">
        <v>1407</v>
      </c>
      <c r="BD485" t="s">
        <v>449</v>
      </c>
      <c r="BE485" t="s">
        <v>122</v>
      </c>
      <c r="BF485" t="s">
        <v>4256</v>
      </c>
      <c r="BG485" t="s">
        <v>124</v>
      </c>
      <c r="BH485" t="s">
        <v>10636</v>
      </c>
      <c r="BI485" t="s">
        <v>10637</v>
      </c>
      <c r="BJ485" t="s">
        <v>2207</v>
      </c>
      <c r="BK485" t="s">
        <v>10638</v>
      </c>
      <c r="BL485" t="s">
        <v>10639</v>
      </c>
      <c r="BM485" t="s">
        <v>10640</v>
      </c>
      <c r="BN485" t="s">
        <v>10631</v>
      </c>
      <c r="BO485" t="s">
        <v>2766</v>
      </c>
      <c r="BP485" t="s">
        <v>3064</v>
      </c>
      <c r="BQ485" t="s">
        <v>2213</v>
      </c>
      <c r="BR485" t="s">
        <v>2214</v>
      </c>
      <c r="BS485" t="s">
        <v>2215</v>
      </c>
      <c r="BT485" t="s">
        <v>2216</v>
      </c>
      <c r="BU485" t="s">
        <v>10641</v>
      </c>
      <c r="BV485" t="s">
        <v>10642</v>
      </c>
      <c r="BW485" t="s">
        <v>138</v>
      </c>
      <c r="BX485" t="s">
        <v>225</v>
      </c>
      <c r="BY485" t="s">
        <v>226</v>
      </c>
      <c r="BZ485" t="s">
        <v>10643</v>
      </c>
      <c r="CG485" t="s">
        <v>9365</v>
      </c>
      <c r="CH485" t="s">
        <v>10644</v>
      </c>
      <c r="CJ485" t="s">
        <v>3786</v>
      </c>
      <c r="CK485" t="s">
        <v>10644</v>
      </c>
      <c r="CL485" t="s">
        <v>1407</v>
      </c>
      <c r="CM485" t="s">
        <v>449</v>
      </c>
      <c r="CN485" t="s">
        <v>3786</v>
      </c>
      <c r="CP485" t="s">
        <v>10644</v>
      </c>
      <c r="CQ485" t="s">
        <v>10644</v>
      </c>
    </row>
    <row r="486" spans="1:95">
      <c r="A486" t="s">
        <v>337</v>
      </c>
      <c r="B486">
        <v>5018234</v>
      </c>
      <c r="C486" t="s">
        <v>10645</v>
      </c>
      <c r="D486" t="str">
        <f>VLOOKUP(B486,'2025'!B:C,2,0)</f>
        <v>Chaitanya</v>
      </c>
      <c r="F486" t="s">
        <v>95</v>
      </c>
      <c r="G486" t="s">
        <v>10646</v>
      </c>
      <c r="H486" t="s">
        <v>2193</v>
      </c>
      <c r="I486" t="s">
        <v>98</v>
      </c>
      <c r="J486" t="s">
        <v>10647</v>
      </c>
      <c r="K486" t="s">
        <v>100</v>
      </c>
      <c r="L486">
        <v>400000</v>
      </c>
      <c r="M486">
        <v>472000</v>
      </c>
      <c r="N486">
        <v>0</v>
      </c>
      <c r="O486">
        <v>1134</v>
      </c>
      <c r="P486" t="s">
        <v>102</v>
      </c>
      <c r="Q486">
        <v>0</v>
      </c>
      <c r="R486">
        <v>0</v>
      </c>
      <c r="S486" t="s">
        <v>102</v>
      </c>
      <c r="T486">
        <v>0</v>
      </c>
      <c r="U486">
        <v>0</v>
      </c>
      <c r="V486" t="s">
        <v>102</v>
      </c>
      <c r="W486" t="s">
        <v>2195</v>
      </c>
      <c r="X486" t="s">
        <v>103</v>
      </c>
      <c r="Y486" t="s">
        <v>2196</v>
      </c>
      <c r="Z486" t="s">
        <v>993</v>
      </c>
      <c r="AA486" t="s">
        <v>10646</v>
      </c>
      <c r="AB486" t="s">
        <v>102</v>
      </c>
      <c r="AC486" t="s">
        <v>10648</v>
      </c>
      <c r="AD486" t="s">
        <v>102</v>
      </c>
      <c r="AE486" t="s">
        <v>10649</v>
      </c>
      <c r="AF486" t="s">
        <v>102</v>
      </c>
      <c r="AG486" t="s">
        <v>10650</v>
      </c>
      <c r="AH486" t="s">
        <v>102</v>
      </c>
      <c r="AI486" t="s">
        <v>102</v>
      </c>
      <c r="AJ486" t="s">
        <v>993</v>
      </c>
      <c r="AK486" t="s">
        <v>993</v>
      </c>
      <c r="AL486" t="s">
        <v>2195</v>
      </c>
      <c r="AM486" t="s">
        <v>102</v>
      </c>
      <c r="AN486" t="s">
        <v>2195</v>
      </c>
      <c r="AO486" t="s">
        <v>2202</v>
      </c>
      <c r="AP486" t="s">
        <v>2202</v>
      </c>
      <c r="AQ486" t="s">
        <v>102</v>
      </c>
      <c r="AR486" t="s">
        <v>102</v>
      </c>
      <c r="AS486" t="s">
        <v>102</v>
      </c>
      <c r="AT486" t="s">
        <v>102</v>
      </c>
      <c r="AU486" t="s">
        <v>247</v>
      </c>
      <c r="AV486" t="s">
        <v>118</v>
      </c>
      <c r="AW486" t="s">
        <v>102</v>
      </c>
      <c r="AX486" t="s">
        <v>119</v>
      </c>
      <c r="BB486" t="s">
        <v>120</v>
      </c>
      <c r="BC486" t="s">
        <v>4864</v>
      </c>
      <c r="BD486" t="s">
        <v>621</v>
      </c>
      <c r="BE486" t="s">
        <v>10651</v>
      </c>
      <c r="BF486" t="s">
        <v>10652</v>
      </c>
      <c r="BG486" t="s">
        <v>124</v>
      </c>
      <c r="BH486" t="s">
        <v>10653</v>
      </c>
      <c r="BI486" t="s">
        <v>10654</v>
      </c>
      <c r="BJ486" t="s">
        <v>2207</v>
      </c>
      <c r="BK486" t="s">
        <v>10655</v>
      </c>
      <c r="BL486" t="s">
        <v>10656</v>
      </c>
      <c r="BM486" t="s">
        <v>10657</v>
      </c>
      <c r="BN486" t="s">
        <v>10646</v>
      </c>
      <c r="BO486" t="s">
        <v>2766</v>
      </c>
      <c r="BP486" t="s">
        <v>3064</v>
      </c>
      <c r="BQ486" t="s">
        <v>2213</v>
      </c>
      <c r="BR486" t="s">
        <v>2214</v>
      </c>
      <c r="BS486" t="s">
        <v>2215</v>
      </c>
      <c r="BT486" t="s">
        <v>2216</v>
      </c>
      <c r="BU486" t="s">
        <v>10658</v>
      </c>
      <c r="BV486" t="s">
        <v>10659</v>
      </c>
      <c r="BW486" t="s">
        <v>138</v>
      </c>
      <c r="BX486" t="s">
        <v>225</v>
      </c>
      <c r="BY486" t="s">
        <v>226</v>
      </c>
      <c r="BZ486" t="s">
        <v>10660</v>
      </c>
      <c r="CG486" t="s">
        <v>10661</v>
      </c>
      <c r="CH486" t="s">
        <v>10662</v>
      </c>
      <c r="CJ486" t="s">
        <v>5937</v>
      </c>
      <c r="CK486" t="s">
        <v>10663</v>
      </c>
      <c r="CL486" t="s">
        <v>4864</v>
      </c>
      <c r="CM486" t="s">
        <v>621</v>
      </c>
      <c r="CN486" t="s">
        <v>5937</v>
      </c>
      <c r="CP486" t="s">
        <v>10662</v>
      </c>
      <c r="CQ486" t="s">
        <v>10663</v>
      </c>
    </row>
    <row r="487" spans="1:95">
      <c r="A487" t="s">
        <v>337</v>
      </c>
      <c r="B487">
        <v>5018316</v>
      </c>
      <c r="C487" t="s">
        <v>10664</v>
      </c>
      <c r="E487" s="4" t="s">
        <v>17377</v>
      </c>
      <c r="F487" t="s">
        <v>95</v>
      </c>
      <c r="G487" t="s">
        <v>10665</v>
      </c>
      <c r="H487" t="s">
        <v>152</v>
      </c>
      <c r="I487" t="s">
        <v>98</v>
      </c>
      <c r="J487" t="s">
        <v>10666</v>
      </c>
      <c r="K487" t="s">
        <v>100</v>
      </c>
      <c r="L487">
        <v>0</v>
      </c>
      <c r="M487">
        <v>0</v>
      </c>
      <c r="N487">
        <v>0</v>
      </c>
      <c r="O487">
        <v>0</v>
      </c>
      <c r="Q487">
        <v>0</v>
      </c>
      <c r="R487">
        <v>57</v>
      </c>
      <c r="S487" t="s">
        <v>102</v>
      </c>
      <c r="T487">
        <v>0</v>
      </c>
      <c r="U487">
        <v>0</v>
      </c>
      <c r="W487" t="s">
        <v>102</v>
      </c>
      <c r="X487" t="s">
        <v>679</v>
      </c>
      <c r="Y487" t="s">
        <v>155</v>
      </c>
      <c r="Z487" t="s">
        <v>680</v>
      </c>
      <c r="AA487" t="s">
        <v>10667</v>
      </c>
      <c r="AB487" t="s">
        <v>102</v>
      </c>
      <c r="AC487" t="s">
        <v>10668</v>
      </c>
      <c r="AD487" t="s">
        <v>102</v>
      </c>
      <c r="AE487" t="s">
        <v>8438</v>
      </c>
      <c r="AF487" t="s">
        <v>102</v>
      </c>
      <c r="AG487" t="s">
        <v>2013</v>
      </c>
      <c r="AH487" t="s">
        <v>102</v>
      </c>
      <c r="AI487" t="s">
        <v>10669</v>
      </c>
      <c r="AJ487" t="s">
        <v>3255</v>
      </c>
      <c r="AK487" t="s">
        <v>1097</v>
      </c>
      <c r="AL487" t="s">
        <v>102</v>
      </c>
      <c r="AM487" t="s">
        <v>10670</v>
      </c>
      <c r="AN487" t="s">
        <v>10671</v>
      </c>
      <c r="AO487" t="s">
        <v>115</v>
      </c>
      <c r="AP487" t="s">
        <v>115</v>
      </c>
      <c r="AU487" t="s">
        <v>102</v>
      </c>
      <c r="AW487" t="s">
        <v>104</v>
      </c>
      <c r="AX487" t="s">
        <v>249</v>
      </c>
      <c r="AY487" t="s">
        <v>1138</v>
      </c>
      <c r="AZ487" t="s">
        <v>118</v>
      </c>
      <c r="BB487" t="s">
        <v>120</v>
      </c>
      <c r="BC487" t="s">
        <v>1104</v>
      </c>
      <c r="BD487" t="s">
        <v>449</v>
      </c>
      <c r="BE487" t="s">
        <v>122</v>
      </c>
      <c r="BF487" t="s">
        <v>253</v>
      </c>
      <c r="BG487" t="s">
        <v>124</v>
      </c>
      <c r="BH487" t="s">
        <v>499</v>
      </c>
      <c r="BI487" t="s">
        <v>126</v>
      </c>
      <c r="BJ487" t="s">
        <v>127</v>
      </c>
      <c r="BK487" t="s">
        <v>10672</v>
      </c>
      <c r="BL487" t="s">
        <v>10673</v>
      </c>
      <c r="BM487" t="s">
        <v>10674</v>
      </c>
      <c r="BN487" t="s">
        <v>10665</v>
      </c>
      <c r="BO487" t="s">
        <v>10675</v>
      </c>
      <c r="BP487" t="s">
        <v>505</v>
      </c>
      <c r="BQ487" t="s">
        <v>10676</v>
      </c>
      <c r="BR487" t="s">
        <v>10677</v>
      </c>
      <c r="BS487" t="s">
        <v>10678</v>
      </c>
      <c r="BU487" t="s">
        <v>10679</v>
      </c>
      <c r="BV487" t="s">
        <v>10680</v>
      </c>
      <c r="BW487" t="s">
        <v>354</v>
      </c>
      <c r="BX487" t="s">
        <v>225</v>
      </c>
      <c r="BY487" t="s">
        <v>10681</v>
      </c>
      <c r="BZ487" t="s">
        <v>10682</v>
      </c>
      <c r="CA487" t="s">
        <v>10683</v>
      </c>
      <c r="CB487" t="s">
        <v>10684</v>
      </c>
      <c r="CC487" t="s">
        <v>10685</v>
      </c>
      <c r="CD487" t="s">
        <v>10683</v>
      </c>
      <c r="CE487" t="s">
        <v>10684</v>
      </c>
      <c r="CF487" t="s">
        <v>10685</v>
      </c>
      <c r="CG487" t="s">
        <v>2424</v>
      </c>
      <c r="CH487" t="s">
        <v>10686</v>
      </c>
      <c r="CJ487" t="s">
        <v>10687</v>
      </c>
      <c r="CK487" t="s">
        <v>10688</v>
      </c>
      <c r="CL487" t="s">
        <v>1104</v>
      </c>
      <c r="CM487" t="s">
        <v>449</v>
      </c>
      <c r="CN487" t="s">
        <v>10687</v>
      </c>
      <c r="CP487" t="s">
        <v>10686</v>
      </c>
      <c r="CQ487" t="s">
        <v>10688</v>
      </c>
    </row>
    <row r="488" spans="1:95">
      <c r="A488" t="s">
        <v>149</v>
      </c>
      <c r="B488">
        <v>5018344</v>
      </c>
      <c r="C488" t="s">
        <v>10689</v>
      </c>
      <c r="D488" t="str">
        <f>VLOOKUP(B488,'2025'!B:C,2,0)</f>
        <v>Tanya, Chaitanya</v>
      </c>
      <c r="F488" t="s">
        <v>95</v>
      </c>
      <c r="G488" t="s">
        <v>3074</v>
      </c>
      <c r="H488" t="s">
        <v>97</v>
      </c>
      <c r="I488" t="s">
        <v>98</v>
      </c>
      <c r="J488" t="s">
        <v>10690</v>
      </c>
      <c r="K488" t="s">
        <v>100</v>
      </c>
      <c r="L488">
        <v>0</v>
      </c>
      <c r="M488">
        <v>0</v>
      </c>
      <c r="N488">
        <v>0</v>
      </c>
      <c r="O488">
        <v>20</v>
      </c>
      <c r="P488" t="s">
        <v>102</v>
      </c>
      <c r="Q488">
        <v>0</v>
      </c>
      <c r="R488">
        <v>0</v>
      </c>
      <c r="T488">
        <v>0</v>
      </c>
      <c r="U488">
        <v>0</v>
      </c>
      <c r="W488" t="s">
        <v>102</v>
      </c>
      <c r="X488" t="s">
        <v>275</v>
      </c>
      <c r="Z488" t="s">
        <v>3074</v>
      </c>
      <c r="AA488" t="s">
        <v>109</v>
      </c>
      <c r="AB488" t="s">
        <v>102</v>
      </c>
      <c r="AC488" t="s">
        <v>109</v>
      </c>
      <c r="AD488" t="s">
        <v>102</v>
      </c>
      <c r="AE488" t="s">
        <v>109</v>
      </c>
      <c r="AF488" t="s">
        <v>102</v>
      </c>
      <c r="AG488" t="s">
        <v>109</v>
      </c>
      <c r="AH488" t="s">
        <v>102</v>
      </c>
      <c r="AI488" t="s">
        <v>102</v>
      </c>
      <c r="AL488" t="s">
        <v>102</v>
      </c>
      <c r="AM488" t="s">
        <v>102</v>
      </c>
      <c r="AN488" t="s">
        <v>102</v>
      </c>
      <c r="AO488" t="s">
        <v>115</v>
      </c>
      <c r="AP488" t="s">
        <v>115</v>
      </c>
      <c r="AU488" t="s">
        <v>318</v>
      </c>
      <c r="AV488" t="s">
        <v>250</v>
      </c>
      <c r="AW488" t="s">
        <v>102</v>
      </c>
      <c r="AX488" t="s">
        <v>119</v>
      </c>
      <c r="BB488" t="s">
        <v>9282</v>
      </c>
      <c r="BC488" t="s">
        <v>9082</v>
      </c>
      <c r="BD488" t="s">
        <v>10691</v>
      </c>
      <c r="BE488" t="s">
        <v>122</v>
      </c>
      <c r="BF488" t="s">
        <v>253</v>
      </c>
      <c r="BG488" t="s">
        <v>124</v>
      </c>
      <c r="BH488" t="s">
        <v>437</v>
      </c>
      <c r="BI488" t="s">
        <v>126</v>
      </c>
      <c r="BJ488" t="s">
        <v>127</v>
      </c>
      <c r="BK488" t="s">
        <v>10692</v>
      </c>
      <c r="BL488" t="s">
        <v>10693</v>
      </c>
      <c r="BM488" t="s">
        <v>10694</v>
      </c>
      <c r="BN488" t="s">
        <v>3074</v>
      </c>
      <c r="BO488" t="s">
        <v>3267</v>
      </c>
      <c r="BP488" t="s">
        <v>258</v>
      </c>
      <c r="BQ488" t="s">
        <v>3268</v>
      </c>
      <c r="BR488" t="s">
        <v>3269</v>
      </c>
      <c r="BS488" t="s">
        <v>135</v>
      </c>
      <c r="BU488" t="s">
        <v>10695</v>
      </c>
      <c r="BV488" t="s">
        <v>10696</v>
      </c>
      <c r="BW488" t="s">
        <v>598</v>
      </c>
      <c r="BX488" t="s">
        <v>10697</v>
      </c>
      <c r="BY488" t="s">
        <v>10698</v>
      </c>
      <c r="BZ488" t="s">
        <v>9287</v>
      </c>
      <c r="CA488" t="s">
        <v>10699</v>
      </c>
      <c r="CB488" t="s">
        <v>10700</v>
      </c>
      <c r="CC488" t="s">
        <v>10701</v>
      </c>
      <c r="CD488" t="s">
        <v>10699</v>
      </c>
      <c r="CE488" t="s">
        <v>10700</v>
      </c>
      <c r="CF488" t="s">
        <v>10701</v>
      </c>
      <c r="CG488" t="s">
        <v>102</v>
      </c>
      <c r="CH488" t="s">
        <v>10702</v>
      </c>
      <c r="CJ488" t="s">
        <v>9102</v>
      </c>
      <c r="CK488" t="s">
        <v>10703</v>
      </c>
      <c r="CL488" t="s">
        <v>10704</v>
      </c>
      <c r="CM488" t="s">
        <v>10691</v>
      </c>
      <c r="CN488" t="s">
        <v>9291</v>
      </c>
      <c r="CP488" t="s">
        <v>10702</v>
      </c>
      <c r="CQ488" t="s">
        <v>10703</v>
      </c>
    </row>
    <row r="489" spans="1:95">
      <c r="A489" t="s">
        <v>337</v>
      </c>
      <c r="B489">
        <v>5018350</v>
      </c>
      <c r="C489" t="s">
        <v>10705</v>
      </c>
      <c r="D489" t="str">
        <f>VLOOKUP(B489,'2025'!B:C,2,0)</f>
        <v>Unnati Sharma</v>
      </c>
      <c r="F489" t="s">
        <v>95</v>
      </c>
      <c r="G489" t="s">
        <v>3074</v>
      </c>
      <c r="H489" t="s">
        <v>193</v>
      </c>
      <c r="I489" t="s">
        <v>98</v>
      </c>
      <c r="J489" t="s">
        <v>10706</v>
      </c>
      <c r="K489" t="s">
        <v>100</v>
      </c>
      <c r="L489">
        <v>75725</v>
      </c>
      <c r="M489">
        <v>87412</v>
      </c>
      <c r="N489">
        <v>10800</v>
      </c>
      <c r="O489">
        <v>9</v>
      </c>
      <c r="P489" t="s">
        <v>880</v>
      </c>
      <c r="Q489">
        <v>0</v>
      </c>
      <c r="R489">
        <v>0</v>
      </c>
      <c r="T489">
        <v>64925</v>
      </c>
      <c r="U489">
        <v>16</v>
      </c>
      <c r="V489" t="s">
        <v>10707</v>
      </c>
      <c r="W489" t="s">
        <v>102</v>
      </c>
      <c r="X489" t="s">
        <v>275</v>
      </c>
      <c r="Z489" t="s">
        <v>3074</v>
      </c>
      <c r="AA489" t="s">
        <v>109</v>
      </c>
      <c r="AB489" t="s">
        <v>102</v>
      </c>
      <c r="AC489" t="s">
        <v>109</v>
      </c>
      <c r="AD489" t="s">
        <v>102</v>
      </c>
      <c r="AE489" t="s">
        <v>109</v>
      </c>
      <c r="AF489" t="s">
        <v>102</v>
      </c>
      <c r="AG489" t="s">
        <v>109</v>
      </c>
      <c r="AH489" t="s">
        <v>102</v>
      </c>
      <c r="AI489" t="s">
        <v>102</v>
      </c>
      <c r="AJ489" t="s">
        <v>240</v>
      </c>
      <c r="AK489" t="s">
        <v>240</v>
      </c>
      <c r="AL489" t="s">
        <v>10708</v>
      </c>
      <c r="AM489" t="s">
        <v>10708</v>
      </c>
      <c r="AN489" t="s">
        <v>102</v>
      </c>
      <c r="AO489" t="s">
        <v>10709</v>
      </c>
      <c r="AP489" t="s">
        <v>10710</v>
      </c>
      <c r="AU489" t="s">
        <v>207</v>
      </c>
      <c r="AV489" t="s">
        <v>250</v>
      </c>
      <c r="AW489" t="s">
        <v>102</v>
      </c>
      <c r="AX489" t="s">
        <v>119</v>
      </c>
      <c r="BA489" t="s">
        <v>250</v>
      </c>
      <c r="BB489" t="s">
        <v>209</v>
      </c>
      <c r="BC489" t="s">
        <v>3714</v>
      </c>
      <c r="BD489" t="s">
        <v>730</v>
      </c>
      <c r="BE489" t="s">
        <v>622</v>
      </c>
      <c r="BF489" t="s">
        <v>730</v>
      </c>
      <c r="BG489" t="s">
        <v>124</v>
      </c>
      <c r="BH489" t="s">
        <v>10711</v>
      </c>
      <c r="BI489" t="s">
        <v>625</v>
      </c>
      <c r="BJ489" t="s">
        <v>127</v>
      </c>
      <c r="BK489" t="s">
        <v>10712</v>
      </c>
      <c r="BL489" t="s">
        <v>10713</v>
      </c>
      <c r="BM489" t="s">
        <v>10714</v>
      </c>
      <c r="BN489" t="s">
        <v>3074</v>
      </c>
      <c r="BO489" t="s">
        <v>3910</v>
      </c>
      <c r="BP489" t="s">
        <v>2928</v>
      </c>
      <c r="BQ489" t="s">
        <v>3911</v>
      </c>
      <c r="BR489" t="s">
        <v>3912</v>
      </c>
      <c r="BS489" t="s">
        <v>2569</v>
      </c>
      <c r="BU489" t="s">
        <v>10715</v>
      </c>
      <c r="BV489" t="s">
        <v>10716</v>
      </c>
      <c r="BW489" t="s">
        <v>354</v>
      </c>
      <c r="BX489" t="s">
        <v>10717</v>
      </c>
      <c r="BY489" t="s">
        <v>10718</v>
      </c>
      <c r="BZ489" t="s">
        <v>10717</v>
      </c>
      <c r="CA489" t="s">
        <v>10719</v>
      </c>
      <c r="CB489" t="s">
        <v>10720</v>
      </c>
      <c r="CC489" t="s">
        <v>10721</v>
      </c>
      <c r="CD489" t="s">
        <v>10719</v>
      </c>
      <c r="CE489" t="s">
        <v>10720</v>
      </c>
      <c r="CF489" t="s">
        <v>10721</v>
      </c>
      <c r="CG489" t="s">
        <v>6457</v>
      </c>
      <c r="CH489" t="s">
        <v>10722</v>
      </c>
      <c r="CJ489" t="s">
        <v>10723</v>
      </c>
      <c r="CK489" t="s">
        <v>10724</v>
      </c>
      <c r="CL489" t="s">
        <v>3714</v>
      </c>
      <c r="CM489" t="s">
        <v>730</v>
      </c>
      <c r="CN489" t="s">
        <v>10723</v>
      </c>
      <c r="CP489" t="s">
        <v>10722</v>
      </c>
      <c r="CQ489" t="s">
        <v>10724</v>
      </c>
    </row>
    <row r="490" spans="1:95">
      <c r="A490" t="s">
        <v>495</v>
      </c>
      <c r="B490">
        <v>5018377</v>
      </c>
      <c r="C490" t="s">
        <v>10725</v>
      </c>
      <c r="F490" t="s">
        <v>95</v>
      </c>
      <c r="G490" t="s">
        <v>2276</v>
      </c>
      <c r="H490" t="s">
        <v>97</v>
      </c>
      <c r="I490" t="s">
        <v>98</v>
      </c>
      <c r="J490" t="s">
        <v>10726</v>
      </c>
      <c r="K490" t="s">
        <v>100</v>
      </c>
      <c r="L490">
        <v>94500</v>
      </c>
      <c r="M490">
        <v>94500</v>
      </c>
      <c r="N490">
        <v>94500</v>
      </c>
      <c r="O490">
        <v>126</v>
      </c>
      <c r="P490" t="s">
        <v>101</v>
      </c>
      <c r="Q490">
        <v>0</v>
      </c>
      <c r="R490">
        <v>0</v>
      </c>
      <c r="T490">
        <v>0</v>
      </c>
      <c r="U490">
        <v>0</v>
      </c>
      <c r="W490" t="s">
        <v>102</v>
      </c>
      <c r="X490" t="s">
        <v>103</v>
      </c>
      <c r="Y490" t="s">
        <v>104</v>
      </c>
      <c r="AA490" t="s">
        <v>2276</v>
      </c>
      <c r="AB490" t="s">
        <v>10727</v>
      </c>
      <c r="AC490" t="s">
        <v>1201</v>
      </c>
      <c r="AD490" t="s">
        <v>10727</v>
      </c>
      <c r="AE490" t="s">
        <v>109</v>
      </c>
      <c r="AF490" t="s">
        <v>102</v>
      </c>
      <c r="AG490" t="s">
        <v>109</v>
      </c>
      <c r="AH490" t="s">
        <v>102</v>
      </c>
      <c r="AI490" t="s">
        <v>10728</v>
      </c>
      <c r="AJ490" t="s">
        <v>163</v>
      </c>
      <c r="AK490" t="s">
        <v>10729</v>
      </c>
      <c r="AL490" t="s">
        <v>10730</v>
      </c>
      <c r="AM490" t="s">
        <v>10731</v>
      </c>
      <c r="AN490" t="s">
        <v>10732</v>
      </c>
      <c r="AO490" t="s">
        <v>116</v>
      </c>
      <c r="AP490" t="s">
        <v>116</v>
      </c>
      <c r="AU490" t="s">
        <v>117</v>
      </c>
      <c r="AV490" t="s">
        <v>118</v>
      </c>
      <c r="AW490" t="s">
        <v>102</v>
      </c>
      <c r="AX490" t="s">
        <v>119</v>
      </c>
      <c r="BB490" t="s">
        <v>120</v>
      </c>
      <c r="BC490" t="s">
        <v>284</v>
      </c>
      <c r="BD490" t="s">
        <v>285</v>
      </c>
      <c r="BE490" t="s">
        <v>212</v>
      </c>
      <c r="BF490" t="s">
        <v>286</v>
      </c>
      <c r="BG490" t="s">
        <v>124</v>
      </c>
      <c r="BH490" t="s">
        <v>685</v>
      </c>
      <c r="BI490" t="s">
        <v>126</v>
      </c>
      <c r="BJ490" t="s">
        <v>127</v>
      </c>
      <c r="BK490" t="s">
        <v>10733</v>
      </c>
      <c r="BL490" t="s">
        <v>10734</v>
      </c>
      <c r="BM490" t="s">
        <v>10735</v>
      </c>
      <c r="BN490" t="s">
        <v>2276</v>
      </c>
      <c r="BO490" t="s">
        <v>2615</v>
      </c>
      <c r="BP490" t="s">
        <v>132</v>
      </c>
      <c r="BQ490" t="s">
        <v>2616</v>
      </c>
      <c r="BR490" t="s">
        <v>2617</v>
      </c>
      <c r="BS490" t="s">
        <v>737</v>
      </c>
      <c r="BU490" t="s">
        <v>10736</v>
      </c>
      <c r="BV490" t="s">
        <v>10737</v>
      </c>
      <c r="BW490" t="s">
        <v>138</v>
      </c>
      <c r="BX490" t="s">
        <v>10738</v>
      </c>
      <c r="BY490" t="s">
        <v>10739</v>
      </c>
      <c r="BZ490" t="s">
        <v>10738</v>
      </c>
      <c r="CA490" t="s">
        <v>10740</v>
      </c>
      <c r="CB490" t="s">
        <v>10738</v>
      </c>
      <c r="CC490" t="s">
        <v>10739</v>
      </c>
      <c r="CD490" t="s">
        <v>10741</v>
      </c>
      <c r="CE490" t="s">
        <v>10742</v>
      </c>
      <c r="CF490" t="s">
        <v>10743</v>
      </c>
      <c r="CG490" t="s">
        <v>10744</v>
      </c>
      <c r="CH490" t="s">
        <v>10745</v>
      </c>
      <c r="CJ490" t="s">
        <v>102</v>
      </c>
      <c r="CK490" t="s">
        <v>10746</v>
      </c>
      <c r="CL490" t="s">
        <v>284</v>
      </c>
      <c r="CM490" t="s">
        <v>285</v>
      </c>
      <c r="CN490" t="s">
        <v>2003</v>
      </c>
      <c r="CO490" t="s">
        <v>10747</v>
      </c>
      <c r="CP490" t="s">
        <v>10748</v>
      </c>
      <c r="CQ490" t="s">
        <v>10749</v>
      </c>
    </row>
    <row r="491" spans="1:95">
      <c r="A491" t="s">
        <v>337</v>
      </c>
      <c r="B491">
        <v>5018513</v>
      </c>
      <c r="C491" t="s">
        <v>10757</v>
      </c>
      <c r="D491" t="str">
        <f>VLOOKUP(B491,'2025'!B:C,2,0)</f>
        <v>Tanya</v>
      </c>
      <c r="F491" t="s">
        <v>95</v>
      </c>
      <c r="G491" t="s">
        <v>4946</v>
      </c>
      <c r="H491" t="s">
        <v>97</v>
      </c>
      <c r="I491" t="s">
        <v>98</v>
      </c>
      <c r="J491" t="s">
        <v>10758</v>
      </c>
      <c r="K491" t="s">
        <v>100</v>
      </c>
      <c r="L491">
        <v>0</v>
      </c>
      <c r="M491">
        <v>0</v>
      </c>
      <c r="N491">
        <v>0</v>
      </c>
      <c r="O491">
        <v>11</v>
      </c>
      <c r="P491" t="s">
        <v>102</v>
      </c>
      <c r="Q491">
        <v>0</v>
      </c>
      <c r="R491">
        <v>0</v>
      </c>
      <c r="T491">
        <v>0</v>
      </c>
      <c r="U491">
        <v>0</v>
      </c>
      <c r="W491" t="s">
        <v>102</v>
      </c>
      <c r="X491" t="s">
        <v>275</v>
      </c>
      <c r="Z491" t="s">
        <v>10759</v>
      </c>
      <c r="AA491" t="s">
        <v>109</v>
      </c>
      <c r="AB491" t="s">
        <v>102</v>
      </c>
      <c r="AC491" t="s">
        <v>109</v>
      </c>
      <c r="AD491" t="s">
        <v>102</v>
      </c>
      <c r="AE491" t="s">
        <v>109</v>
      </c>
      <c r="AF491" t="s">
        <v>102</v>
      </c>
      <c r="AG491" t="s">
        <v>109</v>
      </c>
      <c r="AH491" t="s">
        <v>102</v>
      </c>
      <c r="AI491" t="s">
        <v>102</v>
      </c>
      <c r="AL491" t="s">
        <v>102</v>
      </c>
      <c r="AM491" t="s">
        <v>102</v>
      </c>
      <c r="AN491" t="s">
        <v>102</v>
      </c>
      <c r="AO491" t="s">
        <v>115</v>
      </c>
      <c r="AP491" t="s">
        <v>115</v>
      </c>
      <c r="AU491" t="s">
        <v>117</v>
      </c>
      <c r="AV491" t="s">
        <v>250</v>
      </c>
      <c r="AW491" t="s">
        <v>102</v>
      </c>
      <c r="AX491" t="s">
        <v>119</v>
      </c>
      <c r="BB491" t="s">
        <v>120</v>
      </c>
      <c r="BC491" t="s">
        <v>1407</v>
      </c>
      <c r="BD491" t="s">
        <v>121</v>
      </c>
      <c r="BE491" t="s">
        <v>122</v>
      </c>
      <c r="BF491" t="s">
        <v>123</v>
      </c>
      <c r="BG491" t="s">
        <v>124</v>
      </c>
      <c r="BH491" t="s">
        <v>232</v>
      </c>
      <c r="BI491" t="s">
        <v>126</v>
      </c>
      <c r="BJ491" t="s">
        <v>127</v>
      </c>
      <c r="BK491" t="s">
        <v>10760</v>
      </c>
      <c r="BL491" t="s">
        <v>10761</v>
      </c>
      <c r="BM491" t="s">
        <v>10762</v>
      </c>
      <c r="BN491" t="s">
        <v>4946</v>
      </c>
      <c r="BO491" t="s">
        <v>1142</v>
      </c>
      <c r="BP491" t="s">
        <v>505</v>
      </c>
      <c r="BQ491" t="s">
        <v>1143</v>
      </c>
      <c r="BR491" t="s">
        <v>1144</v>
      </c>
      <c r="BS491" t="s">
        <v>566</v>
      </c>
      <c r="BU491" t="s">
        <v>10763</v>
      </c>
      <c r="BV491" t="s">
        <v>10764</v>
      </c>
      <c r="BW491" t="s">
        <v>598</v>
      </c>
      <c r="BX491" t="s">
        <v>10765</v>
      </c>
      <c r="BY491" t="s">
        <v>10766</v>
      </c>
      <c r="BZ491" t="s">
        <v>10765</v>
      </c>
      <c r="CA491" t="s">
        <v>10767</v>
      </c>
      <c r="CB491" t="s">
        <v>10768</v>
      </c>
      <c r="CC491" t="s">
        <v>10766</v>
      </c>
      <c r="CD491" t="s">
        <v>10767</v>
      </c>
      <c r="CE491" t="s">
        <v>10768</v>
      </c>
      <c r="CF491" t="s">
        <v>10766</v>
      </c>
      <c r="CG491" t="s">
        <v>102</v>
      </c>
      <c r="CH491" t="s">
        <v>10769</v>
      </c>
      <c r="CJ491" t="s">
        <v>1419</v>
      </c>
      <c r="CL491" t="s">
        <v>1407</v>
      </c>
      <c r="CM491" t="s">
        <v>121</v>
      </c>
      <c r="CN491" t="s">
        <v>1419</v>
      </c>
      <c r="CP491" t="s">
        <v>10769</v>
      </c>
      <c r="CQ491" t="s">
        <v>10769</v>
      </c>
    </row>
    <row r="492" spans="1:95">
      <c r="A492" t="s">
        <v>337</v>
      </c>
      <c r="B492">
        <v>5042369</v>
      </c>
      <c r="C492" t="s">
        <v>10770</v>
      </c>
      <c r="E492" s="4" t="s">
        <v>17377</v>
      </c>
      <c r="F492" t="s">
        <v>95</v>
      </c>
      <c r="G492" t="s">
        <v>10771</v>
      </c>
      <c r="H492" t="s">
        <v>152</v>
      </c>
      <c r="I492" t="s">
        <v>98</v>
      </c>
      <c r="J492" t="s">
        <v>10772</v>
      </c>
      <c r="K492" t="s">
        <v>100</v>
      </c>
      <c r="L492">
        <v>4298601</v>
      </c>
      <c r="M492">
        <v>4298601</v>
      </c>
      <c r="N492">
        <v>0</v>
      </c>
      <c r="O492">
        <v>0</v>
      </c>
      <c r="Q492">
        <v>4298601</v>
      </c>
      <c r="R492">
        <v>8053</v>
      </c>
      <c r="S492" t="s">
        <v>10773</v>
      </c>
      <c r="T492">
        <v>0</v>
      </c>
      <c r="U492">
        <v>0</v>
      </c>
      <c r="W492" t="s">
        <v>102</v>
      </c>
      <c r="X492" t="s">
        <v>103</v>
      </c>
      <c r="Y492" t="s">
        <v>155</v>
      </c>
      <c r="AA492" t="s">
        <v>339</v>
      </c>
      <c r="AB492" t="s">
        <v>10774</v>
      </c>
      <c r="AC492" t="s">
        <v>3711</v>
      </c>
      <c r="AD492" t="s">
        <v>10774</v>
      </c>
      <c r="AE492" t="s">
        <v>439</v>
      </c>
      <c r="AF492" t="s">
        <v>10774</v>
      </c>
      <c r="AG492" t="s">
        <v>160</v>
      </c>
      <c r="AH492" t="s">
        <v>10774</v>
      </c>
      <c r="AI492" t="s">
        <v>10775</v>
      </c>
      <c r="AJ492" t="s">
        <v>10776</v>
      </c>
      <c r="AK492" t="s">
        <v>1331</v>
      </c>
      <c r="AL492" t="s">
        <v>10777</v>
      </c>
      <c r="AM492" t="s">
        <v>10778</v>
      </c>
      <c r="AN492" t="s">
        <v>10779</v>
      </c>
      <c r="AO492" t="s">
        <v>10780</v>
      </c>
      <c r="AP492" t="s">
        <v>10780</v>
      </c>
      <c r="AU492" t="s">
        <v>102</v>
      </c>
      <c r="AW492" t="s">
        <v>104</v>
      </c>
      <c r="AX492" t="s">
        <v>447</v>
      </c>
      <c r="AY492" t="s">
        <v>1138</v>
      </c>
      <c r="AZ492" t="s">
        <v>118</v>
      </c>
      <c r="BB492" t="s">
        <v>1964</v>
      </c>
      <c r="BC492" t="s">
        <v>10781</v>
      </c>
      <c r="BD492" t="s">
        <v>449</v>
      </c>
      <c r="BE492" t="s">
        <v>122</v>
      </c>
      <c r="BF492" t="s">
        <v>253</v>
      </c>
      <c r="BG492" t="s">
        <v>124</v>
      </c>
      <c r="BH492" t="s">
        <v>10771</v>
      </c>
      <c r="BI492" t="s">
        <v>126</v>
      </c>
      <c r="BJ492" t="s">
        <v>127</v>
      </c>
      <c r="BK492" t="s">
        <v>10782</v>
      </c>
      <c r="BL492" t="s">
        <v>10783</v>
      </c>
      <c r="BM492" t="s">
        <v>10784</v>
      </c>
      <c r="BN492" t="s">
        <v>10771</v>
      </c>
      <c r="BO492" t="s">
        <v>10675</v>
      </c>
      <c r="BP492" t="s">
        <v>505</v>
      </c>
      <c r="BQ492" t="s">
        <v>10676</v>
      </c>
      <c r="BR492" t="s">
        <v>10677</v>
      </c>
      <c r="BS492" t="s">
        <v>10678</v>
      </c>
      <c r="BU492" t="s">
        <v>10785</v>
      </c>
      <c r="BV492" t="s">
        <v>10786</v>
      </c>
      <c r="BW492" t="s">
        <v>354</v>
      </c>
      <c r="BX492" t="s">
        <v>10787</v>
      </c>
      <c r="BY492" t="s">
        <v>10681</v>
      </c>
      <c r="BZ492" t="s">
        <v>10787</v>
      </c>
      <c r="CG492" t="s">
        <v>10788</v>
      </c>
      <c r="CH492" t="s">
        <v>10688</v>
      </c>
      <c r="CJ492" t="s">
        <v>10687</v>
      </c>
      <c r="CK492" t="s">
        <v>10688</v>
      </c>
      <c r="CL492" t="s">
        <v>10781</v>
      </c>
      <c r="CM492" t="s">
        <v>449</v>
      </c>
      <c r="CN492" t="s">
        <v>10687</v>
      </c>
      <c r="CP492" t="s">
        <v>10688</v>
      </c>
      <c r="CQ492" t="s">
        <v>10688</v>
      </c>
    </row>
    <row r="493" spans="1:95">
      <c r="A493" t="s">
        <v>149</v>
      </c>
      <c r="B493">
        <v>504488</v>
      </c>
      <c r="C493" t="s">
        <v>10789</v>
      </c>
      <c r="D493" t="str">
        <f>VLOOKUP(B493,'2025'!B:C,2,0)</f>
        <v>Rohit</v>
      </c>
      <c r="F493" t="s">
        <v>95</v>
      </c>
      <c r="G493" t="s">
        <v>5416</v>
      </c>
      <c r="H493" t="s">
        <v>848</v>
      </c>
      <c r="I493" t="s">
        <v>98</v>
      </c>
      <c r="J493" t="s">
        <v>10790</v>
      </c>
      <c r="K493" t="s">
        <v>100</v>
      </c>
      <c r="L493">
        <v>2039134</v>
      </c>
      <c r="M493">
        <v>2406178</v>
      </c>
      <c r="N493">
        <v>0</v>
      </c>
      <c r="O493">
        <v>0</v>
      </c>
      <c r="Q493">
        <v>0</v>
      </c>
      <c r="R493">
        <v>0</v>
      </c>
      <c r="T493">
        <v>2039134</v>
      </c>
      <c r="U493">
        <v>1371</v>
      </c>
      <c r="V493" t="s">
        <v>10791</v>
      </c>
      <c r="W493" t="s">
        <v>102</v>
      </c>
      <c r="X493" t="s">
        <v>103</v>
      </c>
      <c r="Y493" t="s">
        <v>155</v>
      </c>
      <c r="AA493" t="s">
        <v>1470</v>
      </c>
      <c r="AB493" t="s">
        <v>10792</v>
      </c>
      <c r="AC493" t="s">
        <v>1818</v>
      </c>
      <c r="AD493" t="s">
        <v>10792</v>
      </c>
      <c r="AE493" t="s">
        <v>10793</v>
      </c>
      <c r="AF493" t="s">
        <v>10792</v>
      </c>
      <c r="AG493" t="s">
        <v>2412</v>
      </c>
      <c r="AH493" t="s">
        <v>10792</v>
      </c>
      <c r="AI493" t="s">
        <v>10794</v>
      </c>
      <c r="AJ493" t="s">
        <v>2173</v>
      </c>
      <c r="AK493" t="s">
        <v>1850</v>
      </c>
      <c r="AL493" t="s">
        <v>10795</v>
      </c>
      <c r="AM493" t="s">
        <v>10796</v>
      </c>
      <c r="AN493" t="s">
        <v>10797</v>
      </c>
      <c r="AO493" t="s">
        <v>10798</v>
      </c>
      <c r="AP493" t="s">
        <v>10799</v>
      </c>
      <c r="AR493" t="s">
        <v>169</v>
      </c>
      <c r="AT493" t="s">
        <v>169</v>
      </c>
      <c r="AU493" t="s">
        <v>102</v>
      </c>
      <c r="AW493" t="s">
        <v>102</v>
      </c>
      <c r="AX493" t="s">
        <v>119</v>
      </c>
      <c r="BA493" t="s">
        <v>250</v>
      </c>
      <c r="BB493" t="s">
        <v>171</v>
      </c>
      <c r="BC493" t="s">
        <v>4216</v>
      </c>
      <c r="BD493" t="s">
        <v>556</v>
      </c>
      <c r="BE493" t="s">
        <v>122</v>
      </c>
      <c r="BF493" t="s">
        <v>557</v>
      </c>
      <c r="BG493" t="s">
        <v>124</v>
      </c>
      <c r="BH493" t="s">
        <v>3901</v>
      </c>
      <c r="BI493" t="s">
        <v>126</v>
      </c>
      <c r="BJ493" t="s">
        <v>127</v>
      </c>
      <c r="BK493" t="s">
        <v>10800</v>
      </c>
      <c r="BL493" t="s">
        <v>10801</v>
      </c>
      <c r="BM493" t="s">
        <v>10802</v>
      </c>
      <c r="BN493" t="s">
        <v>5416</v>
      </c>
      <c r="BO493" t="s">
        <v>1733</v>
      </c>
      <c r="BP493" t="s">
        <v>350</v>
      </c>
      <c r="BQ493" t="s">
        <v>1734</v>
      </c>
      <c r="BR493" t="s">
        <v>1735</v>
      </c>
      <c r="BS493" t="s">
        <v>1075</v>
      </c>
      <c r="BU493" t="s">
        <v>10803</v>
      </c>
      <c r="BV493" t="s">
        <v>10804</v>
      </c>
      <c r="BW493" t="s">
        <v>138</v>
      </c>
      <c r="BX493" t="s">
        <v>10805</v>
      </c>
      <c r="BY493" t="s">
        <v>10806</v>
      </c>
      <c r="BZ493" t="s">
        <v>10807</v>
      </c>
      <c r="CA493" t="s">
        <v>10804</v>
      </c>
      <c r="CB493" t="s">
        <v>10805</v>
      </c>
      <c r="CC493" t="s">
        <v>10806</v>
      </c>
      <c r="CG493" t="s">
        <v>102</v>
      </c>
      <c r="CH493" t="s">
        <v>10808</v>
      </c>
      <c r="CJ493" t="s">
        <v>10809</v>
      </c>
      <c r="CK493" t="s">
        <v>10808</v>
      </c>
      <c r="CL493" t="s">
        <v>4216</v>
      </c>
      <c r="CM493" t="s">
        <v>556</v>
      </c>
      <c r="CN493" t="s">
        <v>10809</v>
      </c>
      <c r="CO493" t="s">
        <v>10810</v>
      </c>
      <c r="CP493" t="s">
        <v>10808</v>
      </c>
      <c r="CQ493" t="s">
        <v>10808</v>
      </c>
    </row>
    <row r="494" spans="1:95">
      <c r="A494" t="s">
        <v>149</v>
      </c>
      <c r="B494">
        <v>507090</v>
      </c>
      <c r="C494" t="s">
        <v>10811</v>
      </c>
      <c r="D494" t="str">
        <f>VLOOKUP(B494,'2025'!B:C,2,0)</f>
        <v>Vaishali</v>
      </c>
      <c r="F494" t="s">
        <v>95</v>
      </c>
      <c r="G494" t="s">
        <v>1330</v>
      </c>
      <c r="H494" t="s">
        <v>97</v>
      </c>
      <c r="I494" t="s">
        <v>98</v>
      </c>
      <c r="J494" t="s">
        <v>10812</v>
      </c>
      <c r="K494" t="s">
        <v>100</v>
      </c>
      <c r="L494">
        <v>756924</v>
      </c>
      <c r="M494">
        <v>756924</v>
      </c>
      <c r="N494">
        <v>756924</v>
      </c>
      <c r="O494">
        <v>1514</v>
      </c>
      <c r="P494" t="s">
        <v>364</v>
      </c>
      <c r="Q494">
        <v>0</v>
      </c>
      <c r="R494">
        <v>0</v>
      </c>
      <c r="T494">
        <v>0</v>
      </c>
      <c r="U494">
        <v>0</v>
      </c>
      <c r="W494" t="s">
        <v>102</v>
      </c>
      <c r="X494" t="s">
        <v>275</v>
      </c>
      <c r="Z494" t="s">
        <v>1330</v>
      </c>
      <c r="AA494" t="s">
        <v>109</v>
      </c>
      <c r="AB494" t="s">
        <v>102</v>
      </c>
      <c r="AC494" t="s">
        <v>109</v>
      </c>
      <c r="AD494" t="s">
        <v>102</v>
      </c>
      <c r="AE494" t="s">
        <v>109</v>
      </c>
      <c r="AF494" t="s">
        <v>102</v>
      </c>
      <c r="AG494" t="s">
        <v>109</v>
      </c>
      <c r="AH494" t="s">
        <v>102</v>
      </c>
      <c r="AI494" t="s">
        <v>10813</v>
      </c>
      <c r="AJ494" t="s">
        <v>469</v>
      </c>
      <c r="AK494" t="s">
        <v>469</v>
      </c>
      <c r="AL494" t="s">
        <v>10814</v>
      </c>
      <c r="AM494" t="s">
        <v>10815</v>
      </c>
      <c r="AN494" t="s">
        <v>102</v>
      </c>
      <c r="AO494" t="s">
        <v>2307</v>
      </c>
      <c r="AP494" t="s">
        <v>5355</v>
      </c>
      <c r="AR494" t="s">
        <v>169</v>
      </c>
      <c r="AT494" t="s">
        <v>169</v>
      </c>
      <c r="AU494" t="s">
        <v>318</v>
      </c>
      <c r="AV494" t="s">
        <v>118</v>
      </c>
      <c r="AW494" t="s">
        <v>102</v>
      </c>
      <c r="AX494" t="s">
        <v>119</v>
      </c>
      <c r="BB494" t="s">
        <v>120</v>
      </c>
      <c r="BC494" t="s">
        <v>448</v>
      </c>
      <c r="BD494" t="s">
        <v>449</v>
      </c>
      <c r="BE494" t="s">
        <v>122</v>
      </c>
      <c r="BF494" t="s">
        <v>450</v>
      </c>
      <c r="BG494" t="s">
        <v>124</v>
      </c>
      <c r="BH494" t="s">
        <v>232</v>
      </c>
      <c r="BI494" t="s">
        <v>126</v>
      </c>
      <c r="BJ494" t="s">
        <v>127</v>
      </c>
      <c r="BK494" t="s">
        <v>10816</v>
      </c>
      <c r="BL494" t="s">
        <v>10817</v>
      </c>
      <c r="BM494" t="s">
        <v>10818</v>
      </c>
      <c r="BN494" t="s">
        <v>1330</v>
      </c>
      <c r="BO494" t="s">
        <v>3267</v>
      </c>
      <c r="BP494" t="s">
        <v>350</v>
      </c>
      <c r="BQ494" t="s">
        <v>3268</v>
      </c>
      <c r="BR494" t="s">
        <v>3269</v>
      </c>
      <c r="BS494" t="s">
        <v>135</v>
      </c>
      <c r="BU494" t="s">
        <v>10819</v>
      </c>
      <c r="BV494" t="s">
        <v>10820</v>
      </c>
      <c r="BW494" t="s">
        <v>598</v>
      </c>
      <c r="BX494" t="s">
        <v>10821</v>
      </c>
      <c r="BY494" t="s">
        <v>10822</v>
      </c>
      <c r="BZ494" t="s">
        <v>10823</v>
      </c>
      <c r="CG494" t="s">
        <v>102</v>
      </c>
      <c r="CH494" t="s">
        <v>10824</v>
      </c>
      <c r="CJ494" t="s">
        <v>4512</v>
      </c>
      <c r="CK494" t="s">
        <v>10824</v>
      </c>
      <c r="CL494" t="s">
        <v>448</v>
      </c>
      <c r="CM494" t="s">
        <v>449</v>
      </c>
      <c r="CN494" t="s">
        <v>4512</v>
      </c>
      <c r="CO494" t="s">
        <v>10825</v>
      </c>
      <c r="CP494" t="s">
        <v>10824</v>
      </c>
      <c r="CQ494" t="s">
        <v>10824</v>
      </c>
    </row>
    <row r="495" spans="1:95">
      <c r="A495" t="s">
        <v>337</v>
      </c>
      <c r="B495">
        <v>507154</v>
      </c>
      <c r="C495" t="s">
        <v>10826</v>
      </c>
      <c r="D495" t="str">
        <f>VLOOKUP(B495,'2025'!B:C,2,0)</f>
        <v>Vaishali</v>
      </c>
      <c r="F495" t="s">
        <v>95</v>
      </c>
      <c r="G495" t="s">
        <v>583</v>
      </c>
      <c r="H495" t="s">
        <v>848</v>
      </c>
      <c r="I495" t="s">
        <v>98</v>
      </c>
      <c r="J495" t="s">
        <v>10827</v>
      </c>
      <c r="K495" t="s">
        <v>100</v>
      </c>
      <c r="L495">
        <v>983016</v>
      </c>
      <c r="M495">
        <v>1159959</v>
      </c>
      <c r="N495">
        <v>0</v>
      </c>
      <c r="O495">
        <v>0</v>
      </c>
      <c r="Q495">
        <v>0</v>
      </c>
      <c r="R495">
        <v>0</v>
      </c>
      <c r="T495">
        <v>983016</v>
      </c>
      <c r="U495">
        <v>819</v>
      </c>
      <c r="V495" t="s">
        <v>880</v>
      </c>
      <c r="W495" t="s">
        <v>102</v>
      </c>
      <c r="X495" t="s">
        <v>103</v>
      </c>
      <c r="Y495" t="s">
        <v>398</v>
      </c>
      <c r="AA495" t="s">
        <v>1159</v>
      </c>
      <c r="AB495" t="s">
        <v>10828</v>
      </c>
      <c r="AC495" t="s">
        <v>347</v>
      </c>
      <c r="AD495" t="s">
        <v>10829</v>
      </c>
      <c r="AE495" t="s">
        <v>439</v>
      </c>
      <c r="AF495" t="s">
        <v>10828</v>
      </c>
      <c r="AG495" t="s">
        <v>109</v>
      </c>
      <c r="AH495" t="s">
        <v>102</v>
      </c>
      <c r="AI495" t="s">
        <v>10830</v>
      </c>
      <c r="AJ495" t="s">
        <v>1574</v>
      </c>
      <c r="AK495" t="s">
        <v>854</v>
      </c>
      <c r="AL495" t="s">
        <v>10831</v>
      </c>
      <c r="AM495" t="s">
        <v>10832</v>
      </c>
      <c r="AN495" t="s">
        <v>10833</v>
      </c>
      <c r="AO495" t="s">
        <v>10834</v>
      </c>
      <c r="AP495" t="s">
        <v>10835</v>
      </c>
      <c r="AR495" t="s">
        <v>169</v>
      </c>
      <c r="AU495" t="s">
        <v>102</v>
      </c>
      <c r="AW495" t="s">
        <v>102</v>
      </c>
      <c r="AX495" t="s">
        <v>119</v>
      </c>
      <c r="BA495" t="s">
        <v>250</v>
      </c>
      <c r="BB495" t="s">
        <v>120</v>
      </c>
      <c r="BC495" t="s">
        <v>448</v>
      </c>
      <c r="BD495" t="s">
        <v>449</v>
      </c>
      <c r="BE495" t="s">
        <v>122</v>
      </c>
      <c r="BF495" t="s">
        <v>450</v>
      </c>
      <c r="BG495" t="s">
        <v>124</v>
      </c>
      <c r="BH495" t="s">
        <v>1692</v>
      </c>
      <c r="BI495" t="s">
        <v>1408</v>
      </c>
      <c r="BJ495" t="s">
        <v>127</v>
      </c>
      <c r="BK495" t="s">
        <v>10836</v>
      </c>
      <c r="BL495" t="s">
        <v>10837</v>
      </c>
      <c r="BM495" t="s">
        <v>10838</v>
      </c>
      <c r="BN495" t="s">
        <v>583</v>
      </c>
      <c r="BO495" t="s">
        <v>131</v>
      </c>
      <c r="BP495" t="s">
        <v>350</v>
      </c>
      <c r="BQ495" t="s">
        <v>133</v>
      </c>
      <c r="BR495" t="s">
        <v>134</v>
      </c>
      <c r="BS495" t="s">
        <v>455</v>
      </c>
      <c r="BU495" t="s">
        <v>10839</v>
      </c>
      <c r="BV495" t="s">
        <v>10840</v>
      </c>
      <c r="BW495" t="s">
        <v>354</v>
      </c>
      <c r="BX495" t="s">
        <v>10841</v>
      </c>
      <c r="BY495" t="s">
        <v>10842</v>
      </c>
      <c r="BZ495" t="s">
        <v>10843</v>
      </c>
      <c r="CG495" t="s">
        <v>7998</v>
      </c>
      <c r="CH495" t="s">
        <v>10844</v>
      </c>
      <c r="CJ495" t="s">
        <v>4512</v>
      </c>
      <c r="CK495" t="s">
        <v>10845</v>
      </c>
      <c r="CL495" t="s">
        <v>448</v>
      </c>
      <c r="CM495" t="s">
        <v>449</v>
      </c>
      <c r="CN495" t="s">
        <v>4512</v>
      </c>
      <c r="CO495" t="s">
        <v>10846</v>
      </c>
      <c r="CP495" t="s">
        <v>10844</v>
      </c>
      <c r="CQ495" t="s">
        <v>10845</v>
      </c>
    </row>
    <row r="496" spans="1:95">
      <c r="A496" t="s">
        <v>337</v>
      </c>
      <c r="B496">
        <v>515858</v>
      </c>
      <c r="C496" t="s">
        <v>10847</v>
      </c>
      <c r="E496" s="4" t="s">
        <v>17377</v>
      </c>
      <c r="F496" t="s">
        <v>95</v>
      </c>
      <c r="G496" t="s">
        <v>1422</v>
      </c>
      <c r="H496" t="s">
        <v>848</v>
      </c>
      <c r="I496" t="s">
        <v>98</v>
      </c>
      <c r="J496" t="s">
        <v>10848</v>
      </c>
      <c r="K496" t="s">
        <v>100</v>
      </c>
      <c r="L496">
        <v>661777</v>
      </c>
      <c r="M496">
        <v>780897</v>
      </c>
      <c r="N496">
        <v>0</v>
      </c>
      <c r="O496">
        <v>0</v>
      </c>
      <c r="Q496">
        <v>0</v>
      </c>
      <c r="R496">
        <v>0</v>
      </c>
      <c r="T496">
        <v>661777</v>
      </c>
      <c r="U496">
        <v>355</v>
      </c>
      <c r="V496" t="s">
        <v>800</v>
      </c>
      <c r="W496" t="s">
        <v>102</v>
      </c>
      <c r="X496" t="s">
        <v>103</v>
      </c>
      <c r="Y496" t="s">
        <v>155</v>
      </c>
      <c r="AA496" t="s">
        <v>545</v>
      </c>
      <c r="AB496" t="s">
        <v>10849</v>
      </c>
      <c r="AC496" t="s">
        <v>2605</v>
      </c>
      <c r="AD496" t="s">
        <v>10850</v>
      </c>
      <c r="AE496" t="s">
        <v>648</v>
      </c>
      <c r="AF496" t="s">
        <v>10851</v>
      </c>
      <c r="AG496" t="s">
        <v>160</v>
      </c>
      <c r="AH496" t="s">
        <v>10851</v>
      </c>
      <c r="AI496" t="s">
        <v>102</v>
      </c>
      <c r="AJ496" t="s">
        <v>377</v>
      </c>
      <c r="AK496" t="s">
        <v>377</v>
      </c>
      <c r="AL496" t="s">
        <v>10852</v>
      </c>
      <c r="AM496" t="s">
        <v>10853</v>
      </c>
      <c r="AN496" t="s">
        <v>10854</v>
      </c>
      <c r="AO496" t="s">
        <v>4840</v>
      </c>
      <c r="AP496" t="s">
        <v>4840</v>
      </c>
      <c r="AU496" t="s">
        <v>102</v>
      </c>
      <c r="AW496" t="s">
        <v>102</v>
      </c>
      <c r="AX496" t="s">
        <v>119</v>
      </c>
      <c r="BA496" t="s">
        <v>250</v>
      </c>
      <c r="BB496" t="s">
        <v>171</v>
      </c>
      <c r="BC496" t="s">
        <v>319</v>
      </c>
      <c r="BD496" t="s">
        <v>320</v>
      </c>
      <c r="BE496" t="s">
        <v>122</v>
      </c>
      <c r="BF496" t="s">
        <v>123</v>
      </c>
      <c r="BG496" t="s">
        <v>124</v>
      </c>
      <c r="BH496" t="s">
        <v>232</v>
      </c>
      <c r="BI496" t="s">
        <v>126</v>
      </c>
      <c r="BJ496" t="s">
        <v>127</v>
      </c>
      <c r="BK496" t="s">
        <v>10855</v>
      </c>
      <c r="BL496" t="s">
        <v>10856</v>
      </c>
      <c r="BM496" t="s">
        <v>10857</v>
      </c>
      <c r="BN496" t="s">
        <v>1422</v>
      </c>
      <c r="BO496" t="s">
        <v>4845</v>
      </c>
      <c r="BP496" t="s">
        <v>258</v>
      </c>
      <c r="BQ496" t="s">
        <v>4846</v>
      </c>
      <c r="BR496" t="s">
        <v>4847</v>
      </c>
      <c r="BS496" t="s">
        <v>8756</v>
      </c>
      <c r="BT496" t="s">
        <v>5743</v>
      </c>
      <c r="BU496" t="s">
        <v>10858</v>
      </c>
      <c r="BV496" t="s">
        <v>10859</v>
      </c>
      <c r="BW496" t="s">
        <v>138</v>
      </c>
      <c r="BX496" t="s">
        <v>10860</v>
      </c>
      <c r="BY496" t="s">
        <v>10861</v>
      </c>
      <c r="BZ496" t="s">
        <v>10862</v>
      </c>
      <c r="CA496" t="s">
        <v>10859</v>
      </c>
      <c r="CB496" t="s">
        <v>10860</v>
      </c>
      <c r="CC496" t="s">
        <v>10861</v>
      </c>
      <c r="CG496" t="s">
        <v>358</v>
      </c>
      <c r="CH496" t="s">
        <v>10863</v>
      </c>
      <c r="CJ496" t="s">
        <v>6238</v>
      </c>
      <c r="CK496" t="s">
        <v>10863</v>
      </c>
      <c r="CL496" t="s">
        <v>319</v>
      </c>
      <c r="CM496" t="s">
        <v>320</v>
      </c>
      <c r="CN496" t="s">
        <v>6238</v>
      </c>
      <c r="CP496" t="s">
        <v>10863</v>
      </c>
      <c r="CQ496" t="s">
        <v>10863</v>
      </c>
    </row>
    <row r="497" spans="1:95">
      <c r="A497" t="s">
        <v>149</v>
      </c>
      <c r="B497">
        <v>5184</v>
      </c>
      <c r="C497" t="s">
        <v>10864</v>
      </c>
      <c r="D497" t="str">
        <f>VLOOKUP(B497,'2025'!B:C,2,0)</f>
        <v>Aruna</v>
      </c>
      <c r="F497" t="s">
        <v>95</v>
      </c>
      <c r="G497" t="s">
        <v>10865</v>
      </c>
      <c r="H497" t="s">
        <v>10866</v>
      </c>
      <c r="I497" t="s">
        <v>98</v>
      </c>
      <c r="J497" t="s">
        <v>10867</v>
      </c>
      <c r="K497" t="s">
        <v>100</v>
      </c>
      <c r="L497">
        <v>1998601</v>
      </c>
      <c r="M497">
        <v>2183037</v>
      </c>
      <c r="N497">
        <v>626427</v>
      </c>
      <c r="O497">
        <v>955</v>
      </c>
      <c r="P497" t="s">
        <v>10868</v>
      </c>
      <c r="Q497">
        <v>347529</v>
      </c>
      <c r="R497">
        <v>247</v>
      </c>
      <c r="S497" t="s">
        <v>10869</v>
      </c>
      <c r="T497">
        <v>1024645</v>
      </c>
      <c r="U497">
        <v>607</v>
      </c>
      <c r="V497" t="s">
        <v>10870</v>
      </c>
      <c r="W497" t="s">
        <v>102</v>
      </c>
      <c r="X497" t="s">
        <v>103</v>
      </c>
      <c r="Y497" t="s">
        <v>801</v>
      </c>
      <c r="AA497" t="s">
        <v>883</v>
      </c>
      <c r="AB497" t="s">
        <v>10871</v>
      </c>
      <c r="AC497" t="s">
        <v>10872</v>
      </c>
      <c r="AD497" t="s">
        <v>10873</v>
      </c>
      <c r="AE497" t="s">
        <v>2170</v>
      </c>
      <c r="AF497" t="s">
        <v>10874</v>
      </c>
      <c r="AG497" t="s">
        <v>2171</v>
      </c>
      <c r="AH497" t="s">
        <v>10874</v>
      </c>
      <c r="AI497" t="s">
        <v>10875</v>
      </c>
      <c r="AJ497" t="s">
        <v>968</v>
      </c>
      <c r="AK497" t="s">
        <v>10876</v>
      </c>
      <c r="AL497" t="s">
        <v>10877</v>
      </c>
      <c r="AM497" t="s">
        <v>10878</v>
      </c>
      <c r="AN497" t="s">
        <v>10879</v>
      </c>
      <c r="AO497" t="s">
        <v>10880</v>
      </c>
      <c r="AP497" t="s">
        <v>10880</v>
      </c>
      <c r="AU497" t="s">
        <v>247</v>
      </c>
      <c r="AV497" t="s">
        <v>118</v>
      </c>
      <c r="AW497" t="s">
        <v>248</v>
      </c>
      <c r="AX497" t="s">
        <v>119</v>
      </c>
      <c r="AY497" t="s">
        <v>170</v>
      </c>
      <c r="AZ497" t="s">
        <v>118</v>
      </c>
      <c r="BA497" t="s">
        <v>250</v>
      </c>
      <c r="BB497" t="s">
        <v>171</v>
      </c>
      <c r="BC497" t="s">
        <v>7718</v>
      </c>
      <c r="BD497" t="s">
        <v>211</v>
      </c>
      <c r="BE497" t="s">
        <v>212</v>
      </c>
      <c r="BF497" t="s">
        <v>213</v>
      </c>
      <c r="BG497" t="s">
        <v>124</v>
      </c>
      <c r="BH497" t="s">
        <v>214</v>
      </c>
      <c r="BI497" t="s">
        <v>1245</v>
      </c>
      <c r="BJ497" t="s">
        <v>127</v>
      </c>
      <c r="BK497" t="s">
        <v>10881</v>
      </c>
      <c r="BL497" t="s">
        <v>10882</v>
      </c>
      <c r="BM497" t="s">
        <v>10883</v>
      </c>
      <c r="BN497" t="s">
        <v>10865</v>
      </c>
      <c r="BO497" t="s">
        <v>924</v>
      </c>
      <c r="BP497" t="s">
        <v>180</v>
      </c>
      <c r="BQ497" t="s">
        <v>925</v>
      </c>
      <c r="BR497" t="s">
        <v>926</v>
      </c>
      <c r="BS497" t="s">
        <v>2151</v>
      </c>
      <c r="BU497" t="s">
        <v>10884</v>
      </c>
      <c r="BV497" t="s">
        <v>10885</v>
      </c>
      <c r="BW497" t="s">
        <v>138</v>
      </c>
      <c r="BX497" t="s">
        <v>10886</v>
      </c>
      <c r="BY497" t="s">
        <v>10887</v>
      </c>
      <c r="BZ497" t="s">
        <v>10886</v>
      </c>
      <c r="CA497" t="s">
        <v>10885</v>
      </c>
      <c r="CB497" t="s">
        <v>10886</v>
      </c>
      <c r="CC497" t="s">
        <v>10887</v>
      </c>
      <c r="CD497" t="s">
        <v>10888</v>
      </c>
      <c r="CE497" t="s">
        <v>10889</v>
      </c>
      <c r="CF497" t="s">
        <v>10887</v>
      </c>
      <c r="CG497" t="s">
        <v>102</v>
      </c>
      <c r="CH497" t="s">
        <v>10890</v>
      </c>
      <c r="CJ497" t="s">
        <v>10891</v>
      </c>
      <c r="CK497" t="s">
        <v>10890</v>
      </c>
      <c r="CL497" t="s">
        <v>7718</v>
      </c>
      <c r="CM497" t="s">
        <v>211</v>
      </c>
      <c r="CN497" t="s">
        <v>10891</v>
      </c>
      <c r="CO497" t="s">
        <v>10892</v>
      </c>
      <c r="CP497" t="s">
        <v>10890</v>
      </c>
      <c r="CQ497" t="s">
        <v>10890</v>
      </c>
    </row>
    <row r="498" spans="1:95">
      <c r="A498" t="s">
        <v>337</v>
      </c>
      <c r="B498">
        <v>519329</v>
      </c>
      <c r="C498" t="s">
        <v>10893</v>
      </c>
      <c r="D498" t="str">
        <f>VLOOKUP(B498,'2025'!B:C,2,0)</f>
        <v>Aarti Iyer</v>
      </c>
      <c r="F498" t="s">
        <v>95</v>
      </c>
      <c r="G498" t="s">
        <v>8146</v>
      </c>
      <c r="H498" t="s">
        <v>97</v>
      </c>
      <c r="I498" t="s">
        <v>98</v>
      </c>
      <c r="J498" t="s">
        <v>10894</v>
      </c>
      <c r="K498" t="s">
        <v>100</v>
      </c>
      <c r="L498">
        <v>197980</v>
      </c>
      <c r="M498">
        <v>197980</v>
      </c>
      <c r="N498">
        <v>197980</v>
      </c>
      <c r="O498">
        <v>396</v>
      </c>
      <c r="P498" t="s">
        <v>364</v>
      </c>
      <c r="Q498">
        <v>0</v>
      </c>
      <c r="R498">
        <v>0</v>
      </c>
      <c r="T498">
        <v>0</v>
      </c>
      <c r="U498">
        <v>0</v>
      </c>
      <c r="W498" t="s">
        <v>102</v>
      </c>
      <c r="X498" t="s">
        <v>275</v>
      </c>
      <c r="Z498" t="s">
        <v>684</v>
      </c>
      <c r="AA498" t="s">
        <v>109</v>
      </c>
      <c r="AB498" t="s">
        <v>102</v>
      </c>
      <c r="AC498" t="s">
        <v>109</v>
      </c>
      <c r="AD498" t="s">
        <v>102</v>
      </c>
      <c r="AE498" t="s">
        <v>109</v>
      </c>
      <c r="AF498" t="s">
        <v>102</v>
      </c>
      <c r="AG498" t="s">
        <v>109</v>
      </c>
      <c r="AH498" t="s">
        <v>102</v>
      </c>
      <c r="AI498" t="s">
        <v>2987</v>
      </c>
      <c r="AJ498" t="s">
        <v>238</v>
      </c>
      <c r="AK498" t="s">
        <v>2276</v>
      </c>
      <c r="AL498" t="s">
        <v>10895</v>
      </c>
      <c r="AM498" t="s">
        <v>10896</v>
      </c>
      <c r="AN498" t="s">
        <v>10897</v>
      </c>
      <c r="AO498" t="s">
        <v>2307</v>
      </c>
      <c r="AP498" t="s">
        <v>2307</v>
      </c>
      <c r="AU498" t="s">
        <v>117</v>
      </c>
      <c r="AV498" t="s">
        <v>118</v>
      </c>
      <c r="AW498" t="s">
        <v>102</v>
      </c>
      <c r="AX498" t="s">
        <v>119</v>
      </c>
      <c r="BB498" t="s">
        <v>120</v>
      </c>
      <c r="BC498" t="s">
        <v>8152</v>
      </c>
      <c r="BD498" t="s">
        <v>621</v>
      </c>
      <c r="BE498" t="s">
        <v>622</v>
      </c>
      <c r="BF498" t="s">
        <v>976</v>
      </c>
      <c r="BG498" t="s">
        <v>124</v>
      </c>
      <c r="BH498" t="s">
        <v>400</v>
      </c>
      <c r="BI498" t="s">
        <v>1542</v>
      </c>
      <c r="BJ498" t="s">
        <v>127</v>
      </c>
      <c r="BK498" t="s">
        <v>10898</v>
      </c>
      <c r="BL498" t="s">
        <v>10899</v>
      </c>
      <c r="BM498" t="s">
        <v>10900</v>
      </c>
      <c r="BN498" t="s">
        <v>8146</v>
      </c>
      <c r="BO498" t="s">
        <v>5802</v>
      </c>
      <c r="BP498" t="s">
        <v>132</v>
      </c>
      <c r="BQ498" t="s">
        <v>5803</v>
      </c>
      <c r="BR498" t="s">
        <v>5804</v>
      </c>
      <c r="BS498" t="s">
        <v>10901</v>
      </c>
      <c r="BU498" t="s">
        <v>10902</v>
      </c>
      <c r="BV498" t="s">
        <v>8157</v>
      </c>
      <c r="BW498" t="s">
        <v>138</v>
      </c>
      <c r="BX498" t="s">
        <v>8158</v>
      </c>
      <c r="BY498" t="s">
        <v>8159</v>
      </c>
      <c r="BZ498" t="s">
        <v>10903</v>
      </c>
      <c r="CA498" t="s">
        <v>8157</v>
      </c>
      <c r="CB498" t="s">
        <v>8158</v>
      </c>
      <c r="CC498" t="s">
        <v>8159</v>
      </c>
      <c r="CD498" t="s">
        <v>10904</v>
      </c>
      <c r="CE498" t="s">
        <v>10905</v>
      </c>
      <c r="CF498" t="s">
        <v>8159</v>
      </c>
      <c r="CG498" t="s">
        <v>6290</v>
      </c>
      <c r="CH498" t="s">
        <v>10906</v>
      </c>
      <c r="CJ498" t="s">
        <v>10907</v>
      </c>
      <c r="CK498" t="s">
        <v>10908</v>
      </c>
      <c r="CL498" t="s">
        <v>8152</v>
      </c>
      <c r="CM498" t="s">
        <v>621</v>
      </c>
      <c r="CN498" t="s">
        <v>10909</v>
      </c>
      <c r="CO498" t="s">
        <v>2857</v>
      </c>
      <c r="CP498" t="s">
        <v>10910</v>
      </c>
      <c r="CQ498" t="s">
        <v>10911</v>
      </c>
    </row>
    <row r="499" spans="1:95">
      <c r="A499" t="s">
        <v>149</v>
      </c>
      <c r="B499">
        <v>522044</v>
      </c>
      <c r="C499" t="s">
        <v>10912</v>
      </c>
      <c r="D499" t="str">
        <f>VLOOKUP(B499,'2025'!B:C,2,0)</f>
        <v>Aarti Iyer</v>
      </c>
      <c r="F499" t="s">
        <v>95</v>
      </c>
      <c r="G499" t="s">
        <v>10913</v>
      </c>
      <c r="H499" t="s">
        <v>643</v>
      </c>
      <c r="I499" t="s">
        <v>98</v>
      </c>
      <c r="J499" t="s">
        <v>10914</v>
      </c>
      <c r="K499" t="s">
        <v>100</v>
      </c>
      <c r="L499">
        <v>2016474</v>
      </c>
      <c r="M499">
        <v>2154808</v>
      </c>
      <c r="N499">
        <v>0</v>
      </c>
      <c r="O499">
        <v>0</v>
      </c>
      <c r="Q499">
        <v>1247950</v>
      </c>
      <c r="R499">
        <v>624</v>
      </c>
      <c r="S499" t="s">
        <v>7192</v>
      </c>
      <c r="T499">
        <v>768524</v>
      </c>
      <c r="U499">
        <v>475</v>
      </c>
      <c r="V499" t="s">
        <v>10915</v>
      </c>
      <c r="W499" t="s">
        <v>102</v>
      </c>
      <c r="X499" t="s">
        <v>103</v>
      </c>
      <c r="Y499" t="s">
        <v>155</v>
      </c>
      <c r="AA499" t="s">
        <v>10916</v>
      </c>
      <c r="AB499" t="s">
        <v>10917</v>
      </c>
      <c r="AC499" t="s">
        <v>158</v>
      </c>
      <c r="AD499" t="s">
        <v>10917</v>
      </c>
      <c r="AE499" t="s">
        <v>159</v>
      </c>
      <c r="AF499" t="s">
        <v>10917</v>
      </c>
      <c r="AG499" t="s">
        <v>915</v>
      </c>
      <c r="AH499" t="s">
        <v>10917</v>
      </c>
      <c r="AI499" t="s">
        <v>10918</v>
      </c>
      <c r="AJ499" t="s">
        <v>1299</v>
      </c>
      <c r="AK499" t="s">
        <v>4813</v>
      </c>
      <c r="AL499" t="s">
        <v>10919</v>
      </c>
      <c r="AM499" t="s">
        <v>10920</v>
      </c>
      <c r="AN499" t="s">
        <v>10921</v>
      </c>
      <c r="AO499" t="s">
        <v>10922</v>
      </c>
      <c r="AP499" t="s">
        <v>10922</v>
      </c>
      <c r="AU499" t="s">
        <v>102</v>
      </c>
      <c r="AV499" t="s">
        <v>118</v>
      </c>
      <c r="AW499" t="s">
        <v>3536</v>
      </c>
      <c r="AX499" t="s">
        <v>119</v>
      </c>
      <c r="AZ499" t="s">
        <v>250</v>
      </c>
      <c r="BA499" t="s">
        <v>250</v>
      </c>
      <c r="BB499" t="s">
        <v>171</v>
      </c>
      <c r="BC499" t="s">
        <v>2127</v>
      </c>
      <c r="BD499" t="s">
        <v>621</v>
      </c>
      <c r="BE499" t="s">
        <v>622</v>
      </c>
      <c r="BF499" t="s">
        <v>976</v>
      </c>
      <c r="BG499" t="s">
        <v>124</v>
      </c>
      <c r="BH499" t="s">
        <v>10916</v>
      </c>
      <c r="BI499" t="s">
        <v>625</v>
      </c>
      <c r="BJ499" t="s">
        <v>127</v>
      </c>
      <c r="BK499" t="s">
        <v>10923</v>
      </c>
      <c r="BL499" t="s">
        <v>10924</v>
      </c>
      <c r="BM499" t="s">
        <v>10925</v>
      </c>
      <c r="BN499" t="s">
        <v>10913</v>
      </c>
      <c r="BO499" t="s">
        <v>981</v>
      </c>
      <c r="BP499" t="s">
        <v>132</v>
      </c>
      <c r="BQ499" t="s">
        <v>982</v>
      </c>
      <c r="BR499" t="s">
        <v>983</v>
      </c>
      <c r="BS499" t="s">
        <v>984</v>
      </c>
      <c r="BU499" t="s">
        <v>10926</v>
      </c>
      <c r="BV499" t="s">
        <v>10927</v>
      </c>
      <c r="BW499" t="s">
        <v>598</v>
      </c>
      <c r="BX499" t="s">
        <v>10928</v>
      </c>
      <c r="BY499" t="s">
        <v>10929</v>
      </c>
      <c r="BZ499" t="s">
        <v>10930</v>
      </c>
      <c r="CG499" t="s">
        <v>102</v>
      </c>
      <c r="CH499" t="s">
        <v>10931</v>
      </c>
      <c r="CJ499" t="s">
        <v>9544</v>
      </c>
      <c r="CK499" t="s">
        <v>10931</v>
      </c>
      <c r="CL499" t="s">
        <v>2127</v>
      </c>
      <c r="CM499" t="s">
        <v>621</v>
      </c>
      <c r="CN499" t="s">
        <v>9544</v>
      </c>
      <c r="CO499" t="s">
        <v>10932</v>
      </c>
      <c r="CP499" t="s">
        <v>10931</v>
      </c>
      <c r="CQ499" t="s">
        <v>10931</v>
      </c>
    </row>
    <row r="500" spans="1:95">
      <c r="A500" t="s">
        <v>93</v>
      </c>
      <c r="B500">
        <v>525210</v>
      </c>
      <c r="C500" t="s">
        <v>10933</v>
      </c>
      <c r="F500" t="s">
        <v>95</v>
      </c>
      <c r="G500" t="s">
        <v>107</v>
      </c>
      <c r="H500" t="s">
        <v>97</v>
      </c>
      <c r="I500" t="s">
        <v>98</v>
      </c>
      <c r="J500" t="s">
        <v>10934</v>
      </c>
      <c r="K500" t="s">
        <v>100</v>
      </c>
      <c r="L500">
        <v>1609500</v>
      </c>
      <c r="M500">
        <v>1609500</v>
      </c>
      <c r="N500">
        <v>1609500</v>
      </c>
      <c r="O500">
        <v>2146</v>
      </c>
      <c r="P500" t="s">
        <v>101</v>
      </c>
      <c r="Q500">
        <v>0</v>
      </c>
      <c r="R500">
        <v>0</v>
      </c>
      <c r="T500">
        <v>0</v>
      </c>
      <c r="U500">
        <v>0</v>
      </c>
      <c r="W500" t="s">
        <v>102</v>
      </c>
      <c r="X500" t="s">
        <v>103</v>
      </c>
      <c r="Y500" t="s">
        <v>104</v>
      </c>
      <c r="AA500" t="s">
        <v>685</v>
      </c>
      <c r="AB500" t="s">
        <v>10935</v>
      </c>
      <c r="AC500" t="s">
        <v>1201</v>
      </c>
      <c r="AD500" t="s">
        <v>10935</v>
      </c>
      <c r="AE500" t="s">
        <v>109</v>
      </c>
      <c r="AF500" t="s">
        <v>102</v>
      </c>
      <c r="AG500" t="s">
        <v>109</v>
      </c>
      <c r="AH500" t="s">
        <v>102</v>
      </c>
      <c r="AI500" t="s">
        <v>10936</v>
      </c>
      <c r="AJ500" t="s">
        <v>1721</v>
      </c>
      <c r="AK500" t="s">
        <v>5022</v>
      </c>
      <c r="AL500" t="s">
        <v>10937</v>
      </c>
      <c r="AM500" t="s">
        <v>10938</v>
      </c>
      <c r="AN500" t="s">
        <v>102</v>
      </c>
      <c r="AO500" t="s">
        <v>116</v>
      </c>
      <c r="AP500" t="s">
        <v>116</v>
      </c>
      <c r="AU500" t="s">
        <v>117</v>
      </c>
      <c r="AV500" t="s">
        <v>118</v>
      </c>
      <c r="AW500" t="s">
        <v>102</v>
      </c>
      <c r="AX500" t="s">
        <v>119</v>
      </c>
      <c r="BB500" t="s">
        <v>120</v>
      </c>
      <c r="BC500" t="s">
        <v>284</v>
      </c>
      <c r="BD500" t="s">
        <v>285</v>
      </c>
      <c r="BE500" t="s">
        <v>212</v>
      </c>
      <c r="BF500" t="s">
        <v>286</v>
      </c>
      <c r="BG500" t="s">
        <v>124</v>
      </c>
      <c r="BH500" t="s">
        <v>107</v>
      </c>
      <c r="BI500" t="s">
        <v>126</v>
      </c>
      <c r="BJ500" t="s">
        <v>127</v>
      </c>
      <c r="BK500" t="s">
        <v>10939</v>
      </c>
      <c r="BL500" t="s">
        <v>10940</v>
      </c>
      <c r="BM500" t="s">
        <v>10941</v>
      </c>
      <c r="BN500" t="s">
        <v>107</v>
      </c>
      <c r="BO500" t="s">
        <v>2615</v>
      </c>
      <c r="BP500" t="s">
        <v>132</v>
      </c>
      <c r="BQ500" t="s">
        <v>2616</v>
      </c>
      <c r="BR500" t="s">
        <v>2617</v>
      </c>
      <c r="BS500" t="s">
        <v>293</v>
      </c>
      <c r="BU500" t="s">
        <v>10942</v>
      </c>
      <c r="BV500" t="s">
        <v>10943</v>
      </c>
      <c r="BW500" t="s">
        <v>138</v>
      </c>
      <c r="BX500" t="s">
        <v>10944</v>
      </c>
      <c r="BY500" t="s">
        <v>10945</v>
      </c>
      <c r="BZ500" t="s">
        <v>10944</v>
      </c>
      <c r="CA500" t="s">
        <v>10946</v>
      </c>
      <c r="CB500" t="s">
        <v>10947</v>
      </c>
      <c r="CC500" t="s">
        <v>10948</v>
      </c>
      <c r="CD500" t="s">
        <v>10946</v>
      </c>
      <c r="CE500" t="s">
        <v>10947</v>
      </c>
      <c r="CF500" t="s">
        <v>10948</v>
      </c>
      <c r="CG500" t="s">
        <v>10744</v>
      </c>
      <c r="CH500" t="s">
        <v>10949</v>
      </c>
      <c r="CJ500" t="s">
        <v>10950</v>
      </c>
      <c r="CK500" t="s">
        <v>10949</v>
      </c>
      <c r="CL500" t="s">
        <v>284</v>
      </c>
      <c r="CM500" t="s">
        <v>285</v>
      </c>
      <c r="CN500" t="s">
        <v>10950</v>
      </c>
      <c r="CO500" t="s">
        <v>10747</v>
      </c>
      <c r="CP500" t="s">
        <v>10748</v>
      </c>
      <c r="CQ500" t="s">
        <v>10749</v>
      </c>
    </row>
    <row r="501" spans="1:95">
      <c r="A501" t="s">
        <v>149</v>
      </c>
      <c r="B501">
        <v>529319</v>
      </c>
      <c r="C501" t="s">
        <v>10951</v>
      </c>
      <c r="D501" t="str">
        <f>VLOOKUP(B501,'2025'!B:C,2,0)</f>
        <v>Bhavishya</v>
      </c>
      <c r="F501" t="s">
        <v>95</v>
      </c>
      <c r="G501" t="s">
        <v>642</v>
      </c>
      <c r="H501" t="s">
        <v>97</v>
      </c>
      <c r="I501" t="s">
        <v>98</v>
      </c>
      <c r="J501" t="s">
        <v>10952</v>
      </c>
      <c r="K501" t="s">
        <v>100</v>
      </c>
      <c r="L501">
        <v>1090173</v>
      </c>
      <c r="M501">
        <v>1090173</v>
      </c>
      <c r="N501">
        <v>1090173</v>
      </c>
      <c r="O501">
        <v>871</v>
      </c>
      <c r="P501" t="s">
        <v>10953</v>
      </c>
      <c r="Q501">
        <v>0</v>
      </c>
      <c r="R501">
        <v>0</v>
      </c>
      <c r="T501">
        <v>0</v>
      </c>
      <c r="U501">
        <v>0</v>
      </c>
      <c r="W501" t="s">
        <v>102</v>
      </c>
      <c r="X501" t="s">
        <v>103</v>
      </c>
      <c r="Y501" t="s">
        <v>104</v>
      </c>
      <c r="AA501" t="s">
        <v>2947</v>
      </c>
      <c r="AB501" t="s">
        <v>10954</v>
      </c>
      <c r="AC501" t="s">
        <v>977</v>
      </c>
      <c r="AD501" t="s">
        <v>10955</v>
      </c>
      <c r="AE501" t="s">
        <v>109</v>
      </c>
      <c r="AF501" t="s">
        <v>102</v>
      </c>
      <c r="AG501" t="s">
        <v>109</v>
      </c>
      <c r="AH501" t="s">
        <v>102</v>
      </c>
      <c r="AI501" t="s">
        <v>102</v>
      </c>
      <c r="AJ501" t="s">
        <v>993</v>
      </c>
      <c r="AK501" t="s">
        <v>7734</v>
      </c>
      <c r="AL501" t="s">
        <v>10956</v>
      </c>
      <c r="AM501" t="s">
        <v>10957</v>
      </c>
      <c r="AN501" t="s">
        <v>10958</v>
      </c>
      <c r="AO501" t="s">
        <v>10959</v>
      </c>
      <c r="AP501" t="s">
        <v>10959</v>
      </c>
      <c r="AU501" t="s">
        <v>318</v>
      </c>
      <c r="AV501" t="s">
        <v>118</v>
      </c>
      <c r="AW501" t="s">
        <v>102</v>
      </c>
      <c r="AX501" t="s">
        <v>119</v>
      </c>
      <c r="BB501" t="s">
        <v>120</v>
      </c>
      <c r="BC501" t="s">
        <v>8930</v>
      </c>
      <c r="BD501" t="s">
        <v>8930</v>
      </c>
      <c r="BE501" t="s">
        <v>122</v>
      </c>
      <c r="BF501" t="s">
        <v>346</v>
      </c>
      <c r="BG501" t="s">
        <v>124</v>
      </c>
      <c r="BH501" t="s">
        <v>232</v>
      </c>
      <c r="BI501" t="s">
        <v>126</v>
      </c>
      <c r="BJ501" t="s">
        <v>127</v>
      </c>
      <c r="BK501" t="s">
        <v>10960</v>
      </c>
      <c r="BL501" t="s">
        <v>10961</v>
      </c>
      <c r="BM501" t="s">
        <v>10962</v>
      </c>
      <c r="BN501" t="s">
        <v>642</v>
      </c>
      <c r="BO501" t="s">
        <v>593</v>
      </c>
      <c r="BP501" t="s">
        <v>350</v>
      </c>
      <c r="BQ501" t="s">
        <v>594</v>
      </c>
      <c r="BR501" t="s">
        <v>595</v>
      </c>
      <c r="BS501" t="s">
        <v>328</v>
      </c>
      <c r="BU501" t="s">
        <v>10963</v>
      </c>
      <c r="BV501" t="s">
        <v>10964</v>
      </c>
      <c r="BW501" t="s">
        <v>598</v>
      </c>
      <c r="BX501" t="s">
        <v>10965</v>
      </c>
      <c r="BY501" t="s">
        <v>10966</v>
      </c>
      <c r="BZ501" t="s">
        <v>10965</v>
      </c>
      <c r="CG501" t="s">
        <v>102</v>
      </c>
      <c r="CH501" t="s">
        <v>10967</v>
      </c>
      <c r="CJ501" t="s">
        <v>10968</v>
      </c>
      <c r="CK501" t="s">
        <v>10967</v>
      </c>
      <c r="CL501" t="s">
        <v>8930</v>
      </c>
      <c r="CM501" t="s">
        <v>8930</v>
      </c>
      <c r="CN501" t="s">
        <v>10968</v>
      </c>
      <c r="CO501" t="s">
        <v>10969</v>
      </c>
      <c r="CP501" t="s">
        <v>10967</v>
      </c>
      <c r="CQ501" t="s">
        <v>10967</v>
      </c>
    </row>
    <row r="502" spans="1:95">
      <c r="A502" t="s">
        <v>149</v>
      </c>
      <c r="B502">
        <v>530653</v>
      </c>
      <c r="C502" t="s">
        <v>10970</v>
      </c>
      <c r="D502" t="str">
        <f>VLOOKUP(B502,'2025'!B:C,2,0)</f>
        <v>Aarti Iyer</v>
      </c>
      <c r="F502" t="s">
        <v>95</v>
      </c>
      <c r="G502" t="s">
        <v>1295</v>
      </c>
      <c r="H502" t="s">
        <v>97</v>
      </c>
      <c r="I502" t="s">
        <v>98</v>
      </c>
      <c r="J502" t="s">
        <v>10971</v>
      </c>
      <c r="K502" t="s">
        <v>100</v>
      </c>
      <c r="L502">
        <v>683456</v>
      </c>
      <c r="M502">
        <v>683456</v>
      </c>
      <c r="N502">
        <v>683456</v>
      </c>
      <c r="O502">
        <v>968</v>
      </c>
      <c r="P502" t="s">
        <v>5793</v>
      </c>
      <c r="Q502">
        <v>0</v>
      </c>
      <c r="R502">
        <v>0</v>
      </c>
      <c r="T502">
        <v>0</v>
      </c>
      <c r="U502">
        <v>0</v>
      </c>
      <c r="W502" t="s">
        <v>102</v>
      </c>
      <c r="X502" t="s">
        <v>103</v>
      </c>
      <c r="Y502" t="s">
        <v>104</v>
      </c>
      <c r="AA502" t="s">
        <v>111</v>
      </c>
      <c r="AB502" t="s">
        <v>10972</v>
      </c>
      <c r="AC502" t="s">
        <v>197</v>
      </c>
      <c r="AD502" t="s">
        <v>10972</v>
      </c>
      <c r="AE502" t="s">
        <v>109</v>
      </c>
      <c r="AF502" t="s">
        <v>102</v>
      </c>
      <c r="AG502" t="s">
        <v>109</v>
      </c>
      <c r="AH502" t="s">
        <v>102</v>
      </c>
      <c r="AI502" t="s">
        <v>10973</v>
      </c>
      <c r="AJ502" t="s">
        <v>1402</v>
      </c>
      <c r="AK502" t="s">
        <v>1451</v>
      </c>
      <c r="AL502" t="s">
        <v>10974</v>
      </c>
      <c r="AM502" t="s">
        <v>10975</v>
      </c>
      <c r="AN502" t="s">
        <v>102</v>
      </c>
      <c r="AO502" t="s">
        <v>5798</v>
      </c>
      <c r="AP502" t="s">
        <v>5798</v>
      </c>
      <c r="AU502" t="s">
        <v>318</v>
      </c>
      <c r="AV502" t="s">
        <v>118</v>
      </c>
      <c r="AW502" t="s">
        <v>102</v>
      </c>
      <c r="AX502" t="s">
        <v>119</v>
      </c>
      <c r="BB502" t="s">
        <v>120</v>
      </c>
      <c r="BC502" t="s">
        <v>2127</v>
      </c>
      <c r="BD502" t="s">
        <v>621</v>
      </c>
      <c r="BE502" t="s">
        <v>622</v>
      </c>
      <c r="BF502" t="s">
        <v>976</v>
      </c>
      <c r="BG502" t="s">
        <v>124</v>
      </c>
      <c r="BH502" t="s">
        <v>151</v>
      </c>
      <c r="BI502" t="s">
        <v>625</v>
      </c>
      <c r="BJ502" t="s">
        <v>127</v>
      </c>
      <c r="BK502" t="s">
        <v>10976</v>
      </c>
      <c r="BL502" t="s">
        <v>10977</v>
      </c>
      <c r="BM502" t="s">
        <v>10978</v>
      </c>
      <c r="BN502" t="s">
        <v>1295</v>
      </c>
      <c r="BO502" t="s">
        <v>981</v>
      </c>
      <c r="BP502" t="s">
        <v>132</v>
      </c>
      <c r="BQ502" t="s">
        <v>982</v>
      </c>
      <c r="BR502" t="s">
        <v>983</v>
      </c>
      <c r="BS502" t="s">
        <v>984</v>
      </c>
      <c r="BU502" t="s">
        <v>10979</v>
      </c>
      <c r="BV502" t="s">
        <v>10980</v>
      </c>
      <c r="BW502" t="s">
        <v>138</v>
      </c>
      <c r="BX502" t="s">
        <v>10981</v>
      </c>
      <c r="BY502" t="s">
        <v>10982</v>
      </c>
      <c r="BZ502" t="s">
        <v>10981</v>
      </c>
      <c r="CG502" t="s">
        <v>102</v>
      </c>
      <c r="CH502" t="s">
        <v>10983</v>
      </c>
      <c r="CJ502" t="s">
        <v>10984</v>
      </c>
      <c r="CK502" t="s">
        <v>10983</v>
      </c>
      <c r="CL502" t="s">
        <v>2127</v>
      </c>
      <c r="CM502" t="s">
        <v>621</v>
      </c>
      <c r="CN502" t="s">
        <v>10984</v>
      </c>
      <c r="CO502" t="s">
        <v>10985</v>
      </c>
      <c r="CP502" t="s">
        <v>10983</v>
      </c>
      <c r="CQ502" t="s">
        <v>10983</v>
      </c>
    </row>
    <row r="503" spans="1:95">
      <c r="A503" t="s">
        <v>93</v>
      </c>
      <c r="B503">
        <v>532393</v>
      </c>
      <c r="C503" t="s">
        <v>10986</v>
      </c>
      <c r="D503" t="str">
        <f>VLOOKUP(B503,'2025'!B:C,2,0)</f>
        <v>Tanya</v>
      </c>
      <c r="F503" t="s">
        <v>95</v>
      </c>
      <c r="G503" t="s">
        <v>1467</v>
      </c>
      <c r="H503" t="s">
        <v>152</v>
      </c>
      <c r="I503" t="s">
        <v>98</v>
      </c>
      <c r="J503" t="s">
        <v>10987</v>
      </c>
      <c r="K503" t="s">
        <v>100</v>
      </c>
      <c r="L503">
        <v>959068</v>
      </c>
      <c r="M503">
        <v>959068</v>
      </c>
      <c r="N503">
        <v>0</v>
      </c>
      <c r="O503">
        <v>0</v>
      </c>
      <c r="Q503">
        <v>959068</v>
      </c>
      <c r="R503">
        <v>685</v>
      </c>
      <c r="S503" t="s">
        <v>4289</v>
      </c>
      <c r="T503">
        <v>0</v>
      </c>
      <c r="U503">
        <v>0</v>
      </c>
      <c r="W503" t="s">
        <v>102</v>
      </c>
      <c r="X503" t="s">
        <v>103</v>
      </c>
      <c r="Y503" t="s">
        <v>155</v>
      </c>
      <c r="AA503" t="s">
        <v>232</v>
      </c>
      <c r="AB503" t="s">
        <v>10988</v>
      </c>
      <c r="AC503" t="s">
        <v>400</v>
      </c>
      <c r="AD503" t="s">
        <v>10988</v>
      </c>
      <c r="AE503" t="s">
        <v>402</v>
      </c>
      <c r="AF503" t="s">
        <v>10988</v>
      </c>
      <c r="AG503" t="s">
        <v>1745</v>
      </c>
      <c r="AH503" t="s">
        <v>10988</v>
      </c>
      <c r="AI503" t="s">
        <v>10989</v>
      </c>
      <c r="AJ503" t="s">
        <v>5268</v>
      </c>
      <c r="AK503" t="s">
        <v>6134</v>
      </c>
      <c r="AL503" t="s">
        <v>10990</v>
      </c>
      <c r="AM503" t="s">
        <v>10991</v>
      </c>
      <c r="AN503" t="s">
        <v>10992</v>
      </c>
      <c r="AO503" t="s">
        <v>4298</v>
      </c>
      <c r="AP503" t="s">
        <v>4298</v>
      </c>
      <c r="AU503" t="s">
        <v>102</v>
      </c>
      <c r="AW503" t="s">
        <v>155</v>
      </c>
      <c r="AX503" t="s">
        <v>119</v>
      </c>
      <c r="AY503" t="s">
        <v>170</v>
      </c>
      <c r="AZ503" t="s">
        <v>118</v>
      </c>
      <c r="BB503" t="s">
        <v>120</v>
      </c>
      <c r="BC503" t="s">
        <v>10993</v>
      </c>
      <c r="BD503" t="s">
        <v>320</v>
      </c>
      <c r="BE503" t="s">
        <v>122</v>
      </c>
      <c r="BF503" t="s">
        <v>123</v>
      </c>
      <c r="BG503" t="s">
        <v>124</v>
      </c>
      <c r="BH503" t="s">
        <v>232</v>
      </c>
      <c r="BI503" t="s">
        <v>126</v>
      </c>
      <c r="BJ503" t="s">
        <v>127</v>
      </c>
      <c r="BK503" t="s">
        <v>10994</v>
      </c>
      <c r="BL503" t="s">
        <v>10995</v>
      </c>
      <c r="BM503" t="s">
        <v>10996</v>
      </c>
      <c r="BN503" t="s">
        <v>1467</v>
      </c>
      <c r="BO503" t="s">
        <v>349</v>
      </c>
      <c r="BP503" t="s">
        <v>132</v>
      </c>
      <c r="BQ503" t="s">
        <v>351</v>
      </c>
      <c r="BR503" t="s">
        <v>352</v>
      </c>
      <c r="BS503" t="s">
        <v>261</v>
      </c>
      <c r="BU503" t="s">
        <v>10997</v>
      </c>
      <c r="BV503" t="s">
        <v>10998</v>
      </c>
      <c r="BW503" t="s">
        <v>354</v>
      </c>
      <c r="BX503" t="s">
        <v>10999</v>
      </c>
      <c r="BY503" t="s">
        <v>11000</v>
      </c>
      <c r="BZ503" t="s">
        <v>11001</v>
      </c>
      <c r="CA503" t="s">
        <v>11002</v>
      </c>
      <c r="CB503" t="s">
        <v>11001</v>
      </c>
      <c r="CC503" t="s">
        <v>11003</v>
      </c>
      <c r="CD503" t="s">
        <v>11004</v>
      </c>
      <c r="CE503" t="s">
        <v>11001</v>
      </c>
      <c r="CF503" t="s">
        <v>11005</v>
      </c>
      <c r="CG503" t="s">
        <v>11006</v>
      </c>
      <c r="CH503" t="s">
        <v>11007</v>
      </c>
      <c r="CJ503" t="s">
        <v>11008</v>
      </c>
      <c r="CK503" t="s">
        <v>11007</v>
      </c>
      <c r="CL503" t="s">
        <v>10993</v>
      </c>
      <c r="CM503" t="s">
        <v>320</v>
      </c>
      <c r="CN503" t="s">
        <v>11008</v>
      </c>
      <c r="CO503" t="s">
        <v>11009</v>
      </c>
      <c r="CP503" t="s">
        <v>11007</v>
      </c>
      <c r="CQ503" t="s">
        <v>11007</v>
      </c>
    </row>
    <row r="504" spans="1:95">
      <c r="A504" t="s">
        <v>93</v>
      </c>
      <c r="B504">
        <v>547865</v>
      </c>
      <c r="C504" t="s">
        <v>11010</v>
      </c>
      <c r="D504" t="str">
        <f>VLOOKUP(B504,'2025'!B:C,2,0)</f>
        <v>Bhavishya</v>
      </c>
      <c r="F504" t="s">
        <v>95</v>
      </c>
      <c r="G504" t="s">
        <v>11011</v>
      </c>
      <c r="H504" t="s">
        <v>675</v>
      </c>
      <c r="I504" t="s">
        <v>98</v>
      </c>
      <c r="J504" t="s">
        <v>11012</v>
      </c>
      <c r="K504" t="s">
        <v>100</v>
      </c>
      <c r="L504">
        <v>1261265</v>
      </c>
      <c r="M504">
        <v>1261265</v>
      </c>
      <c r="N504">
        <v>616282</v>
      </c>
      <c r="O504">
        <v>539</v>
      </c>
      <c r="P504" t="s">
        <v>11013</v>
      </c>
      <c r="Q504">
        <v>644983</v>
      </c>
      <c r="R504">
        <v>215</v>
      </c>
      <c r="S504" t="s">
        <v>2971</v>
      </c>
      <c r="T504">
        <v>0</v>
      </c>
      <c r="U504">
        <v>0</v>
      </c>
      <c r="W504" t="s">
        <v>102</v>
      </c>
      <c r="X504" t="s">
        <v>103</v>
      </c>
      <c r="Y504" t="s">
        <v>801</v>
      </c>
      <c r="AA504" t="s">
        <v>11014</v>
      </c>
      <c r="AB504" t="s">
        <v>11015</v>
      </c>
      <c r="AC504" t="s">
        <v>11016</v>
      </c>
      <c r="AD504" t="s">
        <v>11017</v>
      </c>
      <c r="AE504" t="s">
        <v>1094</v>
      </c>
      <c r="AF504" t="s">
        <v>11018</v>
      </c>
      <c r="AG504" t="s">
        <v>11019</v>
      </c>
      <c r="AH504" t="s">
        <v>11018</v>
      </c>
      <c r="AI504" t="s">
        <v>11020</v>
      </c>
      <c r="AJ504" t="s">
        <v>11021</v>
      </c>
      <c r="AK504" t="s">
        <v>11022</v>
      </c>
      <c r="AL504" t="s">
        <v>11023</v>
      </c>
      <c r="AM504" t="s">
        <v>11024</v>
      </c>
      <c r="AN504" t="s">
        <v>11025</v>
      </c>
      <c r="AO504" t="s">
        <v>11026</v>
      </c>
      <c r="AP504" t="s">
        <v>11026</v>
      </c>
      <c r="AU504" t="s">
        <v>247</v>
      </c>
      <c r="AV504" t="s">
        <v>118</v>
      </c>
      <c r="AW504" t="s">
        <v>655</v>
      </c>
      <c r="AX504" t="s">
        <v>249</v>
      </c>
      <c r="AY504" t="s">
        <v>170</v>
      </c>
      <c r="AZ504" t="s">
        <v>118</v>
      </c>
      <c r="BB504" t="s">
        <v>120</v>
      </c>
      <c r="BC504" t="s">
        <v>11027</v>
      </c>
      <c r="BD504" t="s">
        <v>345</v>
      </c>
      <c r="BE504" t="s">
        <v>122</v>
      </c>
      <c r="BF504" t="s">
        <v>346</v>
      </c>
      <c r="BG504" t="s">
        <v>124</v>
      </c>
      <c r="BH504" t="s">
        <v>11028</v>
      </c>
      <c r="BI504" t="s">
        <v>11029</v>
      </c>
      <c r="BJ504" t="s">
        <v>127</v>
      </c>
      <c r="BK504" t="s">
        <v>11030</v>
      </c>
      <c r="BL504" t="s">
        <v>11031</v>
      </c>
      <c r="BM504" t="s">
        <v>11032</v>
      </c>
      <c r="BN504" t="s">
        <v>11011</v>
      </c>
      <c r="BO504" t="s">
        <v>11033</v>
      </c>
      <c r="BP504" t="s">
        <v>350</v>
      </c>
      <c r="BQ504" t="s">
        <v>11034</v>
      </c>
      <c r="BR504" t="s">
        <v>11035</v>
      </c>
      <c r="BS504" t="s">
        <v>328</v>
      </c>
      <c r="BU504" t="s">
        <v>11036</v>
      </c>
      <c r="BV504" t="s">
        <v>11037</v>
      </c>
      <c r="BW504" t="s">
        <v>598</v>
      </c>
      <c r="BX504" t="s">
        <v>11038</v>
      </c>
      <c r="BY504" t="s">
        <v>11039</v>
      </c>
      <c r="BZ504" t="s">
        <v>11040</v>
      </c>
      <c r="CA504" t="s">
        <v>11041</v>
      </c>
      <c r="CB504" t="s">
        <v>11040</v>
      </c>
      <c r="CC504" t="s">
        <v>11042</v>
      </c>
      <c r="CD504" t="s">
        <v>11041</v>
      </c>
      <c r="CE504" t="s">
        <v>11040</v>
      </c>
      <c r="CF504" t="s">
        <v>11042</v>
      </c>
      <c r="CG504" t="s">
        <v>11043</v>
      </c>
      <c r="CH504" t="s">
        <v>11044</v>
      </c>
      <c r="CJ504" t="s">
        <v>11045</v>
      </c>
      <c r="CK504" t="s">
        <v>11044</v>
      </c>
      <c r="CL504" t="s">
        <v>11027</v>
      </c>
      <c r="CM504" t="s">
        <v>345</v>
      </c>
      <c r="CN504" t="s">
        <v>11045</v>
      </c>
      <c r="CO504" t="s">
        <v>11046</v>
      </c>
      <c r="CP504" t="s">
        <v>11044</v>
      </c>
      <c r="CQ504" t="s">
        <v>11044</v>
      </c>
    </row>
    <row r="505" spans="1:95">
      <c r="A505" t="s">
        <v>93</v>
      </c>
      <c r="B505">
        <v>548699</v>
      </c>
      <c r="C505" t="s">
        <v>11047</v>
      </c>
      <c r="E505" s="4" t="s">
        <v>17377</v>
      </c>
      <c r="F505" t="s">
        <v>95</v>
      </c>
      <c r="G505" t="s">
        <v>11048</v>
      </c>
      <c r="H505" t="s">
        <v>152</v>
      </c>
      <c r="I505" t="s">
        <v>98</v>
      </c>
      <c r="J505" t="s">
        <v>11049</v>
      </c>
      <c r="K505" t="s">
        <v>100</v>
      </c>
      <c r="L505">
        <v>1536000</v>
      </c>
      <c r="M505">
        <v>1536000</v>
      </c>
      <c r="N505">
        <v>0</v>
      </c>
      <c r="O505">
        <v>0</v>
      </c>
      <c r="Q505">
        <v>1536000</v>
      </c>
      <c r="R505">
        <v>960</v>
      </c>
      <c r="S505" t="s">
        <v>678</v>
      </c>
      <c r="T505">
        <v>0</v>
      </c>
      <c r="U505">
        <v>0</v>
      </c>
      <c r="W505" t="s">
        <v>102</v>
      </c>
      <c r="X505" t="s">
        <v>103</v>
      </c>
      <c r="Y505" t="s">
        <v>104</v>
      </c>
      <c r="AA505" t="s">
        <v>2142</v>
      </c>
      <c r="AB505" t="s">
        <v>11050</v>
      </c>
      <c r="AC505" t="s">
        <v>520</v>
      </c>
      <c r="AD505" t="s">
        <v>11051</v>
      </c>
      <c r="AE505" t="s">
        <v>109</v>
      </c>
      <c r="AF505" t="s">
        <v>102</v>
      </c>
      <c r="AG505" t="s">
        <v>109</v>
      </c>
      <c r="AH505" t="s">
        <v>102</v>
      </c>
      <c r="AI505" t="s">
        <v>11052</v>
      </c>
      <c r="AJ505" t="s">
        <v>8298</v>
      </c>
      <c r="AK505" t="s">
        <v>1132</v>
      </c>
      <c r="AL505" t="s">
        <v>11053</v>
      </c>
      <c r="AM505" t="s">
        <v>11054</v>
      </c>
      <c r="AN505" t="s">
        <v>11055</v>
      </c>
      <c r="AO505" t="s">
        <v>102</v>
      </c>
      <c r="AU505" t="s">
        <v>102</v>
      </c>
      <c r="AW505" t="s">
        <v>155</v>
      </c>
      <c r="AX505" t="s">
        <v>119</v>
      </c>
      <c r="AZ505" t="s">
        <v>250</v>
      </c>
      <c r="BB505" t="s">
        <v>120</v>
      </c>
      <c r="BC505" t="s">
        <v>4864</v>
      </c>
      <c r="BD505" t="s">
        <v>621</v>
      </c>
      <c r="BE505" t="s">
        <v>622</v>
      </c>
      <c r="BF505" t="s">
        <v>623</v>
      </c>
      <c r="BG505" t="s">
        <v>124</v>
      </c>
      <c r="BH505" t="s">
        <v>214</v>
      </c>
      <c r="BI505" t="s">
        <v>126</v>
      </c>
      <c r="BJ505" t="s">
        <v>127</v>
      </c>
      <c r="BK505" t="s">
        <v>11056</v>
      </c>
      <c r="BL505" t="s">
        <v>11057</v>
      </c>
      <c r="BM505" t="s">
        <v>11058</v>
      </c>
      <c r="BN505" t="s">
        <v>11048</v>
      </c>
      <c r="BO505" t="s">
        <v>1670</v>
      </c>
      <c r="BP505" t="s">
        <v>258</v>
      </c>
      <c r="BQ505" t="s">
        <v>1671</v>
      </c>
      <c r="BR505" t="s">
        <v>1672</v>
      </c>
      <c r="BS505" t="s">
        <v>507</v>
      </c>
      <c r="BT505" t="s">
        <v>1279</v>
      </c>
      <c r="BU505" t="s">
        <v>11059</v>
      </c>
      <c r="BV505" t="s">
        <v>11060</v>
      </c>
      <c r="BW505" t="s">
        <v>569</v>
      </c>
      <c r="BX505" t="s">
        <v>11061</v>
      </c>
      <c r="BY505" t="s">
        <v>11062</v>
      </c>
      <c r="BZ505" t="s">
        <v>11063</v>
      </c>
      <c r="CA505" t="s">
        <v>11064</v>
      </c>
      <c r="CB505" t="s">
        <v>11065</v>
      </c>
      <c r="CC505" t="s">
        <v>11062</v>
      </c>
      <c r="CD505" t="s">
        <v>11066</v>
      </c>
      <c r="CE505" t="s">
        <v>11067</v>
      </c>
      <c r="CF505" t="s">
        <v>11068</v>
      </c>
      <c r="CG505" t="s">
        <v>11069</v>
      </c>
      <c r="CH505" t="s">
        <v>11070</v>
      </c>
      <c r="CJ505" t="s">
        <v>5937</v>
      </c>
      <c r="CK505" t="s">
        <v>11070</v>
      </c>
      <c r="CL505" t="s">
        <v>4864</v>
      </c>
      <c r="CM505" t="s">
        <v>621</v>
      </c>
      <c r="CN505" t="s">
        <v>5937</v>
      </c>
      <c r="CP505" t="s">
        <v>11070</v>
      </c>
      <c r="CQ505" t="s">
        <v>11070</v>
      </c>
    </row>
    <row r="506" spans="1:95">
      <c r="A506" t="s">
        <v>93</v>
      </c>
      <c r="B506">
        <v>549920</v>
      </c>
      <c r="C506" t="s">
        <v>11071</v>
      </c>
      <c r="D506" t="str">
        <f>VLOOKUP(B506,'2025'!B:C,2,0)</f>
        <v>Vaishali</v>
      </c>
      <c r="F506" t="s">
        <v>95</v>
      </c>
      <c r="G506" t="s">
        <v>96</v>
      </c>
      <c r="H506" t="s">
        <v>97</v>
      </c>
      <c r="I506" t="s">
        <v>98</v>
      </c>
      <c r="J506" t="s">
        <v>11072</v>
      </c>
      <c r="K506" t="s">
        <v>100</v>
      </c>
      <c r="L506">
        <v>1043250</v>
      </c>
      <c r="M506">
        <v>1043250</v>
      </c>
      <c r="N506">
        <v>1043250</v>
      </c>
      <c r="O506">
        <v>1391</v>
      </c>
      <c r="P506" t="s">
        <v>101</v>
      </c>
      <c r="Q506">
        <v>0</v>
      </c>
      <c r="R506">
        <v>0</v>
      </c>
      <c r="T506">
        <v>0</v>
      </c>
      <c r="U506">
        <v>0</v>
      </c>
      <c r="W506" t="s">
        <v>102</v>
      </c>
      <c r="X506" t="s">
        <v>103</v>
      </c>
      <c r="Y506" t="s">
        <v>104</v>
      </c>
      <c r="AA506" t="s">
        <v>105</v>
      </c>
      <c r="AB506" t="s">
        <v>11073</v>
      </c>
      <c r="AC506" t="s">
        <v>107</v>
      </c>
      <c r="AD506" t="s">
        <v>11074</v>
      </c>
      <c r="AE506" t="s">
        <v>109</v>
      </c>
      <c r="AF506" t="s">
        <v>102</v>
      </c>
      <c r="AG506" t="s">
        <v>109</v>
      </c>
      <c r="AH506" t="s">
        <v>102</v>
      </c>
      <c r="AI506" t="s">
        <v>11075</v>
      </c>
      <c r="AJ506" t="s">
        <v>1164</v>
      </c>
      <c r="AK506" t="s">
        <v>7695</v>
      </c>
      <c r="AL506" t="s">
        <v>11076</v>
      </c>
      <c r="AM506" t="s">
        <v>11077</v>
      </c>
      <c r="AN506" t="s">
        <v>102</v>
      </c>
      <c r="AO506" t="s">
        <v>116</v>
      </c>
      <c r="AP506" t="s">
        <v>1826</v>
      </c>
      <c r="AR506" t="s">
        <v>169</v>
      </c>
      <c r="AU506" t="s">
        <v>117</v>
      </c>
      <c r="AV506" t="s">
        <v>118</v>
      </c>
      <c r="AW506" t="s">
        <v>102</v>
      </c>
      <c r="AX506" t="s">
        <v>119</v>
      </c>
      <c r="BB506" t="s">
        <v>120</v>
      </c>
      <c r="BC506" t="s">
        <v>1407</v>
      </c>
      <c r="BD506" t="s">
        <v>449</v>
      </c>
      <c r="BE506" t="s">
        <v>122</v>
      </c>
      <c r="BF506" t="s">
        <v>450</v>
      </c>
      <c r="BG506" t="s">
        <v>124</v>
      </c>
      <c r="BH506" t="s">
        <v>125</v>
      </c>
      <c r="BI506" t="s">
        <v>126</v>
      </c>
      <c r="BJ506" t="s">
        <v>127</v>
      </c>
      <c r="BK506" t="s">
        <v>11078</v>
      </c>
      <c r="BL506" t="s">
        <v>11079</v>
      </c>
      <c r="BM506" t="s">
        <v>11080</v>
      </c>
      <c r="BN506" t="s">
        <v>96</v>
      </c>
      <c r="BO506" t="s">
        <v>131</v>
      </c>
      <c r="BP506" t="s">
        <v>350</v>
      </c>
      <c r="BQ506" t="s">
        <v>133</v>
      </c>
      <c r="BR506" t="s">
        <v>134</v>
      </c>
      <c r="BS506" t="s">
        <v>135</v>
      </c>
      <c r="BU506" t="s">
        <v>11081</v>
      </c>
      <c r="BV506" t="s">
        <v>11082</v>
      </c>
      <c r="BW506" t="s">
        <v>138</v>
      </c>
      <c r="BX506" t="s">
        <v>11083</v>
      </c>
      <c r="BY506" t="s">
        <v>11084</v>
      </c>
      <c r="BZ506" t="s">
        <v>11085</v>
      </c>
      <c r="CA506" t="s">
        <v>11082</v>
      </c>
      <c r="CB506" t="s">
        <v>11083</v>
      </c>
      <c r="CC506" t="s">
        <v>11084</v>
      </c>
      <c r="CD506" t="s">
        <v>11086</v>
      </c>
      <c r="CE506" t="s">
        <v>11087</v>
      </c>
      <c r="CF506" t="s">
        <v>11088</v>
      </c>
      <c r="CG506" t="s">
        <v>3251</v>
      </c>
      <c r="CH506" t="s">
        <v>11089</v>
      </c>
      <c r="CJ506" t="s">
        <v>1419</v>
      </c>
      <c r="CK506" t="s">
        <v>11089</v>
      </c>
      <c r="CL506" t="s">
        <v>1407</v>
      </c>
      <c r="CM506" t="s">
        <v>449</v>
      </c>
      <c r="CN506" t="s">
        <v>1419</v>
      </c>
      <c r="CO506" t="s">
        <v>11090</v>
      </c>
      <c r="CP506" t="s">
        <v>11089</v>
      </c>
      <c r="CQ506" t="s">
        <v>11089</v>
      </c>
    </row>
    <row r="507" spans="1:95">
      <c r="A507" t="s">
        <v>93</v>
      </c>
      <c r="B507">
        <v>551567</v>
      </c>
      <c r="C507" t="s">
        <v>11091</v>
      </c>
      <c r="D507" t="str">
        <f>VLOOKUP(B507,'2025'!B:C,2,0)</f>
        <v>Vaishali</v>
      </c>
      <c r="F507" t="s">
        <v>95</v>
      </c>
      <c r="G507" t="s">
        <v>11092</v>
      </c>
      <c r="H507" t="s">
        <v>97</v>
      </c>
      <c r="I507" t="s">
        <v>98</v>
      </c>
      <c r="J507" t="s">
        <v>11093</v>
      </c>
      <c r="K507" t="s">
        <v>100</v>
      </c>
      <c r="L507">
        <v>386100</v>
      </c>
      <c r="M507">
        <v>386100</v>
      </c>
      <c r="N507">
        <v>386100</v>
      </c>
      <c r="O507">
        <v>515</v>
      </c>
      <c r="P507" t="s">
        <v>11094</v>
      </c>
      <c r="Q507">
        <v>0</v>
      </c>
      <c r="R507">
        <v>0</v>
      </c>
      <c r="T507">
        <v>0</v>
      </c>
      <c r="U507">
        <v>0</v>
      </c>
      <c r="W507" t="s">
        <v>102</v>
      </c>
      <c r="X507" t="s">
        <v>679</v>
      </c>
      <c r="Y507" t="s">
        <v>104</v>
      </c>
      <c r="Z507" t="s">
        <v>680</v>
      </c>
      <c r="AA507" t="s">
        <v>11095</v>
      </c>
      <c r="AB507" t="s">
        <v>11096</v>
      </c>
      <c r="AC507" t="s">
        <v>11097</v>
      </c>
      <c r="AD507" t="s">
        <v>11098</v>
      </c>
      <c r="AE507" t="s">
        <v>109</v>
      </c>
      <c r="AF507" t="s">
        <v>102</v>
      </c>
      <c r="AG507" t="s">
        <v>109</v>
      </c>
      <c r="AH507" t="s">
        <v>102</v>
      </c>
      <c r="AI507" t="s">
        <v>11099</v>
      </c>
      <c r="AJ507" t="s">
        <v>1164</v>
      </c>
      <c r="AK507" t="s">
        <v>1631</v>
      </c>
      <c r="AL507" t="s">
        <v>11100</v>
      </c>
      <c r="AM507" t="s">
        <v>11101</v>
      </c>
      <c r="AN507" t="s">
        <v>11102</v>
      </c>
      <c r="AO507" t="s">
        <v>116</v>
      </c>
      <c r="AP507" t="s">
        <v>116</v>
      </c>
      <c r="AU507" t="s">
        <v>117</v>
      </c>
      <c r="AV507" t="s">
        <v>2203</v>
      </c>
      <c r="AW507" t="s">
        <v>102</v>
      </c>
      <c r="AX507" t="s">
        <v>119</v>
      </c>
      <c r="BB507" t="s">
        <v>120</v>
      </c>
      <c r="BC507" t="s">
        <v>1407</v>
      </c>
      <c r="BD507" t="s">
        <v>449</v>
      </c>
      <c r="BE507" t="s">
        <v>122</v>
      </c>
      <c r="BF507" t="s">
        <v>450</v>
      </c>
      <c r="BG507" t="s">
        <v>124</v>
      </c>
      <c r="BH507" t="s">
        <v>2683</v>
      </c>
      <c r="BI507" t="s">
        <v>126</v>
      </c>
      <c r="BJ507" t="s">
        <v>127</v>
      </c>
      <c r="BK507" t="s">
        <v>11103</v>
      </c>
      <c r="BL507" t="s">
        <v>11104</v>
      </c>
      <c r="BM507" t="s">
        <v>11105</v>
      </c>
      <c r="BN507" t="s">
        <v>11092</v>
      </c>
      <c r="BO507" t="s">
        <v>11106</v>
      </c>
      <c r="BP507" t="s">
        <v>350</v>
      </c>
      <c r="BQ507" t="s">
        <v>11107</v>
      </c>
      <c r="BR507" t="s">
        <v>11108</v>
      </c>
      <c r="BS507" t="s">
        <v>135</v>
      </c>
      <c r="BU507" t="s">
        <v>11109</v>
      </c>
      <c r="BV507" t="s">
        <v>11110</v>
      </c>
      <c r="BW507" t="s">
        <v>1282</v>
      </c>
      <c r="BX507" t="s">
        <v>11111</v>
      </c>
      <c r="BY507" t="s">
        <v>11112</v>
      </c>
      <c r="BZ507" t="s">
        <v>11113</v>
      </c>
      <c r="CA507" t="s">
        <v>11114</v>
      </c>
      <c r="CB507" t="s">
        <v>11115</v>
      </c>
      <c r="CC507" t="s">
        <v>11116</v>
      </c>
      <c r="CD507" t="s">
        <v>11117</v>
      </c>
      <c r="CE507" t="s">
        <v>11118</v>
      </c>
      <c r="CF507" t="s">
        <v>11119</v>
      </c>
      <c r="CG507" t="s">
        <v>1417</v>
      </c>
      <c r="CH507" t="s">
        <v>11120</v>
      </c>
      <c r="CJ507" t="s">
        <v>4271</v>
      </c>
      <c r="CK507" t="s">
        <v>11121</v>
      </c>
      <c r="CL507" t="s">
        <v>1407</v>
      </c>
      <c r="CM507" t="s">
        <v>449</v>
      </c>
      <c r="CN507" t="s">
        <v>4271</v>
      </c>
      <c r="CO507" t="s">
        <v>11122</v>
      </c>
      <c r="CP507" t="s">
        <v>11123</v>
      </c>
      <c r="CQ507" t="s">
        <v>11123</v>
      </c>
    </row>
    <row r="508" spans="1:95">
      <c r="A508" t="s">
        <v>149</v>
      </c>
      <c r="B508">
        <v>559045</v>
      </c>
      <c r="C508" t="s">
        <v>11124</v>
      </c>
      <c r="D508" t="str">
        <f>VLOOKUP(B508,'2025'!B:C,2,0)</f>
        <v>Vaishali</v>
      </c>
      <c r="F508" t="s">
        <v>95</v>
      </c>
      <c r="G508" t="s">
        <v>2907</v>
      </c>
      <c r="H508" t="s">
        <v>193</v>
      </c>
      <c r="I508" t="s">
        <v>98</v>
      </c>
      <c r="J508" t="s">
        <v>11125</v>
      </c>
      <c r="K508" t="s">
        <v>100</v>
      </c>
      <c r="L508">
        <v>968106</v>
      </c>
      <c r="M508">
        <v>1040412</v>
      </c>
      <c r="N508">
        <v>566407</v>
      </c>
      <c r="O508">
        <v>623</v>
      </c>
      <c r="P508" t="s">
        <v>11126</v>
      </c>
      <c r="Q508">
        <v>0</v>
      </c>
      <c r="R508">
        <v>0</v>
      </c>
      <c r="T508">
        <v>401699</v>
      </c>
      <c r="U508">
        <v>158</v>
      </c>
      <c r="V508" t="s">
        <v>2910</v>
      </c>
      <c r="W508" t="s">
        <v>102</v>
      </c>
      <c r="X508" t="s">
        <v>679</v>
      </c>
      <c r="Y508" t="s">
        <v>104</v>
      </c>
      <c r="Z508" t="s">
        <v>2911</v>
      </c>
      <c r="AA508" t="s">
        <v>2912</v>
      </c>
      <c r="AB508" t="s">
        <v>11127</v>
      </c>
      <c r="AC508" t="s">
        <v>2914</v>
      </c>
      <c r="AD508" t="s">
        <v>11127</v>
      </c>
      <c r="AE508" t="s">
        <v>109</v>
      </c>
      <c r="AF508" t="s">
        <v>102</v>
      </c>
      <c r="AG508" t="s">
        <v>109</v>
      </c>
      <c r="AH508" t="s">
        <v>102</v>
      </c>
      <c r="AI508" t="s">
        <v>11128</v>
      </c>
      <c r="AJ508" t="s">
        <v>6977</v>
      </c>
      <c r="AK508" t="s">
        <v>2917</v>
      </c>
      <c r="AL508" t="s">
        <v>11129</v>
      </c>
      <c r="AM508" t="s">
        <v>11130</v>
      </c>
      <c r="AN508" t="s">
        <v>11131</v>
      </c>
      <c r="AO508" t="s">
        <v>6431</v>
      </c>
      <c r="AP508" t="s">
        <v>6431</v>
      </c>
      <c r="AU508" t="s">
        <v>207</v>
      </c>
      <c r="AV508" t="s">
        <v>250</v>
      </c>
      <c r="AW508" t="s">
        <v>102</v>
      </c>
      <c r="AX508" t="s">
        <v>119</v>
      </c>
      <c r="BA508" t="s">
        <v>250</v>
      </c>
      <c r="BB508" t="s">
        <v>120</v>
      </c>
      <c r="BC508" t="s">
        <v>4153</v>
      </c>
      <c r="BD508" t="s">
        <v>320</v>
      </c>
      <c r="BE508" t="s">
        <v>122</v>
      </c>
      <c r="BF508" t="s">
        <v>123</v>
      </c>
      <c r="BG508" t="s">
        <v>124</v>
      </c>
      <c r="BH508" t="s">
        <v>232</v>
      </c>
      <c r="BI508" t="s">
        <v>2923</v>
      </c>
      <c r="BJ508" t="s">
        <v>127</v>
      </c>
      <c r="BK508" t="s">
        <v>11132</v>
      </c>
      <c r="BL508" t="s">
        <v>11133</v>
      </c>
      <c r="BM508" t="s">
        <v>11134</v>
      </c>
      <c r="BN508" t="s">
        <v>2907</v>
      </c>
      <c r="BO508" t="s">
        <v>2927</v>
      </c>
      <c r="BP508" t="s">
        <v>350</v>
      </c>
      <c r="BQ508" t="s">
        <v>2929</v>
      </c>
      <c r="BR508" t="s">
        <v>2930</v>
      </c>
      <c r="BS508" t="s">
        <v>135</v>
      </c>
      <c r="BT508" t="s">
        <v>135</v>
      </c>
      <c r="BU508" t="s">
        <v>11135</v>
      </c>
      <c r="BV508" t="s">
        <v>2932</v>
      </c>
      <c r="BW508" t="s">
        <v>296</v>
      </c>
      <c r="BX508" t="s">
        <v>2933</v>
      </c>
      <c r="BY508" t="s">
        <v>2934</v>
      </c>
      <c r="BZ508" t="s">
        <v>11136</v>
      </c>
      <c r="CA508" t="s">
        <v>11137</v>
      </c>
      <c r="CB508" t="s">
        <v>11138</v>
      </c>
      <c r="CC508" t="s">
        <v>2934</v>
      </c>
      <c r="CD508" t="s">
        <v>11139</v>
      </c>
      <c r="CE508" t="s">
        <v>11140</v>
      </c>
      <c r="CF508" t="s">
        <v>11141</v>
      </c>
      <c r="CG508" t="s">
        <v>102</v>
      </c>
      <c r="CH508" t="s">
        <v>11142</v>
      </c>
      <c r="CJ508" t="s">
        <v>5161</v>
      </c>
      <c r="CK508" t="s">
        <v>11142</v>
      </c>
      <c r="CL508" t="s">
        <v>4153</v>
      </c>
      <c r="CM508" t="s">
        <v>320</v>
      </c>
      <c r="CN508" t="s">
        <v>5161</v>
      </c>
      <c r="CO508" t="s">
        <v>3178</v>
      </c>
      <c r="CP508" t="s">
        <v>11142</v>
      </c>
      <c r="CQ508" t="s">
        <v>11142</v>
      </c>
    </row>
    <row r="509" spans="1:95">
      <c r="A509" t="s">
        <v>495</v>
      </c>
      <c r="B509">
        <v>56091</v>
      </c>
      <c r="C509" t="s">
        <v>11143</v>
      </c>
      <c r="E509" s="4" t="s">
        <v>17377</v>
      </c>
      <c r="F509" t="s">
        <v>95</v>
      </c>
      <c r="G509" t="s">
        <v>497</v>
      </c>
      <c r="H509" t="s">
        <v>97</v>
      </c>
      <c r="I509" t="s">
        <v>98</v>
      </c>
      <c r="J509" t="s">
        <v>11144</v>
      </c>
      <c r="K509" t="s">
        <v>100</v>
      </c>
      <c r="L509">
        <v>0</v>
      </c>
      <c r="M509">
        <v>0</v>
      </c>
      <c r="N509">
        <v>0</v>
      </c>
      <c r="O509">
        <v>423</v>
      </c>
      <c r="P509" t="s">
        <v>102</v>
      </c>
      <c r="Q509">
        <v>0</v>
      </c>
      <c r="R509">
        <v>0</v>
      </c>
      <c r="T509">
        <v>0</v>
      </c>
      <c r="U509">
        <v>0</v>
      </c>
      <c r="W509" t="s">
        <v>102</v>
      </c>
      <c r="X509" t="s">
        <v>275</v>
      </c>
      <c r="Z509" t="s">
        <v>499</v>
      </c>
      <c r="AA509" t="s">
        <v>109</v>
      </c>
      <c r="AB509" t="s">
        <v>102</v>
      </c>
      <c r="AC509" t="s">
        <v>109</v>
      </c>
      <c r="AD509" t="s">
        <v>102</v>
      </c>
      <c r="AE509" t="s">
        <v>109</v>
      </c>
      <c r="AF509" t="s">
        <v>102</v>
      </c>
      <c r="AG509" t="s">
        <v>109</v>
      </c>
      <c r="AH509" t="s">
        <v>102</v>
      </c>
      <c r="AI509" t="s">
        <v>102</v>
      </c>
      <c r="AL509" t="s">
        <v>102</v>
      </c>
      <c r="AM509" t="s">
        <v>102</v>
      </c>
      <c r="AN509" t="s">
        <v>102</v>
      </c>
      <c r="AO509" t="s">
        <v>115</v>
      </c>
      <c r="AP509" t="s">
        <v>115</v>
      </c>
      <c r="AU509" t="s">
        <v>117</v>
      </c>
      <c r="AV509" t="s">
        <v>118</v>
      </c>
      <c r="AW509" t="s">
        <v>102</v>
      </c>
      <c r="AX509" t="s">
        <v>119</v>
      </c>
      <c r="BB509" t="s">
        <v>120</v>
      </c>
      <c r="BC509" t="s">
        <v>284</v>
      </c>
      <c r="BD509" t="s">
        <v>285</v>
      </c>
      <c r="BE509" t="s">
        <v>212</v>
      </c>
      <c r="BF509" t="s">
        <v>286</v>
      </c>
      <c r="BG509" t="s">
        <v>124</v>
      </c>
      <c r="BH509" t="s">
        <v>501</v>
      </c>
      <c r="BI509" t="s">
        <v>126</v>
      </c>
      <c r="BJ509" t="s">
        <v>127</v>
      </c>
      <c r="BK509" t="s">
        <v>11145</v>
      </c>
      <c r="BL509" t="s">
        <v>11146</v>
      </c>
      <c r="BM509" t="s">
        <v>11147</v>
      </c>
      <c r="BN509" t="s">
        <v>497</v>
      </c>
      <c r="BO509" t="s">
        <v>505</v>
      </c>
      <c r="BP509" t="s">
        <v>505</v>
      </c>
      <c r="BQ509" t="s">
        <v>225</v>
      </c>
      <c r="BR509" t="s">
        <v>506</v>
      </c>
      <c r="BS509" t="s">
        <v>507</v>
      </c>
      <c r="BU509" t="s">
        <v>11148</v>
      </c>
      <c r="BV509" t="s">
        <v>11149</v>
      </c>
      <c r="BW509" t="s">
        <v>138</v>
      </c>
      <c r="BX509" t="s">
        <v>11150</v>
      </c>
      <c r="BY509" t="s">
        <v>11151</v>
      </c>
      <c r="CA509" t="s">
        <v>11149</v>
      </c>
      <c r="CB509" t="s">
        <v>11150</v>
      </c>
      <c r="CC509" t="s">
        <v>11151</v>
      </c>
      <c r="CD509" t="s">
        <v>11152</v>
      </c>
      <c r="CE509" t="s">
        <v>11150</v>
      </c>
      <c r="CF509" t="s">
        <v>11153</v>
      </c>
      <c r="CG509" t="s">
        <v>102</v>
      </c>
      <c r="CH509" t="s">
        <v>11154</v>
      </c>
      <c r="CJ509" t="s">
        <v>11155</v>
      </c>
      <c r="CK509" t="s">
        <v>11154</v>
      </c>
      <c r="CL509" t="s">
        <v>284</v>
      </c>
      <c r="CM509" t="s">
        <v>285</v>
      </c>
      <c r="CN509" t="s">
        <v>11155</v>
      </c>
      <c r="CP509" t="s">
        <v>11154</v>
      </c>
      <c r="CQ509" t="s">
        <v>11154</v>
      </c>
    </row>
    <row r="510" spans="1:95">
      <c r="A510" t="s">
        <v>149</v>
      </c>
      <c r="B510">
        <v>562911</v>
      </c>
      <c r="C510" t="s">
        <v>11156</v>
      </c>
      <c r="D510" t="str">
        <f>VLOOKUP(B510,'2025'!B:C,2,0)</f>
        <v>Anushka</v>
      </c>
      <c r="F510" t="s">
        <v>95</v>
      </c>
      <c r="G510" t="s">
        <v>3789</v>
      </c>
      <c r="H510" t="s">
        <v>193</v>
      </c>
      <c r="I510" t="s">
        <v>98</v>
      </c>
      <c r="J510" t="s">
        <v>11157</v>
      </c>
      <c r="K510" t="s">
        <v>100</v>
      </c>
      <c r="L510">
        <v>1679611</v>
      </c>
      <c r="M510">
        <v>1920921</v>
      </c>
      <c r="N510">
        <v>339000</v>
      </c>
      <c r="O510">
        <v>565</v>
      </c>
      <c r="P510" t="s">
        <v>310</v>
      </c>
      <c r="Q510">
        <v>0</v>
      </c>
      <c r="R510">
        <v>0</v>
      </c>
      <c r="T510">
        <v>1340611</v>
      </c>
      <c r="U510">
        <v>565</v>
      </c>
      <c r="V510" t="s">
        <v>11158</v>
      </c>
      <c r="W510" t="s">
        <v>102</v>
      </c>
      <c r="X510" t="s">
        <v>103</v>
      </c>
      <c r="Y510" t="s">
        <v>801</v>
      </c>
      <c r="AA510" t="s">
        <v>517</v>
      </c>
      <c r="AB510" t="s">
        <v>11159</v>
      </c>
      <c r="AC510" t="s">
        <v>11160</v>
      </c>
      <c r="AD510" t="s">
        <v>11159</v>
      </c>
      <c r="AE510" t="s">
        <v>1028</v>
      </c>
      <c r="AF510" t="s">
        <v>11161</v>
      </c>
      <c r="AG510" t="s">
        <v>5321</v>
      </c>
      <c r="AH510" t="s">
        <v>11161</v>
      </c>
      <c r="AI510" t="s">
        <v>11162</v>
      </c>
      <c r="AJ510" t="s">
        <v>3826</v>
      </c>
      <c r="AK510" t="s">
        <v>11163</v>
      </c>
      <c r="AL510" t="s">
        <v>11164</v>
      </c>
      <c r="AM510" t="s">
        <v>11165</v>
      </c>
      <c r="AN510" t="s">
        <v>11166</v>
      </c>
      <c r="AO510" t="s">
        <v>11167</v>
      </c>
      <c r="AP510" t="s">
        <v>11167</v>
      </c>
      <c r="AU510" t="s">
        <v>247</v>
      </c>
      <c r="AV510" t="s">
        <v>118</v>
      </c>
      <c r="AW510" t="s">
        <v>102</v>
      </c>
      <c r="AX510" t="s">
        <v>119</v>
      </c>
      <c r="BA510" t="s">
        <v>250</v>
      </c>
      <c r="BB510" t="s">
        <v>120</v>
      </c>
      <c r="BC510" t="s">
        <v>121</v>
      </c>
      <c r="BD510" t="s">
        <v>121</v>
      </c>
      <c r="BE510" t="s">
        <v>122</v>
      </c>
      <c r="BF510" t="s">
        <v>123</v>
      </c>
      <c r="BG510" t="s">
        <v>124</v>
      </c>
      <c r="BH510" t="s">
        <v>232</v>
      </c>
      <c r="BI510" t="s">
        <v>126</v>
      </c>
      <c r="BJ510" t="s">
        <v>127</v>
      </c>
      <c r="BK510" t="s">
        <v>11168</v>
      </c>
      <c r="BL510" t="s">
        <v>11169</v>
      </c>
      <c r="BM510" t="s">
        <v>11170</v>
      </c>
      <c r="BN510" t="s">
        <v>3789</v>
      </c>
      <c r="BO510" t="s">
        <v>257</v>
      </c>
      <c r="BP510" t="s">
        <v>350</v>
      </c>
      <c r="BQ510" t="s">
        <v>259</v>
      </c>
      <c r="BR510" t="s">
        <v>260</v>
      </c>
      <c r="BS510" t="s">
        <v>1006</v>
      </c>
      <c r="BU510" t="s">
        <v>11171</v>
      </c>
      <c r="BV510" t="s">
        <v>11172</v>
      </c>
      <c r="BW510" t="s">
        <v>354</v>
      </c>
      <c r="BX510" t="s">
        <v>11173</v>
      </c>
      <c r="BY510" t="s">
        <v>11174</v>
      </c>
      <c r="BZ510" t="s">
        <v>11175</v>
      </c>
      <c r="CA510" t="s">
        <v>11176</v>
      </c>
      <c r="CB510" t="s">
        <v>11177</v>
      </c>
      <c r="CD510" t="s">
        <v>11178</v>
      </c>
      <c r="CE510" t="s">
        <v>11179</v>
      </c>
      <c r="CF510" t="s">
        <v>11180</v>
      </c>
      <c r="CG510" t="s">
        <v>102</v>
      </c>
      <c r="CH510" t="s">
        <v>11181</v>
      </c>
      <c r="CJ510" t="s">
        <v>7014</v>
      </c>
      <c r="CK510" t="s">
        <v>11181</v>
      </c>
      <c r="CL510" t="s">
        <v>121</v>
      </c>
      <c r="CM510" t="s">
        <v>121</v>
      </c>
      <c r="CN510" t="s">
        <v>7014</v>
      </c>
      <c r="CO510" t="s">
        <v>11182</v>
      </c>
      <c r="CP510" t="s">
        <v>11181</v>
      </c>
      <c r="CQ510" t="s">
        <v>11181</v>
      </c>
    </row>
    <row r="511" spans="1:95">
      <c r="A511" t="s">
        <v>337</v>
      </c>
      <c r="B511">
        <v>579462</v>
      </c>
      <c r="C511" t="s">
        <v>6274</v>
      </c>
      <c r="D511" t="str">
        <f>VLOOKUP(B511,'2025'!B:C,2,0)</f>
        <v>Hetal Parmar</v>
      </c>
      <c r="F511" t="s">
        <v>95</v>
      </c>
      <c r="G511" t="s">
        <v>11183</v>
      </c>
      <c r="H511" t="s">
        <v>193</v>
      </c>
      <c r="I511" t="s">
        <v>98</v>
      </c>
      <c r="J511" t="s">
        <v>11184</v>
      </c>
      <c r="K511" t="s">
        <v>100</v>
      </c>
      <c r="L511">
        <v>651011</v>
      </c>
      <c r="M511">
        <v>724851</v>
      </c>
      <c r="N511">
        <v>240788</v>
      </c>
      <c r="O511">
        <v>321</v>
      </c>
      <c r="P511" t="s">
        <v>101</v>
      </c>
      <c r="Q511">
        <v>0</v>
      </c>
      <c r="R511">
        <v>0</v>
      </c>
      <c r="T511">
        <v>410223</v>
      </c>
      <c r="U511">
        <v>242</v>
      </c>
      <c r="V511" t="s">
        <v>2007</v>
      </c>
      <c r="W511" t="s">
        <v>102</v>
      </c>
      <c r="X511" t="s">
        <v>679</v>
      </c>
      <c r="Y511" t="s">
        <v>104</v>
      </c>
      <c r="Z511" t="s">
        <v>3711</v>
      </c>
      <c r="AA511" t="s">
        <v>11185</v>
      </c>
      <c r="AB511" t="s">
        <v>11186</v>
      </c>
      <c r="AC511" t="s">
        <v>11187</v>
      </c>
      <c r="AD511" t="s">
        <v>11186</v>
      </c>
      <c r="AE511" t="s">
        <v>109</v>
      </c>
      <c r="AF511" t="s">
        <v>102</v>
      </c>
      <c r="AG511" t="s">
        <v>109</v>
      </c>
      <c r="AH511" t="s">
        <v>102</v>
      </c>
      <c r="AI511" t="s">
        <v>102</v>
      </c>
      <c r="AJ511" t="s">
        <v>11188</v>
      </c>
      <c r="AK511" t="s">
        <v>2304</v>
      </c>
      <c r="AL511" t="s">
        <v>11189</v>
      </c>
      <c r="AM511" t="s">
        <v>11190</v>
      </c>
      <c r="AN511" t="s">
        <v>11191</v>
      </c>
      <c r="AO511" t="s">
        <v>11192</v>
      </c>
      <c r="AP511" t="s">
        <v>11192</v>
      </c>
      <c r="AU511" t="s">
        <v>247</v>
      </c>
      <c r="AV511" t="s">
        <v>118</v>
      </c>
      <c r="AW511" t="s">
        <v>102</v>
      </c>
      <c r="AX511" t="s">
        <v>119</v>
      </c>
      <c r="BA511" t="s">
        <v>250</v>
      </c>
      <c r="BB511" t="s">
        <v>171</v>
      </c>
      <c r="BC511" t="s">
        <v>6280</v>
      </c>
      <c r="BD511" t="s">
        <v>621</v>
      </c>
      <c r="BE511" t="s">
        <v>622</v>
      </c>
      <c r="BF511" t="s">
        <v>976</v>
      </c>
      <c r="BG511" t="s">
        <v>124</v>
      </c>
      <c r="BH511" t="s">
        <v>11193</v>
      </c>
      <c r="BI511" t="s">
        <v>11194</v>
      </c>
      <c r="BJ511" t="s">
        <v>127</v>
      </c>
      <c r="BK511" t="s">
        <v>11195</v>
      </c>
      <c r="BL511" t="s">
        <v>11196</v>
      </c>
      <c r="BM511" t="s">
        <v>11197</v>
      </c>
      <c r="BN511" t="s">
        <v>11183</v>
      </c>
      <c r="BO511" t="s">
        <v>5802</v>
      </c>
      <c r="BP511" t="s">
        <v>132</v>
      </c>
      <c r="BQ511" t="s">
        <v>5803</v>
      </c>
      <c r="BR511" t="s">
        <v>5804</v>
      </c>
      <c r="BS511" t="s">
        <v>1342</v>
      </c>
      <c r="BU511" t="s">
        <v>11198</v>
      </c>
      <c r="BV511" t="s">
        <v>6285</v>
      </c>
      <c r="BW511" t="s">
        <v>138</v>
      </c>
      <c r="BX511" t="s">
        <v>6286</v>
      </c>
      <c r="BY511" t="s">
        <v>6287</v>
      </c>
      <c r="BZ511" t="s">
        <v>11199</v>
      </c>
      <c r="CA511" t="s">
        <v>6285</v>
      </c>
      <c r="CB511" t="s">
        <v>6286</v>
      </c>
      <c r="CC511" t="s">
        <v>6287</v>
      </c>
      <c r="CD511" t="s">
        <v>11200</v>
      </c>
      <c r="CE511" t="s">
        <v>11201</v>
      </c>
      <c r="CF511" t="s">
        <v>6287</v>
      </c>
      <c r="CG511" t="s">
        <v>5811</v>
      </c>
      <c r="CH511" t="s">
        <v>11202</v>
      </c>
      <c r="CJ511" t="s">
        <v>11203</v>
      </c>
      <c r="CK511" t="s">
        <v>11202</v>
      </c>
      <c r="CL511" t="s">
        <v>6280</v>
      </c>
      <c r="CM511" t="s">
        <v>621</v>
      </c>
      <c r="CN511" t="s">
        <v>11203</v>
      </c>
      <c r="CO511" t="s">
        <v>6293</v>
      </c>
      <c r="CP511" t="s">
        <v>11204</v>
      </c>
      <c r="CQ511" t="s">
        <v>11204</v>
      </c>
    </row>
    <row r="512" spans="1:95">
      <c r="A512" t="s">
        <v>149</v>
      </c>
      <c r="B512">
        <v>581062</v>
      </c>
      <c r="C512" t="s">
        <v>11205</v>
      </c>
      <c r="D512" t="str">
        <f>VLOOKUP(B512,'2025'!B:C,2,0)</f>
        <v>Bhavishya</v>
      </c>
      <c r="F512" t="s">
        <v>95</v>
      </c>
      <c r="G512" t="s">
        <v>642</v>
      </c>
      <c r="H512" t="s">
        <v>97</v>
      </c>
      <c r="I512" t="s">
        <v>98</v>
      </c>
      <c r="J512" t="s">
        <v>11206</v>
      </c>
      <c r="K512" t="s">
        <v>100</v>
      </c>
      <c r="L512">
        <v>320303</v>
      </c>
      <c r="M512">
        <v>320303</v>
      </c>
      <c r="N512">
        <v>320303</v>
      </c>
      <c r="O512">
        <v>256</v>
      </c>
      <c r="P512" t="s">
        <v>6611</v>
      </c>
      <c r="Q512">
        <v>0</v>
      </c>
      <c r="R512">
        <v>0</v>
      </c>
      <c r="T512">
        <v>0</v>
      </c>
      <c r="U512">
        <v>0</v>
      </c>
      <c r="W512" t="s">
        <v>102</v>
      </c>
      <c r="X512" t="s">
        <v>103</v>
      </c>
      <c r="Y512" t="s">
        <v>104</v>
      </c>
      <c r="AA512" t="s">
        <v>2947</v>
      </c>
      <c r="AB512" t="s">
        <v>11207</v>
      </c>
      <c r="AC512" t="s">
        <v>977</v>
      </c>
      <c r="AD512" t="s">
        <v>11208</v>
      </c>
      <c r="AE512" t="s">
        <v>109</v>
      </c>
      <c r="AF512" t="s">
        <v>102</v>
      </c>
      <c r="AG512" t="s">
        <v>109</v>
      </c>
      <c r="AH512" t="s">
        <v>102</v>
      </c>
      <c r="AI512" t="s">
        <v>102</v>
      </c>
      <c r="AJ512" t="s">
        <v>1397</v>
      </c>
      <c r="AK512" t="s">
        <v>3185</v>
      </c>
      <c r="AL512" t="s">
        <v>11209</v>
      </c>
      <c r="AM512" t="s">
        <v>11210</v>
      </c>
      <c r="AN512" t="s">
        <v>11211</v>
      </c>
      <c r="AO512" t="s">
        <v>11212</v>
      </c>
      <c r="AP512" t="s">
        <v>11212</v>
      </c>
      <c r="AU512" t="s">
        <v>318</v>
      </c>
      <c r="AV512" t="s">
        <v>118</v>
      </c>
      <c r="AW512" t="s">
        <v>102</v>
      </c>
      <c r="AX512" t="s">
        <v>119</v>
      </c>
      <c r="BB512" t="s">
        <v>120</v>
      </c>
      <c r="BC512" t="s">
        <v>2799</v>
      </c>
      <c r="BD512" t="s">
        <v>2800</v>
      </c>
      <c r="BE512" t="s">
        <v>122</v>
      </c>
      <c r="BF512" t="s">
        <v>346</v>
      </c>
      <c r="BG512" t="s">
        <v>124</v>
      </c>
      <c r="BH512" t="s">
        <v>232</v>
      </c>
      <c r="BI512" t="s">
        <v>126</v>
      </c>
      <c r="BJ512" t="s">
        <v>127</v>
      </c>
      <c r="BK512" t="s">
        <v>11213</v>
      </c>
      <c r="BL512" t="s">
        <v>11214</v>
      </c>
      <c r="BM512" t="s">
        <v>11215</v>
      </c>
      <c r="BN512" t="s">
        <v>642</v>
      </c>
      <c r="BO512" t="s">
        <v>593</v>
      </c>
      <c r="BP512" t="s">
        <v>350</v>
      </c>
      <c r="BQ512" t="s">
        <v>594</v>
      </c>
      <c r="BR512" t="s">
        <v>595</v>
      </c>
      <c r="BS512" t="s">
        <v>328</v>
      </c>
      <c r="BU512" t="s">
        <v>11216</v>
      </c>
      <c r="BV512" t="s">
        <v>10964</v>
      </c>
      <c r="BW512" t="s">
        <v>598</v>
      </c>
      <c r="BX512" t="s">
        <v>10965</v>
      </c>
      <c r="BY512" t="s">
        <v>10966</v>
      </c>
      <c r="BZ512" t="s">
        <v>11217</v>
      </c>
      <c r="CG512" t="s">
        <v>102</v>
      </c>
      <c r="CH512" t="s">
        <v>11218</v>
      </c>
      <c r="CJ512" t="s">
        <v>11219</v>
      </c>
      <c r="CK512" t="s">
        <v>11218</v>
      </c>
      <c r="CL512" t="s">
        <v>2799</v>
      </c>
      <c r="CM512" t="s">
        <v>2800</v>
      </c>
      <c r="CN512" t="s">
        <v>11219</v>
      </c>
      <c r="CP512" t="s">
        <v>11218</v>
      </c>
      <c r="CQ512" t="s">
        <v>11218</v>
      </c>
    </row>
    <row r="513" spans="1:95">
      <c r="A513" t="s">
        <v>149</v>
      </c>
      <c r="B513">
        <v>59499</v>
      </c>
      <c r="C513" t="s">
        <v>11220</v>
      </c>
      <c r="E513" s="4" t="s">
        <v>17377</v>
      </c>
      <c r="F513" t="s">
        <v>95</v>
      </c>
      <c r="G513" t="s">
        <v>4806</v>
      </c>
      <c r="H513" t="s">
        <v>97</v>
      </c>
      <c r="I513" t="s">
        <v>98</v>
      </c>
      <c r="J513" t="s">
        <v>11221</v>
      </c>
      <c r="K513" t="s">
        <v>100</v>
      </c>
      <c r="L513">
        <v>1116162</v>
      </c>
      <c r="M513">
        <v>1116162</v>
      </c>
      <c r="N513">
        <v>1116162</v>
      </c>
      <c r="O513">
        <v>1445</v>
      </c>
      <c r="P513" t="s">
        <v>4185</v>
      </c>
      <c r="Q513">
        <v>0</v>
      </c>
      <c r="R513">
        <v>0</v>
      </c>
      <c r="T513">
        <v>0</v>
      </c>
      <c r="U513">
        <v>0</v>
      </c>
      <c r="W513" t="s">
        <v>102</v>
      </c>
      <c r="X513" t="s">
        <v>103</v>
      </c>
      <c r="Y513" t="s">
        <v>104</v>
      </c>
      <c r="AA513" t="s">
        <v>125</v>
      </c>
      <c r="AB513" t="s">
        <v>11222</v>
      </c>
      <c r="AC513" t="s">
        <v>520</v>
      </c>
      <c r="AD513" t="s">
        <v>11223</v>
      </c>
      <c r="AE513" t="s">
        <v>109</v>
      </c>
      <c r="AF513" t="s">
        <v>102</v>
      </c>
      <c r="AG513" t="s">
        <v>109</v>
      </c>
      <c r="AH513" t="s">
        <v>102</v>
      </c>
      <c r="AI513" t="s">
        <v>11224</v>
      </c>
      <c r="AJ513" t="s">
        <v>151</v>
      </c>
      <c r="AK513" t="s">
        <v>559</v>
      </c>
      <c r="AL513" t="s">
        <v>11225</v>
      </c>
      <c r="AM513" t="s">
        <v>11226</v>
      </c>
      <c r="AN513" t="s">
        <v>11227</v>
      </c>
      <c r="AO513" t="s">
        <v>11228</v>
      </c>
      <c r="AP513" t="s">
        <v>11228</v>
      </c>
      <c r="AU513" t="s">
        <v>318</v>
      </c>
      <c r="AV513" t="s">
        <v>118</v>
      </c>
      <c r="AW513" t="s">
        <v>102</v>
      </c>
      <c r="AX513" t="s">
        <v>119</v>
      </c>
      <c r="BB513" t="s">
        <v>120</v>
      </c>
      <c r="BC513" t="s">
        <v>4403</v>
      </c>
      <c r="BD513" t="s">
        <v>4404</v>
      </c>
      <c r="BE513" t="s">
        <v>174</v>
      </c>
      <c r="BF513" t="s">
        <v>4405</v>
      </c>
      <c r="BG513" t="s">
        <v>124</v>
      </c>
      <c r="BH513" t="s">
        <v>125</v>
      </c>
      <c r="BI513" t="s">
        <v>126</v>
      </c>
      <c r="BJ513" t="s">
        <v>127</v>
      </c>
      <c r="BK513" t="s">
        <v>11229</v>
      </c>
      <c r="BL513" t="s">
        <v>11230</v>
      </c>
      <c r="BM513" t="s">
        <v>11231</v>
      </c>
      <c r="BN513" t="s">
        <v>4806</v>
      </c>
      <c r="BO513" t="s">
        <v>179</v>
      </c>
      <c r="BP513" t="s">
        <v>180</v>
      </c>
      <c r="BQ513" t="s">
        <v>181</v>
      </c>
      <c r="BR513" t="s">
        <v>182</v>
      </c>
      <c r="BS513" t="s">
        <v>4413</v>
      </c>
      <c r="BT513" t="s">
        <v>183</v>
      </c>
      <c r="BU513" t="s">
        <v>11232</v>
      </c>
      <c r="BV513" t="s">
        <v>11233</v>
      </c>
      <c r="BW513" t="s">
        <v>569</v>
      </c>
      <c r="BX513" t="s">
        <v>11234</v>
      </c>
      <c r="BY513" t="s">
        <v>11235</v>
      </c>
      <c r="BZ513" t="s">
        <v>11234</v>
      </c>
      <c r="CA513" t="s">
        <v>11233</v>
      </c>
      <c r="CB513" t="s">
        <v>11234</v>
      </c>
      <c r="CD513" t="s">
        <v>11236</v>
      </c>
      <c r="CE513" t="s">
        <v>11234</v>
      </c>
      <c r="CF513" t="s">
        <v>11237</v>
      </c>
      <c r="CG513" t="s">
        <v>102</v>
      </c>
      <c r="CH513" t="s">
        <v>11238</v>
      </c>
      <c r="CJ513" t="s">
        <v>11239</v>
      </c>
      <c r="CK513" t="s">
        <v>11238</v>
      </c>
      <c r="CL513" t="s">
        <v>4403</v>
      </c>
      <c r="CM513" t="s">
        <v>4404</v>
      </c>
      <c r="CN513" t="s">
        <v>11239</v>
      </c>
      <c r="CO513" t="s">
        <v>11240</v>
      </c>
      <c r="CP513" t="s">
        <v>11238</v>
      </c>
      <c r="CQ513" t="s">
        <v>11238</v>
      </c>
    </row>
    <row r="514" spans="1:95">
      <c r="A514" t="s">
        <v>149</v>
      </c>
      <c r="B514">
        <v>598546</v>
      </c>
      <c r="C514" t="s">
        <v>11241</v>
      </c>
      <c r="D514" t="str">
        <f>VLOOKUP(B514,'2025'!B:C,2,0)</f>
        <v>Pooja Kapoor</v>
      </c>
      <c r="F514" t="s">
        <v>95</v>
      </c>
      <c r="G514" t="s">
        <v>11242</v>
      </c>
      <c r="H514" t="s">
        <v>193</v>
      </c>
      <c r="I514" t="s">
        <v>98</v>
      </c>
      <c r="J514" t="s">
        <v>11243</v>
      </c>
      <c r="K514" t="s">
        <v>100</v>
      </c>
      <c r="L514">
        <v>1259139</v>
      </c>
      <c r="M514">
        <v>1425886</v>
      </c>
      <c r="N514">
        <v>332766</v>
      </c>
      <c r="O514">
        <v>417</v>
      </c>
      <c r="P514" t="s">
        <v>11244</v>
      </c>
      <c r="Q514">
        <v>0</v>
      </c>
      <c r="R514">
        <v>0</v>
      </c>
      <c r="T514">
        <v>926373</v>
      </c>
      <c r="U514">
        <v>282</v>
      </c>
      <c r="V514" t="s">
        <v>11245</v>
      </c>
      <c r="W514" t="s">
        <v>102</v>
      </c>
      <c r="X514" t="s">
        <v>275</v>
      </c>
      <c r="Z514" t="s">
        <v>11246</v>
      </c>
      <c r="AA514" t="s">
        <v>109</v>
      </c>
      <c r="AB514" t="s">
        <v>102</v>
      </c>
      <c r="AC514" t="s">
        <v>109</v>
      </c>
      <c r="AD514" t="s">
        <v>102</v>
      </c>
      <c r="AE514" t="s">
        <v>109</v>
      </c>
      <c r="AF514" t="s">
        <v>102</v>
      </c>
      <c r="AG514" t="s">
        <v>109</v>
      </c>
      <c r="AH514" t="s">
        <v>102</v>
      </c>
      <c r="AI514" t="s">
        <v>102</v>
      </c>
      <c r="AJ514" t="s">
        <v>4312</v>
      </c>
      <c r="AK514" t="s">
        <v>4312</v>
      </c>
      <c r="AL514" t="s">
        <v>11247</v>
      </c>
      <c r="AM514" t="s">
        <v>11248</v>
      </c>
      <c r="AN514" t="s">
        <v>11249</v>
      </c>
      <c r="AO514" t="s">
        <v>11250</v>
      </c>
      <c r="AP514" t="s">
        <v>11250</v>
      </c>
      <c r="AU514" t="s">
        <v>247</v>
      </c>
      <c r="AV514" t="s">
        <v>118</v>
      </c>
      <c r="AW514" t="s">
        <v>102</v>
      </c>
      <c r="AX514" t="s">
        <v>119</v>
      </c>
      <c r="BA514" t="s">
        <v>250</v>
      </c>
      <c r="BB514" t="s">
        <v>209</v>
      </c>
      <c r="BC514" t="s">
        <v>5878</v>
      </c>
      <c r="BD514" t="s">
        <v>5879</v>
      </c>
      <c r="BE514" t="s">
        <v>174</v>
      </c>
      <c r="BF514" t="s">
        <v>4405</v>
      </c>
      <c r="BG514" t="s">
        <v>124</v>
      </c>
      <c r="BH514" t="s">
        <v>11251</v>
      </c>
      <c r="BI514" t="s">
        <v>11252</v>
      </c>
      <c r="BJ514" t="s">
        <v>127</v>
      </c>
      <c r="BK514" t="s">
        <v>11253</v>
      </c>
      <c r="BL514" t="s">
        <v>11254</v>
      </c>
      <c r="BM514" t="s">
        <v>11255</v>
      </c>
      <c r="BN514" t="s">
        <v>11242</v>
      </c>
      <c r="BO514" t="s">
        <v>381</v>
      </c>
      <c r="BP514" t="s">
        <v>3941</v>
      </c>
      <c r="BQ514" t="s">
        <v>382</v>
      </c>
      <c r="BR514" t="s">
        <v>383</v>
      </c>
      <c r="BS514" t="s">
        <v>4413</v>
      </c>
      <c r="BU514" t="s">
        <v>11256</v>
      </c>
      <c r="BV514" t="s">
        <v>11257</v>
      </c>
      <c r="BW514" t="s">
        <v>354</v>
      </c>
      <c r="BX514" t="s">
        <v>11258</v>
      </c>
      <c r="BY514" t="s">
        <v>11259</v>
      </c>
      <c r="BZ514" t="s">
        <v>11258</v>
      </c>
      <c r="CA514" t="s">
        <v>11260</v>
      </c>
      <c r="CB514" t="s">
        <v>11261</v>
      </c>
      <c r="CC514" t="s">
        <v>11259</v>
      </c>
      <c r="CD514" t="s">
        <v>11262</v>
      </c>
      <c r="CE514" t="s">
        <v>11261</v>
      </c>
      <c r="CF514" t="s">
        <v>11263</v>
      </c>
      <c r="CG514" t="s">
        <v>102</v>
      </c>
      <c r="CH514" t="s">
        <v>11264</v>
      </c>
      <c r="CJ514" t="s">
        <v>5889</v>
      </c>
      <c r="CK514" t="s">
        <v>11264</v>
      </c>
      <c r="CL514" t="s">
        <v>5878</v>
      </c>
      <c r="CM514" t="s">
        <v>5879</v>
      </c>
      <c r="CN514" t="s">
        <v>5889</v>
      </c>
      <c r="CP514" t="s">
        <v>11265</v>
      </c>
      <c r="CQ514" t="s">
        <v>11264</v>
      </c>
    </row>
    <row r="515" spans="1:95">
      <c r="A515" t="s">
        <v>149</v>
      </c>
      <c r="B515">
        <v>6019</v>
      </c>
      <c r="C515" t="s">
        <v>11266</v>
      </c>
      <c r="D515" t="str">
        <f>VLOOKUP(B515,'2025'!B:C,2,0)</f>
        <v>Vineeth T V</v>
      </c>
      <c r="F515" t="s">
        <v>95</v>
      </c>
      <c r="G515" t="s">
        <v>2298</v>
      </c>
      <c r="H515" t="s">
        <v>97</v>
      </c>
      <c r="I515" t="s">
        <v>98</v>
      </c>
      <c r="J515" t="s">
        <v>11267</v>
      </c>
      <c r="K515" t="s">
        <v>100</v>
      </c>
      <c r="L515">
        <v>358464</v>
      </c>
      <c r="M515">
        <v>358464</v>
      </c>
      <c r="N515">
        <v>358464</v>
      </c>
      <c r="O515">
        <v>717</v>
      </c>
      <c r="P515" t="s">
        <v>364</v>
      </c>
      <c r="Q515">
        <v>0</v>
      </c>
      <c r="R515">
        <v>0</v>
      </c>
      <c r="T515">
        <v>0</v>
      </c>
      <c r="U515">
        <v>0</v>
      </c>
      <c r="W515" t="s">
        <v>102</v>
      </c>
      <c r="X515" t="s">
        <v>103</v>
      </c>
      <c r="Y515" t="s">
        <v>104</v>
      </c>
      <c r="AA515" t="s">
        <v>1493</v>
      </c>
      <c r="AB515" t="s">
        <v>11268</v>
      </c>
      <c r="AC515" t="s">
        <v>501</v>
      </c>
      <c r="AD515" t="s">
        <v>11269</v>
      </c>
      <c r="AE515" t="s">
        <v>109</v>
      </c>
      <c r="AF515" t="s">
        <v>102</v>
      </c>
      <c r="AG515" t="s">
        <v>109</v>
      </c>
      <c r="AH515" t="s">
        <v>102</v>
      </c>
      <c r="AI515" t="s">
        <v>11270</v>
      </c>
      <c r="AJ515" t="s">
        <v>2349</v>
      </c>
      <c r="AK515" t="s">
        <v>2304</v>
      </c>
      <c r="AL515" t="s">
        <v>11271</v>
      </c>
      <c r="AM515" t="s">
        <v>11272</v>
      </c>
      <c r="AN515" t="s">
        <v>11273</v>
      </c>
      <c r="AO515" t="s">
        <v>2307</v>
      </c>
      <c r="AP515" t="s">
        <v>2307</v>
      </c>
      <c r="AU515" t="s">
        <v>318</v>
      </c>
      <c r="AV515" t="s">
        <v>118</v>
      </c>
      <c r="AW515" t="s">
        <v>102</v>
      </c>
      <c r="AX515" t="s">
        <v>119</v>
      </c>
      <c r="BB515" t="s">
        <v>120</v>
      </c>
      <c r="BC515" t="s">
        <v>409</v>
      </c>
      <c r="BD515" t="s">
        <v>410</v>
      </c>
      <c r="BE515" t="s">
        <v>212</v>
      </c>
      <c r="BF515" t="s">
        <v>410</v>
      </c>
      <c r="BG515" t="s">
        <v>124</v>
      </c>
      <c r="BH515" t="s">
        <v>214</v>
      </c>
      <c r="BI515" t="s">
        <v>411</v>
      </c>
      <c r="BJ515" t="s">
        <v>127</v>
      </c>
      <c r="BK515" t="s">
        <v>11274</v>
      </c>
      <c r="BL515" t="s">
        <v>11275</v>
      </c>
      <c r="BM515" t="s">
        <v>11276</v>
      </c>
      <c r="BN515" t="s">
        <v>2298</v>
      </c>
      <c r="BO515" t="s">
        <v>415</v>
      </c>
      <c r="BP515" t="s">
        <v>132</v>
      </c>
      <c r="BQ515" t="s">
        <v>416</v>
      </c>
      <c r="BR515" t="s">
        <v>417</v>
      </c>
      <c r="BS515" t="s">
        <v>222</v>
      </c>
      <c r="BU515" t="s">
        <v>11277</v>
      </c>
      <c r="BV515" t="s">
        <v>2312</v>
      </c>
      <c r="BW515" t="s">
        <v>598</v>
      </c>
      <c r="BX515" t="s">
        <v>2313</v>
      </c>
      <c r="BY515" t="s">
        <v>2314</v>
      </c>
      <c r="BZ515" t="s">
        <v>11278</v>
      </c>
      <c r="CB515" t="s">
        <v>11278</v>
      </c>
      <c r="CG515" t="s">
        <v>102</v>
      </c>
      <c r="CH515" t="s">
        <v>11279</v>
      </c>
      <c r="CJ515" t="s">
        <v>6687</v>
      </c>
      <c r="CK515" t="s">
        <v>11279</v>
      </c>
      <c r="CL515" t="s">
        <v>409</v>
      </c>
      <c r="CM515" t="s">
        <v>410</v>
      </c>
      <c r="CN515" t="s">
        <v>6687</v>
      </c>
      <c r="CO515" t="s">
        <v>2319</v>
      </c>
      <c r="CP515" t="s">
        <v>11279</v>
      </c>
      <c r="CQ515" t="s">
        <v>11279</v>
      </c>
    </row>
    <row r="516" spans="1:95">
      <c r="A516" t="s">
        <v>149</v>
      </c>
      <c r="B516">
        <v>60573</v>
      </c>
      <c r="C516" t="s">
        <v>11280</v>
      </c>
      <c r="D516" t="str">
        <f>VLOOKUP(B516,'2025'!B:C,2,0)</f>
        <v>Anushka</v>
      </c>
      <c r="F516" t="s">
        <v>95</v>
      </c>
      <c r="G516" t="s">
        <v>1603</v>
      </c>
      <c r="H516" t="s">
        <v>97</v>
      </c>
      <c r="I516" t="s">
        <v>98</v>
      </c>
      <c r="J516" t="s">
        <v>11281</v>
      </c>
      <c r="K516" t="s">
        <v>100</v>
      </c>
      <c r="L516">
        <v>332400</v>
      </c>
      <c r="M516">
        <v>332400</v>
      </c>
      <c r="N516">
        <v>332400</v>
      </c>
      <c r="O516">
        <v>554</v>
      </c>
      <c r="P516" t="s">
        <v>310</v>
      </c>
      <c r="Q516">
        <v>0</v>
      </c>
      <c r="R516">
        <v>0</v>
      </c>
      <c r="T516">
        <v>0</v>
      </c>
      <c r="U516">
        <v>0</v>
      </c>
      <c r="W516" t="s">
        <v>102</v>
      </c>
      <c r="X516" t="s">
        <v>275</v>
      </c>
      <c r="Z516" t="s">
        <v>1200</v>
      </c>
      <c r="AA516" t="s">
        <v>109</v>
      </c>
      <c r="AB516" t="s">
        <v>102</v>
      </c>
      <c r="AC516" t="s">
        <v>109</v>
      </c>
      <c r="AD516" t="s">
        <v>102</v>
      </c>
      <c r="AE516" t="s">
        <v>109</v>
      </c>
      <c r="AF516" t="s">
        <v>102</v>
      </c>
      <c r="AG516" t="s">
        <v>109</v>
      </c>
      <c r="AH516" t="s">
        <v>102</v>
      </c>
      <c r="AI516" t="s">
        <v>11282</v>
      </c>
      <c r="AJ516" t="s">
        <v>1451</v>
      </c>
      <c r="AK516" t="s">
        <v>1451</v>
      </c>
      <c r="AL516" t="s">
        <v>11283</v>
      </c>
      <c r="AM516" t="s">
        <v>11284</v>
      </c>
      <c r="AN516" t="s">
        <v>4372</v>
      </c>
      <c r="AO516" t="s">
        <v>317</v>
      </c>
      <c r="AP516" t="s">
        <v>317</v>
      </c>
      <c r="AU516" t="s">
        <v>117</v>
      </c>
      <c r="AV516" t="s">
        <v>118</v>
      </c>
      <c r="AW516" t="s">
        <v>102</v>
      </c>
      <c r="AX516" t="s">
        <v>119</v>
      </c>
      <c r="BB516" t="s">
        <v>120</v>
      </c>
      <c r="BC516" t="s">
        <v>2204</v>
      </c>
      <c r="BD516" t="s">
        <v>121</v>
      </c>
      <c r="BE516" t="s">
        <v>122</v>
      </c>
      <c r="BF516" t="s">
        <v>123</v>
      </c>
      <c r="BG516" t="s">
        <v>124</v>
      </c>
      <c r="BH516" t="s">
        <v>232</v>
      </c>
      <c r="BI516" t="s">
        <v>126</v>
      </c>
      <c r="BJ516" t="s">
        <v>127</v>
      </c>
      <c r="BK516" t="s">
        <v>11285</v>
      </c>
      <c r="BL516" t="s">
        <v>11286</v>
      </c>
      <c r="BM516" t="s">
        <v>11287</v>
      </c>
      <c r="BN516" t="s">
        <v>1603</v>
      </c>
      <c r="BO516" t="s">
        <v>3083</v>
      </c>
      <c r="BP516" t="s">
        <v>350</v>
      </c>
      <c r="BQ516" t="s">
        <v>3084</v>
      </c>
      <c r="BR516" t="s">
        <v>3085</v>
      </c>
      <c r="BS516" t="s">
        <v>11288</v>
      </c>
      <c r="BU516" t="s">
        <v>11289</v>
      </c>
      <c r="BV516" t="s">
        <v>11290</v>
      </c>
      <c r="BX516" t="s">
        <v>11291</v>
      </c>
      <c r="BY516" t="s">
        <v>11292</v>
      </c>
      <c r="BZ516" t="s">
        <v>11293</v>
      </c>
      <c r="CG516" t="s">
        <v>102</v>
      </c>
      <c r="CH516" t="s">
        <v>11294</v>
      </c>
      <c r="CJ516" t="s">
        <v>9367</v>
      </c>
      <c r="CK516" t="s">
        <v>11294</v>
      </c>
      <c r="CL516" t="s">
        <v>2204</v>
      </c>
      <c r="CM516" t="s">
        <v>121</v>
      </c>
      <c r="CN516" t="s">
        <v>9367</v>
      </c>
      <c r="CO516" t="s">
        <v>11295</v>
      </c>
      <c r="CP516" t="s">
        <v>11294</v>
      </c>
      <c r="CQ516" t="s">
        <v>11294</v>
      </c>
    </row>
    <row r="517" spans="1:95">
      <c r="A517" t="s">
        <v>337</v>
      </c>
      <c r="B517">
        <v>608032</v>
      </c>
      <c r="C517" t="s">
        <v>11296</v>
      </c>
      <c r="D517" t="str">
        <f>VLOOKUP(B517,'2025'!B:C,2,0)</f>
        <v>Aarti Iyer</v>
      </c>
      <c r="F517" t="s">
        <v>95</v>
      </c>
      <c r="G517" t="s">
        <v>6996</v>
      </c>
      <c r="H517" t="s">
        <v>97</v>
      </c>
      <c r="I517" t="s">
        <v>98</v>
      </c>
      <c r="J517" t="s">
        <v>11297</v>
      </c>
      <c r="K517" t="s">
        <v>100</v>
      </c>
      <c r="L517">
        <v>79800</v>
      </c>
      <c r="M517">
        <v>79800</v>
      </c>
      <c r="N517">
        <v>79800</v>
      </c>
      <c r="O517">
        <v>133</v>
      </c>
      <c r="P517" t="s">
        <v>310</v>
      </c>
      <c r="Q517">
        <v>0</v>
      </c>
      <c r="R517">
        <v>0</v>
      </c>
      <c r="T517">
        <v>0</v>
      </c>
      <c r="U517">
        <v>0</v>
      </c>
      <c r="W517" t="s">
        <v>102</v>
      </c>
      <c r="X517" t="s">
        <v>103</v>
      </c>
      <c r="Y517" t="s">
        <v>398</v>
      </c>
      <c r="AA517" t="s">
        <v>1653</v>
      </c>
      <c r="AB517" t="s">
        <v>1454</v>
      </c>
      <c r="AC517" t="s">
        <v>1818</v>
      </c>
      <c r="AD517" t="s">
        <v>11298</v>
      </c>
      <c r="AE517" t="s">
        <v>162</v>
      </c>
      <c r="AF517" t="s">
        <v>11299</v>
      </c>
      <c r="AG517" t="s">
        <v>109</v>
      </c>
      <c r="AH517" t="s">
        <v>102</v>
      </c>
      <c r="AI517" t="s">
        <v>102</v>
      </c>
      <c r="AJ517" t="s">
        <v>2048</v>
      </c>
      <c r="AK517" t="s">
        <v>11300</v>
      </c>
      <c r="AL517" t="s">
        <v>11301</v>
      </c>
      <c r="AM517" t="s">
        <v>11302</v>
      </c>
      <c r="AN517" t="s">
        <v>5007</v>
      </c>
      <c r="AO517" t="s">
        <v>317</v>
      </c>
      <c r="AP517" t="s">
        <v>317</v>
      </c>
      <c r="AU517" t="s">
        <v>318</v>
      </c>
      <c r="AV517" t="s">
        <v>118</v>
      </c>
      <c r="AW517" t="s">
        <v>102</v>
      </c>
      <c r="AX517" t="s">
        <v>119</v>
      </c>
      <c r="BB517" t="s">
        <v>209</v>
      </c>
      <c r="BC517" t="s">
        <v>11303</v>
      </c>
      <c r="BD517" t="s">
        <v>9269</v>
      </c>
      <c r="BE517" t="s">
        <v>622</v>
      </c>
      <c r="BF517" t="s">
        <v>976</v>
      </c>
      <c r="BG517" t="s">
        <v>124</v>
      </c>
      <c r="BH517" t="s">
        <v>400</v>
      </c>
      <c r="BI517" t="s">
        <v>1542</v>
      </c>
      <c r="BJ517" t="s">
        <v>127</v>
      </c>
      <c r="BK517" t="s">
        <v>11304</v>
      </c>
      <c r="BL517" t="s">
        <v>11305</v>
      </c>
      <c r="BM517" t="s">
        <v>11306</v>
      </c>
      <c r="BN517" t="s">
        <v>6996</v>
      </c>
      <c r="BO517" t="s">
        <v>5802</v>
      </c>
      <c r="BP517" t="s">
        <v>258</v>
      </c>
      <c r="BQ517" t="s">
        <v>5803</v>
      </c>
      <c r="BR517" t="s">
        <v>5804</v>
      </c>
      <c r="BS517" t="s">
        <v>984</v>
      </c>
      <c r="BU517" t="s">
        <v>11307</v>
      </c>
      <c r="BV517" t="s">
        <v>11308</v>
      </c>
      <c r="BW517" t="s">
        <v>354</v>
      </c>
      <c r="BX517" t="s">
        <v>11309</v>
      </c>
      <c r="BY517" t="s">
        <v>11310</v>
      </c>
      <c r="BZ517" t="s">
        <v>11311</v>
      </c>
      <c r="CA517" t="s">
        <v>11312</v>
      </c>
      <c r="CB517" t="s">
        <v>11313</v>
      </c>
      <c r="CC517" t="s">
        <v>11310</v>
      </c>
      <c r="CD517" t="s">
        <v>11312</v>
      </c>
      <c r="CE517" t="s">
        <v>11313</v>
      </c>
      <c r="CF517" t="s">
        <v>11310</v>
      </c>
      <c r="CG517" t="s">
        <v>709</v>
      </c>
      <c r="CH517" t="s">
        <v>11314</v>
      </c>
      <c r="CJ517" t="s">
        <v>11315</v>
      </c>
      <c r="CK517" t="s">
        <v>11303</v>
      </c>
      <c r="CL517" t="s">
        <v>11303</v>
      </c>
      <c r="CM517" t="s">
        <v>9269</v>
      </c>
      <c r="CN517" t="s">
        <v>11315</v>
      </c>
      <c r="CP517" t="s">
        <v>11316</v>
      </c>
      <c r="CQ517" t="s">
        <v>11303</v>
      </c>
    </row>
    <row r="518" spans="1:95">
      <c r="A518" t="s">
        <v>93</v>
      </c>
      <c r="B518">
        <v>615868</v>
      </c>
      <c r="C518" t="s">
        <v>11317</v>
      </c>
      <c r="F518" t="s">
        <v>95</v>
      </c>
      <c r="G518" t="s">
        <v>847</v>
      </c>
      <c r="H518" t="s">
        <v>97</v>
      </c>
      <c r="I518" t="s">
        <v>98</v>
      </c>
      <c r="J518" t="s">
        <v>11318</v>
      </c>
      <c r="K518" t="s">
        <v>100</v>
      </c>
      <c r="L518">
        <v>39054</v>
      </c>
      <c r="M518">
        <v>39054</v>
      </c>
      <c r="N518">
        <v>39054</v>
      </c>
      <c r="O518">
        <v>71</v>
      </c>
      <c r="P518" t="s">
        <v>3431</v>
      </c>
      <c r="Q518">
        <v>0</v>
      </c>
      <c r="R518">
        <v>0</v>
      </c>
      <c r="T518">
        <v>0</v>
      </c>
      <c r="U518">
        <v>0</v>
      </c>
      <c r="W518" t="s">
        <v>102</v>
      </c>
      <c r="X518" t="s">
        <v>103</v>
      </c>
      <c r="Y518" t="s">
        <v>104</v>
      </c>
      <c r="AA518" t="s">
        <v>2605</v>
      </c>
      <c r="AB518" t="s">
        <v>11319</v>
      </c>
      <c r="AC518" t="s">
        <v>160</v>
      </c>
      <c r="AD518" t="s">
        <v>11320</v>
      </c>
      <c r="AE518" t="s">
        <v>109</v>
      </c>
      <c r="AF518" t="s">
        <v>102</v>
      </c>
      <c r="AG518" t="s">
        <v>109</v>
      </c>
      <c r="AH518" t="s">
        <v>102</v>
      </c>
      <c r="AI518" t="s">
        <v>11321</v>
      </c>
      <c r="AJ518" t="s">
        <v>2364</v>
      </c>
      <c r="AK518" t="s">
        <v>1941</v>
      </c>
      <c r="AL518" t="s">
        <v>11322</v>
      </c>
      <c r="AM518" t="s">
        <v>11323</v>
      </c>
      <c r="AN518" t="s">
        <v>104</v>
      </c>
      <c r="AO518" t="s">
        <v>3438</v>
      </c>
      <c r="AP518" t="s">
        <v>3438</v>
      </c>
      <c r="AU518" t="s">
        <v>318</v>
      </c>
      <c r="AV518" t="s">
        <v>118</v>
      </c>
      <c r="AW518" t="s">
        <v>102</v>
      </c>
      <c r="AX518" t="s">
        <v>119</v>
      </c>
      <c r="BB518" t="s">
        <v>209</v>
      </c>
      <c r="BC518" t="s">
        <v>920</v>
      </c>
      <c r="BD518" t="s">
        <v>211</v>
      </c>
      <c r="BE518" t="s">
        <v>212</v>
      </c>
      <c r="BF518" t="s">
        <v>213</v>
      </c>
      <c r="BG518" t="s">
        <v>124</v>
      </c>
      <c r="BH518" t="s">
        <v>214</v>
      </c>
      <c r="BI518" t="s">
        <v>126</v>
      </c>
      <c r="BJ518" t="s">
        <v>127</v>
      </c>
      <c r="BK518" t="s">
        <v>11324</v>
      </c>
      <c r="BL518" t="s">
        <v>11325</v>
      </c>
      <c r="BM518" t="s">
        <v>11326</v>
      </c>
      <c r="BN518" t="s">
        <v>847</v>
      </c>
      <c r="BO518" t="s">
        <v>3443</v>
      </c>
      <c r="BP518" t="s">
        <v>180</v>
      </c>
      <c r="BQ518" t="s">
        <v>3444</v>
      </c>
      <c r="BR518" t="s">
        <v>3445</v>
      </c>
      <c r="BS518" t="s">
        <v>2151</v>
      </c>
      <c r="BU518" t="s">
        <v>11327</v>
      </c>
      <c r="BV518" t="s">
        <v>3447</v>
      </c>
      <c r="BW518" t="s">
        <v>138</v>
      </c>
      <c r="BX518" t="s">
        <v>3448</v>
      </c>
      <c r="BY518" t="s">
        <v>3449</v>
      </c>
      <c r="BZ518" t="s">
        <v>3450</v>
      </c>
      <c r="CA518" t="s">
        <v>3447</v>
      </c>
      <c r="CB518" t="s">
        <v>3448</v>
      </c>
      <c r="CC518" t="s">
        <v>11328</v>
      </c>
      <c r="CD518" t="s">
        <v>3451</v>
      </c>
      <c r="CE518" t="s">
        <v>3448</v>
      </c>
      <c r="CF518" t="s">
        <v>3449</v>
      </c>
      <c r="CG518" t="s">
        <v>573</v>
      </c>
      <c r="CH518" t="s">
        <v>11329</v>
      </c>
      <c r="CJ518" t="s">
        <v>3453</v>
      </c>
      <c r="CK518" t="s">
        <v>11329</v>
      </c>
      <c r="CL518" t="s">
        <v>920</v>
      </c>
      <c r="CM518" t="s">
        <v>211</v>
      </c>
      <c r="CN518" t="s">
        <v>3453</v>
      </c>
      <c r="CO518" t="s">
        <v>3455</v>
      </c>
      <c r="CP518" t="s">
        <v>11329</v>
      </c>
      <c r="CQ518" t="s">
        <v>11329</v>
      </c>
    </row>
    <row r="519" spans="1:95">
      <c r="A519" t="s">
        <v>149</v>
      </c>
      <c r="B519">
        <v>617089</v>
      </c>
      <c r="C519" t="s">
        <v>11330</v>
      </c>
      <c r="D519" t="str">
        <f>VLOOKUP(B519,'2025'!B:C,2,0)</f>
        <v>Aarti Iyer</v>
      </c>
      <c r="F519" t="s">
        <v>95</v>
      </c>
      <c r="G519" t="s">
        <v>911</v>
      </c>
      <c r="H519" t="s">
        <v>848</v>
      </c>
      <c r="I519" t="s">
        <v>98</v>
      </c>
      <c r="J519" t="s">
        <v>11331</v>
      </c>
      <c r="K519" t="s">
        <v>100</v>
      </c>
      <c r="L519">
        <v>46604</v>
      </c>
      <c r="M519">
        <v>54993</v>
      </c>
      <c r="N519">
        <v>0</v>
      </c>
      <c r="O519">
        <v>0</v>
      </c>
      <c r="Q519">
        <v>0</v>
      </c>
      <c r="R519">
        <v>0</v>
      </c>
      <c r="T519">
        <v>46604</v>
      </c>
      <c r="U519">
        <v>25</v>
      </c>
      <c r="V519" t="s">
        <v>800</v>
      </c>
      <c r="W519" t="s">
        <v>102</v>
      </c>
      <c r="X519" t="s">
        <v>103</v>
      </c>
      <c r="Y519" t="s">
        <v>398</v>
      </c>
      <c r="AA519" t="s">
        <v>911</v>
      </c>
      <c r="AB519" t="s">
        <v>11332</v>
      </c>
      <c r="AC519" t="s">
        <v>1472</v>
      </c>
      <c r="AD519" t="s">
        <v>11333</v>
      </c>
      <c r="AE519" t="s">
        <v>1473</v>
      </c>
      <c r="AF519" t="s">
        <v>11333</v>
      </c>
      <c r="AG519" t="s">
        <v>109</v>
      </c>
      <c r="AH519" t="s">
        <v>102</v>
      </c>
      <c r="AI519" t="s">
        <v>102</v>
      </c>
      <c r="AJ519" t="s">
        <v>886</v>
      </c>
      <c r="AK519" t="s">
        <v>550</v>
      </c>
      <c r="AL519" t="s">
        <v>11334</v>
      </c>
      <c r="AM519" t="s">
        <v>11334</v>
      </c>
      <c r="AN519" t="s">
        <v>102</v>
      </c>
      <c r="AO519" t="s">
        <v>3139</v>
      </c>
      <c r="AP519" t="s">
        <v>3139</v>
      </c>
      <c r="AU519" t="s">
        <v>102</v>
      </c>
      <c r="AW519" t="s">
        <v>102</v>
      </c>
      <c r="AX519" t="s">
        <v>119</v>
      </c>
      <c r="BA519" t="s">
        <v>250</v>
      </c>
      <c r="BB519" t="s">
        <v>120</v>
      </c>
      <c r="BC519" t="s">
        <v>11335</v>
      </c>
      <c r="BD519" t="s">
        <v>621</v>
      </c>
      <c r="BE519" t="s">
        <v>622</v>
      </c>
      <c r="BF519" t="s">
        <v>976</v>
      </c>
      <c r="BG519" t="s">
        <v>124</v>
      </c>
      <c r="BH519" t="s">
        <v>977</v>
      </c>
      <c r="BI519" t="s">
        <v>625</v>
      </c>
      <c r="BJ519" t="s">
        <v>127</v>
      </c>
      <c r="BK519" t="s">
        <v>11336</v>
      </c>
      <c r="BL519" t="s">
        <v>11337</v>
      </c>
      <c r="BM519" t="s">
        <v>11338</v>
      </c>
      <c r="BN519" t="s">
        <v>911</v>
      </c>
      <c r="BO519" t="s">
        <v>981</v>
      </c>
      <c r="BP519" t="s">
        <v>505</v>
      </c>
      <c r="BQ519" t="s">
        <v>982</v>
      </c>
      <c r="BR519" t="s">
        <v>983</v>
      </c>
      <c r="BS519" t="s">
        <v>984</v>
      </c>
      <c r="BU519" t="s">
        <v>11339</v>
      </c>
      <c r="BV519" t="s">
        <v>11340</v>
      </c>
      <c r="BW519" t="s">
        <v>598</v>
      </c>
      <c r="BX519" t="s">
        <v>11341</v>
      </c>
      <c r="BY519" t="s">
        <v>11342</v>
      </c>
      <c r="BZ519" t="s">
        <v>11343</v>
      </c>
      <c r="CG519" t="s">
        <v>102</v>
      </c>
      <c r="CH519" t="s">
        <v>11344</v>
      </c>
      <c r="CJ519" t="s">
        <v>11345</v>
      </c>
      <c r="CK519" t="s">
        <v>11344</v>
      </c>
      <c r="CL519" t="s">
        <v>11335</v>
      </c>
      <c r="CM519" t="s">
        <v>621</v>
      </c>
      <c r="CN519" t="s">
        <v>11345</v>
      </c>
      <c r="CP519" t="s">
        <v>11344</v>
      </c>
      <c r="CQ519" t="s">
        <v>11344</v>
      </c>
    </row>
    <row r="520" spans="1:95">
      <c r="A520" t="s">
        <v>149</v>
      </c>
      <c r="B520">
        <v>619657</v>
      </c>
      <c r="C520" t="s">
        <v>11346</v>
      </c>
      <c r="D520" t="str">
        <f>VLOOKUP(B520,'2025'!B:C,2,0)</f>
        <v>Aarti Iyer</v>
      </c>
      <c r="F520" t="s">
        <v>95</v>
      </c>
      <c r="G520" t="s">
        <v>197</v>
      </c>
      <c r="H520" t="s">
        <v>97</v>
      </c>
      <c r="I520" t="s">
        <v>98</v>
      </c>
      <c r="J520" t="s">
        <v>11347</v>
      </c>
      <c r="K520" t="s">
        <v>100</v>
      </c>
      <c r="L520">
        <v>243587</v>
      </c>
      <c r="M520">
        <v>243587</v>
      </c>
      <c r="N520">
        <v>243587</v>
      </c>
      <c r="O520">
        <v>345</v>
      </c>
      <c r="P520" t="s">
        <v>5793</v>
      </c>
      <c r="Q520">
        <v>0</v>
      </c>
      <c r="R520">
        <v>0</v>
      </c>
      <c r="T520">
        <v>0</v>
      </c>
      <c r="U520">
        <v>0</v>
      </c>
      <c r="W520" t="s">
        <v>102</v>
      </c>
      <c r="X520" t="s">
        <v>103</v>
      </c>
      <c r="Y520" t="s">
        <v>104</v>
      </c>
      <c r="AA520" t="s">
        <v>197</v>
      </c>
      <c r="AB520" t="s">
        <v>11348</v>
      </c>
      <c r="AC520" t="s">
        <v>158</v>
      </c>
      <c r="AD520" t="s">
        <v>11348</v>
      </c>
      <c r="AE520" t="s">
        <v>109</v>
      </c>
      <c r="AF520" t="s">
        <v>102</v>
      </c>
      <c r="AG520" t="s">
        <v>109</v>
      </c>
      <c r="AH520" t="s">
        <v>102</v>
      </c>
      <c r="AI520" t="s">
        <v>11349</v>
      </c>
      <c r="AJ520" t="s">
        <v>1402</v>
      </c>
      <c r="AK520" t="s">
        <v>3483</v>
      </c>
      <c r="AL520" t="s">
        <v>11350</v>
      </c>
      <c r="AM520" t="s">
        <v>11351</v>
      </c>
      <c r="AN520" t="s">
        <v>102</v>
      </c>
      <c r="AO520" t="s">
        <v>5798</v>
      </c>
      <c r="AP520" t="s">
        <v>5798</v>
      </c>
      <c r="AU520" t="s">
        <v>318</v>
      </c>
      <c r="AV520" t="s">
        <v>118</v>
      </c>
      <c r="AW520" t="s">
        <v>102</v>
      </c>
      <c r="AX520" t="s">
        <v>119</v>
      </c>
      <c r="BB520" t="s">
        <v>120</v>
      </c>
      <c r="BC520" t="s">
        <v>2127</v>
      </c>
      <c r="BD520" t="s">
        <v>621</v>
      </c>
      <c r="BE520" t="s">
        <v>622</v>
      </c>
      <c r="BF520" t="s">
        <v>976</v>
      </c>
      <c r="BG520" t="s">
        <v>124</v>
      </c>
      <c r="BH520" t="s">
        <v>892</v>
      </c>
      <c r="BI520" t="s">
        <v>625</v>
      </c>
      <c r="BJ520" t="s">
        <v>127</v>
      </c>
      <c r="BK520" t="s">
        <v>11352</v>
      </c>
      <c r="BL520" t="s">
        <v>11353</v>
      </c>
      <c r="BM520" t="s">
        <v>11354</v>
      </c>
      <c r="BN520" t="s">
        <v>197</v>
      </c>
      <c r="BO520" t="s">
        <v>981</v>
      </c>
      <c r="BP520" t="s">
        <v>132</v>
      </c>
      <c r="BQ520" t="s">
        <v>982</v>
      </c>
      <c r="BR520" t="s">
        <v>983</v>
      </c>
      <c r="BS520" t="s">
        <v>984</v>
      </c>
      <c r="BU520" t="s">
        <v>11355</v>
      </c>
      <c r="BV520" t="s">
        <v>11356</v>
      </c>
      <c r="BW520" t="s">
        <v>138</v>
      </c>
      <c r="BX520" t="s">
        <v>11357</v>
      </c>
      <c r="BY520" t="s">
        <v>11358</v>
      </c>
      <c r="BZ520" t="s">
        <v>11357</v>
      </c>
      <c r="CG520" t="s">
        <v>102</v>
      </c>
      <c r="CH520" t="s">
        <v>11359</v>
      </c>
      <c r="CJ520" t="s">
        <v>11360</v>
      </c>
      <c r="CK520" t="s">
        <v>11359</v>
      </c>
      <c r="CL520" t="s">
        <v>2127</v>
      </c>
      <c r="CM520" t="s">
        <v>621</v>
      </c>
      <c r="CN520" t="s">
        <v>11360</v>
      </c>
      <c r="CO520" t="s">
        <v>11361</v>
      </c>
      <c r="CP520" t="s">
        <v>11362</v>
      </c>
      <c r="CQ520" t="s">
        <v>11359</v>
      </c>
    </row>
    <row r="521" spans="1:95">
      <c r="A521" t="s">
        <v>337</v>
      </c>
      <c r="B521">
        <v>620889</v>
      </c>
      <c r="C521" t="s">
        <v>11363</v>
      </c>
      <c r="D521" t="str">
        <f>VLOOKUP(B521,'2025'!B:C,2,0)</f>
        <v>Sudhi</v>
      </c>
      <c r="F521" t="s">
        <v>95</v>
      </c>
      <c r="G521" t="s">
        <v>8146</v>
      </c>
      <c r="H521" t="s">
        <v>97</v>
      </c>
      <c r="I521" t="s">
        <v>98</v>
      </c>
      <c r="J521" t="s">
        <v>11364</v>
      </c>
      <c r="K521" t="s">
        <v>100</v>
      </c>
      <c r="L521">
        <v>332250</v>
      </c>
      <c r="M521">
        <v>332250</v>
      </c>
      <c r="N521">
        <v>332250</v>
      </c>
      <c r="O521">
        <v>443</v>
      </c>
      <c r="P521" t="s">
        <v>101</v>
      </c>
      <c r="Q521">
        <v>0</v>
      </c>
      <c r="R521">
        <v>0</v>
      </c>
      <c r="T521">
        <v>0</v>
      </c>
      <c r="U521">
        <v>0</v>
      </c>
      <c r="W521" t="s">
        <v>102</v>
      </c>
      <c r="X521" t="s">
        <v>275</v>
      </c>
      <c r="Z521" t="s">
        <v>646</v>
      </c>
      <c r="AA521" t="s">
        <v>109</v>
      </c>
      <c r="AB521" t="s">
        <v>102</v>
      </c>
      <c r="AC521" t="s">
        <v>109</v>
      </c>
      <c r="AD521" t="s">
        <v>102</v>
      </c>
      <c r="AE521" t="s">
        <v>109</v>
      </c>
      <c r="AF521" t="s">
        <v>102</v>
      </c>
      <c r="AG521" t="s">
        <v>109</v>
      </c>
      <c r="AH521" t="s">
        <v>102</v>
      </c>
      <c r="AI521" t="s">
        <v>11365</v>
      </c>
      <c r="AJ521" t="s">
        <v>8340</v>
      </c>
      <c r="AK521" t="s">
        <v>8340</v>
      </c>
      <c r="AL521" t="s">
        <v>11366</v>
      </c>
      <c r="AM521" t="s">
        <v>11367</v>
      </c>
      <c r="AN521" t="s">
        <v>102</v>
      </c>
      <c r="AO521" t="s">
        <v>116</v>
      </c>
      <c r="AP521" t="s">
        <v>116</v>
      </c>
      <c r="AU521" t="s">
        <v>117</v>
      </c>
      <c r="AV521" t="s">
        <v>118</v>
      </c>
      <c r="AW521" t="s">
        <v>102</v>
      </c>
      <c r="AX521" t="s">
        <v>119</v>
      </c>
      <c r="BB521" t="s">
        <v>1664</v>
      </c>
      <c r="BC521" t="s">
        <v>11368</v>
      </c>
      <c r="BD521" t="s">
        <v>2800</v>
      </c>
      <c r="BE521" t="s">
        <v>122</v>
      </c>
      <c r="BF521" t="s">
        <v>346</v>
      </c>
      <c r="BG521" t="s">
        <v>124</v>
      </c>
      <c r="BH521" t="s">
        <v>232</v>
      </c>
      <c r="BI521" t="s">
        <v>126</v>
      </c>
      <c r="BJ521" t="s">
        <v>127</v>
      </c>
      <c r="BK521" t="s">
        <v>11369</v>
      </c>
      <c r="BL521" t="s">
        <v>11370</v>
      </c>
      <c r="BM521" t="s">
        <v>11371</v>
      </c>
      <c r="BN521" t="s">
        <v>8146</v>
      </c>
      <c r="BO521" t="s">
        <v>4845</v>
      </c>
      <c r="BP521" t="s">
        <v>505</v>
      </c>
      <c r="BQ521" t="s">
        <v>4846</v>
      </c>
      <c r="BR521" t="s">
        <v>4847</v>
      </c>
      <c r="BS521" t="s">
        <v>8756</v>
      </c>
      <c r="BT521" t="s">
        <v>5743</v>
      </c>
      <c r="BU521" t="s">
        <v>11372</v>
      </c>
      <c r="BV521" t="s">
        <v>11373</v>
      </c>
      <c r="BW521" t="s">
        <v>569</v>
      </c>
      <c r="BX521" t="s">
        <v>11374</v>
      </c>
      <c r="BY521" t="s">
        <v>11375</v>
      </c>
      <c r="BZ521" t="s">
        <v>11376</v>
      </c>
      <c r="CG521" t="s">
        <v>11377</v>
      </c>
      <c r="CH521" t="s">
        <v>11378</v>
      </c>
      <c r="CJ521" t="s">
        <v>11379</v>
      </c>
      <c r="CK521" t="s">
        <v>11378</v>
      </c>
      <c r="CL521" t="s">
        <v>11368</v>
      </c>
      <c r="CM521" t="s">
        <v>2800</v>
      </c>
      <c r="CN521" t="s">
        <v>11379</v>
      </c>
      <c r="CP521" t="s">
        <v>11378</v>
      </c>
      <c r="CQ521" t="s">
        <v>11378</v>
      </c>
    </row>
    <row r="522" spans="1:95">
      <c r="A522" t="s">
        <v>337</v>
      </c>
      <c r="B522">
        <v>623030</v>
      </c>
      <c r="C522" t="s">
        <v>11380</v>
      </c>
      <c r="D522" t="str">
        <f>VLOOKUP(B522,'2025'!B:C,2,0)</f>
        <v>Pooja</v>
      </c>
      <c r="F522" t="s">
        <v>95</v>
      </c>
      <c r="G522" t="s">
        <v>3640</v>
      </c>
      <c r="H522" t="s">
        <v>97</v>
      </c>
      <c r="I522" t="s">
        <v>98</v>
      </c>
      <c r="J522" t="s">
        <v>11381</v>
      </c>
      <c r="K522" t="s">
        <v>100</v>
      </c>
      <c r="L522">
        <v>288750</v>
      </c>
      <c r="M522">
        <v>288750</v>
      </c>
      <c r="N522">
        <v>288750</v>
      </c>
      <c r="O522">
        <v>385</v>
      </c>
      <c r="P522" t="s">
        <v>101</v>
      </c>
      <c r="Q522">
        <v>0</v>
      </c>
      <c r="R522">
        <v>0</v>
      </c>
      <c r="T522">
        <v>0</v>
      </c>
      <c r="U522">
        <v>0</v>
      </c>
      <c r="W522" t="s">
        <v>102</v>
      </c>
      <c r="X522" t="s">
        <v>103</v>
      </c>
      <c r="Y522" t="s">
        <v>104</v>
      </c>
      <c r="AA522" t="s">
        <v>8298</v>
      </c>
      <c r="AB522" t="s">
        <v>11382</v>
      </c>
      <c r="AC522" t="s">
        <v>1358</v>
      </c>
      <c r="AD522" t="s">
        <v>11383</v>
      </c>
      <c r="AE522" t="s">
        <v>109</v>
      </c>
      <c r="AF522" t="s">
        <v>102</v>
      </c>
      <c r="AG522" t="s">
        <v>109</v>
      </c>
      <c r="AH522" t="s">
        <v>102</v>
      </c>
      <c r="AI522" t="s">
        <v>102</v>
      </c>
      <c r="AJ522" t="s">
        <v>8298</v>
      </c>
      <c r="AK522" t="s">
        <v>8471</v>
      </c>
      <c r="AL522" t="s">
        <v>11384</v>
      </c>
      <c r="AM522" t="s">
        <v>7505</v>
      </c>
      <c r="AN522" t="s">
        <v>11385</v>
      </c>
      <c r="AO522" t="s">
        <v>116</v>
      </c>
      <c r="AP522" t="s">
        <v>116</v>
      </c>
      <c r="AU522" t="s">
        <v>117</v>
      </c>
      <c r="AV522" t="s">
        <v>118</v>
      </c>
      <c r="AW522" t="s">
        <v>102</v>
      </c>
      <c r="AX522" t="s">
        <v>119</v>
      </c>
      <c r="BB522" t="s">
        <v>209</v>
      </c>
      <c r="BC522" t="s">
        <v>2820</v>
      </c>
      <c r="BD522" t="s">
        <v>376</v>
      </c>
      <c r="BE522" t="s">
        <v>174</v>
      </c>
      <c r="BF522" t="s">
        <v>376</v>
      </c>
      <c r="BG522" t="s">
        <v>124</v>
      </c>
      <c r="BH522" t="s">
        <v>3134</v>
      </c>
      <c r="BI522" t="s">
        <v>945</v>
      </c>
      <c r="BJ522" t="s">
        <v>127</v>
      </c>
      <c r="BK522" t="s">
        <v>11386</v>
      </c>
      <c r="BL522" t="s">
        <v>11387</v>
      </c>
      <c r="BM522" t="s">
        <v>11388</v>
      </c>
      <c r="BN522" t="s">
        <v>3640</v>
      </c>
      <c r="BO522" t="s">
        <v>1831</v>
      </c>
      <c r="BP522" t="s">
        <v>180</v>
      </c>
      <c r="BQ522" t="s">
        <v>1832</v>
      </c>
      <c r="BR522" t="s">
        <v>1833</v>
      </c>
      <c r="BS522" t="s">
        <v>1834</v>
      </c>
      <c r="BT522" t="s">
        <v>5534</v>
      </c>
      <c r="BU522" t="s">
        <v>11389</v>
      </c>
      <c r="BV522" t="s">
        <v>11390</v>
      </c>
      <c r="BW522" t="s">
        <v>138</v>
      </c>
      <c r="BX522" t="s">
        <v>11391</v>
      </c>
      <c r="BY522" t="s">
        <v>11392</v>
      </c>
      <c r="BZ522" t="s">
        <v>11393</v>
      </c>
      <c r="CA522" t="s">
        <v>11390</v>
      </c>
      <c r="CB522" t="s">
        <v>11394</v>
      </c>
      <c r="CC522" t="s">
        <v>11395</v>
      </c>
      <c r="CD522" t="s">
        <v>11396</v>
      </c>
      <c r="CE522" t="s">
        <v>11394</v>
      </c>
      <c r="CF522" t="s">
        <v>11395</v>
      </c>
      <c r="CG522" t="s">
        <v>1538</v>
      </c>
      <c r="CH522" t="s">
        <v>11397</v>
      </c>
      <c r="CJ522" t="s">
        <v>11398</v>
      </c>
      <c r="CK522" t="s">
        <v>11397</v>
      </c>
      <c r="CL522" t="s">
        <v>2820</v>
      </c>
      <c r="CM522" t="s">
        <v>376</v>
      </c>
      <c r="CN522" t="s">
        <v>11398</v>
      </c>
      <c r="CP522" t="s">
        <v>11397</v>
      </c>
      <c r="CQ522" t="s">
        <v>11397</v>
      </c>
    </row>
    <row r="523" spans="1:95">
      <c r="A523" t="s">
        <v>149</v>
      </c>
      <c r="B523">
        <v>628551</v>
      </c>
      <c r="C523" t="s">
        <v>11399</v>
      </c>
      <c r="D523" t="str">
        <f>VLOOKUP(B523,'2025'!B:C,2,0)</f>
        <v>Gargi Ghosh</v>
      </c>
      <c r="F523" t="s">
        <v>95</v>
      </c>
      <c r="G523" t="s">
        <v>11400</v>
      </c>
      <c r="H523" t="s">
        <v>193</v>
      </c>
      <c r="I523" t="s">
        <v>98</v>
      </c>
      <c r="J523" t="s">
        <v>11401</v>
      </c>
      <c r="K523" t="s">
        <v>100</v>
      </c>
      <c r="L523">
        <v>973504</v>
      </c>
      <c r="M523">
        <v>1137215</v>
      </c>
      <c r="N523">
        <v>64000</v>
      </c>
      <c r="O523">
        <v>160</v>
      </c>
      <c r="P523" t="s">
        <v>6051</v>
      </c>
      <c r="Q523">
        <v>0</v>
      </c>
      <c r="R523">
        <v>0</v>
      </c>
      <c r="T523">
        <v>909504</v>
      </c>
      <c r="U523">
        <v>466</v>
      </c>
      <c r="V523" t="s">
        <v>11402</v>
      </c>
      <c r="W523" t="s">
        <v>102</v>
      </c>
      <c r="X523" t="s">
        <v>103</v>
      </c>
      <c r="Y523" t="s">
        <v>801</v>
      </c>
      <c r="AA523" t="s">
        <v>11403</v>
      </c>
      <c r="AB523" t="s">
        <v>11404</v>
      </c>
      <c r="AC523" t="s">
        <v>11405</v>
      </c>
      <c r="AD523" t="s">
        <v>11406</v>
      </c>
      <c r="AE523" t="s">
        <v>1095</v>
      </c>
      <c r="AF523" t="s">
        <v>11407</v>
      </c>
      <c r="AG523" t="s">
        <v>807</v>
      </c>
      <c r="AH523" t="s">
        <v>11407</v>
      </c>
      <c r="AI523" t="s">
        <v>11408</v>
      </c>
      <c r="AJ523" t="s">
        <v>11409</v>
      </c>
      <c r="AK523" t="s">
        <v>11410</v>
      </c>
      <c r="AL523" t="s">
        <v>11411</v>
      </c>
      <c r="AM523" t="s">
        <v>11412</v>
      </c>
      <c r="AN523" t="s">
        <v>11413</v>
      </c>
      <c r="AO523" t="s">
        <v>11414</v>
      </c>
      <c r="AP523" t="s">
        <v>11415</v>
      </c>
      <c r="AU523" t="s">
        <v>247</v>
      </c>
      <c r="AV523" t="s">
        <v>118</v>
      </c>
      <c r="AW523" t="s">
        <v>102</v>
      </c>
      <c r="AX523" t="s">
        <v>119</v>
      </c>
      <c r="BA523" t="s">
        <v>250</v>
      </c>
      <c r="BB523" t="s">
        <v>171</v>
      </c>
      <c r="BC523" t="s">
        <v>1913</v>
      </c>
      <c r="BD523" t="s">
        <v>376</v>
      </c>
      <c r="BE523" t="s">
        <v>174</v>
      </c>
      <c r="BF523" t="s">
        <v>376</v>
      </c>
      <c r="BG523" t="s">
        <v>124</v>
      </c>
      <c r="BH523" t="s">
        <v>11416</v>
      </c>
      <c r="BI523" t="s">
        <v>126</v>
      </c>
      <c r="BJ523" t="s">
        <v>127</v>
      </c>
      <c r="BK523" t="s">
        <v>11417</v>
      </c>
      <c r="BL523" t="s">
        <v>11418</v>
      </c>
      <c r="BM523" t="s">
        <v>11419</v>
      </c>
      <c r="BN523" t="s">
        <v>11400</v>
      </c>
      <c r="BO523" t="s">
        <v>11420</v>
      </c>
      <c r="BP523" t="s">
        <v>180</v>
      </c>
      <c r="BQ523" t="s">
        <v>11421</v>
      </c>
      <c r="BR523" t="s">
        <v>11422</v>
      </c>
      <c r="BS523" t="s">
        <v>384</v>
      </c>
      <c r="BU523" t="s">
        <v>11423</v>
      </c>
      <c r="BV523" t="s">
        <v>11424</v>
      </c>
      <c r="BW523" t="s">
        <v>138</v>
      </c>
      <c r="BX523" t="s">
        <v>11425</v>
      </c>
      <c r="BY523" t="s">
        <v>11426</v>
      </c>
      <c r="BZ523" t="s">
        <v>11427</v>
      </c>
      <c r="CA523" t="s">
        <v>11428</v>
      </c>
      <c r="CB523" t="s">
        <v>11425</v>
      </c>
      <c r="CC523" t="s">
        <v>11426</v>
      </c>
      <c r="CD523" t="s">
        <v>11429</v>
      </c>
      <c r="CE523" t="s">
        <v>11427</v>
      </c>
      <c r="CF523" t="s">
        <v>11430</v>
      </c>
      <c r="CG523" t="s">
        <v>102</v>
      </c>
      <c r="CH523" t="s">
        <v>11431</v>
      </c>
      <c r="CJ523" t="s">
        <v>11432</v>
      </c>
      <c r="CK523" t="s">
        <v>11431</v>
      </c>
      <c r="CL523" t="s">
        <v>1913</v>
      </c>
      <c r="CM523" t="s">
        <v>376</v>
      </c>
      <c r="CN523" t="s">
        <v>11432</v>
      </c>
      <c r="CO523" t="s">
        <v>11433</v>
      </c>
      <c r="CP523" t="s">
        <v>11431</v>
      </c>
      <c r="CQ523" t="s">
        <v>11431</v>
      </c>
    </row>
    <row r="524" spans="1:95">
      <c r="A524" t="s">
        <v>149</v>
      </c>
      <c r="B524">
        <v>632896</v>
      </c>
      <c r="C524" t="s">
        <v>11434</v>
      </c>
      <c r="F524" t="s">
        <v>95</v>
      </c>
      <c r="G524" t="s">
        <v>192</v>
      </c>
      <c r="H524" t="s">
        <v>193</v>
      </c>
      <c r="I524" t="s">
        <v>98</v>
      </c>
      <c r="J524" t="s">
        <v>11435</v>
      </c>
      <c r="K524" t="s">
        <v>100</v>
      </c>
      <c r="L524">
        <v>920979</v>
      </c>
      <c r="M524">
        <v>1023788</v>
      </c>
      <c r="N524">
        <v>349819</v>
      </c>
      <c r="O524">
        <v>1125</v>
      </c>
      <c r="P524" t="s">
        <v>195</v>
      </c>
      <c r="Q524">
        <v>0</v>
      </c>
      <c r="R524">
        <v>0</v>
      </c>
      <c r="T524">
        <v>571160</v>
      </c>
      <c r="U524">
        <v>1123</v>
      </c>
      <c r="V524" t="s">
        <v>196</v>
      </c>
      <c r="W524" t="s">
        <v>102</v>
      </c>
      <c r="X524" t="s">
        <v>103</v>
      </c>
      <c r="Y524" t="s">
        <v>104</v>
      </c>
      <c r="AA524" t="s">
        <v>197</v>
      </c>
      <c r="AB524" t="s">
        <v>11436</v>
      </c>
      <c r="AC524" t="s">
        <v>199</v>
      </c>
      <c r="AD524" t="s">
        <v>11436</v>
      </c>
      <c r="AE524" t="s">
        <v>109</v>
      </c>
      <c r="AF524" t="s">
        <v>102</v>
      </c>
      <c r="AG524" t="s">
        <v>109</v>
      </c>
      <c r="AH524" t="s">
        <v>102</v>
      </c>
      <c r="AI524" t="s">
        <v>11437</v>
      </c>
      <c r="AJ524" t="s">
        <v>201</v>
      </c>
      <c r="AK524" t="s">
        <v>202</v>
      </c>
      <c r="AL524" t="s">
        <v>11438</v>
      </c>
      <c r="AM524" t="s">
        <v>11439</v>
      </c>
      <c r="AN524" t="s">
        <v>11440</v>
      </c>
      <c r="AO524" t="s">
        <v>206</v>
      </c>
      <c r="AP524" t="s">
        <v>206</v>
      </c>
      <c r="AU524" t="s">
        <v>207</v>
      </c>
      <c r="AV524" t="s">
        <v>118</v>
      </c>
      <c r="AW524" t="s">
        <v>102</v>
      </c>
      <c r="AX524" t="s">
        <v>119</v>
      </c>
      <c r="BA524" t="s">
        <v>250</v>
      </c>
      <c r="BB524" t="s">
        <v>120</v>
      </c>
      <c r="BC524" t="s">
        <v>5637</v>
      </c>
      <c r="BD524" t="s">
        <v>211</v>
      </c>
      <c r="BE524" t="s">
        <v>212</v>
      </c>
      <c r="BF524" t="s">
        <v>213</v>
      </c>
      <c r="BG524" t="s">
        <v>124</v>
      </c>
      <c r="BH524" t="s">
        <v>214</v>
      </c>
      <c r="BI524" t="s">
        <v>215</v>
      </c>
      <c r="BJ524" t="s">
        <v>127</v>
      </c>
      <c r="BK524" t="s">
        <v>11441</v>
      </c>
      <c r="BL524" t="s">
        <v>11442</v>
      </c>
      <c r="BM524" t="s">
        <v>11443</v>
      </c>
      <c r="BN524" t="s">
        <v>192</v>
      </c>
      <c r="BO524" t="s">
        <v>219</v>
      </c>
      <c r="BP524" t="s">
        <v>180</v>
      </c>
      <c r="BQ524" t="s">
        <v>220</v>
      </c>
      <c r="BR524" t="s">
        <v>221</v>
      </c>
      <c r="BS524" t="s">
        <v>222</v>
      </c>
      <c r="BU524" t="s">
        <v>11444</v>
      </c>
      <c r="BV524" t="s">
        <v>224</v>
      </c>
      <c r="BX524" t="s">
        <v>225</v>
      </c>
      <c r="BY524" t="s">
        <v>226</v>
      </c>
      <c r="BZ524" t="s">
        <v>11445</v>
      </c>
      <c r="CG524" t="s">
        <v>102</v>
      </c>
      <c r="CH524" t="s">
        <v>11446</v>
      </c>
      <c r="CJ524" t="s">
        <v>7644</v>
      </c>
      <c r="CK524" t="s">
        <v>11446</v>
      </c>
      <c r="CL524" t="s">
        <v>5637</v>
      </c>
      <c r="CM524" t="s">
        <v>211</v>
      </c>
      <c r="CN524" t="s">
        <v>7644</v>
      </c>
      <c r="CO524" t="s">
        <v>230</v>
      </c>
      <c r="CP524" t="s">
        <v>11446</v>
      </c>
      <c r="CQ524" t="s">
        <v>11446</v>
      </c>
    </row>
    <row r="525" spans="1:95">
      <c r="A525" t="s">
        <v>149</v>
      </c>
      <c r="B525">
        <v>6334</v>
      </c>
      <c r="C525" t="s">
        <v>5060</v>
      </c>
      <c r="D525" t="str">
        <f>VLOOKUP(B525,'2025'!B:C,2,0)</f>
        <v>Hetal Parmar</v>
      </c>
      <c r="F525" t="s">
        <v>95</v>
      </c>
      <c r="G525" t="s">
        <v>11447</v>
      </c>
      <c r="H525" t="s">
        <v>675</v>
      </c>
      <c r="I525" t="s">
        <v>98</v>
      </c>
      <c r="J525" t="s">
        <v>11448</v>
      </c>
      <c r="K525" t="s">
        <v>100</v>
      </c>
      <c r="L525">
        <v>2525888</v>
      </c>
      <c r="M525">
        <v>2525888</v>
      </c>
      <c r="N525">
        <v>935047</v>
      </c>
      <c r="O525">
        <v>1859</v>
      </c>
      <c r="P525" t="s">
        <v>11449</v>
      </c>
      <c r="Q525">
        <v>1590841</v>
      </c>
      <c r="R525">
        <v>1827</v>
      </c>
      <c r="S525" t="s">
        <v>11450</v>
      </c>
      <c r="T525">
        <v>0</v>
      </c>
      <c r="U525">
        <v>0</v>
      </c>
      <c r="W525" t="s">
        <v>102</v>
      </c>
      <c r="X525" t="s">
        <v>679</v>
      </c>
      <c r="Y525" t="s">
        <v>104</v>
      </c>
      <c r="Z525" t="s">
        <v>497</v>
      </c>
      <c r="AA525" t="s">
        <v>2009</v>
      </c>
      <c r="AB525" t="s">
        <v>11451</v>
      </c>
      <c r="AC525" t="s">
        <v>805</v>
      </c>
      <c r="AD525" t="s">
        <v>11452</v>
      </c>
      <c r="AE525" t="s">
        <v>109</v>
      </c>
      <c r="AF525" t="s">
        <v>102</v>
      </c>
      <c r="AG525" t="s">
        <v>109</v>
      </c>
      <c r="AH525" t="s">
        <v>102</v>
      </c>
      <c r="AI525" t="s">
        <v>11453</v>
      </c>
      <c r="AJ525" t="s">
        <v>977</v>
      </c>
      <c r="AK525" t="s">
        <v>11454</v>
      </c>
      <c r="AL525" t="s">
        <v>11455</v>
      </c>
      <c r="AM525" t="s">
        <v>11456</v>
      </c>
      <c r="AN525" t="s">
        <v>11457</v>
      </c>
      <c r="AO525" t="s">
        <v>11458</v>
      </c>
      <c r="AP525" t="s">
        <v>11458</v>
      </c>
      <c r="AU525" t="s">
        <v>207</v>
      </c>
      <c r="AV525" t="s">
        <v>118</v>
      </c>
      <c r="AW525" t="s">
        <v>951</v>
      </c>
      <c r="AX525" t="s">
        <v>119</v>
      </c>
      <c r="AY525" t="s">
        <v>170</v>
      </c>
      <c r="AZ525" t="s">
        <v>118</v>
      </c>
      <c r="BB525" t="s">
        <v>171</v>
      </c>
      <c r="BC525" t="s">
        <v>623</v>
      </c>
      <c r="BD525" t="s">
        <v>621</v>
      </c>
      <c r="BE525" t="s">
        <v>622</v>
      </c>
      <c r="BF525" t="s">
        <v>623</v>
      </c>
      <c r="BG525" t="s">
        <v>124</v>
      </c>
      <c r="BH525" t="s">
        <v>232</v>
      </c>
      <c r="BI525" t="s">
        <v>126</v>
      </c>
      <c r="BJ525" t="s">
        <v>127</v>
      </c>
      <c r="BK525" t="s">
        <v>11459</v>
      </c>
      <c r="BL525" t="s">
        <v>11460</v>
      </c>
      <c r="BM525" t="s">
        <v>11461</v>
      </c>
      <c r="BN525" t="s">
        <v>11447</v>
      </c>
      <c r="BO525" t="s">
        <v>11462</v>
      </c>
      <c r="BP525" t="s">
        <v>132</v>
      </c>
      <c r="BQ525" t="s">
        <v>11463</v>
      </c>
      <c r="BR525" t="s">
        <v>11464</v>
      </c>
      <c r="BS525" t="s">
        <v>1279</v>
      </c>
      <c r="BU525" t="s">
        <v>11465</v>
      </c>
      <c r="BV525" t="s">
        <v>11466</v>
      </c>
      <c r="BW525" t="s">
        <v>138</v>
      </c>
      <c r="BX525" t="s">
        <v>11467</v>
      </c>
      <c r="BY525" t="s">
        <v>11468</v>
      </c>
      <c r="BZ525" t="s">
        <v>4548</v>
      </c>
      <c r="CA525" t="s">
        <v>11469</v>
      </c>
      <c r="CB525" t="s">
        <v>11470</v>
      </c>
      <c r="CC525" t="s">
        <v>11471</v>
      </c>
      <c r="CD525" t="s">
        <v>11472</v>
      </c>
      <c r="CE525" t="s">
        <v>11470</v>
      </c>
      <c r="CF525" t="s">
        <v>11473</v>
      </c>
      <c r="CG525" t="s">
        <v>102</v>
      </c>
      <c r="CH525" t="s">
        <v>11474</v>
      </c>
      <c r="CJ525" t="s">
        <v>4550</v>
      </c>
      <c r="CK525" t="s">
        <v>11474</v>
      </c>
      <c r="CL525" t="s">
        <v>623</v>
      </c>
      <c r="CM525" t="s">
        <v>621</v>
      </c>
      <c r="CN525" t="s">
        <v>4550</v>
      </c>
      <c r="CO525" t="s">
        <v>4551</v>
      </c>
      <c r="CP525" t="s">
        <v>11474</v>
      </c>
      <c r="CQ525" t="s">
        <v>11474</v>
      </c>
    </row>
    <row r="526" spans="1:95">
      <c r="A526" t="s">
        <v>149</v>
      </c>
      <c r="B526">
        <v>63421</v>
      </c>
      <c r="C526" t="s">
        <v>11475</v>
      </c>
      <c r="D526" t="str">
        <f>VLOOKUP(B526,'2025'!B:C,2,0)</f>
        <v>Unnati Sharma</v>
      </c>
      <c r="F526" t="s">
        <v>95</v>
      </c>
      <c r="G526" t="s">
        <v>1630</v>
      </c>
      <c r="H526" t="s">
        <v>152</v>
      </c>
      <c r="I526" t="s">
        <v>98</v>
      </c>
      <c r="J526" t="s">
        <v>11476</v>
      </c>
      <c r="K526" t="s">
        <v>100</v>
      </c>
      <c r="L526">
        <v>538240</v>
      </c>
      <c r="M526">
        <v>538240</v>
      </c>
      <c r="N526">
        <v>0</v>
      </c>
      <c r="O526">
        <v>0</v>
      </c>
      <c r="Q526">
        <v>538240</v>
      </c>
      <c r="R526">
        <v>417</v>
      </c>
      <c r="S526" t="s">
        <v>11477</v>
      </c>
      <c r="T526">
        <v>0</v>
      </c>
      <c r="U526">
        <v>0</v>
      </c>
      <c r="W526" t="s">
        <v>102</v>
      </c>
      <c r="X526" t="s">
        <v>275</v>
      </c>
      <c r="Z526" t="s">
        <v>341</v>
      </c>
      <c r="AA526" t="s">
        <v>109</v>
      </c>
      <c r="AB526" t="s">
        <v>102</v>
      </c>
      <c r="AC526" t="s">
        <v>109</v>
      </c>
      <c r="AD526" t="s">
        <v>102</v>
      </c>
      <c r="AE526" t="s">
        <v>109</v>
      </c>
      <c r="AF526" t="s">
        <v>102</v>
      </c>
      <c r="AG526" t="s">
        <v>109</v>
      </c>
      <c r="AH526" t="s">
        <v>102</v>
      </c>
      <c r="AI526" t="s">
        <v>102</v>
      </c>
      <c r="AJ526" t="s">
        <v>158</v>
      </c>
      <c r="AK526" t="s">
        <v>7479</v>
      </c>
      <c r="AL526" t="s">
        <v>11478</v>
      </c>
      <c r="AM526" t="s">
        <v>11479</v>
      </c>
      <c r="AN526" t="s">
        <v>11480</v>
      </c>
      <c r="AO526" t="s">
        <v>11481</v>
      </c>
      <c r="AP526" t="s">
        <v>11482</v>
      </c>
      <c r="AQ526" t="s">
        <v>343</v>
      </c>
      <c r="AT526" t="s">
        <v>169</v>
      </c>
      <c r="AU526" t="s">
        <v>102</v>
      </c>
      <c r="AW526" t="s">
        <v>155</v>
      </c>
      <c r="AX526" t="s">
        <v>447</v>
      </c>
      <c r="AY526" t="s">
        <v>1138</v>
      </c>
      <c r="AZ526" t="s">
        <v>118</v>
      </c>
      <c r="BB526" t="s">
        <v>209</v>
      </c>
      <c r="BC526" t="s">
        <v>11483</v>
      </c>
      <c r="BD526" t="s">
        <v>730</v>
      </c>
      <c r="BE526" t="s">
        <v>622</v>
      </c>
      <c r="BF526" t="s">
        <v>730</v>
      </c>
      <c r="BG526" t="s">
        <v>124</v>
      </c>
      <c r="BH526" t="s">
        <v>1630</v>
      </c>
      <c r="BI526" t="s">
        <v>126</v>
      </c>
      <c r="BJ526" t="s">
        <v>127</v>
      </c>
      <c r="BK526" t="s">
        <v>11484</v>
      </c>
      <c r="BL526" t="s">
        <v>11485</v>
      </c>
      <c r="BM526" t="s">
        <v>11486</v>
      </c>
      <c r="BN526" t="s">
        <v>1630</v>
      </c>
      <c r="BO526" t="s">
        <v>1733</v>
      </c>
      <c r="BP526" t="s">
        <v>350</v>
      </c>
      <c r="BQ526" t="s">
        <v>1734</v>
      </c>
      <c r="BR526" t="s">
        <v>1735</v>
      </c>
      <c r="BS526" t="s">
        <v>3562</v>
      </c>
      <c r="BU526" t="s">
        <v>11487</v>
      </c>
      <c r="BV526" t="s">
        <v>11488</v>
      </c>
      <c r="BW526" t="s">
        <v>138</v>
      </c>
      <c r="BX526" t="s">
        <v>11489</v>
      </c>
      <c r="BY526" t="s">
        <v>11490</v>
      </c>
      <c r="BZ526" t="s">
        <v>11491</v>
      </c>
      <c r="CA526" t="s">
        <v>11488</v>
      </c>
      <c r="CB526" t="s">
        <v>11489</v>
      </c>
      <c r="CC526" t="s">
        <v>11490</v>
      </c>
      <c r="CG526" t="s">
        <v>1538</v>
      </c>
      <c r="CH526" t="s">
        <v>11492</v>
      </c>
      <c r="CJ526" t="s">
        <v>11493</v>
      </c>
      <c r="CK526" t="s">
        <v>11492</v>
      </c>
      <c r="CL526" t="s">
        <v>11483</v>
      </c>
      <c r="CM526" t="s">
        <v>730</v>
      </c>
      <c r="CN526" t="s">
        <v>11493</v>
      </c>
      <c r="CO526" t="s">
        <v>11494</v>
      </c>
      <c r="CP526" t="s">
        <v>11495</v>
      </c>
      <c r="CQ526" t="s">
        <v>11492</v>
      </c>
    </row>
    <row r="527" spans="1:95">
      <c r="A527" t="s">
        <v>495</v>
      </c>
      <c r="B527">
        <v>635736</v>
      </c>
      <c r="C527" t="s">
        <v>11496</v>
      </c>
      <c r="E527" s="4" t="s">
        <v>17377</v>
      </c>
      <c r="F527" t="s">
        <v>95</v>
      </c>
      <c r="G527" t="s">
        <v>497</v>
      </c>
      <c r="H527" t="s">
        <v>97</v>
      </c>
      <c r="I527" t="s">
        <v>98</v>
      </c>
      <c r="J527" t="s">
        <v>11497</v>
      </c>
      <c r="K527" t="s">
        <v>100</v>
      </c>
      <c r="L527">
        <v>0</v>
      </c>
      <c r="M527">
        <v>0</v>
      </c>
      <c r="N527">
        <v>0</v>
      </c>
      <c r="O527">
        <v>350</v>
      </c>
      <c r="P527" t="s">
        <v>102</v>
      </c>
      <c r="Q527">
        <v>0</v>
      </c>
      <c r="R527">
        <v>0</v>
      </c>
      <c r="T527">
        <v>0</v>
      </c>
      <c r="U527">
        <v>0</v>
      </c>
      <c r="W527" t="s">
        <v>102</v>
      </c>
      <c r="X527" t="s">
        <v>275</v>
      </c>
      <c r="Z527" t="s">
        <v>499</v>
      </c>
      <c r="AA527" t="s">
        <v>109</v>
      </c>
      <c r="AB527" t="s">
        <v>102</v>
      </c>
      <c r="AC527" t="s">
        <v>109</v>
      </c>
      <c r="AD527" t="s">
        <v>102</v>
      </c>
      <c r="AE527" t="s">
        <v>109</v>
      </c>
      <c r="AF527" t="s">
        <v>102</v>
      </c>
      <c r="AG527" t="s">
        <v>109</v>
      </c>
      <c r="AH527" t="s">
        <v>102</v>
      </c>
      <c r="AI527" t="s">
        <v>102</v>
      </c>
      <c r="AL527" t="s">
        <v>102</v>
      </c>
      <c r="AM527" t="s">
        <v>102</v>
      </c>
      <c r="AN527" t="s">
        <v>102</v>
      </c>
      <c r="AO527" t="s">
        <v>115</v>
      </c>
      <c r="AP527" t="s">
        <v>115</v>
      </c>
      <c r="AU527" t="s">
        <v>117</v>
      </c>
      <c r="AV527" t="s">
        <v>118</v>
      </c>
      <c r="AW527" t="s">
        <v>102</v>
      </c>
      <c r="AX527" t="s">
        <v>119</v>
      </c>
      <c r="BB527" t="s">
        <v>120</v>
      </c>
      <c r="BC527" t="s">
        <v>11498</v>
      </c>
      <c r="BD527" t="s">
        <v>730</v>
      </c>
      <c r="BE527" t="s">
        <v>622</v>
      </c>
      <c r="BF527" t="s">
        <v>730</v>
      </c>
      <c r="BG527" t="s">
        <v>124</v>
      </c>
      <c r="BH527" t="s">
        <v>501</v>
      </c>
      <c r="BI527" t="s">
        <v>126</v>
      </c>
      <c r="BJ527" t="s">
        <v>127</v>
      </c>
      <c r="BK527" t="s">
        <v>11499</v>
      </c>
      <c r="BL527" t="s">
        <v>11500</v>
      </c>
      <c r="BM527" t="s">
        <v>11501</v>
      </c>
      <c r="BN527" t="s">
        <v>497</v>
      </c>
      <c r="BO527" t="s">
        <v>505</v>
      </c>
      <c r="BP527" t="s">
        <v>505</v>
      </c>
      <c r="BQ527" t="s">
        <v>225</v>
      </c>
      <c r="BR527" t="s">
        <v>506</v>
      </c>
      <c r="BS527" t="s">
        <v>507</v>
      </c>
      <c r="BU527" t="s">
        <v>11502</v>
      </c>
      <c r="BV527" t="s">
        <v>11503</v>
      </c>
      <c r="BW527" t="s">
        <v>138</v>
      </c>
      <c r="BX527" t="s">
        <v>11504</v>
      </c>
      <c r="BY527" t="s">
        <v>11505</v>
      </c>
      <c r="BZ527" t="s">
        <v>11506</v>
      </c>
      <c r="CA527" t="s">
        <v>11503</v>
      </c>
      <c r="CB527" t="s">
        <v>11504</v>
      </c>
      <c r="CC527" t="s">
        <v>11505</v>
      </c>
      <c r="CD527" t="s">
        <v>11507</v>
      </c>
      <c r="CE527" t="s">
        <v>11504</v>
      </c>
      <c r="CF527" t="s">
        <v>11508</v>
      </c>
      <c r="CG527" t="s">
        <v>11509</v>
      </c>
      <c r="CH527" t="s">
        <v>11510</v>
      </c>
      <c r="CJ527" t="s">
        <v>11511</v>
      </c>
      <c r="CK527" t="s">
        <v>11510</v>
      </c>
      <c r="CL527" t="s">
        <v>11498</v>
      </c>
      <c r="CM527" t="s">
        <v>730</v>
      </c>
      <c r="CN527" t="s">
        <v>11511</v>
      </c>
      <c r="CP527" t="s">
        <v>11510</v>
      </c>
      <c r="CQ527" t="s">
        <v>11510</v>
      </c>
    </row>
    <row r="528" spans="1:95">
      <c r="A528" t="s">
        <v>149</v>
      </c>
      <c r="B528">
        <v>650967</v>
      </c>
      <c r="C528" t="s">
        <v>11512</v>
      </c>
      <c r="D528" t="str">
        <f>VLOOKUP(B528,'2025'!B:C,2,0)</f>
        <v>Vineeth T V</v>
      </c>
      <c r="F528" t="s">
        <v>95</v>
      </c>
      <c r="G528" t="s">
        <v>5314</v>
      </c>
      <c r="H528" t="s">
        <v>193</v>
      </c>
      <c r="I528" t="s">
        <v>98</v>
      </c>
      <c r="J528" t="s">
        <v>11513</v>
      </c>
      <c r="K528" t="s">
        <v>100</v>
      </c>
      <c r="L528">
        <v>1714812</v>
      </c>
      <c r="M528">
        <v>1915722</v>
      </c>
      <c r="N528">
        <v>598644</v>
      </c>
      <c r="O528">
        <v>1050</v>
      </c>
      <c r="P528" t="s">
        <v>519</v>
      </c>
      <c r="Q528">
        <v>0</v>
      </c>
      <c r="R528">
        <v>0</v>
      </c>
      <c r="T528">
        <v>1116168</v>
      </c>
      <c r="U528">
        <v>896</v>
      </c>
      <c r="V528" t="s">
        <v>5316</v>
      </c>
      <c r="W528" t="s">
        <v>102</v>
      </c>
      <c r="X528" t="s">
        <v>103</v>
      </c>
      <c r="Y528" t="s">
        <v>5317</v>
      </c>
      <c r="AA528" t="s">
        <v>451</v>
      </c>
      <c r="AB528" t="s">
        <v>11514</v>
      </c>
      <c r="AC528" t="s">
        <v>5319</v>
      </c>
      <c r="AD528" t="s">
        <v>11515</v>
      </c>
      <c r="AE528" t="s">
        <v>5321</v>
      </c>
      <c r="AF528" t="s">
        <v>11516</v>
      </c>
      <c r="AG528" t="s">
        <v>109</v>
      </c>
      <c r="AH528" t="s">
        <v>102</v>
      </c>
      <c r="AI528" t="s">
        <v>11517</v>
      </c>
      <c r="AJ528" t="s">
        <v>1521</v>
      </c>
      <c r="AK528" t="s">
        <v>5324</v>
      </c>
      <c r="AL528" t="s">
        <v>11518</v>
      </c>
      <c r="AM528" t="s">
        <v>11519</v>
      </c>
      <c r="AN528" t="s">
        <v>11520</v>
      </c>
      <c r="AO528" t="s">
        <v>11521</v>
      </c>
      <c r="AP528" t="s">
        <v>11521</v>
      </c>
      <c r="AU528" t="s">
        <v>247</v>
      </c>
      <c r="AV528" t="s">
        <v>118</v>
      </c>
      <c r="AW528" t="s">
        <v>102</v>
      </c>
      <c r="AX528" t="s">
        <v>119</v>
      </c>
      <c r="BA528" t="s">
        <v>250</v>
      </c>
      <c r="BB528" t="s">
        <v>120</v>
      </c>
      <c r="BC528" t="s">
        <v>920</v>
      </c>
      <c r="BD528" t="s">
        <v>211</v>
      </c>
      <c r="BE528" t="s">
        <v>212</v>
      </c>
      <c r="BF528" t="s">
        <v>213</v>
      </c>
      <c r="BG528" t="s">
        <v>124</v>
      </c>
      <c r="BH528" t="s">
        <v>5329</v>
      </c>
      <c r="BI528" t="s">
        <v>5330</v>
      </c>
      <c r="BJ528" t="s">
        <v>127</v>
      </c>
      <c r="BK528" t="s">
        <v>11522</v>
      </c>
      <c r="BL528" t="s">
        <v>11523</v>
      </c>
      <c r="BM528" t="s">
        <v>11524</v>
      </c>
      <c r="BN528" t="s">
        <v>5314</v>
      </c>
      <c r="BO528" t="s">
        <v>924</v>
      </c>
      <c r="BP528" t="s">
        <v>180</v>
      </c>
      <c r="BQ528" t="s">
        <v>925</v>
      </c>
      <c r="BR528" t="s">
        <v>926</v>
      </c>
      <c r="BS528" t="s">
        <v>2151</v>
      </c>
      <c r="BU528" t="s">
        <v>11525</v>
      </c>
      <c r="BV528" t="s">
        <v>5335</v>
      </c>
      <c r="BW528" t="s">
        <v>296</v>
      </c>
      <c r="BX528" t="s">
        <v>5336</v>
      </c>
      <c r="BY528" t="s">
        <v>5337</v>
      </c>
      <c r="BZ528" t="s">
        <v>5338</v>
      </c>
      <c r="CA528" t="s">
        <v>11526</v>
      </c>
      <c r="CB528" t="s">
        <v>5338</v>
      </c>
      <c r="CC528" t="s">
        <v>11527</v>
      </c>
      <c r="CD528" t="s">
        <v>11528</v>
      </c>
      <c r="CE528" t="s">
        <v>11529</v>
      </c>
      <c r="CF528" t="s">
        <v>11530</v>
      </c>
      <c r="CG528" t="s">
        <v>102</v>
      </c>
      <c r="CH528" t="s">
        <v>11531</v>
      </c>
      <c r="CJ528" t="s">
        <v>9938</v>
      </c>
      <c r="CK528" t="s">
        <v>11531</v>
      </c>
      <c r="CL528" t="s">
        <v>920</v>
      </c>
      <c r="CM528" t="s">
        <v>211</v>
      </c>
      <c r="CN528" t="s">
        <v>9938</v>
      </c>
      <c r="CO528" t="s">
        <v>5346</v>
      </c>
      <c r="CP528" t="s">
        <v>11531</v>
      </c>
      <c r="CQ528" t="s">
        <v>11531</v>
      </c>
    </row>
    <row r="529" spans="1:95">
      <c r="A529" t="s">
        <v>149</v>
      </c>
      <c r="B529">
        <v>6662</v>
      </c>
      <c r="C529" t="s">
        <v>11532</v>
      </c>
      <c r="D529" t="str">
        <f>VLOOKUP(B529,'2025'!B:C,2,0)</f>
        <v>Lopamudra Das</v>
      </c>
      <c r="F529" t="s">
        <v>95</v>
      </c>
      <c r="G529" t="s">
        <v>2585</v>
      </c>
      <c r="H529" t="s">
        <v>848</v>
      </c>
      <c r="I529" t="s">
        <v>98</v>
      </c>
      <c r="J529" t="s">
        <v>11533</v>
      </c>
      <c r="K529" t="s">
        <v>100</v>
      </c>
      <c r="L529">
        <v>514782</v>
      </c>
      <c r="M529">
        <v>607443</v>
      </c>
      <c r="N529">
        <v>0</v>
      </c>
      <c r="O529">
        <v>0</v>
      </c>
      <c r="Q529">
        <v>0</v>
      </c>
      <c r="R529">
        <v>0</v>
      </c>
      <c r="T529">
        <v>514782</v>
      </c>
      <c r="U529">
        <v>437</v>
      </c>
      <c r="V529" t="s">
        <v>11534</v>
      </c>
      <c r="W529" t="s">
        <v>102</v>
      </c>
      <c r="X529" t="s">
        <v>103</v>
      </c>
      <c r="Y529" t="s">
        <v>398</v>
      </c>
      <c r="AA529" t="s">
        <v>2989</v>
      </c>
      <c r="AB529" t="s">
        <v>11535</v>
      </c>
      <c r="AC529" t="s">
        <v>11536</v>
      </c>
      <c r="AD529" t="s">
        <v>11537</v>
      </c>
      <c r="AE529" t="s">
        <v>160</v>
      </c>
      <c r="AF529" t="s">
        <v>11537</v>
      </c>
      <c r="AG529" t="s">
        <v>109</v>
      </c>
      <c r="AH529" t="s">
        <v>102</v>
      </c>
      <c r="AI529" t="s">
        <v>11538</v>
      </c>
      <c r="AJ529" t="s">
        <v>339</v>
      </c>
      <c r="AK529" t="s">
        <v>9246</v>
      </c>
      <c r="AL529" t="s">
        <v>11539</v>
      </c>
      <c r="AM529" t="s">
        <v>11540</v>
      </c>
      <c r="AN529" t="s">
        <v>11541</v>
      </c>
      <c r="AO529" t="s">
        <v>11542</v>
      </c>
      <c r="AP529" t="s">
        <v>11542</v>
      </c>
      <c r="AU529" t="s">
        <v>102</v>
      </c>
      <c r="AW529" t="s">
        <v>102</v>
      </c>
      <c r="AX529" t="s">
        <v>119</v>
      </c>
      <c r="BA529" t="s">
        <v>250</v>
      </c>
      <c r="BB529" t="s">
        <v>120</v>
      </c>
      <c r="BC529" t="s">
        <v>11543</v>
      </c>
      <c r="BD529" t="s">
        <v>4404</v>
      </c>
      <c r="BE529" t="s">
        <v>174</v>
      </c>
      <c r="BF529" t="s">
        <v>4405</v>
      </c>
      <c r="BG529" t="s">
        <v>124</v>
      </c>
      <c r="BH529" t="s">
        <v>400</v>
      </c>
      <c r="BI529" t="s">
        <v>411</v>
      </c>
      <c r="BJ529" t="s">
        <v>127</v>
      </c>
      <c r="BK529" t="s">
        <v>11544</v>
      </c>
      <c r="BL529" t="s">
        <v>11545</v>
      </c>
      <c r="BM529" t="s">
        <v>11546</v>
      </c>
      <c r="BN529" t="s">
        <v>2585</v>
      </c>
      <c r="BO529" t="s">
        <v>179</v>
      </c>
      <c r="BP529" t="s">
        <v>258</v>
      </c>
      <c r="BQ529" t="s">
        <v>181</v>
      </c>
      <c r="BR529" t="s">
        <v>182</v>
      </c>
      <c r="BS529" t="s">
        <v>4413</v>
      </c>
      <c r="BU529" t="s">
        <v>11547</v>
      </c>
      <c r="BV529" t="s">
        <v>11548</v>
      </c>
      <c r="BW529" t="s">
        <v>138</v>
      </c>
      <c r="BX529" t="s">
        <v>11549</v>
      </c>
      <c r="BY529" t="s">
        <v>11550</v>
      </c>
      <c r="BZ529" t="s">
        <v>11549</v>
      </c>
      <c r="CG529" t="s">
        <v>102</v>
      </c>
      <c r="CH529" t="s">
        <v>11551</v>
      </c>
      <c r="CJ529" t="s">
        <v>11552</v>
      </c>
      <c r="CK529" t="s">
        <v>11551</v>
      </c>
      <c r="CL529" t="s">
        <v>11543</v>
      </c>
      <c r="CM529" t="s">
        <v>4404</v>
      </c>
      <c r="CN529" t="s">
        <v>11552</v>
      </c>
      <c r="CO529" t="s">
        <v>11553</v>
      </c>
      <c r="CP529" t="s">
        <v>11551</v>
      </c>
      <c r="CQ529" t="s">
        <v>11551</v>
      </c>
    </row>
    <row r="530" spans="1:95">
      <c r="A530" t="s">
        <v>149</v>
      </c>
      <c r="B530">
        <v>672693</v>
      </c>
      <c r="C530" t="s">
        <v>11554</v>
      </c>
      <c r="E530" s="4" t="s">
        <v>17377</v>
      </c>
      <c r="F530" t="s">
        <v>95</v>
      </c>
      <c r="G530" t="s">
        <v>2585</v>
      </c>
      <c r="H530" t="s">
        <v>97</v>
      </c>
      <c r="I530" t="s">
        <v>98</v>
      </c>
      <c r="J530" t="s">
        <v>11555</v>
      </c>
      <c r="K530" t="s">
        <v>100</v>
      </c>
      <c r="L530">
        <v>328930</v>
      </c>
      <c r="M530">
        <v>328930</v>
      </c>
      <c r="N530">
        <v>328930</v>
      </c>
      <c r="O530">
        <v>299</v>
      </c>
      <c r="P530" t="s">
        <v>466</v>
      </c>
      <c r="Q530">
        <v>0</v>
      </c>
      <c r="R530">
        <v>0</v>
      </c>
      <c r="T530">
        <v>0</v>
      </c>
      <c r="U530">
        <v>0</v>
      </c>
      <c r="W530" t="s">
        <v>102</v>
      </c>
      <c r="X530" t="s">
        <v>103</v>
      </c>
      <c r="Y530" t="s">
        <v>104</v>
      </c>
      <c r="AA530" t="s">
        <v>339</v>
      </c>
      <c r="AB530" t="s">
        <v>11556</v>
      </c>
      <c r="AC530" t="s">
        <v>2304</v>
      </c>
      <c r="AD530" t="s">
        <v>11557</v>
      </c>
      <c r="AE530" t="s">
        <v>109</v>
      </c>
      <c r="AF530" t="s">
        <v>102</v>
      </c>
      <c r="AG530" t="s">
        <v>109</v>
      </c>
      <c r="AH530" t="s">
        <v>102</v>
      </c>
      <c r="AI530" t="s">
        <v>11558</v>
      </c>
      <c r="AJ530" t="s">
        <v>9194</v>
      </c>
      <c r="AK530" t="s">
        <v>1827</v>
      </c>
      <c r="AL530" t="s">
        <v>11559</v>
      </c>
      <c r="AM530" t="s">
        <v>11560</v>
      </c>
      <c r="AN530" t="s">
        <v>102</v>
      </c>
      <c r="AO530" t="s">
        <v>11561</v>
      </c>
      <c r="AP530" t="s">
        <v>11561</v>
      </c>
      <c r="AU530" t="s">
        <v>117</v>
      </c>
      <c r="AV530" t="s">
        <v>118</v>
      </c>
      <c r="AW530" t="s">
        <v>102</v>
      </c>
      <c r="AX530" t="s">
        <v>119</v>
      </c>
      <c r="BB530" t="s">
        <v>209</v>
      </c>
      <c r="BC530" t="s">
        <v>11562</v>
      </c>
      <c r="BD530" t="s">
        <v>6390</v>
      </c>
      <c r="BE530" t="s">
        <v>212</v>
      </c>
      <c r="BF530" t="s">
        <v>286</v>
      </c>
      <c r="BG530" t="s">
        <v>124</v>
      </c>
      <c r="BH530" t="s">
        <v>214</v>
      </c>
      <c r="BI530" t="s">
        <v>126</v>
      </c>
      <c r="BJ530" t="s">
        <v>127</v>
      </c>
      <c r="BK530" t="s">
        <v>11563</v>
      </c>
      <c r="BL530" t="s">
        <v>11564</v>
      </c>
      <c r="BM530" t="s">
        <v>11565</v>
      </c>
      <c r="BN530" t="s">
        <v>2585</v>
      </c>
      <c r="BO530" t="s">
        <v>290</v>
      </c>
      <c r="BP530" t="s">
        <v>132</v>
      </c>
      <c r="BQ530" t="s">
        <v>291</v>
      </c>
      <c r="BR530" t="s">
        <v>292</v>
      </c>
      <c r="BS530" t="s">
        <v>7225</v>
      </c>
      <c r="BU530" t="s">
        <v>11566</v>
      </c>
      <c r="BV530" t="s">
        <v>11567</v>
      </c>
      <c r="BW530" t="s">
        <v>354</v>
      </c>
      <c r="BX530" t="s">
        <v>11568</v>
      </c>
      <c r="BY530" t="s">
        <v>11569</v>
      </c>
      <c r="CG530" t="s">
        <v>102</v>
      </c>
      <c r="CH530" t="s">
        <v>11570</v>
      </c>
      <c r="CJ530" t="s">
        <v>11571</v>
      </c>
      <c r="CK530" t="s">
        <v>11570</v>
      </c>
      <c r="CL530" t="s">
        <v>11562</v>
      </c>
      <c r="CM530" t="s">
        <v>6390</v>
      </c>
      <c r="CN530" t="s">
        <v>11571</v>
      </c>
      <c r="CO530" t="s">
        <v>11572</v>
      </c>
      <c r="CP530" t="s">
        <v>11570</v>
      </c>
      <c r="CQ530" t="s">
        <v>11570</v>
      </c>
    </row>
    <row r="531" spans="1:95">
      <c r="A531" t="s">
        <v>93</v>
      </c>
      <c r="B531">
        <v>700935</v>
      </c>
      <c r="C531" t="s">
        <v>11573</v>
      </c>
      <c r="E531" s="4" t="s">
        <v>17377</v>
      </c>
      <c r="F531" t="s">
        <v>95</v>
      </c>
      <c r="G531" t="s">
        <v>578</v>
      </c>
      <c r="H531" t="s">
        <v>152</v>
      </c>
      <c r="I531" t="s">
        <v>98</v>
      </c>
      <c r="J531" t="s">
        <v>11574</v>
      </c>
      <c r="K531" t="s">
        <v>100</v>
      </c>
      <c r="L531">
        <v>526400</v>
      </c>
      <c r="M531">
        <v>526400</v>
      </c>
      <c r="N531">
        <v>0</v>
      </c>
      <c r="O531">
        <v>0</v>
      </c>
      <c r="Q531">
        <v>526400</v>
      </c>
      <c r="R531">
        <v>376</v>
      </c>
      <c r="S531" t="s">
        <v>4289</v>
      </c>
      <c r="T531">
        <v>0</v>
      </c>
      <c r="U531">
        <v>0</v>
      </c>
      <c r="W531" t="s">
        <v>102</v>
      </c>
      <c r="X531" t="s">
        <v>103</v>
      </c>
      <c r="Y531" t="s">
        <v>155</v>
      </c>
      <c r="AA531" t="s">
        <v>517</v>
      </c>
      <c r="AB531" t="s">
        <v>11575</v>
      </c>
      <c r="AC531" t="s">
        <v>3134</v>
      </c>
      <c r="AD531" t="s">
        <v>11575</v>
      </c>
      <c r="AE531" t="s">
        <v>2867</v>
      </c>
      <c r="AF531" t="s">
        <v>11575</v>
      </c>
      <c r="AG531" t="s">
        <v>471</v>
      </c>
      <c r="AH531" t="s">
        <v>11575</v>
      </c>
      <c r="AI531" t="s">
        <v>11576</v>
      </c>
      <c r="AJ531" t="s">
        <v>1848</v>
      </c>
      <c r="AK531" t="s">
        <v>2456</v>
      </c>
      <c r="AL531" t="s">
        <v>11577</v>
      </c>
      <c r="AM531" t="s">
        <v>11578</v>
      </c>
      <c r="AN531" t="s">
        <v>11579</v>
      </c>
      <c r="AO531" t="s">
        <v>3213</v>
      </c>
      <c r="AP531" t="s">
        <v>3213</v>
      </c>
      <c r="AU531" t="s">
        <v>102</v>
      </c>
      <c r="AW531" t="s">
        <v>155</v>
      </c>
      <c r="AX531" t="s">
        <v>447</v>
      </c>
      <c r="AY531" t="s">
        <v>170</v>
      </c>
      <c r="AZ531" t="s">
        <v>118</v>
      </c>
      <c r="BB531" t="s">
        <v>171</v>
      </c>
      <c r="BC531" t="s">
        <v>375</v>
      </c>
      <c r="BD531" t="s">
        <v>376</v>
      </c>
      <c r="BE531" t="s">
        <v>174</v>
      </c>
      <c r="BF531" t="s">
        <v>376</v>
      </c>
      <c r="BG531" t="s">
        <v>124</v>
      </c>
      <c r="BH531" t="s">
        <v>578</v>
      </c>
      <c r="BI531" t="s">
        <v>4836</v>
      </c>
      <c r="BJ531" t="s">
        <v>127</v>
      </c>
      <c r="BK531" t="s">
        <v>11580</v>
      </c>
      <c r="BL531" t="s">
        <v>11581</v>
      </c>
      <c r="BM531" t="s">
        <v>11582</v>
      </c>
      <c r="BN531" t="s">
        <v>578</v>
      </c>
      <c r="BO531" t="s">
        <v>1831</v>
      </c>
      <c r="BP531" t="s">
        <v>258</v>
      </c>
      <c r="BQ531" t="s">
        <v>1832</v>
      </c>
      <c r="BR531" t="s">
        <v>1833</v>
      </c>
      <c r="BS531" t="s">
        <v>5177</v>
      </c>
      <c r="BT531" t="s">
        <v>384</v>
      </c>
      <c r="BU531" t="s">
        <v>11583</v>
      </c>
      <c r="BV531" t="s">
        <v>11584</v>
      </c>
      <c r="BW531" t="s">
        <v>138</v>
      </c>
      <c r="BX531" t="s">
        <v>11585</v>
      </c>
      <c r="BZ531" t="s">
        <v>11586</v>
      </c>
      <c r="CA531" t="s">
        <v>11584</v>
      </c>
      <c r="CB531" t="s">
        <v>11585</v>
      </c>
      <c r="CC531" t="s">
        <v>11587</v>
      </c>
      <c r="CD531" t="s">
        <v>11588</v>
      </c>
      <c r="CE531" t="s">
        <v>11589</v>
      </c>
      <c r="CF531" t="s">
        <v>11590</v>
      </c>
      <c r="CG531" t="s">
        <v>358</v>
      </c>
      <c r="CH531" t="s">
        <v>11591</v>
      </c>
      <c r="CJ531" t="s">
        <v>11592</v>
      </c>
      <c r="CK531" t="s">
        <v>11591</v>
      </c>
      <c r="CL531" t="s">
        <v>375</v>
      </c>
      <c r="CM531" t="s">
        <v>376</v>
      </c>
      <c r="CN531" t="s">
        <v>11592</v>
      </c>
      <c r="CP531" t="s">
        <v>11591</v>
      </c>
      <c r="CQ531" t="s">
        <v>11591</v>
      </c>
    </row>
    <row r="532" spans="1:95">
      <c r="A532" t="s">
        <v>149</v>
      </c>
      <c r="B532">
        <v>7061</v>
      </c>
      <c r="C532" t="s">
        <v>11593</v>
      </c>
      <c r="D532" t="str">
        <f>VLOOKUP(B532,'2025'!B:C,2,0)</f>
        <v>Hetal Parmar</v>
      </c>
      <c r="F532" t="s">
        <v>95</v>
      </c>
      <c r="G532" t="s">
        <v>977</v>
      </c>
      <c r="H532" t="s">
        <v>97</v>
      </c>
      <c r="I532" t="s">
        <v>98</v>
      </c>
      <c r="J532" t="s">
        <v>11594</v>
      </c>
      <c r="K532" t="s">
        <v>100</v>
      </c>
      <c r="L532">
        <v>568353</v>
      </c>
      <c r="M532">
        <v>568353</v>
      </c>
      <c r="N532">
        <v>568353</v>
      </c>
      <c r="O532">
        <v>934</v>
      </c>
      <c r="P532" t="s">
        <v>11595</v>
      </c>
      <c r="Q532">
        <v>0</v>
      </c>
      <c r="R532">
        <v>0</v>
      </c>
      <c r="T532">
        <v>0</v>
      </c>
      <c r="U532">
        <v>0</v>
      </c>
      <c r="W532" t="s">
        <v>102</v>
      </c>
      <c r="X532" t="s">
        <v>103</v>
      </c>
      <c r="Y532" t="s">
        <v>104</v>
      </c>
      <c r="AA532" t="s">
        <v>977</v>
      </c>
      <c r="AB532" t="s">
        <v>11596</v>
      </c>
      <c r="AC532" t="s">
        <v>854</v>
      </c>
      <c r="AD532" t="s">
        <v>11597</v>
      </c>
      <c r="AE532" t="s">
        <v>109</v>
      </c>
      <c r="AF532" t="s">
        <v>102</v>
      </c>
      <c r="AG532" t="s">
        <v>109</v>
      </c>
      <c r="AH532" t="s">
        <v>102</v>
      </c>
      <c r="AI532" t="s">
        <v>11598</v>
      </c>
      <c r="AJ532" t="s">
        <v>7125</v>
      </c>
      <c r="AK532" t="s">
        <v>11599</v>
      </c>
      <c r="AL532" t="s">
        <v>11600</v>
      </c>
      <c r="AM532" t="s">
        <v>11601</v>
      </c>
      <c r="AN532" t="s">
        <v>11602</v>
      </c>
      <c r="AO532" t="s">
        <v>11603</v>
      </c>
      <c r="AP532" t="s">
        <v>11603</v>
      </c>
      <c r="AU532" t="s">
        <v>117</v>
      </c>
      <c r="AV532" t="s">
        <v>118</v>
      </c>
      <c r="AW532" t="s">
        <v>102</v>
      </c>
      <c r="AX532" t="s">
        <v>119</v>
      </c>
      <c r="BB532" t="s">
        <v>171</v>
      </c>
      <c r="BC532" t="s">
        <v>623</v>
      </c>
      <c r="BD532" t="s">
        <v>621</v>
      </c>
      <c r="BE532" t="s">
        <v>622</v>
      </c>
      <c r="BF532" t="s">
        <v>623</v>
      </c>
      <c r="BG532" t="s">
        <v>124</v>
      </c>
      <c r="BH532" t="s">
        <v>214</v>
      </c>
      <c r="BI532" t="s">
        <v>625</v>
      </c>
      <c r="BJ532" t="s">
        <v>127</v>
      </c>
      <c r="BK532" t="s">
        <v>11604</v>
      </c>
      <c r="BL532" t="s">
        <v>11605</v>
      </c>
      <c r="BM532" t="s">
        <v>11606</v>
      </c>
      <c r="BN532" t="s">
        <v>977</v>
      </c>
      <c r="BO532" t="s">
        <v>629</v>
      </c>
      <c r="BP532" t="s">
        <v>132</v>
      </c>
      <c r="BQ532" t="s">
        <v>630</v>
      </c>
      <c r="BR532" t="s">
        <v>631</v>
      </c>
      <c r="BS532" t="s">
        <v>1279</v>
      </c>
      <c r="BU532" t="s">
        <v>11607</v>
      </c>
      <c r="BV532" t="s">
        <v>11608</v>
      </c>
      <c r="BW532" t="s">
        <v>138</v>
      </c>
      <c r="BX532" t="s">
        <v>11609</v>
      </c>
      <c r="BY532" t="s">
        <v>11610</v>
      </c>
      <c r="BZ532" t="s">
        <v>11611</v>
      </c>
      <c r="CG532" t="s">
        <v>102</v>
      </c>
      <c r="CH532" t="s">
        <v>11612</v>
      </c>
      <c r="CJ532" t="s">
        <v>11613</v>
      </c>
      <c r="CK532" t="s">
        <v>11612</v>
      </c>
      <c r="CL532" t="s">
        <v>623</v>
      </c>
      <c r="CM532" t="s">
        <v>621</v>
      </c>
      <c r="CN532" t="s">
        <v>11613</v>
      </c>
      <c r="CO532" t="s">
        <v>7140</v>
      </c>
      <c r="CP532" t="s">
        <v>11612</v>
      </c>
      <c r="CQ532" t="s">
        <v>11612</v>
      </c>
    </row>
    <row r="533" spans="1:95">
      <c r="A533" t="s">
        <v>149</v>
      </c>
      <c r="B533">
        <v>7268</v>
      </c>
      <c r="C533" t="s">
        <v>11614</v>
      </c>
      <c r="D533" t="str">
        <f>VLOOKUP(B533,'2025'!B:C,2,0)</f>
        <v>Hetal Parmar</v>
      </c>
      <c r="F533" t="s">
        <v>95</v>
      </c>
      <c r="G533" t="s">
        <v>977</v>
      </c>
      <c r="H533" t="s">
        <v>97</v>
      </c>
      <c r="I533" t="s">
        <v>98</v>
      </c>
      <c r="J533" t="s">
        <v>11615</v>
      </c>
      <c r="K533" t="s">
        <v>100</v>
      </c>
      <c r="L533">
        <v>458577</v>
      </c>
      <c r="M533">
        <v>458577</v>
      </c>
      <c r="N533">
        <v>458577</v>
      </c>
      <c r="O533">
        <v>746</v>
      </c>
      <c r="P533" t="s">
        <v>11616</v>
      </c>
      <c r="Q533">
        <v>0</v>
      </c>
      <c r="R533">
        <v>0</v>
      </c>
      <c r="T533">
        <v>0</v>
      </c>
      <c r="U533">
        <v>0</v>
      </c>
      <c r="W533" t="s">
        <v>102</v>
      </c>
      <c r="X533" t="s">
        <v>103</v>
      </c>
      <c r="Y533" t="s">
        <v>104</v>
      </c>
      <c r="AA533" t="s">
        <v>977</v>
      </c>
      <c r="AB533" t="s">
        <v>11617</v>
      </c>
      <c r="AC533" t="s">
        <v>854</v>
      </c>
      <c r="AD533" t="s">
        <v>11618</v>
      </c>
      <c r="AE533" t="s">
        <v>109</v>
      </c>
      <c r="AF533" t="s">
        <v>102</v>
      </c>
      <c r="AG533" t="s">
        <v>109</v>
      </c>
      <c r="AH533" t="s">
        <v>102</v>
      </c>
      <c r="AI533" t="s">
        <v>11619</v>
      </c>
      <c r="AJ533" t="s">
        <v>7125</v>
      </c>
      <c r="AK533" t="s">
        <v>1300</v>
      </c>
      <c r="AL533" t="s">
        <v>11620</v>
      </c>
      <c r="AM533" t="s">
        <v>11621</v>
      </c>
      <c r="AN533" t="s">
        <v>115</v>
      </c>
      <c r="AO533" t="s">
        <v>11622</v>
      </c>
      <c r="AP533" t="s">
        <v>11622</v>
      </c>
      <c r="AU533" t="s">
        <v>117</v>
      </c>
      <c r="AV533" t="s">
        <v>118</v>
      </c>
      <c r="AW533" t="s">
        <v>102</v>
      </c>
      <c r="AX533" t="s">
        <v>119</v>
      </c>
      <c r="BB533" t="s">
        <v>171</v>
      </c>
      <c r="BC533" t="s">
        <v>623</v>
      </c>
      <c r="BD533" t="s">
        <v>621</v>
      </c>
      <c r="BE533" t="s">
        <v>622</v>
      </c>
      <c r="BF533" t="s">
        <v>623</v>
      </c>
      <c r="BG533" t="s">
        <v>124</v>
      </c>
      <c r="BH533" t="s">
        <v>214</v>
      </c>
      <c r="BI533" t="s">
        <v>625</v>
      </c>
      <c r="BJ533" t="s">
        <v>127</v>
      </c>
      <c r="BK533" t="s">
        <v>11623</v>
      </c>
      <c r="BL533" t="s">
        <v>11624</v>
      </c>
      <c r="BM533" t="s">
        <v>11625</v>
      </c>
      <c r="BN533" t="s">
        <v>977</v>
      </c>
      <c r="BO533" t="s">
        <v>629</v>
      </c>
      <c r="BP533" t="s">
        <v>350</v>
      </c>
      <c r="BQ533" t="s">
        <v>630</v>
      </c>
      <c r="BR533" t="s">
        <v>631</v>
      </c>
      <c r="BS533" t="s">
        <v>1279</v>
      </c>
      <c r="BU533" t="s">
        <v>11626</v>
      </c>
      <c r="BV533" t="s">
        <v>11627</v>
      </c>
      <c r="BW533" t="s">
        <v>138</v>
      </c>
      <c r="BX533" t="s">
        <v>11628</v>
      </c>
      <c r="BY533" t="s">
        <v>11629</v>
      </c>
      <c r="BZ533" t="s">
        <v>11630</v>
      </c>
      <c r="CG533" t="s">
        <v>102</v>
      </c>
      <c r="CH533" t="s">
        <v>11631</v>
      </c>
      <c r="CJ533" t="s">
        <v>4550</v>
      </c>
      <c r="CK533" t="s">
        <v>11631</v>
      </c>
      <c r="CL533" t="s">
        <v>623</v>
      </c>
      <c r="CM533" t="s">
        <v>621</v>
      </c>
      <c r="CN533" t="s">
        <v>4550</v>
      </c>
      <c r="CO533" t="s">
        <v>7140</v>
      </c>
      <c r="CP533" t="s">
        <v>11631</v>
      </c>
      <c r="CQ533" t="s">
        <v>11631</v>
      </c>
    </row>
    <row r="534" spans="1:95">
      <c r="A534" t="s">
        <v>149</v>
      </c>
      <c r="B534">
        <v>749568</v>
      </c>
      <c r="C534" t="s">
        <v>11632</v>
      </c>
      <c r="E534" s="4" t="s">
        <v>17377</v>
      </c>
      <c r="F534" t="s">
        <v>95</v>
      </c>
      <c r="G534" t="s">
        <v>1059</v>
      </c>
      <c r="H534" t="s">
        <v>848</v>
      </c>
      <c r="I534" t="s">
        <v>98</v>
      </c>
      <c r="J534" t="s">
        <v>11633</v>
      </c>
      <c r="K534" t="s">
        <v>100</v>
      </c>
      <c r="L534">
        <v>154569</v>
      </c>
      <c r="M534">
        <v>182391</v>
      </c>
      <c r="N534">
        <v>0</v>
      </c>
      <c r="O534">
        <v>0</v>
      </c>
      <c r="Q534">
        <v>0</v>
      </c>
      <c r="R534">
        <v>0</v>
      </c>
      <c r="T534">
        <v>154569</v>
      </c>
      <c r="U534">
        <v>57</v>
      </c>
      <c r="V534" t="s">
        <v>6544</v>
      </c>
      <c r="W534" t="s">
        <v>102</v>
      </c>
      <c r="X534" t="s">
        <v>103</v>
      </c>
      <c r="Y534" t="s">
        <v>104</v>
      </c>
      <c r="AA534" t="s">
        <v>1059</v>
      </c>
      <c r="AB534" t="s">
        <v>11634</v>
      </c>
      <c r="AC534" t="s">
        <v>499</v>
      </c>
      <c r="AD534" t="s">
        <v>11634</v>
      </c>
      <c r="AE534" t="s">
        <v>109</v>
      </c>
      <c r="AF534" t="s">
        <v>102</v>
      </c>
      <c r="AG534" t="s">
        <v>109</v>
      </c>
      <c r="AH534" t="s">
        <v>102</v>
      </c>
      <c r="AI534" t="s">
        <v>11635</v>
      </c>
      <c r="AJ534" t="s">
        <v>464</v>
      </c>
      <c r="AK534" t="s">
        <v>2323</v>
      </c>
      <c r="AL534" t="s">
        <v>11636</v>
      </c>
      <c r="AM534" t="s">
        <v>11637</v>
      </c>
      <c r="AN534" t="s">
        <v>11638</v>
      </c>
      <c r="AO534" t="s">
        <v>11639</v>
      </c>
      <c r="AP534" t="s">
        <v>11639</v>
      </c>
      <c r="AU534" t="s">
        <v>102</v>
      </c>
      <c r="AW534" t="s">
        <v>102</v>
      </c>
      <c r="AX534" t="s">
        <v>119</v>
      </c>
      <c r="BA534" t="s">
        <v>250</v>
      </c>
      <c r="BB534" t="s">
        <v>120</v>
      </c>
      <c r="BC534" t="s">
        <v>2204</v>
      </c>
      <c r="BD534" t="s">
        <v>121</v>
      </c>
      <c r="BE534" t="s">
        <v>122</v>
      </c>
      <c r="BF534" t="s">
        <v>123</v>
      </c>
      <c r="BG534" t="s">
        <v>124</v>
      </c>
      <c r="BH534" t="s">
        <v>232</v>
      </c>
      <c r="BI534" t="s">
        <v>126</v>
      </c>
      <c r="BJ534" t="s">
        <v>127</v>
      </c>
      <c r="BK534" t="s">
        <v>11640</v>
      </c>
      <c r="BL534" t="s">
        <v>11641</v>
      </c>
      <c r="BM534" t="s">
        <v>11642</v>
      </c>
      <c r="BN534" t="s">
        <v>1059</v>
      </c>
      <c r="BO534" t="s">
        <v>1108</v>
      </c>
      <c r="BP534" t="s">
        <v>350</v>
      </c>
      <c r="BQ534" t="s">
        <v>1109</v>
      </c>
      <c r="BR534" t="s">
        <v>1110</v>
      </c>
      <c r="BS534" t="s">
        <v>1006</v>
      </c>
      <c r="BT534" t="s">
        <v>1006</v>
      </c>
      <c r="BU534" t="s">
        <v>11643</v>
      </c>
      <c r="BV534" t="s">
        <v>11644</v>
      </c>
      <c r="BW534" t="s">
        <v>598</v>
      </c>
      <c r="BX534" t="s">
        <v>11645</v>
      </c>
      <c r="BY534" t="s">
        <v>11646</v>
      </c>
      <c r="BZ534" t="s">
        <v>11647</v>
      </c>
      <c r="CG534" t="s">
        <v>102</v>
      </c>
      <c r="CH534" t="s">
        <v>11648</v>
      </c>
      <c r="CJ534" t="s">
        <v>11649</v>
      </c>
      <c r="CK534" t="s">
        <v>11648</v>
      </c>
      <c r="CL534" t="s">
        <v>2204</v>
      </c>
      <c r="CM534" t="s">
        <v>121</v>
      </c>
      <c r="CN534" t="s">
        <v>11649</v>
      </c>
      <c r="CP534" t="s">
        <v>11648</v>
      </c>
      <c r="CQ534" t="s">
        <v>11648</v>
      </c>
    </row>
    <row r="535" spans="1:95">
      <c r="A535" t="s">
        <v>149</v>
      </c>
      <c r="B535">
        <v>770229</v>
      </c>
      <c r="C535" t="s">
        <v>11650</v>
      </c>
      <c r="F535" t="s">
        <v>95</v>
      </c>
      <c r="G535" t="s">
        <v>856</v>
      </c>
      <c r="H535" t="s">
        <v>152</v>
      </c>
      <c r="I535" t="s">
        <v>98</v>
      </c>
      <c r="J535" t="s">
        <v>11651</v>
      </c>
      <c r="K535" t="s">
        <v>100</v>
      </c>
      <c r="L535">
        <v>1713318</v>
      </c>
      <c r="M535">
        <v>1713318</v>
      </c>
      <c r="N535">
        <v>0</v>
      </c>
      <c r="O535">
        <v>0</v>
      </c>
      <c r="Q535">
        <v>1713318</v>
      </c>
      <c r="R535">
        <v>1283</v>
      </c>
      <c r="S535" t="s">
        <v>11652</v>
      </c>
      <c r="T535">
        <v>0</v>
      </c>
      <c r="U535">
        <v>0</v>
      </c>
      <c r="W535" t="s">
        <v>102</v>
      </c>
      <c r="X535" t="s">
        <v>103</v>
      </c>
      <c r="Y535" t="s">
        <v>104</v>
      </c>
      <c r="AA535" t="s">
        <v>1199</v>
      </c>
      <c r="AB535" t="s">
        <v>11653</v>
      </c>
      <c r="AC535" t="s">
        <v>1473</v>
      </c>
      <c r="AD535" t="s">
        <v>11653</v>
      </c>
      <c r="AE535" t="s">
        <v>109</v>
      </c>
      <c r="AF535" t="s">
        <v>102</v>
      </c>
      <c r="AG535" t="s">
        <v>109</v>
      </c>
      <c r="AH535" t="s">
        <v>102</v>
      </c>
      <c r="AI535" t="s">
        <v>11654</v>
      </c>
      <c r="AJ535" t="s">
        <v>9191</v>
      </c>
      <c r="AK535" t="s">
        <v>11655</v>
      </c>
      <c r="AL535" t="s">
        <v>11656</v>
      </c>
      <c r="AM535" t="s">
        <v>11657</v>
      </c>
      <c r="AN535" t="s">
        <v>11658</v>
      </c>
      <c r="AO535" t="s">
        <v>11659</v>
      </c>
      <c r="AP535" t="s">
        <v>11659</v>
      </c>
      <c r="AU535" t="s">
        <v>102</v>
      </c>
      <c r="AW535" t="s">
        <v>155</v>
      </c>
      <c r="AX535" t="s">
        <v>119</v>
      </c>
      <c r="AY535" t="s">
        <v>170</v>
      </c>
      <c r="AZ535" t="s">
        <v>118</v>
      </c>
      <c r="BB535" t="s">
        <v>120</v>
      </c>
      <c r="BC535" t="s">
        <v>284</v>
      </c>
      <c r="BD535" t="s">
        <v>285</v>
      </c>
      <c r="BE535" t="s">
        <v>212</v>
      </c>
      <c r="BF535" t="s">
        <v>286</v>
      </c>
      <c r="BG535" t="s">
        <v>124</v>
      </c>
      <c r="BH535" t="s">
        <v>883</v>
      </c>
      <c r="BI535" t="s">
        <v>411</v>
      </c>
      <c r="BJ535" t="s">
        <v>127</v>
      </c>
      <c r="BK535" t="s">
        <v>11660</v>
      </c>
      <c r="BL535" t="s">
        <v>11661</v>
      </c>
      <c r="BM535" t="s">
        <v>11662</v>
      </c>
      <c r="BN535" t="s">
        <v>856</v>
      </c>
      <c r="BO535" t="s">
        <v>290</v>
      </c>
      <c r="BP535" t="s">
        <v>132</v>
      </c>
      <c r="BQ535" t="s">
        <v>291</v>
      </c>
      <c r="BR535" t="s">
        <v>292</v>
      </c>
      <c r="BS535" t="s">
        <v>4765</v>
      </c>
      <c r="BU535" t="s">
        <v>11663</v>
      </c>
      <c r="BV535" t="s">
        <v>11664</v>
      </c>
      <c r="BW535" t="s">
        <v>354</v>
      </c>
      <c r="BX535" t="s">
        <v>11665</v>
      </c>
      <c r="BY535" t="s">
        <v>11666</v>
      </c>
      <c r="CG535" t="s">
        <v>102</v>
      </c>
      <c r="CH535" t="s">
        <v>11667</v>
      </c>
      <c r="CJ535" t="s">
        <v>3899</v>
      </c>
      <c r="CK535" t="s">
        <v>11667</v>
      </c>
      <c r="CL535" t="s">
        <v>284</v>
      </c>
      <c r="CM535" t="s">
        <v>285</v>
      </c>
      <c r="CN535" t="s">
        <v>3899</v>
      </c>
      <c r="CO535" t="s">
        <v>11668</v>
      </c>
      <c r="CP535" t="s">
        <v>11669</v>
      </c>
      <c r="CQ535" t="s">
        <v>11669</v>
      </c>
    </row>
    <row r="536" spans="1:95">
      <c r="A536" t="s">
        <v>149</v>
      </c>
      <c r="B536">
        <v>771752</v>
      </c>
      <c r="C536" t="s">
        <v>11670</v>
      </c>
      <c r="F536" t="s">
        <v>95</v>
      </c>
      <c r="G536" t="s">
        <v>192</v>
      </c>
      <c r="H536" t="s">
        <v>193</v>
      </c>
      <c r="I536" t="s">
        <v>98</v>
      </c>
      <c r="J536" t="s">
        <v>11671</v>
      </c>
      <c r="K536" t="s">
        <v>100</v>
      </c>
      <c r="L536">
        <v>625120</v>
      </c>
      <c r="M536">
        <v>694880</v>
      </c>
      <c r="N536">
        <v>237566</v>
      </c>
      <c r="O536">
        <v>764</v>
      </c>
      <c r="P536" t="s">
        <v>195</v>
      </c>
      <c r="Q536">
        <v>0</v>
      </c>
      <c r="R536">
        <v>0</v>
      </c>
      <c r="T536">
        <v>387554</v>
      </c>
      <c r="U536">
        <v>762</v>
      </c>
      <c r="V536" t="s">
        <v>196</v>
      </c>
      <c r="W536" t="s">
        <v>102</v>
      </c>
      <c r="X536" t="s">
        <v>103</v>
      </c>
      <c r="Y536" t="s">
        <v>104</v>
      </c>
      <c r="AA536" t="s">
        <v>197</v>
      </c>
      <c r="AB536" t="s">
        <v>11672</v>
      </c>
      <c r="AC536" t="s">
        <v>1473</v>
      </c>
      <c r="AD536" t="s">
        <v>11672</v>
      </c>
      <c r="AE536" t="s">
        <v>109</v>
      </c>
      <c r="AF536" t="s">
        <v>102</v>
      </c>
      <c r="AG536" t="s">
        <v>109</v>
      </c>
      <c r="AH536" t="s">
        <v>102</v>
      </c>
      <c r="AI536" t="s">
        <v>11673</v>
      </c>
      <c r="AJ536" t="s">
        <v>201</v>
      </c>
      <c r="AK536" t="s">
        <v>202</v>
      </c>
      <c r="AL536" t="s">
        <v>11674</v>
      </c>
      <c r="AM536" t="s">
        <v>11675</v>
      </c>
      <c r="AN536" t="s">
        <v>11676</v>
      </c>
      <c r="AO536" t="s">
        <v>206</v>
      </c>
      <c r="AP536" t="s">
        <v>206</v>
      </c>
      <c r="AU536" t="s">
        <v>207</v>
      </c>
      <c r="AV536" t="s">
        <v>118</v>
      </c>
      <c r="AW536" t="s">
        <v>102</v>
      </c>
      <c r="AX536" t="s">
        <v>119</v>
      </c>
      <c r="BA536" t="s">
        <v>250</v>
      </c>
      <c r="BB536" t="s">
        <v>120</v>
      </c>
      <c r="BC536" t="s">
        <v>920</v>
      </c>
      <c r="BD536" t="s">
        <v>211</v>
      </c>
      <c r="BE536" t="s">
        <v>212</v>
      </c>
      <c r="BF536" t="s">
        <v>213</v>
      </c>
      <c r="BG536" t="s">
        <v>124</v>
      </c>
      <c r="BH536" t="s">
        <v>214</v>
      </c>
      <c r="BI536" t="s">
        <v>215</v>
      </c>
      <c r="BJ536" t="s">
        <v>127</v>
      </c>
      <c r="BK536" t="s">
        <v>11677</v>
      </c>
      <c r="BL536" t="s">
        <v>11678</v>
      </c>
      <c r="BM536" t="s">
        <v>11679</v>
      </c>
      <c r="BN536" t="s">
        <v>192</v>
      </c>
      <c r="BO536" t="s">
        <v>219</v>
      </c>
      <c r="BP536" t="s">
        <v>180</v>
      </c>
      <c r="BQ536" t="s">
        <v>220</v>
      </c>
      <c r="BR536" t="s">
        <v>221</v>
      </c>
      <c r="BS536" t="s">
        <v>222</v>
      </c>
      <c r="BU536" t="s">
        <v>11680</v>
      </c>
      <c r="BV536" t="s">
        <v>224</v>
      </c>
      <c r="BX536" t="s">
        <v>225</v>
      </c>
      <c r="BY536" t="s">
        <v>226</v>
      </c>
      <c r="BZ536" t="s">
        <v>11681</v>
      </c>
      <c r="CG536" t="s">
        <v>102</v>
      </c>
      <c r="CH536" t="s">
        <v>11682</v>
      </c>
      <c r="CJ536" t="s">
        <v>5985</v>
      </c>
      <c r="CK536" t="s">
        <v>11682</v>
      </c>
      <c r="CL536" t="s">
        <v>920</v>
      </c>
      <c r="CM536" t="s">
        <v>211</v>
      </c>
      <c r="CN536" t="s">
        <v>5985</v>
      </c>
      <c r="CO536" t="s">
        <v>230</v>
      </c>
      <c r="CP536" t="s">
        <v>11682</v>
      </c>
      <c r="CQ536" t="s">
        <v>11682</v>
      </c>
    </row>
    <row r="537" spans="1:95">
      <c r="A537" t="s">
        <v>149</v>
      </c>
      <c r="B537">
        <v>810125</v>
      </c>
      <c r="C537" t="s">
        <v>11683</v>
      </c>
      <c r="D537" t="str">
        <f>VLOOKUP(B537,'2025'!B:C,2,0)</f>
        <v>Vaishali</v>
      </c>
      <c r="F537" t="s">
        <v>95</v>
      </c>
      <c r="G537" t="s">
        <v>578</v>
      </c>
      <c r="H537" t="s">
        <v>848</v>
      </c>
      <c r="I537" t="s">
        <v>98</v>
      </c>
      <c r="J537" t="s">
        <v>11684</v>
      </c>
      <c r="K537" t="s">
        <v>100</v>
      </c>
      <c r="L537">
        <v>286407</v>
      </c>
      <c r="M537">
        <v>337960</v>
      </c>
      <c r="N537">
        <v>0</v>
      </c>
      <c r="O537">
        <v>0</v>
      </c>
      <c r="Q537">
        <v>0</v>
      </c>
      <c r="R537">
        <v>0</v>
      </c>
      <c r="T537">
        <v>286407</v>
      </c>
      <c r="U537">
        <v>130</v>
      </c>
      <c r="V537" t="s">
        <v>608</v>
      </c>
      <c r="W537" t="s">
        <v>102</v>
      </c>
      <c r="X537" t="s">
        <v>103</v>
      </c>
      <c r="Y537" t="s">
        <v>155</v>
      </c>
      <c r="AA537" t="s">
        <v>232</v>
      </c>
      <c r="AB537" t="s">
        <v>11685</v>
      </c>
      <c r="AC537" t="s">
        <v>892</v>
      </c>
      <c r="AD537" t="s">
        <v>11685</v>
      </c>
      <c r="AE537" t="s">
        <v>437</v>
      </c>
      <c r="AF537" t="s">
        <v>11685</v>
      </c>
      <c r="AG537" t="s">
        <v>402</v>
      </c>
      <c r="AH537" t="s">
        <v>11685</v>
      </c>
      <c r="AI537" t="s">
        <v>11686</v>
      </c>
      <c r="AJ537" t="s">
        <v>2298</v>
      </c>
      <c r="AK537" t="s">
        <v>3621</v>
      </c>
      <c r="AL537" t="s">
        <v>11687</v>
      </c>
      <c r="AM537" t="s">
        <v>11688</v>
      </c>
      <c r="AN537" t="s">
        <v>11689</v>
      </c>
      <c r="AO537" t="s">
        <v>3625</v>
      </c>
      <c r="AP537" t="s">
        <v>3626</v>
      </c>
      <c r="AT537" t="s">
        <v>169</v>
      </c>
      <c r="AU537" t="s">
        <v>102</v>
      </c>
      <c r="AV537" t="s">
        <v>250</v>
      </c>
      <c r="AW537" t="s">
        <v>102</v>
      </c>
      <c r="AX537" t="s">
        <v>119</v>
      </c>
      <c r="BA537" t="s">
        <v>250</v>
      </c>
      <c r="BB537" t="s">
        <v>120</v>
      </c>
      <c r="BC537" t="s">
        <v>2840</v>
      </c>
      <c r="BD537" t="s">
        <v>449</v>
      </c>
      <c r="BE537" t="s">
        <v>122</v>
      </c>
      <c r="BF537" t="s">
        <v>253</v>
      </c>
      <c r="BG537" t="s">
        <v>124</v>
      </c>
      <c r="BH537" t="s">
        <v>578</v>
      </c>
      <c r="BI537" t="s">
        <v>126</v>
      </c>
      <c r="BJ537" t="s">
        <v>127</v>
      </c>
      <c r="BK537" t="s">
        <v>11690</v>
      </c>
      <c r="BL537" t="s">
        <v>11691</v>
      </c>
      <c r="BM537" t="s">
        <v>11692</v>
      </c>
      <c r="BN537" t="s">
        <v>578</v>
      </c>
      <c r="BO537" t="s">
        <v>1108</v>
      </c>
      <c r="BP537" t="s">
        <v>350</v>
      </c>
      <c r="BQ537" t="s">
        <v>1109</v>
      </c>
      <c r="BR537" t="s">
        <v>1110</v>
      </c>
      <c r="BS537" t="s">
        <v>135</v>
      </c>
      <c r="BU537" t="s">
        <v>11693</v>
      </c>
      <c r="BV537" t="s">
        <v>11694</v>
      </c>
      <c r="BW537" t="s">
        <v>138</v>
      </c>
      <c r="BX537" t="s">
        <v>11695</v>
      </c>
      <c r="BY537" t="s">
        <v>11696</v>
      </c>
      <c r="BZ537" t="s">
        <v>11697</v>
      </c>
      <c r="CA537" t="s">
        <v>11694</v>
      </c>
      <c r="CB537" t="s">
        <v>11695</v>
      </c>
      <c r="CC537" t="s">
        <v>11696</v>
      </c>
      <c r="CG537" t="s">
        <v>102</v>
      </c>
      <c r="CH537" t="s">
        <v>11698</v>
      </c>
      <c r="CJ537" t="s">
        <v>5951</v>
      </c>
      <c r="CK537" t="s">
        <v>11698</v>
      </c>
      <c r="CL537" t="s">
        <v>2840</v>
      </c>
      <c r="CM537" t="s">
        <v>449</v>
      </c>
      <c r="CN537" t="s">
        <v>5951</v>
      </c>
      <c r="CO537" t="s">
        <v>3637</v>
      </c>
      <c r="CP537" t="s">
        <v>11698</v>
      </c>
      <c r="CQ537" t="s">
        <v>11698</v>
      </c>
    </row>
    <row r="538" spans="1:95">
      <c r="A538" t="s">
        <v>149</v>
      </c>
      <c r="B538">
        <v>810367</v>
      </c>
      <c r="C538" t="s">
        <v>11699</v>
      </c>
      <c r="D538" t="str">
        <f>VLOOKUP(B538,'2025'!B:C,2,0)</f>
        <v>Vaishali</v>
      </c>
      <c r="F538" t="s">
        <v>95</v>
      </c>
      <c r="G538" t="s">
        <v>582</v>
      </c>
      <c r="H538" t="s">
        <v>848</v>
      </c>
      <c r="I538" t="s">
        <v>98</v>
      </c>
      <c r="J538" t="s">
        <v>11700</v>
      </c>
      <c r="K538" t="s">
        <v>100</v>
      </c>
      <c r="L538">
        <v>167438</v>
      </c>
      <c r="M538">
        <v>197577</v>
      </c>
      <c r="N538">
        <v>0</v>
      </c>
      <c r="O538">
        <v>0</v>
      </c>
      <c r="Q538">
        <v>0</v>
      </c>
      <c r="R538">
        <v>0</v>
      </c>
      <c r="T538">
        <v>167438</v>
      </c>
      <c r="U538">
        <v>76</v>
      </c>
      <c r="V538" t="s">
        <v>608</v>
      </c>
      <c r="W538" t="s">
        <v>102</v>
      </c>
      <c r="X538" t="s">
        <v>103</v>
      </c>
      <c r="Y538" t="s">
        <v>155</v>
      </c>
      <c r="AA538" t="s">
        <v>232</v>
      </c>
      <c r="AB538" t="s">
        <v>11701</v>
      </c>
      <c r="AC538" t="s">
        <v>892</v>
      </c>
      <c r="AD538" t="s">
        <v>11701</v>
      </c>
      <c r="AE538" t="s">
        <v>437</v>
      </c>
      <c r="AF538" t="s">
        <v>11701</v>
      </c>
      <c r="AG538" t="s">
        <v>402</v>
      </c>
      <c r="AH538" t="s">
        <v>11701</v>
      </c>
      <c r="AI538" t="s">
        <v>11702</v>
      </c>
      <c r="AJ538" t="s">
        <v>2298</v>
      </c>
      <c r="AK538" t="s">
        <v>3621</v>
      </c>
      <c r="AL538" t="s">
        <v>11703</v>
      </c>
      <c r="AM538" t="s">
        <v>11704</v>
      </c>
      <c r="AN538" t="s">
        <v>1454</v>
      </c>
      <c r="AO538" t="s">
        <v>3625</v>
      </c>
      <c r="AP538" t="s">
        <v>3626</v>
      </c>
      <c r="AT538" t="s">
        <v>169</v>
      </c>
      <c r="AU538" t="s">
        <v>102</v>
      </c>
      <c r="AW538" t="s">
        <v>102</v>
      </c>
      <c r="AX538" t="s">
        <v>119</v>
      </c>
      <c r="BA538" t="s">
        <v>250</v>
      </c>
      <c r="BB538" t="s">
        <v>120</v>
      </c>
      <c r="BC538" t="s">
        <v>2840</v>
      </c>
      <c r="BD538" t="s">
        <v>449</v>
      </c>
      <c r="BE538" t="s">
        <v>122</v>
      </c>
      <c r="BF538" t="s">
        <v>253</v>
      </c>
      <c r="BG538" t="s">
        <v>124</v>
      </c>
      <c r="BH538" t="s">
        <v>232</v>
      </c>
      <c r="BI538" t="s">
        <v>126</v>
      </c>
      <c r="BJ538" t="s">
        <v>127</v>
      </c>
      <c r="BK538" t="s">
        <v>11705</v>
      </c>
      <c r="BL538" t="s">
        <v>11706</v>
      </c>
      <c r="BM538" t="s">
        <v>11707</v>
      </c>
      <c r="BN538" t="s">
        <v>582</v>
      </c>
      <c r="BO538" t="s">
        <v>1108</v>
      </c>
      <c r="BP538" t="s">
        <v>350</v>
      </c>
      <c r="BQ538" t="s">
        <v>1109</v>
      </c>
      <c r="BR538" t="s">
        <v>1110</v>
      </c>
      <c r="BS538" t="s">
        <v>135</v>
      </c>
      <c r="BU538" t="s">
        <v>11708</v>
      </c>
      <c r="BV538" t="s">
        <v>3631</v>
      </c>
      <c r="BW538" t="s">
        <v>296</v>
      </c>
      <c r="BX538" t="s">
        <v>3632</v>
      </c>
      <c r="BY538" t="s">
        <v>3633</v>
      </c>
      <c r="BZ538" t="s">
        <v>11709</v>
      </c>
      <c r="CG538" t="s">
        <v>102</v>
      </c>
      <c r="CH538" t="s">
        <v>11710</v>
      </c>
      <c r="CJ538" t="s">
        <v>5951</v>
      </c>
      <c r="CK538" t="s">
        <v>11710</v>
      </c>
      <c r="CL538" t="s">
        <v>2840</v>
      </c>
      <c r="CM538" t="s">
        <v>449</v>
      </c>
      <c r="CN538" t="s">
        <v>5951</v>
      </c>
      <c r="CO538" t="s">
        <v>3637</v>
      </c>
      <c r="CP538" t="s">
        <v>11710</v>
      </c>
      <c r="CQ538" t="s">
        <v>11710</v>
      </c>
    </row>
    <row r="539" spans="1:95">
      <c r="A539" t="s">
        <v>93</v>
      </c>
      <c r="B539">
        <v>82810</v>
      </c>
      <c r="C539" t="s">
        <v>11071</v>
      </c>
      <c r="D539" t="str">
        <f>VLOOKUP(B539,'2025'!B:C,2,0)</f>
        <v>Vaishali</v>
      </c>
      <c r="F539" t="s">
        <v>95</v>
      </c>
      <c r="G539" t="s">
        <v>96</v>
      </c>
      <c r="H539" t="s">
        <v>97</v>
      </c>
      <c r="I539" t="s">
        <v>98</v>
      </c>
      <c r="J539" t="s">
        <v>11711</v>
      </c>
      <c r="K539" t="s">
        <v>100</v>
      </c>
      <c r="L539">
        <v>566250</v>
      </c>
      <c r="M539">
        <v>566250</v>
      </c>
      <c r="N539">
        <v>566250</v>
      </c>
      <c r="O539">
        <v>755</v>
      </c>
      <c r="P539" t="s">
        <v>101</v>
      </c>
      <c r="Q539">
        <v>0</v>
      </c>
      <c r="R539">
        <v>0</v>
      </c>
      <c r="T539">
        <v>0</v>
      </c>
      <c r="U539">
        <v>0</v>
      </c>
      <c r="W539" t="s">
        <v>102</v>
      </c>
      <c r="X539" t="s">
        <v>103</v>
      </c>
      <c r="Y539" t="s">
        <v>104</v>
      </c>
      <c r="AA539" t="s">
        <v>105</v>
      </c>
      <c r="AB539" t="s">
        <v>11712</v>
      </c>
      <c r="AC539" t="s">
        <v>107</v>
      </c>
      <c r="AD539" t="s">
        <v>11713</v>
      </c>
      <c r="AE539" t="s">
        <v>109</v>
      </c>
      <c r="AF539" t="s">
        <v>102</v>
      </c>
      <c r="AG539" t="s">
        <v>109</v>
      </c>
      <c r="AH539" t="s">
        <v>102</v>
      </c>
      <c r="AI539" t="s">
        <v>11714</v>
      </c>
      <c r="AJ539" t="s">
        <v>5268</v>
      </c>
      <c r="AK539" t="s">
        <v>4782</v>
      </c>
      <c r="AL539" t="s">
        <v>11715</v>
      </c>
      <c r="AM539" t="s">
        <v>11716</v>
      </c>
      <c r="AN539" t="s">
        <v>11717</v>
      </c>
      <c r="AO539" t="s">
        <v>116</v>
      </c>
      <c r="AP539" t="s">
        <v>116</v>
      </c>
      <c r="AU539" t="s">
        <v>117</v>
      </c>
      <c r="AV539" t="s">
        <v>118</v>
      </c>
      <c r="AW539" t="s">
        <v>102</v>
      </c>
      <c r="AX539" t="s">
        <v>119</v>
      </c>
      <c r="BB539" t="s">
        <v>120</v>
      </c>
      <c r="BC539" t="s">
        <v>2204</v>
      </c>
      <c r="BD539" t="s">
        <v>121</v>
      </c>
      <c r="BE539" t="s">
        <v>122</v>
      </c>
      <c r="BF539" t="s">
        <v>123</v>
      </c>
      <c r="BG539" t="s">
        <v>124</v>
      </c>
      <c r="BH539" t="s">
        <v>125</v>
      </c>
      <c r="BI539" t="s">
        <v>126</v>
      </c>
      <c r="BJ539" t="s">
        <v>127</v>
      </c>
      <c r="BK539" t="s">
        <v>11718</v>
      </c>
      <c r="BL539" t="s">
        <v>11719</v>
      </c>
      <c r="BM539" t="s">
        <v>11720</v>
      </c>
      <c r="BN539" t="s">
        <v>96</v>
      </c>
      <c r="BO539" t="s">
        <v>131</v>
      </c>
      <c r="BP539" t="s">
        <v>350</v>
      </c>
      <c r="BQ539" t="s">
        <v>133</v>
      </c>
      <c r="BR539" t="s">
        <v>134</v>
      </c>
      <c r="BS539" t="s">
        <v>135</v>
      </c>
      <c r="BU539" t="s">
        <v>11721</v>
      </c>
      <c r="BV539" t="s">
        <v>11722</v>
      </c>
      <c r="BW539" t="s">
        <v>138</v>
      </c>
      <c r="BX539" t="s">
        <v>11723</v>
      </c>
      <c r="BY539" t="s">
        <v>11724</v>
      </c>
      <c r="BZ539" t="s">
        <v>11725</v>
      </c>
      <c r="CA539" t="s">
        <v>11722</v>
      </c>
      <c r="CB539" t="s">
        <v>11723</v>
      </c>
      <c r="CC539" t="s">
        <v>11724</v>
      </c>
      <c r="CG539" t="s">
        <v>11726</v>
      </c>
      <c r="CH539" t="s">
        <v>11727</v>
      </c>
      <c r="CJ539" t="s">
        <v>147</v>
      </c>
      <c r="CK539" t="s">
        <v>11727</v>
      </c>
      <c r="CL539" t="s">
        <v>2204</v>
      </c>
      <c r="CM539" t="s">
        <v>121</v>
      </c>
      <c r="CN539" t="s">
        <v>147</v>
      </c>
      <c r="CO539" t="s">
        <v>11728</v>
      </c>
      <c r="CP539" t="s">
        <v>11727</v>
      </c>
      <c r="CQ539" t="s">
        <v>11727</v>
      </c>
    </row>
    <row r="540" spans="1:95">
      <c r="A540" t="s">
        <v>337</v>
      </c>
      <c r="B540">
        <v>8625</v>
      </c>
      <c r="C540" t="s">
        <v>11729</v>
      </c>
      <c r="D540" t="str">
        <f>VLOOKUP(B540,'2025'!B:C,2,0)</f>
        <v>Unnati Sharma</v>
      </c>
      <c r="F540" t="s">
        <v>95</v>
      </c>
      <c r="G540" t="s">
        <v>558</v>
      </c>
      <c r="H540" t="s">
        <v>152</v>
      </c>
      <c r="I540" t="s">
        <v>98</v>
      </c>
      <c r="J540" t="s">
        <v>11730</v>
      </c>
      <c r="K540" t="s">
        <v>100</v>
      </c>
      <c r="L540">
        <v>262873</v>
      </c>
      <c r="M540">
        <v>262873</v>
      </c>
      <c r="N540">
        <v>0</v>
      </c>
      <c r="O540">
        <v>0</v>
      </c>
      <c r="Q540">
        <v>262873</v>
      </c>
      <c r="R540">
        <v>146</v>
      </c>
      <c r="S540" t="s">
        <v>3005</v>
      </c>
      <c r="T540">
        <v>0</v>
      </c>
      <c r="U540">
        <v>0</v>
      </c>
      <c r="W540" t="s">
        <v>102</v>
      </c>
      <c r="X540" t="s">
        <v>103</v>
      </c>
      <c r="Y540" t="s">
        <v>104</v>
      </c>
      <c r="AA540" t="s">
        <v>96</v>
      </c>
      <c r="AB540" t="s">
        <v>11731</v>
      </c>
      <c r="AC540" t="s">
        <v>648</v>
      </c>
      <c r="AD540" t="s">
        <v>11731</v>
      </c>
      <c r="AE540" t="s">
        <v>109</v>
      </c>
      <c r="AF540" t="s">
        <v>102</v>
      </c>
      <c r="AG540" t="s">
        <v>109</v>
      </c>
      <c r="AH540" t="s">
        <v>102</v>
      </c>
      <c r="AI540" t="s">
        <v>102</v>
      </c>
      <c r="AJ540" t="s">
        <v>162</v>
      </c>
      <c r="AK540" t="s">
        <v>8783</v>
      </c>
      <c r="AL540" t="s">
        <v>11732</v>
      </c>
      <c r="AM540" t="s">
        <v>11733</v>
      </c>
      <c r="AN540" t="s">
        <v>11734</v>
      </c>
      <c r="AO540" t="s">
        <v>3012</v>
      </c>
      <c r="AP540" t="s">
        <v>3012</v>
      </c>
      <c r="AU540" t="s">
        <v>102</v>
      </c>
      <c r="AW540" t="s">
        <v>155</v>
      </c>
      <c r="AX540" t="s">
        <v>119</v>
      </c>
      <c r="AY540" t="s">
        <v>170</v>
      </c>
      <c r="AZ540" t="s">
        <v>118</v>
      </c>
      <c r="BB540" t="s">
        <v>120</v>
      </c>
      <c r="BC540" t="s">
        <v>2258</v>
      </c>
      <c r="BD540" t="s">
        <v>730</v>
      </c>
      <c r="BE540" t="s">
        <v>622</v>
      </c>
      <c r="BF540" t="s">
        <v>730</v>
      </c>
      <c r="BG540" t="s">
        <v>124</v>
      </c>
      <c r="BH540" t="s">
        <v>578</v>
      </c>
      <c r="BI540" t="s">
        <v>126</v>
      </c>
      <c r="BJ540" t="s">
        <v>127</v>
      </c>
      <c r="BK540" t="s">
        <v>11735</v>
      </c>
      <c r="BL540" t="s">
        <v>11736</v>
      </c>
      <c r="BM540" t="s">
        <v>11737</v>
      </c>
      <c r="BN540" t="s">
        <v>558</v>
      </c>
      <c r="BO540" t="s">
        <v>2262</v>
      </c>
      <c r="BP540" t="s">
        <v>258</v>
      </c>
      <c r="BQ540" t="s">
        <v>2263</v>
      </c>
      <c r="BR540" t="s">
        <v>2264</v>
      </c>
      <c r="BS540" t="s">
        <v>2569</v>
      </c>
      <c r="BU540" t="s">
        <v>11738</v>
      </c>
      <c r="BV540" t="s">
        <v>11739</v>
      </c>
      <c r="BW540" t="s">
        <v>138</v>
      </c>
      <c r="BX540" t="s">
        <v>11740</v>
      </c>
      <c r="BY540" t="s">
        <v>11741</v>
      </c>
      <c r="BZ540" t="s">
        <v>11742</v>
      </c>
      <c r="CA540" t="s">
        <v>11739</v>
      </c>
      <c r="CB540" t="s">
        <v>11740</v>
      </c>
      <c r="CC540" t="s">
        <v>11741</v>
      </c>
      <c r="CD540" t="s">
        <v>11739</v>
      </c>
      <c r="CE540" t="s">
        <v>11740</v>
      </c>
      <c r="CF540" t="s">
        <v>11741</v>
      </c>
      <c r="CG540" t="s">
        <v>1594</v>
      </c>
      <c r="CH540" t="s">
        <v>11743</v>
      </c>
      <c r="CJ540" t="s">
        <v>11744</v>
      </c>
      <c r="CK540" t="s">
        <v>11743</v>
      </c>
      <c r="CL540" t="s">
        <v>2258</v>
      </c>
      <c r="CM540" t="s">
        <v>2273</v>
      </c>
      <c r="CN540" t="s">
        <v>11744</v>
      </c>
      <c r="CP540" t="s">
        <v>11743</v>
      </c>
      <c r="CQ540" t="s">
        <v>11743</v>
      </c>
    </row>
    <row r="541" spans="1:95">
      <c r="A541" t="s">
        <v>149</v>
      </c>
      <c r="B541">
        <v>865626</v>
      </c>
      <c r="C541" t="s">
        <v>11220</v>
      </c>
      <c r="D541" t="str">
        <f>VLOOKUP(B541,'2025'!B:C,2,0)</f>
        <v>Lopamudra Das</v>
      </c>
      <c r="F541" t="s">
        <v>95</v>
      </c>
      <c r="G541" t="s">
        <v>517</v>
      </c>
      <c r="H541" t="s">
        <v>193</v>
      </c>
      <c r="I541" t="s">
        <v>98</v>
      </c>
      <c r="J541" t="s">
        <v>11745</v>
      </c>
      <c r="K541" t="s">
        <v>100</v>
      </c>
      <c r="L541">
        <v>2724792</v>
      </c>
      <c r="M541">
        <v>3187449</v>
      </c>
      <c r="N541">
        <v>154477</v>
      </c>
      <c r="O541">
        <v>772</v>
      </c>
      <c r="P541" t="s">
        <v>11746</v>
      </c>
      <c r="Q541">
        <v>0</v>
      </c>
      <c r="R541">
        <v>0</v>
      </c>
      <c r="T541">
        <v>2570315</v>
      </c>
      <c r="U541">
        <v>2407</v>
      </c>
      <c r="V541" t="s">
        <v>11747</v>
      </c>
      <c r="W541" t="s">
        <v>102</v>
      </c>
      <c r="X541" t="s">
        <v>679</v>
      </c>
      <c r="Y541" t="s">
        <v>155</v>
      </c>
      <c r="Z541" t="s">
        <v>648</v>
      </c>
      <c r="AA541" t="s">
        <v>10650</v>
      </c>
      <c r="AB541" t="s">
        <v>11748</v>
      </c>
      <c r="AC541" t="s">
        <v>11749</v>
      </c>
      <c r="AD541" t="s">
        <v>11748</v>
      </c>
      <c r="AE541" t="s">
        <v>11750</v>
      </c>
      <c r="AF541" t="s">
        <v>11748</v>
      </c>
      <c r="AG541" t="s">
        <v>807</v>
      </c>
      <c r="AH541" t="s">
        <v>11748</v>
      </c>
      <c r="AI541" t="s">
        <v>11751</v>
      </c>
      <c r="AJ541" t="s">
        <v>2303</v>
      </c>
      <c r="AK541" t="s">
        <v>11752</v>
      </c>
      <c r="AL541" t="s">
        <v>11753</v>
      </c>
      <c r="AM541" t="s">
        <v>11754</v>
      </c>
      <c r="AN541" t="s">
        <v>11755</v>
      </c>
      <c r="AO541" t="s">
        <v>11756</v>
      </c>
      <c r="AP541" t="s">
        <v>11756</v>
      </c>
      <c r="AU541" t="s">
        <v>207</v>
      </c>
      <c r="AV541" t="s">
        <v>118</v>
      </c>
      <c r="AW541" t="s">
        <v>102</v>
      </c>
      <c r="AX541" t="s">
        <v>119</v>
      </c>
      <c r="BA541" t="s">
        <v>250</v>
      </c>
      <c r="BB541" t="s">
        <v>120</v>
      </c>
      <c r="BC541" t="s">
        <v>375</v>
      </c>
      <c r="BD541" t="s">
        <v>376</v>
      </c>
      <c r="BE541" t="s">
        <v>174</v>
      </c>
      <c r="BF541" t="s">
        <v>376</v>
      </c>
      <c r="BG541" t="s">
        <v>124</v>
      </c>
      <c r="BH541" t="s">
        <v>517</v>
      </c>
      <c r="BI541" t="s">
        <v>657</v>
      </c>
      <c r="BJ541" t="s">
        <v>127</v>
      </c>
      <c r="BK541" t="s">
        <v>11757</v>
      </c>
      <c r="BL541" t="s">
        <v>11758</v>
      </c>
      <c r="BM541" t="s">
        <v>11759</v>
      </c>
      <c r="BN541" t="s">
        <v>517</v>
      </c>
      <c r="BO541" t="s">
        <v>179</v>
      </c>
      <c r="BP541" t="s">
        <v>180</v>
      </c>
      <c r="BQ541" t="s">
        <v>181</v>
      </c>
      <c r="BR541" t="s">
        <v>182</v>
      </c>
      <c r="BS541" t="s">
        <v>183</v>
      </c>
      <c r="BU541" t="s">
        <v>11760</v>
      </c>
      <c r="BV541" t="s">
        <v>11761</v>
      </c>
      <c r="BW541" t="s">
        <v>138</v>
      </c>
      <c r="BX541" t="s">
        <v>11762</v>
      </c>
      <c r="BY541" t="s">
        <v>11763</v>
      </c>
      <c r="BZ541" t="s">
        <v>11764</v>
      </c>
      <c r="CA541" t="s">
        <v>11761</v>
      </c>
      <c r="CB541" t="s">
        <v>11762</v>
      </c>
      <c r="CC541" t="s">
        <v>11763</v>
      </c>
      <c r="CD541" t="s">
        <v>11765</v>
      </c>
      <c r="CE541" t="s">
        <v>11766</v>
      </c>
      <c r="CF541" t="s">
        <v>11767</v>
      </c>
      <c r="CG541" t="s">
        <v>102</v>
      </c>
      <c r="CH541" t="s">
        <v>11768</v>
      </c>
      <c r="CJ541" t="s">
        <v>1644</v>
      </c>
      <c r="CK541" t="s">
        <v>11768</v>
      </c>
      <c r="CL541" t="s">
        <v>375</v>
      </c>
      <c r="CM541" t="s">
        <v>376</v>
      </c>
      <c r="CN541" t="s">
        <v>1644</v>
      </c>
      <c r="CO541" t="s">
        <v>11769</v>
      </c>
      <c r="CP541" t="s">
        <v>11768</v>
      </c>
      <c r="CQ541" t="s">
        <v>11768</v>
      </c>
    </row>
    <row r="542" spans="1:95">
      <c r="A542" t="s">
        <v>149</v>
      </c>
      <c r="B542">
        <v>912899</v>
      </c>
      <c r="C542" t="s">
        <v>11770</v>
      </c>
      <c r="E542" s="4" t="s">
        <v>17377</v>
      </c>
      <c r="F542" t="s">
        <v>95</v>
      </c>
      <c r="G542" t="s">
        <v>3155</v>
      </c>
      <c r="H542" t="s">
        <v>97</v>
      </c>
      <c r="I542" t="s">
        <v>98</v>
      </c>
      <c r="J542" t="s">
        <v>11771</v>
      </c>
      <c r="K542" t="s">
        <v>100</v>
      </c>
      <c r="L542">
        <v>792572</v>
      </c>
      <c r="M542">
        <v>792572</v>
      </c>
      <c r="N542">
        <v>792572</v>
      </c>
      <c r="O542">
        <v>721</v>
      </c>
      <c r="P542" t="s">
        <v>11772</v>
      </c>
      <c r="Q542">
        <v>0</v>
      </c>
      <c r="R542">
        <v>0</v>
      </c>
      <c r="T542">
        <v>0</v>
      </c>
      <c r="U542">
        <v>0</v>
      </c>
      <c r="W542" t="s">
        <v>102</v>
      </c>
      <c r="X542" t="s">
        <v>103</v>
      </c>
      <c r="Y542" t="s">
        <v>104</v>
      </c>
      <c r="AA542" t="s">
        <v>341</v>
      </c>
      <c r="AB542" t="s">
        <v>11773</v>
      </c>
      <c r="AC542" t="s">
        <v>2605</v>
      </c>
      <c r="AD542" t="s">
        <v>11774</v>
      </c>
      <c r="AE542" t="s">
        <v>109</v>
      </c>
      <c r="AF542" t="s">
        <v>102</v>
      </c>
      <c r="AG542" t="s">
        <v>109</v>
      </c>
      <c r="AH542" t="s">
        <v>102</v>
      </c>
      <c r="AI542" t="s">
        <v>11775</v>
      </c>
      <c r="AJ542" t="s">
        <v>441</v>
      </c>
      <c r="AK542" t="s">
        <v>3974</v>
      </c>
      <c r="AL542" t="s">
        <v>11776</v>
      </c>
      <c r="AM542" t="s">
        <v>11777</v>
      </c>
      <c r="AN542" t="s">
        <v>11778</v>
      </c>
      <c r="AO542" t="s">
        <v>5854</v>
      </c>
      <c r="AP542" t="s">
        <v>11779</v>
      </c>
      <c r="AT542" t="s">
        <v>169</v>
      </c>
      <c r="AU542" t="s">
        <v>318</v>
      </c>
      <c r="AV542" t="s">
        <v>118</v>
      </c>
      <c r="AW542" t="s">
        <v>102</v>
      </c>
      <c r="AX542" t="s">
        <v>119</v>
      </c>
      <c r="BB542" t="s">
        <v>171</v>
      </c>
      <c r="BC542" t="s">
        <v>7718</v>
      </c>
      <c r="BD542" t="s">
        <v>211</v>
      </c>
      <c r="BE542" t="s">
        <v>212</v>
      </c>
      <c r="BF542" t="s">
        <v>213</v>
      </c>
      <c r="BG542" t="s">
        <v>124</v>
      </c>
      <c r="BH542" t="s">
        <v>125</v>
      </c>
      <c r="BI542" t="s">
        <v>126</v>
      </c>
      <c r="BJ542" t="s">
        <v>127</v>
      </c>
      <c r="BK542" t="s">
        <v>11780</v>
      </c>
      <c r="BL542" t="s">
        <v>11781</v>
      </c>
      <c r="BM542" t="s">
        <v>11782</v>
      </c>
      <c r="BN542" t="s">
        <v>3155</v>
      </c>
      <c r="BO542" t="s">
        <v>219</v>
      </c>
      <c r="BP542" t="s">
        <v>180</v>
      </c>
      <c r="BQ542" t="s">
        <v>220</v>
      </c>
      <c r="BR542" t="s">
        <v>221</v>
      </c>
      <c r="BS542" t="s">
        <v>2463</v>
      </c>
      <c r="BT542" t="s">
        <v>2151</v>
      </c>
      <c r="BU542" t="s">
        <v>11783</v>
      </c>
      <c r="BV542" t="s">
        <v>11784</v>
      </c>
      <c r="BW542" t="s">
        <v>138</v>
      </c>
      <c r="BX542" t="s">
        <v>11785</v>
      </c>
      <c r="BY542" t="s">
        <v>11786</v>
      </c>
      <c r="BZ542" t="s">
        <v>11785</v>
      </c>
      <c r="CA542" t="s">
        <v>11784</v>
      </c>
      <c r="CB542" t="s">
        <v>11785</v>
      </c>
      <c r="CC542" t="s">
        <v>11786</v>
      </c>
      <c r="CD542" t="s">
        <v>11787</v>
      </c>
      <c r="CE542" t="s">
        <v>11785</v>
      </c>
      <c r="CF542" t="s">
        <v>11788</v>
      </c>
      <c r="CG542" t="s">
        <v>1709</v>
      </c>
      <c r="CH542" t="s">
        <v>11789</v>
      </c>
      <c r="CJ542" t="s">
        <v>11790</v>
      </c>
      <c r="CK542" t="s">
        <v>11789</v>
      </c>
      <c r="CL542" t="s">
        <v>7718</v>
      </c>
      <c r="CM542" t="s">
        <v>211</v>
      </c>
      <c r="CN542" t="s">
        <v>11790</v>
      </c>
      <c r="CO542" t="s">
        <v>11791</v>
      </c>
      <c r="CP542" t="s">
        <v>11789</v>
      </c>
      <c r="CQ542" t="s">
        <v>11789</v>
      </c>
    </row>
    <row r="543" spans="1:95">
      <c r="A543" t="s">
        <v>149</v>
      </c>
      <c r="B543">
        <v>9582</v>
      </c>
      <c r="C543" t="s">
        <v>11792</v>
      </c>
      <c r="D543" t="str">
        <f>VLOOKUP(B543,'2025'!B:C,2,0)</f>
        <v>Pooja</v>
      </c>
      <c r="F543" t="s">
        <v>95</v>
      </c>
      <c r="G543" t="s">
        <v>11793</v>
      </c>
      <c r="H543" t="s">
        <v>193</v>
      </c>
      <c r="I543" t="s">
        <v>98</v>
      </c>
      <c r="J543" t="s">
        <v>11794</v>
      </c>
      <c r="K543" t="s">
        <v>100</v>
      </c>
      <c r="L543">
        <v>251476</v>
      </c>
      <c r="M543">
        <v>284714</v>
      </c>
      <c r="N543">
        <v>66823</v>
      </c>
      <c r="O543">
        <v>115</v>
      </c>
      <c r="P543" t="s">
        <v>11795</v>
      </c>
      <c r="Q543">
        <v>0</v>
      </c>
      <c r="R543">
        <v>0</v>
      </c>
      <c r="T543">
        <v>184653</v>
      </c>
      <c r="U543">
        <v>66</v>
      </c>
      <c r="V543" t="s">
        <v>11796</v>
      </c>
      <c r="W543" t="s">
        <v>102</v>
      </c>
      <c r="X543" t="s">
        <v>679</v>
      </c>
      <c r="Y543" t="s">
        <v>155</v>
      </c>
      <c r="Z543" t="s">
        <v>3576</v>
      </c>
      <c r="AA543" t="s">
        <v>9355</v>
      </c>
      <c r="AB543" t="s">
        <v>11797</v>
      </c>
      <c r="AC543" t="s">
        <v>11798</v>
      </c>
      <c r="AD543" t="s">
        <v>11797</v>
      </c>
      <c r="AE543" t="s">
        <v>6548</v>
      </c>
      <c r="AF543" t="s">
        <v>11797</v>
      </c>
      <c r="AG543" t="s">
        <v>807</v>
      </c>
      <c r="AH543" t="s">
        <v>11797</v>
      </c>
      <c r="AI543" t="s">
        <v>11799</v>
      </c>
      <c r="AJ543" t="s">
        <v>11800</v>
      </c>
      <c r="AK543" t="s">
        <v>11801</v>
      </c>
      <c r="AL543" t="s">
        <v>11802</v>
      </c>
      <c r="AM543" t="s">
        <v>11803</v>
      </c>
      <c r="AN543" t="s">
        <v>11804</v>
      </c>
      <c r="AO543" t="s">
        <v>11805</v>
      </c>
      <c r="AP543" t="s">
        <v>11805</v>
      </c>
      <c r="AU543" t="s">
        <v>207</v>
      </c>
      <c r="AV543" t="s">
        <v>118</v>
      </c>
      <c r="AW543" t="s">
        <v>102</v>
      </c>
      <c r="AX543" t="s">
        <v>119</v>
      </c>
      <c r="BA543" t="s">
        <v>250</v>
      </c>
      <c r="BB543" t="s">
        <v>1964</v>
      </c>
      <c r="BC543" t="s">
        <v>375</v>
      </c>
      <c r="BD543" t="s">
        <v>376</v>
      </c>
      <c r="BE543" t="s">
        <v>174</v>
      </c>
      <c r="BF543" t="s">
        <v>376</v>
      </c>
      <c r="BG543" t="s">
        <v>124</v>
      </c>
      <c r="BH543" t="s">
        <v>11806</v>
      </c>
      <c r="BI543" t="s">
        <v>126</v>
      </c>
      <c r="BJ543" t="s">
        <v>127</v>
      </c>
      <c r="BK543" t="s">
        <v>11807</v>
      </c>
      <c r="BL543" t="s">
        <v>11808</v>
      </c>
      <c r="BM543" t="s">
        <v>11809</v>
      </c>
      <c r="BN543" t="s">
        <v>11793</v>
      </c>
      <c r="BO543" t="s">
        <v>179</v>
      </c>
      <c r="BP543" t="s">
        <v>350</v>
      </c>
      <c r="BQ543" t="s">
        <v>181</v>
      </c>
      <c r="BR543" t="s">
        <v>182</v>
      </c>
      <c r="BS543" t="s">
        <v>183</v>
      </c>
      <c r="BU543" t="s">
        <v>11810</v>
      </c>
      <c r="BV543" t="s">
        <v>11811</v>
      </c>
      <c r="BW543" t="s">
        <v>138</v>
      </c>
      <c r="BX543" t="s">
        <v>11812</v>
      </c>
      <c r="BY543" t="s">
        <v>11813</v>
      </c>
      <c r="CA543" t="s">
        <v>11811</v>
      </c>
      <c r="CB543" t="s">
        <v>11812</v>
      </c>
      <c r="CC543" t="s">
        <v>11813</v>
      </c>
      <c r="CD543" t="s">
        <v>11814</v>
      </c>
      <c r="CE543" t="s">
        <v>11815</v>
      </c>
      <c r="CF543" t="s">
        <v>11816</v>
      </c>
      <c r="CG543" t="s">
        <v>102</v>
      </c>
      <c r="CH543" t="s">
        <v>11817</v>
      </c>
      <c r="CJ543" t="s">
        <v>11818</v>
      </c>
      <c r="CK543" t="s">
        <v>11817</v>
      </c>
      <c r="CL543" t="s">
        <v>375</v>
      </c>
      <c r="CM543" t="s">
        <v>376</v>
      </c>
      <c r="CN543" t="s">
        <v>11818</v>
      </c>
      <c r="CO543" t="s">
        <v>11819</v>
      </c>
      <c r="CP543" t="s">
        <v>11817</v>
      </c>
      <c r="CQ543" t="s">
        <v>11817</v>
      </c>
    </row>
    <row r="544" spans="1:95">
      <c r="A544" t="s">
        <v>93</v>
      </c>
      <c r="B544">
        <v>971627</v>
      </c>
      <c r="C544" t="s">
        <v>11820</v>
      </c>
      <c r="D544" t="str">
        <f>VLOOKUP(B544,'2025'!B:C,2,0)</f>
        <v>Hetal Parmar</v>
      </c>
      <c r="F544" t="s">
        <v>95</v>
      </c>
      <c r="G544" t="s">
        <v>96</v>
      </c>
      <c r="H544" t="s">
        <v>152</v>
      </c>
      <c r="I544" t="s">
        <v>98</v>
      </c>
      <c r="J544" t="s">
        <v>11821</v>
      </c>
      <c r="K544" t="s">
        <v>100</v>
      </c>
      <c r="L544">
        <v>411210</v>
      </c>
      <c r="M544">
        <v>411210</v>
      </c>
      <c r="N544">
        <v>0</v>
      </c>
      <c r="O544">
        <v>0</v>
      </c>
      <c r="Q544">
        <v>411210</v>
      </c>
      <c r="R544">
        <v>257</v>
      </c>
      <c r="S544" t="s">
        <v>678</v>
      </c>
      <c r="T544">
        <v>0</v>
      </c>
      <c r="U544">
        <v>0</v>
      </c>
      <c r="W544" t="s">
        <v>102</v>
      </c>
      <c r="X544" t="s">
        <v>103</v>
      </c>
      <c r="Y544" t="s">
        <v>104</v>
      </c>
      <c r="AA544" t="s">
        <v>105</v>
      </c>
      <c r="AB544" t="s">
        <v>11822</v>
      </c>
      <c r="AC544" t="s">
        <v>1542</v>
      </c>
      <c r="AD544" t="s">
        <v>11823</v>
      </c>
      <c r="AE544" t="s">
        <v>109</v>
      </c>
      <c r="AF544" t="s">
        <v>102</v>
      </c>
      <c r="AG544" t="s">
        <v>109</v>
      </c>
      <c r="AH544" t="s">
        <v>102</v>
      </c>
      <c r="AI544" t="s">
        <v>11824</v>
      </c>
      <c r="AJ544" t="s">
        <v>2388</v>
      </c>
      <c r="AK544" t="s">
        <v>1719</v>
      </c>
      <c r="AL544" t="s">
        <v>11825</v>
      </c>
      <c r="AM544" t="s">
        <v>11826</v>
      </c>
      <c r="AN544" t="s">
        <v>11827</v>
      </c>
      <c r="AO544" t="s">
        <v>11828</v>
      </c>
      <c r="AP544" t="s">
        <v>11828</v>
      </c>
      <c r="AU544" t="s">
        <v>102</v>
      </c>
      <c r="AW544" t="s">
        <v>155</v>
      </c>
      <c r="AX544" t="s">
        <v>119</v>
      </c>
      <c r="AY544" t="s">
        <v>1138</v>
      </c>
      <c r="AZ544" t="s">
        <v>118</v>
      </c>
      <c r="BB544" t="s">
        <v>209</v>
      </c>
      <c r="BC544" t="s">
        <v>623</v>
      </c>
      <c r="BD544" t="s">
        <v>621</v>
      </c>
      <c r="BE544" t="s">
        <v>622</v>
      </c>
      <c r="BF544" t="s">
        <v>623</v>
      </c>
      <c r="BG544" t="s">
        <v>124</v>
      </c>
      <c r="BH544" t="s">
        <v>856</v>
      </c>
      <c r="BI544" t="s">
        <v>1097</v>
      </c>
      <c r="BJ544" t="s">
        <v>127</v>
      </c>
      <c r="BK544" t="s">
        <v>11829</v>
      </c>
      <c r="BL544" t="s">
        <v>11830</v>
      </c>
      <c r="BM544" t="s">
        <v>11831</v>
      </c>
      <c r="BN544" t="s">
        <v>96</v>
      </c>
      <c r="BO544" t="s">
        <v>1670</v>
      </c>
      <c r="BP544" t="s">
        <v>258</v>
      </c>
      <c r="BQ544" t="s">
        <v>1671</v>
      </c>
      <c r="BR544" t="s">
        <v>1672</v>
      </c>
      <c r="BS544" t="s">
        <v>8262</v>
      </c>
      <c r="BU544" t="s">
        <v>11832</v>
      </c>
      <c r="BV544" t="s">
        <v>11833</v>
      </c>
      <c r="BW544" t="s">
        <v>569</v>
      </c>
      <c r="BX544" t="s">
        <v>11834</v>
      </c>
      <c r="BY544" t="s">
        <v>11835</v>
      </c>
      <c r="BZ544" t="s">
        <v>11834</v>
      </c>
      <c r="CA544" t="s">
        <v>11836</v>
      </c>
      <c r="CB544" t="s">
        <v>11837</v>
      </c>
      <c r="CC544" t="s">
        <v>11838</v>
      </c>
      <c r="CD544" t="s">
        <v>11839</v>
      </c>
      <c r="CE544" t="s">
        <v>11840</v>
      </c>
      <c r="CF544" t="s">
        <v>11841</v>
      </c>
      <c r="CG544" t="s">
        <v>11842</v>
      </c>
      <c r="CH544" t="s">
        <v>11843</v>
      </c>
      <c r="CJ544" t="s">
        <v>11844</v>
      </c>
      <c r="CK544" t="s">
        <v>11843</v>
      </c>
      <c r="CL544" t="s">
        <v>623</v>
      </c>
      <c r="CM544" t="s">
        <v>621</v>
      </c>
      <c r="CN544" t="s">
        <v>11844</v>
      </c>
      <c r="CO544" t="s">
        <v>11845</v>
      </c>
      <c r="CP544" t="s">
        <v>11843</v>
      </c>
      <c r="CQ544" t="s">
        <v>11843</v>
      </c>
    </row>
    <row r="545" spans="1:95">
      <c r="A545" t="s">
        <v>337</v>
      </c>
      <c r="B545">
        <v>990412</v>
      </c>
      <c r="C545" t="s">
        <v>11846</v>
      </c>
      <c r="E545" s="4" t="s">
        <v>17377</v>
      </c>
      <c r="F545" t="s">
        <v>95</v>
      </c>
      <c r="G545" t="s">
        <v>1295</v>
      </c>
      <c r="H545" t="s">
        <v>152</v>
      </c>
      <c r="I545" t="s">
        <v>98</v>
      </c>
      <c r="J545" t="s">
        <v>11847</v>
      </c>
      <c r="K545" t="s">
        <v>100</v>
      </c>
      <c r="L545">
        <v>64743</v>
      </c>
      <c r="M545">
        <v>64743</v>
      </c>
      <c r="N545">
        <v>0</v>
      </c>
      <c r="O545">
        <v>0</v>
      </c>
      <c r="Q545">
        <v>64743</v>
      </c>
      <c r="R545">
        <v>37</v>
      </c>
      <c r="S545" t="s">
        <v>1376</v>
      </c>
      <c r="T545">
        <v>0</v>
      </c>
      <c r="U545">
        <v>0</v>
      </c>
      <c r="W545" t="s">
        <v>102</v>
      </c>
      <c r="X545" t="s">
        <v>103</v>
      </c>
      <c r="Y545" t="s">
        <v>104</v>
      </c>
      <c r="AA545" t="s">
        <v>1295</v>
      </c>
      <c r="AB545" t="s">
        <v>11848</v>
      </c>
      <c r="AC545" t="s">
        <v>1358</v>
      </c>
      <c r="AD545" t="s">
        <v>11849</v>
      </c>
      <c r="AE545" t="s">
        <v>109</v>
      </c>
      <c r="AF545" t="s">
        <v>102</v>
      </c>
      <c r="AG545" t="s">
        <v>109</v>
      </c>
      <c r="AH545" t="s">
        <v>102</v>
      </c>
      <c r="AI545" t="s">
        <v>11850</v>
      </c>
      <c r="AJ545" t="s">
        <v>1330</v>
      </c>
      <c r="AK545" t="s">
        <v>159</v>
      </c>
      <c r="AL545" t="s">
        <v>11851</v>
      </c>
      <c r="AM545" t="s">
        <v>11852</v>
      </c>
      <c r="AN545" t="s">
        <v>11853</v>
      </c>
      <c r="AO545" t="s">
        <v>1940</v>
      </c>
      <c r="AP545" t="s">
        <v>1940</v>
      </c>
      <c r="AU545" t="s">
        <v>102</v>
      </c>
      <c r="AW545" t="s">
        <v>155</v>
      </c>
      <c r="AX545" t="s">
        <v>119</v>
      </c>
      <c r="AY545" t="s">
        <v>1138</v>
      </c>
      <c r="AZ545" t="s">
        <v>250</v>
      </c>
      <c r="BB545" t="s">
        <v>209</v>
      </c>
      <c r="BC545" t="s">
        <v>623</v>
      </c>
      <c r="BD545" t="s">
        <v>621</v>
      </c>
      <c r="BE545" t="s">
        <v>622</v>
      </c>
      <c r="BF545" t="s">
        <v>623</v>
      </c>
      <c r="BG545" t="s">
        <v>124</v>
      </c>
      <c r="BH545" t="s">
        <v>197</v>
      </c>
      <c r="BI545" t="s">
        <v>1941</v>
      </c>
      <c r="BJ545" t="s">
        <v>127</v>
      </c>
      <c r="BK545" t="s">
        <v>11854</v>
      </c>
      <c r="BL545" t="s">
        <v>11855</v>
      </c>
      <c r="BM545" t="s">
        <v>11856</v>
      </c>
      <c r="BN545" t="s">
        <v>1295</v>
      </c>
      <c r="BO545" t="s">
        <v>1670</v>
      </c>
      <c r="BP545" t="s">
        <v>505</v>
      </c>
      <c r="BQ545" t="s">
        <v>1671</v>
      </c>
      <c r="BR545" t="s">
        <v>1672</v>
      </c>
      <c r="BS545" t="s">
        <v>8262</v>
      </c>
      <c r="BU545" t="s">
        <v>11857</v>
      </c>
      <c r="BV545" t="s">
        <v>1946</v>
      </c>
      <c r="BW545" t="s">
        <v>354</v>
      </c>
      <c r="BX545" t="s">
        <v>1947</v>
      </c>
      <c r="BY545" t="s">
        <v>11858</v>
      </c>
      <c r="BZ545" t="s">
        <v>11859</v>
      </c>
      <c r="CG545" t="s">
        <v>11860</v>
      </c>
      <c r="CH545" t="s">
        <v>11861</v>
      </c>
      <c r="CJ545" t="s">
        <v>11862</v>
      </c>
      <c r="CK545" t="s">
        <v>11861</v>
      </c>
      <c r="CL545" t="s">
        <v>623</v>
      </c>
      <c r="CM545" t="s">
        <v>621</v>
      </c>
      <c r="CN545" t="s">
        <v>11862</v>
      </c>
      <c r="CP545" t="s">
        <v>11861</v>
      </c>
      <c r="CQ545" t="s">
        <v>11861</v>
      </c>
    </row>
    <row r="546" spans="1:95">
      <c r="A546" t="s">
        <v>337</v>
      </c>
      <c r="B546">
        <v>999141</v>
      </c>
      <c r="C546" t="s">
        <v>11863</v>
      </c>
      <c r="D546" t="str">
        <f>VLOOKUP(B546,'2025'!B:C,2,0)</f>
        <v>Tanya</v>
      </c>
      <c r="F546" t="s">
        <v>95</v>
      </c>
      <c r="G546" t="s">
        <v>5416</v>
      </c>
      <c r="H546" t="s">
        <v>152</v>
      </c>
      <c r="I546" t="s">
        <v>98</v>
      </c>
      <c r="J546" t="s">
        <v>11864</v>
      </c>
      <c r="K546" t="s">
        <v>100</v>
      </c>
      <c r="L546">
        <v>745653</v>
      </c>
      <c r="M546">
        <v>745653</v>
      </c>
      <c r="N546">
        <v>0</v>
      </c>
      <c r="O546">
        <v>0</v>
      </c>
      <c r="Q546">
        <v>745653</v>
      </c>
      <c r="R546">
        <v>1002</v>
      </c>
      <c r="S546" t="s">
        <v>11865</v>
      </c>
      <c r="T546">
        <v>0</v>
      </c>
      <c r="U546">
        <v>0</v>
      </c>
      <c r="W546" t="s">
        <v>102</v>
      </c>
      <c r="X546" t="s">
        <v>103</v>
      </c>
      <c r="Y546" t="s">
        <v>104</v>
      </c>
      <c r="AA546" t="s">
        <v>5416</v>
      </c>
      <c r="AB546" t="s">
        <v>11866</v>
      </c>
      <c r="AC546" t="s">
        <v>1957</v>
      </c>
      <c r="AD546" t="s">
        <v>11866</v>
      </c>
      <c r="AE546" t="s">
        <v>109</v>
      </c>
      <c r="AF546" t="s">
        <v>102</v>
      </c>
      <c r="AG546" t="s">
        <v>109</v>
      </c>
      <c r="AH546" t="s">
        <v>102</v>
      </c>
      <c r="AI546" t="s">
        <v>11867</v>
      </c>
      <c r="AJ546" t="s">
        <v>1470</v>
      </c>
      <c r="AK546" t="s">
        <v>3232</v>
      </c>
      <c r="AL546" t="s">
        <v>11868</v>
      </c>
      <c r="AM546" t="s">
        <v>11869</v>
      </c>
      <c r="AN546" t="s">
        <v>11870</v>
      </c>
      <c r="AO546" t="s">
        <v>11871</v>
      </c>
      <c r="AP546" t="s">
        <v>11872</v>
      </c>
      <c r="AR546" t="s">
        <v>169</v>
      </c>
      <c r="AU546" t="s">
        <v>102</v>
      </c>
      <c r="AW546" t="s">
        <v>104</v>
      </c>
      <c r="AX546" t="s">
        <v>447</v>
      </c>
      <c r="AY546" t="s">
        <v>170</v>
      </c>
      <c r="AZ546" t="s">
        <v>118</v>
      </c>
      <c r="BB546" t="s">
        <v>1964</v>
      </c>
      <c r="BC546" t="s">
        <v>448</v>
      </c>
      <c r="BD546" t="s">
        <v>449</v>
      </c>
      <c r="BE546" t="s">
        <v>122</v>
      </c>
      <c r="BF546" t="s">
        <v>450</v>
      </c>
      <c r="BG546" t="s">
        <v>124</v>
      </c>
      <c r="BH546" t="s">
        <v>232</v>
      </c>
      <c r="BI546" t="s">
        <v>126</v>
      </c>
      <c r="BJ546" t="s">
        <v>127</v>
      </c>
      <c r="BK546" t="s">
        <v>11873</v>
      </c>
      <c r="BL546" t="s">
        <v>11874</v>
      </c>
      <c r="BM546" t="s">
        <v>11875</v>
      </c>
      <c r="BN546" t="s">
        <v>5416</v>
      </c>
      <c r="BO546" t="s">
        <v>131</v>
      </c>
      <c r="BP546" t="s">
        <v>350</v>
      </c>
      <c r="BQ546" t="s">
        <v>133</v>
      </c>
      <c r="BR546" t="s">
        <v>134</v>
      </c>
      <c r="BS546" t="s">
        <v>455</v>
      </c>
      <c r="BU546" t="s">
        <v>11876</v>
      </c>
      <c r="BV546" t="s">
        <v>11877</v>
      </c>
      <c r="BW546" t="s">
        <v>138</v>
      </c>
      <c r="BX546" t="s">
        <v>11878</v>
      </c>
      <c r="BY546" t="s">
        <v>11879</v>
      </c>
      <c r="BZ546" t="s">
        <v>11878</v>
      </c>
      <c r="CA546" t="s">
        <v>11877</v>
      </c>
      <c r="CB546" t="s">
        <v>11878</v>
      </c>
      <c r="CC546" t="s">
        <v>11879</v>
      </c>
      <c r="CG546" t="s">
        <v>4937</v>
      </c>
      <c r="CH546" t="s">
        <v>11880</v>
      </c>
      <c r="CJ546" t="s">
        <v>8000</v>
      </c>
      <c r="CK546" t="s">
        <v>11880</v>
      </c>
      <c r="CL546" t="s">
        <v>448</v>
      </c>
      <c r="CM546" t="s">
        <v>449</v>
      </c>
      <c r="CN546" t="s">
        <v>8000</v>
      </c>
      <c r="CO546" t="s">
        <v>1979</v>
      </c>
      <c r="CP546" t="s">
        <v>11880</v>
      </c>
      <c r="CQ546" t="s">
        <v>11880</v>
      </c>
    </row>
    <row r="547" spans="1:95">
      <c r="A547" t="s">
        <v>149</v>
      </c>
      <c r="B547" t="s">
        <v>23423</v>
      </c>
      <c r="C547" t="s">
        <v>19268</v>
      </c>
      <c r="F547" s="6">
        <v>2024</v>
      </c>
      <c r="G547" s="7">
        <v>45511</v>
      </c>
      <c r="H547" t="s">
        <v>848</v>
      </c>
      <c r="I547" t="s">
        <v>98</v>
      </c>
      <c r="J547" t="s">
        <v>23424</v>
      </c>
      <c r="K547" t="s">
        <v>23425</v>
      </c>
      <c r="L547" s="8">
        <v>350276</v>
      </c>
      <c r="M547" s="8">
        <v>413326</v>
      </c>
      <c r="N547" s="9">
        <v>0</v>
      </c>
      <c r="O547" s="9">
        <v>0</v>
      </c>
      <c r="P547" s="9" t="s">
        <v>23426</v>
      </c>
      <c r="Q547" s="9">
        <v>0</v>
      </c>
      <c r="R547" s="9">
        <v>0</v>
      </c>
      <c r="S547" s="9" t="s">
        <v>23426</v>
      </c>
      <c r="T547" s="9">
        <v>350276</v>
      </c>
      <c r="U547" s="9">
        <v>231</v>
      </c>
      <c r="V547" s="9">
        <v>1516</v>
      </c>
      <c r="W547" s="6">
        <v>0</v>
      </c>
      <c r="X547" t="s">
        <v>103</v>
      </c>
      <c r="Y547" t="s">
        <v>104</v>
      </c>
      <c r="Z547" s="7" t="s">
        <v>23426</v>
      </c>
      <c r="AA547" s="10">
        <v>45516</v>
      </c>
      <c r="AB547" s="9">
        <v>206663</v>
      </c>
      <c r="AC547" s="10">
        <v>45657</v>
      </c>
      <c r="AD547" s="9">
        <v>206663</v>
      </c>
      <c r="AE547" s="10">
        <v>36526</v>
      </c>
      <c r="AF547" s="9">
        <v>0</v>
      </c>
      <c r="AG547" s="10">
        <v>36526</v>
      </c>
      <c r="AH547" s="9">
        <v>0</v>
      </c>
      <c r="AI547" s="9">
        <v>0</v>
      </c>
      <c r="AJ547" s="10" t="s">
        <v>23426</v>
      </c>
      <c r="AK547" s="10" t="s">
        <v>23426</v>
      </c>
      <c r="AL547" s="9">
        <v>413326</v>
      </c>
      <c r="AM547" s="9">
        <v>0</v>
      </c>
      <c r="AN547" s="9">
        <v>413326</v>
      </c>
      <c r="AO547" s="11">
        <v>0.75150000000000006</v>
      </c>
      <c r="AP547" s="11">
        <v>0.75150000000000006</v>
      </c>
      <c r="AQ547" s="11" t="s">
        <v>23426</v>
      </c>
      <c r="AR547" s="11" t="s">
        <v>23426</v>
      </c>
      <c r="AS547" s="11" t="s">
        <v>23426</v>
      </c>
      <c r="AT547" s="11" t="s">
        <v>23426</v>
      </c>
      <c r="AU547" t="s">
        <v>102</v>
      </c>
      <c r="AV547" t="s">
        <v>23426</v>
      </c>
      <c r="AW547" s="6">
        <v>0</v>
      </c>
      <c r="AX547" t="s">
        <v>119</v>
      </c>
      <c r="AY547" t="s">
        <v>23426</v>
      </c>
      <c r="AZ547" t="s">
        <v>23426</v>
      </c>
      <c r="BA547" t="s">
        <v>250</v>
      </c>
      <c r="BB547" t="s">
        <v>120</v>
      </c>
      <c r="BC547" t="s">
        <v>1552</v>
      </c>
      <c r="BD547" t="s">
        <v>410</v>
      </c>
      <c r="BE547" t="s">
        <v>212</v>
      </c>
      <c r="BF547" t="s">
        <v>410</v>
      </c>
      <c r="BG547" t="s">
        <v>124</v>
      </c>
      <c r="BH547" s="7">
        <v>45444</v>
      </c>
      <c r="BI547" s="7">
        <v>45808</v>
      </c>
      <c r="BJ547" t="s">
        <v>127</v>
      </c>
      <c r="BK547" s="9">
        <v>2.2028000023970652E+16</v>
      </c>
      <c r="BL547" t="s">
        <v>19275</v>
      </c>
      <c r="BM547" t="s">
        <v>23427</v>
      </c>
      <c r="BN547" s="7">
        <v>45511</v>
      </c>
      <c r="BO547" t="s">
        <v>866</v>
      </c>
      <c r="BP547" t="s">
        <v>132</v>
      </c>
      <c r="BQ547" t="s">
        <v>867</v>
      </c>
      <c r="BR547" t="s">
        <v>868</v>
      </c>
      <c r="BS547" t="s">
        <v>222</v>
      </c>
      <c r="BT547" t="s">
        <v>23426</v>
      </c>
      <c r="BU547" s="12">
        <v>45533.529664351852</v>
      </c>
      <c r="BV547" t="s">
        <v>1557</v>
      </c>
      <c r="BW547" t="s">
        <v>598</v>
      </c>
      <c r="BX547" t="s">
        <v>1558</v>
      </c>
      <c r="BY547" t="s">
        <v>1559</v>
      </c>
      <c r="BZ547" t="s">
        <v>1560</v>
      </c>
      <c r="CA547" t="s">
        <v>23426</v>
      </c>
      <c r="CB547" t="s">
        <v>23426</v>
      </c>
      <c r="CC547" t="s">
        <v>23426</v>
      </c>
      <c r="CD547" t="s">
        <v>23426</v>
      </c>
      <c r="CE547" t="s">
        <v>23426</v>
      </c>
      <c r="CF547" t="s">
        <v>23426</v>
      </c>
      <c r="CG547" s="9">
        <v>0</v>
      </c>
      <c r="CH547" t="s">
        <v>1564</v>
      </c>
      <c r="CI547" t="s">
        <v>23426</v>
      </c>
      <c r="CJ547" t="s">
        <v>1565</v>
      </c>
      <c r="CK547" t="s">
        <v>1564</v>
      </c>
      <c r="CL547" t="s">
        <v>1552</v>
      </c>
      <c r="CM547" t="s">
        <v>410</v>
      </c>
      <c r="CN547" t="s">
        <v>1565</v>
      </c>
      <c r="CO547" t="s">
        <v>1566</v>
      </c>
      <c r="CP547" t="s">
        <v>1564</v>
      </c>
      <c r="CQ547" t="s">
        <v>1564</v>
      </c>
    </row>
  </sheetData>
  <autoFilter ref="A1:CQ547"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A915-5B27-8644-90A5-895EC21FB1BA}">
  <dimension ref="A1:CR646"/>
  <sheetViews>
    <sheetView workbookViewId="0">
      <selection activeCell="A11" sqref="A11"/>
    </sheetView>
  </sheetViews>
  <sheetFormatPr baseColWidth="10" defaultRowHeight="16"/>
  <cols>
    <col min="1" max="1" width="10.83203125" style="50"/>
    <col min="2" max="2" width="13.6640625" style="50" bestFit="1" customWidth="1"/>
    <col min="3" max="3" width="10.83203125" style="50"/>
    <col min="4" max="4" width="65.83203125" style="50" bestFit="1" customWidth="1"/>
    <col min="5" max="5" width="26.5" style="50" customWidth="1"/>
    <col min="6" max="6" width="20" style="50" customWidth="1"/>
    <col min="7" max="9" width="12" style="50" bestFit="1" customWidth="1"/>
    <col min="10" max="10" width="6" style="51" customWidth="1"/>
    <col min="11" max="11" width="19.5" style="50" customWidth="1"/>
    <col min="12" max="13" width="14.83203125" style="50" bestFit="1" customWidth="1"/>
    <col min="14" max="14" width="13.33203125" style="50" bestFit="1" customWidth="1"/>
    <col min="15" max="15" width="12" style="50" bestFit="1" customWidth="1"/>
    <col min="16" max="16" width="10.83203125" style="50"/>
    <col min="17" max="17" width="13.5" style="50" bestFit="1" customWidth="1"/>
    <col min="18" max="18" width="12" style="50" bestFit="1" customWidth="1"/>
    <col min="19" max="19" width="10.83203125" style="50"/>
    <col min="20" max="20" width="13.5" style="50" bestFit="1" customWidth="1"/>
    <col min="21" max="21" width="12" style="50" bestFit="1" customWidth="1"/>
    <col min="22" max="93" width="10.83203125" style="50"/>
    <col min="94" max="94" width="38" style="50" hidden="1" customWidth="1"/>
    <col min="95" max="95" width="0" style="50" hidden="1" customWidth="1"/>
    <col min="96" max="96" width="42.83203125" style="50" customWidth="1"/>
    <col min="97" max="16384" width="10.83203125" style="50"/>
  </cols>
  <sheetData>
    <row r="1" spans="1:96">
      <c r="A1" s="48" t="s">
        <v>0</v>
      </c>
      <c r="B1" s="48" t="s">
        <v>1</v>
      </c>
      <c r="C1" s="48" t="s">
        <v>11881</v>
      </c>
      <c r="D1" s="48" t="s">
        <v>2</v>
      </c>
      <c r="E1" s="48" t="s">
        <v>24032</v>
      </c>
      <c r="F1" s="48" t="s">
        <v>24033</v>
      </c>
      <c r="G1" s="48" t="s">
        <v>24034</v>
      </c>
      <c r="H1" s="48" t="s">
        <v>24035</v>
      </c>
      <c r="I1" s="48" t="s">
        <v>24036</v>
      </c>
      <c r="J1" s="49"/>
      <c r="K1" s="48" t="s">
        <v>24031</v>
      </c>
      <c r="L1" s="48" t="s">
        <v>9</v>
      </c>
      <c r="M1" s="48" t="s">
        <v>10</v>
      </c>
      <c r="N1" s="48" t="s">
        <v>11</v>
      </c>
      <c r="O1" s="48" t="s">
        <v>12</v>
      </c>
      <c r="P1" s="48" t="s">
        <v>13</v>
      </c>
      <c r="Q1" s="48" t="s">
        <v>14</v>
      </c>
      <c r="R1" s="48" t="s">
        <v>15</v>
      </c>
      <c r="S1" s="48" t="s">
        <v>16</v>
      </c>
      <c r="T1" s="48" t="s">
        <v>17</v>
      </c>
      <c r="U1" s="48" t="s">
        <v>18</v>
      </c>
      <c r="V1" s="48" t="s">
        <v>19</v>
      </c>
      <c r="W1" s="48" t="s">
        <v>20</v>
      </c>
      <c r="X1" s="48" t="s">
        <v>21</v>
      </c>
      <c r="Y1" s="48" t="s">
        <v>22</v>
      </c>
      <c r="Z1" s="48" t="s">
        <v>23</v>
      </c>
      <c r="AA1" s="48" t="s">
        <v>24</v>
      </c>
      <c r="AB1" s="48" t="s">
        <v>25</v>
      </c>
      <c r="AC1" s="48" t="s">
        <v>26</v>
      </c>
      <c r="AD1" s="48" t="s">
        <v>27</v>
      </c>
      <c r="AE1" s="48" t="s">
        <v>28</v>
      </c>
      <c r="AF1" s="48" t="s">
        <v>29</v>
      </c>
      <c r="AG1" s="48" t="s">
        <v>30</v>
      </c>
      <c r="AH1" s="48" t="s">
        <v>31</v>
      </c>
      <c r="AI1" s="48" t="s">
        <v>32</v>
      </c>
      <c r="AJ1" s="48" t="s">
        <v>33</v>
      </c>
      <c r="AK1" s="48" t="s">
        <v>34</v>
      </c>
      <c r="AL1" s="48" t="s">
        <v>35</v>
      </c>
      <c r="AM1" s="48" t="s">
        <v>36</v>
      </c>
      <c r="AN1" s="48" t="s">
        <v>37</v>
      </c>
      <c r="AO1" s="48" t="s">
        <v>38</v>
      </c>
      <c r="AP1" s="48" t="s">
        <v>39</v>
      </c>
      <c r="AQ1" s="48" t="s">
        <v>40</v>
      </c>
      <c r="AR1" s="48" t="s">
        <v>41</v>
      </c>
      <c r="AS1" s="48" t="s">
        <v>42</v>
      </c>
      <c r="AT1" s="48" t="s">
        <v>43</v>
      </c>
      <c r="AU1" s="48" t="s">
        <v>44</v>
      </c>
      <c r="AV1" s="48" t="s">
        <v>45</v>
      </c>
      <c r="AW1" s="48" t="s">
        <v>46</v>
      </c>
      <c r="AX1" s="48" t="s">
        <v>47</v>
      </c>
      <c r="AY1" s="48" t="s">
        <v>48</v>
      </c>
      <c r="AZ1" s="48" t="s">
        <v>49</v>
      </c>
      <c r="BA1" s="48" t="s">
        <v>50</v>
      </c>
      <c r="BB1" s="48" t="s">
        <v>51</v>
      </c>
      <c r="BC1" s="48" t="s">
        <v>52</v>
      </c>
      <c r="BD1" s="48" t="s">
        <v>53</v>
      </c>
      <c r="BE1" s="48" t="s">
        <v>54</v>
      </c>
      <c r="BF1" s="48" t="s">
        <v>55</v>
      </c>
      <c r="BG1" s="48" t="s">
        <v>56</v>
      </c>
      <c r="BH1" s="48" t="s">
        <v>57</v>
      </c>
      <c r="BI1" s="48" t="s">
        <v>58</v>
      </c>
      <c r="BJ1" s="48" t="s">
        <v>59</v>
      </c>
      <c r="BK1" s="48" t="s">
        <v>60</v>
      </c>
      <c r="BL1" s="48" t="s">
        <v>61</v>
      </c>
      <c r="BM1" s="48" t="s">
        <v>62</v>
      </c>
      <c r="BN1" s="48" t="s">
        <v>63</v>
      </c>
      <c r="BO1" s="48" t="s">
        <v>64</v>
      </c>
      <c r="BP1" s="48" t="s">
        <v>65</v>
      </c>
      <c r="BQ1" s="48" t="s">
        <v>66</v>
      </c>
      <c r="BR1" s="48" t="s">
        <v>67</v>
      </c>
      <c r="BS1" s="48" t="s">
        <v>68</v>
      </c>
      <c r="BT1" s="48" t="s">
        <v>69</v>
      </c>
      <c r="BU1" s="48" t="s">
        <v>70</v>
      </c>
      <c r="BV1" s="48" t="s">
        <v>71</v>
      </c>
      <c r="BW1" s="48" t="s">
        <v>72</v>
      </c>
      <c r="BX1" s="48" t="s">
        <v>73</v>
      </c>
      <c r="BY1" s="48" t="s">
        <v>74</v>
      </c>
      <c r="BZ1" s="48" t="s">
        <v>75</v>
      </c>
      <c r="CA1" s="48" t="s">
        <v>76</v>
      </c>
      <c r="CB1" s="48" t="s">
        <v>77</v>
      </c>
      <c r="CC1" s="48" t="s">
        <v>78</v>
      </c>
      <c r="CD1" s="48" t="s">
        <v>79</v>
      </c>
      <c r="CE1" s="48" t="s">
        <v>80</v>
      </c>
      <c r="CF1" s="48" t="s">
        <v>81</v>
      </c>
      <c r="CG1" s="48" t="s">
        <v>82</v>
      </c>
      <c r="CH1" s="48" t="s">
        <v>83</v>
      </c>
      <c r="CI1" s="48" t="s">
        <v>84</v>
      </c>
      <c r="CJ1" s="48" t="s">
        <v>85</v>
      </c>
      <c r="CK1" s="48" t="s">
        <v>86</v>
      </c>
      <c r="CL1" s="48" t="s">
        <v>87</v>
      </c>
      <c r="CM1" s="48" t="s">
        <v>88</v>
      </c>
      <c r="CN1" s="48" t="s">
        <v>89</v>
      </c>
      <c r="CO1" s="48" t="s">
        <v>90</v>
      </c>
      <c r="CP1" s="48" t="s">
        <v>91</v>
      </c>
      <c r="CQ1" s="48" t="s">
        <v>92</v>
      </c>
      <c r="CR1" s="50" t="s">
        <v>26041</v>
      </c>
    </row>
    <row r="2" spans="1:96">
      <c r="A2" s="50" t="s">
        <v>337</v>
      </c>
      <c r="B2" s="50">
        <v>3515636</v>
      </c>
      <c r="C2" s="50" t="s">
        <v>12507</v>
      </c>
      <c r="D2" s="50" t="s">
        <v>16352</v>
      </c>
      <c r="E2" s="50" t="e">
        <f>VLOOKUP(B2,aa!B:F,5,0)</f>
        <v>#N/A</v>
      </c>
      <c r="F2" s="50" t="e">
        <f>VLOOKUP(B2,aa!B:J,9,0)</f>
        <v>#N/A</v>
      </c>
      <c r="G2" s="50" t="e">
        <f>VLOOKUP(B2,aa!B:L,11,0)</f>
        <v>#N/A</v>
      </c>
      <c r="H2" s="50" t="e">
        <f>VLOOKUP(B2,aa!B:O,14,0)</f>
        <v>#N/A</v>
      </c>
      <c r="I2" s="50" t="e">
        <f>VLOOKUP(B2,aa!B:R,17,0)</f>
        <v>#N/A</v>
      </c>
      <c r="K2" s="50" t="s">
        <v>152</v>
      </c>
      <c r="L2" s="50">
        <v>582192</v>
      </c>
      <c r="M2" s="50">
        <v>582192</v>
      </c>
      <c r="N2" s="50">
        <v>0</v>
      </c>
      <c r="O2" s="50">
        <v>0</v>
      </c>
      <c r="Q2" s="50">
        <v>582192</v>
      </c>
      <c r="R2" s="50">
        <v>311</v>
      </c>
      <c r="S2" s="50" t="s">
        <v>16353</v>
      </c>
      <c r="T2" s="50">
        <v>0</v>
      </c>
      <c r="U2" s="50">
        <v>0</v>
      </c>
      <c r="W2" s="50" t="s">
        <v>102</v>
      </c>
      <c r="X2" s="50" t="s">
        <v>103</v>
      </c>
      <c r="Y2" s="50" t="s">
        <v>398</v>
      </c>
      <c r="AA2" s="50" t="s">
        <v>12926</v>
      </c>
      <c r="AB2" s="50" t="s">
        <v>16354</v>
      </c>
      <c r="AC2" s="50" t="s">
        <v>11929</v>
      </c>
      <c r="AD2" s="50" t="s">
        <v>16355</v>
      </c>
      <c r="AE2" s="50" t="s">
        <v>11930</v>
      </c>
      <c r="AF2" s="50" t="s">
        <v>16355</v>
      </c>
      <c r="AG2" s="50" t="s">
        <v>109</v>
      </c>
      <c r="AH2" s="50" t="s">
        <v>102</v>
      </c>
      <c r="AI2" s="50" t="s">
        <v>102</v>
      </c>
      <c r="AL2" s="50" t="s">
        <v>16356</v>
      </c>
      <c r="AM2" s="50" t="s">
        <v>102</v>
      </c>
      <c r="AN2" s="50" t="s">
        <v>16356</v>
      </c>
      <c r="AO2" s="50" t="s">
        <v>16357</v>
      </c>
      <c r="AP2" s="50" t="s">
        <v>16357</v>
      </c>
      <c r="AU2" s="50" t="s">
        <v>102</v>
      </c>
      <c r="AW2" s="50" t="s">
        <v>155</v>
      </c>
      <c r="AX2" s="50" t="s">
        <v>119</v>
      </c>
      <c r="AY2" s="50" t="s">
        <v>170</v>
      </c>
      <c r="AZ2" s="50" t="s">
        <v>118</v>
      </c>
      <c r="BB2" s="50" t="s">
        <v>120</v>
      </c>
      <c r="BC2" s="50" t="s">
        <v>16358</v>
      </c>
      <c r="BD2" s="50" t="s">
        <v>2543</v>
      </c>
      <c r="BE2" s="50" t="s">
        <v>122</v>
      </c>
      <c r="BF2" s="50" t="s">
        <v>557</v>
      </c>
      <c r="BG2" s="50" t="s">
        <v>124</v>
      </c>
      <c r="BH2" s="50" t="s">
        <v>12023</v>
      </c>
      <c r="BI2" s="50" t="s">
        <v>11889</v>
      </c>
      <c r="BJ2" s="50" t="s">
        <v>127</v>
      </c>
      <c r="BK2" s="50" t="s">
        <v>16359</v>
      </c>
      <c r="BL2" s="50" t="s">
        <v>16360</v>
      </c>
      <c r="BM2" s="50" t="s">
        <v>16361</v>
      </c>
      <c r="BN2" s="50" t="s">
        <v>4211</v>
      </c>
      <c r="BO2" s="50" t="s">
        <v>1071</v>
      </c>
      <c r="BP2" s="50" t="s">
        <v>350</v>
      </c>
      <c r="BQ2" s="50" t="s">
        <v>1072</v>
      </c>
      <c r="BR2" s="50" t="s">
        <v>1073</v>
      </c>
      <c r="BS2" s="50" t="s">
        <v>1074</v>
      </c>
      <c r="BT2" s="50" t="s">
        <v>1075</v>
      </c>
      <c r="BU2" s="50" t="s">
        <v>16362</v>
      </c>
      <c r="BV2" s="50" t="s">
        <v>16363</v>
      </c>
      <c r="BW2" s="50" t="s">
        <v>598</v>
      </c>
      <c r="BX2" s="50" t="s">
        <v>16364</v>
      </c>
      <c r="BY2" s="50" t="s">
        <v>16365</v>
      </c>
      <c r="BZ2" s="50" t="s">
        <v>16366</v>
      </c>
      <c r="CG2" s="50" t="s">
        <v>4829</v>
      </c>
      <c r="CH2" s="50" t="s">
        <v>16367</v>
      </c>
      <c r="CJ2" s="50" t="s">
        <v>16368</v>
      </c>
      <c r="CK2" s="50" t="s">
        <v>16367</v>
      </c>
      <c r="CL2" s="50" t="s">
        <v>16358</v>
      </c>
      <c r="CM2" s="50" t="s">
        <v>2543</v>
      </c>
      <c r="CN2" s="50" t="s">
        <v>16368</v>
      </c>
      <c r="CP2" s="50" t="s">
        <v>16367</v>
      </c>
      <c r="CQ2" s="50" t="s">
        <v>16367</v>
      </c>
    </row>
    <row r="3" spans="1:96">
      <c r="A3" s="50" t="s">
        <v>337</v>
      </c>
      <c r="B3" s="50">
        <v>5018241</v>
      </c>
      <c r="C3" s="50" t="s">
        <v>12096</v>
      </c>
      <c r="D3" s="50" t="s">
        <v>19572</v>
      </c>
      <c r="E3" s="50" t="str">
        <f>VLOOKUP(B3,aa!B:F,5,0)</f>
        <v>Ei Mindspark</v>
      </c>
      <c r="F3" s="50">
        <f>VLOOKUP(B3,aa!B:J,9,0)</f>
        <v>534389</v>
      </c>
      <c r="G3" s="50">
        <f>VLOOKUP(B3,aa!B:L,11,0)</f>
        <v>0</v>
      </c>
      <c r="H3" s="50">
        <f>VLOOKUP(B3,aa!B:O,14,0)</f>
        <v>0</v>
      </c>
      <c r="I3" s="50">
        <f>VLOOKUP(B3,aa!B:R,17,0)</f>
        <v>534389</v>
      </c>
      <c r="K3" s="50" t="s">
        <v>97</v>
      </c>
      <c r="L3" s="50">
        <v>399750</v>
      </c>
      <c r="M3" s="50">
        <v>399750</v>
      </c>
      <c r="N3" s="50">
        <v>399750</v>
      </c>
      <c r="O3" s="50">
        <v>533</v>
      </c>
      <c r="P3" s="50" t="s">
        <v>101</v>
      </c>
      <c r="Q3" s="50">
        <v>0</v>
      </c>
      <c r="R3" s="50">
        <v>0</v>
      </c>
      <c r="T3" s="50">
        <v>0</v>
      </c>
      <c r="U3" s="50">
        <v>0</v>
      </c>
      <c r="W3" s="50" t="s">
        <v>102</v>
      </c>
      <c r="X3" s="50" t="s">
        <v>103</v>
      </c>
      <c r="Y3" s="50" t="s">
        <v>398</v>
      </c>
      <c r="AA3" s="50" t="s">
        <v>1200</v>
      </c>
      <c r="AB3" s="50" t="s">
        <v>19573</v>
      </c>
      <c r="AC3" s="50" t="s">
        <v>16918</v>
      </c>
      <c r="AD3" s="50" t="s">
        <v>19574</v>
      </c>
      <c r="AE3" s="50" t="s">
        <v>11927</v>
      </c>
      <c r="AF3" s="50" t="s">
        <v>19574</v>
      </c>
      <c r="AG3" s="50" t="s">
        <v>109</v>
      </c>
      <c r="AH3" s="50" t="s">
        <v>102</v>
      </c>
      <c r="AI3" s="50" t="s">
        <v>102</v>
      </c>
      <c r="AJ3" s="50" t="s">
        <v>2911</v>
      </c>
      <c r="AK3" s="50" t="s">
        <v>2911</v>
      </c>
      <c r="AL3" s="50" t="s">
        <v>19575</v>
      </c>
      <c r="AM3" s="50" t="s">
        <v>1538</v>
      </c>
      <c r="AN3" s="50" t="s">
        <v>19576</v>
      </c>
      <c r="AO3" s="50" t="s">
        <v>116</v>
      </c>
      <c r="AP3" s="50" t="s">
        <v>116</v>
      </c>
      <c r="AU3" s="50" t="s">
        <v>117</v>
      </c>
      <c r="AV3" s="50" t="s">
        <v>118</v>
      </c>
      <c r="AW3" s="50" t="s">
        <v>102</v>
      </c>
      <c r="AX3" s="50" t="s">
        <v>119</v>
      </c>
      <c r="BB3" s="50" t="s">
        <v>120</v>
      </c>
      <c r="BC3" s="50" t="s">
        <v>19577</v>
      </c>
      <c r="BD3" s="50" t="s">
        <v>376</v>
      </c>
      <c r="BE3" s="50" t="s">
        <v>174</v>
      </c>
      <c r="BF3" s="50" t="s">
        <v>376</v>
      </c>
      <c r="BG3" s="50" t="s">
        <v>124</v>
      </c>
      <c r="BH3" s="50" t="s">
        <v>13496</v>
      </c>
      <c r="BI3" s="50" t="s">
        <v>11886</v>
      </c>
      <c r="BJ3" s="50" t="s">
        <v>127</v>
      </c>
      <c r="BK3" s="50" t="s">
        <v>19578</v>
      </c>
      <c r="BL3" s="50" t="s">
        <v>19579</v>
      </c>
      <c r="BM3" s="50" t="s">
        <v>19580</v>
      </c>
      <c r="BN3" s="50" t="s">
        <v>972</v>
      </c>
      <c r="BO3" s="50" t="s">
        <v>13780</v>
      </c>
      <c r="BP3" s="50" t="s">
        <v>258</v>
      </c>
      <c r="BQ3" s="50" t="s">
        <v>13781</v>
      </c>
      <c r="BR3" s="50" t="s">
        <v>13782</v>
      </c>
      <c r="BS3" s="50" t="s">
        <v>13783</v>
      </c>
      <c r="BU3" s="50" t="s">
        <v>19581</v>
      </c>
      <c r="BV3" s="50" t="s">
        <v>19582</v>
      </c>
      <c r="BW3" s="50" t="s">
        <v>354</v>
      </c>
      <c r="BX3" s="50" t="s">
        <v>19583</v>
      </c>
      <c r="BZ3" s="50" t="s">
        <v>19583</v>
      </c>
      <c r="CA3" s="50" t="s">
        <v>19584</v>
      </c>
      <c r="CB3" s="50" t="s">
        <v>19585</v>
      </c>
      <c r="CC3" s="50" t="s">
        <v>19586</v>
      </c>
      <c r="CD3" s="50" t="s">
        <v>19587</v>
      </c>
      <c r="CE3" s="50" t="s">
        <v>19585</v>
      </c>
      <c r="CF3" s="50" t="s">
        <v>19588</v>
      </c>
      <c r="CG3" s="50" t="s">
        <v>2555</v>
      </c>
      <c r="CH3" s="50" t="s">
        <v>19589</v>
      </c>
      <c r="CJ3" s="50" t="s">
        <v>19590</v>
      </c>
      <c r="CK3" s="50" t="s">
        <v>19589</v>
      </c>
      <c r="CL3" s="50" t="s">
        <v>19577</v>
      </c>
      <c r="CM3" s="50" t="s">
        <v>376</v>
      </c>
      <c r="CN3" s="50" t="s">
        <v>19590</v>
      </c>
      <c r="CP3" s="50" t="s">
        <v>19589</v>
      </c>
      <c r="CQ3" s="50" t="s">
        <v>19589</v>
      </c>
    </row>
    <row r="4" spans="1:96">
      <c r="A4" s="50" t="s">
        <v>337</v>
      </c>
      <c r="B4" s="50">
        <v>1035545</v>
      </c>
      <c r="C4" s="50" t="s">
        <v>12030</v>
      </c>
      <c r="D4" s="50" t="s">
        <v>338</v>
      </c>
      <c r="E4" s="50" t="e">
        <f>VLOOKUP(B4,aa!B:F,5,0)</f>
        <v>#N/A</v>
      </c>
      <c r="F4" s="50" t="e">
        <f>VLOOKUP(B4,aa!B:J,9,0)</f>
        <v>#N/A</v>
      </c>
      <c r="G4" s="50" t="e">
        <f>VLOOKUP(B4,aa!B:L,11,0)</f>
        <v>#N/A</v>
      </c>
      <c r="H4" s="50" t="e">
        <f>VLOOKUP(B4,aa!B:O,14,0)</f>
        <v>#N/A</v>
      </c>
      <c r="I4" s="50" t="e">
        <f>VLOOKUP(B4,aa!B:R,17,0)</f>
        <v>#N/A</v>
      </c>
      <c r="K4" s="50" t="s">
        <v>152</v>
      </c>
      <c r="L4" s="50">
        <v>1938522</v>
      </c>
      <c r="M4" s="50">
        <v>1938522</v>
      </c>
      <c r="N4" s="50">
        <v>0</v>
      </c>
      <c r="O4" s="50">
        <v>0</v>
      </c>
      <c r="Q4" s="50">
        <v>1938522</v>
      </c>
      <c r="R4" s="50">
        <v>1436</v>
      </c>
      <c r="S4" s="50" t="s">
        <v>397</v>
      </c>
      <c r="T4" s="50">
        <v>0</v>
      </c>
      <c r="U4" s="50">
        <v>0</v>
      </c>
      <c r="W4" s="50" t="s">
        <v>102</v>
      </c>
      <c r="X4" s="50" t="s">
        <v>275</v>
      </c>
      <c r="Z4" s="50" t="s">
        <v>126</v>
      </c>
      <c r="AA4" s="50" t="s">
        <v>109</v>
      </c>
      <c r="AB4" s="50" t="s">
        <v>102</v>
      </c>
      <c r="AC4" s="50" t="s">
        <v>109</v>
      </c>
      <c r="AD4" s="50" t="s">
        <v>102</v>
      </c>
      <c r="AE4" s="50" t="s">
        <v>109</v>
      </c>
      <c r="AF4" s="50" t="s">
        <v>102</v>
      </c>
      <c r="AG4" s="50" t="s">
        <v>109</v>
      </c>
      <c r="AH4" s="50" t="s">
        <v>102</v>
      </c>
      <c r="AI4" s="50" t="s">
        <v>102</v>
      </c>
      <c r="AJ4" s="50" t="s">
        <v>4045</v>
      </c>
      <c r="AK4" s="50" t="s">
        <v>4045</v>
      </c>
      <c r="AL4" s="50" t="s">
        <v>12031</v>
      </c>
      <c r="AM4" s="50" t="s">
        <v>12032</v>
      </c>
      <c r="AN4" s="50" t="s">
        <v>12033</v>
      </c>
      <c r="AO4" s="50" t="s">
        <v>12034</v>
      </c>
      <c r="AP4" s="50" t="s">
        <v>6593</v>
      </c>
      <c r="AQ4" s="50" t="s">
        <v>343</v>
      </c>
      <c r="AU4" s="50" t="s">
        <v>102</v>
      </c>
      <c r="AW4" s="50" t="s">
        <v>155</v>
      </c>
      <c r="AX4" s="50" t="s">
        <v>447</v>
      </c>
      <c r="AY4" s="50" t="s">
        <v>170</v>
      </c>
      <c r="AZ4" s="50" t="s">
        <v>118</v>
      </c>
      <c r="BB4" s="50" t="s">
        <v>120</v>
      </c>
      <c r="BC4" s="50" t="s">
        <v>344</v>
      </c>
      <c r="BD4" s="50" t="s">
        <v>345</v>
      </c>
      <c r="BE4" s="50" t="s">
        <v>122</v>
      </c>
      <c r="BF4" s="50" t="s">
        <v>346</v>
      </c>
      <c r="BG4" s="50" t="s">
        <v>124</v>
      </c>
      <c r="BH4" s="50" t="s">
        <v>12023</v>
      </c>
      <c r="BI4" s="50" t="s">
        <v>11889</v>
      </c>
      <c r="BJ4" s="50" t="s">
        <v>127</v>
      </c>
      <c r="BK4" s="50" t="s">
        <v>12035</v>
      </c>
      <c r="BL4" s="50" t="s">
        <v>348</v>
      </c>
      <c r="BM4" s="50" t="s">
        <v>12036</v>
      </c>
      <c r="BN4" s="50" t="s">
        <v>339</v>
      </c>
      <c r="BO4" s="50" t="s">
        <v>349</v>
      </c>
      <c r="BP4" s="50" t="s">
        <v>350</v>
      </c>
      <c r="BQ4" s="50" t="s">
        <v>351</v>
      </c>
      <c r="BR4" s="50" t="s">
        <v>352</v>
      </c>
      <c r="BS4" s="50" t="s">
        <v>328</v>
      </c>
      <c r="BU4" s="50" t="s">
        <v>12037</v>
      </c>
      <c r="BV4" s="50" t="s">
        <v>353</v>
      </c>
      <c r="BW4" s="50" t="s">
        <v>354</v>
      </c>
      <c r="BX4" s="50" t="s">
        <v>355</v>
      </c>
      <c r="BY4" s="50" t="s">
        <v>356</v>
      </c>
      <c r="BZ4" s="50" t="s">
        <v>357</v>
      </c>
      <c r="CG4" s="50" t="s">
        <v>358</v>
      </c>
      <c r="CH4" s="50" t="s">
        <v>359</v>
      </c>
      <c r="CJ4" s="50" t="s">
        <v>360</v>
      </c>
      <c r="CK4" s="50" t="s">
        <v>359</v>
      </c>
      <c r="CL4" s="50" t="s">
        <v>344</v>
      </c>
      <c r="CM4" s="50" t="s">
        <v>345</v>
      </c>
      <c r="CN4" s="50" t="s">
        <v>360</v>
      </c>
      <c r="CP4" s="50" t="s">
        <v>359</v>
      </c>
      <c r="CQ4" s="50" t="s">
        <v>359</v>
      </c>
    </row>
    <row r="5" spans="1:96">
      <c r="A5" s="50" t="s">
        <v>337</v>
      </c>
      <c r="B5" s="50">
        <v>1035646</v>
      </c>
      <c r="C5" s="50" t="s">
        <v>1279</v>
      </c>
      <c r="D5" s="50" t="s">
        <v>12038</v>
      </c>
      <c r="E5" s="50" t="str">
        <f>VLOOKUP(B5,aa!B:F,5,0)</f>
        <v>Ei CARES</v>
      </c>
      <c r="F5" s="50">
        <f>VLOOKUP(B5,aa!B:J,9,0)</f>
        <v>927112</v>
      </c>
      <c r="G5" s="50">
        <f>VLOOKUP(B5,aa!B:L,11,0)</f>
        <v>0</v>
      </c>
      <c r="H5" s="50">
        <f>VLOOKUP(B5,aa!B:O,14,0)</f>
        <v>927112</v>
      </c>
      <c r="I5" s="50">
        <f>VLOOKUP(B5,aa!B:R,17,0)</f>
        <v>0</v>
      </c>
      <c r="K5" s="50" t="s">
        <v>152</v>
      </c>
      <c r="L5" s="50">
        <v>961962</v>
      </c>
      <c r="M5" s="50">
        <v>961962</v>
      </c>
      <c r="N5" s="50">
        <v>0</v>
      </c>
      <c r="O5" s="50">
        <v>0</v>
      </c>
      <c r="Q5" s="50">
        <v>961962</v>
      </c>
      <c r="R5" s="50">
        <v>481</v>
      </c>
      <c r="S5" s="50" t="s">
        <v>7192</v>
      </c>
      <c r="T5" s="50">
        <v>0</v>
      </c>
      <c r="U5" s="50">
        <v>0</v>
      </c>
      <c r="W5" s="50" t="s">
        <v>102</v>
      </c>
      <c r="X5" s="50" t="s">
        <v>103</v>
      </c>
      <c r="Y5" s="50" t="s">
        <v>155</v>
      </c>
      <c r="AA5" s="50" t="s">
        <v>10771</v>
      </c>
      <c r="AB5" s="50" t="s">
        <v>12039</v>
      </c>
      <c r="AC5" s="50" t="s">
        <v>1331</v>
      </c>
      <c r="AD5" s="50" t="s">
        <v>12039</v>
      </c>
      <c r="AE5" s="50" t="s">
        <v>12040</v>
      </c>
      <c r="AF5" s="50" t="s">
        <v>12039</v>
      </c>
      <c r="AG5" s="50" t="s">
        <v>12041</v>
      </c>
      <c r="AH5" s="50" t="s">
        <v>12039</v>
      </c>
      <c r="AI5" s="50" t="s">
        <v>12042</v>
      </c>
      <c r="AJ5" s="50" t="s">
        <v>313</v>
      </c>
      <c r="AK5" s="50" t="s">
        <v>12043</v>
      </c>
      <c r="AL5" s="50" t="s">
        <v>12044</v>
      </c>
      <c r="AM5" s="50" t="s">
        <v>12045</v>
      </c>
      <c r="AN5" s="50" t="s">
        <v>12046</v>
      </c>
      <c r="AO5" s="50" t="s">
        <v>2922</v>
      </c>
      <c r="AP5" s="50" t="s">
        <v>2922</v>
      </c>
      <c r="AU5" s="50" t="s">
        <v>102</v>
      </c>
      <c r="AW5" s="50" t="s">
        <v>155</v>
      </c>
      <c r="AX5" s="50" t="s">
        <v>119</v>
      </c>
      <c r="AY5" s="50" t="s">
        <v>170</v>
      </c>
      <c r="AZ5" s="50" t="s">
        <v>118</v>
      </c>
      <c r="BB5" s="50" t="s">
        <v>171</v>
      </c>
      <c r="BC5" s="50" t="s">
        <v>623</v>
      </c>
      <c r="BD5" s="50" t="s">
        <v>621</v>
      </c>
      <c r="BE5" s="50" t="s">
        <v>622</v>
      </c>
      <c r="BF5" s="50" t="s">
        <v>623</v>
      </c>
      <c r="BG5" s="50" t="s">
        <v>124</v>
      </c>
      <c r="BH5" s="50" t="s">
        <v>11959</v>
      </c>
      <c r="BI5" s="50" t="s">
        <v>12047</v>
      </c>
      <c r="BJ5" s="50" t="s">
        <v>127</v>
      </c>
      <c r="BK5" s="50" t="s">
        <v>12048</v>
      </c>
      <c r="BL5" s="50" t="s">
        <v>12049</v>
      </c>
      <c r="BM5" s="50" t="s">
        <v>12050</v>
      </c>
      <c r="BN5" s="50" t="s">
        <v>1603</v>
      </c>
      <c r="BO5" s="50" t="s">
        <v>1670</v>
      </c>
      <c r="BP5" s="50" t="s">
        <v>132</v>
      </c>
      <c r="BQ5" s="50" t="s">
        <v>1671</v>
      </c>
      <c r="BR5" s="50" t="s">
        <v>1672</v>
      </c>
      <c r="BS5" s="50" t="s">
        <v>8262</v>
      </c>
      <c r="BT5" s="50" t="s">
        <v>1279</v>
      </c>
      <c r="BU5" s="50" t="s">
        <v>12051</v>
      </c>
      <c r="BV5" s="50" t="s">
        <v>12052</v>
      </c>
      <c r="BW5" s="50" t="s">
        <v>354</v>
      </c>
      <c r="BX5" s="50" t="s">
        <v>12053</v>
      </c>
      <c r="BY5" s="50" t="s">
        <v>12054</v>
      </c>
      <c r="BZ5" s="50" t="s">
        <v>12055</v>
      </c>
      <c r="CG5" s="50" t="s">
        <v>3223</v>
      </c>
      <c r="CH5" s="50" t="s">
        <v>12056</v>
      </c>
      <c r="CJ5" s="50" t="s">
        <v>11862</v>
      </c>
      <c r="CK5" s="50" t="s">
        <v>12056</v>
      </c>
      <c r="CL5" s="50" t="s">
        <v>623</v>
      </c>
      <c r="CM5" s="50" t="s">
        <v>621</v>
      </c>
      <c r="CN5" s="50" t="s">
        <v>11862</v>
      </c>
      <c r="CO5" s="50" t="s">
        <v>12057</v>
      </c>
      <c r="CP5" s="50" t="s">
        <v>12056</v>
      </c>
      <c r="CQ5" s="50" t="s">
        <v>12056</v>
      </c>
    </row>
    <row r="6" spans="1:96">
      <c r="A6" s="50" t="s">
        <v>337</v>
      </c>
      <c r="B6" s="50">
        <v>3777013</v>
      </c>
      <c r="C6" s="50" t="s">
        <v>12121</v>
      </c>
      <c r="D6" s="50" t="s">
        <v>7417</v>
      </c>
      <c r="E6" s="50" t="e">
        <f>VLOOKUP(B6,aa!B:F,5,0)</f>
        <v>#N/A</v>
      </c>
      <c r="F6" s="50" t="e">
        <f>VLOOKUP(B6,aa!B:J,9,0)</f>
        <v>#N/A</v>
      </c>
      <c r="G6" s="50" t="e">
        <f>VLOOKUP(B6,aa!B:L,11,0)</f>
        <v>#N/A</v>
      </c>
      <c r="H6" s="50" t="e">
        <f>VLOOKUP(B6,aa!B:O,14,0)</f>
        <v>#N/A</v>
      </c>
      <c r="I6" s="50" t="e">
        <f>VLOOKUP(B6,aa!B:R,17,0)</f>
        <v>#N/A</v>
      </c>
      <c r="K6" s="50" t="s">
        <v>152</v>
      </c>
      <c r="L6" s="50">
        <v>502071</v>
      </c>
      <c r="M6" s="50">
        <v>502071</v>
      </c>
      <c r="N6" s="50">
        <v>0</v>
      </c>
      <c r="O6" s="50">
        <v>0</v>
      </c>
      <c r="Q6" s="50">
        <v>502071</v>
      </c>
      <c r="R6" s="50">
        <v>268</v>
      </c>
      <c r="S6" s="50" t="s">
        <v>1158</v>
      </c>
      <c r="T6" s="50">
        <v>0</v>
      </c>
      <c r="U6" s="50">
        <v>0</v>
      </c>
      <c r="W6" s="50" t="s">
        <v>102</v>
      </c>
      <c r="X6" s="50" t="s">
        <v>103</v>
      </c>
      <c r="Y6" s="50" t="s">
        <v>398</v>
      </c>
      <c r="AA6" s="50" t="s">
        <v>442</v>
      </c>
      <c r="AB6" s="50" t="s">
        <v>16932</v>
      </c>
      <c r="AC6" s="50" t="s">
        <v>13340</v>
      </c>
      <c r="AD6" s="50" t="s">
        <v>16933</v>
      </c>
      <c r="AE6" s="50" t="s">
        <v>6895</v>
      </c>
      <c r="AF6" s="50" t="s">
        <v>16933</v>
      </c>
      <c r="AG6" s="50" t="s">
        <v>109</v>
      </c>
      <c r="AH6" s="50" t="s">
        <v>102</v>
      </c>
      <c r="AI6" s="50" t="s">
        <v>16934</v>
      </c>
      <c r="AJ6" s="50" t="s">
        <v>3280</v>
      </c>
      <c r="AK6" s="50" t="s">
        <v>13867</v>
      </c>
      <c r="AL6" s="50" t="s">
        <v>16935</v>
      </c>
      <c r="AM6" s="50" t="s">
        <v>16936</v>
      </c>
      <c r="AN6" s="50" t="s">
        <v>16937</v>
      </c>
      <c r="AO6" s="50" t="s">
        <v>16938</v>
      </c>
      <c r="AP6" s="50" t="s">
        <v>16938</v>
      </c>
      <c r="AU6" s="50" t="s">
        <v>102</v>
      </c>
      <c r="AW6" s="50" t="s">
        <v>1758</v>
      </c>
      <c r="AX6" s="50" t="s">
        <v>119</v>
      </c>
      <c r="AY6" s="50" t="s">
        <v>170</v>
      </c>
      <c r="AZ6" s="50" t="s">
        <v>118</v>
      </c>
      <c r="BB6" s="50" t="s">
        <v>120</v>
      </c>
      <c r="BC6" s="50" t="s">
        <v>7420</v>
      </c>
      <c r="BD6" s="50" t="s">
        <v>556</v>
      </c>
      <c r="BE6" s="50" t="s">
        <v>122</v>
      </c>
      <c r="BF6" s="50" t="s">
        <v>557</v>
      </c>
      <c r="BG6" s="50" t="s">
        <v>124</v>
      </c>
      <c r="BH6" s="50" t="s">
        <v>12023</v>
      </c>
      <c r="BI6" s="50" t="s">
        <v>11889</v>
      </c>
      <c r="BJ6" s="50" t="s">
        <v>127</v>
      </c>
      <c r="BK6" s="50" t="s">
        <v>16939</v>
      </c>
      <c r="BL6" s="50" t="s">
        <v>7421</v>
      </c>
      <c r="BM6" s="50" t="s">
        <v>16940</v>
      </c>
      <c r="BN6" s="50" t="s">
        <v>648</v>
      </c>
      <c r="BO6" s="50" t="s">
        <v>563</v>
      </c>
      <c r="BP6" s="50" t="s">
        <v>350</v>
      </c>
      <c r="BQ6" s="50" t="s">
        <v>564</v>
      </c>
      <c r="BR6" s="50" t="s">
        <v>565</v>
      </c>
      <c r="BS6" s="50" t="s">
        <v>563</v>
      </c>
      <c r="BT6" s="50" t="s">
        <v>566</v>
      </c>
      <c r="BU6" s="50" t="s">
        <v>16941</v>
      </c>
      <c r="BV6" s="50" t="s">
        <v>7422</v>
      </c>
      <c r="BW6" s="50" t="s">
        <v>354</v>
      </c>
      <c r="BX6" s="50" t="s">
        <v>7423</v>
      </c>
      <c r="BY6" s="50" t="s">
        <v>16942</v>
      </c>
      <c r="BZ6" s="50" t="s">
        <v>7424</v>
      </c>
      <c r="CA6" s="50" t="s">
        <v>7425</v>
      </c>
      <c r="CB6" s="50" t="s">
        <v>7424</v>
      </c>
      <c r="CC6" s="50" t="s">
        <v>16943</v>
      </c>
      <c r="CD6" s="50" t="s">
        <v>7425</v>
      </c>
      <c r="CE6" s="50" t="s">
        <v>7424</v>
      </c>
      <c r="CF6" s="50" t="s">
        <v>16943</v>
      </c>
      <c r="CG6" s="50" t="s">
        <v>6457</v>
      </c>
      <c r="CH6" s="50" t="s">
        <v>7426</v>
      </c>
      <c r="CJ6" s="50" t="s">
        <v>7427</v>
      </c>
      <c r="CK6" s="50" t="s">
        <v>7426</v>
      </c>
      <c r="CL6" s="50" t="s">
        <v>7420</v>
      </c>
      <c r="CM6" s="50" t="s">
        <v>556</v>
      </c>
      <c r="CN6" s="50" t="s">
        <v>7427</v>
      </c>
      <c r="CO6" s="50" t="s">
        <v>7428</v>
      </c>
      <c r="CP6" s="50" t="s">
        <v>7426</v>
      </c>
      <c r="CQ6" s="50" t="s">
        <v>7426</v>
      </c>
    </row>
    <row r="7" spans="1:96">
      <c r="A7" s="50" t="s">
        <v>337</v>
      </c>
      <c r="B7" s="50">
        <v>5017813</v>
      </c>
      <c r="C7" s="50" t="s">
        <v>11947</v>
      </c>
      <c r="D7" s="50" t="s">
        <v>19185</v>
      </c>
      <c r="E7" s="50" t="e">
        <f>VLOOKUP(B7,aa!B:F,5,0)</f>
        <v>#N/A</v>
      </c>
      <c r="F7" s="50" t="e">
        <f>VLOOKUP(B7,aa!B:J,9,0)</f>
        <v>#N/A</v>
      </c>
      <c r="G7" s="50" t="e">
        <f>VLOOKUP(B7,aa!B:L,11,0)</f>
        <v>#N/A</v>
      </c>
      <c r="H7" s="50" t="e">
        <f>VLOOKUP(B7,aa!B:O,14,0)</f>
        <v>#N/A</v>
      </c>
      <c r="I7" s="50" t="e">
        <f>VLOOKUP(B7,aa!B:R,17,0)</f>
        <v>#N/A</v>
      </c>
      <c r="K7" s="50" t="s">
        <v>2044</v>
      </c>
      <c r="L7" s="50">
        <v>732042</v>
      </c>
      <c r="M7" s="50">
        <v>732042</v>
      </c>
      <c r="N7" s="50">
        <v>267820</v>
      </c>
      <c r="O7" s="50">
        <v>305</v>
      </c>
      <c r="P7" s="50" t="s">
        <v>19186</v>
      </c>
      <c r="Q7" s="50">
        <v>464222</v>
      </c>
      <c r="R7" s="50">
        <v>305</v>
      </c>
      <c r="S7" s="50" t="s">
        <v>19187</v>
      </c>
      <c r="T7" s="50">
        <v>0</v>
      </c>
      <c r="U7" s="50">
        <v>0</v>
      </c>
      <c r="W7" s="50" t="s">
        <v>102</v>
      </c>
      <c r="X7" s="50" t="s">
        <v>103</v>
      </c>
      <c r="Y7" s="50" t="s">
        <v>155</v>
      </c>
      <c r="AA7" s="50" t="s">
        <v>2080</v>
      </c>
      <c r="AB7" s="50" t="s">
        <v>19188</v>
      </c>
      <c r="AC7" s="50" t="s">
        <v>11948</v>
      </c>
      <c r="AD7" s="50" t="s">
        <v>19189</v>
      </c>
      <c r="AE7" s="50" t="s">
        <v>15295</v>
      </c>
      <c r="AF7" s="50" t="s">
        <v>19190</v>
      </c>
      <c r="AG7" s="50" t="s">
        <v>11886</v>
      </c>
      <c r="AH7" s="50" t="s">
        <v>19190</v>
      </c>
      <c r="AI7" s="50" t="s">
        <v>102</v>
      </c>
      <c r="AJ7" s="50" t="s">
        <v>14689</v>
      </c>
      <c r="AK7" s="50" t="s">
        <v>16553</v>
      </c>
      <c r="AL7" s="50" t="s">
        <v>19191</v>
      </c>
      <c r="AM7" s="50" t="s">
        <v>19192</v>
      </c>
      <c r="AN7" s="50" t="s">
        <v>19193</v>
      </c>
      <c r="AO7" s="50" t="s">
        <v>19194</v>
      </c>
      <c r="AP7" s="50" t="s">
        <v>19195</v>
      </c>
      <c r="AS7" s="50" t="s">
        <v>169</v>
      </c>
      <c r="AU7" s="50" t="s">
        <v>318</v>
      </c>
      <c r="AV7" s="50" t="s">
        <v>250</v>
      </c>
      <c r="AW7" s="50" t="s">
        <v>155</v>
      </c>
      <c r="AX7" s="50" t="s">
        <v>447</v>
      </c>
      <c r="AY7" s="50" t="s">
        <v>1138</v>
      </c>
      <c r="AZ7" s="50" t="s">
        <v>118</v>
      </c>
      <c r="BB7" s="50" t="s">
        <v>120</v>
      </c>
      <c r="BC7" s="50" t="s">
        <v>920</v>
      </c>
      <c r="BD7" s="50" t="s">
        <v>211</v>
      </c>
      <c r="BE7" s="50" t="s">
        <v>212</v>
      </c>
      <c r="BF7" s="50" t="s">
        <v>213</v>
      </c>
      <c r="BG7" s="50" t="s">
        <v>124</v>
      </c>
      <c r="BH7" s="50" t="s">
        <v>12128</v>
      </c>
      <c r="BI7" s="50" t="s">
        <v>12435</v>
      </c>
      <c r="BJ7" s="50" t="s">
        <v>127</v>
      </c>
      <c r="BK7" s="50" t="s">
        <v>19196</v>
      </c>
      <c r="BL7" s="50" t="s">
        <v>19197</v>
      </c>
      <c r="BM7" s="50" t="s">
        <v>19198</v>
      </c>
      <c r="BN7" s="50" t="s">
        <v>2080</v>
      </c>
      <c r="BO7" s="50" t="s">
        <v>1309</v>
      </c>
      <c r="BP7" s="50" t="s">
        <v>180</v>
      </c>
      <c r="BQ7" s="50" t="s">
        <v>1310</v>
      </c>
      <c r="BR7" s="50" t="s">
        <v>1311</v>
      </c>
      <c r="BS7" s="50" t="s">
        <v>2463</v>
      </c>
      <c r="BU7" s="50" t="s">
        <v>19199</v>
      </c>
      <c r="BV7" s="50" t="s">
        <v>19200</v>
      </c>
      <c r="BW7" s="50" t="s">
        <v>598</v>
      </c>
      <c r="BX7" s="50" t="s">
        <v>19201</v>
      </c>
      <c r="BY7" s="50" t="s">
        <v>19202</v>
      </c>
      <c r="BZ7" s="50" t="s">
        <v>19203</v>
      </c>
      <c r="CA7" s="50" t="s">
        <v>19204</v>
      </c>
      <c r="CB7" s="50" t="s">
        <v>19205</v>
      </c>
      <c r="CC7" s="50" t="s">
        <v>19206</v>
      </c>
      <c r="CD7" s="50" t="s">
        <v>19204</v>
      </c>
      <c r="CE7" s="50" t="s">
        <v>19205</v>
      </c>
      <c r="CF7" s="50" t="s">
        <v>19206</v>
      </c>
      <c r="CG7" s="50" t="s">
        <v>18990</v>
      </c>
      <c r="CH7" s="50" t="s">
        <v>19207</v>
      </c>
      <c r="CJ7" s="50" t="s">
        <v>2473</v>
      </c>
      <c r="CK7" s="50" t="s">
        <v>19207</v>
      </c>
      <c r="CL7" s="50" t="s">
        <v>920</v>
      </c>
      <c r="CM7" s="50" t="s">
        <v>211</v>
      </c>
      <c r="CN7" s="50" t="s">
        <v>2473</v>
      </c>
      <c r="CO7" s="50" t="s">
        <v>102</v>
      </c>
      <c r="CP7" s="50" t="s">
        <v>19207</v>
      </c>
      <c r="CQ7" s="50" t="s">
        <v>19207</v>
      </c>
      <c r="CR7" s="50" t="s">
        <v>26040</v>
      </c>
    </row>
    <row r="8" spans="1:96">
      <c r="A8" s="50" t="s">
        <v>337</v>
      </c>
      <c r="B8" s="50">
        <v>5018349</v>
      </c>
      <c r="C8" s="50" t="s">
        <v>632</v>
      </c>
      <c r="D8" s="50" t="s">
        <v>19650</v>
      </c>
      <c r="E8" s="50" t="str">
        <f>VLOOKUP(B8,aa!B:F,5,0)</f>
        <v>Ei ASSET</v>
      </c>
      <c r="F8" s="50">
        <f>VLOOKUP(B8,aa!B:J,9,0)</f>
        <v>1203888</v>
      </c>
      <c r="G8" s="50">
        <f>VLOOKUP(B8,aa!B:L,11,0)</f>
        <v>1203888</v>
      </c>
      <c r="H8" s="50">
        <f>VLOOKUP(B8,aa!B:O,14,0)</f>
        <v>0</v>
      </c>
      <c r="I8" s="50">
        <f>VLOOKUP(B8,aa!B:R,17,0)</f>
        <v>0</v>
      </c>
      <c r="K8" s="50" t="s">
        <v>97</v>
      </c>
      <c r="L8" s="50">
        <v>1119888</v>
      </c>
      <c r="M8" s="50">
        <v>1119888</v>
      </c>
      <c r="N8" s="50">
        <v>1119888</v>
      </c>
      <c r="O8" s="50">
        <v>1400</v>
      </c>
      <c r="P8" s="50" t="s">
        <v>1297</v>
      </c>
      <c r="Q8" s="50">
        <v>0</v>
      </c>
      <c r="R8" s="50">
        <v>0</v>
      </c>
      <c r="T8" s="50">
        <v>0</v>
      </c>
      <c r="U8" s="50">
        <v>0</v>
      </c>
      <c r="W8" s="50" t="s">
        <v>102</v>
      </c>
      <c r="X8" s="50" t="s">
        <v>103</v>
      </c>
      <c r="Y8" s="50" t="s">
        <v>104</v>
      </c>
      <c r="AA8" s="50" t="s">
        <v>14689</v>
      </c>
      <c r="AB8" s="50" t="s">
        <v>19651</v>
      </c>
      <c r="AC8" s="50" t="s">
        <v>11976</v>
      </c>
      <c r="AD8" s="50" t="s">
        <v>19651</v>
      </c>
      <c r="AE8" s="50" t="s">
        <v>109</v>
      </c>
      <c r="AF8" s="50" t="s">
        <v>102</v>
      </c>
      <c r="AG8" s="50" t="s">
        <v>109</v>
      </c>
      <c r="AH8" s="50" t="s">
        <v>102</v>
      </c>
      <c r="AI8" s="50" t="s">
        <v>102</v>
      </c>
      <c r="AJ8" s="50" t="s">
        <v>499</v>
      </c>
      <c r="AK8" s="50" t="s">
        <v>12430</v>
      </c>
      <c r="AL8" s="50" t="s">
        <v>19652</v>
      </c>
      <c r="AM8" s="50" t="s">
        <v>19653</v>
      </c>
      <c r="AN8" s="50" t="s">
        <v>19654</v>
      </c>
      <c r="AO8" s="50" t="s">
        <v>13989</v>
      </c>
      <c r="AP8" s="50" t="s">
        <v>13989</v>
      </c>
      <c r="AU8" s="50" t="s">
        <v>318</v>
      </c>
      <c r="AV8" s="50" t="s">
        <v>250</v>
      </c>
      <c r="AW8" s="50" t="s">
        <v>102</v>
      </c>
      <c r="AX8" s="50" t="s">
        <v>119</v>
      </c>
      <c r="BB8" s="50" t="s">
        <v>1964</v>
      </c>
      <c r="BC8" s="50" t="s">
        <v>623</v>
      </c>
      <c r="BD8" s="50" t="s">
        <v>621</v>
      </c>
      <c r="BE8" s="50" t="s">
        <v>622</v>
      </c>
      <c r="BF8" s="50" t="s">
        <v>623</v>
      </c>
      <c r="BG8" s="50" t="s">
        <v>124</v>
      </c>
      <c r="BH8" s="50" t="s">
        <v>11959</v>
      </c>
      <c r="BI8" s="50" t="s">
        <v>11889</v>
      </c>
      <c r="BJ8" s="50" t="s">
        <v>127</v>
      </c>
      <c r="BK8" s="50" t="s">
        <v>19655</v>
      </c>
      <c r="BL8" s="50" t="s">
        <v>19656</v>
      </c>
      <c r="BM8" s="50" t="s">
        <v>19657</v>
      </c>
      <c r="BN8" s="50" t="s">
        <v>14689</v>
      </c>
      <c r="BO8" s="50" t="s">
        <v>1670</v>
      </c>
      <c r="BP8" s="50" t="s">
        <v>132</v>
      </c>
      <c r="BQ8" s="50" t="s">
        <v>1671</v>
      </c>
      <c r="BR8" s="50" t="s">
        <v>1672</v>
      </c>
      <c r="BS8" s="50" t="s">
        <v>507</v>
      </c>
      <c r="BU8" s="50" t="s">
        <v>19658</v>
      </c>
      <c r="BV8" s="50" t="s">
        <v>14694</v>
      </c>
      <c r="BW8" s="50" t="s">
        <v>569</v>
      </c>
      <c r="BX8" s="50" t="s">
        <v>14698</v>
      </c>
      <c r="BY8" s="50" t="s">
        <v>14695</v>
      </c>
      <c r="BZ8" s="50" t="s">
        <v>14698</v>
      </c>
      <c r="CA8" s="50" t="s">
        <v>19659</v>
      </c>
      <c r="CB8" s="50" t="s">
        <v>19660</v>
      </c>
      <c r="CC8" s="50" t="s">
        <v>19661</v>
      </c>
      <c r="CD8" s="50" t="s">
        <v>19662</v>
      </c>
      <c r="CE8" s="50" t="s">
        <v>14698</v>
      </c>
      <c r="CF8" s="50" t="s">
        <v>14695</v>
      </c>
      <c r="CG8" s="50" t="s">
        <v>19663</v>
      </c>
      <c r="CH8" s="50" t="s">
        <v>19664</v>
      </c>
      <c r="CJ8" s="50" t="s">
        <v>14703</v>
      </c>
      <c r="CK8" s="50" t="s">
        <v>19664</v>
      </c>
      <c r="CL8" s="50" t="s">
        <v>623</v>
      </c>
      <c r="CM8" s="50" t="s">
        <v>621</v>
      </c>
      <c r="CN8" s="50" t="s">
        <v>14703</v>
      </c>
      <c r="CO8" s="50" t="s">
        <v>19665</v>
      </c>
      <c r="CP8" s="50" t="s">
        <v>19664</v>
      </c>
      <c r="CQ8" s="50" t="s">
        <v>19664</v>
      </c>
    </row>
    <row r="9" spans="1:96">
      <c r="A9" s="50" t="s">
        <v>337</v>
      </c>
      <c r="B9" s="50">
        <v>3078372</v>
      </c>
      <c r="C9" s="50" t="s">
        <v>12423</v>
      </c>
      <c r="D9" s="50" t="s">
        <v>14893</v>
      </c>
      <c r="E9" s="50" t="str">
        <f>VLOOKUP(B9,aa!B:F,5,0)</f>
        <v>Ei CARES</v>
      </c>
      <c r="F9" s="50">
        <f>VLOOKUP(B9,aa!B:J,9,0)</f>
        <v>739115</v>
      </c>
      <c r="G9" s="50">
        <f>VLOOKUP(B9,aa!B:L,11,0)</f>
        <v>0</v>
      </c>
      <c r="H9" s="50">
        <f>VLOOKUP(B9,aa!B:O,14,0)</f>
        <v>739115</v>
      </c>
      <c r="I9" s="50">
        <f>VLOOKUP(B9,aa!B:R,17,0)</f>
        <v>0</v>
      </c>
      <c r="K9" s="50" t="s">
        <v>152</v>
      </c>
      <c r="L9" s="50">
        <v>744510</v>
      </c>
      <c r="M9" s="50">
        <v>744510</v>
      </c>
      <c r="N9" s="50">
        <v>0</v>
      </c>
      <c r="O9" s="50">
        <v>0</v>
      </c>
      <c r="Q9" s="50">
        <v>744510</v>
      </c>
      <c r="R9" s="50">
        <v>690</v>
      </c>
      <c r="S9" s="50" t="s">
        <v>14894</v>
      </c>
      <c r="T9" s="50">
        <v>0</v>
      </c>
      <c r="U9" s="50">
        <v>0</v>
      </c>
      <c r="W9" s="50" t="s">
        <v>102</v>
      </c>
      <c r="X9" s="50" t="s">
        <v>103</v>
      </c>
      <c r="Y9" s="50" t="s">
        <v>155</v>
      </c>
      <c r="AA9" s="50" t="s">
        <v>4497</v>
      </c>
      <c r="AB9" s="50" t="s">
        <v>14895</v>
      </c>
      <c r="AC9" s="50" t="s">
        <v>12425</v>
      </c>
      <c r="AD9" s="50" t="s">
        <v>14895</v>
      </c>
      <c r="AE9" s="50" t="s">
        <v>946</v>
      </c>
      <c r="AF9" s="50" t="s">
        <v>14895</v>
      </c>
      <c r="AG9" s="50" t="s">
        <v>1719</v>
      </c>
      <c r="AH9" s="50" t="s">
        <v>14895</v>
      </c>
      <c r="AI9" s="50" t="s">
        <v>102</v>
      </c>
      <c r="AJ9" s="50" t="s">
        <v>1523</v>
      </c>
      <c r="AK9" s="50" t="s">
        <v>12729</v>
      </c>
      <c r="AL9" s="50" t="s">
        <v>14896</v>
      </c>
      <c r="AM9" s="50" t="s">
        <v>14897</v>
      </c>
      <c r="AN9" s="50" t="s">
        <v>14898</v>
      </c>
      <c r="AO9" s="50" t="s">
        <v>14899</v>
      </c>
      <c r="AP9" s="50" t="s">
        <v>14899</v>
      </c>
      <c r="AU9" s="50" t="s">
        <v>102</v>
      </c>
      <c r="AW9" s="50" t="s">
        <v>155</v>
      </c>
      <c r="AX9" s="50" t="s">
        <v>119</v>
      </c>
      <c r="AY9" s="50" t="s">
        <v>170</v>
      </c>
      <c r="AZ9" s="50" t="s">
        <v>118</v>
      </c>
      <c r="BB9" s="50" t="s">
        <v>120</v>
      </c>
      <c r="BC9" s="50" t="s">
        <v>3214</v>
      </c>
      <c r="BD9" s="50" t="s">
        <v>410</v>
      </c>
      <c r="BE9" s="50" t="s">
        <v>212</v>
      </c>
      <c r="BF9" s="50" t="s">
        <v>410</v>
      </c>
      <c r="BG9" s="50" t="s">
        <v>124</v>
      </c>
      <c r="BH9" s="50" t="s">
        <v>12023</v>
      </c>
      <c r="BI9" s="50" t="s">
        <v>11889</v>
      </c>
      <c r="BJ9" s="50" t="s">
        <v>127</v>
      </c>
      <c r="BK9" s="50" t="s">
        <v>14900</v>
      </c>
      <c r="BL9" s="50" t="s">
        <v>14901</v>
      </c>
      <c r="BM9" s="50" t="s">
        <v>14902</v>
      </c>
      <c r="BN9" s="50" t="s">
        <v>4556</v>
      </c>
      <c r="BO9" s="50" t="s">
        <v>4053</v>
      </c>
      <c r="BP9" s="50" t="s">
        <v>132</v>
      </c>
      <c r="BQ9" s="50" t="s">
        <v>4054</v>
      </c>
      <c r="BR9" s="50" t="s">
        <v>4055</v>
      </c>
      <c r="BS9" s="50" t="s">
        <v>4056</v>
      </c>
      <c r="BU9" s="50" t="s">
        <v>14903</v>
      </c>
      <c r="BV9" s="50" t="s">
        <v>14904</v>
      </c>
      <c r="BW9" s="50" t="s">
        <v>354</v>
      </c>
      <c r="BX9" s="50" t="s">
        <v>14905</v>
      </c>
      <c r="BY9" s="50" t="s">
        <v>14906</v>
      </c>
      <c r="BZ9" s="50" t="s">
        <v>14907</v>
      </c>
      <c r="CA9" s="50" t="s">
        <v>11526</v>
      </c>
      <c r="CB9" s="50" t="s">
        <v>14908</v>
      </c>
      <c r="CC9" s="50" t="s">
        <v>14909</v>
      </c>
      <c r="CD9" s="50" t="s">
        <v>11526</v>
      </c>
      <c r="CE9" s="50" t="s">
        <v>14908</v>
      </c>
      <c r="CF9" s="50" t="s">
        <v>14909</v>
      </c>
      <c r="CG9" s="50" t="s">
        <v>573</v>
      </c>
      <c r="CH9" s="50" t="s">
        <v>14910</v>
      </c>
      <c r="CJ9" s="50" t="s">
        <v>14911</v>
      </c>
      <c r="CK9" s="50" t="s">
        <v>14910</v>
      </c>
      <c r="CL9" s="50" t="s">
        <v>3214</v>
      </c>
      <c r="CM9" s="50" t="s">
        <v>410</v>
      </c>
      <c r="CN9" s="50" t="s">
        <v>14911</v>
      </c>
      <c r="CP9" s="50" t="s">
        <v>14910</v>
      </c>
      <c r="CQ9" s="50" t="s">
        <v>14910</v>
      </c>
    </row>
    <row r="10" spans="1:96">
      <c r="A10" s="50" t="s">
        <v>337</v>
      </c>
      <c r="B10" s="50">
        <v>2557342</v>
      </c>
      <c r="C10" s="50" t="s">
        <v>11898</v>
      </c>
      <c r="D10" s="50" t="s">
        <v>14505</v>
      </c>
      <c r="E10" s="50" t="e">
        <f>VLOOKUP(B10,aa!B:F,5,0)</f>
        <v>#N/A</v>
      </c>
      <c r="F10" s="50" t="e">
        <f>VLOOKUP(B10,aa!B:J,9,0)</f>
        <v>#N/A</v>
      </c>
      <c r="G10" s="50" t="e">
        <f>VLOOKUP(B10,aa!B:L,11,0)</f>
        <v>#N/A</v>
      </c>
      <c r="H10" s="50" t="e">
        <f>VLOOKUP(B10,aa!B:O,14,0)</f>
        <v>#N/A</v>
      </c>
      <c r="I10" s="50" t="e">
        <f>VLOOKUP(B10,aa!B:R,17,0)</f>
        <v>#N/A</v>
      </c>
      <c r="K10" s="50" t="s">
        <v>152</v>
      </c>
      <c r="L10" s="50">
        <v>420685</v>
      </c>
      <c r="M10" s="50">
        <v>420685</v>
      </c>
      <c r="N10" s="50">
        <v>0</v>
      </c>
      <c r="O10" s="50">
        <v>0</v>
      </c>
      <c r="Q10" s="50">
        <v>420685</v>
      </c>
      <c r="R10" s="50">
        <v>267</v>
      </c>
      <c r="S10" s="50" t="s">
        <v>14506</v>
      </c>
      <c r="T10" s="50">
        <v>0</v>
      </c>
      <c r="U10" s="50">
        <v>0</v>
      </c>
      <c r="W10" s="50" t="s">
        <v>102</v>
      </c>
      <c r="X10" s="50" t="s">
        <v>103</v>
      </c>
      <c r="Y10" s="50" t="s">
        <v>155</v>
      </c>
      <c r="AA10" s="50" t="s">
        <v>1957</v>
      </c>
      <c r="AB10" s="50" t="s">
        <v>14507</v>
      </c>
      <c r="AC10" s="50" t="s">
        <v>625</v>
      </c>
      <c r="AD10" s="50" t="s">
        <v>14507</v>
      </c>
      <c r="AE10" s="50" t="s">
        <v>12888</v>
      </c>
      <c r="AF10" s="50" t="s">
        <v>14507</v>
      </c>
      <c r="AG10" s="50" t="s">
        <v>11886</v>
      </c>
      <c r="AH10" s="50" t="s">
        <v>14507</v>
      </c>
      <c r="AI10" s="50" t="s">
        <v>102</v>
      </c>
      <c r="AJ10" s="50" t="s">
        <v>2323</v>
      </c>
      <c r="AK10" s="50" t="s">
        <v>2323</v>
      </c>
      <c r="AL10" s="50" t="s">
        <v>14508</v>
      </c>
      <c r="AM10" s="50" t="s">
        <v>14509</v>
      </c>
      <c r="AN10" s="50" t="s">
        <v>14510</v>
      </c>
      <c r="AO10" s="50" t="s">
        <v>14511</v>
      </c>
      <c r="AP10" s="50" t="s">
        <v>14511</v>
      </c>
      <c r="AU10" s="50" t="s">
        <v>102</v>
      </c>
      <c r="AW10" s="50" t="s">
        <v>155</v>
      </c>
      <c r="AX10" s="50" t="s">
        <v>447</v>
      </c>
      <c r="AY10" s="50" t="s">
        <v>1138</v>
      </c>
      <c r="AZ10" s="50" t="s">
        <v>118</v>
      </c>
      <c r="BB10" s="50" t="s">
        <v>120</v>
      </c>
      <c r="BC10" s="50" t="s">
        <v>9082</v>
      </c>
      <c r="BD10" s="50" t="s">
        <v>1244</v>
      </c>
      <c r="BE10" s="50" t="s">
        <v>122</v>
      </c>
      <c r="BF10" s="50" t="s">
        <v>1244</v>
      </c>
      <c r="BG10" s="50" t="s">
        <v>124</v>
      </c>
      <c r="BH10" s="50" t="s">
        <v>3258</v>
      </c>
      <c r="BI10" s="50" t="s">
        <v>11889</v>
      </c>
      <c r="BJ10" s="50" t="s">
        <v>127</v>
      </c>
      <c r="BK10" s="50" t="s">
        <v>14512</v>
      </c>
      <c r="BL10" s="50" t="s">
        <v>14513</v>
      </c>
      <c r="BM10" s="50" t="s">
        <v>14514</v>
      </c>
      <c r="BN10" s="50" t="s">
        <v>1957</v>
      </c>
      <c r="BO10" s="50" t="s">
        <v>9627</v>
      </c>
      <c r="BP10" s="50" t="s">
        <v>180</v>
      </c>
      <c r="BQ10" s="50" t="s">
        <v>9628</v>
      </c>
      <c r="BR10" s="50" t="s">
        <v>9629</v>
      </c>
      <c r="BS10" s="50" t="s">
        <v>10231</v>
      </c>
      <c r="BU10" s="50" t="s">
        <v>14515</v>
      </c>
      <c r="BV10" s="50" t="s">
        <v>14516</v>
      </c>
      <c r="BW10" s="50" t="s">
        <v>138</v>
      </c>
      <c r="BX10" s="50" t="s">
        <v>14517</v>
      </c>
      <c r="BY10" s="50" t="s">
        <v>14518</v>
      </c>
      <c r="BZ10" s="50" t="s">
        <v>14519</v>
      </c>
      <c r="CA10" s="50" t="s">
        <v>14520</v>
      </c>
      <c r="CB10" s="50" t="s">
        <v>14517</v>
      </c>
      <c r="CC10" s="50" t="s">
        <v>14518</v>
      </c>
      <c r="CD10" s="50" t="s">
        <v>14520</v>
      </c>
      <c r="CE10" s="50" t="s">
        <v>14517</v>
      </c>
      <c r="CF10" s="50" t="s">
        <v>14518</v>
      </c>
      <c r="CG10" s="50" t="s">
        <v>2405</v>
      </c>
      <c r="CH10" s="50" t="s">
        <v>14521</v>
      </c>
      <c r="CJ10" s="50" t="s">
        <v>14522</v>
      </c>
      <c r="CK10" s="50" t="s">
        <v>14521</v>
      </c>
      <c r="CL10" s="50" t="s">
        <v>9082</v>
      </c>
      <c r="CM10" s="50" t="s">
        <v>1244</v>
      </c>
      <c r="CN10" s="50" t="s">
        <v>14522</v>
      </c>
      <c r="CP10" s="50" t="s">
        <v>14521</v>
      </c>
      <c r="CQ10" s="50" t="s">
        <v>14521</v>
      </c>
    </row>
    <row r="11" spans="1:96">
      <c r="A11" s="50" t="s">
        <v>93</v>
      </c>
      <c r="B11" s="50">
        <v>3306257</v>
      </c>
      <c r="C11" s="50" t="s">
        <v>12507</v>
      </c>
      <c r="D11" s="50" t="s">
        <v>2831</v>
      </c>
      <c r="E11" s="50" t="e">
        <f>VLOOKUP(B11,aa!B:F,5,0)</f>
        <v>#N/A</v>
      </c>
      <c r="F11" s="50" t="e">
        <f>VLOOKUP(B11,aa!B:J,9,0)</f>
        <v>#N/A</v>
      </c>
      <c r="G11" s="50" t="e">
        <f>VLOOKUP(B11,aa!B:L,11,0)</f>
        <v>#N/A</v>
      </c>
      <c r="H11" s="50" t="e">
        <f>VLOOKUP(B11,aa!B:O,14,0)</f>
        <v>#N/A</v>
      </c>
      <c r="I11" s="50" t="e">
        <f>VLOOKUP(B11,aa!B:R,17,0)</f>
        <v>#N/A</v>
      </c>
      <c r="K11" s="50" t="s">
        <v>152</v>
      </c>
      <c r="L11" s="50">
        <v>467334</v>
      </c>
      <c r="M11" s="50">
        <v>467334</v>
      </c>
      <c r="N11" s="50">
        <v>0</v>
      </c>
      <c r="O11" s="50">
        <v>0</v>
      </c>
      <c r="Q11" s="50">
        <v>467334</v>
      </c>
      <c r="R11" s="50">
        <v>410</v>
      </c>
      <c r="S11" s="50" t="s">
        <v>1495</v>
      </c>
      <c r="T11" s="50">
        <v>0</v>
      </c>
      <c r="U11" s="50">
        <v>0</v>
      </c>
      <c r="W11" s="50" t="s">
        <v>102</v>
      </c>
      <c r="X11" s="50" t="s">
        <v>103</v>
      </c>
      <c r="Y11" s="50" t="s">
        <v>155</v>
      </c>
      <c r="AA11" s="50" t="s">
        <v>3207</v>
      </c>
      <c r="AB11" s="50" t="s">
        <v>15514</v>
      </c>
      <c r="AC11" s="50" t="s">
        <v>6177</v>
      </c>
      <c r="AD11" s="50" t="s">
        <v>15515</v>
      </c>
      <c r="AE11" s="50" t="s">
        <v>9460</v>
      </c>
      <c r="AF11" s="50" t="s">
        <v>15515</v>
      </c>
      <c r="AG11" s="50" t="s">
        <v>12043</v>
      </c>
      <c r="AH11" s="50" t="s">
        <v>15515</v>
      </c>
      <c r="AI11" s="50" t="s">
        <v>102</v>
      </c>
      <c r="AL11" s="50" t="s">
        <v>15516</v>
      </c>
      <c r="AM11" s="50" t="s">
        <v>102</v>
      </c>
      <c r="AN11" s="50" t="s">
        <v>15516</v>
      </c>
      <c r="AO11" s="50" t="s">
        <v>5460</v>
      </c>
      <c r="AP11" s="50" t="s">
        <v>5460</v>
      </c>
      <c r="AU11" s="50" t="s">
        <v>102</v>
      </c>
      <c r="AW11" s="50" t="s">
        <v>155</v>
      </c>
      <c r="AX11" s="50" t="s">
        <v>447</v>
      </c>
      <c r="AY11" s="50" t="s">
        <v>170</v>
      </c>
      <c r="AZ11" s="50" t="s">
        <v>118</v>
      </c>
      <c r="BB11" s="50" t="s">
        <v>120</v>
      </c>
      <c r="BC11" s="50" t="s">
        <v>5461</v>
      </c>
      <c r="BD11" s="50" t="s">
        <v>556</v>
      </c>
      <c r="BE11" s="50" t="s">
        <v>122</v>
      </c>
      <c r="BF11" s="50" t="s">
        <v>557</v>
      </c>
      <c r="BG11" s="50" t="s">
        <v>124</v>
      </c>
      <c r="BH11" s="50" t="s">
        <v>12023</v>
      </c>
      <c r="BI11" s="50" t="s">
        <v>11889</v>
      </c>
      <c r="BJ11" s="50" t="s">
        <v>127</v>
      </c>
      <c r="BK11" s="50" t="s">
        <v>15517</v>
      </c>
      <c r="BL11" s="50" t="s">
        <v>5463</v>
      </c>
      <c r="BM11" s="50" t="s">
        <v>15518</v>
      </c>
      <c r="BN11" s="50" t="s">
        <v>4497</v>
      </c>
      <c r="BO11" s="50" t="s">
        <v>1071</v>
      </c>
      <c r="BP11" s="50" t="s">
        <v>258</v>
      </c>
      <c r="BQ11" s="50" t="s">
        <v>1072</v>
      </c>
      <c r="BR11" s="50" t="s">
        <v>1073</v>
      </c>
      <c r="BS11" s="50" t="s">
        <v>1074</v>
      </c>
      <c r="BT11" s="50" t="s">
        <v>1075</v>
      </c>
      <c r="BU11" s="50" t="s">
        <v>15519</v>
      </c>
      <c r="BV11" s="50" t="s">
        <v>15520</v>
      </c>
      <c r="BW11" s="50" t="s">
        <v>138</v>
      </c>
      <c r="BX11" s="50" t="s">
        <v>15521</v>
      </c>
      <c r="BY11" s="50" t="s">
        <v>5468</v>
      </c>
      <c r="BZ11" s="50" t="s">
        <v>5469</v>
      </c>
      <c r="CA11" s="50" t="s">
        <v>5470</v>
      </c>
      <c r="CB11" s="50" t="s">
        <v>15521</v>
      </c>
      <c r="CC11" s="50" t="s">
        <v>5468</v>
      </c>
      <c r="CD11" s="50" t="s">
        <v>5470</v>
      </c>
      <c r="CE11" s="50" t="s">
        <v>15521</v>
      </c>
      <c r="CF11" s="50" t="s">
        <v>5468</v>
      </c>
      <c r="CG11" s="50" t="s">
        <v>5471</v>
      </c>
      <c r="CH11" s="50" t="s">
        <v>5472</v>
      </c>
      <c r="CJ11" s="50" t="s">
        <v>5473</v>
      </c>
      <c r="CK11" s="50" t="s">
        <v>5472</v>
      </c>
      <c r="CL11" s="50" t="s">
        <v>5461</v>
      </c>
      <c r="CM11" s="50" t="s">
        <v>556</v>
      </c>
      <c r="CN11" s="50" t="s">
        <v>5473</v>
      </c>
      <c r="CP11" s="50" t="s">
        <v>5472</v>
      </c>
      <c r="CQ11" s="50" t="s">
        <v>5472</v>
      </c>
    </row>
    <row r="12" spans="1:96">
      <c r="A12" s="50" t="s">
        <v>337</v>
      </c>
      <c r="B12" s="50">
        <v>5018319</v>
      </c>
      <c r="C12" s="50" t="s">
        <v>12030</v>
      </c>
      <c r="D12" s="50" t="s">
        <v>19610</v>
      </c>
      <c r="E12" s="50" t="e">
        <f>VLOOKUP(B12,aa!B:F,5,0)</f>
        <v>#N/A</v>
      </c>
      <c r="F12" s="50" t="e">
        <f>VLOOKUP(B12,aa!B:J,9,0)</f>
        <v>#N/A</v>
      </c>
      <c r="G12" s="50" t="e">
        <f>VLOOKUP(B12,aa!B:L,11,0)</f>
        <v>#N/A</v>
      </c>
      <c r="H12" s="50" t="e">
        <f>VLOOKUP(B12,aa!B:O,14,0)</f>
        <v>#N/A</v>
      </c>
      <c r="I12" s="50" t="e">
        <f>VLOOKUP(B12,aa!B:R,17,0)</f>
        <v>#N/A</v>
      </c>
      <c r="K12" s="50" t="s">
        <v>152</v>
      </c>
      <c r="L12" s="50">
        <v>384051</v>
      </c>
      <c r="M12" s="50">
        <v>384051</v>
      </c>
      <c r="N12" s="50">
        <v>0</v>
      </c>
      <c r="O12" s="50">
        <v>0</v>
      </c>
      <c r="Q12" s="50">
        <v>384051</v>
      </c>
      <c r="R12" s="50">
        <v>256</v>
      </c>
      <c r="S12" s="50" t="s">
        <v>6441</v>
      </c>
      <c r="T12" s="50">
        <v>0</v>
      </c>
      <c r="U12" s="50">
        <v>0</v>
      </c>
      <c r="W12" s="50" t="s">
        <v>102</v>
      </c>
      <c r="X12" s="50" t="s">
        <v>103</v>
      </c>
      <c r="Y12" s="50" t="s">
        <v>155</v>
      </c>
      <c r="AA12" s="50" t="s">
        <v>648</v>
      </c>
      <c r="AB12" s="50" t="s">
        <v>19612</v>
      </c>
      <c r="AC12" s="50" t="s">
        <v>1827</v>
      </c>
      <c r="AD12" s="50" t="s">
        <v>19613</v>
      </c>
      <c r="AE12" s="50" t="s">
        <v>3485</v>
      </c>
      <c r="AF12" s="50" t="s">
        <v>19614</v>
      </c>
      <c r="AG12" s="50" t="s">
        <v>1305</v>
      </c>
      <c r="AH12" s="50" t="s">
        <v>19614</v>
      </c>
      <c r="AI12" s="50" t="s">
        <v>102</v>
      </c>
      <c r="AJ12" s="50" t="s">
        <v>437</v>
      </c>
      <c r="AK12" s="50" t="s">
        <v>437</v>
      </c>
      <c r="AL12" s="50" t="s">
        <v>19615</v>
      </c>
      <c r="AM12" s="50" t="s">
        <v>573</v>
      </c>
      <c r="AN12" s="50" t="s">
        <v>19616</v>
      </c>
      <c r="AO12" s="50" t="s">
        <v>6447</v>
      </c>
      <c r="AP12" s="50" t="s">
        <v>6447</v>
      </c>
      <c r="AU12" s="50" t="s">
        <v>102</v>
      </c>
      <c r="AW12" s="50" t="s">
        <v>155</v>
      </c>
      <c r="AX12" s="50" t="s">
        <v>119</v>
      </c>
      <c r="AY12" s="50" t="s">
        <v>170</v>
      </c>
      <c r="AZ12" s="50" t="s">
        <v>118</v>
      </c>
      <c r="BB12" s="50" t="s">
        <v>598</v>
      </c>
      <c r="BC12" s="50" t="s">
        <v>17740</v>
      </c>
      <c r="BD12" s="50" t="s">
        <v>345</v>
      </c>
      <c r="BE12" s="50" t="s">
        <v>122</v>
      </c>
      <c r="BF12" s="50" t="s">
        <v>346</v>
      </c>
      <c r="BG12" s="50" t="s">
        <v>124</v>
      </c>
      <c r="BH12" s="50" t="s">
        <v>12023</v>
      </c>
      <c r="BI12" s="50" t="s">
        <v>11889</v>
      </c>
      <c r="BJ12" s="50" t="s">
        <v>127</v>
      </c>
      <c r="BK12" s="50" t="s">
        <v>19617</v>
      </c>
      <c r="BL12" s="50" t="s">
        <v>19618</v>
      </c>
      <c r="BM12" s="50" t="s">
        <v>19619</v>
      </c>
      <c r="BN12" s="50" t="s">
        <v>19611</v>
      </c>
      <c r="BO12" s="50" t="s">
        <v>12226</v>
      </c>
      <c r="BP12" s="50" t="s">
        <v>505</v>
      </c>
      <c r="BQ12" s="50" t="s">
        <v>12228</v>
      </c>
      <c r="BR12" s="50" t="s">
        <v>12229</v>
      </c>
      <c r="BS12" s="50" t="s">
        <v>328</v>
      </c>
      <c r="BU12" s="50" t="s">
        <v>19620</v>
      </c>
      <c r="BV12" s="50" t="s">
        <v>19621</v>
      </c>
      <c r="BW12" s="50" t="s">
        <v>354</v>
      </c>
      <c r="BX12" s="50" t="s">
        <v>19622</v>
      </c>
      <c r="BY12" s="50" t="s">
        <v>19623</v>
      </c>
      <c r="BZ12" s="50" t="s">
        <v>19622</v>
      </c>
      <c r="CA12" s="50" t="s">
        <v>19624</v>
      </c>
      <c r="CB12" s="50" t="s">
        <v>19622</v>
      </c>
      <c r="CC12" s="50" t="s">
        <v>19623</v>
      </c>
      <c r="CD12" s="50" t="s">
        <v>19624</v>
      </c>
      <c r="CE12" s="50" t="s">
        <v>19622</v>
      </c>
      <c r="CF12" s="50" t="s">
        <v>19623</v>
      </c>
      <c r="CG12" s="50" t="s">
        <v>19625</v>
      </c>
      <c r="CH12" s="50" t="s">
        <v>12241</v>
      </c>
      <c r="CJ12" s="50" t="s">
        <v>17597</v>
      </c>
      <c r="CK12" s="50" t="s">
        <v>12241</v>
      </c>
      <c r="CL12" s="50" t="s">
        <v>17740</v>
      </c>
      <c r="CM12" s="50" t="s">
        <v>345</v>
      </c>
      <c r="CN12" s="50" t="s">
        <v>17597</v>
      </c>
      <c r="CP12" s="50" t="s">
        <v>12241</v>
      </c>
      <c r="CQ12" s="50" t="s">
        <v>12241</v>
      </c>
    </row>
    <row r="13" spans="1:96">
      <c r="A13" s="50" t="s">
        <v>337</v>
      </c>
      <c r="B13" s="50">
        <v>2755127</v>
      </c>
      <c r="C13" s="50" t="s">
        <v>632</v>
      </c>
      <c r="D13" s="50" t="s">
        <v>14688</v>
      </c>
      <c r="E13" s="50" t="e">
        <f>VLOOKUP(B13,aa!B:F,5,0)</f>
        <v>#N/A</v>
      </c>
      <c r="F13" s="50" t="e">
        <f>VLOOKUP(B13,aa!B:J,9,0)</f>
        <v>#N/A</v>
      </c>
      <c r="G13" s="50" t="e">
        <f>VLOOKUP(B13,aa!B:L,11,0)</f>
        <v>#N/A</v>
      </c>
      <c r="H13" s="50" t="e">
        <f>VLOOKUP(B13,aa!B:O,14,0)</f>
        <v>#N/A</v>
      </c>
      <c r="I13" s="50" t="e">
        <f>VLOOKUP(B13,aa!B:R,17,0)</f>
        <v>#N/A</v>
      </c>
      <c r="K13" s="50" t="s">
        <v>97</v>
      </c>
      <c r="L13" s="50">
        <v>0</v>
      </c>
      <c r="M13" s="50">
        <v>0</v>
      </c>
      <c r="N13" s="50">
        <v>0</v>
      </c>
      <c r="O13" s="50">
        <v>920</v>
      </c>
      <c r="P13" s="50" t="s">
        <v>102</v>
      </c>
      <c r="Q13" s="50">
        <v>0</v>
      </c>
      <c r="R13" s="50">
        <v>0</v>
      </c>
      <c r="T13" s="50">
        <v>0</v>
      </c>
      <c r="U13" s="50">
        <v>0</v>
      </c>
      <c r="W13" s="50" t="s">
        <v>102</v>
      </c>
      <c r="X13" s="50" t="s">
        <v>103</v>
      </c>
      <c r="Y13" s="50" t="s">
        <v>104</v>
      </c>
      <c r="AA13" s="50" t="s">
        <v>14689</v>
      </c>
      <c r="AB13" s="50" t="s">
        <v>102</v>
      </c>
      <c r="AC13" s="50" t="s">
        <v>11976</v>
      </c>
      <c r="AD13" s="50" t="s">
        <v>102</v>
      </c>
      <c r="AE13" s="50" t="s">
        <v>109</v>
      </c>
      <c r="AF13" s="50" t="s">
        <v>102</v>
      </c>
      <c r="AG13" s="50" t="s">
        <v>109</v>
      </c>
      <c r="AH13" s="50" t="s">
        <v>102</v>
      </c>
      <c r="AI13" s="50" t="s">
        <v>102</v>
      </c>
      <c r="AL13" s="50" t="s">
        <v>102</v>
      </c>
      <c r="AM13" s="50" t="s">
        <v>102</v>
      </c>
      <c r="AN13" s="50" t="s">
        <v>102</v>
      </c>
      <c r="AO13" s="50" t="s">
        <v>115</v>
      </c>
      <c r="AP13" s="50" t="s">
        <v>115</v>
      </c>
      <c r="AU13" s="50" t="s">
        <v>318</v>
      </c>
      <c r="AV13" s="50" t="s">
        <v>250</v>
      </c>
      <c r="AW13" s="50" t="s">
        <v>102</v>
      </c>
      <c r="AX13" s="50" t="s">
        <v>119</v>
      </c>
      <c r="BB13" s="50" t="s">
        <v>171</v>
      </c>
      <c r="BC13" s="50" t="s">
        <v>623</v>
      </c>
      <c r="BD13" s="50" t="s">
        <v>621</v>
      </c>
      <c r="BE13" s="50" t="s">
        <v>622</v>
      </c>
      <c r="BF13" s="50" t="s">
        <v>623</v>
      </c>
      <c r="BG13" s="50" t="s">
        <v>124</v>
      </c>
      <c r="BH13" s="50" t="s">
        <v>12023</v>
      </c>
      <c r="BI13" s="50" t="s">
        <v>11889</v>
      </c>
      <c r="BJ13" s="50" t="s">
        <v>127</v>
      </c>
      <c r="BK13" s="50" t="s">
        <v>14690</v>
      </c>
      <c r="BL13" s="50" t="s">
        <v>14691</v>
      </c>
      <c r="BM13" s="50" t="s">
        <v>14692</v>
      </c>
      <c r="BN13" s="50" t="s">
        <v>1523</v>
      </c>
      <c r="BO13" s="50" t="s">
        <v>1670</v>
      </c>
      <c r="BP13" s="50" t="s">
        <v>505</v>
      </c>
      <c r="BQ13" s="50" t="s">
        <v>1671</v>
      </c>
      <c r="BR13" s="50" t="s">
        <v>1672</v>
      </c>
      <c r="BS13" s="50" t="s">
        <v>507</v>
      </c>
      <c r="BU13" s="50" t="s">
        <v>14693</v>
      </c>
      <c r="BV13" s="50" t="s">
        <v>14694</v>
      </c>
      <c r="BW13" s="50" t="s">
        <v>569</v>
      </c>
      <c r="BX13" s="50" t="s">
        <v>225</v>
      </c>
      <c r="BY13" s="50" t="s">
        <v>14695</v>
      </c>
      <c r="BZ13" s="50" t="s">
        <v>14696</v>
      </c>
      <c r="CA13" s="50" t="s">
        <v>14697</v>
      </c>
      <c r="CB13" s="50" t="s">
        <v>14698</v>
      </c>
      <c r="CC13" s="50" t="s">
        <v>14695</v>
      </c>
      <c r="CD13" s="50" t="s">
        <v>14699</v>
      </c>
      <c r="CE13" s="50" t="s">
        <v>14696</v>
      </c>
      <c r="CF13" s="50" t="s">
        <v>14700</v>
      </c>
      <c r="CG13" s="50" t="s">
        <v>14701</v>
      </c>
      <c r="CH13" s="50" t="s">
        <v>14702</v>
      </c>
      <c r="CJ13" s="50" t="s">
        <v>14703</v>
      </c>
      <c r="CK13" s="50" t="s">
        <v>14702</v>
      </c>
      <c r="CL13" s="50" t="s">
        <v>623</v>
      </c>
      <c r="CM13" s="50" t="s">
        <v>621</v>
      </c>
      <c r="CN13" s="50" t="s">
        <v>14703</v>
      </c>
      <c r="CP13" s="50" t="s">
        <v>14702</v>
      </c>
      <c r="CQ13" s="50" t="s">
        <v>14702</v>
      </c>
      <c r="CR13" s="50" t="s">
        <v>26045</v>
      </c>
    </row>
    <row r="14" spans="1:96">
      <c r="A14" s="50" t="s">
        <v>337</v>
      </c>
      <c r="B14" s="50">
        <v>3838227</v>
      </c>
      <c r="C14" s="50" t="s">
        <v>632</v>
      </c>
      <c r="D14" s="50" t="s">
        <v>17110</v>
      </c>
      <c r="E14" s="50" t="e">
        <f>VLOOKUP(B14,aa!B:F,5,0)</f>
        <v>#N/A</v>
      </c>
      <c r="F14" s="50" t="e">
        <f>VLOOKUP(B14,aa!B:J,9,0)</f>
        <v>#N/A</v>
      </c>
      <c r="G14" s="50" t="e">
        <f>VLOOKUP(B14,aa!B:L,11,0)</f>
        <v>#N/A</v>
      </c>
      <c r="H14" s="50" t="e">
        <f>VLOOKUP(B14,aa!B:O,14,0)</f>
        <v>#N/A</v>
      </c>
      <c r="I14" s="50" t="e">
        <f>VLOOKUP(B14,aa!B:R,17,0)</f>
        <v>#N/A</v>
      </c>
      <c r="K14" s="50" t="s">
        <v>97</v>
      </c>
      <c r="L14" s="50">
        <v>0</v>
      </c>
      <c r="M14" s="50">
        <v>0</v>
      </c>
      <c r="N14" s="50">
        <v>0</v>
      </c>
      <c r="O14" s="50">
        <v>355</v>
      </c>
      <c r="P14" s="50" t="s">
        <v>102</v>
      </c>
      <c r="Q14" s="50">
        <v>0</v>
      </c>
      <c r="R14" s="50">
        <v>0</v>
      </c>
      <c r="T14" s="50">
        <v>0</v>
      </c>
      <c r="U14" s="50">
        <v>0</v>
      </c>
      <c r="W14" s="50" t="s">
        <v>102</v>
      </c>
      <c r="X14" s="50" t="s">
        <v>103</v>
      </c>
      <c r="Y14" s="50" t="s">
        <v>104</v>
      </c>
      <c r="AA14" s="50" t="s">
        <v>14689</v>
      </c>
      <c r="AB14" s="50" t="s">
        <v>102</v>
      </c>
      <c r="AC14" s="50" t="s">
        <v>11976</v>
      </c>
      <c r="AD14" s="50" t="s">
        <v>102</v>
      </c>
      <c r="AE14" s="50" t="s">
        <v>109</v>
      </c>
      <c r="AF14" s="50" t="s">
        <v>102</v>
      </c>
      <c r="AG14" s="50" t="s">
        <v>109</v>
      </c>
      <c r="AH14" s="50" t="s">
        <v>102</v>
      </c>
      <c r="AI14" s="50" t="s">
        <v>102</v>
      </c>
      <c r="AL14" s="50" t="s">
        <v>102</v>
      </c>
      <c r="AM14" s="50" t="s">
        <v>102</v>
      </c>
      <c r="AN14" s="50" t="s">
        <v>102</v>
      </c>
      <c r="AO14" s="50" t="s">
        <v>115</v>
      </c>
      <c r="AP14" s="50" t="s">
        <v>115</v>
      </c>
      <c r="AU14" s="50" t="s">
        <v>318</v>
      </c>
      <c r="AV14" s="50" t="s">
        <v>250</v>
      </c>
      <c r="AW14" s="50" t="s">
        <v>102</v>
      </c>
      <c r="AX14" s="50" t="s">
        <v>119</v>
      </c>
      <c r="BB14" s="50" t="s">
        <v>171</v>
      </c>
      <c r="BC14" s="50" t="s">
        <v>623</v>
      </c>
      <c r="BD14" s="50" t="s">
        <v>621</v>
      </c>
      <c r="BE14" s="50" t="s">
        <v>622</v>
      </c>
      <c r="BF14" s="50" t="s">
        <v>623</v>
      </c>
      <c r="BG14" s="50" t="s">
        <v>124</v>
      </c>
      <c r="BH14" s="50" t="s">
        <v>12023</v>
      </c>
      <c r="BI14" s="50" t="s">
        <v>11889</v>
      </c>
      <c r="BJ14" s="50" t="s">
        <v>127</v>
      </c>
      <c r="BK14" s="50" t="s">
        <v>17111</v>
      </c>
      <c r="BL14" s="50" t="s">
        <v>17112</v>
      </c>
      <c r="BM14" s="50" t="s">
        <v>17113</v>
      </c>
      <c r="BN14" s="50" t="s">
        <v>1523</v>
      </c>
      <c r="BO14" s="50" t="s">
        <v>1670</v>
      </c>
      <c r="BP14" s="50" t="s">
        <v>505</v>
      </c>
      <c r="BQ14" s="50" t="s">
        <v>1671</v>
      </c>
      <c r="BR14" s="50" t="s">
        <v>1672</v>
      </c>
      <c r="BS14" s="50" t="s">
        <v>507</v>
      </c>
      <c r="BU14" s="50" t="s">
        <v>17114</v>
      </c>
      <c r="BV14" s="50" t="s">
        <v>17115</v>
      </c>
      <c r="BX14" s="50" t="s">
        <v>225</v>
      </c>
      <c r="BY14" s="50" t="s">
        <v>17116</v>
      </c>
      <c r="BZ14" s="50" t="s">
        <v>17117</v>
      </c>
      <c r="CA14" s="50" t="s">
        <v>14697</v>
      </c>
      <c r="CB14" s="50" t="s">
        <v>14698</v>
      </c>
      <c r="CC14" s="50" t="s">
        <v>14695</v>
      </c>
      <c r="CD14" s="50" t="s">
        <v>17118</v>
      </c>
      <c r="CE14" s="50" t="s">
        <v>17117</v>
      </c>
      <c r="CF14" s="50" t="s">
        <v>17119</v>
      </c>
      <c r="CG14" s="50" t="s">
        <v>17120</v>
      </c>
      <c r="CH14" s="50" t="s">
        <v>17121</v>
      </c>
      <c r="CJ14" s="50" t="s">
        <v>17122</v>
      </c>
      <c r="CK14" s="50" t="s">
        <v>17121</v>
      </c>
      <c r="CL14" s="50" t="s">
        <v>623</v>
      </c>
      <c r="CM14" s="50" t="s">
        <v>621</v>
      </c>
      <c r="CN14" s="50" t="s">
        <v>17122</v>
      </c>
      <c r="CP14" s="50" t="s">
        <v>17121</v>
      </c>
      <c r="CQ14" s="50" t="s">
        <v>17121</v>
      </c>
      <c r="CR14" s="50" t="s">
        <v>26045</v>
      </c>
    </row>
    <row r="15" spans="1:96">
      <c r="A15" s="50" t="s">
        <v>337</v>
      </c>
      <c r="B15" s="50">
        <v>4164567</v>
      </c>
      <c r="C15" s="50" t="s">
        <v>11995</v>
      </c>
      <c r="D15" s="50" t="s">
        <v>18227</v>
      </c>
      <c r="E15" s="50" t="e">
        <f>VLOOKUP(B15,aa!B:F,5,0)</f>
        <v>#N/A</v>
      </c>
      <c r="F15" s="50" t="e">
        <f>VLOOKUP(B15,aa!B:J,9,0)</f>
        <v>#N/A</v>
      </c>
      <c r="G15" s="50" t="e">
        <f>VLOOKUP(B15,aa!B:L,11,0)</f>
        <v>#N/A</v>
      </c>
      <c r="H15" s="50" t="e">
        <f>VLOOKUP(B15,aa!B:O,14,0)</f>
        <v>#N/A</v>
      </c>
      <c r="I15" s="50" t="e">
        <f>VLOOKUP(B15,aa!B:R,17,0)</f>
        <v>#N/A</v>
      </c>
      <c r="K15" s="50" t="s">
        <v>848</v>
      </c>
      <c r="L15" s="50">
        <v>501444</v>
      </c>
      <c r="M15" s="50">
        <v>591704</v>
      </c>
      <c r="N15" s="50">
        <v>0</v>
      </c>
      <c r="O15" s="50">
        <v>0</v>
      </c>
      <c r="Q15" s="50">
        <v>0</v>
      </c>
      <c r="R15" s="50">
        <v>0</v>
      </c>
      <c r="T15" s="50">
        <v>501444</v>
      </c>
      <c r="U15" s="50">
        <v>370</v>
      </c>
      <c r="V15" s="50" t="s">
        <v>18228</v>
      </c>
      <c r="W15" s="50" t="s">
        <v>102</v>
      </c>
      <c r="X15" s="50" t="s">
        <v>103</v>
      </c>
      <c r="Y15" s="50" t="s">
        <v>104</v>
      </c>
      <c r="AA15" s="50" t="s">
        <v>648</v>
      </c>
      <c r="AB15" s="50" t="s">
        <v>18229</v>
      </c>
      <c r="AC15" s="50" t="s">
        <v>411</v>
      </c>
      <c r="AD15" s="50" t="s">
        <v>18229</v>
      </c>
      <c r="AE15" s="50" t="s">
        <v>109</v>
      </c>
      <c r="AF15" s="50" t="s">
        <v>102</v>
      </c>
      <c r="AG15" s="50" t="s">
        <v>109</v>
      </c>
      <c r="AH15" s="50" t="s">
        <v>102</v>
      </c>
      <c r="AI15" s="50" t="s">
        <v>102</v>
      </c>
      <c r="AJ15" s="50" t="s">
        <v>648</v>
      </c>
      <c r="AK15" s="50" t="s">
        <v>12912</v>
      </c>
      <c r="AL15" s="50" t="s">
        <v>18230</v>
      </c>
      <c r="AM15" s="50" t="s">
        <v>18231</v>
      </c>
      <c r="AN15" s="50" t="s">
        <v>18232</v>
      </c>
      <c r="AO15" s="50" t="s">
        <v>18233</v>
      </c>
      <c r="AP15" s="50" t="s">
        <v>18233</v>
      </c>
      <c r="AU15" s="50" t="s">
        <v>102</v>
      </c>
      <c r="AW15" s="50" t="s">
        <v>102</v>
      </c>
      <c r="AX15" s="50" t="s">
        <v>119</v>
      </c>
      <c r="BA15" s="50" t="s">
        <v>250</v>
      </c>
      <c r="BB15" s="50" t="s">
        <v>120</v>
      </c>
      <c r="BC15" s="50" t="s">
        <v>18234</v>
      </c>
      <c r="BD15" s="50" t="s">
        <v>6390</v>
      </c>
      <c r="BE15" s="50" t="s">
        <v>212</v>
      </c>
      <c r="BF15" s="50" t="s">
        <v>286</v>
      </c>
      <c r="BG15" s="50" t="s">
        <v>124</v>
      </c>
      <c r="BH15" s="50" t="s">
        <v>12023</v>
      </c>
      <c r="BI15" s="50" t="s">
        <v>11889</v>
      </c>
      <c r="BJ15" s="50" t="s">
        <v>127</v>
      </c>
      <c r="BK15" s="50" t="s">
        <v>18235</v>
      </c>
      <c r="BL15" s="50" t="s">
        <v>18236</v>
      </c>
      <c r="BM15" s="50" t="s">
        <v>18237</v>
      </c>
      <c r="BN15" s="50" t="s">
        <v>1523</v>
      </c>
      <c r="BO15" s="50" t="s">
        <v>17884</v>
      </c>
      <c r="BP15" s="50" t="s">
        <v>132</v>
      </c>
      <c r="BQ15" s="50" t="s">
        <v>17885</v>
      </c>
      <c r="BR15" s="50" t="s">
        <v>17886</v>
      </c>
      <c r="BS15" s="50" t="s">
        <v>17887</v>
      </c>
      <c r="BT15" s="50" t="s">
        <v>17559</v>
      </c>
      <c r="BU15" s="50" t="s">
        <v>18238</v>
      </c>
      <c r="BV15" s="50" t="s">
        <v>18239</v>
      </c>
      <c r="BW15" s="50" t="s">
        <v>138</v>
      </c>
      <c r="BX15" s="50" t="s">
        <v>18240</v>
      </c>
      <c r="BY15" s="50" t="s">
        <v>18241</v>
      </c>
      <c r="BZ15" s="50" t="s">
        <v>18242</v>
      </c>
      <c r="CA15" s="50" t="s">
        <v>18243</v>
      </c>
      <c r="CB15" s="50" t="s">
        <v>18240</v>
      </c>
      <c r="CC15" s="50" t="s">
        <v>18241</v>
      </c>
      <c r="CD15" s="50" t="s">
        <v>18243</v>
      </c>
      <c r="CE15" s="50" t="s">
        <v>18240</v>
      </c>
      <c r="CF15" s="50" t="s">
        <v>18241</v>
      </c>
      <c r="CG15" s="50" t="s">
        <v>907</v>
      </c>
      <c r="CH15" s="50" t="s">
        <v>18244</v>
      </c>
      <c r="CJ15" s="50" t="s">
        <v>18245</v>
      </c>
      <c r="CK15" s="50" t="s">
        <v>18244</v>
      </c>
      <c r="CL15" s="50" t="s">
        <v>18234</v>
      </c>
      <c r="CM15" s="50" t="s">
        <v>6390</v>
      </c>
      <c r="CN15" s="50" t="s">
        <v>18245</v>
      </c>
      <c r="CP15" s="50" t="s">
        <v>18244</v>
      </c>
      <c r="CQ15" s="50" t="s">
        <v>18244</v>
      </c>
      <c r="CR15" s="50" t="s">
        <v>26042</v>
      </c>
    </row>
    <row r="16" spans="1:96">
      <c r="A16" s="50" t="s">
        <v>337</v>
      </c>
      <c r="B16" s="50">
        <v>5018396</v>
      </c>
      <c r="C16" s="50" t="s">
        <v>632</v>
      </c>
      <c r="D16" s="50" t="s">
        <v>19707</v>
      </c>
      <c r="E16" s="50" t="e">
        <f>VLOOKUP(B16,aa!B:F,5,0)</f>
        <v>#N/A</v>
      </c>
      <c r="F16" s="50" t="e">
        <f>VLOOKUP(B16,aa!B:J,9,0)</f>
        <v>#N/A</v>
      </c>
      <c r="G16" s="50" t="e">
        <f>VLOOKUP(B16,aa!B:L,11,0)</f>
        <v>#N/A</v>
      </c>
      <c r="H16" s="50" t="e">
        <f>VLOOKUP(B16,aa!B:O,14,0)</f>
        <v>#N/A</v>
      </c>
      <c r="I16" s="50" t="e">
        <f>VLOOKUP(B16,aa!B:R,17,0)</f>
        <v>#N/A</v>
      </c>
      <c r="K16" s="50" t="s">
        <v>97</v>
      </c>
      <c r="L16" s="50">
        <v>0</v>
      </c>
      <c r="M16" s="50">
        <v>0</v>
      </c>
      <c r="N16" s="50">
        <v>0</v>
      </c>
      <c r="O16" s="50">
        <v>125</v>
      </c>
      <c r="P16" s="50" t="s">
        <v>102</v>
      </c>
      <c r="Q16" s="50">
        <v>0</v>
      </c>
      <c r="R16" s="50">
        <v>0</v>
      </c>
      <c r="T16" s="50">
        <v>0</v>
      </c>
      <c r="U16" s="50">
        <v>0</v>
      </c>
      <c r="W16" s="50" t="s">
        <v>102</v>
      </c>
      <c r="X16" s="50" t="s">
        <v>103</v>
      </c>
      <c r="Y16" s="50" t="s">
        <v>104</v>
      </c>
      <c r="AA16" s="50" t="s">
        <v>14689</v>
      </c>
      <c r="AB16" s="50" t="s">
        <v>102</v>
      </c>
      <c r="AC16" s="50" t="s">
        <v>11976</v>
      </c>
      <c r="AD16" s="50" t="s">
        <v>102</v>
      </c>
      <c r="AE16" s="50" t="s">
        <v>109</v>
      </c>
      <c r="AF16" s="50" t="s">
        <v>102</v>
      </c>
      <c r="AG16" s="50" t="s">
        <v>109</v>
      </c>
      <c r="AH16" s="50" t="s">
        <v>102</v>
      </c>
      <c r="AI16" s="50" t="s">
        <v>102</v>
      </c>
      <c r="AL16" s="50" t="s">
        <v>102</v>
      </c>
      <c r="AM16" s="50" t="s">
        <v>102</v>
      </c>
      <c r="AN16" s="50" t="s">
        <v>102</v>
      </c>
      <c r="AO16" s="50" t="s">
        <v>115</v>
      </c>
      <c r="AP16" s="50" t="s">
        <v>115</v>
      </c>
      <c r="AU16" s="50" t="s">
        <v>318</v>
      </c>
      <c r="AV16" s="50" t="s">
        <v>250</v>
      </c>
      <c r="AW16" s="50" t="s">
        <v>102</v>
      </c>
      <c r="AX16" s="50" t="s">
        <v>119</v>
      </c>
      <c r="BB16" s="50" t="s">
        <v>1964</v>
      </c>
      <c r="BC16" s="50" t="s">
        <v>620</v>
      </c>
      <c r="BD16" s="50" t="s">
        <v>621</v>
      </c>
      <c r="BE16" s="50" t="s">
        <v>622</v>
      </c>
      <c r="BF16" s="50" t="s">
        <v>623</v>
      </c>
      <c r="BG16" s="50" t="s">
        <v>124</v>
      </c>
      <c r="BH16" s="50" t="s">
        <v>12023</v>
      </c>
      <c r="BI16" s="50" t="s">
        <v>11889</v>
      </c>
      <c r="BJ16" s="50" t="s">
        <v>127</v>
      </c>
      <c r="BK16" s="50" t="s">
        <v>19708</v>
      </c>
      <c r="BL16" s="50" t="s">
        <v>19709</v>
      </c>
      <c r="BM16" s="50" t="s">
        <v>19710</v>
      </c>
      <c r="BN16" s="50" t="s">
        <v>1523</v>
      </c>
      <c r="BO16" s="50" t="s">
        <v>1670</v>
      </c>
      <c r="BP16" s="50" t="s">
        <v>258</v>
      </c>
      <c r="BQ16" s="50" t="s">
        <v>1671</v>
      </c>
      <c r="BR16" s="50" t="s">
        <v>1672</v>
      </c>
      <c r="BS16" s="50" t="s">
        <v>8262</v>
      </c>
      <c r="BU16" s="50" t="s">
        <v>19711</v>
      </c>
      <c r="BV16" s="50" t="s">
        <v>19712</v>
      </c>
      <c r="BW16" s="50" t="s">
        <v>138</v>
      </c>
      <c r="BX16" s="50" t="s">
        <v>225</v>
      </c>
      <c r="BY16" s="50" t="s">
        <v>19713</v>
      </c>
      <c r="BZ16" s="50" t="s">
        <v>19714</v>
      </c>
      <c r="CA16" s="50" t="s">
        <v>14697</v>
      </c>
      <c r="CB16" s="50" t="s">
        <v>14698</v>
      </c>
      <c r="CC16" s="50" t="s">
        <v>14695</v>
      </c>
      <c r="CD16" s="50" t="s">
        <v>19715</v>
      </c>
      <c r="CE16" s="50" t="s">
        <v>19714</v>
      </c>
      <c r="CF16" s="50" t="s">
        <v>19716</v>
      </c>
      <c r="CG16" s="50" t="s">
        <v>19717</v>
      </c>
      <c r="CH16" s="50" t="s">
        <v>19718</v>
      </c>
      <c r="CJ16" s="50" t="s">
        <v>19719</v>
      </c>
      <c r="CK16" s="50" t="s">
        <v>19718</v>
      </c>
      <c r="CL16" s="50" t="s">
        <v>620</v>
      </c>
      <c r="CM16" s="50" t="s">
        <v>621</v>
      </c>
      <c r="CN16" s="50" t="s">
        <v>19719</v>
      </c>
      <c r="CP16" s="50" t="s">
        <v>19718</v>
      </c>
      <c r="CQ16" s="50" t="s">
        <v>19718</v>
      </c>
      <c r="CR16" s="50" t="s">
        <v>26045</v>
      </c>
    </row>
    <row r="17" spans="1:96">
      <c r="A17" s="50" t="s">
        <v>337</v>
      </c>
      <c r="B17" s="50">
        <v>3327620</v>
      </c>
      <c r="C17" s="50" t="s">
        <v>12121</v>
      </c>
      <c r="D17" s="50" t="s">
        <v>15588</v>
      </c>
      <c r="E17" s="50" t="str">
        <f>VLOOKUP(B17,aa!B:F,5,0)</f>
        <v>Ei CARES</v>
      </c>
      <c r="F17" s="50">
        <f>VLOOKUP(B17,aa!B:J,9,0)</f>
        <v>2272400</v>
      </c>
      <c r="G17" s="50">
        <f>VLOOKUP(B17,aa!B:L,11,0)</f>
        <v>0</v>
      </c>
      <c r="H17" s="50">
        <f>VLOOKUP(B17,aa!B:O,14,0)</f>
        <v>2272400</v>
      </c>
      <c r="I17" s="50">
        <f>VLOOKUP(B17,aa!B:R,17,0)</f>
        <v>0</v>
      </c>
      <c r="K17" s="50" t="s">
        <v>152</v>
      </c>
      <c r="L17" s="50">
        <v>2188800</v>
      </c>
      <c r="M17" s="50">
        <v>2188800</v>
      </c>
      <c r="N17" s="50">
        <v>0</v>
      </c>
      <c r="O17" s="50">
        <v>0</v>
      </c>
      <c r="Q17" s="50">
        <v>2188800</v>
      </c>
      <c r="R17" s="50">
        <v>1152</v>
      </c>
      <c r="S17" s="50" t="s">
        <v>13436</v>
      </c>
      <c r="T17" s="50">
        <v>0</v>
      </c>
      <c r="U17" s="50">
        <v>0</v>
      </c>
      <c r="W17" s="50" t="s">
        <v>102</v>
      </c>
      <c r="X17" s="50" t="s">
        <v>103</v>
      </c>
      <c r="Y17" s="50" t="s">
        <v>155</v>
      </c>
      <c r="AA17" s="50" t="s">
        <v>107</v>
      </c>
      <c r="AB17" s="50" t="s">
        <v>15589</v>
      </c>
      <c r="AC17" s="50" t="s">
        <v>6918</v>
      </c>
      <c r="AD17" s="50" t="s">
        <v>15590</v>
      </c>
      <c r="AE17" s="50" t="s">
        <v>13583</v>
      </c>
      <c r="AF17" s="50" t="s">
        <v>15591</v>
      </c>
      <c r="AG17" s="50" t="s">
        <v>12728</v>
      </c>
      <c r="AH17" s="50" t="s">
        <v>15592</v>
      </c>
      <c r="AI17" s="50" t="s">
        <v>15593</v>
      </c>
      <c r="AJ17" s="50" t="s">
        <v>2816</v>
      </c>
      <c r="AK17" s="50" t="s">
        <v>15054</v>
      </c>
      <c r="AL17" s="50" t="s">
        <v>15594</v>
      </c>
      <c r="AM17" s="50" t="s">
        <v>15595</v>
      </c>
      <c r="AN17" s="50" t="s">
        <v>15596</v>
      </c>
      <c r="AO17" s="50" t="s">
        <v>116</v>
      </c>
      <c r="AP17" s="50" t="s">
        <v>116</v>
      </c>
      <c r="AU17" s="50" t="s">
        <v>102</v>
      </c>
      <c r="AW17" s="50" t="s">
        <v>1758</v>
      </c>
      <c r="AX17" s="50" t="s">
        <v>119</v>
      </c>
      <c r="AY17" s="50" t="s">
        <v>170</v>
      </c>
      <c r="AZ17" s="50" t="s">
        <v>118</v>
      </c>
      <c r="BB17" s="50" t="s">
        <v>120</v>
      </c>
      <c r="BC17" s="50" t="s">
        <v>555</v>
      </c>
      <c r="BD17" s="50" t="s">
        <v>556</v>
      </c>
      <c r="BE17" s="50" t="s">
        <v>122</v>
      </c>
      <c r="BF17" s="50" t="s">
        <v>557</v>
      </c>
      <c r="BG17" s="50" t="s">
        <v>124</v>
      </c>
      <c r="BH17" s="50" t="s">
        <v>12023</v>
      </c>
      <c r="BI17" s="50" t="s">
        <v>11889</v>
      </c>
      <c r="BJ17" s="50" t="s">
        <v>127</v>
      </c>
      <c r="BK17" s="50" t="s">
        <v>15597</v>
      </c>
      <c r="BL17" s="50" t="s">
        <v>15598</v>
      </c>
      <c r="BM17" s="50" t="s">
        <v>15599</v>
      </c>
      <c r="BN17" s="50" t="s">
        <v>107</v>
      </c>
      <c r="BO17" s="50" t="s">
        <v>563</v>
      </c>
      <c r="BP17" s="50" t="s">
        <v>132</v>
      </c>
      <c r="BQ17" s="50" t="s">
        <v>564</v>
      </c>
      <c r="BR17" s="50" t="s">
        <v>565</v>
      </c>
      <c r="BS17" s="50" t="s">
        <v>563</v>
      </c>
      <c r="BU17" s="50" t="s">
        <v>15600</v>
      </c>
      <c r="BV17" s="50" t="s">
        <v>15601</v>
      </c>
      <c r="BW17" s="50" t="s">
        <v>354</v>
      </c>
      <c r="BX17" s="50" t="s">
        <v>15602</v>
      </c>
      <c r="BY17" s="50" t="s">
        <v>15603</v>
      </c>
      <c r="BZ17" s="50" t="s">
        <v>15602</v>
      </c>
      <c r="CA17" s="50" t="s">
        <v>15604</v>
      </c>
      <c r="CB17" s="50" t="s">
        <v>15602</v>
      </c>
      <c r="CC17" s="50" t="s">
        <v>15605</v>
      </c>
      <c r="CD17" s="50" t="s">
        <v>15606</v>
      </c>
      <c r="CE17" s="50" t="s">
        <v>15607</v>
      </c>
      <c r="CF17" s="50" t="s">
        <v>15605</v>
      </c>
      <c r="CG17" s="50" t="s">
        <v>3841</v>
      </c>
      <c r="CH17" s="50" t="s">
        <v>15608</v>
      </c>
      <c r="CJ17" s="50" t="s">
        <v>15609</v>
      </c>
      <c r="CK17" s="50" t="s">
        <v>15608</v>
      </c>
      <c r="CL17" s="50" t="s">
        <v>555</v>
      </c>
      <c r="CM17" s="50" t="s">
        <v>556</v>
      </c>
      <c r="CN17" s="50" t="s">
        <v>15609</v>
      </c>
      <c r="CO17" s="50" t="s">
        <v>15610</v>
      </c>
      <c r="CP17" s="50" t="s">
        <v>15608</v>
      </c>
      <c r="CQ17" s="50" t="s">
        <v>15608</v>
      </c>
    </row>
    <row r="18" spans="1:96">
      <c r="A18" s="50" t="s">
        <v>337</v>
      </c>
      <c r="B18" s="50">
        <v>4091040</v>
      </c>
      <c r="C18" s="50" t="s">
        <v>12155</v>
      </c>
      <c r="D18" s="50" t="s">
        <v>18069</v>
      </c>
      <c r="E18" s="50" t="str">
        <f>VLOOKUP(B18,aa!B:F,5,0)</f>
        <v>Ei CARES</v>
      </c>
      <c r="F18" s="50">
        <f>VLOOKUP(B18,aa!B:J,9,0)</f>
        <v>436451</v>
      </c>
      <c r="G18" s="50">
        <f>VLOOKUP(B18,aa!B:L,11,0)</f>
        <v>0</v>
      </c>
      <c r="H18" s="50">
        <f>VLOOKUP(B18,aa!B:O,14,0)</f>
        <v>436451</v>
      </c>
      <c r="I18" s="50">
        <f>VLOOKUP(B18,aa!B:R,17,0)</f>
        <v>0</v>
      </c>
      <c r="K18" s="50" t="s">
        <v>152</v>
      </c>
      <c r="L18" s="50">
        <v>447065</v>
      </c>
      <c r="M18" s="50">
        <v>447065</v>
      </c>
      <c r="N18" s="50">
        <v>0</v>
      </c>
      <c r="O18" s="50">
        <v>0</v>
      </c>
      <c r="Q18" s="50">
        <v>447065</v>
      </c>
      <c r="R18" s="50">
        <v>552</v>
      </c>
      <c r="S18" s="50" t="s">
        <v>6750</v>
      </c>
      <c r="T18" s="50">
        <v>0</v>
      </c>
      <c r="U18" s="50">
        <v>0</v>
      </c>
      <c r="W18" s="50" t="s">
        <v>102</v>
      </c>
      <c r="X18" s="50" t="s">
        <v>103</v>
      </c>
      <c r="Y18" s="50" t="s">
        <v>155</v>
      </c>
      <c r="AA18" s="50" t="s">
        <v>1305</v>
      </c>
      <c r="AB18" s="50" t="s">
        <v>18070</v>
      </c>
      <c r="AC18" s="50" t="s">
        <v>13033</v>
      </c>
      <c r="AD18" s="50" t="s">
        <v>18070</v>
      </c>
      <c r="AE18" s="50" t="s">
        <v>13034</v>
      </c>
      <c r="AF18" s="50" t="s">
        <v>18070</v>
      </c>
      <c r="AG18" s="50" t="s">
        <v>12713</v>
      </c>
      <c r="AH18" s="50" t="s">
        <v>18070</v>
      </c>
      <c r="AI18" s="50" t="s">
        <v>102</v>
      </c>
      <c r="AJ18" s="50" t="s">
        <v>8996</v>
      </c>
      <c r="AK18" s="50" t="s">
        <v>13000</v>
      </c>
      <c r="AL18" s="50" t="s">
        <v>18071</v>
      </c>
      <c r="AM18" s="50" t="s">
        <v>18072</v>
      </c>
      <c r="AN18" s="50" t="s">
        <v>18073</v>
      </c>
      <c r="AO18" s="50" t="s">
        <v>18074</v>
      </c>
      <c r="AP18" s="50" t="s">
        <v>18074</v>
      </c>
      <c r="AU18" s="50" t="s">
        <v>102</v>
      </c>
      <c r="AW18" s="50" t="s">
        <v>155</v>
      </c>
      <c r="AX18" s="50" t="s">
        <v>447</v>
      </c>
      <c r="AY18" s="50" t="s">
        <v>170</v>
      </c>
      <c r="AZ18" s="50" t="s">
        <v>118</v>
      </c>
      <c r="BB18" s="50" t="s">
        <v>120</v>
      </c>
      <c r="BC18" s="50" t="s">
        <v>18075</v>
      </c>
      <c r="BD18" s="50" t="s">
        <v>173</v>
      </c>
      <c r="BE18" s="50" t="s">
        <v>174</v>
      </c>
      <c r="BF18" s="50" t="s">
        <v>173</v>
      </c>
      <c r="BG18" s="50" t="s">
        <v>124</v>
      </c>
      <c r="BH18" s="50" t="s">
        <v>12023</v>
      </c>
      <c r="BI18" s="50" t="s">
        <v>11889</v>
      </c>
      <c r="BJ18" s="50" t="s">
        <v>127</v>
      </c>
      <c r="BK18" s="50" t="s">
        <v>18076</v>
      </c>
      <c r="BL18" s="50" t="s">
        <v>18077</v>
      </c>
      <c r="BM18" s="50" t="s">
        <v>18078</v>
      </c>
      <c r="BN18" s="50" t="s">
        <v>107</v>
      </c>
      <c r="BO18" s="50" t="s">
        <v>9823</v>
      </c>
      <c r="BP18" s="50" t="s">
        <v>180</v>
      </c>
      <c r="BQ18" s="50" t="s">
        <v>9824</v>
      </c>
      <c r="BR18" s="50" t="s">
        <v>9825</v>
      </c>
      <c r="BS18" s="50" t="s">
        <v>1176</v>
      </c>
      <c r="BU18" s="50" t="s">
        <v>18079</v>
      </c>
      <c r="BV18" s="50" t="s">
        <v>18080</v>
      </c>
      <c r="BW18" s="50" t="s">
        <v>138</v>
      </c>
      <c r="BX18" s="50" t="s">
        <v>18081</v>
      </c>
      <c r="BY18" s="50" t="s">
        <v>18082</v>
      </c>
      <c r="BZ18" s="50" t="s">
        <v>18083</v>
      </c>
      <c r="CA18" s="50" t="s">
        <v>18084</v>
      </c>
      <c r="CB18" s="50" t="s">
        <v>18081</v>
      </c>
      <c r="CC18" s="50" t="s">
        <v>18082</v>
      </c>
      <c r="CD18" s="50" t="s">
        <v>18085</v>
      </c>
      <c r="CE18" s="50" t="s">
        <v>18086</v>
      </c>
      <c r="CF18" s="50" t="s">
        <v>18087</v>
      </c>
      <c r="CG18" s="50" t="s">
        <v>18088</v>
      </c>
      <c r="CH18" s="50" t="s">
        <v>18089</v>
      </c>
      <c r="CJ18" s="50" t="s">
        <v>18090</v>
      </c>
      <c r="CK18" s="50" t="s">
        <v>18089</v>
      </c>
      <c r="CL18" s="50" t="s">
        <v>18075</v>
      </c>
      <c r="CM18" s="50" t="s">
        <v>173</v>
      </c>
      <c r="CN18" s="50" t="s">
        <v>18090</v>
      </c>
      <c r="CP18" s="50" t="s">
        <v>18089</v>
      </c>
      <c r="CQ18" s="50" t="s">
        <v>18089</v>
      </c>
    </row>
    <row r="19" spans="1:96">
      <c r="A19" s="50" t="s">
        <v>337</v>
      </c>
      <c r="B19" s="50">
        <v>3168781</v>
      </c>
      <c r="C19" s="50" t="s">
        <v>2151</v>
      </c>
      <c r="D19" s="50" t="s">
        <v>15110</v>
      </c>
      <c r="E19" s="50" t="e">
        <f>VLOOKUP(B19,aa!B:F,5,0)</f>
        <v>#N/A</v>
      </c>
      <c r="F19" s="50" t="e">
        <f>VLOOKUP(B19,aa!B:J,9,0)</f>
        <v>#N/A</v>
      </c>
      <c r="G19" s="50" t="e">
        <f>VLOOKUP(B19,aa!B:L,11,0)</f>
        <v>#N/A</v>
      </c>
      <c r="H19" s="50" t="e">
        <f>VLOOKUP(B19,aa!B:O,14,0)</f>
        <v>#N/A</v>
      </c>
      <c r="I19" s="50" t="e">
        <f>VLOOKUP(B19,aa!B:R,17,0)</f>
        <v>#N/A</v>
      </c>
      <c r="K19" s="50" t="s">
        <v>193</v>
      </c>
      <c r="L19" s="50">
        <v>5284328</v>
      </c>
      <c r="M19" s="50">
        <v>5963734</v>
      </c>
      <c r="N19" s="50">
        <v>1509849</v>
      </c>
      <c r="O19" s="50">
        <v>1510</v>
      </c>
      <c r="P19" s="50" t="s">
        <v>5042</v>
      </c>
      <c r="Q19" s="50">
        <v>0</v>
      </c>
      <c r="R19" s="50">
        <v>0</v>
      </c>
      <c r="T19" s="50">
        <v>3774479</v>
      </c>
      <c r="U19" s="50">
        <v>1713</v>
      </c>
      <c r="V19" s="50" t="s">
        <v>608</v>
      </c>
      <c r="W19" s="50" t="s">
        <v>102</v>
      </c>
      <c r="X19" s="50" t="s">
        <v>103</v>
      </c>
      <c r="Y19" s="50" t="s">
        <v>398</v>
      </c>
      <c r="AA19" s="50" t="s">
        <v>15111</v>
      </c>
      <c r="AB19" s="50" t="s">
        <v>15112</v>
      </c>
      <c r="AC19" s="50" t="s">
        <v>15113</v>
      </c>
      <c r="AD19" s="50" t="s">
        <v>15114</v>
      </c>
      <c r="AE19" s="50" t="s">
        <v>15115</v>
      </c>
      <c r="AF19" s="50" t="s">
        <v>15116</v>
      </c>
      <c r="AG19" s="50" t="s">
        <v>109</v>
      </c>
      <c r="AH19" s="50" t="s">
        <v>102</v>
      </c>
      <c r="AI19" s="50" t="s">
        <v>15117</v>
      </c>
      <c r="AJ19" s="50" t="s">
        <v>15118</v>
      </c>
      <c r="AK19" s="50" t="s">
        <v>15119</v>
      </c>
      <c r="AL19" s="50" t="s">
        <v>15120</v>
      </c>
      <c r="AM19" s="50" t="s">
        <v>15121</v>
      </c>
      <c r="AN19" s="50" t="s">
        <v>15122</v>
      </c>
      <c r="AO19" s="50" t="s">
        <v>15123</v>
      </c>
      <c r="AP19" s="50" t="s">
        <v>15124</v>
      </c>
      <c r="AR19" s="50" t="s">
        <v>169</v>
      </c>
      <c r="AU19" s="50" t="s">
        <v>207</v>
      </c>
      <c r="AV19" s="50" t="s">
        <v>250</v>
      </c>
      <c r="AW19" s="50" t="s">
        <v>102</v>
      </c>
      <c r="AX19" s="50" t="s">
        <v>119</v>
      </c>
      <c r="BA19" s="50" t="s">
        <v>250</v>
      </c>
      <c r="BB19" s="50" t="s">
        <v>120</v>
      </c>
      <c r="BC19" s="50" t="s">
        <v>920</v>
      </c>
      <c r="BD19" s="50" t="s">
        <v>211</v>
      </c>
      <c r="BE19" s="50" t="s">
        <v>212</v>
      </c>
      <c r="BF19" s="50" t="s">
        <v>213</v>
      </c>
      <c r="BG19" s="50" t="s">
        <v>124</v>
      </c>
      <c r="BH19" s="50" t="s">
        <v>13308</v>
      </c>
      <c r="BI19" s="50" t="s">
        <v>12637</v>
      </c>
      <c r="BJ19" s="50" t="s">
        <v>127</v>
      </c>
      <c r="BK19" s="50" t="s">
        <v>15125</v>
      </c>
      <c r="BL19" s="50" t="s">
        <v>15126</v>
      </c>
      <c r="BM19" s="50" t="s">
        <v>15127</v>
      </c>
      <c r="BN19" s="50" t="s">
        <v>15111</v>
      </c>
      <c r="BO19" s="50" t="s">
        <v>1309</v>
      </c>
      <c r="BP19" s="50" t="s">
        <v>7992</v>
      </c>
      <c r="BQ19" s="50" t="s">
        <v>1310</v>
      </c>
      <c r="BR19" s="50" t="s">
        <v>1311</v>
      </c>
      <c r="BS19" s="50" t="s">
        <v>2463</v>
      </c>
      <c r="BU19" s="50" t="s">
        <v>15128</v>
      </c>
      <c r="BV19" s="50" t="s">
        <v>15129</v>
      </c>
      <c r="BW19" s="50" t="s">
        <v>138</v>
      </c>
      <c r="BX19" s="50" t="s">
        <v>15130</v>
      </c>
      <c r="BY19" s="50" t="s">
        <v>15131</v>
      </c>
      <c r="BZ19" s="50" t="s">
        <v>15132</v>
      </c>
      <c r="CA19" s="50" t="s">
        <v>15129</v>
      </c>
      <c r="CB19" s="50" t="s">
        <v>15133</v>
      </c>
      <c r="CC19" s="50" t="s">
        <v>15131</v>
      </c>
      <c r="CD19" s="50" t="s">
        <v>15134</v>
      </c>
      <c r="CE19" s="50" t="s">
        <v>15135</v>
      </c>
      <c r="CF19" s="50" t="s">
        <v>15136</v>
      </c>
      <c r="CG19" s="50" t="s">
        <v>6709</v>
      </c>
      <c r="CH19" s="50" t="s">
        <v>15137</v>
      </c>
      <c r="CJ19" s="50" t="s">
        <v>15138</v>
      </c>
      <c r="CK19" s="50" t="s">
        <v>15137</v>
      </c>
      <c r="CL19" s="50" t="s">
        <v>920</v>
      </c>
      <c r="CM19" s="50" t="s">
        <v>211</v>
      </c>
      <c r="CN19" s="50" t="s">
        <v>15138</v>
      </c>
      <c r="CP19" s="50" t="s">
        <v>15137</v>
      </c>
      <c r="CQ19" s="50" t="s">
        <v>15137</v>
      </c>
      <c r="CR19" s="50" t="s">
        <v>26042</v>
      </c>
    </row>
    <row r="20" spans="1:96">
      <c r="A20" s="50" t="s">
        <v>337</v>
      </c>
      <c r="B20" s="50">
        <v>4050265</v>
      </c>
      <c r="C20" s="50" t="s">
        <v>3562</v>
      </c>
      <c r="D20" s="50" t="s">
        <v>8635</v>
      </c>
      <c r="E20" s="50" t="str">
        <f>VLOOKUP(B20,aa!B:F,5,0)</f>
        <v>Ei CARES</v>
      </c>
      <c r="F20" s="50">
        <f>VLOOKUP(B20,aa!B:J,9,0)</f>
        <v>413965</v>
      </c>
      <c r="G20" s="50">
        <f>VLOOKUP(B20,aa!B:L,11,0)</f>
        <v>0</v>
      </c>
      <c r="H20" s="50">
        <f>VLOOKUP(B20,aa!B:O,14,0)</f>
        <v>413965</v>
      </c>
      <c r="I20" s="50">
        <f>VLOOKUP(B20,aa!B:R,17,0)</f>
        <v>0</v>
      </c>
      <c r="K20" s="50" t="s">
        <v>152</v>
      </c>
      <c r="L20" s="50">
        <v>244400</v>
      </c>
      <c r="M20" s="50">
        <v>244400</v>
      </c>
      <c r="N20" s="50">
        <v>0</v>
      </c>
      <c r="O20" s="50">
        <v>0</v>
      </c>
      <c r="Q20" s="50">
        <v>244400</v>
      </c>
      <c r="R20" s="50">
        <v>376</v>
      </c>
      <c r="S20" s="50" t="s">
        <v>1122</v>
      </c>
      <c r="T20" s="50">
        <v>0</v>
      </c>
      <c r="U20" s="50">
        <v>0</v>
      </c>
      <c r="W20" s="50" t="s">
        <v>102</v>
      </c>
      <c r="X20" s="50" t="s">
        <v>275</v>
      </c>
      <c r="Z20" s="50" t="s">
        <v>411</v>
      </c>
      <c r="AA20" s="50" t="s">
        <v>109</v>
      </c>
      <c r="AB20" s="50" t="s">
        <v>102</v>
      </c>
      <c r="AC20" s="50" t="s">
        <v>109</v>
      </c>
      <c r="AD20" s="50" t="s">
        <v>102</v>
      </c>
      <c r="AE20" s="50" t="s">
        <v>109</v>
      </c>
      <c r="AF20" s="50" t="s">
        <v>102</v>
      </c>
      <c r="AG20" s="50" t="s">
        <v>109</v>
      </c>
      <c r="AH20" s="50" t="s">
        <v>102</v>
      </c>
      <c r="AI20" s="50" t="s">
        <v>102</v>
      </c>
      <c r="AJ20" s="50" t="s">
        <v>10729</v>
      </c>
      <c r="AK20" s="50" t="s">
        <v>10729</v>
      </c>
      <c r="AL20" s="50" t="s">
        <v>18011</v>
      </c>
      <c r="AM20" s="50" t="s">
        <v>18012</v>
      </c>
      <c r="AN20" s="50" t="s">
        <v>18013</v>
      </c>
      <c r="AO20" s="50" t="s">
        <v>116</v>
      </c>
      <c r="AP20" s="50" t="s">
        <v>116</v>
      </c>
      <c r="AU20" s="50" t="s">
        <v>102</v>
      </c>
      <c r="AW20" s="50" t="s">
        <v>155</v>
      </c>
      <c r="AX20" s="50" t="s">
        <v>447</v>
      </c>
      <c r="AY20" s="50" t="s">
        <v>170</v>
      </c>
      <c r="AZ20" s="50" t="s">
        <v>118</v>
      </c>
      <c r="BB20" s="50" t="s">
        <v>8636</v>
      </c>
      <c r="BC20" s="50" t="s">
        <v>8637</v>
      </c>
      <c r="BD20" s="50" t="s">
        <v>730</v>
      </c>
      <c r="BE20" s="50" t="s">
        <v>622</v>
      </c>
      <c r="BF20" s="50" t="s">
        <v>730</v>
      </c>
      <c r="BG20" s="50" t="s">
        <v>124</v>
      </c>
      <c r="BH20" s="50" t="s">
        <v>12023</v>
      </c>
      <c r="BI20" s="50" t="s">
        <v>11889</v>
      </c>
      <c r="BJ20" s="50" t="s">
        <v>127</v>
      </c>
      <c r="BK20" s="50" t="s">
        <v>18014</v>
      </c>
      <c r="BL20" s="50" t="s">
        <v>8638</v>
      </c>
      <c r="BM20" s="50" t="s">
        <v>18015</v>
      </c>
      <c r="BN20" s="50" t="s">
        <v>685</v>
      </c>
      <c r="BO20" s="50" t="s">
        <v>2262</v>
      </c>
      <c r="BP20" s="50" t="s">
        <v>505</v>
      </c>
      <c r="BQ20" s="50" t="s">
        <v>2263</v>
      </c>
      <c r="BR20" s="50" t="s">
        <v>2264</v>
      </c>
      <c r="BS20" s="50" t="s">
        <v>2331</v>
      </c>
      <c r="BU20" s="50" t="s">
        <v>18016</v>
      </c>
      <c r="BV20" s="50" t="s">
        <v>8639</v>
      </c>
      <c r="BW20" s="50" t="s">
        <v>354</v>
      </c>
      <c r="BX20" s="50" t="s">
        <v>8640</v>
      </c>
      <c r="BY20" s="50" t="s">
        <v>8641</v>
      </c>
      <c r="BZ20" s="50" t="s">
        <v>8642</v>
      </c>
      <c r="CA20" s="50" t="s">
        <v>8643</v>
      </c>
      <c r="CB20" s="50" t="s">
        <v>8644</v>
      </c>
      <c r="CC20" s="50" t="s">
        <v>8645</v>
      </c>
      <c r="CD20" s="50" t="s">
        <v>8643</v>
      </c>
      <c r="CE20" s="50" t="s">
        <v>8644</v>
      </c>
      <c r="CF20" s="50" t="s">
        <v>8645</v>
      </c>
      <c r="CG20" s="50" t="s">
        <v>8646</v>
      </c>
      <c r="CH20" s="50" t="s">
        <v>8647</v>
      </c>
      <c r="CJ20" s="50" t="s">
        <v>8648</v>
      </c>
      <c r="CK20" s="50" t="s">
        <v>8647</v>
      </c>
      <c r="CL20" s="50" t="s">
        <v>8637</v>
      </c>
      <c r="CM20" s="50" t="s">
        <v>730</v>
      </c>
      <c r="CN20" s="50" t="s">
        <v>8648</v>
      </c>
      <c r="CP20" s="50" t="s">
        <v>8647</v>
      </c>
      <c r="CQ20" s="50" t="s">
        <v>8647</v>
      </c>
      <c r="CR20" s="50" t="s">
        <v>26048</v>
      </c>
    </row>
    <row r="21" spans="1:96">
      <c r="A21" s="50" t="s">
        <v>337</v>
      </c>
      <c r="B21" s="50">
        <v>5018453</v>
      </c>
      <c r="C21" s="50" t="s">
        <v>12423</v>
      </c>
      <c r="D21" s="50" t="s">
        <v>19809</v>
      </c>
      <c r="E21" s="50" t="e">
        <f>VLOOKUP(B21,aa!B:F,5,0)</f>
        <v>#N/A</v>
      </c>
      <c r="F21" s="50" t="e">
        <f>VLOOKUP(B21,aa!B:J,9,0)</f>
        <v>#N/A</v>
      </c>
      <c r="G21" s="50" t="e">
        <f>VLOOKUP(B21,aa!B:L,11,0)</f>
        <v>#N/A</v>
      </c>
      <c r="H21" s="50" t="e">
        <f>VLOOKUP(B21,aa!B:O,14,0)</f>
        <v>#N/A</v>
      </c>
      <c r="I21" s="50" t="e">
        <f>VLOOKUP(B21,aa!B:R,17,0)</f>
        <v>#N/A</v>
      </c>
      <c r="K21" s="50" t="s">
        <v>8024</v>
      </c>
      <c r="L21" s="50">
        <v>2420925</v>
      </c>
      <c r="M21" s="50">
        <v>2664830</v>
      </c>
      <c r="N21" s="50">
        <v>0</v>
      </c>
      <c r="O21" s="50">
        <v>0</v>
      </c>
      <c r="Q21" s="50">
        <v>1065900</v>
      </c>
      <c r="R21" s="50">
        <v>1615</v>
      </c>
      <c r="S21" s="50" t="s">
        <v>4273</v>
      </c>
      <c r="T21" s="50">
        <v>1355025</v>
      </c>
      <c r="U21" s="50">
        <v>1615</v>
      </c>
      <c r="V21" s="50" t="s">
        <v>19810</v>
      </c>
      <c r="W21" s="50" t="s">
        <v>102</v>
      </c>
      <c r="X21" s="50" t="s">
        <v>103</v>
      </c>
      <c r="Y21" s="50" t="s">
        <v>398</v>
      </c>
      <c r="AA21" s="50" t="s">
        <v>1721</v>
      </c>
      <c r="AB21" s="50" t="s">
        <v>19811</v>
      </c>
      <c r="AC21" s="50" t="s">
        <v>1941</v>
      </c>
      <c r="AD21" s="50" t="s">
        <v>19812</v>
      </c>
      <c r="AE21" s="50" t="s">
        <v>13395</v>
      </c>
      <c r="AF21" s="50" t="s">
        <v>19813</v>
      </c>
      <c r="AG21" s="50" t="s">
        <v>109</v>
      </c>
      <c r="AH21" s="50" t="s">
        <v>102</v>
      </c>
      <c r="AI21" s="50" t="s">
        <v>102</v>
      </c>
      <c r="AJ21" s="50" t="s">
        <v>2324</v>
      </c>
      <c r="AK21" s="50" t="s">
        <v>12429</v>
      </c>
      <c r="AL21" s="50" t="s">
        <v>19814</v>
      </c>
      <c r="AM21" s="50" t="s">
        <v>19815</v>
      </c>
      <c r="AN21" s="50" t="s">
        <v>19816</v>
      </c>
      <c r="AO21" s="50" t="s">
        <v>19817</v>
      </c>
      <c r="AP21" s="50" t="s">
        <v>15155</v>
      </c>
      <c r="AR21" s="50" t="s">
        <v>169</v>
      </c>
      <c r="AS21" s="50" t="s">
        <v>169</v>
      </c>
      <c r="AU21" s="50" t="s">
        <v>102</v>
      </c>
      <c r="AW21" s="50" t="s">
        <v>155</v>
      </c>
      <c r="AX21" s="50" t="s">
        <v>119</v>
      </c>
      <c r="AZ21" s="50" t="s">
        <v>250</v>
      </c>
      <c r="BA21" s="50" t="s">
        <v>250</v>
      </c>
      <c r="BB21" s="50" t="s">
        <v>598</v>
      </c>
      <c r="BC21" s="50" t="s">
        <v>4049</v>
      </c>
      <c r="BD21" s="50" t="s">
        <v>410</v>
      </c>
      <c r="BE21" s="50" t="s">
        <v>212</v>
      </c>
      <c r="BF21" s="50" t="s">
        <v>410</v>
      </c>
      <c r="BG21" s="50" t="s">
        <v>124</v>
      </c>
      <c r="BH21" s="50" t="s">
        <v>11959</v>
      </c>
      <c r="BI21" s="50" t="s">
        <v>11960</v>
      </c>
      <c r="BJ21" s="50" t="s">
        <v>127</v>
      </c>
      <c r="BK21" s="50" t="s">
        <v>19818</v>
      </c>
      <c r="BL21" s="50" t="s">
        <v>19819</v>
      </c>
      <c r="BM21" s="50" t="s">
        <v>19820</v>
      </c>
      <c r="BN21" s="50" t="s">
        <v>1721</v>
      </c>
      <c r="BO21" s="50" t="s">
        <v>4053</v>
      </c>
      <c r="BP21" s="50" t="s">
        <v>505</v>
      </c>
      <c r="BQ21" s="50" t="s">
        <v>4054</v>
      </c>
      <c r="BR21" s="50" t="s">
        <v>4055</v>
      </c>
      <c r="BS21" s="50" t="s">
        <v>4056</v>
      </c>
      <c r="BU21" s="50" t="s">
        <v>19821</v>
      </c>
      <c r="BV21" s="50" t="s">
        <v>19822</v>
      </c>
      <c r="BW21" s="50" t="s">
        <v>354</v>
      </c>
      <c r="BX21" s="50" t="s">
        <v>19823</v>
      </c>
      <c r="BY21" s="50" t="s">
        <v>1559</v>
      </c>
      <c r="BZ21" s="50" t="s">
        <v>19823</v>
      </c>
      <c r="CA21" s="50" t="s">
        <v>19824</v>
      </c>
      <c r="CB21" s="50" t="s">
        <v>19105</v>
      </c>
      <c r="CC21" s="50" t="s">
        <v>19825</v>
      </c>
      <c r="CD21" s="50" t="s">
        <v>19824</v>
      </c>
      <c r="CE21" s="50" t="s">
        <v>19105</v>
      </c>
      <c r="CF21" s="50" t="s">
        <v>19825</v>
      </c>
      <c r="CG21" s="50" t="s">
        <v>492</v>
      </c>
      <c r="CH21" s="50" t="s">
        <v>19826</v>
      </c>
      <c r="CJ21" s="50" t="s">
        <v>19827</v>
      </c>
      <c r="CK21" s="50" t="s">
        <v>19828</v>
      </c>
      <c r="CL21" s="50" t="s">
        <v>4049</v>
      </c>
      <c r="CM21" s="50" t="s">
        <v>1711</v>
      </c>
      <c r="CN21" s="50" t="s">
        <v>19827</v>
      </c>
      <c r="CP21" s="50" t="s">
        <v>19826</v>
      </c>
      <c r="CQ21" s="50" t="s">
        <v>19828</v>
      </c>
      <c r="CR21" s="50" t="s">
        <v>26040</v>
      </c>
    </row>
    <row r="22" spans="1:96">
      <c r="A22" s="50" t="s">
        <v>337</v>
      </c>
      <c r="B22" s="50">
        <v>5016248</v>
      </c>
      <c r="C22" s="50" t="s">
        <v>12018</v>
      </c>
      <c r="D22" s="50" t="s">
        <v>18841</v>
      </c>
      <c r="E22" s="50" t="e">
        <f>VLOOKUP(B22,aa!B:F,5,0)</f>
        <v>#N/A</v>
      </c>
      <c r="F22" s="50" t="e">
        <f>VLOOKUP(B22,aa!B:J,9,0)</f>
        <v>#N/A</v>
      </c>
      <c r="G22" s="50" t="e">
        <f>VLOOKUP(B22,aa!B:L,11,0)</f>
        <v>#N/A</v>
      </c>
      <c r="H22" s="50" t="e">
        <f>VLOOKUP(B22,aa!B:O,14,0)</f>
        <v>#N/A</v>
      </c>
      <c r="I22" s="50" t="e">
        <f>VLOOKUP(B22,aa!B:R,17,0)</f>
        <v>#N/A</v>
      </c>
      <c r="K22" s="50" t="s">
        <v>152</v>
      </c>
      <c r="L22" s="50">
        <v>625015</v>
      </c>
      <c r="M22" s="50">
        <v>625015</v>
      </c>
      <c r="N22" s="50">
        <v>0</v>
      </c>
      <c r="O22" s="50">
        <v>0</v>
      </c>
      <c r="Q22" s="50">
        <v>625015</v>
      </c>
      <c r="R22" s="50">
        <v>385</v>
      </c>
      <c r="S22" s="50" t="s">
        <v>17575</v>
      </c>
      <c r="T22" s="50">
        <v>0</v>
      </c>
      <c r="U22" s="50">
        <v>0</v>
      </c>
      <c r="W22" s="50" t="s">
        <v>102</v>
      </c>
      <c r="X22" s="50" t="s">
        <v>103</v>
      </c>
      <c r="Y22" s="50" t="s">
        <v>104</v>
      </c>
      <c r="AA22" s="50" t="s">
        <v>6177</v>
      </c>
      <c r="AB22" s="50" t="s">
        <v>18842</v>
      </c>
      <c r="AC22" s="50" t="s">
        <v>13583</v>
      </c>
      <c r="AD22" s="50" t="s">
        <v>18842</v>
      </c>
      <c r="AE22" s="50" t="s">
        <v>109</v>
      </c>
      <c r="AF22" s="50" t="s">
        <v>102</v>
      </c>
      <c r="AG22" s="50" t="s">
        <v>109</v>
      </c>
      <c r="AH22" s="50" t="s">
        <v>102</v>
      </c>
      <c r="AI22" s="50" t="s">
        <v>18843</v>
      </c>
      <c r="AJ22" s="50" t="s">
        <v>1162</v>
      </c>
      <c r="AK22" s="50" t="s">
        <v>18844</v>
      </c>
      <c r="AL22" s="50" t="s">
        <v>18845</v>
      </c>
      <c r="AM22" s="50" t="s">
        <v>18846</v>
      </c>
      <c r="AN22" s="50" t="s">
        <v>18847</v>
      </c>
      <c r="AO22" s="50" t="s">
        <v>17584</v>
      </c>
      <c r="AP22" s="50" t="s">
        <v>17584</v>
      </c>
      <c r="AU22" s="50" t="s">
        <v>102</v>
      </c>
      <c r="AW22" s="50" t="s">
        <v>155</v>
      </c>
      <c r="AX22" s="50" t="s">
        <v>447</v>
      </c>
      <c r="AY22" s="50" t="s">
        <v>170</v>
      </c>
      <c r="AZ22" s="50" t="s">
        <v>118</v>
      </c>
      <c r="BB22" s="50" t="s">
        <v>209</v>
      </c>
      <c r="BC22" s="50" t="s">
        <v>17740</v>
      </c>
      <c r="BD22" s="50" t="s">
        <v>345</v>
      </c>
      <c r="BE22" s="50" t="s">
        <v>122</v>
      </c>
      <c r="BF22" s="50" t="s">
        <v>346</v>
      </c>
      <c r="BG22" s="50" t="s">
        <v>124</v>
      </c>
      <c r="BH22" s="50" t="s">
        <v>12023</v>
      </c>
      <c r="BI22" s="50" t="s">
        <v>11889</v>
      </c>
      <c r="BJ22" s="50" t="s">
        <v>127</v>
      </c>
      <c r="BK22" s="50" t="s">
        <v>18848</v>
      </c>
      <c r="BL22" s="50" t="s">
        <v>18849</v>
      </c>
      <c r="BM22" s="50" t="s">
        <v>18850</v>
      </c>
      <c r="BN22" s="50" t="s">
        <v>7236</v>
      </c>
      <c r="BO22" s="50" t="s">
        <v>17987</v>
      </c>
      <c r="BP22" s="50" t="s">
        <v>350</v>
      </c>
      <c r="BQ22" s="50" t="s">
        <v>17988</v>
      </c>
      <c r="BR22" s="50" t="s">
        <v>17989</v>
      </c>
      <c r="BS22" s="50" t="s">
        <v>18851</v>
      </c>
      <c r="BU22" s="50" t="s">
        <v>18852</v>
      </c>
      <c r="BV22" s="50" t="s">
        <v>18853</v>
      </c>
      <c r="BW22" s="50" t="s">
        <v>354</v>
      </c>
      <c r="BX22" s="50" t="s">
        <v>17591</v>
      </c>
      <c r="BY22" s="50" t="s">
        <v>17592</v>
      </c>
      <c r="BZ22" s="50" t="s">
        <v>18854</v>
      </c>
      <c r="CA22" s="50" t="s">
        <v>18855</v>
      </c>
      <c r="CB22" s="50" t="s">
        <v>18856</v>
      </c>
      <c r="CC22" s="50" t="s">
        <v>18857</v>
      </c>
      <c r="CD22" s="50" t="s">
        <v>18858</v>
      </c>
      <c r="CE22" s="50" t="s">
        <v>18859</v>
      </c>
      <c r="CF22" s="50" t="s">
        <v>18860</v>
      </c>
      <c r="CG22" s="50" t="s">
        <v>18861</v>
      </c>
      <c r="CH22" s="50" t="s">
        <v>18862</v>
      </c>
      <c r="CJ22" s="50" t="s">
        <v>17597</v>
      </c>
      <c r="CK22" s="50" t="s">
        <v>18862</v>
      </c>
      <c r="CL22" s="50" t="s">
        <v>17740</v>
      </c>
      <c r="CM22" s="50" t="s">
        <v>345</v>
      </c>
      <c r="CN22" s="50" t="s">
        <v>17597</v>
      </c>
      <c r="CP22" s="50" t="s">
        <v>18862</v>
      </c>
      <c r="CQ22" s="50" t="s">
        <v>18862</v>
      </c>
    </row>
    <row r="23" spans="1:96">
      <c r="A23" s="50" t="s">
        <v>93</v>
      </c>
      <c r="B23" s="50">
        <v>5017447</v>
      </c>
      <c r="C23" s="50" t="s">
        <v>384</v>
      </c>
      <c r="D23" s="50" t="s">
        <v>9972</v>
      </c>
      <c r="E23" s="50" t="str">
        <f>VLOOKUP(B23,aa!B:F,5,0)</f>
        <v>Ei Mindspark</v>
      </c>
      <c r="F23" s="50">
        <f>VLOOKUP(B23,aa!B:J,9,0)</f>
        <v>772843</v>
      </c>
      <c r="G23" s="50">
        <f>VLOOKUP(B23,aa!B:L,11,0)</f>
        <v>0</v>
      </c>
      <c r="H23" s="50">
        <f>VLOOKUP(B23,aa!B:O,14,0)</f>
        <v>0</v>
      </c>
      <c r="I23" s="50">
        <f>VLOOKUP(B23,aa!B:R,17,0)</f>
        <v>772843</v>
      </c>
      <c r="K23" s="50" t="s">
        <v>848</v>
      </c>
      <c r="L23" s="50">
        <v>694255</v>
      </c>
      <c r="M23" s="50">
        <v>819221</v>
      </c>
      <c r="N23" s="50">
        <v>0</v>
      </c>
      <c r="O23" s="50">
        <v>0</v>
      </c>
      <c r="Q23" s="50">
        <v>0</v>
      </c>
      <c r="R23" s="50">
        <v>0</v>
      </c>
      <c r="T23" s="50">
        <v>694255</v>
      </c>
      <c r="U23" s="50">
        <v>300</v>
      </c>
      <c r="V23" s="50" t="s">
        <v>19036</v>
      </c>
      <c r="W23" s="50" t="s">
        <v>102</v>
      </c>
      <c r="X23" s="50" t="s">
        <v>103</v>
      </c>
      <c r="Y23" s="50" t="s">
        <v>155</v>
      </c>
      <c r="AA23" s="50" t="s">
        <v>19037</v>
      </c>
      <c r="AB23" s="50" t="s">
        <v>19038</v>
      </c>
      <c r="AC23" s="50" t="s">
        <v>11925</v>
      </c>
      <c r="AD23" s="50" t="s">
        <v>19038</v>
      </c>
      <c r="AE23" s="50" t="s">
        <v>12427</v>
      </c>
      <c r="AF23" s="50" t="s">
        <v>19038</v>
      </c>
      <c r="AG23" s="50" t="s">
        <v>16007</v>
      </c>
      <c r="AH23" s="50" t="s">
        <v>19038</v>
      </c>
      <c r="AI23" s="50" t="s">
        <v>19039</v>
      </c>
      <c r="AJ23" s="50" t="s">
        <v>13186</v>
      </c>
      <c r="AK23" s="50" t="s">
        <v>12696</v>
      </c>
      <c r="AL23" s="50" t="s">
        <v>19040</v>
      </c>
      <c r="AM23" s="50" t="s">
        <v>19041</v>
      </c>
      <c r="AN23" s="50" t="s">
        <v>19042</v>
      </c>
      <c r="AO23" s="50" t="s">
        <v>19043</v>
      </c>
      <c r="AP23" s="50" t="s">
        <v>19043</v>
      </c>
      <c r="AU23" s="50" t="s">
        <v>102</v>
      </c>
      <c r="AW23" s="50" t="s">
        <v>102</v>
      </c>
      <c r="AX23" s="50" t="s">
        <v>119</v>
      </c>
      <c r="BA23" s="50" t="s">
        <v>250</v>
      </c>
      <c r="BB23" s="50" t="s">
        <v>120</v>
      </c>
      <c r="BC23" s="50" t="s">
        <v>375</v>
      </c>
      <c r="BD23" s="50" t="s">
        <v>376</v>
      </c>
      <c r="BE23" s="50" t="s">
        <v>174</v>
      </c>
      <c r="BF23" s="50" t="s">
        <v>376</v>
      </c>
      <c r="BG23" s="50" t="s">
        <v>124</v>
      </c>
      <c r="BH23" s="50" t="s">
        <v>12023</v>
      </c>
      <c r="BI23" s="50" t="s">
        <v>11889</v>
      </c>
      <c r="BJ23" s="50" t="s">
        <v>127</v>
      </c>
      <c r="BK23" s="50" t="s">
        <v>19044</v>
      </c>
      <c r="BL23" s="50" t="s">
        <v>9981</v>
      </c>
      <c r="BM23" s="50" t="s">
        <v>19045</v>
      </c>
      <c r="BN23" s="50" t="s">
        <v>7236</v>
      </c>
      <c r="BO23" s="50" t="s">
        <v>12934</v>
      </c>
      <c r="BP23" s="50" t="s">
        <v>180</v>
      </c>
      <c r="BQ23" s="50" t="s">
        <v>12935</v>
      </c>
      <c r="BR23" s="50" t="s">
        <v>12936</v>
      </c>
      <c r="BS23" s="50" t="s">
        <v>1858</v>
      </c>
      <c r="BU23" s="50" t="s">
        <v>19046</v>
      </c>
      <c r="BV23" s="50" t="s">
        <v>12777</v>
      </c>
      <c r="BW23" s="50" t="s">
        <v>354</v>
      </c>
      <c r="BX23" s="50" t="s">
        <v>1511</v>
      </c>
      <c r="BY23" s="50" t="s">
        <v>1512</v>
      </c>
      <c r="BZ23" s="50" t="s">
        <v>1511</v>
      </c>
      <c r="CA23" s="50" t="s">
        <v>12777</v>
      </c>
      <c r="CB23" s="50" t="s">
        <v>1511</v>
      </c>
      <c r="CC23" s="50" t="s">
        <v>1512</v>
      </c>
      <c r="CD23" s="50" t="s">
        <v>12777</v>
      </c>
      <c r="CE23" s="50" t="s">
        <v>1511</v>
      </c>
      <c r="CF23" s="50" t="s">
        <v>1512</v>
      </c>
      <c r="CG23" s="50" t="s">
        <v>3968</v>
      </c>
      <c r="CH23" s="50" t="s">
        <v>9987</v>
      </c>
      <c r="CJ23" s="50" t="s">
        <v>9988</v>
      </c>
      <c r="CK23" s="50" t="s">
        <v>9989</v>
      </c>
      <c r="CL23" s="50" t="s">
        <v>375</v>
      </c>
      <c r="CM23" s="50" t="s">
        <v>376</v>
      </c>
      <c r="CN23" s="50" t="s">
        <v>9988</v>
      </c>
      <c r="CO23" s="50" t="s">
        <v>1516</v>
      </c>
      <c r="CP23" s="50" t="s">
        <v>9987</v>
      </c>
      <c r="CQ23" s="50" t="s">
        <v>9989</v>
      </c>
    </row>
    <row r="24" spans="1:96">
      <c r="A24" s="50" t="s">
        <v>93</v>
      </c>
      <c r="B24" s="50">
        <v>623030</v>
      </c>
      <c r="C24" s="50" t="s">
        <v>12096</v>
      </c>
      <c r="D24" s="50" t="s">
        <v>11380</v>
      </c>
      <c r="E24" s="50" t="e">
        <f>VLOOKUP(B24,aa!B:F,5,0)</f>
        <v>#N/A</v>
      </c>
      <c r="F24" s="50" t="e">
        <f>VLOOKUP(B24,aa!B:J,9,0)</f>
        <v>#N/A</v>
      </c>
      <c r="G24" s="50" t="e">
        <f>VLOOKUP(B24,aa!B:L,11,0)</f>
        <v>#N/A</v>
      </c>
      <c r="H24" s="50" t="e">
        <f>VLOOKUP(B24,aa!B:O,14,0)</f>
        <v>#N/A</v>
      </c>
      <c r="I24" s="50" t="e">
        <f>VLOOKUP(B24,aa!B:R,17,0)</f>
        <v>#N/A</v>
      </c>
      <c r="K24" s="50" t="s">
        <v>97</v>
      </c>
      <c r="L24" s="50">
        <v>291963</v>
      </c>
      <c r="M24" s="50">
        <v>291963</v>
      </c>
      <c r="N24" s="50">
        <v>291963</v>
      </c>
      <c r="O24" s="50">
        <v>365</v>
      </c>
      <c r="P24" s="50" t="s">
        <v>1297</v>
      </c>
      <c r="Q24" s="50">
        <v>0</v>
      </c>
      <c r="R24" s="50">
        <v>0</v>
      </c>
      <c r="T24" s="50">
        <v>0</v>
      </c>
      <c r="U24" s="50">
        <v>0</v>
      </c>
      <c r="W24" s="50" t="s">
        <v>102</v>
      </c>
      <c r="X24" s="50" t="s">
        <v>103</v>
      </c>
      <c r="Y24" s="50" t="s">
        <v>398</v>
      </c>
      <c r="AA24" s="50" t="s">
        <v>439</v>
      </c>
      <c r="AB24" s="50" t="s">
        <v>21302</v>
      </c>
      <c r="AC24" s="50" t="s">
        <v>4084</v>
      </c>
      <c r="AD24" s="50" t="s">
        <v>21303</v>
      </c>
      <c r="AE24" s="50" t="s">
        <v>12289</v>
      </c>
      <c r="AF24" s="50" t="s">
        <v>21304</v>
      </c>
      <c r="AG24" s="50" t="s">
        <v>109</v>
      </c>
      <c r="AH24" s="50" t="s">
        <v>102</v>
      </c>
      <c r="AI24" s="50" t="s">
        <v>102</v>
      </c>
      <c r="AJ24" s="50" t="s">
        <v>7236</v>
      </c>
      <c r="AK24" s="50" t="s">
        <v>16553</v>
      </c>
      <c r="AL24" s="50" t="s">
        <v>21305</v>
      </c>
      <c r="AM24" s="50" t="s">
        <v>21306</v>
      </c>
      <c r="AN24" s="50" t="s">
        <v>21307</v>
      </c>
      <c r="AO24" s="50" t="s">
        <v>6139</v>
      </c>
      <c r="AP24" s="50" t="s">
        <v>6139</v>
      </c>
      <c r="AU24" s="50" t="s">
        <v>117</v>
      </c>
      <c r="AV24" s="50" t="s">
        <v>118</v>
      </c>
      <c r="AW24" s="50" t="s">
        <v>102</v>
      </c>
      <c r="AX24" s="50" t="s">
        <v>119</v>
      </c>
      <c r="BB24" s="50" t="s">
        <v>209</v>
      </c>
      <c r="BC24" s="50" t="s">
        <v>2820</v>
      </c>
      <c r="BD24" s="50" t="s">
        <v>376</v>
      </c>
      <c r="BE24" s="50" t="s">
        <v>174</v>
      </c>
      <c r="BF24" s="50" t="s">
        <v>376</v>
      </c>
      <c r="BG24" s="50" t="s">
        <v>124</v>
      </c>
      <c r="BH24" s="50" t="s">
        <v>12128</v>
      </c>
      <c r="BI24" s="50" t="s">
        <v>11886</v>
      </c>
      <c r="BJ24" s="50" t="s">
        <v>127</v>
      </c>
      <c r="BK24" s="50" t="s">
        <v>21308</v>
      </c>
      <c r="BL24" s="50" t="s">
        <v>11387</v>
      </c>
      <c r="BM24" s="50" t="s">
        <v>21309</v>
      </c>
      <c r="BN24" s="50" t="s">
        <v>7236</v>
      </c>
      <c r="BO24" s="50" t="s">
        <v>12934</v>
      </c>
      <c r="BP24" s="50" t="s">
        <v>180</v>
      </c>
      <c r="BQ24" s="50" t="s">
        <v>12935</v>
      </c>
      <c r="BR24" s="50" t="s">
        <v>12936</v>
      </c>
      <c r="BS24" s="50" t="s">
        <v>1834</v>
      </c>
      <c r="BT24" s="50" t="s">
        <v>5534</v>
      </c>
      <c r="BU24" s="50" t="s">
        <v>21310</v>
      </c>
      <c r="BV24" s="50" t="s">
        <v>11390</v>
      </c>
      <c r="BW24" s="50" t="s">
        <v>138</v>
      </c>
      <c r="BX24" s="50" t="s">
        <v>11394</v>
      </c>
      <c r="BY24" s="50" t="s">
        <v>11392</v>
      </c>
      <c r="BZ24" s="50" t="s">
        <v>11393</v>
      </c>
      <c r="CA24" s="50" t="s">
        <v>11390</v>
      </c>
      <c r="CB24" s="50" t="s">
        <v>11394</v>
      </c>
      <c r="CC24" s="50" t="s">
        <v>11392</v>
      </c>
      <c r="CD24" s="50" t="s">
        <v>11390</v>
      </c>
      <c r="CE24" s="50" t="s">
        <v>11394</v>
      </c>
      <c r="CF24" s="50" t="s">
        <v>11392</v>
      </c>
      <c r="CG24" s="50" t="s">
        <v>1538</v>
      </c>
      <c r="CH24" s="50" t="s">
        <v>11397</v>
      </c>
      <c r="CJ24" s="50" t="s">
        <v>11398</v>
      </c>
      <c r="CK24" s="50" t="s">
        <v>11397</v>
      </c>
      <c r="CL24" s="50" t="s">
        <v>2820</v>
      </c>
      <c r="CM24" s="50" t="s">
        <v>376</v>
      </c>
      <c r="CN24" s="50" t="s">
        <v>11398</v>
      </c>
      <c r="CP24" s="50" t="s">
        <v>11397</v>
      </c>
      <c r="CQ24" s="50" t="s">
        <v>11397</v>
      </c>
      <c r="CR24" s="50" t="s">
        <v>26044</v>
      </c>
    </row>
    <row r="25" spans="1:96">
      <c r="A25" s="50" t="s">
        <v>93</v>
      </c>
      <c r="B25" s="50">
        <v>3626747</v>
      </c>
      <c r="C25" s="50" t="s">
        <v>16075</v>
      </c>
      <c r="D25" s="50" t="s">
        <v>16647</v>
      </c>
      <c r="E25" s="50" t="str">
        <f>VLOOKUP(B25,aa!B:F,5,0)</f>
        <v>Ei ASSET, Ei Mindspark</v>
      </c>
      <c r="F25" s="50">
        <f>VLOOKUP(B25,aa!B:J,9,0)</f>
        <v>339699</v>
      </c>
      <c r="G25" s="50">
        <f>VLOOKUP(B25,aa!B:L,11,0)</f>
        <v>98781</v>
      </c>
      <c r="H25" s="50">
        <f>VLOOKUP(B25,aa!B:O,14,0)</f>
        <v>0</v>
      </c>
      <c r="I25" s="50">
        <f>VLOOKUP(B25,aa!B:R,17,0)</f>
        <v>240918</v>
      </c>
      <c r="K25" s="50" t="s">
        <v>3549</v>
      </c>
      <c r="L25" s="50">
        <v>288492</v>
      </c>
      <c r="M25" s="50">
        <v>325478</v>
      </c>
      <c r="N25" s="50">
        <v>83017</v>
      </c>
      <c r="O25" s="50">
        <v>166</v>
      </c>
      <c r="P25" s="50" t="s">
        <v>364</v>
      </c>
      <c r="Q25" s="50">
        <v>0</v>
      </c>
      <c r="R25" s="50">
        <v>0</v>
      </c>
      <c r="T25" s="50">
        <v>205475</v>
      </c>
      <c r="U25" s="50">
        <v>202</v>
      </c>
      <c r="V25" s="50" t="s">
        <v>3924</v>
      </c>
      <c r="W25" s="50" t="s">
        <v>102</v>
      </c>
      <c r="X25" s="50" t="s">
        <v>103</v>
      </c>
      <c r="Y25" s="50" t="s">
        <v>398</v>
      </c>
      <c r="AA25" s="50" t="s">
        <v>1719</v>
      </c>
      <c r="AB25" s="50" t="s">
        <v>16648</v>
      </c>
      <c r="AC25" s="50" t="s">
        <v>12023</v>
      </c>
      <c r="AD25" s="50" t="s">
        <v>16649</v>
      </c>
      <c r="AE25" s="50" t="s">
        <v>12040</v>
      </c>
      <c r="AF25" s="50" t="s">
        <v>16650</v>
      </c>
      <c r="AG25" s="50" t="s">
        <v>109</v>
      </c>
      <c r="AH25" s="50" t="s">
        <v>102</v>
      </c>
      <c r="AI25" s="50" t="s">
        <v>102</v>
      </c>
      <c r="AJ25" s="50" t="s">
        <v>14000</v>
      </c>
      <c r="AK25" s="50" t="s">
        <v>12397</v>
      </c>
      <c r="AL25" s="50" t="s">
        <v>16651</v>
      </c>
      <c r="AM25" s="50" t="s">
        <v>1538</v>
      </c>
      <c r="AN25" s="50" t="s">
        <v>16652</v>
      </c>
      <c r="AO25" s="50" t="s">
        <v>2353</v>
      </c>
      <c r="AP25" s="50" t="s">
        <v>2353</v>
      </c>
      <c r="AU25" s="50" t="s">
        <v>117</v>
      </c>
      <c r="AV25" s="50" t="s">
        <v>118</v>
      </c>
      <c r="AW25" s="50" t="s">
        <v>102</v>
      </c>
      <c r="AX25" s="50" t="s">
        <v>119</v>
      </c>
      <c r="BA25" s="50" t="s">
        <v>250</v>
      </c>
      <c r="BB25" s="50" t="s">
        <v>120</v>
      </c>
      <c r="BC25" s="50" t="s">
        <v>6922</v>
      </c>
      <c r="BD25" s="50" t="s">
        <v>376</v>
      </c>
      <c r="BE25" s="50" t="s">
        <v>174</v>
      </c>
      <c r="BF25" s="50" t="s">
        <v>376</v>
      </c>
      <c r="BG25" s="50" t="s">
        <v>124</v>
      </c>
      <c r="BH25" s="50" t="s">
        <v>5755</v>
      </c>
      <c r="BI25" s="50" t="s">
        <v>13208</v>
      </c>
      <c r="BJ25" s="50" t="s">
        <v>127</v>
      </c>
      <c r="BK25" s="50" t="s">
        <v>16653</v>
      </c>
      <c r="BL25" s="50" t="s">
        <v>6924</v>
      </c>
      <c r="BM25" s="50" t="s">
        <v>16654</v>
      </c>
      <c r="BN25" s="50" t="s">
        <v>2324</v>
      </c>
      <c r="BO25" s="50" t="s">
        <v>6926</v>
      </c>
      <c r="BP25" s="50" t="s">
        <v>180</v>
      </c>
      <c r="BQ25" s="50" t="s">
        <v>6927</v>
      </c>
      <c r="BR25" s="50" t="s">
        <v>6928</v>
      </c>
      <c r="BS25" s="50" t="s">
        <v>1858</v>
      </c>
      <c r="BU25" s="50" t="s">
        <v>16655</v>
      </c>
      <c r="BV25" s="50" t="s">
        <v>16656</v>
      </c>
      <c r="BW25" s="50" t="s">
        <v>138</v>
      </c>
      <c r="BX25" s="50" t="s">
        <v>6931</v>
      </c>
      <c r="BY25" s="50" t="s">
        <v>6932</v>
      </c>
      <c r="BZ25" s="50" t="s">
        <v>6931</v>
      </c>
      <c r="CA25" s="50" t="s">
        <v>16656</v>
      </c>
      <c r="CB25" s="50" t="s">
        <v>6931</v>
      </c>
      <c r="CC25" s="50" t="s">
        <v>6932</v>
      </c>
      <c r="CD25" s="50" t="s">
        <v>16656</v>
      </c>
      <c r="CE25" s="50" t="s">
        <v>6931</v>
      </c>
      <c r="CF25" s="50" t="s">
        <v>6932</v>
      </c>
      <c r="CG25" s="50" t="s">
        <v>6933</v>
      </c>
      <c r="CH25" s="50" t="s">
        <v>6934</v>
      </c>
      <c r="CJ25" s="50" t="s">
        <v>6935</v>
      </c>
      <c r="CK25" s="50" t="s">
        <v>6934</v>
      </c>
      <c r="CL25" s="50" t="s">
        <v>6922</v>
      </c>
      <c r="CM25" s="50" t="s">
        <v>376</v>
      </c>
      <c r="CN25" s="50" t="s">
        <v>6935</v>
      </c>
      <c r="CP25" s="50" t="s">
        <v>6934</v>
      </c>
      <c r="CQ25" s="50" t="s">
        <v>6934</v>
      </c>
    </row>
    <row r="26" spans="1:96">
      <c r="A26" s="50" t="s">
        <v>337</v>
      </c>
      <c r="B26" s="50">
        <v>3992830</v>
      </c>
      <c r="C26" s="50" t="s">
        <v>12018</v>
      </c>
      <c r="D26" s="50" t="s">
        <v>17574</v>
      </c>
      <c r="E26" s="50" t="e">
        <f>VLOOKUP(B26,aa!B:F,5,0)</f>
        <v>#N/A</v>
      </c>
      <c r="F26" s="50" t="e">
        <f>VLOOKUP(B26,aa!B:J,9,0)</f>
        <v>#N/A</v>
      </c>
      <c r="G26" s="50" t="e">
        <f>VLOOKUP(B26,aa!B:L,11,0)</f>
        <v>#N/A</v>
      </c>
      <c r="H26" s="50" t="e">
        <f>VLOOKUP(B26,aa!B:O,14,0)</f>
        <v>#N/A</v>
      </c>
      <c r="I26" s="50" t="e">
        <f>VLOOKUP(B26,aa!B:R,17,0)</f>
        <v>#N/A</v>
      </c>
      <c r="K26" s="50" t="s">
        <v>152</v>
      </c>
      <c r="L26" s="50">
        <v>750657</v>
      </c>
      <c r="M26" s="50">
        <v>750657</v>
      </c>
      <c r="N26" s="50">
        <v>0</v>
      </c>
      <c r="O26" s="50">
        <v>0</v>
      </c>
      <c r="Q26" s="50">
        <v>750657</v>
      </c>
      <c r="R26" s="50">
        <v>454</v>
      </c>
      <c r="S26" s="50" t="s">
        <v>17575</v>
      </c>
      <c r="T26" s="50">
        <v>0</v>
      </c>
      <c r="U26" s="50">
        <v>0</v>
      </c>
      <c r="W26" s="50" t="s">
        <v>102</v>
      </c>
      <c r="X26" s="50" t="s">
        <v>103</v>
      </c>
      <c r="Y26" s="50" t="s">
        <v>398</v>
      </c>
      <c r="AA26" s="50" t="s">
        <v>2323</v>
      </c>
      <c r="AB26" s="50" t="s">
        <v>17576</v>
      </c>
      <c r="AC26" s="50" t="s">
        <v>6177</v>
      </c>
      <c r="AD26" s="50" t="s">
        <v>17577</v>
      </c>
      <c r="AE26" s="50" t="s">
        <v>13583</v>
      </c>
      <c r="AF26" s="50" t="s">
        <v>17578</v>
      </c>
      <c r="AG26" s="50" t="s">
        <v>109</v>
      </c>
      <c r="AH26" s="50" t="s">
        <v>102</v>
      </c>
      <c r="AI26" s="50" t="s">
        <v>17579</v>
      </c>
      <c r="AJ26" s="50" t="s">
        <v>1162</v>
      </c>
      <c r="AK26" s="50" t="s">
        <v>17580</v>
      </c>
      <c r="AL26" s="50" t="s">
        <v>17581</v>
      </c>
      <c r="AM26" s="50" t="s">
        <v>17582</v>
      </c>
      <c r="AN26" s="50" t="s">
        <v>17583</v>
      </c>
      <c r="AO26" s="50" t="s">
        <v>17584</v>
      </c>
      <c r="AP26" s="50" t="s">
        <v>17584</v>
      </c>
      <c r="AU26" s="50" t="s">
        <v>102</v>
      </c>
      <c r="AW26" s="50" t="s">
        <v>155</v>
      </c>
      <c r="AX26" s="50" t="s">
        <v>447</v>
      </c>
      <c r="AY26" s="50" t="s">
        <v>170</v>
      </c>
      <c r="AZ26" s="50" t="s">
        <v>118</v>
      </c>
      <c r="BB26" s="50" t="s">
        <v>120</v>
      </c>
      <c r="BC26" s="50" t="s">
        <v>17585</v>
      </c>
      <c r="BD26" s="50" t="s">
        <v>345</v>
      </c>
      <c r="BE26" s="50" t="s">
        <v>122</v>
      </c>
      <c r="BF26" s="50" t="s">
        <v>346</v>
      </c>
      <c r="BG26" s="50" t="s">
        <v>124</v>
      </c>
      <c r="BH26" s="50" t="s">
        <v>12023</v>
      </c>
      <c r="BI26" s="50" t="s">
        <v>11889</v>
      </c>
      <c r="BJ26" s="50" t="s">
        <v>127</v>
      </c>
      <c r="BK26" s="50" t="s">
        <v>17586</v>
      </c>
      <c r="BL26" s="50" t="s">
        <v>17587</v>
      </c>
      <c r="BM26" s="50" t="s">
        <v>17588</v>
      </c>
      <c r="BN26" s="50" t="s">
        <v>2324</v>
      </c>
      <c r="BO26" s="50" t="s">
        <v>12226</v>
      </c>
      <c r="BP26" s="50" t="s">
        <v>350</v>
      </c>
      <c r="BQ26" s="50" t="s">
        <v>12228</v>
      </c>
      <c r="BR26" s="50" t="s">
        <v>12229</v>
      </c>
      <c r="BS26" s="50" t="s">
        <v>8623</v>
      </c>
      <c r="BU26" s="50" t="s">
        <v>17589</v>
      </c>
      <c r="BV26" s="50" t="s">
        <v>17590</v>
      </c>
      <c r="BW26" s="50" t="s">
        <v>354</v>
      </c>
      <c r="BX26" s="50" t="s">
        <v>17591</v>
      </c>
      <c r="BY26" s="50" t="s">
        <v>17592</v>
      </c>
      <c r="BZ26" s="50" t="s">
        <v>17593</v>
      </c>
      <c r="CA26" s="50" t="s">
        <v>17594</v>
      </c>
      <c r="CB26" s="50" t="s">
        <v>17593</v>
      </c>
      <c r="CC26" s="50" t="s">
        <v>17595</v>
      </c>
      <c r="CD26" s="50" t="s">
        <v>17594</v>
      </c>
      <c r="CE26" s="50" t="s">
        <v>17593</v>
      </c>
      <c r="CF26" s="50" t="s">
        <v>17595</v>
      </c>
      <c r="CG26" s="50" t="s">
        <v>15480</v>
      </c>
      <c r="CH26" s="50" t="s">
        <v>17596</v>
      </c>
      <c r="CJ26" s="50" t="s">
        <v>17597</v>
      </c>
      <c r="CK26" s="50" t="s">
        <v>17596</v>
      </c>
      <c r="CL26" s="50" t="s">
        <v>17585</v>
      </c>
      <c r="CM26" s="50" t="s">
        <v>345</v>
      </c>
      <c r="CN26" s="50" t="s">
        <v>17597</v>
      </c>
      <c r="CP26" s="50" t="s">
        <v>17596</v>
      </c>
      <c r="CQ26" s="50" t="s">
        <v>17596</v>
      </c>
    </row>
    <row r="27" spans="1:96">
      <c r="A27" s="50" t="s">
        <v>337</v>
      </c>
      <c r="B27" s="50">
        <v>3514450</v>
      </c>
      <c r="C27" s="50" t="s">
        <v>12155</v>
      </c>
      <c r="D27" s="50" t="s">
        <v>16325</v>
      </c>
      <c r="E27" s="50" t="e">
        <f>VLOOKUP(B27,aa!B:F,5,0)</f>
        <v>#N/A</v>
      </c>
      <c r="F27" s="50" t="e">
        <f>VLOOKUP(B27,aa!B:J,9,0)</f>
        <v>#N/A</v>
      </c>
      <c r="G27" s="50" t="e">
        <f>VLOOKUP(B27,aa!B:L,11,0)</f>
        <v>#N/A</v>
      </c>
      <c r="H27" s="50" t="e">
        <f>VLOOKUP(B27,aa!B:O,14,0)</f>
        <v>#N/A</v>
      </c>
      <c r="I27" s="50" t="e">
        <f>VLOOKUP(B27,aa!B:R,17,0)</f>
        <v>#N/A</v>
      </c>
      <c r="K27" s="50" t="s">
        <v>152</v>
      </c>
      <c r="L27" s="50">
        <v>108974</v>
      </c>
      <c r="M27" s="50">
        <v>108974</v>
      </c>
      <c r="N27" s="50">
        <v>0</v>
      </c>
      <c r="O27" s="50">
        <v>0</v>
      </c>
      <c r="Q27" s="50">
        <v>108974</v>
      </c>
      <c r="R27" s="50">
        <v>336</v>
      </c>
      <c r="S27" s="50" t="s">
        <v>16326</v>
      </c>
      <c r="T27" s="50">
        <v>0</v>
      </c>
      <c r="U27" s="50">
        <v>0</v>
      </c>
      <c r="W27" s="50" t="s">
        <v>102</v>
      </c>
      <c r="X27" s="50" t="s">
        <v>103</v>
      </c>
      <c r="Y27" s="50" t="s">
        <v>801</v>
      </c>
      <c r="AA27" s="50" t="s">
        <v>854</v>
      </c>
      <c r="AB27" s="50" t="s">
        <v>16327</v>
      </c>
      <c r="AC27" s="50" t="s">
        <v>16328</v>
      </c>
      <c r="AD27" s="50" t="s">
        <v>16327</v>
      </c>
      <c r="AE27" s="50" t="s">
        <v>16329</v>
      </c>
      <c r="AF27" s="50" t="s">
        <v>16327</v>
      </c>
      <c r="AG27" s="50" t="s">
        <v>16330</v>
      </c>
      <c r="AH27" s="50" t="s">
        <v>16327</v>
      </c>
      <c r="AI27" s="50" t="s">
        <v>102</v>
      </c>
      <c r="AJ27" s="50" t="s">
        <v>5022</v>
      </c>
      <c r="AK27" s="50" t="s">
        <v>13386</v>
      </c>
      <c r="AL27" s="50" t="s">
        <v>16331</v>
      </c>
      <c r="AM27" s="50" t="s">
        <v>16332</v>
      </c>
      <c r="AN27" s="50" t="s">
        <v>16333</v>
      </c>
      <c r="AO27" s="50" t="s">
        <v>16334</v>
      </c>
      <c r="AP27" s="50" t="s">
        <v>16334</v>
      </c>
      <c r="AU27" s="50" t="s">
        <v>102</v>
      </c>
      <c r="AW27" s="50" t="s">
        <v>104</v>
      </c>
      <c r="AX27" s="50" t="s">
        <v>119</v>
      </c>
      <c r="AY27" s="50" t="s">
        <v>170</v>
      </c>
      <c r="AZ27" s="50" t="s">
        <v>118</v>
      </c>
      <c r="BB27" s="50" t="s">
        <v>120</v>
      </c>
      <c r="BC27" s="50" t="s">
        <v>16335</v>
      </c>
      <c r="BD27" s="50" t="s">
        <v>173</v>
      </c>
      <c r="BE27" s="50" t="s">
        <v>174</v>
      </c>
      <c r="BF27" s="50" t="s">
        <v>173</v>
      </c>
      <c r="BG27" s="50" t="s">
        <v>124</v>
      </c>
      <c r="BH27" s="50" t="s">
        <v>12023</v>
      </c>
      <c r="BI27" s="50" t="s">
        <v>11889</v>
      </c>
      <c r="BJ27" s="50" t="s">
        <v>127</v>
      </c>
      <c r="BK27" s="50" t="s">
        <v>16336</v>
      </c>
      <c r="BL27" s="50" t="s">
        <v>16337</v>
      </c>
      <c r="BM27" s="50" t="s">
        <v>16338</v>
      </c>
      <c r="BN27" s="50" t="s">
        <v>915</v>
      </c>
      <c r="BO27" s="50" t="s">
        <v>8447</v>
      </c>
      <c r="BP27" s="50" t="s">
        <v>7992</v>
      </c>
      <c r="BQ27" s="50" t="s">
        <v>8448</v>
      </c>
      <c r="BR27" s="50" t="s">
        <v>8449</v>
      </c>
      <c r="BS27" s="50" t="s">
        <v>8450</v>
      </c>
      <c r="BU27" s="50" t="s">
        <v>16339</v>
      </c>
      <c r="BV27" s="50" t="s">
        <v>16340</v>
      </c>
      <c r="BW27" s="50" t="s">
        <v>138</v>
      </c>
      <c r="BX27" s="50" t="s">
        <v>16341</v>
      </c>
      <c r="BY27" s="50" t="s">
        <v>16342</v>
      </c>
      <c r="BZ27" s="50" t="s">
        <v>16341</v>
      </c>
      <c r="CA27" s="50" t="s">
        <v>16340</v>
      </c>
      <c r="CB27" s="50" t="s">
        <v>16341</v>
      </c>
      <c r="CC27" s="50" t="s">
        <v>16342</v>
      </c>
      <c r="CD27" s="50" t="s">
        <v>16343</v>
      </c>
      <c r="CE27" s="50" t="s">
        <v>16344</v>
      </c>
      <c r="CF27" s="50" t="s">
        <v>16345</v>
      </c>
      <c r="CG27" s="50" t="s">
        <v>16346</v>
      </c>
      <c r="CH27" s="50" t="s">
        <v>16347</v>
      </c>
      <c r="CJ27" s="50" t="s">
        <v>16348</v>
      </c>
      <c r="CK27" s="50" t="s">
        <v>16349</v>
      </c>
      <c r="CL27" s="50" t="s">
        <v>16335</v>
      </c>
      <c r="CM27" s="50" t="s">
        <v>173</v>
      </c>
      <c r="CN27" s="50" t="s">
        <v>16348</v>
      </c>
      <c r="CP27" s="50" t="s">
        <v>16350</v>
      </c>
      <c r="CQ27" s="50" t="s">
        <v>16351</v>
      </c>
      <c r="CR27" s="50" t="s">
        <v>26047</v>
      </c>
    </row>
    <row r="28" spans="1:96">
      <c r="A28" s="50" t="s">
        <v>93</v>
      </c>
      <c r="B28" s="50">
        <v>2473458</v>
      </c>
      <c r="C28" s="50" t="s">
        <v>12423</v>
      </c>
      <c r="D28" s="50" t="s">
        <v>3639</v>
      </c>
      <c r="E28" s="50" t="e">
        <f>VLOOKUP(B28,aa!B:F,5,0)</f>
        <v>#N/A</v>
      </c>
      <c r="F28" s="50" t="e">
        <f>VLOOKUP(B28,aa!B:J,9,0)</f>
        <v>#N/A</v>
      </c>
      <c r="G28" s="50" t="e">
        <f>VLOOKUP(B28,aa!B:L,11,0)</f>
        <v>#N/A</v>
      </c>
      <c r="H28" s="50" t="e">
        <f>VLOOKUP(B28,aa!B:O,14,0)</f>
        <v>#N/A</v>
      </c>
      <c r="I28" s="50" t="e">
        <f>VLOOKUP(B28,aa!B:R,17,0)</f>
        <v>#N/A</v>
      </c>
      <c r="K28" s="50" t="s">
        <v>97</v>
      </c>
      <c r="L28" s="50">
        <v>491261</v>
      </c>
      <c r="M28" s="50">
        <v>491261</v>
      </c>
      <c r="N28" s="50">
        <v>491261</v>
      </c>
      <c r="O28" s="50">
        <v>614</v>
      </c>
      <c r="P28" s="50" t="s">
        <v>1297</v>
      </c>
      <c r="Q28" s="50">
        <v>0</v>
      </c>
      <c r="R28" s="50">
        <v>0</v>
      </c>
      <c r="T28" s="50">
        <v>0</v>
      </c>
      <c r="U28" s="50">
        <v>0</v>
      </c>
      <c r="W28" s="50" t="s">
        <v>102</v>
      </c>
      <c r="X28" s="50" t="s">
        <v>275</v>
      </c>
      <c r="Z28" s="50" t="s">
        <v>11932</v>
      </c>
      <c r="AA28" s="50" t="s">
        <v>109</v>
      </c>
      <c r="AB28" s="50" t="s">
        <v>102</v>
      </c>
      <c r="AC28" s="50" t="s">
        <v>109</v>
      </c>
      <c r="AD28" s="50" t="s">
        <v>102</v>
      </c>
      <c r="AE28" s="50" t="s">
        <v>109</v>
      </c>
      <c r="AF28" s="50" t="s">
        <v>102</v>
      </c>
      <c r="AG28" s="50" t="s">
        <v>109</v>
      </c>
      <c r="AH28" s="50" t="s">
        <v>102</v>
      </c>
      <c r="AI28" s="50" t="s">
        <v>102</v>
      </c>
      <c r="AJ28" s="50" t="s">
        <v>12715</v>
      </c>
      <c r="AK28" s="50" t="s">
        <v>12289</v>
      </c>
      <c r="AL28" s="50" t="s">
        <v>14183</v>
      </c>
      <c r="AM28" s="50" t="s">
        <v>14184</v>
      </c>
      <c r="AN28" s="50" t="s">
        <v>14185</v>
      </c>
      <c r="AO28" s="50" t="s">
        <v>168</v>
      </c>
      <c r="AP28" s="50" t="s">
        <v>168</v>
      </c>
      <c r="AU28" s="50" t="s">
        <v>318</v>
      </c>
      <c r="AV28" s="50" t="s">
        <v>118</v>
      </c>
      <c r="AW28" s="50" t="s">
        <v>102</v>
      </c>
      <c r="AX28" s="50" t="s">
        <v>119</v>
      </c>
      <c r="BB28" s="50" t="s">
        <v>120</v>
      </c>
      <c r="BC28" s="50" t="s">
        <v>1759</v>
      </c>
      <c r="BD28" s="50" t="s">
        <v>410</v>
      </c>
      <c r="BE28" s="50" t="s">
        <v>212</v>
      </c>
      <c r="BF28" s="50" t="s">
        <v>410</v>
      </c>
      <c r="BG28" s="50" t="s">
        <v>124</v>
      </c>
      <c r="BH28" s="50" t="s">
        <v>12023</v>
      </c>
      <c r="BI28" s="50" t="s">
        <v>11889</v>
      </c>
      <c r="BJ28" s="50" t="s">
        <v>127</v>
      </c>
      <c r="BK28" s="50" t="s">
        <v>14186</v>
      </c>
      <c r="BL28" s="50" t="s">
        <v>3647</v>
      </c>
      <c r="BM28" s="50" t="s">
        <v>14187</v>
      </c>
      <c r="BN28" s="50" t="s">
        <v>3033</v>
      </c>
      <c r="BO28" s="50" t="s">
        <v>1582</v>
      </c>
      <c r="BP28" s="50" t="s">
        <v>132</v>
      </c>
      <c r="BQ28" s="50" t="s">
        <v>1583</v>
      </c>
      <c r="BR28" s="50" t="s">
        <v>1584</v>
      </c>
      <c r="BS28" s="50" t="s">
        <v>1585</v>
      </c>
      <c r="BU28" s="50" t="s">
        <v>14188</v>
      </c>
      <c r="BV28" s="50" t="s">
        <v>14189</v>
      </c>
      <c r="BW28" s="50" t="s">
        <v>138</v>
      </c>
      <c r="BX28" s="50" t="s">
        <v>3651</v>
      </c>
      <c r="BY28" s="50" t="s">
        <v>3652</v>
      </c>
      <c r="BZ28" s="50" t="s">
        <v>3651</v>
      </c>
      <c r="CA28" s="50" t="s">
        <v>14190</v>
      </c>
      <c r="CB28" s="50" t="s">
        <v>3651</v>
      </c>
      <c r="CC28" s="50" t="s">
        <v>14191</v>
      </c>
      <c r="CD28" s="50" t="s">
        <v>7073</v>
      </c>
      <c r="CE28" s="50" t="s">
        <v>3651</v>
      </c>
      <c r="CF28" s="50" t="s">
        <v>14191</v>
      </c>
      <c r="CG28" s="50" t="s">
        <v>573</v>
      </c>
      <c r="CH28" s="50" t="s">
        <v>3653</v>
      </c>
      <c r="CJ28" s="50" t="s">
        <v>3654</v>
      </c>
      <c r="CK28" s="50" t="s">
        <v>3653</v>
      </c>
      <c r="CL28" s="50" t="s">
        <v>1759</v>
      </c>
      <c r="CM28" s="50" t="s">
        <v>410</v>
      </c>
      <c r="CN28" s="50" t="s">
        <v>3654</v>
      </c>
      <c r="CP28" s="50" t="s">
        <v>3653</v>
      </c>
      <c r="CQ28" s="50" t="s">
        <v>3653</v>
      </c>
      <c r="CR28" s="50" t="s">
        <v>26040</v>
      </c>
    </row>
    <row r="29" spans="1:96">
      <c r="A29" s="50" t="s">
        <v>337</v>
      </c>
      <c r="B29" s="50">
        <v>5018417</v>
      </c>
      <c r="C29" s="50" t="s">
        <v>12121</v>
      </c>
      <c r="D29" s="50" t="s">
        <v>19720</v>
      </c>
      <c r="E29" s="50" t="e">
        <f>VLOOKUP(B29,aa!B:F,5,0)</f>
        <v>#N/A</v>
      </c>
      <c r="F29" s="50" t="e">
        <f>VLOOKUP(B29,aa!B:J,9,0)</f>
        <v>#N/A</v>
      </c>
      <c r="G29" s="50" t="e">
        <f>VLOOKUP(B29,aa!B:L,11,0)</f>
        <v>#N/A</v>
      </c>
      <c r="H29" s="50" t="e">
        <f>VLOOKUP(B29,aa!B:O,14,0)</f>
        <v>#N/A</v>
      </c>
      <c r="I29" s="50" t="e">
        <f>VLOOKUP(B29,aa!B:R,17,0)</f>
        <v>#N/A</v>
      </c>
      <c r="K29" s="50" t="s">
        <v>152</v>
      </c>
      <c r="L29" s="50">
        <v>1082400</v>
      </c>
      <c r="M29" s="50">
        <v>1082400</v>
      </c>
      <c r="N29" s="50">
        <v>0</v>
      </c>
      <c r="O29" s="50">
        <v>0</v>
      </c>
      <c r="Q29" s="50">
        <v>1082400</v>
      </c>
      <c r="R29" s="50">
        <v>492</v>
      </c>
      <c r="S29" s="50" t="s">
        <v>10371</v>
      </c>
      <c r="T29" s="50">
        <v>0</v>
      </c>
      <c r="U29" s="50">
        <v>0</v>
      </c>
      <c r="W29" s="50" t="s">
        <v>102</v>
      </c>
      <c r="X29" s="50" t="s">
        <v>103</v>
      </c>
      <c r="Y29" s="50" t="s">
        <v>155</v>
      </c>
      <c r="AA29" s="50" t="s">
        <v>3207</v>
      </c>
      <c r="AB29" s="50" t="s">
        <v>19721</v>
      </c>
      <c r="AC29" s="50" t="s">
        <v>4665</v>
      </c>
      <c r="AD29" s="50" t="s">
        <v>19721</v>
      </c>
      <c r="AE29" s="50" t="s">
        <v>1547</v>
      </c>
      <c r="AF29" s="50" t="s">
        <v>19721</v>
      </c>
      <c r="AG29" s="50" t="s">
        <v>13110</v>
      </c>
      <c r="AH29" s="50" t="s">
        <v>19721</v>
      </c>
      <c r="AI29" s="50" t="s">
        <v>19722</v>
      </c>
      <c r="AJ29" s="50" t="s">
        <v>1719</v>
      </c>
      <c r="AK29" s="50" t="s">
        <v>19723</v>
      </c>
      <c r="AL29" s="50" t="s">
        <v>19724</v>
      </c>
      <c r="AM29" s="50" t="s">
        <v>19725</v>
      </c>
      <c r="AN29" s="50" t="s">
        <v>19726</v>
      </c>
      <c r="AO29" s="50" t="s">
        <v>116</v>
      </c>
      <c r="AP29" s="50" t="s">
        <v>116</v>
      </c>
      <c r="AU29" s="50" t="s">
        <v>102</v>
      </c>
      <c r="AW29" s="50" t="s">
        <v>155</v>
      </c>
      <c r="AX29" s="50" t="s">
        <v>447</v>
      </c>
      <c r="AY29" s="50" t="s">
        <v>170</v>
      </c>
      <c r="AZ29" s="50" t="s">
        <v>118</v>
      </c>
      <c r="BB29" s="50" t="s">
        <v>120</v>
      </c>
      <c r="BC29" s="50" t="s">
        <v>19727</v>
      </c>
      <c r="BD29" s="50" t="s">
        <v>449</v>
      </c>
      <c r="BE29" s="50" t="s">
        <v>122</v>
      </c>
      <c r="BF29" s="50" t="s">
        <v>253</v>
      </c>
      <c r="BG29" s="50" t="s">
        <v>124</v>
      </c>
      <c r="BH29" s="50" t="s">
        <v>12023</v>
      </c>
      <c r="BI29" s="50" t="s">
        <v>11889</v>
      </c>
      <c r="BJ29" s="50" t="s">
        <v>127</v>
      </c>
      <c r="BK29" s="50" t="s">
        <v>19728</v>
      </c>
      <c r="BL29" s="50" t="s">
        <v>19729</v>
      </c>
      <c r="BM29" s="50" t="s">
        <v>19730</v>
      </c>
      <c r="BN29" s="50" t="s">
        <v>9129</v>
      </c>
      <c r="BO29" s="50" t="s">
        <v>10675</v>
      </c>
      <c r="BP29" s="50" t="s">
        <v>350</v>
      </c>
      <c r="BQ29" s="50" t="s">
        <v>10676</v>
      </c>
      <c r="BR29" s="50" t="s">
        <v>10677</v>
      </c>
      <c r="BS29" s="50" t="s">
        <v>10678</v>
      </c>
      <c r="BU29" s="50" t="s">
        <v>19731</v>
      </c>
      <c r="BV29" s="50" t="s">
        <v>19732</v>
      </c>
      <c r="BW29" s="50" t="s">
        <v>569</v>
      </c>
      <c r="BX29" s="50" t="s">
        <v>19733</v>
      </c>
      <c r="BY29" s="50" t="s">
        <v>19734</v>
      </c>
      <c r="BZ29" s="50" t="s">
        <v>19733</v>
      </c>
      <c r="CA29" s="50" t="s">
        <v>19732</v>
      </c>
      <c r="CB29" s="50" t="s">
        <v>19733</v>
      </c>
      <c r="CC29" s="50" t="s">
        <v>19734</v>
      </c>
      <c r="CD29" s="50" t="s">
        <v>19732</v>
      </c>
      <c r="CE29" s="50" t="s">
        <v>19733</v>
      </c>
      <c r="CF29" s="50" t="s">
        <v>19734</v>
      </c>
      <c r="CG29" s="50" t="s">
        <v>19735</v>
      </c>
      <c r="CH29" s="50" t="s">
        <v>19736</v>
      </c>
      <c r="CJ29" s="50" t="s">
        <v>19737</v>
      </c>
      <c r="CK29" s="50" t="s">
        <v>19738</v>
      </c>
      <c r="CL29" s="50" t="s">
        <v>19727</v>
      </c>
      <c r="CM29" s="50" t="s">
        <v>449</v>
      </c>
      <c r="CN29" s="50" t="s">
        <v>19737</v>
      </c>
      <c r="CO29" s="50" t="s">
        <v>19739</v>
      </c>
      <c r="CP29" s="50" t="s">
        <v>19736</v>
      </c>
      <c r="CQ29" s="50" t="s">
        <v>19738</v>
      </c>
    </row>
    <row r="30" spans="1:96">
      <c r="A30" s="50" t="s">
        <v>337</v>
      </c>
      <c r="B30" s="50">
        <v>5018445</v>
      </c>
      <c r="C30" s="50" t="s">
        <v>12491</v>
      </c>
      <c r="D30" s="50" t="s">
        <v>19785</v>
      </c>
      <c r="E30" s="50" t="str">
        <f>VLOOKUP(B30,aa!B:F,5,0)</f>
        <v>Ei CARES</v>
      </c>
      <c r="F30" s="50">
        <f>VLOOKUP(B30,aa!B:J,9,0)</f>
        <v>310182</v>
      </c>
      <c r="G30" s="50">
        <f>VLOOKUP(B30,aa!B:L,11,0)</f>
        <v>0</v>
      </c>
      <c r="H30" s="50">
        <f>VLOOKUP(B30,aa!B:O,14,0)</f>
        <v>310182</v>
      </c>
      <c r="I30" s="50">
        <f>VLOOKUP(B30,aa!B:R,17,0)</f>
        <v>0</v>
      </c>
      <c r="K30" s="50" t="s">
        <v>152</v>
      </c>
      <c r="L30" s="50">
        <v>329235</v>
      </c>
      <c r="M30" s="50">
        <v>329235</v>
      </c>
      <c r="N30" s="50">
        <v>0</v>
      </c>
      <c r="O30" s="50">
        <v>0</v>
      </c>
      <c r="Q30" s="50">
        <v>329235</v>
      </c>
      <c r="R30" s="50">
        <v>461</v>
      </c>
      <c r="S30" s="50" t="s">
        <v>19787</v>
      </c>
      <c r="T30" s="50">
        <v>0</v>
      </c>
      <c r="U30" s="50">
        <v>0</v>
      </c>
      <c r="W30" s="50" t="s">
        <v>102</v>
      </c>
      <c r="X30" s="50" t="s">
        <v>103</v>
      </c>
      <c r="Y30" s="50" t="s">
        <v>104</v>
      </c>
      <c r="AA30" s="50" t="s">
        <v>19788</v>
      </c>
      <c r="AB30" s="50" t="s">
        <v>19789</v>
      </c>
      <c r="AC30" s="50" t="s">
        <v>12467</v>
      </c>
      <c r="AD30" s="50" t="s">
        <v>19789</v>
      </c>
      <c r="AE30" s="50" t="s">
        <v>109</v>
      </c>
      <c r="AF30" s="50" t="s">
        <v>102</v>
      </c>
      <c r="AG30" s="50" t="s">
        <v>109</v>
      </c>
      <c r="AH30" s="50" t="s">
        <v>102</v>
      </c>
      <c r="AI30" s="50" t="s">
        <v>19790</v>
      </c>
      <c r="AJ30" s="50" t="s">
        <v>680</v>
      </c>
      <c r="AK30" s="50" t="s">
        <v>1202</v>
      </c>
      <c r="AL30" s="50" t="s">
        <v>19791</v>
      </c>
      <c r="AM30" s="50" t="s">
        <v>19792</v>
      </c>
      <c r="AN30" s="50" t="s">
        <v>19793</v>
      </c>
      <c r="AO30" s="50" t="s">
        <v>19794</v>
      </c>
      <c r="AP30" s="50" t="s">
        <v>19794</v>
      </c>
      <c r="AU30" s="50" t="s">
        <v>102</v>
      </c>
      <c r="AW30" s="50" t="s">
        <v>104</v>
      </c>
      <c r="AX30" s="50" t="s">
        <v>447</v>
      </c>
      <c r="AY30" s="50" t="s">
        <v>170</v>
      </c>
      <c r="AZ30" s="50" t="s">
        <v>118</v>
      </c>
      <c r="BB30" s="50" t="s">
        <v>1964</v>
      </c>
      <c r="BC30" s="50" t="s">
        <v>448</v>
      </c>
      <c r="BD30" s="50" t="s">
        <v>449</v>
      </c>
      <c r="BE30" s="50" t="s">
        <v>122</v>
      </c>
      <c r="BF30" s="50" t="s">
        <v>450</v>
      </c>
      <c r="BG30" s="50" t="s">
        <v>124</v>
      </c>
      <c r="BH30" s="50" t="s">
        <v>19795</v>
      </c>
      <c r="BI30" s="50" t="s">
        <v>11889</v>
      </c>
      <c r="BJ30" s="50" t="s">
        <v>127</v>
      </c>
      <c r="BK30" s="50" t="s">
        <v>19796</v>
      </c>
      <c r="BL30" s="50" t="s">
        <v>19797</v>
      </c>
      <c r="BM30" s="50" t="s">
        <v>19798</v>
      </c>
      <c r="BN30" s="50" t="s">
        <v>19786</v>
      </c>
      <c r="BO30" s="50" t="s">
        <v>131</v>
      </c>
      <c r="BP30" s="50" t="s">
        <v>350</v>
      </c>
      <c r="BQ30" s="50" t="s">
        <v>133</v>
      </c>
      <c r="BR30" s="50" t="s">
        <v>134</v>
      </c>
      <c r="BS30" s="50" t="s">
        <v>455</v>
      </c>
      <c r="BU30" s="50" t="s">
        <v>19799</v>
      </c>
      <c r="BV30" s="50" t="s">
        <v>19800</v>
      </c>
      <c r="BW30" s="50" t="s">
        <v>138</v>
      </c>
      <c r="BX30" s="50" t="s">
        <v>19801</v>
      </c>
      <c r="BY30" s="50" t="s">
        <v>19802</v>
      </c>
      <c r="BZ30" s="50" t="s">
        <v>19801</v>
      </c>
      <c r="CA30" s="50" t="s">
        <v>19803</v>
      </c>
      <c r="CB30" s="50" t="s">
        <v>19804</v>
      </c>
      <c r="CC30" s="50" t="s">
        <v>19805</v>
      </c>
      <c r="CD30" s="50" t="s">
        <v>19803</v>
      </c>
      <c r="CE30" s="50" t="s">
        <v>19804</v>
      </c>
      <c r="CF30" s="50" t="s">
        <v>19805</v>
      </c>
      <c r="CG30" s="50" t="s">
        <v>3805</v>
      </c>
      <c r="CH30" s="50" t="s">
        <v>19806</v>
      </c>
      <c r="CJ30" s="50" t="s">
        <v>8000</v>
      </c>
      <c r="CK30" s="50" t="s">
        <v>19807</v>
      </c>
      <c r="CL30" s="50" t="s">
        <v>448</v>
      </c>
      <c r="CM30" s="50" t="s">
        <v>449</v>
      </c>
      <c r="CN30" s="50" t="s">
        <v>8000</v>
      </c>
      <c r="CP30" s="50" t="s">
        <v>19806</v>
      </c>
      <c r="CQ30" s="50" t="s">
        <v>19808</v>
      </c>
    </row>
    <row r="31" spans="1:96">
      <c r="A31" s="50" t="s">
        <v>93</v>
      </c>
      <c r="B31" s="50">
        <v>3216662</v>
      </c>
      <c r="C31" s="50" t="s">
        <v>384</v>
      </c>
      <c r="D31" s="50" t="s">
        <v>5010</v>
      </c>
      <c r="E31" s="50" t="str">
        <f>VLOOKUP(B31,aa!B:F,5,0)</f>
        <v>Ei CARES</v>
      </c>
      <c r="F31" s="50">
        <f>VLOOKUP(B31,aa!B:J,9,0)</f>
        <v>175318</v>
      </c>
      <c r="G31" s="50">
        <f>VLOOKUP(B31,aa!B:L,11,0)</f>
        <v>0</v>
      </c>
      <c r="H31" s="50">
        <f>VLOOKUP(B31,aa!B:O,14,0)</f>
        <v>175318</v>
      </c>
      <c r="I31" s="50">
        <f>VLOOKUP(B31,aa!B:R,17,0)</f>
        <v>0</v>
      </c>
      <c r="K31" s="50" t="s">
        <v>152</v>
      </c>
      <c r="L31" s="50">
        <v>242550</v>
      </c>
      <c r="M31" s="50">
        <v>242550</v>
      </c>
      <c r="N31" s="50">
        <v>0</v>
      </c>
      <c r="O31" s="50">
        <v>0</v>
      </c>
      <c r="Q31" s="50">
        <v>242550</v>
      </c>
      <c r="R31" s="50">
        <v>175</v>
      </c>
      <c r="S31" s="50" t="s">
        <v>7830</v>
      </c>
      <c r="T31" s="50">
        <v>0</v>
      </c>
      <c r="U31" s="50">
        <v>0</v>
      </c>
      <c r="W31" s="50" t="s">
        <v>102</v>
      </c>
      <c r="X31" s="50" t="s">
        <v>103</v>
      </c>
      <c r="Y31" s="50" t="s">
        <v>104</v>
      </c>
      <c r="AA31" s="50" t="s">
        <v>2586</v>
      </c>
      <c r="AB31" s="50" t="s">
        <v>15205</v>
      </c>
      <c r="AC31" s="50" t="s">
        <v>2392</v>
      </c>
      <c r="AD31" s="50" t="s">
        <v>15205</v>
      </c>
      <c r="AE31" s="50" t="s">
        <v>109</v>
      </c>
      <c r="AF31" s="50" t="s">
        <v>102</v>
      </c>
      <c r="AG31" s="50" t="s">
        <v>109</v>
      </c>
      <c r="AH31" s="50" t="s">
        <v>102</v>
      </c>
      <c r="AI31" s="50" t="s">
        <v>15206</v>
      </c>
      <c r="AJ31" s="50" t="s">
        <v>5015</v>
      </c>
      <c r="AK31" s="50" t="s">
        <v>12781</v>
      </c>
      <c r="AL31" s="50" t="s">
        <v>15207</v>
      </c>
      <c r="AM31" s="50" t="s">
        <v>15208</v>
      </c>
      <c r="AN31" s="50" t="s">
        <v>15209</v>
      </c>
      <c r="AO31" s="50" t="s">
        <v>15210</v>
      </c>
      <c r="AP31" s="50" t="s">
        <v>4275</v>
      </c>
      <c r="AQ31" s="50" t="s">
        <v>343</v>
      </c>
      <c r="AU31" s="50" t="s">
        <v>102</v>
      </c>
      <c r="AW31" s="50" t="s">
        <v>104</v>
      </c>
      <c r="AX31" s="50" t="s">
        <v>447</v>
      </c>
      <c r="AY31" s="50" t="s">
        <v>170</v>
      </c>
      <c r="AZ31" s="50" t="s">
        <v>118</v>
      </c>
      <c r="BB31" s="50" t="s">
        <v>171</v>
      </c>
      <c r="BC31" s="50" t="s">
        <v>5020</v>
      </c>
      <c r="BD31" s="50" t="s">
        <v>376</v>
      </c>
      <c r="BE31" s="50" t="s">
        <v>174</v>
      </c>
      <c r="BF31" s="50" t="s">
        <v>376</v>
      </c>
      <c r="BG31" s="50" t="s">
        <v>124</v>
      </c>
      <c r="BH31" s="50" t="s">
        <v>5694</v>
      </c>
      <c r="BI31" s="50" t="s">
        <v>14455</v>
      </c>
      <c r="BJ31" s="50" t="s">
        <v>127</v>
      </c>
      <c r="BK31" s="50" t="s">
        <v>15211</v>
      </c>
      <c r="BL31" s="50" t="s">
        <v>5024</v>
      </c>
      <c r="BM31" s="50" t="s">
        <v>15212</v>
      </c>
      <c r="BN31" s="50" t="s">
        <v>854</v>
      </c>
      <c r="BO31" s="50" t="s">
        <v>5026</v>
      </c>
      <c r="BP31" s="50" t="s">
        <v>505</v>
      </c>
      <c r="BQ31" s="50" t="s">
        <v>5027</v>
      </c>
      <c r="BR31" s="50" t="s">
        <v>5028</v>
      </c>
      <c r="BS31" s="50" t="s">
        <v>5029</v>
      </c>
      <c r="BU31" s="50" t="s">
        <v>15213</v>
      </c>
      <c r="BV31" s="50" t="s">
        <v>5031</v>
      </c>
      <c r="BW31" s="50" t="s">
        <v>138</v>
      </c>
      <c r="BX31" s="50" t="s">
        <v>5032</v>
      </c>
      <c r="BY31" s="50" t="s">
        <v>5033</v>
      </c>
      <c r="BZ31" s="50" t="s">
        <v>5032</v>
      </c>
      <c r="CA31" s="50" t="s">
        <v>5031</v>
      </c>
      <c r="CB31" s="50" t="s">
        <v>5032</v>
      </c>
      <c r="CC31" s="50" t="s">
        <v>5033</v>
      </c>
      <c r="CD31" s="50" t="s">
        <v>5031</v>
      </c>
      <c r="CE31" s="50" t="s">
        <v>5032</v>
      </c>
      <c r="CF31" s="50" t="s">
        <v>5033</v>
      </c>
      <c r="CG31" s="50" t="s">
        <v>358</v>
      </c>
      <c r="CH31" s="50" t="s">
        <v>5037</v>
      </c>
      <c r="CJ31" s="50" t="s">
        <v>5038</v>
      </c>
      <c r="CK31" s="50" t="s">
        <v>5037</v>
      </c>
      <c r="CL31" s="50" t="s">
        <v>5020</v>
      </c>
      <c r="CM31" s="50" t="s">
        <v>376</v>
      </c>
      <c r="CN31" s="50" t="s">
        <v>5038</v>
      </c>
      <c r="CO31" s="50" t="s">
        <v>5039</v>
      </c>
      <c r="CP31" s="50" t="s">
        <v>5037</v>
      </c>
      <c r="CQ31" s="50" t="s">
        <v>5037</v>
      </c>
    </row>
    <row r="32" spans="1:96">
      <c r="A32" s="50" t="s">
        <v>337</v>
      </c>
      <c r="B32" s="50">
        <v>1940242</v>
      </c>
      <c r="C32" s="50" t="s">
        <v>384</v>
      </c>
      <c r="D32" s="50" t="s">
        <v>1492</v>
      </c>
      <c r="E32" s="50" t="str">
        <f>VLOOKUP(B32,aa!B:F,5,0)</f>
        <v>Ei Mindspark</v>
      </c>
      <c r="F32" s="50">
        <f>VLOOKUP(B32,aa!B:J,9,0)</f>
        <v>254250</v>
      </c>
      <c r="G32" s="50">
        <f>VLOOKUP(B32,aa!B:L,11,0)</f>
        <v>0</v>
      </c>
      <c r="H32" s="50">
        <f>VLOOKUP(B32,aa!B:O,14,0)</f>
        <v>0</v>
      </c>
      <c r="I32" s="50">
        <f>VLOOKUP(B32,aa!B:R,17,0)</f>
        <v>254250</v>
      </c>
      <c r="K32" s="50" t="s">
        <v>848</v>
      </c>
      <c r="L32" s="50">
        <v>250436</v>
      </c>
      <c r="M32" s="50">
        <v>295514</v>
      </c>
      <c r="N32" s="50">
        <v>0</v>
      </c>
      <c r="O32" s="50">
        <v>0</v>
      </c>
      <c r="Q32" s="50">
        <v>0</v>
      </c>
      <c r="R32" s="50">
        <v>0</v>
      </c>
      <c r="T32" s="50">
        <v>250436</v>
      </c>
      <c r="U32" s="50">
        <v>197</v>
      </c>
      <c r="V32" s="50" t="s">
        <v>850</v>
      </c>
      <c r="W32" s="50" t="s">
        <v>102</v>
      </c>
      <c r="X32" s="50" t="s">
        <v>103</v>
      </c>
      <c r="Y32" s="50" t="s">
        <v>155</v>
      </c>
      <c r="AA32" s="50" t="s">
        <v>3880</v>
      </c>
      <c r="AB32" s="50" t="s">
        <v>13201</v>
      </c>
      <c r="AC32" s="50" t="s">
        <v>13202</v>
      </c>
      <c r="AD32" s="50" t="s">
        <v>13201</v>
      </c>
      <c r="AE32" s="50" t="s">
        <v>12019</v>
      </c>
      <c r="AF32" s="50" t="s">
        <v>13201</v>
      </c>
      <c r="AG32" s="50" t="s">
        <v>12292</v>
      </c>
      <c r="AH32" s="50" t="s">
        <v>13201</v>
      </c>
      <c r="AI32" s="50" t="s">
        <v>102</v>
      </c>
      <c r="AJ32" s="50" t="s">
        <v>1305</v>
      </c>
      <c r="AK32" s="50" t="s">
        <v>11888</v>
      </c>
      <c r="AL32" s="50" t="s">
        <v>13203</v>
      </c>
      <c r="AM32" s="50" t="s">
        <v>13204</v>
      </c>
      <c r="AN32" s="50" t="s">
        <v>13205</v>
      </c>
      <c r="AO32" s="50" t="s">
        <v>13206</v>
      </c>
      <c r="AP32" s="50" t="s">
        <v>13206</v>
      </c>
      <c r="AU32" s="50" t="s">
        <v>102</v>
      </c>
      <c r="AW32" s="50" t="s">
        <v>102</v>
      </c>
      <c r="AX32" s="50" t="s">
        <v>119</v>
      </c>
      <c r="BA32" s="50" t="s">
        <v>250</v>
      </c>
      <c r="BB32" s="50" t="s">
        <v>171</v>
      </c>
      <c r="BC32" s="50" t="s">
        <v>13207</v>
      </c>
      <c r="BD32" s="50" t="s">
        <v>376</v>
      </c>
      <c r="BE32" s="50" t="s">
        <v>174</v>
      </c>
      <c r="BF32" s="50" t="s">
        <v>376</v>
      </c>
      <c r="BG32" s="50" t="s">
        <v>124</v>
      </c>
      <c r="BH32" s="50" t="s">
        <v>6177</v>
      </c>
      <c r="BI32" s="50" t="s">
        <v>13208</v>
      </c>
      <c r="BJ32" s="50" t="s">
        <v>127</v>
      </c>
      <c r="BK32" s="50" t="s">
        <v>13209</v>
      </c>
      <c r="BL32" s="50" t="s">
        <v>13210</v>
      </c>
      <c r="BM32" s="50" t="s">
        <v>13211</v>
      </c>
      <c r="BN32" s="50" t="s">
        <v>1781</v>
      </c>
      <c r="BO32" s="50" t="s">
        <v>6926</v>
      </c>
      <c r="BP32" s="50" t="s">
        <v>180</v>
      </c>
      <c r="BQ32" s="50" t="s">
        <v>6927</v>
      </c>
      <c r="BR32" s="50" t="s">
        <v>6928</v>
      </c>
      <c r="BS32" s="50" t="s">
        <v>1858</v>
      </c>
      <c r="BU32" s="50" t="s">
        <v>13212</v>
      </c>
      <c r="BV32" s="50" t="s">
        <v>1510</v>
      </c>
      <c r="BW32" s="50" t="s">
        <v>354</v>
      </c>
      <c r="BX32" s="50" t="s">
        <v>1511</v>
      </c>
      <c r="BY32" s="50" t="s">
        <v>1512</v>
      </c>
      <c r="BZ32" s="50" t="s">
        <v>1513</v>
      </c>
      <c r="CA32" s="50" t="s">
        <v>1510</v>
      </c>
      <c r="CB32" s="50" t="s">
        <v>1511</v>
      </c>
      <c r="CC32" s="50" t="s">
        <v>1512</v>
      </c>
      <c r="CD32" s="50" t="s">
        <v>1510</v>
      </c>
      <c r="CE32" s="50" t="s">
        <v>1511</v>
      </c>
      <c r="CF32" s="50" t="s">
        <v>1512</v>
      </c>
      <c r="CG32" s="50" t="s">
        <v>13213</v>
      </c>
      <c r="CH32" s="50" t="s">
        <v>13214</v>
      </c>
      <c r="CJ32" s="50" t="s">
        <v>13215</v>
      </c>
      <c r="CK32" s="50" t="s">
        <v>13214</v>
      </c>
      <c r="CL32" s="50" t="s">
        <v>13207</v>
      </c>
      <c r="CM32" s="50" t="s">
        <v>376</v>
      </c>
      <c r="CN32" s="50" t="s">
        <v>13215</v>
      </c>
      <c r="CP32" s="50" t="s">
        <v>13214</v>
      </c>
      <c r="CQ32" s="50" t="s">
        <v>13214</v>
      </c>
    </row>
    <row r="33" spans="1:96">
      <c r="A33" s="50" t="s">
        <v>337</v>
      </c>
      <c r="B33" s="50">
        <v>2530317</v>
      </c>
      <c r="C33" s="50" t="s">
        <v>293</v>
      </c>
      <c r="D33" s="50" t="s">
        <v>3972</v>
      </c>
      <c r="E33" s="50" t="str">
        <f>VLOOKUP(B33,aa!B:F,5,0)</f>
        <v>Ei CARES</v>
      </c>
      <c r="F33" s="50">
        <f>VLOOKUP(B33,aa!B:J,9,0)</f>
        <v>412983</v>
      </c>
      <c r="G33" s="50">
        <f>VLOOKUP(B33,aa!B:L,11,0)</f>
        <v>0</v>
      </c>
      <c r="H33" s="50">
        <f>VLOOKUP(B33,aa!B:O,14,0)</f>
        <v>412983</v>
      </c>
      <c r="I33" s="50">
        <f>VLOOKUP(B33,aa!B:R,17,0)</f>
        <v>0</v>
      </c>
      <c r="K33" s="50" t="s">
        <v>152</v>
      </c>
      <c r="L33" s="50">
        <v>378068</v>
      </c>
      <c r="M33" s="50">
        <v>378068</v>
      </c>
      <c r="N33" s="50">
        <v>0</v>
      </c>
      <c r="O33" s="50">
        <v>0</v>
      </c>
      <c r="Q33" s="50">
        <v>378068</v>
      </c>
      <c r="R33" s="50">
        <v>398</v>
      </c>
      <c r="S33" s="50" t="s">
        <v>936</v>
      </c>
      <c r="T33" s="50">
        <v>0</v>
      </c>
      <c r="U33" s="50">
        <v>0</v>
      </c>
      <c r="W33" s="50" t="s">
        <v>102</v>
      </c>
      <c r="X33" s="50" t="s">
        <v>103</v>
      </c>
      <c r="Y33" s="50" t="s">
        <v>398</v>
      </c>
      <c r="AA33" s="50" t="s">
        <v>3974</v>
      </c>
      <c r="AB33" s="50" t="s">
        <v>14412</v>
      </c>
      <c r="AC33" s="50" t="s">
        <v>7484</v>
      </c>
      <c r="AD33" s="50" t="s">
        <v>14413</v>
      </c>
      <c r="AE33" s="50" t="s">
        <v>14059</v>
      </c>
      <c r="AF33" s="50" t="s">
        <v>14413</v>
      </c>
      <c r="AG33" s="50" t="s">
        <v>109</v>
      </c>
      <c r="AH33" s="50" t="s">
        <v>102</v>
      </c>
      <c r="AI33" s="50" t="s">
        <v>14414</v>
      </c>
      <c r="AJ33" s="50" t="s">
        <v>1719</v>
      </c>
      <c r="AK33" s="50" t="s">
        <v>14415</v>
      </c>
      <c r="AL33" s="50" t="s">
        <v>14416</v>
      </c>
      <c r="AM33" s="50" t="s">
        <v>14417</v>
      </c>
      <c r="AN33" s="50" t="s">
        <v>14418</v>
      </c>
      <c r="AO33" s="50" t="s">
        <v>14419</v>
      </c>
      <c r="AP33" s="50" t="s">
        <v>14419</v>
      </c>
      <c r="AU33" s="50" t="s">
        <v>102</v>
      </c>
      <c r="AW33" s="50" t="s">
        <v>155</v>
      </c>
      <c r="AX33" s="50" t="s">
        <v>119</v>
      </c>
      <c r="AY33" s="50" t="s">
        <v>1138</v>
      </c>
      <c r="AZ33" s="50" t="s">
        <v>118</v>
      </c>
      <c r="BB33" s="50" t="s">
        <v>171</v>
      </c>
      <c r="BC33" s="50" t="s">
        <v>920</v>
      </c>
      <c r="BD33" s="50" t="s">
        <v>211</v>
      </c>
      <c r="BE33" s="50" t="s">
        <v>212</v>
      </c>
      <c r="BF33" s="50" t="s">
        <v>213</v>
      </c>
      <c r="BG33" s="50" t="s">
        <v>124</v>
      </c>
      <c r="BH33" s="50" t="s">
        <v>11959</v>
      </c>
      <c r="BI33" s="50" t="s">
        <v>11960</v>
      </c>
      <c r="BJ33" s="50" t="s">
        <v>127</v>
      </c>
      <c r="BK33" s="50" t="s">
        <v>14420</v>
      </c>
      <c r="BL33" s="50" t="s">
        <v>3975</v>
      </c>
      <c r="BM33" s="50" t="s">
        <v>3976</v>
      </c>
      <c r="BN33" s="50" t="s">
        <v>3974</v>
      </c>
      <c r="BO33" s="50" t="s">
        <v>3443</v>
      </c>
      <c r="BP33" s="50" t="s">
        <v>180</v>
      </c>
      <c r="BQ33" s="50" t="s">
        <v>3444</v>
      </c>
      <c r="BR33" s="50" t="s">
        <v>3445</v>
      </c>
      <c r="BS33" s="50" t="s">
        <v>2463</v>
      </c>
      <c r="BU33" s="50" t="s">
        <v>14421</v>
      </c>
      <c r="BV33" s="50" t="s">
        <v>3977</v>
      </c>
      <c r="BW33" s="50" t="s">
        <v>138</v>
      </c>
      <c r="BX33" s="50" t="s">
        <v>3978</v>
      </c>
      <c r="BY33" s="50" t="s">
        <v>3979</v>
      </c>
      <c r="BZ33" s="50" t="s">
        <v>3980</v>
      </c>
      <c r="CA33" s="50" t="s">
        <v>3977</v>
      </c>
      <c r="CB33" s="50" t="s">
        <v>3978</v>
      </c>
      <c r="CC33" s="50" t="s">
        <v>3979</v>
      </c>
      <c r="CD33" s="50" t="s">
        <v>3977</v>
      </c>
      <c r="CE33" s="50" t="s">
        <v>3978</v>
      </c>
      <c r="CF33" s="50" t="s">
        <v>3979</v>
      </c>
      <c r="CG33" s="50" t="s">
        <v>102</v>
      </c>
      <c r="CH33" s="50" t="s">
        <v>3981</v>
      </c>
      <c r="CJ33" s="50" t="s">
        <v>3982</v>
      </c>
      <c r="CL33" s="50" t="s">
        <v>920</v>
      </c>
      <c r="CM33" s="50" t="s">
        <v>2474</v>
      </c>
      <c r="CN33" s="50" t="s">
        <v>3982</v>
      </c>
      <c r="CO33" s="50" t="s">
        <v>3983</v>
      </c>
      <c r="CP33" s="50" t="s">
        <v>3981</v>
      </c>
      <c r="CQ33" s="50" t="s">
        <v>3981</v>
      </c>
    </row>
    <row r="34" spans="1:96">
      <c r="A34" s="50" t="s">
        <v>337</v>
      </c>
      <c r="B34" s="50">
        <v>5003047</v>
      </c>
      <c r="C34" s="50" t="s">
        <v>985</v>
      </c>
      <c r="D34" s="50" t="s">
        <v>18528</v>
      </c>
      <c r="E34" s="50" t="e">
        <f>VLOOKUP(B34,aa!B:F,5,0)</f>
        <v>#N/A</v>
      </c>
      <c r="F34" s="50" t="e">
        <f>VLOOKUP(B34,aa!B:J,9,0)</f>
        <v>#N/A</v>
      </c>
      <c r="G34" s="50" t="e">
        <f>VLOOKUP(B34,aa!B:L,11,0)</f>
        <v>#N/A</v>
      </c>
      <c r="H34" s="50" t="e">
        <f>VLOOKUP(B34,aa!B:O,14,0)</f>
        <v>#N/A</v>
      </c>
      <c r="I34" s="50" t="e">
        <f>VLOOKUP(B34,aa!B:R,17,0)</f>
        <v>#N/A</v>
      </c>
      <c r="K34" s="50" t="s">
        <v>848</v>
      </c>
      <c r="L34" s="50">
        <v>397423</v>
      </c>
      <c r="M34" s="50">
        <v>468959</v>
      </c>
      <c r="N34" s="50">
        <v>0</v>
      </c>
      <c r="O34" s="50">
        <v>0</v>
      </c>
      <c r="Q34" s="50">
        <v>0</v>
      </c>
      <c r="R34" s="50">
        <v>0</v>
      </c>
      <c r="T34" s="50">
        <v>397423</v>
      </c>
      <c r="U34" s="50">
        <v>130</v>
      </c>
      <c r="V34" s="50" t="s">
        <v>18529</v>
      </c>
      <c r="W34" s="50" t="s">
        <v>102</v>
      </c>
      <c r="X34" s="50" t="s">
        <v>275</v>
      </c>
      <c r="Z34" s="50" t="s">
        <v>1719</v>
      </c>
      <c r="AA34" s="50" t="s">
        <v>109</v>
      </c>
      <c r="AB34" s="50" t="s">
        <v>102</v>
      </c>
      <c r="AC34" s="50" t="s">
        <v>109</v>
      </c>
      <c r="AD34" s="50" t="s">
        <v>102</v>
      </c>
      <c r="AE34" s="50" t="s">
        <v>109</v>
      </c>
      <c r="AF34" s="50" t="s">
        <v>102</v>
      </c>
      <c r="AG34" s="50" t="s">
        <v>109</v>
      </c>
      <c r="AH34" s="50" t="s">
        <v>102</v>
      </c>
      <c r="AI34" s="50" t="s">
        <v>102</v>
      </c>
      <c r="AJ34" s="50" t="s">
        <v>1473</v>
      </c>
      <c r="AK34" s="50" t="s">
        <v>2008</v>
      </c>
      <c r="AL34" s="50" t="s">
        <v>18530</v>
      </c>
      <c r="AM34" s="50" t="s">
        <v>18531</v>
      </c>
      <c r="AN34" s="50" t="s">
        <v>18532</v>
      </c>
      <c r="AO34" s="50" t="s">
        <v>18533</v>
      </c>
      <c r="AP34" s="50" t="s">
        <v>18533</v>
      </c>
      <c r="AU34" s="50" t="s">
        <v>102</v>
      </c>
      <c r="AW34" s="50" t="s">
        <v>102</v>
      </c>
      <c r="AX34" s="50" t="s">
        <v>119</v>
      </c>
      <c r="BA34" s="50" t="s">
        <v>250</v>
      </c>
      <c r="BB34" s="50" t="s">
        <v>18534</v>
      </c>
      <c r="BC34" s="50" t="s">
        <v>18535</v>
      </c>
      <c r="BD34" s="50" t="s">
        <v>621</v>
      </c>
      <c r="BE34" s="50" t="s">
        <v>622</v>
      </c>
      <c r="BF34" s="50" t="s">
        <v>976</v>
      </c>
      <c r="BG34" s="50" t="s">
        <v>124</v>
      </c>
      <c r="BH34" s="50" t="s">
        <v>13033</v>
      </c>
      <c r="BI34" s="50" t="s">
        <v>12720</v>
      </c>
      <c r="BJ34" s="50" t="s">
        <v>127</v>
      </c>
      <c r="BK34" s="50" t="s">
        <v>18536</v>
      </c>
      <c r="BL34" s="50" t="s">
        <v>18537</v>
      </c>
      <c r="BM34" s="50" t="s">
        <v>18538</v>
      </c>
      <c r="BN34" s="50" t="s">
        <v>3974</v>
      </c>
      <c r="BO34" s="50" t="s">
        <v>4382</v>
      </c>
      <c r="BP34" s="50" t="s">
        <v>258</v>
      </c>
      <c r="BQ34" s="50" t="s">
        <v>4383</v>
      </c>
      <c r="BR34" s="50" t="s">
        <v>4384</v>
      </c>
      <c r="BS34" s="50" t="s">
        <v>984</v>
      </c>
      <c r="BU34" s="50" t="s">
        <v>18539</v>
      </c>
      <c r="BV34" s="50" t="s">
        <v>18540</v>
      </c>
      <c r="BW34" s="50" t="s">
        <v>138</v>
      </c>
      <c r="BX34" s="50" t="s">
        <v>18541</v>
      </c>
      <c r="BY34" s="50" t="s">
        <v>18542</v>
      </c>
      <c r="BZ34" s="50" t="s">
        <v>18543</v>
      </c>
      <c r="CA34" s="50" t="s">
        <v>18540</v>
      </c>
      <c r="CB34" s="50" t="s">
        <v>18541</v>
      </c>
      <c r="CC34" s="50" t="s">
        <v>18542</v>
      </c>
      <c r="CD34" s="50" t="s">
        <v>18540</v>
      </c>
      <c r="CE34" s="50" t="s">
        <v>18541</v>
      </c>
      <c r="CF34" s="50" t="s">
        <v>18542</v>
      </c>
      <c r="CG34" s="50" t="s">
        <v>18544</v>
      </c>
      <c r="CH34" s="50" t="s">
        <v>18545</v>
      </c>
      <c r="CJ34" s="50" t="s">
        <v>18546</v>
      </c>
      <c r="CK34" s="50" t="s">
        <v>18545</v>
      </c>
      <c r="CL34" s="50" t="s">
        <v>18535</v>
      </c>
      <c r="CM34" s="50" t="s">
        <v>621</v>
      </c>
      <c r="CN34" s="50" t="s">
        <v>18546</v>
      </c>
      <c r="CP34" s="50" t="s">
        <v>18547</v>
      </c>
      <c r="CQ34" s="50" t="s">
        <v>18547</v>
      </c>
      <c r="CR34" s="52" t="s">
        <v>26042</v>
      </c>
    </row>
    <row r="35" spans="1:96">
      <c r="A35" s="50" t="s">
        <v>337</v>
      </c>
      <c r="B35" s="50">
        <v>5018247</v>
      </c>
      <c r="C35" s="50" t="s">
        <v>384</v>
      </c>
      <c r="D35" s="50" t="s">
        <v>19591</v>
      </c>
      <c r="E35" s="50" t="str">
        <f>VLOOKUP(B35,aa!B:F,5,0)</f>
        <v>Ei CARES</v>
      </c>
      <c r="F35" s="50">
        <f>VLOOKUP(B35,aa!B:J,9,0)</f>
        <v>918527</v>
      </c>
      <c r="G35" s="50">
        <f>VLOOKUP(B35,aa!B:L,11,0)</f>
        <v>0</v>
      </c>
      <c r="H35" s="50">
        <f>VLOOKUP(B35,aa!B:O,14,0)</f>
        <v>918527</v>
      </c>
      <c r="I35" s="50">
        <f>VLOOKUP(B35,aa!B:R,17,0)</f>
        <v>0</v>
      </c>
      <c r="K35" s="50" t="s">
        <v>152</v>
      </c>
      <c r="L35" s="50">
        <v>866195</v>
      </c>
      <c r="M35" s="50">
        <v>866195</v>
      </c>
      <c r="N35" s="50">
        <v>0</v>
      </c>
      <c r="O35" s="50">
        <v>0</v>
      </c>
      <c r="Q35" s="50">
        <v>866195</v>
      </c>
      <c r="R35" s="50">
        <v>602</v>
      </c>
      <c r="S35" s="50" t="s">
        <v>19592</v>
      </c>
      <c r="T35" s="50">
        <v>0</v>
      </c>
      <c r="U35" s="50">
        <v>0</v>
      </c>
      <c r="W35" s="50" t="s">
        <v>102</v>
      </c>
      <c r="X35" s="50" t="s">
        <v>103</v>
      </c>
      <c r="Y35" s="50" t="s">
        <v>155</v>
      </c>
      <c r="AA35" s="50" t="s">
        <v>6341</v>
      </c>
      <c r="AB35" s="50" t="s">
        <v>19593</v>
      </c>
      <c r="AC35" s="50" t="s">
        <v>12923</v>
      </c>
      <c r="AD35" s="50" t="s">
        <v>19593</v>
      </c>
      <c r="AE35" s="50" t="s">
        <v>12020</v>
      </c>
      <c r="AF35" s="50" t="s">
        <v>19593</v>
      </c>
      <c r="AG35" s="50" t="s">
        <v>3849</v>
      </c>
      <c r="AH35" s="50" t="s">
        <v>19593</v>
      </c>
      <c r="AI35" s="50" t="s">
        <v>102</v>
      </c>
      <c r="AJ35" s="50" t="s">
        <v>3880</v>
      </c>
      <c r="AK35" s="50" t="s">
        <v>15755</v>
      </c>
      <c r="AL35" s="50" t="s">
        <v>19594</v>
      </c>
      <c r="AM35" s="50" t="s">
        <v>19595</v>
      </c>
      <c r="AN35" s="50" t="s">
        <v>19596</v>
      </c>
      <c r="AO35" s="50" t="s">
        <v>1826</v>
      </c>
      <c r="AP35" s="50" t="s">
        <v>1826</v>
      </c>
      <c r="AU35" s="50" t="s">
        <v>102</v>
      </c>
      <c r="AW35" s="50" t="s">
        <v>104</v>
      </c>
      <c r="AX35" s="50" t="s">
        <v>447</v>
      </c>
      <c r="AY35" s="50" t="s">
        <v>170</v>
      </c>
      <c r="AZ35" s="50" t="s">
        <v>118</v>
      </c>
      <c r="BB35" s="50" t="s">
        <v>1964</v>
      </c>
      <c r="BC35" s="50" t="s">
        <v>19597</v>
      </c>
      <c r="BD35" s="50" t="s">
        <v>19598</v>
      </c>
      <c r="BE35" s="50" t="s">
        <v>174</v>
      </c>
      <c r="BF35" s="50" t="s">
        <v>376</v>
      </c>
      <c r="BG35" s="50" t="s">
        <v>124</v>
      </c>
      <c r="BH35" s="50" t="s">
        <v>4045</v>
      </c>
      <c r="BI35" s="50" t="s">
        <v>11889</v>
      </c>
      <c r="BJ35" s="50" t="s">
        <v>127</v>
      </c>
      <c r="BK35" s="50" t="s">
        <v>19599</v>
      </c>
      <c r="BL35" s="50" t="s">
        <v>19600</v>
      </c>
      <c r="BM35" s="50" t="s">
        <v>19601</v>
      </c>
      <c r="BN35" s="50" t="s">
        <v>3974</v>
      </c>
      <c r="BO35" s="50" t="s">
        <v>13780</v>
      </c>
      <c r="BP35" s="50" t="s">
        <v>180</v>
      </c>
      <c r="BQ35" s="50" t="s">
        <v>13781</v>
      </c>
      <c r="BR35" s="50" t="s">
        <v>13782</v>
      </c>
      <c r="BS35" s="50" t="s">
        <v>13783</v>
      </c>
      <c r="BU35" s="50" t="s">
        <v>19602</v>
      </c>
      <c r="BV35" s="50" t="s">
        <v>19603</v>
      </c>
      <c r="BW35" s="50" t="s">
        <v>138</v>
      </c>
      <c r="BX35" s="50" t="s">
        <v>19604</v>
      </c>
      <c r="BY35" s="50" t="s">
        <v>19605</v>
      </c>
      <c r="BZ35" s="50" t="s">
        <v>19606</v>
      </c>
      <c r="CA35" s="50" t="s">
        <v>19603</v>
      </c>
      <c r="CB35" s="50" t="s">
        <v>19604</v>
      </c>
      <c r="CC35" s="50" t="s">
        <v>19605</v>
      </c>
      <c r="CD35" s="50" t="s">
        <v>19603</v>
      </c>
      <c r="CE35" s="50" t="s">
        <v>19604</v>
      </c>
      <c r="CF35" s="50" t="s">
        <v>19605</v>
      </c>
      <c r="CG35" s="50" t="s">
        <v>2555</v>
      </c>
      <c r="CH35" s="50" t="s">
        <v>19607</v>
      </c>
      <c r="CJ35" s="50" t="s">
        <v>19608</v>
      </c>
      <c r="CK35" s="50" t="s">
        <v>19609</v>
      </c>
      <c r="CL35" s="50" t="s">
        <v>19597</v>
      </c>
      <c r="CM35" s="50" t="s">
        <v>19598</v>
      </c>
      <c r="CN35" s="50" t="s">
        <v>19608</v>
      </c>
      <c r="CP35" s="50" t="s">
        <v>19607</v>
      </c>
      <c r="CQ35" s="50" t="s">
        <v>19607</v>
      </c>
    </row>
    <row r="36" spans="1:96">
      <c r="A36" s="50" t="s">
        <v>337</v>
      </c>
      <c r="B36" s="50">
        <v>5018487</v>
      </c>
      <c r="C36" s="50" t="s">
        <v>293</v>
      </c>
      <c r="D36" s="50" t="s">
        <v>10750</v>
      </c>
      <c r="E36" s="50" t="str">
        <f>VLOOKUP(B36,aa!B:F,5,0)</f>
        <v>Ei CARES</v>
      </c>
      <c r="F36" s="50">
        <f>VLOOKUP(B36,aa!B:J,9,0)</f>
        <v>498193</v>
      </c>
      <c r="G36" s="50">
        <f>VLOOKUP(B36,aa!B:L,11,0)</f>
        <v>0</v>
      </c>
      <c r="H36" s="50">
        <f>VLOOKUP(B36,aa!B:O,14,0)</f>
        <v>498193</v>
      </c>
      <c r="I36" s="50">
        <f>VLOOKUP(B36,aa!B:R,17,0)</f>
        <v>0</v>
      </c>
      <c r="K36" s="50" t="s">
        <v>152</v>
      </c>
      <c r="L36" s="50">
        <v>463561</v>
      </c>
      <c r="M36" s="50">
        <v>463561</v>
      </c>
      <c r="N36" s="50">
        <v>0</v>
      </c>
      <c r="O36" s="50">
        <v>0</v>
      </c>
      <c r="Q36" s="50">
        <v>463561</v>
      </c>
      <c r="R36" s="50">
        <v>488</v>
      </c>
      <c r="S36" s="50" t="s">
        <v>936</v>
      </c>
      <c r="T36" s="50">
        <v>0</v>
      </c>
      <c r="U36" s="50">
        <v>0</v>
      </c>
      <c r="W36" s="50" t="s">
        <v>102</v>
      </c>
      <c r="X36" s="50" t="s">
        <v>103</v>
      </c>
      <c r="Y36" s="50" t="s">
        <v>398</v>
      </c>
      <c r="AA36" s="50" t="s">
        <v>3974</v>
      </c>
      <c r="AB36" s="50" t="s">
        <v>19884</v>
      </c>
      <c r="AC36" s="50" t="s">
        <v>625</v>
      </c>
      <c r="AD36" s="50" t="s">
        <v>16650</v>
      </c>
      <c r="AE36" s="50" t="s">
        <v>14059</v>
      </c>
      <c r="AF36" s="50" t="s">
        <v>16650</v>
      </c>
      <c r="AG36" s="50" t="s">
        <v>109</v>
      </c>
      <c r="AH36" s="50" t="s">
        <v>102</v>
      </c>
      <c r="AI36" s="50" t="s">
        <v>13421</v>
      </c>
      <c r="AJ36" s="50" t="s">
        <v>1719</v>
      </c>
      <c r="AK36" s="50" t="s">
        <v>14415</v>
      </c>
      <c r="AL36" s="50" t="s">
        <v>19885</v>
      </c>
      <c r="AM36" s="50" t="s">
        <v>19886</v>
      </c>
      <c r="AN36" s="50" t="s">
        <v>19887</v>
      </c>
      <c r="AO36" s="50" t="s">
        <v>14419</v>
      </c>
      <c r="AP36" s="50" t="s">
        <v>14419</v>
      </c>
      <c r="AU36" s="50" t="s">
        <v>102</v>
      </c>
      <c r="AW36" s="50" t="s">
        <v>155</v>
      </c>
      <c r="AX36" s="50" t="s">
        <v>447</v>
      </c>
      <c r="AY36" s="50" t="s">
        <v>1138</v>
      </c>
      <c r="AZ36" s="50" t="s">
        <v>118</v>
      </c>
      <c r="BB36" s="50" t="s">
        <v>120</v>
      </c>
      <c r="BC36" s="50" t="s">
        <v>920</v>
      </c>
      <c r="BD36" s="50" t="s">
        <v>211</v>
      </c>
      <c r="BE36" s="50" t="s">
        <v>212</v>
      </c>
      <c r="BF36" s="50" t="s">
        <v>213</v>
      </c>
      <c r="BG36" s="50" t="s">
        <v>124</v>
      </c>
      <c r="BH36" s="50" t="s">
        <v>11959</v>
      </c>
      <c r="BI36" s="50" t="s">
        <v>11960</v>
      </c>
      <c r="BJ36" s="50" t="s">
        <v>127</v>
      </c>
      <c r="BK36" s="50" t="s">
        <v>19888</v>
      </c>
      <c r="BL36" s="50" t="s">
        <v>10751</v>
      </c>
      <c r="BM36" s="50" t="s">
        <v>10752</v>
      </c>
      <c r="BN36" s="50" t="s">
        <v>3974</v>
      </c>
      <c r="BO36" s="50" t="s">
        <v>3443</v>
      </c>
      <c r="BP36" s="50" t="s">
        <v>180</v>
      </c>
      <c r="BQ36" s="50" t="s">
        <v>3444</v>
      </c>
      <c r="BR36" s="50" t="s">
        <v>3445</v>
      </c>
      <c r="BS36" s="50" t="s">
        <v>2463</v>
      </c>
      <c r="BU36" s="50" t="s">
        <v>19889</v>
      </c>
      <c r="BV36" s="50" t="s">
        <v>3977</v>
      </c>
      <c r="BW36" s="50" t="s">
        <v>138</v>
      </c>
      <c r="BX36" s="50" t="s">
        <v>10753</v>
      </c>
      <c r="BY36" s="50" t="s">
        <v>10754</v>
      </c>
      <c r="BZ36" s="50" t="s">
        <v>10753</v>
      </c>
      <c r="CA36" s="50" t="s">
        <v>19890</v>
      </c>
      <c r="CB36" s="50" t="s">
        <v>3978</v>
      </c>
      <c r="CC36" s="50" t="s">
        <v>10754</v>
      </c>
      <c r="CD36" s="50" t="s">
        <v>19890</v>
      </c>
      <c r="CE36" s="50" t="s">
        <v>3978</v>
      </c>
      <c r="CF36" s="50" t="s">
        <v>10754</v>
      </c>
      <c r="CG36" s="50" t="s">
        <v>1709</v>
      </c>
      <c r="CH36" s="50" t="s">
        <v>10755</v>
      </c>
      <c r="CJ36" s="50" t="s">
        <v>3982</v>
      </c>
      <c r="CL36" s="50" t="s">
        <v>920</v>
      </c>
      <c r="CM36" s="50" t="s">
        <v>211</v>
      </c>
      <c r="CN36" s="50" t="s">
        <v>3982</v>
      </c>
      <c r="CO36" s="50" t="s">
        <v>3983</v>
      </c>
      <c r="CP36" s="50" t="s">
        <v>10756</v>
      </c>
      <c r="CQ36" s="50" t="s">
        <v>10756</v>
      </c>
    </row>
    <row r="37" spans="1:96">
      <c r="A37" s="50" t="s">
        <v>337</v>
      </c>
      <c r="B37" s="50">
        <v>3856532</v>
      </c>
      <c r="C37" s="50" t="s">
        <v>12423</v>
      </c>
      <c r="D37" s="50" t="s">
        <v>17151</v>
      </c>
      <c r="E37" s="50" t="e">
        <f>VLOOKUP(B37,aa!B:F,5,0)</f>
        <v>#N/A</v>
      </c>
      <c r="F37" s="50" t="e">
        <f>VLOOKUP(B37,aa!B:J,9,0)</f>
        <v>#N/A</v>
      </c>
      <c r="G37" s="50" t="e">
        <f>VLOOKUP(B37,aa!B:L,11,0)</f>
        <v>#N/A</v>
      </c>
      <c r="H37" s="50" t="e">
        <f>VLOOKUP(B37,aa!B:O,14,0)</f>
        <v>#N/A</v>
      </c>
      <c r="I37" s="50" t="e">
        <f>VLOOKUP(B37,aa!B:R,17,0)</f>
        <v>#N/A</v>
      </c>
      <c r="K37" s="50" t="s">
        <v>848</v>
      </c>
      <c r="L37" s="50">
        <v>359073</v>
      </c>
      <c r="M37" s="50">
        <v>423706</v>
      </c>
      <c r="N37" s="50">
        <v>0</v>
      </c>
      <c r="O37" s="50">
        <v>0</v>
      </c>
      <c r="Q37" s="50">
        <v>0</v>
      </c>
      <c r="R37" s="50">
        <v>0</v>
      </c>
      <c r="T37" s="50">
        <v>359073</v>
      </c>
      <c r="U37" s="50">
        <v>353</v>
      </c>
      <c r="V37" s="50" t="s">
        <v>3924</v>
      </c>
      <c r="W37" s="50" t="s">
        <v>102</v>
      </c>
      <c r="X37" s="50" t="s">
        <v>103</v>
      </c>
      <c r="Y37" s="50" t="s">
        <v>155</v>
      </c>
      <c r="AA37" s="50" t="s">
        <v>2911</v>
      </c>
      <c r="AB37" s="50" t="s">
        <v>17152</v>
      </c>
      <c r="AC37" s="50" t="s">
        <v>11932</v>
      </c>
      <c r="AD37" s="50" t="s">
        <v>17153</v>
      </c>
      <c r="AE37" s="50" t="s">
        <v>12467</v>
      </c>
      <c r="AF37" s="50" t="s">
        <v>17153</v>
      </c>
      <c r="AG37" s="50" t="s">
        <v>11952</v>
      </c>
      <c r="AH37" s="50" t="s">
        <v>17153</v>
      </c>
      <c r="AI37" s="50" t="s">
        <v>102</v>
      </c>
      <c r="AJ37" s="50" t="s">
        <v>404</v>
      </c>
      <c r="AK37" s="50" t="s">
        <v>10221</v>
      </c>
      <c r="AL37" s="50" t="s">
        <v>17154</v>
      </c>
      <c r="AM37" s="50" t="s">
        <v>17155</v>
      </c>
      <c r="AN37" s="50" t="s">
        <v>17156</v>
      </c>
      <c r="AO37" s="50" t="s">
        <v>2353</v>
      </c>
      <c r="AP37" s="50" t="s">
        <v>2353</v>
      </c>
      <c r="AU37" s="50" t="s">
        <v>102</v>
      </c>
      <c r="AW37" s="50" t="s">
        <v>102</v>
      </c>
      <c r="AX37" s="50" t="s">
        <v>119</v>
      </c>
      <c r="BA37" s="50" t="s">
        <v>250</v>
      </c>
      <c r="BB37" s="50" t="s">
        <v>120</v>
      </c>
      <c r="BC37" s="50" t="s">
        <v>17157</v>
      </c>
      <c r="BD37" s="50" t="s">
        <v>410</v>
      </c>
      <c r="BE37" s="50" t="s">
        <v>212</v>
      </c>
      <c r="BF37" s="50" t="s">
        <v>410</v>
      </c>
      <c r="BG37" s="50" t="s">
        <v>124</v>
      </c>
      <c r="BH37" s="50" t="s">
        <v>12128</v>
      </c>
      <c r="BI37" s="50" t="s">
        <v>17158</v>
      </c>
      <c r="BJ37" s="50" t="s">
        <v>127</v>
      </c>
      <c r="BK37" s="50" t="s">
        <v>17159</v>
      </c>
      <c r="BL37" s="50" t="s">
        <v>17160</v>
      </c>
      <c r="BM37" s="50" t="s">
        <v>17161</v>
      </c>
      <c r="BN37" s="50" t="s">
        <v>1719</v>
      </c>
      <c r="BO37" s="50" t="s">
        <v>896</v>
      </c>
      <c r="BP37" s="50" t="s">
        <v>132</v>
      </c>
      <c r="BQ37" s="50" t="s">
        <v>897</v>
      </c>
      <c r="BR37" s="50" t="s">
        <v>898</v>
      </c>
      <c r="BS37" s="50" t="s">
        <v>899</v>
      </c>
      <c r="BU37" s="50" t="s">
        <v>17162</v>
      </c>
      <c r="BV37" s="50" t="s">
        <v>17163</v>
      </c>
      <c r="BW37" s="50" t="s">
        <v>354</v>
      </c>
      <c r="BX37" s="50" t="s">
        <v>17164</v>
      </c>
      <c r="BY37" s="50" t="s">
        <v>17165</v>
      </c>
      <c r="BZ37" s="50" t="s">
        <v>17166</v>
      </c>
      <c r="CA37" s="50" t="s">
        <v>17167</v>
      </c>
      <c r="CB37" s="50" t="s">
        <v>17166</v>
      </c>
      <c r="CC37" s="50" t="s">
        <v>17165</v>
      </c>
      <c r="CD37" s="50" t="s">
        <v>17168</v>
      </c>
      <c r="CE37" s="50" t="s">
        <v>17166</v>
      </c>
      <c r="CF37" s="50" t="s">
        <v>17165</v>
      </c>
      <c r="CG37" s="50" t="s">
        <v>2270</v>
      </c>
      <c r="CH37" s="50" t="s">
        <v>17169</v>
      </c>
      <c r="CJ37" s="50" t="s">
        <v>17170</v>
      </c>
      <c r="CK37" s="50" t="s">
        <v>17171</v>
      </c>
      <c r="CL37" s="50" t="s">
        <v>17157</v>
      </c>
      <c r="CM37" s="50" t="s">
        <v>410</v>
      </c>
      <c r="CN37" s="50" t="s">
        <v>17170</v>
      </c>
      <c r="CP37" s="50" t="s">
        <v>17172</v>
      </c>
      <c r="CQ37" s="50" t="s">
        <v>17172</v>
      </c>
    </row>
    <row r="38" spans="1:96">
      <c r="A38" s="50" t="s">
        <v>337</v>
      </c>
      <c r="B38" s="50">
        <v>5018473</v>
      </c>
      <c r="C38" s="50" t="s">
        <v>19847</v>
      </c>
      <c r="D38" s="50" t="s">
        <v>19846</v>
      </c>
      <c r="E38" s="50" t="str">
        <f>VLOOKUP(B38,aa!B:F,5,0)</f>
        <v>Ei ASSET, Ei CARES, Ei Mindspark</v>
      </c>
      <c r="F38" s="50">
        <f>VLOOKUP(B38,aa!B:J,9,0)</f>
        <v>1622333</v>
      </c>
      <c r="G38" s="50">
        <f>VLOOKUP(B38,aa!B:L,11,0)</f>
        <v>135000</v>
      </c>
      <c r="H38" s="50">
        <f>VLOOKUP(B38,aa!B:O,14,0)</f>
        <v>841538</v>
      </c>
      <c r="I38" s="50">
        <f>VLOOKUP(B38,aa!B:R,17,0)</f>
        <v>645795</v>
      </c>
      <c r="K38" s="50" t="s">
        <v>643</v>
      </c>
      <c r="L38" s="50">
        <v>997128</v>
      </c>
      <c r="M38" s="50">
        <v>1045456</v>
      </c>
      <c r="N38" s="50">
        <v>0</v>
      </c>
      <c r="O38" s="50">
        <v>0</v>
      </c>
      <c r="Q38" s="50">
        <v>728640</v>
      </c>
      <c r="R38" s="50">
        <v>1137</v>
      </c>
      <c r="S38" s="50" t="s">
        <v>19849</v>
      </c>
      <c r="T38" s="50">
        <v>268488</v>
      </c>
      <c r="U38" s="50">
        <v>220</v>
      </c>
      <c r="V38" s="50" t="s">
        <v>19850</v>
      </c>
      <c r="W38" s="50" t="s">
        <v>102</v>
      </c>
      <c r="X38" s="50" t="s">
        <v>679</v>
      </c>
      <c r="Y38" s="50" t="s">
        <v>938</v>
      </c>
      <c r="Z38" s="50" t="s">
        <v>19851</v>
      </c>
      <c r="AA38" s="50" t="s">
        <v>19852</v>
      </c>
      <c r="AB38" s="50" t="s">
        <v>19853</v>
      </c>
      <c r="AC38" s="50" t="s">
        <v>19854</v>
      </c>
      <c r="AD38" s="50" t="s">
        <v>19855</v>
      </c>
      <c r="AE38" s="50" t="s">
        <v>19856</v>
      </c>
      <c r="AF38" s="50" t="s">
        <v>19855</v>
      </c>
      <c r="AG38" s="50" t="s">
        <v>19857</v>
      </c>
      <c r="AH38" s="50" t="s">
        <v>19858</v>
      </c>
      <c r="AI38" s="50" t="s">
        <v>102</v>
      </c>
      <c r="AJ38" s="50" t="s">
        <v>19859</v>
      </c>
      <c r="AK38" s="50" t="s">
        <v>19860</v>
      </c>
      <c r="AL38" s="50" t="s">
        <v>19861</v>
      </c>
      <c r="AM38" s="50" t="s">
        <v>19862</v>
      </c>
      <c r="AN38" s="50" t="s">
        <v>19863</v>
      </c>
      <c r="AO38" s="50" t="s">
        <v>19864</v>
      </c>
      <c r="AP38" s="50" t="s">
        <v>19864</v>
      </c>
      <c r="AU38" s="50" t="s">
        <v>102</v>
      </c>
      <c r="AW38" s="50" t="s">
        <v>1103</v>
      </c>
      <c r="AX38" s="50" t="s">
        <v>249</v>
      </c>
      <c r="AY38" s="50" t="s">
        <v>170</v>
      </c>
      <c r="AZ38" s="50" t="s">
        <v>118</v>
      </c>
      <c r="BA38" s="50" t="s">
        <v>250</v>
      </c>
      <c r="BB38" s="50" t="s">
        <v>120</v>
      </c>
      <c r="BC38" s="50" t="s">
        <v>19865</v>
      </c>
      <c r="BD38" s="50" t="s">
        <v>376</v>
      </c>
      <c r="BE38" s="50" t="s">
        <v>174</v>
      </c>
      <c r="BF38" s="50" t="s">
        <v>376</v>
      </c>
      <c r="BG38" s="50" t="s">
        <v>124</v>
      </c>
      <c r="BH38" s="50" t="s">
        <v>19866</v>
      </c>
      <c r="BI38" s="50" t="s">
        <v>11889</v>
      </c>
      <c r="BJ38" s="50" t="s">
        <v>127</v>
      </c>
      <c r="BK38" s="50" t="s">
        <v>19867</v>
      </c>
      <c r="BL38" s="50" t="s">
        <v>19868</v>
      </c>
      <c r="BM38" s="50" t="s">
        <v>19869</v>
      </c>
      <c r="BN38" s="50" t="s">
        <v>19848</v>
      </c>
      <c r="BO38" s="50" t="s">
        <v>19870</v>
      </c>
      <c r="BP38" s="50" t="s">
        <v>7992</v>
      </c>
      <c r="BQ38" s="50" t="s">
        <v>19871</v>
      </c>
      <c r="BR38" s="50" t="s">
        <v>19872</v>
      </c>
      <c r="BS38" s="50" t="s">
        <v>13783</v>
      </c>
      <c r="BU38" s="50" t="s">
        <v>19873</v>
      </c>
      <c r="BV38" s="50" t="s">
        <v>19874</v>
      </c>
      <c r="BW38" s="50" t="s">
        <v>354</v>
      </c>
      <c r="BX38" s="50" t="s">
        <v>19875</v>
      </c>
      <c r="BY38" s="50" t="s">
        <v>19876</v>
      </c>
      <c r="BZ38" s="50" t="s">
        <v>19877</v>
      </c>
      <c r="CA38" s="50" t="s">
        <v>19878</v>
      </c>
      <c r="CB38" s="50" t="s">
        <v>19879</v>
      </c>
      <c r="CC38" s="50" t="s">
        <v>19880</v>
      </c>
      <c r="CD38" s="50" t="s">
        <v>19878</v>
      </c>
      <c r="CE38" s="50" t="s">
        <v>19879</v>
      </c>
      <c r="CF38" s="50" t="s">
        <v>19880</v>
      </c>
      <c r="CG38" s="50" t="s">
        <v>6370</v>
      </c>
      <c r="CH38" s="50" t="s">
        <v>19881</v>
      </c>
      <c r="CJ38" s="50" t="s">
        <v>19882</v>
      </c>
      <c r="CK38" s="50" t="s">
        <v>19883</v>
      </c>
      <c r="CL38" s="50" t="s">
        <v>19865</v>
      </c>
      <c r="CM38" s="50" t="s">
        <v>376</v>
      </c>
      <c r="CN38" s="50" t="s">
        <v>19882</v>
      </c>
      <c r="CP38" s="50" t="s">
        <v>19881</v>
      </c>
      <c r="CQ38" s="50" t="s">
        <v>19881</v>
      </c>
    </row>
    <row r="39" spans="1:96">
      <c r="A39" s="50" t="s">
        <v>337</v>
      </c>
      <c r="B39" s="50">
        <v>414020</v>
      </c>
      <c r="C39" s="50" t="s">
        <v>384</v>
      </c>
      <c r="D39" s="50" t="s">
        <v>18168</v>
      </c>
      <c r="E39" s="50" t="str">
        <f>VLOOKUP(B39,aa!B:F,5,0)</f>
        <v>Ei CARES</v>
      </c>
      <c r="F39" s="50">
        <f>VLOOKUP(B39,aa!B:J,9,0)</f>
        <v>1440285</v>
      </c>
      <c r="G39" s="50">
        <f>VLOOKUP(B39,aa!B:L,11,0)</f>
        <v>0</v>
      </c>
      <c r="H39" s="50">
        <f>VLOOKUP(B39,aa!B:O,14,0)</f>
        <v>1440285</v>
      </c>
      <c r="I39" s="50">
        <f>VLOOKUP(B39,aa!B:R,17,0)</f>
        <v>0</v>
      </c>
      <c r="K39" s="50" t="s">
        <v>152</v>
      </c>
      <c r="L39" s="50">
        <v>1125540</v>
      </c>
      <c r="M39" s="50">
        <v>1125540</v>
      </c>
      <c r="N39" s="50">
        <v>0</v>
      </c>
      <c r="O39" s="50">
        <v>0</v>
      </c>
      <c r="Q39" s="50">
        <v>1125540</v>
      </c>
      <c r="R39" s="50">
        <v>750</v>
      </c>
      <c r="S39" s="50" t="s">
        <v>15175</v>
      </c>
      <c r="T39" s="50">
        <v>0</v>
      </c>
      <c r="U39" s="50">
        <v>0</v>
      </c>
      <c r="W39" s="50" t="s">
        <v>102</v>
      </c>
      <c r="X39" s="50" t="s">
        <v>103</v>
      </c>
      <c r="Y39" s="50" t="s">
        <v>155</v>
      </c>
      <c r="AA39" s="50" t="s">
        <v>12023</v>
      </c>
      <c r="AB39" s="50" t="s">
        <v>18169</v>
      </c>
      <c r="AC39" s="50" t="s">
        <v>11976</v>
      </c>
      <c r="AD39" s="50" t="s">
        <v>18169</v>
      </c>
      <c r="AE39" s="50" t="s">
        <v>5651</v>
      </c>
      <c r="AF39" s="50" t="s">
        <v>18169</v>
      </c>
      <c r="AG39" s="50" t="s">
        <v>12084</v>
      </c>
      <c r="AH39" s="50" t="s">
        <v>18169</v>
      </c>
      <c r="AI39" s="50" t="s">
        <v>18170</v>
      </c>
      <c r="AJ39" s="50" t="s">
        <v>12494</v>
      </c>
      <c r="AK39" s="50" t="s">
        <v>13245</v>
      </c>
      <c r="AL39" s="50" t="s">
        <v>18171</v>
      </c>
      <c r="AM39" s="50" t="s">
        <v>18172</v>
      </c>
      <c r="AN39" s="50" t="s">
        <v>18173</v>
      </c>
      <c r="AO39" s="50" t="s">
        <v>18174</v>
      </c>
      <c r="AP39" s="50" t="s">
        <v>18174</v>
      </c>
      <c r="AU39" s="50" t="s">
        <v>102</v>
      </c>
      <c r="AW39" s="50" t="s">
        <v>104</v>
      </c>
      <c r="AX39" s="50" t="s">
        <v>119</v>
      </c>
      <c r="AZ39" s="50" t="s">
        <v>118</v>
      </c>
      <c r="BB39" s="50" t="s">
        <v>171</v>
      </c>
      <c r="BC39" s="50" t="s">
        <v>18175</v>
      </c>
      <c r="BD39" s="50" t="s">
        <v>376</v>
      </c>
      <c r="BE39" s="50" t="s">
        <v>174</v>
      </c>
      <c r="BF39" s="50" t="s">
        <v>376</v>
      </c>
      <c r="BG39" s="50" t="s">
        <v>124</v>
      </c>
      <c r="BH39" s="50" t="s">
        <v>8186</v>
      </c>
      <c r="BI39" s="50" t="s">
        <v>11889</v>
      </c>
      <c r="BJ39" s="50" t="s">
        <v>127</v>
      </c>
      <c r="BK39" s="50" t="s">
        <v>18176</v>
      </c>
      <c r="BL39" s="50" t="s">
        <v>18177</v>
      </c>
      <c r="BM39" s="50" t="s">
        <v>18178</v>
      </c>
      <c r="BN39" s="50" t="s">
        <v>404</v>
      </c>
      <c r="BO39" s="50" t="s">
        <v>6926</v>
      </c>
      <c r="BP39" s="50" t="s">
        <v>350</v>
      </c>
      <c r="BQ39" s="50" t="s">
        <v>6927</v>
      </c>
      <c r="BR39" s="50" t="s">
        <v>6928</v>
      </c>
      <c r="BS39" s="50" t="s">
        <v>1858</v>
      </c>
      <c r="BU39" s="50" t="s">
        <v>18179</v>
      </c>
      <c r="BV39" s="50" t="s">
        <v>18180</v>
      </c>
      <c r="BW39" s="50" t="s">
        <v>138</v>
      </c>
      <c r="BX39" s="50" t="s">
        <v>18181</v>
      </c>
      <c r="BY39" s="50" t="s">
        <v>18182</v>
      </c>
      <c r="BZ39" s="50" t="s">
        <v>18181</v>
      </c>
      <c r="CA39" s="50" t="s">
        <v>18180</v>
      </c>
      <c r="CB39" s="50" t="s">
        <v>18181</v>
      </c>
      <c r="CC39" s="50" t="s">
        <v>18182</v>
      </c>
      <c r="CD39" s="50" t="s">
        <v>18180</v>
      </c>
      <c r="CE39" s="50" t="s">
        <v>18181</v>
      </c>
      <c r="CF39" s="50" t="s">
        <v>18182</v>
      </c>
      <c r="CG39" s="50" t="s">
        <v>18183</v>
      </c>
      <c r="CH39" s="50" t="s">
        <v>18184</v>
      </c>
      <c r="CJ39" s="50" t="s">
        <v>18185</v>
      </c>
      <c r="CK39" s="50" t="s">
        <v>18184</v>
      </c>
      <c r="CL39" s="50" t="s">
        <v>18175</v>
      </c>
      <c r="CM39" s="50" t="s">
        <v>376</v>
      </c>
      <c r="CN39" s="50" t="s">
        <v>18185</v>
      </c>
      <c r="CO39" s="50" t="s">
        <v>18186</v>
      </c>
      <c r="CP39" s="50" t="s">
        <v>18184</v>
      </c>
      <c r="CQ39" s="50" t="s">
        <v>18184</v>
      </c>
    </row>
    <row r="40" spans="1:96">
      <c r="A40" s="50" t="s">
        <v>337</v>
      </c>
      <c r="B40" s="50">
        <v>5018435</v>
      </c>
      <c r="C40" s="50" t="s">
        <v>293</v>
      </c>
      <c r="D40" s="50" t="s">
        <v>19761</v>
      </c>
      <c r="E40" s="50" t="e">
        <f>VLOOKUP(B40,aa!B:F,5,0)</f>
        <v>#N/A</v>
      </c>
      <c r="F40" s="50" t="e">
        <f>VLOOKUP(B40,aa!B:J,9,0)</f>
        <v>#N/A</v>
      </c>
      <c r="G40" s="50" t="e">
        <f>VLOOKUP(B40,aa!B:L,11,0)</f>
        <v>#N/A</v>
      </c>
      <c r="H40" s="50" t="e">
        <f>VLOOKUP(B40,aa!B:O,14,0)</f>
        <v>#N/A</v>
      </c>
      <c r="I40" s="50" t="e">
        <f>VLOOKUP(B40,aa!B:R,17,0)</f>
        <v>#N/A</v>
      </c>
      <c r="K40" s="50" t="s">
        <v>152</v>
      </c>
      <c r="L40" s="50">
        <v>907025</v>
      </c>
      <c r="M40" s="50">
        <v>907025</v>
      </c>
      <c r="N40" s="50">
        <v>0</v>
      </c>
      <c r="O40" s="50">
        <v>0</v>
      </c>
      <c r="Q40" s="50">
        <v>907025</v>
      </c>
      <c r="R40" s="50">
        <v>880</v>
      </c>
      <c r="S40" s="50" t="s">
        <v>19762</v>
      </c>
      <c r="T40" s="50">
        <v>0</v>
      </c>
      <c r="U40" s="50">
        <v>0</v>
      </c>
      <c r="W40" s="50" t="s">
        <v>102</v>
      </c>
      <c r="X40" s="50" t="s">
        <v>103</v>
      </c>
      <c r="Y40" s="50" t="s">
        <v>155</v>
      </c>
      <c r="AA40" s="50" t="s">
        <v>404</v>
      </c>
      <c r="AB40" s="50" t="s">
        <v>19763</v>
      </c>
      <c r="AC40" s="50" t="s">
        <v>13680</v>
      </c>
      <c r="AD40" s="50" t="s">
        <v>19764</v>
      </c>
      <c r="AE40" s="50" t="s">
        <v>5651</v>
      </c>
      <c r="AF40" s="50" t="s">
        <v>19765</v>
      </c>
      <c r="AG40" s="50" t="s">
        <v>471</v>
      </c>
      <c r="AH40" s="50" t="s">
        <v>19766</v>
      </c>
      <c r="AI40" s="50" t="s">
        <v>102</v>
      </c>
      <c r="AJ40" s="50" t="s">
        <v>19767</v>
      </c>
      <c r="AK40" s="50" t="s">
        <v>15363</v>
      </c>
      <c r="AL40" s="50" t="s">
        <v>19768</v>
      </c>
      <c r="AM40" s="50" t="s">
        <v>19769</v>
      </c>
      <c r="AN40" s="50" t="s">
        <v>19770</v>
      </c>
      <c r="AO40" s="50" t="s">
        <v>19771</v>
      </c>
      <c r="AP40" s="50" t="s">
        <v>19771</v>
      </c>
      <c r="AU40" s="50" t="s">
        <v>102</v>
      </c>
      <c r="AW40" s="50" t="s">
        <v>1758</v>
      </c>
      <c r="AX40" s="50" t="s">
        <v>119</v>
      </c>
      <c r="AY40" s="50" t="s">
        <v>170</v>
      </c>
      <c r="AZ40" s="50" t="s">
        <v>118</v>
      </c>
      <c r="BB40" s="50" t="s">
        <v>120</v>
      </c>
      <c r="BC40" s="50" t="s">
        <v>19772</v>
      </c>
      <c r="BD40" s="50" t="s">
        <v>211</v>
      </c>
      <c r="BE40" s="50" t="s">
        <v>212</v>
      </c>
      <c r="BF40" s="50" t="s">
        <v>213</v>
      </c>
      <c r="BG40" s="50" t="s">
        <v>124</v>
      </c>
      <c r="BH40" s="50" t="s">
        <v>13680</v>
      </c>
      <c r="BI40" s="50" t="s">
        <v>12602</v>
      </c>
      <c r="BJ40" s="50" t="s">
        <v>127</v>
      </c>
      <c r="BK40" s="50" t="s">
        <v>19773</v>
      </c>
      <c r="BL40" s="50" t="s">
        <v>19774</v>
      </c>
      <c r="BM40" s="50" t="s">
        <v>19775</v>
      </c>
      <c r="BN40" s="50" t="s">
        <v>404</v>
      </c>
      <c r="BO40" s="50" t="s">
        <v>14067</v>
      </c>
      <c r="BP40" s="50" t="s">
        <v>180</v>
      </c>
      <c r="BQ40" s="50" t="s">
        <v>14068</v>
      </c>
      <c r="BR40" s="50" t="s">
        <v>14069</v>
      </c>
      <c r="BS40" s="50" t="s">
        <v>2463</v>
      </c>
      <c r="BU40" s="50" t="s">
        <v>19776</v>
      </c>
      <c r="BV40" s="50" t="s">
        <v>19777</v>
      </c>
      <c r="BW40" s="50" t="s">
        <v>138</v>
      </c>
      <c r="BX40" s="50" t="s">
        <v>19778</v>
      </c>
      <c r="BY40" s="50" t="s">
        <v>19779</v>
      </c>
      <c r="BZ40" s="50" t="s">
        <v>19780</v>
      </c>
      <c r="CA40" s="50" t="s">
        <v>19777</v>
      </c>
      <c r="CB40" s="50" t="s">
        <v>19778</v>
      </c>
      <c r="CC40" s="50" t="s">
        <v>19779</v>
      </c>
      <c r="CD40" s="50" t="s">
        <v>19777</v>
      </c>
      <c r="CE40" s="50" t="s">
        <v>19778</v>
      </c>
      <c r="CF40" s="50" t="s">
        <v>19779</v>
      </c>
      <c r="CG40" s="50" t="s">
        <v>2424</v>
      </c>
      <c r="CH40" s="50" t="s">
        <v>19781</v>
      </c>
      <c r="CJ40" s="50" t="s">
        <v>19782</v>
      </c>
      <c r="CK40" s="50" t="s">
        <v>19781</v>
      </c>
      <c r="CL40" s="50" t="s">
        <v>19783</v>
      </c>
      <c r="CM40" s="50" t="s">
        <v>211</v>
      </c>
      <c r="CN40" s="50" t="s">
        <v>19782</v>
      </c>
      <c r="CP40" s="50" t="s">
        <v>19784</v>
      </c>
      <c r="CQ40" s="50" t="s">
        <v>19784</v>
      </c>
      <c r="CR40" s="50" t="s">
        <v>26044</v>
      </c>
    </row>
    <row r="41" spans="1:96">
      <c r="A41" s="50" t="s">
        <v>337</v>
      </c>
      <c r="B41" s="50">
        <v>3992841</v>
      </c>
      <c r="C41" s="50" t="s">
        <v>12155</v>
      </c>
      <c r="D41" s="50" t="s">
        <v>17598</v>
      </c>
      <c r="E41" s="50" t="e">
        <f>VLOOKUP(B41,aa!B:F,5,0)</f>
        <v>#N/A</v>
      </c>
      <c r="F41" s="50" t="e">
        <f>VLOOKUP(B41,aa!B:J,9,0)</f>
        <v>#N/A</v>
      </c>
      <c r="G41" s="50" t="e">
        <f>VLOOKUP(B41,aa!B:L,11,0)</f>
        <v>#N/A</v>
      </c>
      <c r="H41" s="50" t="e">
        <f>VLOOKUP(B41,aa!B:O,14,0)</f>
        <v>#N/A</v>
      </c>
      <c r="I41" s="50" t="e">
        <f>VLOOKUP(B41,aa!B:R,17,0)</f>
        <v>#N/A</v>
      </c>
      <c r="K41" s="50" t="s">
        <v>152</v>
      </c>
      <c r="L41" s="50">
        <v>399378</v>
      </c>
      <c r="M41" s="50">
        <v>399378</v>
      </c>
      <c r="N41" s="50">
        <v>0</v>
      </c>
      <c r="O41" s="50">
        <v>0</v>
      </c>
      <c r="Q41" s="50">
        <v>399378</v>
      </c>
      <c r="R41" s="50">
        <v>222</v>
      </c>
      <c r="S41" s="50" t="s">
        <v>17599</v>
      </c>
      <c r="T41" s="50">
        <v>0</v>
      </c>
      <c r="U41" s="50">
        <v>0</v>
      </c>
      <c r="W41" s="50" t="s">
        <v>102</v>
      </c>
      <c r="X41" s="50" t="s">
        <v>103</v>
      </c>
      <c r="Y41" s="50" t="s">
        <v>155</v>
      </c>
      <c r="AA41" s="50" t="s">
        <v>126</v>
      </c>
      <c r="AB41" s="50" t="s">
        <v>17600</v>
      </c>
      <c r="AC41" s="50" t="s">
        <v>11976</v>
      </c>
      <c r="AD41" s="50" t="s">
        <v>17600</v>
      </c>
      <c r="AE41" s="50" t="s">
        <v>11888</v>
      </c>
      <c r="AF41" s="50" t="s">
        <v>17600</v>
      </c>
      <c r="AG41" s="50" t="s">
        <v>11886</v>
      </c>
      <c r="AH41" s="50" t="s">
        <v>17600</v>
      </c>
      <c r="AI41" s="50" t="s">
        <v>102</v>
      </c>
      <c r="AJ41" s="50" t="s">
        <v>1201</v>
      </c>
      <c r="AK41" s="50" t="s">
        <v>5351</v>
      </c>
      <c r="AL41" s="50" t="s">
        <v>17601</v>
      </c>
      <c r="AM41" s="50" t="s">
        <v>9917</v>
      </c>
      <c r="AN41" s="50" t="s">
        <v>17602</v>
      </c>
      <c r="AO41" s="50" t="s">
        <v>17603</v>
      </c>
      <c r="AP41" s="50" t="s">
        <v>17603</v>
      </c>
      <c r="AU41" s="50" t="s">
        <v>102</v>
      </c>
      <c r="AW41" s="50" t="s">
        <v>155</v>
      </c>
      <c r="AX41" s="50" t="s">
        <v>119</v>
      </c>
      <c r="AY41" s="50" t="s">
        <v>170</v>
      </c>
      <c r="AZ41" s="50" t="s">
        <v>118</v>
      </c>
      <c r="BB41" s="50" t="s">
        <v>120</v>
      </c>
      <c r="BC41" s="50" t="s">
        <v>17604</v>
      </c>
      <c r="BD41" s="50" t="s">
        <v>173</v>
      </c>
      <c r="BE41" s="50" t="s">
        <v>174</v>
      </c>
      <c r="BF41" s="50" t="s">
        <v>173</v>
      </c>
      <c r="BG41" s="50" t="s">
        <v>124</v>
      </c>
      <c r="BH41" s="50" t="s">
        <v>4665</v>
      </c>
      <c r="BI41" s="50" t="s">
        <v>17605</v>
      </c>
      <c r="BJ41" s="50" t="s">
        <v>127</v>
      </c>
      <c r="BK41" s="50" t="s">
        <v>17606</v>
      </c>
      <c r="BL41" s="50" t="s">
        <v>17607</v>
      </c>
      <c r="BM41" s="50" t="s">
        <v>17608</v>
      </c>
      <c r="BN41" s="50" t="s">
        <v>4536</v>
      </c>
      <c r="BO41" s="50" t="s">
        <v>5531</v>
      </c>
      <c r="BP41" s="50" t="s">
        <v>180</v>
      </c>
      <c r="BQ41" s="50" t="s">
        <v>5532</v>
      </c>
      <c r="BR41" s="50" t="s">
        <v>5533</v>
      </c>
      <c r="BS41" s="50" t="s">
        <v>8450</v>
      </c>
      <c r="BU41" s="50" t="s">
        <v>17609</v>
      </c>
      <c r="BV41" s="50" t="s">
        <v>17610</v>
      </c>
      <c r="BX41" s="50" t="s">
        <v>17611</v>
      </c>
      <c r="BY41" s="50" t="s">
        <v>17612</v>
      </c>
      <c r="BZ41" s="50" t="s">
        <v>17613</v>
      </c>
      <c r="CA41" s="50" t="s">
        <v>17614</v>
      </c>
      <c r="CB41" s="50" t="s">
        <v>17611</v>
      </c>
      <c r="CC41" s="50" t="s">
        <v>17612</v>
      </c>
      <c r="CD41" s="50" t="s">
        <v>17615</v>
      </c>
      <c r="CE41" s="50" t="s">
        <v>17613</v>
      </c>
      <c r="CF41" s="50" t="s">
        <v>17616</v>
      </c>
      <c r="CG41" s="50" t="s">
        <v>13597</v>
      </c>
      <c r="CH41" s="50" t="s">
        <v>17617</v>
      </c>
      <c r="CJ41" s="50" t="s">
        <v>17618</v>
      </c>
      <c r="CK41" s="50" t="s">
        <v>17619</v>
      </c>
      <c r="CL41" s="50" t="s">
        <v>17604</v>
      </c>
      <c r="CM41" s="50" t="s">
        <v>173</v>
      </c>
      <c r="CN41" s="50" t="s">
        <v>17618</v>
      </c>
      <c r="CP41" s="50" t="s">
        <v>17604</v>
      </c>
      <c r="CQ41" s="50" t="s">
        <v>17604</v>
      </c>
      <c r="CR41" s="50" t="s">
        <v>26046</v>
      </c>
    </row>
    <row r="42" spans="1:96">
      <c r="A42" s="50" t="s">
        <v>93</v>
      </c>
      <c r="B42" s="50">
        <v>354838</v>
      </c>
      <c r="C42" s="50" t="s">
        <v>1111</v>
      </c>
      <c r="D42" s="50" t="s">
        <v>16418</v>
      </c>
      <c r="E42" s="50" t="str">
        <f>VLOOKUP(B42,aa!B:F,5,0)</f>
        <v>Ei CARES</v>
      </c>
      <c r="F42" s="50">
        <f>VLOOKUP(B42,aa!B:J,9,0)</f>
        <v>1333168</v>
      </c>
      <c r="G42" s="50">
        <f>VLOOKUP(B42,aa!B:L,11,0)</f>
        <v>0</v>
      </c>
      <c r="H42" s="50">
        <f>VLOOKUP(B42,aa!B:O,14,0)</f>
        <v>1333168</v>
      </c>
      <c r="I42" s="50">
        <f>VLOOKUP(B42,aa!B:R,17,0)</f>
        <v>0</v>
      </c>
      <c r="K42" s="50" t="s">
        <v>152</v>
      </c>
      <c r="L42" s="50">
        <v>1325870</v>
      </c>
      <c r="M42" s="50">
        <v>1325870</v>
      </c>
      <c r="N42" s="50">
        <v>0</v>
      </c>
      <c r="O42" s="50">
        <v>0</v>
      </c>
      <c r="Q42" s="50">
        <v>1325870</v>
      </c>
      <c r="R42" s="50">
        <v>806</v>
      </c>
      <c r="S42" s="50" t="s">
        <v>16419</v>
      </c>
      <c r="T42" s="50">
        <v>0</v>
      </c>
      <c r="U42" s="50">
        <v>0</v>
      </c>
      <c r="W42" s="50" t="s">
        <v>102</v>
      </c>
      <c r="X42" s="50" t="s">
        <v>103</v>
      </c>
      <c r="Y42" s="50" t="s">
        <v>155</v>
      </c>
      <c r="AA42" s="50" t="s">
        <v>13435</v>
      </c>
      <c r="AB42" s="50" t="s">
        <v>16420</v>
      </c>
      <c r="AC42" s="50" t="s">
        <v>12887</v>
      </c>
      <c r="AD42" s="50" t="s">
        <v>16420</v>
      </c>
      <c r="AE42" s="50" t="s">
        <v>16421</v>
      </c>
      <c r="AF42" s="50" t="s">
        <v>16420</v>
      </c>
      <c r="AG42" s="50" t="s">
        <v>11902</v>
      </c>
      <c r="AH42" s="50" t="s">
        <v>16420</v>
      </c>
      <c r="AI42" s="50" t="s">
        <v>102</v>
      </c>
      <c r="AJ42" s="50" t="s">
        <v>12100</v>
      </c>
      <c r="AK42" s="50" t="s">
        <v>11952</v>
      </c>
      <c r="AL42" s="50" t="s">
        <v>16422</v>
      </c>
      <c r="AM42" s="50" t="s">
        <v>16423</v>
      </c>
      <c r="AN42" s="50" t="s">
        <v>16424</v>
      </c>
      <c r="AO42" s="50" t="s">
        <v>5019</v>
      </c>
      <c r="AP42" s="50" t="s">
        <v>5019</v>
      </c>
      <c r="AU42" s="50" t="s">
        <v>102</v>
      </c>
      <c r="AW42" s="50" t="s">
        <v>155</v>
      </c>
      <c r="AX42" s="50" t="s">
        <v>119</v>
      </c>
      <c r="AY42" s="50" t="s">
        <v>170</v>
      </c>
      <c r="AZ42" s="50" t="s">
        <v>118</v>
      </c>
      <c r="BB42" s="50" t="s">
        <v>209</v>
      </c>
      <c r="BC42" s="50" t="s">
        <v>6594</v>
      </c>
      <c r="BD42" s="50" t="s">
        <v>6595</v>
      </c>
      <c r="BE42" s="50" t="s">
        <v>174</v>
      </c>
      <c r="BF42" s="50" t="s">
        <v>4405</v>
      </c>
      <c r="BG42" s="50" t="s">
        <v>124</v>
      </c>
      <c r="BH42" s="50" t="s">
        <v>16425</v>
      </c>
      <c r="BI42" s="50" t="s">
        <v>11886</v>
      </c>
      <c r="BJ42" s="50" t="s">
        <v>127</v>
      </c>
      <c r="BK42" s="50" t="s">
        <v>16426</v>
      </c>
      <c r="BL42" s="50" t="s">
        <v>6597</v>
      </c>
      <c r="BM42" s="50" t="s">
        <v>16427</v>
      </c>
      <c r="BN42" s="50" t="s">
        <v>1201</v>
      </c>
      <c r="BO42" s="50" t="s">
        <v>5531</v>
      </c>
      <c r="BP42" s="50" t="s">
        <v>180</v>
      </c>
      <c r="BQ42" s="50" t="s">
        <v>5532</v>
      </c>
      <c r="BR42" s="50" t="s">
        <v>5533</v>
      </c>
      <c r="BS42" s="50" t="s">
        <v>4413</v>
      </c>
      <c r="BU42" s="50" t="s">
        <v>16428</v>
      </c>
      <c r="BV42" s="50" t="s">
        <v>16429</v>
      </c>
      <c r="BW42" s="50" t="s">
        <v>138</v>
      </c>
      <c r="BX42" s="50" t="s">
        <v>6601</v>
      </c>
      <c r="BY42" s="50" t="s">
        <v>6602</v>
      </c>
      <c r="BZ42" s="50" t="s">
        <v>6601</v>
      </c>
      <c r="CA42" s="50" t="s">
        <v>16429</v>
      </c>
      <c r="CB42" s="50" t="s">
        <v>6601</v>
      </c>
      <c r="CC42" s="50" t="s">
        <v>6602</v>
      </c>
      <c r="CD42" s="50" t="s">
        <v>16429</v>
      </c>
      <c r="CE42" s="50" t="s">
        <v>6601</v>
      </c>
      <c r="CF42" s="50" t="s">
        <v>6602</v>
      </c>
      <c r="CG42" s="50" t="s">
        <v>6604</v>
      </c>
      <c r="CH42" s="50" t="s">
        <v>16430</v>
      </c>
      <c r="CJ42" s="50" t="s">
        <v>6606</v>
      </c>
      <c r="CK42" s="50" t="s">
        <v>16431</v>
      </c>
      <c r="CL42" s="50" t="s">
        <v>6594</v>
      </c>
      <c r="CM42" s="50" t="s">
        <v>6595</v>
      </c>
      <c r="CN42" s="50" t="s">
        <v>6606</v>
      </c>
      <c r="CP42" s="50" t="s">
        <v>6608</v>
      </c>
      <c r="CQ42" s="50" t="s">
        <v>6608</v>
      </c>
    </row>
    <row r="43" spans="1:96">
      <c r="A43" s="50" t="s">
        <v>337</v>
      </c>
      <c r="B43" s="50">
        <v>5018430</v>
      </c>
      <c r="C43" s="50" t="s">
        <v>12423</v>
      </c>
      <c r="D43" s="50" t="s">
        <v>19740</v>
      </c>
      <c r="E43" s="50" t="str">
        <f>VLOOKUP(B43,aa!B:F,5,0)</f>
        <v>Ei Mindspark</v>
      </c>
      <c r="F43" s="50">
        <f>VLOOKUP(B43,aa!B:J,9,0)</f>
        <v>450053</v>
      </c>
      <c r="G43" s="50">
        <f>VLOOKUP(B43,aa!B:L,11,0)</f>
        <v>0</v>
      </c>
      <c r="H43" s="50">
        <f>VLOOKUP(B43,aa!B:O,14,0)</f>
        <v>0</v>
      </c>
      <c r="I43" s="50">
        <f>VLOOKUP(B43,aa!B:R,17,0)</f>
        <v>450053</v>
      </c>
      <c r="K43" s="50" t="s">
        <v>848</v>
      </c>
      <c r="L43" s="50">
        <v>522545</v>
      </c>
      <c r="M43" s="50">
        <v>616603</v>
      </c>
      <c r="N43" s="50">
        <v>0</v>
      </c>
      <c r="O43" s="50">
        <v>0</v>
      </c>
      <c r="Q43" s="50">
        <v>0</v>
      </c>
      <c r="R43" s="50">
        <v>0</v>
      </c>
      <c r="T43" s="50">
        <v>522545</v>
      </c>
      <c r="U43" s="50">
        <v>519</v>
      </c>
      <c r="V43" s="50" t="s">
        <v>19742</v>
      </c>
      <c r="W43" s="50" t="s">
        <v>102</v>
      </c>
      <c r="X43" s="50" t="s">
        <v>103</v>
      </c>
      <c r="Y43" s="50" t="s">
        <v>155</v>
      </c>
      <c r="AA43" s="50" t="s">
        <v>1941</v>
      </c>
      <c r="AB43" s="50" t="s">
        <v>19743</v>
      </c>
      <c r="AC43" s="50" t="s">
        <v>12040</v>
      </c>
      <c r="AD43" s="50" t="s">
        <v>19743</v>
      </c>
      <c r="AE43" s="50" t="s">
        <v>12427</v>
      </c>
      <c r="AF43" s="50" t="s">
        <v>19743</v>
      </c>
      <c r="AG43" s="50" t="s">
        <v>13395</v>
      </c>
      <c r="AH43" s="50" t="s">
        <v>19743</v>
      </c>
      <c r="AI43" s="50" t="s">
        <v>19744</v>
      </c>
      <c r="AJ43" s="50" t="s">
        <v>1941</v>
      </c>
      <c r="AK43" s="50" t="s">
        <v>14351</v>
      </c>
      <c r="AL43" s="50" t="s">
        <v>19745</v>
      </c>
      <c r="AM43" s="50" t="s">
        <v>19746</v>
      </c>
      <c r="AN43" s="50" t="s">
        <v>19747</v>
      </c>
      <c r="AO43" s="50" t="s">
        <v>19748</v>
      </c>
      <c r="AP43" s="50" t="s">
        <v>19748</v>
      </c>
      <c r="AU43" s="50" t="s">
        <v>102</v>
      </c>
      <c r="AW43" s="50" t="s">
        <v>102</v>
      </c>
      <c r="AX43" s="50" t="s">
        <v>119</v>
      </c>
      <c r="BA43" s="50" t="s">
        <v>250</v>
      </c>
      <c r="BB43" s="50" t="s">
        <v>120</v>
      </c>
      <c r="BC43" s="50" t="s">
        <v>1759</v>
      </c>
      <c r="BD43" s="50" t="s">
        <v>410</v>
      </c>
      <c r="BE43" s="50" t="s">
        <v>212</v>
      </c>
      <c r="BF43" s="50" t="s">
        <v>410</v>
      </c>
      <c r="BG43" s="50" t="s">
        <v>124</v>
      </c>
      <c r="BH43" s="50" t="s">
        <v>12023</v>
      </c>
      <c r="BI43" s="50" t="s">
        <v>11889</v>
      </c>
      <c r="BJ43" s="50" t="s">
        <v>127</v>
      </c>
      <c r="BK43" s="50" t="s">
        <v>19749</v>
      </c>
      <c r="BL43" s="50" t="s">
        <v>19750</v>
      </c>
      <c r="BM43" s="50" t="s">
        <v>19751</v>
      </c>
      <c r="BN43" s="50" t="s">
        <v>19741</v>
      </c>
      <c r="BO43" s="50" t="s">
        <v>1582</v>
      </c>
      <c r="BP43" s="50" t="s">
        <v>132</v>
      </c>
      <c r="BQ43" s="50" t="s">
        <v>1583</v>
      </c>
      <c r="BR43" s="50" t="s">
        <v>1584</v>
      </c>
      <c r="BS43" s="50" t="s">
        <v>899</v>
      </c>
      <c r="BU43" s="50" t="s">
        <v>19752</v>
      </c>
      <c r="BV43" s="50" t="s">
        <v>19753</v>
      </c>
      <c r="BW43" s="50" t="s">
        <v>138</v>
      </c>
      <c r="BX43" s="50" t="s">
        <v>19754</v>
      </c>
      <c r="BY43" s="50" t="s">
        <v>19755</v>
      </c>
      <c r="BZ43" s="50" t="s">
        <v>19754</v>
      </c>
      <c r="CA43" s="50" t="s">
        <v>19756</v>
      </c>
      <c r="CB43" s="50" t="s">
        <v>19754</v>
      </c>
      <c r="CC43" s="50" t="s">
        <v>19757</v>
      </c>
      <c r="CD43" s="50" t="s">
        <v>19756</v>
      </c>
      <c r="CE43" s="50" t="s">
        <v>19754</v>
      </c>
      <c r="CF43" s="50" t="s">
        <v>19757</v>
      </c>
      <c r="CG43" s="50" t="s">
        <v>5007</v>
      </c>
      <c r="CH43" s="50" t="s">
        <v>19758</v>
      </c>
      <c r="CJ43" s="50" t="s">
        <v>19759</v>
      </c>
      <c r="CK43" s="50" t="s">
        <v>19758</v>
      </c>
      <c r="CL43" s="50" t="s">
        <v>1759</v>
      </c>
      <c r="CM43" s="50" t="s">
        <v>10076</v>
      </c>
      <c r="CN43" s="50" t="s">
        <v>19759</v>
      </c>
      <c r="CP43" s="50" t="s">
        <v>19760</v>
      </c>
      <c r="CQ43" s="50" t="s">
        <v>19760</v>
      </c>
    </row>
    <row r="44" spans="1:96">
      <c r="A44" s="50" t="s">
        <v>93</v>
      </c>
      <c r="B44" s="50">
        <v>3451055</v>
      </c>
      <c r="C44" s="50" t="s">
        <v>12423</v>
      </c>
      <c r="D44" s="50" t="s">
        <v>6098</v>
      </c>
      <c r="E44" s="50" t="e">
        <f>VLOOKUP(B44,aa!B:F,5,0)</f>
        <v>#N/A</v>
      </c>
      <c r="F44" s="50" t="e">
        <f>VLOOKUP(B44,aa!B:J,9,0)</f>
        <v>#N/A</v>
      </c>
      <c r="G44" s="50" t="e">
        <f>VLOOKUP(B44,aa!B:L,11,0)</f>
        <v>#N/A</v>
      </c>
      <c r="H44" s="50" t="e">
        <f>VLOOKUP(B44,aa!B:O,14,0)</f>
        <v>#N/A</v>
      </c>
      <c r="I44" s="50" t="e">
        <f>VLOOKUP(B44,aa!B:R,17,0)</f>
        <v>#N/A</v>
      </c>
      <c r="K44" s="50" t="s">
        <v>675</v>
      </c>
      <c r="L44" s="50">
        <v>260384</v>
      </c>
      <c r="M44" s="50">
        <v>260384</v>
      </c>
      <c r="N44" s="50">
        <v>165315</v>
      </c>
      <c r="O44" s="50">
        <v>206</v>
      </c>
      <c r="P44" s="50" t="s">
        <v>16036</v>
      </c>
      <c r="Q44" s="50">
        <v>95069</v>
      </c>
      <c r="R44" s="50">
        <v>103</v>
      </c>
      <c r="S44" s="50" t="s">
        <v>4609</v>
      </c>
      <c r="T44" s="50">
        <v>0</v>
      </c>
      <c r="U44" s="50">
        <v>0</v>
      </c>
      <c r="W44" s="50" t="s">
        <v>102</v>
      </c>
      <c r="X44" s="50" t="s">
        <v>679</v>
      </c>
      <c r="Y44" s="50" t="s">
        <v>104</v>
      </c>
      <c r="Z44" s="50" t="s">
        <v>11932</v>
      </c>
      <c r="AA44" s="50" t="s">
        <v>16037</v>
      </c>
      <c r="AB44" s="50" t="s">
        <v>16038</v>
      </c>
      <c r="AC44" s="50" t="s">
        <v>15486</v>
      </c>
      <c r="AD44" s="50" t="s">
        <v>16038</v>
      </c>
      <c r="AE44" s="50" t="s">
        <v>109</v>
      </c>
      <c r="AF44" s="50" t="s">
        <v>102</v>
      </c>
      <c r="AG44" s="50" t="s">
        <v>109</v>
      </c>
      <c r="AH44" s="50" t="s">
        <v>102</v>
      </c>
      <c r="AI44" s="50" t="s">
        <v>102</v>
      </c>
      <c r="AJ44" s="50" t="s">
        <v>12289</v>
      </c>
      <c r="AK44" s="50" t="s">
        <v>12289</v>
      </c>
      <c r="AL44" s="50" t="s">
        <v>16039</v>
      </c>
      <c r="AM44" s="50" t="s">
        <v>16040</v>
      </c>
      <c r="AN44" s="50" t="s">
        <v>16041</v>
      </c>
      <c r="AO44" s="50" t="s">
        <v>16042</v>
      </c>
      <c r="AP44" s="50" t="s">
        <v>16042</v>
      </c>
      <c r="AU44" s="50" t="s">
        <v>247</v>
      </c>
      <c r="AV44" s="50" t="s">
        <v>118</v>
      </c>
      <c r="AW44" s="50" t="s">
        <v>1103</v>
      </c>
      <c r="AX44" s="50" t="s">
        <v>119</v>
      </c>
      <c r="AY44" s="50" t="s">
        <v>170</v>
      </c>
      <c r="AZ44" s="50" t="s">
        <v>118</v>
      </c>
      <c r="BB44" s="50" t="s">
        <v>120</v>
      </c>
      <c r="BC44" s="50" t="s">
        <v>1759</v>
      </c>
      <c r="BD44" s="50" t="s">
        <v>410</v>
      </c>
      <c r="BE44" s="50" t="s">
        <v>212</v>
      </c>
      <c r="BF44" s="50" t="s">
        <v>410</v>
      </c>
      <c r="BG44" s="50" t="s">
        <v>124</v>
      </c>
      <c r="BH44" s="50" t="s">
        <v>6177</v>
      </c>
      <c r="BI44" s="50" t="s">
        <v>11889</v>
      </c>
      <c r="BJ44" s="50" t="s">
        <v>127</v>
      </c>
      <c r="BK44" s="50" t="s">
        <v>16043</v>
      </c>
      <c r="BL44" s="50" t="s">
        <v>6104</v>
      </c>
      <c r="BM44" s="50" t="s">
        <v>16044</v>
      </c>
      <c r="BN44" s="50" t="s">
        <v>471</v>
      </c>
      <c r="BO44" s="50" t="s">
        <v>1582</v>
      </c>
      <c r="BP44" s="50" t="s">
        <v>132</v>
      </c>
      <c r="BQ44" s="50" t="s">
        <v>1583</v>
      </c>
      <c r="BR44" s="50" t="s">
        <v>1584</v>
      </c>
      <c r="BS44" s="50" t="s">
        <v>1585</v>
      </c>
      <c r="BU44" s="50" t="s">
        <v>16045</v>
      </c>
      <c r="BV44" s="50" t="s">
        <v>16046</v>
      </c>
      <c r="BW44" s="50" t="s">
        <v>138</v>
      </c>
      <c r="BX44" s="50" t="s">
        <v>16047</v>
      </c>
      <c r="BY44" s="50" t="s">
        <v>16048</v>
      </c>
      <c r="BZ44" s="50" t="s">
        <v>3651</v>
      </c>
      <c r="CA44" s="50" t="s">
        <v>16049</v>
      </c>
      <c r="CB44" s="50" t="s">
        <v>16050</v>
      </c>
      <c r="CC44" s="50" t="s">
        <v>16048</v>
      </c>
      <c r="CD44" s="50" t="s">
        <v>16049</v>
      </c>
      <c r="CE44" s="50" t="s">
        <v>16050</v>
      </c>
      <c r="CF44" s="50" t="s">
        <v>16048</v>
      </c>
      <c r="CG44" s="50" t="s">
        <v>573</v>
      </c>
      <c r="CH44" s="50" t="s">
        <v>16051</v>
      </c>
      <c r="CJ44" s="50" t="s">
        <v>2740</v>
      </c>
      <c r="CK44" s="50" t="s">
        <v>6108</v>
      </c>
      <c r="CL44" s="50" t="s">
        <v>1759</v>
      </c>
      <c r="CM44" s="50" t="s">
        <v>410</v>
      </c>
      <c r="CN44" s="50" t="s">
        <v>2740</v>
      </c>
      <c r="CP44" s="50" t="s">
        <v>6108</v>
      </c>
      <c r="CQ44" s="50" t="s">
        <v>6108</v>
      </c>
      <c r="CR44" s="50" t="s">
        <v>26040</v>
      </c>
    </row>
    <row r="45" spans="1:96">
      <c r="A45" s="50" t="s">
        <v>337</v>
      </c>
      <c r="B45" s="50">
        <v>3970895</v>
      </c>
      <c r="C45" s="50" t="s">
        <v>12507</v>
      </c>
      <c r="D45" s="50" t="s">
        <v>17416</v>
      </c>
      <c r="E45" s="50" t="str">
        <f>VLOOKUP(B45,aa!B:F,5,0)</f>
        <v>Ei Mindspark</v>
      </c>
      <c r="F45" s="50">
        <f>VLOOKUP(B45,aa!B:J,9,0)</f>
        <v>855348</v>
      </c>
      <c r="G45" s="50">
        <f>VLOOKUP(B45,aa!B:L,11,0)</f>
        <v>0</v>
      </c>
      <c r="H45" s="50">
        <f>VLOOKUP(B45,aa!B:O,14,0)</f>
        <v>0</v>
      </c>
      <c r="I45" s="50">
        <f>VLOOKUP(B45,aa!B:R,17,0)</f>
        <v>855348</v>
      </c>
      <c r="K45" s="50" t="s">
        <v>848</v>
      </c>
      <c r="L45" s="50">
        <v>998011</v>
      </c>
      <c r="M45" s="50">
        <v>1177653</v>
      </c>
      <c r="N45" s="50">
        <v>0</v>
      </c>
      <c r="O45" s="50">
        <v>0</v>
      </c>
      <c r="Q45" s="50">
        <v>0</v>
      </c>
      <c r="R45" s="50">
        <v>0</v>
      </c>
      <c r="T45" s="50">
        <v>998011</v>
      </c>
      <c r="U45" s="50">
        <v>785</v>
      </c>
      <c r="V45" s="50" t="s">
        <v>850</v>
      </c>
      <c r="W45" s="50" t="s">
        <v>102</v>
      </c>
      <c r="X45" s="50" t="s">
        <v>103</v>
      </c>
      <c r="Y45" s="50" t="s">
        <v>104</v>
      </c>
      <c r="AA45" s="50" t="s">
        <v>11655</v>
      </c>
      <c r="AB45" s="50" t="s">
        <v>17417</v>
      </c>
      <c r="AC45" s="50" t="s">
        <v>9840</v>
      </c>
      <c r="AD45" s="50" t="s">
        <v>17417</v>
      </c>
      <c r="AE45" s="50" t="s">
        <v>109</v>
      </c>
      <c r="AF45" s="50" t="s">
        <v>102</v>
      </c>
      <c r="AG45" s="50" t="s">
        <v>109</v>
      </c>
      <c r="AH45" s="50" t="s">
        <v>102</v>
      </c>
      <c r="AI45" s="50" t="s">
        <v>17418</v>
      </c>
      <c r="AJ45" s="50" t="s">
        <v>160</v>
      </c>
      <c r="AK45" s="50" t="s">
        <v>15733</v>
      </c>
      <c r="AL45" s="50" t="s">
        <v>17419</v>
      </c>
      <c r="AM45" s="50" t="s">
        <v>17420</v>
      </c>
      <c r="AN45" s="50" t="s">
        <v>17421</v>
      </c>
      <c r="AO45" s="50" t="s">
        <v>1785</v>
      </c>
      <c r="AP45" s="50" t="s">
        <v>1785</v>
      </c>
      <c r="AU45" s="50" t="s">
        <v>102</v>
      </c>
      <c r="AW45" s="50" t="s">
        <v>102</v>
      </c>
      <c r="AX45" s="50" t="s">
        <v>119</v>
      </c>
      <c r="BA45" s="50" t="s">
        <v>250</v>
      </c>
      <c r="BB45" s="50" t="s">
        <v>120</v>
      </c>
      <c r="BC45" s="50" t="s">
        <v>17422</v>
      </c>
      <c r="BD45" s="50" t="s">
        <v>2543</v>
      </c>
      <c r="BE45" s="50" t="s">
        <v>122</v>
      </c>
      <c r="BF45" s="50" t="s">
        <v>557</v>
      </c>
      <c r="BG45" s="50" t="s">
        <v>124</v>
      </c>
      <c r="BH45" s="50" t="s">
        <v>5694</v>
      </c>
      <c r="BI45" s="50" t="s">
        <v>11889</v>
      </c>
      <c r="BJ45" s="50" t="s">
        <v>127</v>
      </c>
      <c r="BK45" s="50" t="s">
        <v>17423</v>
      </c>
      <c r="BL45" s="50" t="s">
        <v>17424</v>
      </c>
      <c r="BM45" s="50" t="s">
        <v>17425</v>
      </c>
      <c r="BN45" s="50" t="s">
        <v>1328</v>
      </c>
      <c r="BO45" s="50" t="s">
        <v>13402</v>
      </c>
      <c r="BP45" s="50" t="s">
        <v>350</v>
      </c>
      <c r="BQ45" s="50" t="s">
        <v>13403</v>
      </c>
      <c r="BR45" s="50" t="s">
        <v>13404</v>
      </c>
      <c r="BS45" s="50" t="s">
        <v>13405</v>
      </c>
      <c r="BT45" s="50" t="s">
        <v>1075</v>
      </c>
      <c r="BU45" s="50" t="s">
        <v>17426</v>
      </c>
      <c r="BV45" s="50" t="s">
        <v>17427</v>
      </c>
      <c r="BW45" s="50" t="s">
        <v>354</v>
      </c>
      <c r="BX45" s="50" t="s">
        <v>17428</v>
      </c>
      <c r="BY45" s="50" t="s">
        <v>17429</v>
      </c>
      <c r="BZ45" s="50" t="s">
        <v>17430</v>
      </c>
      <c r="CA45" s="50" t="s">
        <v>17431</v>
      </c>
      <c r="CB45" s="50" t="s">
        <v>17432</v>
      </c>
      <c r="CC45" s="50" t="s">
        <v>17433</v>
      </c>
      <c r="CD45" s="50" t="s">
        <v>17434</v>
      </c>
      <c r="CE45" s="50" t="s">
        <v>17435</v>
      </c>
      <c r="CF45" s="50" t="s">
        <v>17436</v>
      </c>
      <c r="CG45" s="50" t="s">
        <v>102</v>
      </c>
      <c r="CH45" s="50" t="s">
        <v>17437</v>
      </c>
      <c r="CJ45" s="50" t="s">
        <v>17438</v>
      </c>
      <c r="CL45" s="50" t="s">
        <v>17422</v>
      </c>
      <c r="CM45" s="50" t="s">
        <v>2543</v>
      </c>
      <c r="CN45" s="50" t="s">
        <v>17438</v>
      </c>
      <c r="CO45" s="50" t="s">
        <v>17439</v>
      </c>
      <c r="CP45" s="50" t="s">
        <v>17437</v>
      </c>
      <c r="CQ45" s="50" t="s">
        <v>17437</v>
      </c>
    </row>
    <row r="46" spans="1:96">
      <c r="A46" s="50" t="s">
        <v>337</v>
      </c>
      <c r="B46" s="50">
        <v>5018537</v>
      </c>
      <c r="C46" s="50" t="s">
        <v>11882</v>
      </c>
      <c r="D46" s="50" t="s">
        <v>19997</v>
      </c>
      <c r="E46" s="50" t="e">
        <f>VLOOKUP(B46,aa!B:F,5,0)</f>
        <v>#N/A</v>
      </c>
      <c r="F46" s="50" t="e">
        <f>VLOOKUP(B46,aa!B:J,9,0)</f>
        <v>#N/A</v>
      </c>
      <c r="G46" s="50" t="e">
        <f>VLOOKUP(B46,aa!B:L,11,0)</f>
        <v>#N/A</v>
      </c>
      <c r="H46" s="50" t="e">
        <f>VLOOKUP(B46,aa!B:O,14,0)</f>
        <v>#N/A</v>
      </c>
      <c r="I46" s="50" t="e">
        <f>VLOOKUP(B46,aa!B:R,17,0)</f>
        <v>#N/A</v>
      </c>
      <c r="K46" s="50" t="s">
        <v>152</v>
      </c>
      <c r="L46" s="50">
        <v>402500</v>
      </c>
      <c r="M46" s="50">
        <v>402500</v>
      </c>
      <c r="N46" s="50">
        <v>0</v>
      </c>
      <c r="O46" s="50">
        <v>0</v>
      </c>
      <c r="Q46" s="50">
        <v>402500</v>
      </c>
      <c r="R46" s="50">
        <v>250</v>
      </c>
      <c r="S46" s="50" t="s">
        <v>6839</v>
      </c>
      <c r="T46" s="50">
        <v>0</v>
      </c>
      <c r="U46" s="50">
        <v>0</v>
      </c>
      <c r="W46" s="50" t="s">
        <v>102</v>
      </c>
      <c r="X46" s="50" t="s">
        <v>103</v>
      </c>
      <c r="Y46" s="50" t="s">
        <v>155</v>
      </c>
      <c r="AA46" s="50" t="s">
        <v>3880</v>
      </c>
      <c r="AB46" s="50" t="s">
        <v>19998</v>
      </c>
      <c r="AC46" s="50" t="s">
        <v>1408</v>
      </c>
      <c r="AD46" s="50" t="s">
        <v>19998</v>
      </c>
      <c r="AE46" s="50" t="s">
        <v>12289</v>
      </c>
      <c r="AF46" s="50" t="s">
        <v>19998</v>
      </c>
      <c r="AG46" s="50" t="s">
        <v>6895</v>
      </c>
      <c r="AH46" s="50" t="s">
        <v>19998</v>
      </c>
      <c r="AI46" s="50" t="s">
        <v>102</v>
      </c>
      <c r="AJ46" s="50" t="s">
        <v>4757</v>
      </c>
      <c r="AK46" s="50" t="s">
        <v>12086</v>
      </c>
      <c r="AL46" s="50" t="s">
        <v>19999</v>
      </c>
      <c r="AM46" s="50" t="s">
        <v>20000</v>
      </c>
      <c r="AN46" s="50" t="s">
        <v>20001</v>
      </c>
      <c r="AO46" s="50" t="s">
        <v>20002</v>
      </c>
      <c r="AP46" s="50" t="s">
        <v>20002</v>
      </c>
      <c r="AU46" s="50" t="s">
        <v>102</v>
      </c>
      <c r="AW46" s="50" t="s">
        <v>155</v>
      </c>
      <c r="AX46" s="50" t="s">
        <v>119</v>
      </c>
      <c r="AY46" s="50" t="s">
        <v>170</v>
      </c>
      <c r="AZ46" s="50" t="s">
        <v>118</v>
      </c>
      <c r="BB46" s="50" t="s">
        <v>120</v>
      </c>
      <c r="BC46" s="50" t="s">
        <v>20003</v>
      </c>
      <c r="BD46" s="50" t="s">
        <v>252</v>
      </c>
      <c r="BE46" s="50" t="s">
        <v>122</v>
      </c>
      <c r="BF46" s="50" t="s">
        <v>253</v>
      </c>
      <c r="BG46" s="50" t="s">
        <v>124</v>
      </c>
      <c r="BH46" s="50" t="s">
        <v>12023</v>
      </c>
      <c r="BI46" s="50" t="s">
        <v>11889</v>
      </c>
      <c r="BJ46" s="50" t="s">
        <v>127</v>
      </c>
      <c r="BK46" s="50" t="s">
        <v>20004</v>
      </c>
      <c r="BL46" s="50" t="s">
        <v>20005</v>
      </c>
      <c r="BM46" s="50" t="s">
        <v>20006</v>
      </c>
      <c r="BN46" s="50" t="s">
        <v>680</v>
      </c>
      <c r="BO46" s="50" t="s">
        <v>12453</v>
      </c>
      <c r="BP46" s="50" t="s">
        <v>258</v>
      </c>
      <c r="BQ46" s="50" t="s">
        <v>12454</v>
      </c>
      <c r="BR46" s="50" t="s">
        <v>12455</v>
      </c>
      <c r="BS46" s="50" t="s">
        <v>1995</v>
      </c>
      <c r="BU46" s="50" t="s">
        <v>20007</v>
      </c>
      <c r="BV46" s="50" t="s">
        <v>20008</v>
      </c>
      <c r="BW46" s="50" t="s">
        <v>354</v>
      </c>
      <c r="BX46" s="50" t="s">
        <v>20009</v>
      </c>
      <c r="BY46" s="50" t="s">
        <v>20010</v>
      </c>
      <c r="BZ46" s="50" t="s">
        <v>20009</v>
      </c>
      <c r="CA46" s="50" t="s">
        <v>20011</v>
      </c>
      <c r="CB46" s="50" t="s">
        <v>20012</v>
      </c>
      <c r="CC46" s="50" t="s">
        <v>20013</v>
      </c>
      <c r="CD46" s="50" t="s">
        <v>20011</v>
      </c>
      <c r="CE46" s="50" t="s">
        <v>20012</v>
      </c>
      <c r="CF46" s="50" t="s">
        <v>20013</v>
      </c>
      <c r="CG46" s="50" t="s">
        <v>3968</v>
      </c>
      <c r="CH46" s="50" t="s">
        <v>20014</v>
      </c>
      <c r="CJ46" s="50" t="s">
        <v>20015</v>
      </c>
      <c r="CK46" s="50" t="s">
        <v>20014</v>
      </c>
      <c r="CL46" s="50" t="s">
        <v>20003</v>
      </c>
      <c r="CM46" s="50" t="s">
        <v>252</v>
      </c>
      <c r="CN46" s="50" t="s">
        <v>20015</v>
      </c>
      <c r="CP46" s="50" t="s">
        <v>20014</v>
      </c>
      <c r="CQ46" s="50" t="s">
        <v>20016</v>
      </c>
    </row>
    <row r="47" spans="1:96">
      <c r="A47" s="50" t="s">
        <v>149</v>
      </c>
      <c r="B47" s="50">
        <v>628551</v>
      </c>
      <c r="C47" s="50" t="s">
        <v>384</v>
      </c>
      <c r="D47" s="50" t="s">
        <v>21311</v>
      </c>
      <c r="E47" s="50" t="str">
        <f>VLOOKUP(B47,aa!B:F,5,0)</f>
        <v>Ei ASSET, Ei CARES, Ei Mindspark</v>
      </c>
      <c r="F47" s="50">
        <f>VLOOKUP(B47,aa!B:J,9,0)</f>
        <v>915788</v>
      </c>
      <c r="G47" s="50">
        <f>VLOOKUP(B47,aa!B:L,11,0)</f>
        <v>72800</v>
      </c>
      <c r="H47" s="50">
        <f>VLOOKUP(B47,aa!B:O,14,0)</f>
        <v>324461</v>
      </c>
      <c r="I47" s="50">
        <f>VLOOKUP(B47,aa!B:R,17,0)</f>
        <v>518527</v>
      </c>
      <c r="K47" s="50" t="s">
        <v>193</v>
      </c>
      <c r="L47" s="50">
        <v>951688</v>
      </c>
      <c r="M47" s="50">
        <v>1111760</v>
      </c>
      <c r="N47" s="50">
        <v>62400</v>
      </c>
      <c r="O47" s="50">
        <v>156</v>
      </c>
      <c r="P47" s="50" t="s">
        <v>6051</v>
      </c>
      <c r="Q47" s="50">
        <v>0</v>
      </c>
      <c r="R47" s="50">
        <v>0</v>
      </c>
      <c r="T47" s="50">
        <v>889288</v>
      </c>
      <c r="U47" s="50">
        <v>434</v>
      </c>
      <c r="V47" s="50" t="s">
        <v>21313</v>
      </c>
      <c r="W47" s="50" t="s">
        <v>102</v>
      </c>
      <c r="X47" s="50" t="s">
        <v>103</v>
      </c>
      <c r="Y47" s="50" t="s">
        <v>801</v>
      </c>
      <c r="AA47" s="50" t="s">
        <v>21314</v>
      </c>
      <c r="AB47" s="50" t="s">
        <v>21315</v>
      </c>
      <c r="AC47" s="50" t="s">
        <v>21316</v>
      </c>
      <c r="AD47" s="50" t="s">
        <v>21315</v>
      </c>
      <c r="AE47" s="50" t="s">
        <v>21317</v>
      </c>
      <c r="AF47" s="50" t="s">
        <v>21318</v>
      </c>
      <c r="AG47" s="50" t="s">
        <v>12216</v>
      </c>
      <c r="AH47" s="50" t="s">
        <v>21318</v>
      </c>
      <c r="AI47" s="50" t="s">
        <v>21319</v>
      </c>
      <c r="AJ47" s="50" t="s">
        <v>21320</v>
      </c>
      <c r="AK47" s="50" t="s">
        <v>21321</v>
      </c>
      <c r="AL47" s="50" t="s">
        <v>21322</v>
      </c>
      <c r="AM47" s="50" t="s">
        <v>21323</v>
      </c>
      <c r="AN47" s="50" t="s">
        <v>21324</v>
      </c>
      <c r="AO47" s="50" t="s">
        <v>21325</v>
      </c>
      <c r="AP47" s="50" t="s">
        <v>21326</v>
      </c>
      <c r="AU47" s="50" t="s">
        <v>247</v>
      </c>
      <c r="AV47" s="50" t="s">
        <v>118</v>
      </c>
      <c r="AW47" s="50" t="s">
        <v>102</v>
      </c>
      <c r="AX47" s="50" t="s">
        <v>119</v>
      </c>
      <c r="BA47" s="50" t="s">
        <v>250</v>
      </c>
      <c r="BB47" s="50" t="s">
        <v>171</v>
      </c>
      <c r="BC47" s="50" t="s">
        <v>1913</v>
      </c>
      <c r="BD47" s="50" t="s">
        <v>376</v>
      </c>
      <c r="BE47" s="50" t="s">
        <v>174</v>
      </c>
      <c r="BF47" s="50" t="s">
        <v>376</v>
      </c>
      <c r="BG47" s="50" t="s">
        <v>124</v>
      </c>
      <c r="BH47" s="50" t="s">
        <v>12023</v>
      </c>
      <c r="BI47" s="50" t="s">
        <v>11889</v>
      </c>
      <c r="BJ47" s="50" t="s">
        <v>127</v>
      </c>
      <c r="BK47" s="50" t="s">
        <v>21327</v>
      </c>
      <c r="BL47" s="50" t="s">
        <v>11418</v>
      </c>
      <c r="BM47" s="50" t="s">
        <v>21328</v>
      </c>
      <c r="BN47" s="50" t="s">
        <v>21312</v>
      </c>
      <c r="BO47" s="50" t="s">
        <v>1917</v>
      </c>
      <c r="BP47" s="50" t="s">
        <v>180</v>
      </c>
      <c r="BQ47" s="50" t="s">
        <v>1918</v>
      </c>
      <c r="BR47" s="50" t="s">
        <v>1919</v>
      </c>
      <c r="BS47" s="50" t="s">
        <v>384</v>
      </c>
      <c r="BU47" s="50" t="s">
        <v>21329</v>
      </c>
      <c r="BV47" s="50" t="s">
        <v>21330</v>
      </c>
      <c r="BW47" s="50" t="s">
        <v>138</v>
      </c>
      <c r="BX47" s="50" t="s">
        <v>11427</v>
      </c>
      <c r="BY47" s="50" t="s">
        <v>11426</v>
      </c>
      <c r="BZ47" s="50" t="s">
        <v>11427</v>
      </c>
      <c r="CA47" s="50" t="s">
        <v>21330</v>
      </c>
      <c r="CB47" s="50" t="s">
        <v>21331</v>
      </c>
      <c r="CC47" s="50" t="s">
        <v>11426</v>
      </c>
      <c r="CD47" s="50" t="s">
        <v>21330</v>
      </c>
      <c r="CE47" s="50" t="s">
        <v>21331</v>
      </c>
      <c r="CF47" s="50" t="s">
        <v>11426</v>
      </c>
      <c r="CG47" s="50" t="s">
        <v>102</v>
      </c>
      <c r="CH47" s="50" t="s">
        <v>21332</v>
      </c>
      <c r="CJ47" s="50" t="s">
        <v>11432</v>
      </c>
      <c r="CL47" s="50" t="s">
        <v>1913</v>
      </c>
      <c r="CM47" s="50" t="s">
        <v>376</v>
      </c>
      <c r="CN47" s="50" t="s">
        <v>11432</v>
      </c>
      <c r="CO47" s="50" t="s">
        <v>11433</v>
      </c>
      <c r="CP47" s="50" t="s">
        <v>11431</v>
      </c>
      <c r="CQ47" s="50" t="s">
        <v>11431</v>
      </c>
    </row>
    <row r="48" spans="1:96">
      <c r="A48" s="50" t="s">
        <v>149</v>
      </c>
      <c r="B48" s="50">
        <v>3284326</v>
      </c>
      <c r="C48" s="50" t="s">
        <v>384</v>
      </c>
      <c r="D48" s="50" t="s">
        <v>5237</v>
      </c>
      <c r="E48" s="50" t="str">
        <f>VLOOKUP(B48,aa!B:F,5,0)</f>
        <v>Ei ASSET, Ei CARES, Ei Mindspark</v>
      </c>
      <c r="F48" s="50">
        <f>VLOOKUP(B48,aa!B:J,9,0)</f>
        <v>1251138</v>
      </c>
      <c r="G48" s="50">
        <f>VLOOKUP(B48,aa!B:L,11,0)</f>
        <v>151308</v>
      </c>
      <c r="H48" s="50">
        <f>VLOOKUP(B48,aa!B:O,14,0)</f>
        <v>281227</v>
      </c>
      <c r="I48" s="50">
        <f>VLOOKUP(B48,aa!B:R,17,0)</f>
        <v>818603</v>
      </c>
      <c r="K48" s="50" t="s">
        <v>2163</v>
      </c>
      <c r="L48" s="50">
        <v>1031051</v>
      </c>
      <c r="M48" s="50">
        <v>1163046</v>
      </c>
      <c r="N48" s="50">
        <v>121626</v>
      </c>
      <c r="O48" s="50">
        <v>174</v>
      </c>
      <c r="P48" s="50" t="s">
        <v>15347</v>
      </c>
      <c r="Q48" s="50">
        <v>176117</v>
      </c>
      <c r="R48" s="50">
        <v>267</v>
      </c>
      <c r="S48" s="50" t="s">
        <v>4273</v>
      </c>
      <c r="T48" s="50">
        <v>733308</v>
      </c>
      <c r="U48" s="50">
        <v>437</v>
      </c>
      <c r="V48" s="50" t="s">
        <v>15348</v>
      </c>
      <c r="W48" s="50" t="s">
        <v>102</v>
      </c>
      <c r="X48" s="50" t="s">
        <v>275</v>
      </c>
      <c r="Z48" s="50" t="s">
        <v>15349</v>
      </c>
      <c r="AA48" s="50" t="s">
        <v>109</v>
      </c>
      <c r="AB48" s="50" t="s">
        <v>102</v>
      </c>
      <c r="AC48" s="50" t="s">
        <v>109</v>
      </c>
      <c r="AD48" s="50" t="s">
        <v>102</v>
      </c>
      <c r="AE48" s="50" t="s">
        <v>109</v>
      </c>
      <c r="AF48" s="50" t="s">
        <v>102</v>
      </c>
      <c r="AG48" s="50" t="s">
        <v>109</v>
      </c>
      <c r="AH48" s="50" t="s">
        <v>102</v>
      </c>
      <c r="AI48" s="50" t="s">
        <v>102</v>
      </c>
      <c r="AJ48" s="50" t="s">
        <v>15350</v>
      </c>
      <c r="AK48" s="50" t="s">
        <v>15351</v>
      </c>
      <c r="AL48" s="50" t="s">
        <v>15352</v>
      </c>
      <c r="AM48" s="50" t="s">
        <v>15353</v>
      </c>
      <c r="AN48" s="50" t="s">
        <v>15354</v>
      </c>
      <c r="AO48" s="50" t="s">
        <v>15355</v>
      </c>
      <c r="AP48" s="50" t="s">
        <v>15355</v>
      </c>
      <c r="AU48" s="50" t="s">
        <v>207</v>
      </c>
      <c r="AV48" s="50" t="s">
        <v>118</v>
      </c>
      <c r="AW48" s="50" t="s">
        <v>3536</v>
      </c>
      <c r="AX48" s="50" t="s">
        <v>249</v>
      </c>
      <c r="AY48" s="50" t="s">
        <v>1138</v>
      </c>
      <c r="AZ48" s="50" t="s">
        <v>250</v>
      </c>
      <c r="BA48" s="50" t="s">
        <v>250</v>
      </c>
      <c r="BB48" s="50" t="s">
        <v>171</v>
      </c>
      <c r="BC48" s="50" t="s">
        <v>5248</v>
      </c>
      <c r="BD48" s="50" t="s">
        <v>1208</v>
      </c>
      <c r="BE48" s="50" t="s">
        <v>174</v>
      </c>
      <c r="BF48" s="50" t="s">
        <v>1172</v>
      </c>
      <c r="BG48" s="50" t="s">
        <v>124</v>
      </c>
      <c r="BH48" s="50" t="s">
        <v>15356</v>
      </c>
      <c r="BI48" s="50" t="s">
        <v>11889</v>
      </c>
      <c r="BJ48" s="50" t="s">
        <v>127</v>
      </c>
      <c r="BK48" s="50" t="s">
        <v>15357</v>
      </c>
      <c r="BL48" s="50" t="s">
        <v>5250</v>
      </c>
      <c r="BM48" s="50" t="s">
        <v>15358</v>
      </c>
      <c r="BN48" s="50" t="s">
        <v>15346</v>
      </c>
      <c r="BO48" s="50" t="s">
        <v>1917</v>
      </c>
      <c r="BP48" s="50" t="s">
        <v>180</v>
      </c>
      <c r="BQ48" s="50" t="s">
        <v>1918</v>
      </c>
      <c r="BR48" s="50" t="s">
        <v>1919</v>
      </c>
      <c r="BS48" s="50" t="s">
        <v>384</v>
      </c>
      <c r="BU48" s="50" t="s">
        <v>15359</v>
      </c>
      <c r="BV48" s="50" t="s">
        <v>5253</v>
      </c>
      <c r="BW48" s="50" t="s">
        <v>138</v>
      </c>
      <c r="BX48" s="50" t="s">
        <v>5254</v>
      </c>
      <c r="BY48" s="50" t="s">
        <v>5255</v>
      </c>
      <c r="BZ48" s="50" t="s">
        <v>5256</v>
      </c>
      <c r="CA48" s="50" t="s">
        <v>5253</v>
      </c>
      <c r="CB48" s="50" t="s">
        <v>5254</v>
      </c>
      <c r="CC48" s="50" t="s">
        <v>5255</v>
      </c>
      <c r="CD48" s="50" t="s">
        <v>5253</v>
      </c>
      <c r="CE48" s="50" t="s">
        <v>5254</v>
      </c>
      <c r="CF48" s="50" t="s">
        <v>5255</v>
      </c>
      <c r="CG48" s="50" t="s">
        <v>102</v>
      </c>
      <c r="CH48" s="50" t="s">
        <v>15360</v>
      </c>
      <c r="CJ48" s="50" t="s">
        <v>5262</v>
      </c>
      <c r="CL48" s="50" t="s">
        <v>5248</v>
      </c>
      <c r="CM48" s="50" t="s">
        <v>1208</v>
      </c>
      <c r="CN48" s="50" t="s">
        <v>5262</v>
      </c>
      <c r="CP48" s="50" t="s">
        <v>5263</v>
      </c>
      <c r="CQ48" s="50" t="s">
        <v>5261</v>
      </c>
    </row>
    <row r="49" spans="1:95">
      <c r="A49" s="50" t="s">
        <v>149</v>
      </c>
      <c r="B49" s="50">
        <v>343881</v>
      </c>
      <c r="C49" s="50" t="s">
        <v>12018</v>
      </c>
      <c r="D49" s="50" t="s">
        <v>6049</v>
      </c>
      <c r="E49" s="50" t="str">
        <f>VLOOKUP(B49,aa!B:F,5,0)</f>
        <v>Ei ASSET, Ei CARES, Ei Mindspark</v>
      </c>
      <c r="F49" s="50">
        <f>VLOOKUP(B49,aa!B:J,9,0)</f>
        <v>2591474</v>
      </c>
      <c r="G49" s="50">
        <f>VLOOKUP(B49,aa!B:L,11,0)</f>
        <v>558070</v>
      </c>
      <c r="H49" s="50">
        <f>VLOOKUP(B49,aa!B:O,14,0)</f>
        <v>636300</v>
      </c>
      <c r="I49" s="50">
        <f>VLOOKUP(B49,aa!B:R,17,0)</f>
        <v>1397104</v>
      </c>
      <c r="K49" s="50" t="s">
        <v>2163</v>
      </c>
      <c r="L49" s="50">
        <v>2609869</v>
      </c>
      <c r="M49" s="50">
        <v>2866153</v>
      </c>
      <c r="N49" s="50">
        <v>556069</v>
      </c>
      <c r="O49" s="50">
        <v>1390</v>
      </c>
      <c r="P49" s="50" t="s">
        <v>6051</v>
      </c>
      <c r="Q49" s="50">
        <v>630000</v>
      </c>
      <c r="R49" s="50">
        <v>600</v>
      </c>
      <c r="S49" s="50" t="s">
        <v>433</v>
      </c>
      <c r="T49" s="50">
        <v>1423800</v>
      </c>
      <c r="U49" s="50">
        <v>800</v>
      </c>
      <c r="V49" s="50" t="s">
        <v>4042</v>
      </c>
      <c r="W49" s="50" t="s">
        <v>102</v>
      </c>
      <c r="X49" s="50" t="s">
        <v>103</v>
      </c>
      <c r="Y49" s="50" t="s">
        <v>801</v>
      </c>
      <c r="AA49" s="50" t="s">
        <v>15987</v>
      </c>
      <c r="AB49" s="50" t="s">
        <v>15988</v>
      </c>
      <c r="AC49" s="50" t="s">
        <v>10729</v>
      </c>
      <c r="AD49" s="50" t="s">
        <v>15989</v>
      </c>
      <c r="AE49" s="50" t="s">
        <v>15990</v>
      </c>
      <c r="AF49" s="50" t="s">
        <v>15991</v>
      </c>
      <c r="AG49" s="50" t="s">
        <v>15992</v>
      </c>
      <c r="AH49" s="50" t="s">
        <v>15991</v>
      </c>
      <c r="AI49" s="50" t="s">
        <v>15993</v>
      </c>
      <c r="AJ49" s="50" t="s">
        <v>12425</v>
      </c>
      <c r="AK49" s="50" t="s">
        <v>15994</v>
      </c>
      <c r="AL49" s="50" t="s">
        <v>15995</v>
      </c>
      <c r="AM49" s="50" t="s">
        <v>15996</v>
      </c>
      <c r="AN49" s="50" t="s">
        <v>15997</v>
      </c>
      <c r="AO49" s="50" t="s">
        <v>6062</v>
      </c>
      <c r="AP49" s="50" t="s">
        <v>6062</v>
      </c>
      <c r="AU49" s="50" t="s">
        <v>247</v>
      </c>
      <c r="AV49" s="50" t="s">
        <v>118</v>
      </c>
      <c r="AW49" s="50" t="s">
        <v>655</v>
      </c>
      <c r="AX49" s="50" t="s">
        <v>119</v>
      </c>
      <c r="AZ49" s="50" t="s">
        <v>250</v>
      </c>
      <c r="BA49" s="50" t="s">
        <v>250</v>
      </c>
      <c r="BB49" s="50" t="s">
        <v>120</v>
      </c>
      <c r="BC49" s="50" t="s">
        <v>4644</v>
      </c>
      <c r="BD49" s="50" t="s">
        <v>320</v>
      </c>
      <c r="BE49" s="50" t="s">
        <v>122</v>
      </c>
      <c r="BF49" s="50" t="s">
        <v>123</v>
      </c>
      <c r="BG49" s="50" t="s">
        <v>124</v>
      </c>
      <c r="BH49" s="50" t="s">
        <v>12023</v>
      </c>
      <c r="BI49" s="50" t="s">
        <v>11889</v>
      </c>
      <c r="BJ49" s="50" t="s">
        <v>127</v>
      </c>
      <c r="BK49" s="50" t="s">
        <v>15998</v>
      </c>
      <c r="BL49" s="50" t="s">
        <v>6064</v>
      </c>
      <c r="BM49" s="50" t="s">
        <v>15999</v>
      </c>
      <c r="BN49" s="50" t="s">
        <v>550</v>
      </c>
      <c r="BO49" s="50" t="s">
        <v>593</v>
      </c>
      <c r="BP49" s="50" t="s">
        <v>350</v>
      </c>
      <c r="BQ49" s="50" t="s">
        <v>594</v>
      </c>
      <c r="BR49" s="50" t="s">
        <v>595</v>
      </c>
      <c r="BS49" s="50" t="s">
        <v>328</v>
      </c>
      <c r="BT49" s="50" t="s">
        <v>5743</v>
      </c>
      <c r="BU49" s="50" t="s">
        <v>16000</v>
      </c>
      <c r="BV49" s="50" t="s">
        <v>16001</v>
      </c>
      <c r="BW49" s="50" t="s">
        <v>138</v>
      </c>
      <c r="BX49" s="50" t="s">
        <v>6068</v>
      </c>
      <c r="BY49" s="50" t="s">
        <v>6069</v>
      </c>
      <c r="BZ49" s="50" t="s">
        <v>6068</v>
      </c>
      <c r="CA49" s="50" t="s">
        <v>16001</v>
      </c>
      <c r="CB49" s="50" t="s">
        <v>6068</v>
      </c>
      <c r="CC49" s="50" t="s">
        <v>6069</v>
      </c>
      <c r="CD49" s="50" t="s">
        <v>16002</v>
      </c>
      <c r="CE49" s="50" t="s">
        <v>16003</v>
      </c>
      <c r="CF49" s="50" t="s">
        <v>6071</v>
      </c>
      <c r="CG49" s="50" t="s">
        <v>102</v>
      </c>
      <c r="CH49" s="50" t="s">
        <v>16004</v>
      </c>
      <c r="CJ49" s="50" t="s">
        <v>6073</v>
      </c>
      <c r="CL49" s="50" t="s">
        <v>4644</v>
      </c>
      <c r="CM49" s="50" t="s">
        <v>320</v>
      </c>
      <c r="CN49" s="50" t="s">
        <v>6073</v>
      </c>
      <c r="CO49" s="50" t="s">
        <v>6074</v>
      </c>
      <c r="CP49" s="50" t="s">
        <v>6072</v>
      </c>
      <c r="CQ49" s="50" t="s">
        <v>6072</v>
      </c>
    </row>
    <row r="50" spans="1:95">
      <c r="A50" s="50" t="s">
        <v>337</v>
      </c>
      <c r="B50" s="50">
        <v>3328193</v>
      </c>
      <c r="C50" s="50" t="s">
        <v>12096</v>
      </c>
      <c r="D50" s="50" t="s">
        <v>15611</v>
      </c>
      <c r="E50" s="50" t="str">
        <f>VLOOKUP(B50,aa!B:F,5,0)</f>
        <v>Ei CARES, Ei Mindspark</v>
      </c>
      <c r="F50" s="50">
        <f>VLOOKUP(B50,aa!B:J,9,0)</f>
        <v>498171</v>
      </c>
      <c r="G50" s="50">
        <f>VLOOKUP(B50,aa!B:L,11,0)</f>
        <v>0</v>
      </c>
      <c r="H50" s="50">
        <f>VLOOKUP(B50,aa!B:O,14,0)</f>
        <v>185983</v>
      </c>
      <c r="I50" s="50">
        <f>VLOOKUP(B50,aa!B:R,17,0)</f>
        <v>312188</v>
      </c>
      <c r="K50" s="50" t="s">
        <v>8024</v>
      </c>
      <c r="L50" s="50">
        <v>605318</v>
      </c>
      <c r="M50" s="50">
        <v>698400</v>
      </c>
      <c r="N50" s="50">
        <v>610200</v>
      </c>
      <c r="O50" s="50">
        <v>0</v>
      </c>
      <c r="P50" s="50" t="s">
        <v>102</v>
      </c>
      <c r="Q50" s="50">
        <v>88200</v>
      </c>
      <c r="R50" s="50">
        <v>147</v>
      </c>
      <c r="S50" s="50" t="s">
        <v>102</v>
      </c>
      <c r="T50" s="50">
        <v>0</v>
      </c>
      <c r="U50" s="50">
        <v>339</v>
      </c>
      <c r="V50" s="50" t="s">
        <v>102</v>
      </c>
      <c r="W50" s="50" t="s">
        <v>102</v>
      </c>
      <c r="X50" s="50" t="s">
        <v>103</v>
      </c>
      <c r="Y50" s="50" t="s">
        <v>2196</v>
      </c>
      <c r="Z50" s="50" t="s">
        <v>3993</v>
      </c>
      <c r="AA50" s="50" t="s">
        <v>15613</v>
      </c>
      <c r="AB50" s="50" t="s">
        <v>102</v>
      </c>
      <c r="AC50" s="50" t="s">
        <v>15614</v>
      </c>
      <c r="AD50" s="50" t="s">
        <v>102</v>
      </c>
      <c r="AE50" s="50" t="s">
        <v>15615</v>
      </c>
      <c r="AF50" s="50" t="s">
        <v>102</v>
      </c>
      <c r="AG50" s="50" t="s">
        <v>15616</v>
      </c>
      <c r="AH50" s="50" t="s">
        <v>102</v>
      </c>
      <c r="AI50" s="50" t="s">
        <v>102</v>
      </c>
      <c r="AJ50" s="50" t="s">
        <v>15617</v>
      </c>
      <c r="AK50" s="50" t="s">
        <v>15618</v>
      </c>
      <c r="AL50" s="50" t="s">
        <v>15619</v>
      </c>
      <c r="AM50" s="50" t="s">
        <v>15620</v>
      </c>
      <c r="AN50" s="50" t="s">
        <v>15621</v>
      </c>
      <c r="AO50" s="50" t="s">
        <v>2202</v>
      </c>
      <c r="AP50" s="50" t="s">
        <v>2202</v>
      </c>
      <c r="AQ50" s="50" t="s">
        <v>102</v>
      </c>
      <c r="AR50" s="50" t="s">
        <v>102</v>
      </c>
      <c r="AS50" s="50" t="s">
        <v>102</v>
      </c>
      <c r="AT50" s="50" t="s">
        <v>102</v>
      </c>
      <c r="AU50" s="50" t="s">
        <v>247</v>
      </c>
      <c r="AV50" s="50" t="s">
        <v>118</v>
      </c>
      <c r="AW50" s="50" t="s">
        <v>1103</v>
      </c>
      <c r="AX50" s="50" t="s">
        <v>119</v>
      </c>
      <c r="AY50" s="50" t="s">
        <v>170</v>
      </c>
      <c r="AZ50" s="50" t="s">
        <v>118</v>
      </c>
      <c r="BA50" s="50" t="s">
        <v>250</v>
      </c>
      <c r="BB50" s="50" t="s">
        <v>120</v>
      </c>
      <c r="BC50" s="50" t="s">
        <v>5553</v>
      </c>
      <c r="BD50" s="50" t="s">
        <v>1171</v>
      </c>
      <c r="BE50" s="50" t="s">
        <v>174</v>
      </c>
      <c r="BF50" s="50" t="s">
        <v>1172</v>
      </c>
      <c r="BG50" s="50" t="s">
        <v>124</v>
      </c>
      <c r="BH50" s="50" t="s">
        <v>15622</v>
      </c>
      <c r="BI50" s="50" t="s">
        <v>15623</v>
      </c>
      <c r="BJ50" s="50" t="s">
        <v>15624</v>
      </c>
      <c r="BK50" s="50" t="s">
        <v>15625</v>
      </c>
      <c r="BL50" s="50" t="s">
        <v>15626</v>
      </c>
      <c r="BM50" s="50" t="s">
        <v>15627</v>
      </c>
      <c r="BN50" s="50" t="s">
        <v>15612</v>
      </c>
      <c r="BO50" s="50" t="s">
        <v>15628</v>
      </c>
      <c r="BP50" s="50" t="s">
        <v>15629</v>
      </c>
      <c r="BQ50" s="50" t="s">
        <v>15630</v>
      </c>
      <c r="BR50" s="50" t="s">
        <v>15631</v>
      </c>
      <c r="BS50" s="50" t="s">
        <v>5560</v>
      </c>
      <c r="BT50" s="50" t="s">
        <v>5560</v>
      </c>
      <c r="BU50" s="50" t="s">
        <v>15632</v>
      </c>
      <c r="BV50" s="50" t="s">
        <v>15633</v>
      </c>
      <c r="BW50" s="50" t="s">
        <v>354</v>
      </c>
      <c r="BX50" s="50" t="s">
        <v>15634</v>
      </c>
      <c r="BY50" s="50" t="s">
        <v>15635</v>
      </c>
      <c r="BZ50" s="50" t="s">
        <v>15636</v>
      </c>
      <c r="CA50" s="50" t="s">
        <v>15637</v>
      </c>
      <c r="CB50" s="50" t="s">
        <v>15634</v>
      </c>
      <c r="CC50" s="50" t="s">
        <v>15635</v>
      </c>
      <c r="CD50" s="50" t="s">
        <v>15637</v>
      </c>
      <c r="CE50" s="50" t="s">
        <v>15634</v>
      </c>
      <c r="CF50" s="50" t="s">
        <v>15635</v>
      </c>
      <c r="CG50" s="50" t="s">
        <v>15638</v>
      </c>
      <c r="CH50" s="50" t="s">
        <v>15639</v>
      </c>
      <c r="CJ50" s="50" t="s">
        <v>15640</v>
      </c>
      <c r="CK50" s="50" t="s">
        <v>15639</v>
      </c>
      <c r="CL50" s="50" t="s">
        <v>5553</v>
      </c>
      <c r="CM50" s="50" t="s">
        <v>1171</v>
      </c>
      <c r="CN50" s="50" t="s">
        <v>15640</v>
      </c>
      <c r="CP50" s="50" t="s">
        <v>15641</v>
      </c>
      <c r="CQ50" s="50" t="s">
        <v>15641</v>
      </c>
    </row>
    <row r="51" spans="1:95">
      <c r="A51" s="50" t="s">
        <v>149</v>
      </c>
      <c r="B51" s="50">
        <v>3139</v>
      </c>
      <c r="C51" s="50" t="s">
        <v>12491</v>
      </c>
      <c r="D51" s="50" t="s">
        <v>4714</v>
      </c>
      <c r="E51" s="50" t="str">
        <f>VLOOKUP(B51,aa!B:F,5,0)</f>
        <v>Ei ASSET, Ei Mindspark</v>
      </c>
      <c r="F51" s="50">
        <f>VLOOKUP(B51,aa!B:J,9,0)</f>
        <v>1898508</v>
      </c>
      <c r="G51" s="50">
        <f>VLOOKUP(B51,aa!B:L,11,0)</f>
        <v>512160</v>
      </c>
      <c r="H51" s="50">
        <f>VLOOKUP(B51,aa!B:O,14,0)</f>
        <v>0</v>
      </c>
      <c r="I51" s="50">
        <f>VLOOKUP(B51,aa!B:R,17,0)</f>
        <v>1642428</v>
      </c>
      <c r="K51" s="50" t="s">
        <v>193</v>
      </c>
      <c r="L51" s="50">
        <v>1659933</v>
      </c>
      <c r="M51" s="50">
        <v>1927833</v>
      </c>
      <c r="N51" s="50">
        <v>171600</v>
      </c>
      <c r="O51" s="50">
        <v>418</v>
      </c>
      <c r="P51" s="50" t="s">
        <v>14947</v>
      </c>
      <c r="Q51" s="50">
        <v>0</v>
      </c>
      <c r="R51" s="50">
        <v>0</v>
      </c>
      <c r="T51" s="50">
        <v>1488333</v>
      </c>
      <c r="U51" s="50">
        <v>630</v>
      </c>
      <c r="V51" s="50" t="s">
        <v>14948</v>
      </c>
      <c r="W51" s="50" t="s">
        <v>102</v>
      </c>
      <c r="X51" s="50" t="s">
        <v>679</v>
      </c>
      <c r="Y51" s="50" t="s">
        <v>155</v>
      </c>
      <c r="Z51" s="50" t="s">
        <v>14949</v>
      </c>
      <c r="AA51" s="50" t="s">
        <v>12764</v>
      </c>
      <c r="AB51" s="50" t="s">
        <v>14950</v>
      </c>
      <c r="AC51" s="50" t="s">
        <v>12570</v>
      </c>
      <c r="AD51" s="50" t="s">
        <v>14950</v>
      </c>
      <c r="AE51" s="50" t="s">
        <v>12571</v>
      </c>
      <c r="AF51" s="50" t="s">
        <v>14950</v>
      </c>
      <c r="AG51" s="50" t="s">
        <v>12595</v>
      </c>
      <c r="AH51" s="50" t="s">
        <v>14950</v>
      </c>
      <c r="AI51" s="50" t="s">
        <v>14951</v>
      </c>
      <c r="AJ51" s="50" t="s">
        <v>14080</v>
      </c>
      <c r="AK51" s="50" t="s">
        <v>14952</v>
      </c>
      <c r="AL51" s="50" t="s">
        <v>14953</v>
      </c>
      <c r="AM51" s="50" t="s">
        <v>14954</v>
      </c>
      <c r="AN51" s="50" t="s">
        <v>14955</v>
      </c>
      <c r="AO51" s="50" t="s">
        <v>14956</v>
      </c>
      <c r="AP51" s="50" t="s">
        <v>14956</v>
      </c>
      <c r="AU51" s="50" t="s">
        <v>207</v>
      </c>
      <c r="AV51" s="50" t="s">
        <v>118</v>
      </c>
      <c r="AW51" s="50" t="s">
        <v>102</v>
      </c>
      <c r="AX51" s="50" t="s">
        <v>119</v>
      </c>
      <c r="BA51" s="50" t="s">
        <v>14957</v>
      </c>
      <c r="BB51" s="50" t="s">
        <v>120</v>
      </c>
      <c r="BC51" s="50" t="s">
        <v>2204</v>
      </c>
      <c r="BD51" s="50" t="s">
        <v>121</v>
      </c>
      <c r="BE51" s="50" t="s">
        <v>122</v>
      </c>
      <c r="BF51" s="50" t="s">
        <v>123</v>
      </c>
      <c r="BG51" s="50" t="s">
        <v>124</v>
      </c>
      <c r="BH51" s="50" t="s">
        <v>14958</v>
      </c>
      <c r="BI51" s="50" t="s">
        <v>14959</v>
      </c>
      <c r="BJ51" s="50" t="s">
        <v>127</v>
      </c>
      <c r="BK51" s="50" t="s">
        <v>14960</v>
      </c>
      <c r="BL51" s="50" t="s">
        <v>4725</v>
      </c>
      <c r="BM51" s="50" t="s">
        <v>14961</v>
      </c>
      <c r="BN51" s="50" t="s">
        <v>14946</v>
      </c>
      <c r="BO51" s="50" t="s">
        <v>1142</v>
      </c>
      <c r="BP51" s="50" t="s">
        <v>350</v>
      </c>
      <c r="BQ51" s="50" t="s">
        <v>1143</v>
      </c>
      <c r="BR51" s="50" t="s">
        <v>1144</v>
      </c>
      <c r="BS51" s="50" t="s">
        <v>566</v>
      </c>
      <c r="BU51" s="50" t="s">
        <v>14962</v>
      </c>
      <c r="BV51" s="50" t="s">
        <v>14963</v>
      </c>
      <c r="BW51" s="50" t="s">
        <v>9092</v>
      </c>
      <c r="BX51" s="50" t="s">
        <v>4729</v>
      </c>
      <c r="BY51" s="50" t="s">
        <v>14964</v>
      </c>
      <c r="BZ51" s="50" t="s">
        <v>4731</v>
      </c>
      <c r="CA51" s="50" t="s">
        <v>14963</v>
      </c>
      <c r="CB51" s="50" t="s">
        <v>4729</v>
      </c>
      <c r="CC51" s="50" t="s">
        <v>14965</v>
      </c>
      <c r="CD51" s="50" t="s">
        <v>14963</v>
      </c>
      <c r="CE51" s="50" t="s">
        <v>4729</v>
      </c>
      <c r="CF51" s="50" t="s">
        <v>14965</v>
      </c>
      <c r="CG51" s="50" t="s">
        <v>102</v>
      </c>
      <c r="CH51" s="50" t="s">
        <v>14966</v>
      </c>
      <c r="CJ51" s="50" t="s">
        <v>4735</v>
      </c>
      <c r="CL51" s="50" t="s">
        <v>2204</v>
      </c>
      <c r="CM51" s="50" t="s">
        <v>121</v>
      </c>
      <c r="CN51" s="50" t="s">
        <v>4735</v>
      </c>
      <c r="CO51" s="50" t="s">
        <v>4736</v>
      </c>
      <c r="CP51" s="50" t="s">
        <v>4734</v>
      </c>
      <c r="CQ51" s="50" t="s">
        <v>4734</v>
      </c>
    </row>
    <row r="52" spans="1:95">
      <c r="A52" s="50" t="s">
        <v>149</v>
      </c>
      <c r="B52" s="50">
        <v>529319</v>
      </c>
      <c r="C52" s="50" t="s">
        <v>12018</v>
      </c>
      <c r="D52" s="50" t="s">
        <v>21029</v>
      </c>
      <c r="E52" s="50" t="e">
        <f>VLOOKUP(B52,aa!B:F,5,0)</f>
        <v>#N/A</v>
      </c>
      <c r="F52" s="50" t="e">
        <f>VLOOKUP(B52,aa!B:J,9,0)</f>
        <v>#N/A</v>
      </c>
      <c r="G52" s="50" t="e">
        <f>VLOOKUP(B52,aa!B:L,11,0)</f>
        <v>#N/A</v>
      </c>
      <c r="H52" s="50" t="e">
        <f>VLOOKUP(B52,aa!B:O,14,0)</f>
        <v>#N/A</v>
      </c>
      <c r="I52" s="50" t="e">
        <f>VLOOKUP(B52,aa!B:R,17,0)</f>
        <v>#N/A</v>
      </c>
      <c r="K52" s="50" t="s">
        <v>97</v>
      </c>
      <c r="L52" s="50">
        <v>1124134</v>
      </c>
      <c r="M52" s="50">
        <v>1124134</v>
      </c>
      <c r="N52" s="50">
        <v>1124134</v>
      </c>
      <c r="O52" s="50">
        <v>868</v>
      </c>
      <c r="P52" s="50" t="s">
        <v>21031</v>
      </c>
      <c r="Q52" s="50">
        <v>0</v>
      </c>
      <c r="R52" s="50">
        <v>0</v>
      </c>
      <c r="T52" s="50">
        <v>0</v>
      </c>
      <c r="U52" s="50">
        <v>0</v>
      </c>
      <c r="W52" s="50" t="s">
        <v>102</v>
      </c>
      <c r="X52" s="50" t="s">
        <v>103</v>
      </c>
      <c r="Y52" s="50" t="s">
        <v>104</v>
      </c>
      <c r="AA52" s="50" t="s">
        <v>1305</v>
      </c>
      <c r="AB52" s="50" t="s">
        <v>21032</v>
      </c>
      <c r="AC52" s="50" t="s">
        <v>13033</v>
      </c>
      <c r="AD52" s="50" t="s">
        <v>21033</v>
      </c>
      <c r="AE52" s="50" t="s">
        <v>109</v>
      </c>
      <c r="AF52" s="50" t="s">
        <v>102</v>
      </c>
      <c r="AG52" s="50" t="s">
        <v>109</v>
      </c>
      <c r="AH52" s="50" t="s">
        <v>102</v>
      </c>
      <c r="AI52" s="50" t="s">
        <v>21034</v>
      </c>
      <c r="AJ52" s="50" t="s">
        <v>13036</v>
      </c>
      <c r="AK52" s="50" t="s">
        <v>11933</v>
      </c>
      <c r="AL52" s="50" t="s">
        <v>21035</v>
      </c>
      <c r="AM52" s="50" t="s">
        <v>21036</v>
      </c>
      <c r="AN52" s="50" t="s">
        <v>14295</v>
      </c>
      <c r="AO52" s="50" t="s">
        <v>21037</v>
      </c>
      <c r="AP52" s="50" t="s">
        <v>21037</v>
      </c>
      <c r="AU52" s="50" t="s">
        <v>318</v>
      </c>
      <c r="AV52" s="50" t="s">
        <v>118</v>
      </c>
      <c r="AW52" s="50" t="s">
        <v>102</v>
      </c>
      <c r="AX52" s="50" t="s">
        <v>119</v>
      </c>
      <c r="BB52" s="50" t="s">
        <v>120</v>
      </c>
      <c r="BC52" s="50" t="s">
        <v>8930</v>
      </c>
      <c r="BD52" s="50" t="s">
        <v>8930</v>
      </c>
      <c r="BE52" s="50" t="s">
        <v>122</v>
      </c>
      <c r="BF52" s="50" t="s">
        <v>346</v>
      </c>
      <c r="BG52" s="50" t="s">
        <v>124</v>
      </c>
      <c r="BH52" s="50" t="s">
        <v>12023</v>
      </c>
      <c r="BI52" s="50" t="s">
        <v>11889</v>
      </c>
      <c r="BJ52" s="50" t="s">
        <v>127</v>
      </c>
      <c r="BK52" s="50" t="s">
        <v>21038</v>
      </c>
      <c r="BL52" s="50" t="s">
        <v>10961</v>
      </c>
      <c r="BM52" s="50" t="s">
        <v>21039</v>
      </c>
      <c r="BN52" s="50" t="s">
        <v>21030</v>
      </c>
      <c r="BO52" s="50" t="s">
        <v>593</v>
      </c>
      <c r="BP52" s="50" t="s">
        <v>350</v>
      </c>
      <c r="BQ52" s="50" t="s">
        <v>594</v>
      </c>
      <c r="BR52" s="50" t="s">
        <v>595</v>
      </c>
      <c r="BS52" s="50" t="s">
        <v>328</v>
      </c>
      <c r="BU52" s="50" t="s">
        <v>21040</v>
      </c>
      <c r="BV52" s="50" t="s">
        <v>21041</v>
      </c>
      <c r="BW52" s="50" t="s">
        <v>598</v>
      </c>
      <c r="BX52" s="50" t="s">
        <v>21042</v>
      </c>
      <c r="BY52" s="50" t="s">
        <v>21043</v>
      </c>
      <c r="BZ52" s="50" t="s">
        <v>10965</v>
      </c>
      <c r="CA52" s="50" t="s">
        <v>21044</v>
      </c>
      <c r="CB52" s="50" t="s">
        <v>10965</v>
      </c>
      <c r="CC52" s="50" t="s">
        <v>21043</v>
      </c>
      <c r="CD52" s="50" t="s">
        <v>21041</v>
      </c>
      <c r="CE52" s="50" t="s">
        <v>21042</v>
      </c>
      <c r="CF52" s="50" t="s">
        <v>21043</v>
      </c>
      <c r="CG52" s="50" t="s">
        <v>102</v>
      </c>
      <c r="CH52" s="50" t="s">
        <v>21045</v>
      </c>
      <c r="CJ52" s="50" t="s">
        <v>10968</v>
      </c>
      <c r="CL52" s="50" t="s">
        <v>8930</v>
      </c>
      <c r="CM52" s="50" t="s">
        <v>8930</v>
      </c>
      <c r="CN52" s="50" t="s">
        <v>10968</v>
      </c>
      <c r="CO52" s="50" t="s">
        <v>10969</v>
      </c>
      <c r="CP52" s="50" t="s">
        <v>10967</v>
      </c>
      <c r="CQ52" s="50" t="s">
        <v>10967</v>
      </c>
    </row>
    <row r="53" spans="1:95">
      <c r="A53" s="50" t="s">
        <v>149</v>
      </c>
      <c r="B53" s="50">
        <v>581062</v>
      </c>
      <c r="C53" s="50" t="s">
        <v>12018</v>
      </c>
      <c r="D53" s="50" t="s">
        <v>21029</v>
      </c>
      <c r="E53" s="50" t="e">
        <f>VLOOKUP(B53,aa!B:F,5,0)</f>
        <v>#N/A</v>
      </c>
      <c r="F53" s="50" t="e">
        <f>VLOOKUP(B53,aa!B:J,9,0)</f>
        <v>#N/A</v>
      </c>
      <c r="G53" s="50" t="e">
        <f>VLOOKUP(B53,aa!B:L,11,0)</f>
        <v>#N/A</v>
      </c>
      <c r="H53" s="50" t="e">
        <f>VLOOKUP(B53,aa!B:O,14,0)</f>
        <v>#N/A</v>
      </c>
      <c r="I53" s="50" t="e">
        <f>VLOOKUP(B53,aa!B:R,17,0)</f>
        <v>#N/A</v>
      </c>
      <c r="K53" s="50" t="s">
        <v>97</v>
      </c>
      <c r="L53" s="50">
        <v>322744</v>
      </c>
      <c r="M53" s="50">
        <v>322744</v>
      </c>
      <c r="N53" s="50">
        <v>322744</v>
      </c>
      <c r="O53" s="50">
        <v>259</v>
      </c>
      <c r="P53" s="50" t="s">
        <v>5316</v>
      </c>
      <c r="Q53" s="50">
        <v>0</v>
      </c>
      <c r="R53" s="50">
        <v>0</v>
      </c>
      <c r="T53" s="50">
        <v>0</v>
      </c>
      <c r="U53" s="50">
        <v>0</v>
      </c>
      <c r="W53" s="50" t="s">
        <v>102</v>
      </c>
      <c r="X53" s="50" t="s">
        <v>103</v>
      </c>
      <c r="Y53" s="50" t="s">
        <v>104</v>
      </c>
      <c r="AA53" s="50" t="s">
        <v>1305</v>
      </c>
      <c r="AB53" s="50" t="s">
        <v>21181</v>
      </c>
      <c r="AC53" s="50" t="s">
        <v>13033</v>
      </c>
      <c r="AD53" s="50" t="s">
        <v>21182</v>
      </c>
      <c r="AE53" s="50" t="s">
        <v>109</v>
      </c>
      <c r="AF53" s="50" t="s">
        <v>102</v>
      </c>
      <c r="AG53" s="50" t="s">
        <v>109</v>
      </c>
      <c r="AH53" s="50" t="s">
        <v>102</v>
      </c>
      <c r="AI53" s="50" t="s">
        <v>21183</v>
      </c>
      <c r="AJ53" s="50" t="s">
        <v>14272</v>
      </c>
      <c r="AK53" s="50" t="s">
        <v>14272</v>
      </c>
      <c r="AL53" s="50" t="s">
        <v>21184</v>
      </c>
      <c r="AM53" s="50" t="s">
        <v>21185</v>
      </c>
      <c r="AN53" s="50" t="s">
        <v>21186</v>
      </c>
      <c r="AO53" s="50" t="s">
        <v>21187</v>
      </c>
      <c r="AP53" s="50" t="s">
        <v>21187</v>
      </c>
      <c r="AU53" s="50" t="s">
        <v>318</v>
      </c>
      <c r="AV53" s="50" t="s">
        <v>118</v>
      </c>
      <c r="AW53" s="50" t="s">
        <v>102</v>
      </c>
      <c r="AX53" s="50" t="s">
        <v>119</v>
      </c>
      <c r="BB53" s="50" t="s">
        <v>120</v>
      </c>
      <c r="BC53" s="50" t="s">
        <v>2799</v>
      </c>
      <c r="BD53" s="50" t="s">
        <v>2800</v>
      </c>
      <c r="BE53" s="50" t="s">
        <v>122</v>
      </c>
      <c r="BF53" s="50" t="s">
        <v>346</v>
      </c>
      <c r="BG53" s="50" t="s">
        <v>124</v>
      </c>
      <c r="BH53" s="50" t="s">
        <v>12023</v>
      </c>
      <c r="BI53" s="50" t="s">
        <v>11889</v>
      </c>
      <c r="BJ53" s="50" t="s">
        <v>127</v>
      </c>
      <c r="BK53" s="50" t="s">
        <v>21188</v>
      </c>
      <c r="BL53" s="50" t="s">
        <v>11214</v>
      </c>
      <c r="BM53" s="50" t="s">
        <v>21189</v>
      </c>
      <c r="BN53" s="50" t="s">
        <v>21030</v>
      </c>
      <c r="BO53" s="50" t="s">
        <v>593</v>
      </c>
      <c r="BP53" s="50" t="s">
        <v>350</v>
      </c>
      <c r="BQ53" s="50" t="s">
        <v>594</v>
      </c>
      <c r="BR53" s="50" t="s">
        <v>595</v>
      </c>
      <c r="BS53" s="50" t="s">
        <v>328</v>
      </c>
      <c r="BU53" s="50" t="s">
        <v>21190</v>
      </c>
      <c r="BV53" s="50" t="s">
        <v>21041</v>
      </c>
      <c r="BW53" s="50" t="s">
        <v>598</v>
      </c>
      <c r="BX53" s="50" t="s">
        <v>21042</v>
      </c>
      <c r="BY53" s="50" t="s">
        <v>21043</v>
      </c>
      <c r="BZ53" s="50" t="s">
        <v>11217</v>
      </c>
      <c r="CA53" s="50" t="s">
        <v>21191</v>
      </c>
      <c r="CB53" s="50" t="s">
        <v>10965</v>
      </c>
      <c r="CC53" s="50" t="s">
        <v>21192</v>
      </c>
      <c r="CD53" s="50" t="s">
        <v>21041</v>
      </c>
      <c r="CE53" s="50" t="s">
        <v>21042</v>
      </c>
      <c r="CF53" s="50" t="s">
        <v>21043</v>
      </c>
      <c r="CG53" s="50" t="s">
        <v>102</v>
      </c>
      <c r="CH53" s="50" t="s">
        <v>21193</v>
      </c>
      <c r="CJ53" s="50" t="s">
        <v>11219</v>
      </c>
      <c r="CL53" s="50" t="s">
        <v>2799</v>
      </c>
      <c r="CM53" s="50" t="s">
        <v>2800</v>
      </c>
      <c r="CN53" s="50" t="s">
        <v>11219</v>
      </c>
      <c r="CP53" s="50" t="s">
        <v>11218</v>
      </c>
      <c r="CQ53" s="50" t="s">
        <v>11218</v>
      </c>
    </row>
    <row r="54" spans="1:95">
      <c r="A54" s="50" t="s">
        <v>93</v>
      </c>
      <c r="B54" s="50">
        <v>4030028</v>
      </c>
      <c r="C54" s="50" t="s">
        <v>12018</v>
      </c>
      <c r="D54" s="50" t="s">
        <v>17982</v>
      </c>
      <c r="E54" s="50" t="e">
        <f>VLOOKUP(B54,aa!B:F,5,0)</f>
        <v>#N/A</v>
      </c>
      <c r="F54" s="50" t="e">
        <f>VLOOKUP(B54,aa!B:J,9,0)</f>
        <v>#N/A</v>
      </c>
      <c r="G54" s="50" t="e">
        <f>VLOOKUP(B54,aa!B:L,11,0)</f>
        <v>#N/A</v>
      </c>
      <c r="H54" s="50" t="e">
        <f>VLOOKUP(B54,aa!B:O,14,0)</f>
        <v>#N/A</v>
      </c>
      <c r="I54" s="50" t="e">
        <f>VLOOKUP(B54,aa!B:R,17,0)</f>
        <v>#N/A</v>
      </c>
      <c r="K54" s="50" t="s">
        <v>152</v>
      </c>
      <c r="L54" s="50">
        <v>593642</v>
      </c>
      <c r="M54" s="50">
        <v>593642</v>
      </c>
      <c r="N54" s="50">
        <v>0</v>
      </c>
      <c r="O54" s="50">
        <v>0</v>
      </c>
      <c r="Q54" s="50">
        <v>593642</v>
      </c>
      <c r="R54" s="50">
        <v>424</v>
      </c>
      <c r="S54" s="50" t="s">
        <v>4289</v>
      </c>
      <c r="T54" s="50">
        <v>0</v>
      </c>
      <c r="U54" s="50">
        <v>0</v>
      </c>
      <c r="W54" s="50" t="s">
        <v>102</v>
      </c>
      <c r="X54" s="50" t="s">
        <v>103</v>
      </c>
      <c r="Y54" s="50" t="s">
        <v>155</v>
      </c>
      <c r="AA54" s="50" t="s">
        <v>12926</v>
      </c>
      <c r="AB54" s="50" t="s">
        <v>17983</v>
      </c>
      <c r="AC54" s="50" t="s">
        <v>13511</v>
      </c>
      <c r="AD54" s="50" t="s">
        <v>17983</v>
      </c>
      <c r="AE54" s="50" t="s">
        <v>946</v>
      </c>
      <c r="AF54" s="50" t="s">
        <v>17983</v>
      </c>
      <c r="AG54" s="50" t="s">
        <v>11886</v>
      </c>
      <c r="AH54" s="50" t="s">
        <v>17983</v>
      </c>
      <c r="AI54" s="50" t="s">
        <v>102</v>
      </c>
      <c r="AL54" s="50" t="s">
        <v>17984</v>
      </c>
      <c r="AM54" s="50" t="s">
        <v>102</v>
      </c>
      <c r="AN54" s="50" t="s">
        <v>17984</v>
      </c>
      <c r="AO54" s="50" t="s">
        <v>4298</v>
      </c>
      <c r="AP54" s="50" t="s">
        <v>4298</v>
      </c>
      <c r="AU54" s="50" t="s">
        <v>102</v>
      </c>
      <c r="AW54" s="50" t="s">
        <v>155</v>
      </c>
      <c r="AX54" s="50" t="s">
        <v>447</v>
      </c>
      <c r="AY54" s="50" t="s">
        <v>170</v>
      </c>
      <c r="AZ54" s="50" t="s">
        <v>118</v>
      </c>
      <c r="BB54" s="50" t="s">
        <v>120</v>
      </c>
      <c r="BC54" s="50" t="s">
        <v>7614</v>
      </c>
      <c r="BD54" s="50" t="s">
        <v>2800</v>
      </c>
      <c r="BE54" s="50" t="s">
        <v>122</v>
      </c>
      <c r="BF54" s="50" t="s">
        <v>346</v>
      </c>
      <c r="BG54" s="50" t="s">
        <v>124</v>
      </c>
      <c r="BH54" s="50" t="s">
        <v>12023</v>
      </c>
      <c r="BI54" s="50" t="s">
        <v>11889</v>
      </c>
      <c r="BJ54" s="50" t="s">
        <v>127</v>
      </c>
      <c r="BK54" s="50" t="s">
        <v>17985</v>
      </c>
      <c r="BL54" s="50" t="s">
        <v>8621</v>
      </c>
      <c r="BM54" s="50" t="s">
        <v>17986</v>
      </c>
      <c r="BN54" s="50" t="s">
        <v>7957</v>
      </c>
      <c r="BO54" s="50" t="s">
        <v>17987</v>
      </c>
      <c r="BP54" s="50" t="s">
        <v>350</v>
      </c>
      <c r="BQ54" s="50" t="s">
        <v>17988</v>
      </c>
      <c r="BR54" s="50" t="s">
        <v>17989</v>
      </c>
      <c r="BS54" s="50" t="s">
        <v>8623</v>
      </c>
      <c r="BU54" s="50" t="s">
        <v>17990</v>
      </c>
      <c r="BV54" s="50" t="s">
        <v>17991</v>
      </c>
      <c r="BW54" s="50" t="s">
        <v>354</v>
      </c>
      <c r="BX54" s="50" t="s">
        <v>8628</v>
      </c>
      <c r="BY54" s="50" t="s">
        <v>8627</v>
      </c>
      <c r="BZ54" s="50" t="s">
        <v>8628</v>
      </c>
      <c r="CA54" s="50" t="s">
        <v>17992</v>
      </c>
      <c r="CB54" s="50" t="s">
        <v>8628</v>
      </c>
      <c r="CC54" s="50" t="s">
        <v>8631</v>
      </c>
      <c r="CD54" s="50" t="s">
        <v>13027</v>
      </c>
      <c r="CE54" s="50" t="s">
        <v>8628</v>
      </c>
      <c r="CF54" s="50" t="s">
        <v>8633</v>
      </c>
      <c r="CG54" s="50" t="s">
        <v>4372</v>
      </c>
      <c r="CH54" s="50" t="s">
        <v>17993</v>
      </c>
      <c r="CJ54" s="50" t="s">
        <v>7630</v>
      </c>
      <c r="CK54" s="50" t="s">
        <v>17993</v>
      </c>
      <c r="CL54" s="50" t="s">
        <v>7614</v>
      </c>
      <c r="CM54" s="50" t="s">
        <v>2800</v>
      </c>
      <c r="CN54" s="50" t="s">
        <v>7630</v>
      </c>
      <c r="CP54" s="50" t="s">
        <v>8634</v>
      </c>
      <c r="CQ54" s="50" t="s">
        <v>8634</v>
      </c>
    </row>
    <row r="55" spans="1:95">
      <c r="A55" s="50" t="s">
        <v>149</v>
      </c>
      <c r="B55" s="50">
        <v>159527</v>
      </c>
      <c r="C55" s="50" t="s">
        <v>632</v>
      </c>
      <c r="D55" s="50" t="s">
        <v>12672</v>
      </c>
      <c r="E55" s="50" t="str">
        <f>VLOOKUP(B55,aa!B:F,5,0)</f>
        <v>Ei CARES, Ei Mindspark</v>
      </c>
      <c r="F55" s="50">
        <f>VLOOKUP(B55,aa!B:J,9,0)</f>
        <v>2193236</v>
      </c>
      <c r="G55" s="50">
        <f>VLOOKUP(B55,aa!B:L,11,0)</f>
        <v>0</v>
      </c>
      <c r="H55" s="50">
        <f>VLOOKUP(B55,aa!B:O,14,0)</f>
        <v>1568800</v>
      </c>
      <c r="I55" s="50">
        <f>VLOOKUP(B55,aa!B:R,17,0)</f>
        <v>624436</v>
      </c>
      <c r="K55" s="50" t="s">
        <v>643</v>
      </c>
      <c r="L55" s="50">
        <v>2134579</v>
      </c>
      <c r="M55" s="50">
        <v>2243097</v>
      </c>
      <c r="N55" s="50">
        <v>0</v>
      </c>
      <c r="O55" s="50">
        <v>0</v>
      </c>
      <c r="Q55" s="50">
        <v>1531700</v>
      </c>
      <c r="R55" s="50">
        <v>578</v>
      </c>
      <c r="S55" s="50" t="s">
        <v>12673</v>
      </c>
      <c r="T55" s="50">
        <v>602879</v>
      </c>
      <c r="U55" s="50">
        <v>223</v>
      </c>
      <c r="V55" s="50" t="s">
        <v>12674</v>
      </c>
      <c r="W55" s="50" t="s">
        <v>102</v>
      </c>
      <c r="X55" s="50" t="s">
        <v>103</v>
      </c>
      <c r="Y55" s="50" t="s">
        <v>155</v>
      </c>
      <c r="AA55" s="50" t="s">
        <v>12675</v>
      </c>
      <c r="AB55" s="50" t="s">
        <v>12676</v>
      </c>
      <c r="AC55" s="50" t="s">
        <v>12677</v>
      </c>
      <c r="AD55" s="50" t="s">
        <v>12676</v>
      </c>
      <c r="AE55" s="50" t="s">
        <v>1427</v>
      </c>
      <c r="AF55" s="50" t="s">
        <v>12676</v>
      </c>
      <c r="AG55" s="50" t="s">
        <v>11886</v>
      </c>
      <c r="AH55" s="50" t="s">
        <v>12676</v>
      </c>
      <c r="AI55" s="50" t="s">
        <v>12678</v>
      </c>
      <c r="AJ55" s="50" t="s">
        <v>12679</v>
      </c>
      <c r="AK55" s="50" t="s">
        <v>12680</v>
      </c>
      <c r="AL55" s="50" t="s">
        <v>12681</v>
      </c>
      <c r="AM55" s="50" t="s">
        <v>12682</v>
      </c>
      <c r="AN55" s="50" t="s">
        <v>12683</v>
      </c>
      <c r="AO55" s="50" t="s">
        <v>12684</v>
      </c>
      <c r="AP55" s="50" t="s">
        <v>12684</v>
      </c>
      <c r="AU55" s="50" t="s">
        <v>102</v>
      </c>
      <c r="AW55" s="50" t="s">
        <v>248</v>
      </c>
      <c r="AX55" s="50" t="s">
        <v>119</v>
      </c>
      <c r="AY55" s="50" t="s">
        <v>170</v>
      </c>
      <c r="AZ55" s="50" t="s">
        <v>118</v>
      </c>
      <c r="BA55" s="50" t="s">
        <v>250</v>
      </c>
      <c r="BB55" s="50" t="s">
        <v>171</v>
      </c>
      <c r="BC55" s="50" t="s">
        <v>623</v>
      </c>
      <c r="BD55" s="50" t="s">
        <v>621</v>
      </c>
      <c r="BE55" s="50" t="s">
        <v>622</v>
      </c>
      <c r="BF55" s="50" t="s">
        <v>623</v>
      </c>
      <c r="BG55" s="50" t="s">
        <v>124</v>
      </c>
      <c r="BH55" s="50" t="s">
        <v>12023</v>
      </c>
      <c r="BI55" s="50" t="s">
        <v>11889</v>
      </c>
      <c r="BJ55" s="50" t="s">
        <v>127</v>
      </c>
      <c r="BK55" s="50" t="s">
        <v>12685</v>
      </c>
      <c r="BL55" s="50" t="s">
        <v>1337</v>
      </c>
      <c r="BM55" s="50" t="s">
        <v>12686</v>
      </c>
      <c r="BN55" s="50" t="s">
        <v>4374</v>
      </c>
      <c r="BO55" s="50" t="s">
        <v>1339</v>
      </c>
      <c r="BP55" s="50" t="s">
        <v>132</v>
      </c>
      <c r="BQ55" s="50" t="s">
        <v>1340</v>
      </c>
      <c r="BR55" s="50" t="s">
        <v>1341</v>
      </c>
      <c r="BS55" s="50" t="s">
        <v>1342</v>
      </c>
      <c r="BU55" s="50" t="s">
        <v>12687</v>
      </c>
      <c r="BV55" s="50" t="s">
        <v>12688</v>
      </c>
      <c r="BX55" s="50" t="s">
        <v>12689</v>
      </c>
      <c r="BY55" s="50" t="s">
        <v>12690</v>
      </c>
      <c r="BZ55" s="50" t="s">
        <v>1347</v>
      </c>
      <c r="CA55" s="50" t="s">
        <v>12691</v>
      </c>
      <c r="CB55" s="50" t="s">
        <v>12689</v>
      </c>
      <c r="CC55" s="50" t="s">
        <v>12690</v>
      </c>
      <c r="CD55" s="50" t="s">
        <v>12691</v>
      </c>
      <c r="CE55" s="50" t="s">
        <v>12689</v>
      </c>
      <c r="CF55" s="50" t="s">
        <v>12690</v>
      </c>
      <c r="CG55" s="50" t="s">
        <v>102</v>
      </c>
      <c r="CH55" s="50" t="s">
        <v>1350</v>
      </c>
      <c r="CJ55" s="50" t="s">
        <v>1351</v>
      </c>
      <c r="CL55" s="50" t="s">
        <v>623</v>
      </c>
      <c r="CM55" s="50" t="s">
        <v>621</v>
      </c>
      <c r="CN55" s="50" t="s">
        <v>1351</v>
      </c>
      <c r="CO55" s="50" t="s">
        <v>1352</v>
      </c>
      <c r="CP55" s="50" t="s">
        <v>1350</v>
      </c>
      <c r="CQ55" s="50" t="s">
        <v>1350</v>
      </c>
    </row>
    <row r="56" spans="1:95">
      <c r="A56" s="50" t="s">
        <v>149</v>
      </c>
      <c r="B56" s="50">
        <v>3106413</v>
      </c>
      <c r="C56" s="50" t="s">
        <v>2525</v>
      </c>
      <c r="D56" s="50" t="s">
        <v>4681</v>
      </c>
      <c r="E56" s="50" t="str">
        <f>VLOOKUP(B56,aa!B:F,5,0)</f>
        <v>Ei ASSET, Ei Mindspark</v>
      </c>
      <c r="F56" s="50">
        <f>VLOOKUP(B56,aa!B:J,9,0)</f>
        <v>1779428</v>
      </c>
      <c r="G56" s="50">
        <f>VLOOKUP(B56,aa!B:L,11,0)</f>
        <v>567629</v>
      </c>
      <c r="H56" s="50">
        <f>VLOOKUP(B56,aa!B:O,14,0)</f>
        <v>0</v>
      </c>
      <c r="I56" s="50">
        <f>VLOOKUP(B56,aa!B:R,17,0)</f>
        <v>1211799</v>
      </c>
      <c r="K56" s="50" t="s">
        <v>193</v>
      </c>
      <c r="L56" s="50">
        <v>1691164</v>
      </c>
      <c r="M56" s="50">
        <v>1930950</v>
      </c>
      <c r="N56" s="50">
        <v>359021</v>
      </c>
      <c r="O56" s="50">
        <v>475</v>
      </c>
      <c r="P56" s="50" t="s">
        <v>12493</v>
      </c>
      <c r="Q56" s="50">
        <v>0</v>
      </c>
      <c r="R56" s="50">
        <v>0</v>
      </c>
      <c r="T56" s="50">
        <v>1332143</v>
      </c>
      <c r="U56" s="50">
        <v>499</v>
      </c>
      <c r="V56" s="50" t="s">
        <v>14931</v>
      </c>
      <c r="W56" s="50" t="s">
        <v>102</v>
      </c>
      <c r="X56" s="50" t="s">
        <v>679</v>
      </c>
      <c r="Y56" s="50" t="s">
        <v>155</v>
      </c>
      <c r="Z56" s="50" t="s">
        <v>5022</v>
      </c>
      <c r="AA56" s="50" t="s">
        <v>14932</v>
      </c>
      <c r="AB56" s="50" t="s">
        <v>14933</v>
      </c>
      <c r="AC56" s="50" t="s">
        <v>12766</v>
      </c>
      <c r="AD56" s="50" t="s">
        <v>14933</v>
      </c>
      <c r="AE56" s="50" t="s">
        <v>12215</v>
      </c>
      <c r="AF56" s="50" t="s">
        <v>14933</v>
      </c>
      <c r="AG56" s="50" t="s">
        <v>13730</v>
      </c>
      <c r="AH56" s="50" t="s">
        <v>14933</v>
      </c>
      <c r="AI56" s="50" t="s">
        <v>14934</v>
      </c>
      <c r="AJ56" s="50" t="s">
        <v>7020</v>
      </c>
      <c r="AK56" s="50" t="s">
        <v>14935</v>
      </c>
      <c r="AL56" s="50" t="s">
        <v>14936</v>
      </c>
      <c r="AM56" s="50" t="s">
        <v>14937</v>
      </c>
      <c r="AN56" s="50" t="s">
        <v>14938</v>
      </c>
      <c r="AO56" s="50" t="s">
        <v>14939</v>
      </c>
      <c r="AP56" s="50" t="s">
        <v>14940</v>
      </c>
      <c r="AQ56" s="50" t="s">
        <v>343</v>
      </c>
      <c r="AT56" s="50" t="s">
        <v>169</v>
      </c>
      <c r="AU56" s="50" t="s">
        <v>247</v>
      </c>
      <c r="AV56" s="50" t="s">
        <v>118</v>
      </c>
      <c r="AW56" s="50" t="s">
        <v>102</v>
      </c>
      <c r="AX56" s="50" t="s">
        <v>119</v>
      </c>
      <c r="BA56" s="50" t="s">
        <v>250</v>
      </c>
      <c r="BB56" s="50" t="s">
        <v>120</v>
      </c>
      <c r="BC56" s="50" t="s">
        <v>2327</v>
      </c>
      <c r="BD56" s="50" t="s">
        <v>730</v>
      </c>
      <c r="BE56" s="50" t="s">
        <v>622</v>
      </c>
      <c r="BF56" s="50" t="s">
        <v>730</v>
      </c>
      <c r="BG56" s="50" t="s">
        <v>124</v>
      </c>
      <c r="BH56" s="50" t="s">
        <v>12023</v>
      </c>
      <c r="BI56" s="50" t="s">
        <v>11889</v>
      </c>
      <c r="BJ56" s="50" t="s">
        <v>127</v>
      </c>
      <c r="BK56" s="50" t="s">
        <v>14941</v>
      </c>
      <c r="BL56" s="50" t="s">
        <v>4698</v>
      </c>
      <c r="BM56" s="50" t="s">
        <v>14942</v>
      </c>
      <c r="BN56" s="50" t="s">
        <v>4374</v>
      </c>
      <c r="BO56" s="50" t="s">
        <v>3606</v>
      </c>
      <c r="BP56" s="50" t="s">
        <v>132</v>
      </c>
      <c r="BQ56" s="50" t="s">
        <v>3607</v>
      </c>
      <c r="BR56" s="50" t="s">
        <v>3608</v>
      </c>
      <c r="BS56" s="50" t="s">
        <v>2525</v>
      </c>
      <c r="BU56" s="50" t="s">
        <v>14943</v>
      </c>
      <c r="BV56" s="50" t="s">
        <v>4705</v>
      </c>
      <c r="BW56" s="50" t="s">
        <v>138</v>
      </c>
      <c r="BX56" s="50" t="s">
        <v>4706</v>
      </c>
      <c r="BY56" s="50" t="s">
        <v>4707</v>
      </c>
      <c r="BZ56" s="50" t="s">
        <v>4704</v>
      </c>
      <c r="CA56" s="50" t="s">
        <v>4705</v>
      </c>
      <c r="CB56" s="50" t="s">
        <v>4706</v>
      </c>
      <c r="CC56" s="50" t="s">
        <v>4707</v>
      </c>
      <c r="CD56" s="50" t="s">
        <v>14944</v>
      </c>
      <c r="CE56" s="50" t="s">
        <v>14945</v>
      </c>
      <c r="CF56" s="50" t="s">
        <v>4710</v>
      </c>
      <c r="CG56" s="50" t="s">
        <v>102</v>
      </c>
      <c r="CH56" s="50" t="s">
        <v>4711</v>
      </c>
      <c r="CJ56" s="50" t="s">
        <v>4712</v>
      </c>
      <c r="CL56" s="50" t="s">
        <v>2327</v>
      </c>
      <c r="CM56" s="50" t="s">
        <v>730</v>
      </c>
      <c r="CN56" s="50" t="s">
        <v>4712</v>
      </c>
      <c r="CO56" s="50" t="s">
        <v>4713</v>
      </c>
      <c r="CP56" s="50" t="s">
        <v>4711</v>
      </c>
      <c r="CQ56" s="50" t="s">
        <v>4711</v>
      </c>
    </row>
    <row r="57" spans="1:95">
      <c r="A57" s="50" t="s">
        <v>149</v>
      </c>
      <c r="B57" s="50">
        <v>3769775</v>
      </c>
      <c r="C57" s="50" t="s">
        <v>1111</v>
      </c>
      <c r="D57" s="50" t="s">
        <v>7391</v>
      </c>
      <c r="E57" s="50" t="str">
        <f>VLOOKUP(B57,aa!B:F,5,0)</f>
        <v>Ei ASSET,Ei CARES,Ei Mindspark, Ei Mindspark</v>
      </c>
      <c r="F57" s="50">
        <f>VLOOKUP(B57,aa!B:J,9,0)</f>
        <v>915922</v>
      </c>
      <c r="G57" s="50">
        <f>VLOOKUP(B57,aa!B:L,11,0)</f>
        <v>98501</v>
      </c>
      <c r="H57" s="50">
        <f>VLOOKUP(B57,aa!B:O,14,0)</f>
        <v>232567</v>
      </c>
      <c r="I57" s="50">
        <f>VLOOKUP(B57,aa!B:R,17,0)</f>
        <v>584854</v>
      </c>
      <c r="K57" s="50" t="s">
        <v>1086</v>
      </c>
      <c r="L57" s="50">
        <v>792787</v>
      </c>
      <c r="M57" s="50">
        <v>892087</v>
      </c>
      <c r="N57" s="50">
        <v>72192</v>
      </c>
      <c r="O57" s="50">
        <v>173</v>
      </c>
      <c r="P57" s="50" t="s">
        <v>16915</v>
      </c>
      <c r="Q57" s="50">
        <v>168929</v>
      </c>
      <c r="R57" s="50">
        <v>173</v>
      </c>
      <c r="S57" s="50" t="s">
        <v>16916</v>
      </c>
      <c r="T57" s="50">
        <v>551666</v>
      </c>
      <c r="U57" s="50">
        <v>258</v>
      </c>
      <c r="V57" s="50" t="s">
        <v>16917</v>
      </c>
      <c r="W57" s="50" t="s">
        <v>102</v>
      </c>
      <c r="X57" s="50" t="s">
        <v>103</v>
      </c>
      <c r="Y57" s="50" t="s">
        <v>155</v>
      </c>
      <c r="AA57" s="50" t="s">
        <v>16918</v>
      </c>
      <c r="AB57" s="50" t="s">
        <v>16919</v>
      </c>
      <c r="AC57" s="50" t="s">
        <v>14023</v>
      </c>
      <c r="AD57" s="50" t="s">
        <v>16919</v>
      </c>
      <c r="AE57" s="50" t="s">
        <v>11930</v>
      </c>
      <c r="AF57" s="50" t="s">
        <v>16919</v>
      </c>
      <c r="AG57" s="50" t="s">
        <v>11886</v>
      </c>
      <c r="AH57" s="50" t="s">
        <v>16919</v>
      </c>
      <c r="AI57" s="50" t="s">
        <v>102</v>
      </c>
      <c r="AJ57" s="50" t="s">
        <v>13602</v>
      </c>
      <c r="AK57" s="50" t="s">
        <v>16920</v>
      </c>
      <c r="AL57" s="50" t="s">
        <v>16921</v>
      </c>
      <c r="AM57" s="50" t="s">
        <v>16922</v>
      </c>
      <c r="AN57" s="50" t="s">
        <v>16923</v>
      </c>
      <c r="AO57" s="50" t="s">
        <v>16924</v>
      </c>
      <c r="AP57" s="50" t="s">
        <v>16924</v>
      </c>
      <c r="AU57" s="50" t="s">
        <v>207</v>
      </c>
      <c r="AV57" s="50" t="s">
        <v>250</v>
      </c>
      <c r="AW57" s="50" t="s">
        <v>655</v>
      </c>
      <c r="AX57" s="50" t="s">
        <v>249</v>
      </c>
      <c r="AZ57" s="50" t="s">
        <v>250</v>
      </c>
      <c r="BA57" s="50" t="s">
        <v>250</v>
      </c>
      <c r="BB57" s="50" t="s">
        <v>120</v>
      </c>
      <c r="BC57" s="50" t="s">
        <v>7403</v>
      </c>
      <c r="BD57" s="50" t="s">
        <v>4404</v>
      </c>
      <c r="BE57" s="50" t="s">
        <v>174</v>
      </c>
      <c r="BF57" s="50" t="s">
        <v>4405</v>
      </c>
      <c r="BG57" s="50" t="s">
        <v>124</v>
      </c>
      <c r="BH57" s="50" t="s">
        <v>12023</v>
      </c>
      <c r="BI57" s="50" t="s">
        <v>11889</v>
      </c>
      <c r="BJ57" s="50" t="s">
        <v>127</v>
      </c>
      <c r="BK57" s="50" t="s">
        <v>16925</v>
      </c>
      <c r="BL57" s="50" t="s">
        <v>7405</v>
      </c>
      <c r="BM57" s="50" t="s">
        <v>16926</v>
      </c>
      <c r="BN57" s="50" t="s">
        <v>16914</v>
      </c>
      <c r="BO57" s="50" t="s">
        <v>1108</v>
      </c>
      <c r="BP57" s="50" t="s">
        <v>180</v>
      </c>
      <c r="BQ57" s="50" t="s">
        <v>1109</v>
      </c>
      <c r="BR57" s="50" t="s">
        <v>1110</v>
      </c>
      <c r="BS57" s="50" t="s">
        <v>4413</v>
      </c>
      <c r="BU57" s="50" t="s">
        <v>16927</v>
      </c>
      <c r="BV57" s="50" t="s">
        <v>7408</v>
      </c>
      <c r="BW57" s="50" t="s">
        <v>138</v>
      </c>
      <c r="BX57" s="50" t="s">
        <v>7409</v>
      </c>
      <c r="BY57" s="50" t="s">
        <v>7410</v>
      </c>
      <c r="BZ57" s="50" t="s">
        <v>7409</v>
      </c>
      <c r="CA57" s="50" t="s">
        <v>16928</v>
      </c>
      <c r="CB57" s="50" t="s">
        <v>7409</v>
      </c>
      <c r="CC57" s="50" t="s">
        <v>7410</v>
      </c>
      <c r="CD57" s="50" t="s">
        <v>16929</v>
      </c>
      <c r="CE57" s="50" t="s">
        <v>7412</v>
      </c>
      <c r="CF57" s="50" t="s">
        <v>16930</v>
      </c>
      <c r="CG57" s="50" t="s">
        <v>102</v>
      </c>
      <c r="CH57" s="50" t="s">
        <v>16931</v>
      </c>
      <c r="CJ57" s="50" t="s">
        <v>7415</v>
      </c>
      <c r="CL57" s="50" t="s">
        <v>7403</v>
      </c>
      <c r="CM57" s="50" t="s">
        <v>4404</v>
      </c>
      <c r="CN57" s="50" t="s">
        <v>7415</v>
      </c>
      <c r="CP57" s="50" t="s">
        <v>7416</v>
      </c>
      <c r="CQ57" s="50" t="s">
        <v>7414</v>
      </c>
    </row>
    <row r="58" spans="1:95">
      <c r="A58" s="50" t="s">
        <v>149</v>
      </c>
      <c r="B58" s="50">
        <v>598546</v>
      </c>
      <c r="C58" s="50" t="s">
        <v>1111</v>
      </c>
      <c r="D58" s="50" t="s">
        <v>11241</v>
      </c>
      <c r="E58" s="50" t="str">
        <f>VLOOKUP(B58,aa!B:F,5,0)</f>
        <v>Ei ASSET, Ei CARES, Ei Mindspark</v>
      </c>
      <c r="F58" s="50">
        <f>VLOOKUP(B58,aa!B:J,9,0)</f>
        <v>1516939</v>
      </c>
      <c r="G58" s="50">
        <f>VLOOKUP(B58,aa!B:L,11,0)</f>
        <v>385092</v>
      </c>
      <c r="H58" s="50">
        <f>VLOOKUP(B58,aa!B:O,14,0)</f>
        <v>154691</v>
      </c>
      <c r="I58" s="50">
        <f>VLOOKUP(B58,aa!B:R,17,0)</f>
        <v>977156</v>
      </c>
      <c r="K58" s="50" t="s">
        <v>2163</v>
      </c>
      <c r="L58" s="50">
        <v>1534460</v>
      </c>
      <c r="M58" s="50">
        <v>1716862</v>
      </c>
      <c r="N58" s="50">
        <v>359947</v>
      </c>
      <c r="O58" s="50">
        <v>409</v>
      </c>
      <c r="P58" s="50" t="s">
        <v>12942</v>
      </c>
      <c r="Q58" s="50">
        <v>161166</v>
      </c>
      <c r="R58" s="50">
        <v>124</v>
      </c>
      <c r="S58" s="50" t="s">
        <v>8534</v>
      </c>
      <c r="T58" s="50">
        <v>1013347</v>
      </c>
      <c r="U58" s="50">
        <v>280</v>
      </c>
      <c r="V58" s="50" t="s">
        <v>21195</v>
      </c>
      <c r="W58" s="50" t="s">
        <v>102</v>
      </c>
      <c r="X58" s="50" t="s">
        <v>275</v>
      </c>
      <c r="Z58" s="50" t="s">
        <v>8054</v>
      </c>
      <c r="AA58" s="50" t="s">
        <v>109</v>
      </c>
      <c r="AB58" s="50" t="s">
        <v>102</v>
      </c>
      <c r="AC58" s="50" t="s">
        <v>109</v>
      </c>
      <c r="AD58" s="50" t="s">
        <v>102</v>
      </c>
      <c r="AE58" s="50" t="s">
        <v>109</v>
      </c>
      <c r="AF58" s="50" t="s">
        <v>102</v>
      </c>
      <c r="AG58" s="50" t="s">
        <v>109</v>
      </c>
      <c r="AH58" s="50" t="s">
        <v>102</v>
      </c>
      <c r="AI58" s="50" t="s">
        <v>102</v>
      </c>
      <c r="AJ58" s="50" t="s">
        <v>945</v>
      </c>
      <c r="AK58" s="50" t="s">
        <v>945</v>
      </c>
      <c r="AL58" s="50" t="s">
        <v>21196</v>
      </c>
      <c r="AM58" s="50" t="s">
        <v>21197</v>
      </c>
      <c r="AN58" s="50" t="s">
        <v>21198</v>
      </c>
      <c r="AO58" s="50" t="s">
        <v>21199</v>
      </c>
      <c r="AP58" s="50" t="s">
        <v>21200</v>
      </c>
      <c r="AQ58" s="50" t="s">
        <v>343</v>
      </c>
      <c r="AU58" s="50" t="s">
        <v>247</v>
      </c>
      <c r="AV58" s="50" t="s">
        <v>118</v>
      </c>
      <c r="AW58" s="50" t="s">
        <v>655</v>
      </c>
      <c r="AX58" s="50" t="s">
        <v>119</v>
      </c>
      <c r="AY58" s="50" t="s">
        <v>170</v>
      </c>
      <c r="AZ58" s="50" t="s">
        <v>118</v>
      </c>
      <c r="BA58" s="50" t="s">
        <v>250</v>
      </c>
      <c r="BB58" s="50" t="s">
        <v>209</v>
      </c>
      <c r="BC58" s="50" t="s">
        <v>5878</v>
      </c>
      <c r="BD58" s="50" t="s">
        <v>5879</v>
      </c>
      <c r="BE58" s="50" t="s">
        <v>174</v>
      </c>
      <c r="BF58" s="50" t="s">
        <v>4405</v>
      </c>
      <c r="BG58" s="50" t="s">
        <v>124</v>
      </c>
      <c r="BH58" s="50" t="s">
        <v>21201</v>
      </c>
      <c r="BI58" s="50" t="s">
        <v>21202</v>
      </c>
      <c r="BJ58" s="50" t="s">
        <v>127</v>
      </c>
      <c r="BK58" s="50" t="s">
        <v>21203</v>
      </c>
      <c r="BL58" s="50" t="s">
        <v>11254</v>
      </c>
      <c r="BM58" s="50" t="s">
        <v>21204</v>
      </c>
      <c r="BN58" s="50" t="s">
        <v>21194</v>
      </c>
      <c r="BO58" s="50" t="s">
        <v>1108</v>
      </c>
      <c r="BP58" s="50" t="s">
        <v>5833</v>
      </c>
      <c r="BQ58" s="50" t="s">
        <v>1109</v>
      </c>
      <c r="BR58" s="50" t="s">
        <v>1110</v>
      </c>
      <c r="BS58" s="50" t="s">
        <v>4413</v>
      </c>
      <c r="BU58" s="50" t="s">
        <v>21205</v>
      </c>
      <c r="BV58" s="50" t="s">
        <v>21206</v>
      </c>
      <c r="BW58" s="50" t="s">
        <v>138</v>
      </c>
      <c r="BX58" s="50" t="s">
        <v>11261</v>
      </c>
      <c r="BY58" s="50" t="s">
        <v>11259</v>
      </c>
      <c r="BZ58" s="50" t="s">
        <v>11258</v>
      </c>
      <c r="CA58" s="50" t="s">
        <v>21207</v>
      </c>
      <c r="CB58" s="50" t="s">
        <v>11261</v>
      </c>
      <c r="CC58" s="50" t="s">
        <v>11259</v>
      </c>
      <c r="CD58" s="50" t="s">
        <v>21208</v>
      </c>
      <c r="CE58" s="50" t="s">
        <v>11261</v>
      </c>
      <c r="CF58" s="50" t="s">
        <v>21209</v>
      </c>
      <c r="CG58" s="50" t="s">
        <v>102</v>
      </c>
      <c r="CH58" s="50" t="s">
        <v>21210</v>
      </c>
      <c r="CJ58" s="50" t="s">
        <v>5889</v>
      </c>
      <c r="CL58" s="50" t="s">
        <v>5878</v>
      </c>
      <c r="CM58" s="50" t="s">
        <v>5879</v>
      </c>
      <c r="CN58" s="50" t="s">
        <v>5889</v>
      </c>
      <c r="CP58" s="50" t="s">
        <v>11265</v>
      </c>
      <c r="CQ58" s="50" t="s">
        <v>11264</v>
      </c>
    </row>
    <row r="59" spans="1:95">
      <c r="A59" s="50" t="s">
        <v>149</v>
      </c>
      <c r="B59" s="50">
        <v>12539</v>
      </c>
      <c r="C59" s="50" t="s">
        <v>183</v>
      </c>
      <c r="D59" s="50" t="s">
        <v>641</v>
      </c>
      <c r="E59" s="50" t="str">
        <f>VLOOKUP(B59,aa!B:F,5,0)</f>
        <v>Ei CARES, Ei Mindspark</v>
      </c>
      <c r="F59" s="50">
        <f>VLOOKUP(B59,aa!B:J,9,0)</f>
        <v>2597897</v>
      </c>
      <c r="G59" s="50">
        <f>VLOOKUP(B59,aa!B:L,11,0)</f>
        <v>0</v>
      </c>
      <c r="H59" s="50">
        <f>VLOOKUP(B59,aa!B:O,14,0)</f>
        <v>863800</v>
      </c>
      <c r="I59" s="50">
        <f>VLOOKUP(B59,aa!B:R,17,0)</f>
        <v>1734097</v>
      </c>
      <c r="K59" s="50" t="s">
        <v>643</v>
      </c>
      <c r="L59" s="50">
        <v>3276427</v>
      </c>
      <c r="M59" s="50">
        <v>3710386</v>
      </c>
      <c r="N59" s="50">
        <v>0</v>
      </c>
      <c r="O59" s="50">
        <v>0</v>
      </c>
      <c r="Q59" s="50">
        <v>865542</v>
      </c>
      <c r="R59" s="50">
        <v>641</v>
      </c>
      <c r="S59" s="50" t="s">
        <v>397</v>
      </c>
      <c r="T59" s="50">
        <v>2410885</v>
      </c>
      <c r="U59" s="50">
        <v>1205</v>
      </c>
      <c r="V59" s="50" t="s">
        <v>12287</v>
      </c>
      <c r="W59" s="50" t="s">
        <v>102</v>
      </c>
      <c r="X59" s="50" t="s">
        <v>103</v>
      </c>
      <c r="Y59" s="50" t="s">
        <v>104</v>
      </c>
      <c r="AA59" s="50" t="s">
        <v>126</v>
      </c>
      <c r="AB59" s="50" t="s">
        <v>12288</v>
      </c>
      <c r="AC59" s="50" t="s">
        <v>12289</v>
      </c>
      <c r="AD59" s="50" t="s">
        <v>12288</v>
      </c>
      <c r="AE59" s="50" t="s">
        <v>109</v>
      </c>
      <c r="AF59" s="50" t="s">
        <v>102</v>
      </c>
      <c r="AG59" s="50" t="s">
        <v>109</v>
      </c>
      <c r="AH59" s="50" t="s">
        <v>102</v>
      </c>
      <c r="AI59" s="50" t="s">
        <v>12290</v>
      </c>
      <c r="AJ59" s="50" t="s">
        <v>12291</v>
      </c>
      <c r="AK59" s="50" t="s">
        <v>12292</v>
      </c>
      <c r="AL59" s="50" t="s">
        <v>12293</v>
      </c>
      <c r="AM59" s="50" t="s">
        <v>12294</v>
      </c>
      <c r="AN59" s="50" t="s">
        <v>12295</v>
      </c>
      <c r="AO59" s="50" t="s">
        <v>12296</v>
      </c>
      <c r="AP59" s="50" t="s">
        <v>12296</v>
      </c>
      <c r="AU59" s="50" t="s">
        <v>102</v>
      </c>
      <c r="AW59" s="50" t="s">
        <v>655</v>
      </c>
      <c r="AX59" s="50" t="s">
        <v>119</v>
      </c>
      <c r="AY59" s="50" t="s">
        <v>170</v>
      </c>
      <c r="AZ59" s="50" t="s">
        <v>118</v>
      </c>
      <c r="BA59" s="50" t="s">
        <v>250</v>
      </c>
      <c r="BB59" s="50" t="s">
        <v>120</v>
      </c>
      <c r="BC59" s="50" t="s">
        <v>375</v>
      </c>
      <c r="BD59" s="50" t="s">
        <v>376</v>
      </c>
      <c r="BE59" s="50" t="s">
        <v>174</v>
      </c>
      <c r="BF59" s="50" t="s">
        <v>376</v>
      </c>
      <c r="BG59" s="50" t="s">
        <v>124</v>
      </c>
      <c r="BH59" s="50" t="s">
        <v>6341</v>
      </c>
      <c r="BI59" s="50" t="s">
        <v>11889</v>
      </c>
      <c r="BJ59" s="50" t="s">
        <v>127</v>
      </c>
      <c r="BK59" s="50" t="s">
        <v>12297</v>
      </c>
      <c r="BL59" s="50" t="s">
        <v>659</v>
      </c>
      <c r="BM59" s="50" t="s">
        <v>12298</v>
      </c>
      <c r="BN59" s="50" t="s">
        <v>1827</v>
      </c>
      <c r="BO59" s="50" t="s">
        <v>179</v>
      </c>
      <c r="BP59" s="50" t="s">
        <v>180</v>
      </c>
      <c r="BQ59" s="50" t="s">
        <v>181</v>
      </c>
      <c r="BR59" s="50" t="s">
        <v>182</v>
      </c>
      <c r="BS59" s="50" t="s">
        <v>183</v>
      </c>
      <c r="BU59" s="50" t="s">
        <v>12299</v>
      </c>
      <c r="BV59" s="50" t="s">
        <v>12300</v>
      </c>
      <c r="BW59" s="50" t="s">
        <v>138</v>
      </c>
      <c r="BX59" s="50" t="s">
        <v>665</v>
      </c>
      <c r="BY59" s="50" t="s">
        <v>12301</v>
      </c>
      <c r="BZ59" s="50" t="s">
        <v>665</v>
      </c>
      <c r="CA59" s="50" t="s">
        <v>12302</v>
      </c>
      <c r="CB59" s="50" t="s">
        <v>665</v>
      </c>
      <c r="CC59" s="50" t="s">
        <v>12303</v>
      </c>
      <c r="CD59" s="50" t="s">
        <v>12304</v>
      </c>
      <c r="CE59" s="50" t="s">
        <v>12305</v>
      </c>
      <c r="CF59" s="50" t="s">
        <v>12306</v>
      </c>
      <c r="CG59" s="50" t="s">
        <v>102</v>
      </c>
      <c r="CH59" s="50" t="s">
        <v>12307</v>
      </c>
      <c r="CJ59" s="50" t="s">
        <v>671</v>
      </c>
      <c r="CL59" s="50" t="s">
        <v>375</v>
      </c>
      <c r="CM59" s="50" t="s">
        <v>376</v>
      </c>
      <c r="CN59" s="50" t="s">
        <v>671</v>
      </c>
      <c r="CO59" s="50" t="s">
        <v>672</v>
      </c>
      <c r="CP59" s="50" t="s">
        <v>670</v>
      </c>
      <c r="CQ59" s="50" t="s">
        <v>670</v>
      </c>
    </row>
    <row r="60" spans="1:95">
      <c r="A60" s="50" t="s">
        <v>337</v>
      </c>
      <c r="B60" s="50">
        <v>207818</v>
      </c>
      <c r="C60" s="50" t="s">
        <v>12423</v>
      </c>
      <c r="D60" s="50" t="s">
        <v>13508</v>
      </c>
      <c r="E60" s="50" t="str">
        <f>VLOOKUP(B60,aa!B:F,5,0)</f>
        <v>Ei ASSET</v>
      </c>
      <c r="F60" s="50">
        <f>VLOOKUP(B60,aa!B:J,9,0)</f>
        <v>297750</v>
      </c>
      <c r="G60" s="50">
        <f>VLOOKUP(B60,aa!B:L,11,0)</f>
        <v>297750</v>
      </c>
      <c r="H60" s="50">
        <f>VLOOKUP(B60,aa!B:O,14,0)</f>
        <v>0</v>
      </c>
      <c r="I60" s="50">
        <f>VLOOKUP(B60,aa!B:R,17,0)</f>
        <v>0</v>
      </c>
      <c r="K60" s="50" t="s">
        <v>97</v>
      </c>
      <c r="L60" s="50">
        <v>324750</v>
      </c>
      <c r="M60" s="50">
        <v>324750</v>
      </c>
      <c r="N60" s="50">
        <v>324750</v>
      </c>
      <c r="O60" s="50">
        <v>433</v>
      </c>
      <c r="P60" s="50" t="s">
        <v>101</v>
      </c>
      <c r="Q60" s="50">
        <v>0</v>
      </c>
      <c r="R60" s="50">
        <v>0</v>
      </c>
      <c r="T60" s="50">
        <v>0</v>
      </c>
      <c r="U60" s="50">
        <v>0</v>
      </c>
      <c r="W60" s="50" t="s">
        <v>102</v>
      </c>
      <c r="X60" s="50" t="s">
        <v>103</v>
      </c>
      <c r="Y60" s="50" t="s">
        <v>398</v>
      </c>
      <c r="AA60" s="50" t="s">
        <v>11976</v>
      </c>
      <c r="AB60" s="50" t="s">
        <v>13509</v>
      </c>
      <c r="AC60" s="50" t="s">
        <v>11884</v>
      </c>
      <c r="AD60" s="50" t="s">
        <v>13510</v>
      </c>
      <c r="AE60" s="50" t="s">
        <v>6895</v>
      </c>
      <c r="AF60" s="50" t="s">
        <v>13510</v>
      </c>
      <c r="AG60" s="50" t="s">
        <v>109</v>
      </c>
      <c r="AH60" s="50" t="s">
        <v>102</v>
      </c>
      <c r="AI60" s="50" t="s">
        <v>102</v>
      </c>
      <c r="AJ60" s="50" t="s">
        <v>13511</v>
      </c>
      <c r="AK60" s="50" t="s">
        <v>13511</v>
      </c>
      <c r="AL60" s="50" t="s">
        <v>13512</v>
      </c>
      <c r="AM60" s="50" t="s">
        <v>13513</v>
      </c>
      <c r="AN60" s="50" t="s">
        <v>13514</v>
      </c>
      <c r="AO60" s="50" t="s">
        <v>116</v>
      </c>
      <c r="AP60" s="50" t="s">
        <v>116</v>
      </c>
      <c r="AU60" s="50" t="s">
        <v>117</v>
      </c>
      <c r="AV60" s="50" t="s">
        <v>118</v>
      </c>
      <c r="AW60" s="50" t="s">
        <v>102</v>
      </c>
      <c r="AX60" s="50" t="s">
        <v>119</v>
      </c>
      <c r="BB60" s="50" t="s">
        <v>120</v>
      </c>
      <c r="BC60" s="50" t="s">
        <v>13515</v>
      </c>
      <c r="BD60" s="50" t="s">
        <v>410</v>
      </c>
      <c r="BE60" s="50" t="s">
        <v>212</v>
      </c>
      <c r="BF60" s="50" t="s">
        <v>410</v>
      </c>
      <c r="BG60" s="50" t="s">
        <v>124</v>
      </c>
      <c r="BH60" s="50" t="s">
        <v>12084</v>
      </c>
      <c r="BI60" s="50" t="s">
        <v>11886</v>
      </c>
      <c r="BJ60" s="50" t="s">
        <v>127</v>
      </c>
      <c r="BK60" s="50" t="s">
        <v>13516</v>
      </c>
      <c r="BL60" s="50" t="s">
        <v>13517</v>
      </c>
      <c r="BM60" s="50" t="s">
        <v>13518</v>
      </c>
      <c r="BN60" s="50" t="s">
        <v>1827</v>
      </c>
      <c r="BO60" s="50" t="s">
        <v>896</v>
      </c>
      <c r="BP60" s="50" t="s">
        <v>132</v>
      </c>
      <c r="BQ60" s="50" t="s">
        <v>897</v>
      </c>
      <c r="BR60" s="50" t="s">
        <v>898</v>
      </c>
      <c r="BS60" s="50" t="s">
        <v>899</v>
      </c>
      <c r="BU60" s="50" t="s">
        <v>13519</v>
      </c>
      <c r="BV60" s="50" t="s">
        <v>13520</v>
      </c>
      <c r="BW60" s="50" t="s">
        <v>138</v>
      </c>
      <c r="BX60" s="50" t="s">
        <v>13521</v>
      </c>
      <c r="BY60" s="50" t="s">
        <v>13522</v>
      </c>
      <c r="BZ60" s="50" t="s">
        <v>13521</v>
      </c>
      <c r="CA60" s="50" t="s">
        <v>13523</v>
      </c>
      <c r="CB60" s="50" t="s">
        <v>13521</v>
      </c>
      <c r="CC60" s="50" t="s">
        <v>13522</v>
      </c>
      <c r="CD60" s="50" t="s">
        <v>13523</v>
      </c>
      <c r="CE60" s="50" t="s">
        <v>13521</v>
      </c>
      <c r="CF60" s="50" t="s">
        <v>13522</v>
      </c>
      <c r="CG60" s="50" t="s">
        <v>2270</v>
      </c>
      <c r="CH60" s="50" t="s">
        <v>13524</v>
      </c>
      <c r="CJ60" s="50" t="s">
        <v>13525</v>
      </c>
      <c r="CK60" s="50" t="s">
        <v>13524</v>
      </c>
      <c r="CL60" s="50" t="s">
        <v>13515</v>
      </c>
      <c r="CM60" s="50" t="s">
        <v>410</v>
      </c>
      <c r="CN60" s="50" t="s">
        <v>13525</v>
      </c>
      <c r="CP60" s="50" t="s">
        <v>13526</v>
      </c>
      <c r="CQ60" s="50" t="s">
        <v>13526</v>
      </c>
    </row>
    <row r="61" spans="1:95">
      <c r="A61" s="50" t="s">
        <v>337</v>
      </c>
      <c r="B61" s="50">
        <v>3565966</v>
      </c>
      <c r="C61" s="50" t="s">
        <v>12155</v>
      </c>
      <c r="D61" s="50" t="s">
        <v>16462</v>
      </c>
      <c r="E61" s="50" t="str">
        <f>VLOOKUP(B61,aa!B:F,5,0)</f>
        <v>Ei ASSET</v>
      </c>
      <c r="F61" s="50">
        <f>VLOOKUP(B61,aa!B:J,9,0)</f>
        <v>930427</v>
      </c>
      <c r="G61" s="50">
        <f>VLOOKUP(B61,aa!B:L,11,0)</f>
        <v>930427</v>
      </c>
      <c r="H61" s="50">
        <f>VLOOKUP(B61,aa!B:O,14,0)</f>
        <v>0</v>
      </c>
      <c r="I61" s="50">
        <f>VLOOKUP(B61,aa!B:R,17,0)</f>
        <v>0</v>
      </c>
      <c r="K61" s="50" t="s">
        <v>2044</v>
      </c>
      <c r="L61" s="50">
        <v>938950</v>
      </c>
      <c r="M61" s="50">
        <v>938950</v>
      </c>
      <c r="N61" s="50">
        <v>775593</v>
      </c>
      <c r="O61" s="50">
        <v>1092</v>
      </c>
      <c r="P61" s="50" t="s">
        <v>16463</v>
      </c>
      <c r="Q61" s="50">
        <v>163357</v>
      </c>
      <c r="R61" s="50">
        <v>150</v>
      </c>
      <c r="S61" s="50" t="s">
        <v>16464</v>
      </c>
      <c r="T61" s="50">
        <v>0</v>
      </c>
      <c r="U61" s="50">
        <v>0</v>
      </c>
      <c r="W61" s="50" t="s">
        <v>102</v>
      </c>
      <c r="X61" s="50" t="s">
        <v>103</v>
      </c>
      <c r="Y61" s="50" t="s">
        <v>155</v>
      </c>
      <c r="AA61" s="50" t="s">
        <v>13435</v>
      </c>
      <c r="AB61" s="50" t="s">
        <v>16465</v>
      </c>
      <c r="AC61" s="50" t="s">
        <v>13455</v>
      </c>
      <c r="AD61" s="50" t="s">
        <v>16465</v>
      </c>
      <c r="AE61" s="50" t="s">
        <v>16421</v>
      </c>
      <c r="AF61" s="50" t="s">
        <v>16465</v>
      </c>
      <c r="AG61" s="50" t="s">
        <v>11902</v>
      </c>
      <c r="AH61" s="50" t="s">
        <v>16465</v>
      </c>
      <c r="AI61" s="50" t="s">
        <v>102</v>
      </c>
      <c r="AJ61" s="50" t="s">
        <v>16466</v>
      </c>
      <c r="AK61" s="50" t="s">
        <v>13302</v>
      </c>
      <c r="AL61" s="50" t="s">
        <v>16467</v>
      </c>
      <c r="AM61" s="50" t="s">
        <v>16468</v>
      </c>
      <c r="AN61" s="50" t="s">
        <v>16469</v>
      </c>
      <c r="AO61" s="50" t="s">
        <v>16470</v>
      </c>
      <c r="AP61" s="50" t="s">
        <v>16470</v>
      </c>
      <c r="AU61" s="50" t="s">
        <v>318</v>
      </c>
      <c r="AV61" s="50" t="s">
        <v>118</v>
      </c>
      <c r="AW61" s="50" t="s">
        <v>104</v>
      </c>
      <c r="AX61" s="50" t="s">
        <v>447</v>
      </c>
      <c r="AY61" s="50" t="s">
        <v>170</v>
      </c>
      <c r="AZ61" s="50" t="s">
        <v>118</v>
      </c>
      <c r="BB61" s="50" t="s">
        <v>120</v>
      </c>
      <c r="BC61" s="50" t="s">
        <v>16471</v>
      </c>
      <c r="BD61" s="50" t="s">
        <v>376</v>
      </c>
      <c r="BE61" s="50" t="s">
        <v>174</v>
      </c>
      <c r="BF61" s="50" t="s">
        <v>376</v>
      </c>
      <c r="BG61" s="50" t="s">
        <v>124</v>
      </c>
      <c r="BH61" s="50" t="s">
        <v>4836</v>
      </c>
      <c r="BI61" s="50" t="s">
        <v>13208</v>
      </c>
      <c r="BJ61" s="50" t="s">
        <v>127</v>
      </c>
      <c r="BK61" s="50" t="s">
        <v>16472</v>
      </c>
      <c r="BL61" s="50" t="s">
        <v>16473</v>
      </c>
      <c r="BM61" s="50" t="s">
        <v>16474</v>
      </c>
      <c r="BN61" s="50" t="s">
        <v>1827</v>
      </c>
      <c r="BO61" s="50" t="s">
        <v>6926</v>
      </c>
      <c r="BP61" s="50" t="s">
        <v>180</v>
      </c>
      <c r="BQ61" s="50" t="s">
        <v>6927</v>
      </c>
      <c r="BR61" s="50" t="s">
        <v>6928</v>
      </c>
      <c r="BS61" s="50" t="s">
        <v>1858</v>
      </c>
      <c r="BU61" s="50" t="s">
        <v>16475</v>
      </c>
      <c r="BV61" s="50" t="s">
        <v>16476</v>
      </c>
      <c r="BW61" s="50" t="s">
        <v>354</v>
      </c>
      <c r="BX61" s="50" t="s">
        <v>16477</v>
      </c>
      <c r="BY61" s="50" t="s">
        <v>16478</v>
      </c>
      <c r="BZ61" s="50" t="s">
        <v>16479</v>
      </c>
      <c r="CA61" s="50" t="s">
        <v>16476</v>
      </c>
      <c r="CB61" s="50" t="s">
        <v>16477</v>
      </c>
      <c r="CC61" s="50" t="s">
        <v>16478</v>
      </c>
      <c r="CD61" s="50" t="s">
        <v>16476</v>
      </c>
      <c r="CE61" s="50" t="s">
        <v>16477</v>
      </c>
      <c r="CF61" s="50" t="s">
        <v>16478</v>
      </c>
      <c r="CG61" s="50" t="s">
        <v>4372</v>
      </c>
      <c r="CH61" s="50" t="s">
        <v>16480</v>
      </c>
      <c r="CJ61" s="50" t="s">
        <v>16481</v>
      </c>
      <c r="CK61" s="50" t="s">
        <v>16480</v>
      </c>
      <c r="CL61" s="50" t="s">
        <v>16471</v>
      </c>
      <c r="CM61" s="50" t="s">
        <v>376</v>
      </c>
      <c r="CN61" s="50" t="s">
        <v>16481</v>
      </c>
      <c r="CO61" s="50" t="s">
        <v>16482</v>
      </c>
      <c r="CP61" s="50" t="s">
        <v>16480</v>
      </c>
      <c r="CQ61" s="50" t="s">
        <v>16480</v>
      </c>
    </row>
    <row r="62" spans="1:95">
      <c r="A62" s="50" t="s">
        <v>149</v>
      </c>
      <c r="B62" s="50">
        <v>1823562</v>
      </c>
      <c r="C62" s="50" t="s">
        <v>12507</v>
      </c>
      <c r="D62" s="50" t="s">
        <v>2004</v>
      </c>
      <c r="E62" s="50" t="str">
        <f>VLOOKUP(B62,aa!B:F,5,0)</f>
        <v>Ei Mindspark</v>
      </c>
      <c r="F62" s="50">
        <f>VLOOKUP(B62,aa!B:J,9,0)</f>
        <v>764644</v>
      </c>
      <c r="G62" s="50">
        <f>VLOOKUP(B62,aa!B:L,11,0)</f>
        <v>0</v>
      </c>
      <c r="H62" s="50">
        <f>VLOOKUP(B62,aa!B:O,14,0)</f>
        <v>0</v>
      </c>
      <c r="I62" s="50">
        <f>VLOOKUP(B62,aa!B:R,17,0)</f>
        <v>764644</v>
      </c>
      <c r="K62" s="50" t="s">
        <v>848</v>
      </c>
      <c r="L62" s="50">
        <v>729040</v>
      </c>
      <c r="M62" s="50">
        <v>860267</v>
      </c>
      <c r="N62" s="50">
        <v>0</v>
      </c>
      <c r="O62" s="50">
        <v>0</v>
      </c>
      <c r="Q62" s="50">
        <v>0</v>
      </c>
      <c r="R62" s="50">
        <v>0</v>
      </c>
      <c r="T62" s="50">
        <v>729040</v>
      </c>
      <c r="U62" s="50">
        <v>430</v>
      </c>
      <c r="V62" s="50" t="s">
        <v>2007</v>
      </c>
      <c r="W62" s="50" t="s">
        <v>102</v>
      </c>
      <c r="X62" s="50" t="s">
        <v>103</v>
      </c>
      <c r="Y62" s="50" t="s">
        <v>155</v>
      </c>
      <c r="AA62" s="50" t="s">
        <v>411</v>
      </c>
      <c r="AB62" s="50" t="s">
        <v>12998</v>
      </c>
      <c r="AC62" s="50" t="s">
        <v>12480</v>
      </c>
      <c r="AD62" s="50" t="s">
        <v>12998</v>
      </c>
      <c r="AE62" s="50" t="s">
        <v>12041</v>
      </c>
      <c r="AF62" s="50" t="s">
        <v>12998</v>
      </c>
      <c r="AG62" s="50" t="s">
        <v>6895</v>
      </c>
      <c r="AH62" s="50" t="s">
        <v>12998</v>
      </c>
      <c r="AI62" s="50" t="s">
        <v>12999</v>
      </c>
      <c r="AJ62" s="50" t="s">
        <v>12041</v>
      </c>
      <c r="AK62" s="50" t="s">
        <v>13000</v>
      </c>
      <c r="AL62" s="50" t="s">
        <v>13001</v>
      </c>
      <c r="AM62" s="50" t="s">
        <v>13002</v>
      </c>
      <c r="AN62" s="50" t="s">
        <v>13003</v>
      </c>
      <c r="AO62" s="50" t="s">
        <v>13004</v>
      </c>
      <c r="AP62" s="50" t="s">
        <v>13005</v>
      </c>
      <c r="AT62" s="50" t="s">
        <v>169</v>
      </c>
      <c r="AU62" s="50" t="s">
        <v>102</v>
      </c>
      <c r="AW62" s="50" t="s">
        <v>102</v>
      </c>
      <c r="AX62" s="50" t="s">
        <v>119</v>
      </c>
      <c r="BA62" s="50" t="s">
        <v>250</v>
      </c>
      <c r="BB62" s="50" t="s">
        <v>120</v>
      </c>
      <c r="BC62" s="50" t="s">
        <v>2022</v>
      </c>
      <c r="BD62" s="50" t="s">
        <v>1244</v>
      </c>
      <c r="BE62" s="50" t="s">
        <v>122</v>
      </c>
      <c r="BF62" s="50" t="s">
        <v>1244</v>
      </c>
      <c r="BG62" s="50" t="s">
        <v>124</v>
      </c>
      <c r="BH62" s="50" t="s">
        <v>12023</v>
      </c>
      <c r="BI62" s="50" t="s">
        <v>11889</v>
      </c>
      <c r="BJ62" s="50" t="s">
        <v>127</v>
      </c>
      <c r="BK62" s="50" t="s">
        <v>13006</v>
      </c>
      <c r="BL62" s="50" t="s">
        <v>2025</v>
      </c>
      <c r="BM62" s="50" t="s">
        <v>13007</v>
      </c>
      <c r="BN62" s="50" t="s">
        <v>1850</v>
      </c>
      <c r="BO62" s="50" t="s">
        <v>12743</v>
      </c>
      <c r="BP62" s="50" t="s">
        <v>350</v>
      </c>
      <c r="BQ62" s="50" t="s">
        <v>12744</v>
      </c>
      <c r="BR62" s="50" t="s">
        <v>12745</v>
      </c>
      <c r="BS62" s="50" t="s">
        <v>1075</v>
      </c>
      <c r="BU62" s="50" t="s">
        <v>13008</v>
      </c>
      <c r="BV62" s="50" t="s">
        <v>13009</v>
      </c>
      <c r="BW62" s="50" t="s">
        <v>569</v>
      </c>
      <c r="BX62" s="50" t="s">
        <v>13010</v>
      </c>
      <c r="BY62" s="50" t="s">
        <v>2038</v>
      </c>
      <c r="BZ62" s="50" t="s">
        <v>2035</v>
      </c>
      <c r="CA62" s="50" t="s">
        <v>13011</v>
      </c>
      <c r="CB62" s="50" t="s">
        <v>2037</v>
      </c>
      <c r="CC62" s="50" t="s">
        <v>13012</v>
      </c>
      <c r="CD62" s="50" t="s">
        <v>13013</v>
      </c>
      <c r="CE62" s="50" t="s">
        <v>13014</v>
      </c>
      <c r="CF62" s="50" t="s">
        <v>2038</v>
      </c>
      <c r="CG62" s="50" t="s">
        <v>102</v>
      </c>
      <c r="CH62" s="50" t="s">
        <v>2039</v>
      </c>
      <c r="CJ62" s="50" t="s">
        <v>2040</v>
      </c>
      <c r="CL62" s="50" t="s">
        <v>2022</v>
      </c>
      <c r="CM62" s="50" t="s">
        <v>1244</v>
      </c>
      <c r="CN62" s="50" t="s">
        <v>2040</v>
      </c>
      <c r="CO62" s="50" t="s">
        <v>2041</v>
      </c>
      <c r="CP62" s="50" t="s">
        <v>2039</v>
      </c>
      <c r="CQ62" s="50" t="s">
        <v>2039</v>
      </c>
    </row>
    <row r="63" spans="1:95">
      <c r="A63" s="50" t="s">
        <v>149</v>
      </c>
      <c r="B63" s="50">
        <v>2562124</v>
      </c>
      <c r="C63" s="50" t="s">
        <v>1279</v>
      </c>
      <c r="D63" s="50" t="s">
        <v>4105</v>
      </c>
      <c r="E63" s="50" t="str">
        <f>VLOOKUP(B63,aa!B:F,5,0)</f>
        <v>Ei ASSET, Ei Mindspark</v>
      </c>
      <c r="F63" s="50">
        <f>VLOOKUP(B63,aa!B:J,9,0)</f>
        <v>1624340</v>
      </c>
      <c r="G63" s="50">
        <f>VLOOKUP(B63,aa!B:L,11,0)</f>
        <v>286102</v>
      </c>
      <c r="H63" s="50">
        <f>VLOOKUP(B63,aa!B:O,14,0)</f>
        <v>0</v>
      </c>
      <c r="I63" s="50">
        <f>VLOOKUP(B63,aa!B:R,17,0)</f>
        <v>1338238</v>
      </c>
      <c r="K63" s="50" t="s">
        <v>193</v>
      </c>
      <c r="L63" s="50">
        <v>1503878</v>
      </c>
      <c r="M63" s="50">
        <v>1731977</v>
      </c>
      <c r="N63" s="50">
        <v>236660</v>
      </c>
      <c r="O63" s="50">
        <v>408</v>
      </c>
      <c r="P63" s="50" t="s">
        <v>14554</v>
      </c>
      <c r="Q63" s="50">
        <v>0</v>
      </c>
      <c r="R63" s="50">
        <v>0</v>
      </c>
      <c r="T63" s="50">
        <v>1267218</v>
      </c>
      <c r="U63" s="50">
        <v>534</v>
      </c>
      <c r="V63" s="50" t="s">
        <v>11158</v>
      </c>
      <c r="W63" s="50" t="s">
        <v>102</v>
      </c>
      <c r="X63" s="50" t="s">
        <v>103</v>
      </c>
      <c r="Y63" s="50" t="s">
        <v>104</v>
      </c>
      <c r="AA63" s="50" t="s">
        <v>126</v>
      </c>
      <c r="AB63" s="50" t="s">
        <v>14555</v>
      </c>
      <c r="AC63" s="50" t="s">
        <v>12888</v>
      </c>
      <c r="AD63" s="50" t="s">
        <v>14556</v>
      </c>
      <c r="AE63" s="50" t="s">
        <v>109</v>
      </c>
      <c r="AF63" s="50" t="s">
        <v>102</v>
      </c>
      <c r="AG63" s="50" t="s">
        <v>109</v>
      </c>
      <c r="AH63" s="50" t="s">
        <v>102</v>
      </c>
      <c r="AI63" s="50" t="s">
        <v>14557</v>
      </c>
      <c r="AJ63" s="50" t="s">
        <v>1722</v>
      </c>
      <c r="AK63" s="50" t="s">
        <v>14558</v>
      </c>
      <c r="AL63" s="50" t="s">
        <v>14559</v>
      </c>
      <c r="AM63" s="50" t="s">
        <v>14560</v>
      </c>
      <c r="AN63" s="50" t="s">
        <v>14561</v>
      </c>
      <c r="AO63" s="50" t="s">
        <v>14562</v>
      </c>
      <c r="AP63" s="50" t="s">
        <v>14562</v>
      </c>
      <c r="AU63" s="50" t="s">
        <v>247</v>
      </c>
      <c r="AV63" s="50" t="s">
        <v>118</v>
      </c>
      <c r="AW63" s="50" t="s">
        <v>102</v>
      </c>
      <c r="AX63" s="50" t="s">
        <v>119</v>
      </c>
      <c r="BA63" s="50" t="s">
        <v>250</v>
      </c>
      <c r="BB63" s="50" t="s">
        <v>171</v>
      </c>
      <c r="BC63" s="50" t="s">
        <v>623</v>
      </c>
      <c r="BD63" s="50" t="s">
        <v>621</v>
      </c>
      <c r="BE63" s="50" t="s">
        <v>622</v>
      </c>
      <c r="BF63" s="50" t="s">
        <v>623</v>
      </c>
      <c r="BG63" s="50" t="s">
        <v>124</v>
      </c>
      <c r="BH63" s="50" t="s">
        <v>12023</v>
      </c>
      <c r="BI63" s="50" t="s">
        <v>11889</v>
      </c>
      <c r="BJ63" s="50" t="s">
        <v>127</v>
      </c>
      <c r="BK63" s="50" t="s">
        <v>14563</v>
      </c>
      <c r="BL63" s="50" t="s">
        <v>4116</v>
      </c>
      <c r="BM63" s="50" t="s">
        <v>14564</v>
      </c>
      <c r="BN63" s="50" t="s">
        <v>1850</v>
      </c>
      <c r="BO63" s="50" t="s">
        <v>629</v>
      </c>
      <c r="BP63" s="50" t="s">
        <v>132</v>
      </c>
      <c r="BQ63" s="50" t="s">
        <v>630</v>
      </c>
      <c r="BR63" s="50" t="s">
        <v>631</v>
      </c>
      <c r="BS63" s="50" t="s">
        <v>1342</v>
      </c>
      <c r="BU63" s="50" t="s">
        <v>14565</v>
      </c>
      <c r="BV63" s="50" t="s">
        <v>14566</v>
      </c>
      <c r="BW63" s="50" t="s">
        <v>138</v>
      </c>
      <c r="BX63" s="50" t="s">
        <v>4120</v>
      </c>
      <c r="BY63" s="50" t="s">
        <v>14567</v>
      </c>
      <c r="BZ63" s="50" t="s">
        <v>4122</v>
      </c>
      <c r="CA63" s="50" t="s">
        <v>14568</v>
      </c>
      <c r="CB63" s="50" t="s">
        <v>4120</v>
      </c>
      <c r="CC63" s="50" t="s">
        <v>14567</v>
      </c>
      <c r="CD63" s="50" t="s">
        <v>14569</v>
      </c>
      <c r="CE63" s="50" t="s">
        <v>14570</v>
      </c>
      <c r="CF63" s="50" t="s">
        <v>14571</v>
      </c>
      <c r="CG63" s="50" t="s">
        <v>102</v>
      </c>
      <c r="CH63" s="50" t="s">
        <v>4125</v>
      </c>
      <c r="CJ63" s="50" t="s">
        <v>4126</v>
      </c>
      <c r="CL63" s="50" t="s">
        <v>623</v>
      </c>
      <c r="CM63" s="50" t="s">
        <v>621</v>
      </c>
      <c r="CN63" s="50" t="s">
        <v>4126</v>
      </c>
      <c r="CO63" s="50" t="s">
        <v>4127</v>
      </c>
      <c r="CP63" s="50" t="s">
        <v>4125</v>
      </c>
      <c r="CQ63" s="50" t="s">
        <v>4125</v>
      </c>
    </row>
    <row r="64" spans="1:95">
      <c r="A64" s="50" t="s">
        <v>149</v>
      </c>
      <c r="B64" s="50">
        <v>2389545</v>
      </c>
      <c r="C64" s="50" t="s">
        <v>222</v>
      </c>
      <c r="D64" s="50" t="s">
        <v>3179</v>
      </c>
      <c r="E64" s="50" t="str">
        <f>VLOOKUP(B64,aa!B:F,5,0)</f>
        <v>Ei ASSET,Ei Mindspark</v>
      </c>
      <c r="F64" s="50">
        <f>VLOOKUP(B64,aa!B:J,9,0)</f>
        <v>2347103</v>
      </c>
      <c r="G64" s="50">
        <f>VLOOKUP(B64,aa!B:L,11,0)</f>
        <v>808136</v>
      </c>
      <c r="H64" s="50">
        <f>VLOOKUP(B64,aa!B:O,14,0)</f>
        <v>0</v>
      </c>
      <c r="I64" s="50">
        <f>VLOOKUP(B64,aa!B:R,17,0)</f>
        <v>1538967</v>
      </c>
      <c r="K64" s="50" t="s">
        <v>2713</v>
      </c>
      <c r="L64" s="50">
        <v>1916427</v>
      </c>
      <c r="M64" s="50">
        <v>2115340</v>
      </c>
      <c r="N64" s="50">
        <v>811356</v>
      </c>
      <c r="O64" s="50">
        <v>1063</v>
      </c>
      <c r="P64" s="50" t="s">
        <v>13862</v>
      </c>
      <c r="Q64" s="50">
        <v>0</v>
      </c>
      <c r="R64" s="50">
        <v>0</v>
      </c>
      <c r="T64" s="50">
        <v>1105071</v>
      </c>
      <c r="U64" s="50">
        <v>756</v>
      </c>
      <c r="V64" s="50" t="s">
        <v>12424</v>
      </c>
      <c r="W64" s="50" t="s">
        <v>102</v>
      </c>
      <c r="X64" s="50" t="s">
        <v>679</v>
      </c>
      <c r="Y64" s="50" t="s">
        <v>104</v>
      </c>
      <c r="Z64" s="50" t="s">
        <v>13863</v>
      </c>
      <c r="AA64" s="50" t="s">
        <v>13864</v>
      </c>
      <c r="AB64" s="50" t="s">
        <v>13865</v>
      </c>
      <c r="AC64" s="50" t="s">
        <v>12593</v>
      </c>
      <c r="AD64" s="50" t="s">
        <v>13865</v>
      </c>
      <c r="AE64" s="50" t="s">
        <v>109</v>
      </c>
      <c r="AF64" s="50" t="s">
        <v>102</v>
      </c>
      <c r="AG64" s="50" t="s">
        <v>109</v>
      </c>
      <c r="AH64" s="50" t="s">
        <v>102</v>
      </c>
      <c r="AI64" s="50" t="s">
        <v>13866</v>
      </c>
      <c r="AJ64" s="50" t="s">
        <v>13075</v>
      </c>
      <c r="AK64" s="50" t="s">
        <v>13867</v>
      </c>
      <c r="AL64" s="50" t="s">
        <v>13868</v>
      </c>
      <c r="AM64" s="50" t="s">
        <v>13869</v>
      </c>
      <c r="AN64" s="50" t="s">
        <v>13870</v>
      </c>
      <c r="AO64" s="50" t="s">
        <v>13871</v>
      </c>
      <c r="AP64" s="50" t="s">
        <v>13871</v>
      </c>
      <c r="AU64" s="50" t="s">
        <v>117</v>
      </c>
      <c r="AV64" s="50" t="s">
        <v>118</v>
      </c>
      <c r="AW64" s="50" t="s">
        <v>102</v>
      </c>
      <c r="AX64" s="50" t="s">
        <v>119</v>
      </c>
      <c r="BA64" s="50" t="s">
        <v>250</v>
      </c>
      <c r="BB64" s="50" t="s">
        <v>120</v>
      </c>
      <c r="BC64" s="50" t="s">
        <v>409</v>
      </c>
      <c r="BD64" s="50" t="s">
        <v>410</v>
      </c>
      <c r="BE64" s="50" t="s">
        <v>212</v>
      </c>
      <c r="BF64" s="50" t="s">
        <v>410</v>
      </c>
      <c r="BG64" s="50" t="s">
        <v>124</v>
      </c>
      <c r="BH64" s="50" t="s">
        <v>13308</v>
      </c>
      <c r="BI64" s="50" t="s">
        <v>12963</v>
      </c>
      <c r="BJ64" s="50" t="s">
        <v>127</v>
      </c>
      <c r="BK64" s="50" t="s">
        <v>13872</v>
      </c>
      <c r="BL64" s="50" t="s">
        <v>3190</v>
      </c>
      <c r="BM64" s="50" t="s">
        <v>13873</v>
      </c>
      <c r="BN64" s="50" t="s">
        <v>13861</v>
      </c>
      <c r="BO64" s="50" t="s">
        <v>13874</v>
      </c>
      <c r="BP64" s="50" t="s">
        <v>13875</v>
      </c>
      <c r="BQ64" s="50" t="s">
        <v>13876</v>
      </c>
      <c r="BR64" s="50" t="s">
        <v>13877</v>
      </c>
      <c r="BS64" s="50" t="s">
        <v>293</v>
      </c>
      <c r="BU64" s="50" t="s">
        <v>13878</v>
      </c>
      <c r="BV64" s="50" t="s">
        <v>13879</v>
      </c>
      <c r="BW64" s="50" t="s">
        <v>1282</v>
      </c>
      <c r="BX64" s="50" t="s">
        <v>13880</v>
      </c>
      <c r="BY64" s="50" t="s">
        <v>13881</v>
      </c>
      <c r="BZ64" s="50" t="s">
        <v>3196</v>
      </c>
      <c r="CA64" s="50" t="s">
        <v>13879</v>
      </c>
      <c r="CB64" s="50" t="s">
        <v>13880</v>
      </c>
      <c r="CC64" s="50" t="s">
        <v>13881</v>
      </c>
      <c r="CD64" s="50" t="s">
        <v>13882</v>
      </c>
      <c r="CE64" s="50" t="s">
        <v>13883</v>
      </c>
      <c r="CF64" s="50" t="s">
        <v>13884</v>
      </c>
      <c r="CG64" s="50" t="s">
        <v>102</v>
      </c>
      <c r="CH64" s="50" t="s">
        <v>13885</v>
      </c>
      <c r="CJ64" s="50" t="s">
        <v>3201</v>
      </c>
      <c r="CL64" s="50" t="s">
        <v>409</v>
      </c>
      <c r="CM64" s="50" t="s">
        <v>410</v>
      </c>
      <c r="CN64" s="50" t="s">
        <v>3201</v>
      </c>
      <c r="CO64" s="50" t="s">
        <v>3202</v>
      </c>
      <c r="CP64" s="50" t="s">
        <v>3200</v>
      </c>
      <c r="CQ64" s="50" t="s">
        <v>3200</v>
      </c>
    </row>
    <row r="65" spans="1:96">
      <c r="A65" s="50" t="s">
        <v>337</v>
      </c>
      <c r="B65" s="50">
        <v>1338674</v>
      </c>
      <c r="C65" s="50" t="s">
        <v>11882</v>
      </c>
      <c r="D65" s="50" t="s">
        <v>12442</v>
      </c>
      <c r="E65" s="50" t="e">
        <f>VLOOKUP(B65,aa!B:F,5,0)</f>
        <v>#N/A</v>
      </c>
      <c r="F65" s="50" t="e">
        <f>VLOOKUP(B65,aa!B:J,9,0)</f>
        <v>#N/A</v>
      </c>
      <c r="G65" s="50" t="e">
        <f>VLOOKUP(B65,aa!B:L,11,0)</f>
        <v>#N/A</v>
      </c>
      <c r="H65" s="50" t="e">
        <f>VLOOKUP(B65,aa!B:O,14,0)</f>
        <v>#N/A</v>
      </c>
      <c r="I65" s="50" t="e">
        <f>VLOOKUP(B65,aa!B:R,17,0)</f>
        <v>#N/A</v>
      </c>
      <c r="K65" s="50" t="s">
        <v>152</v>
      </c>
      <c r="L65" s="50">
        <v>494546</v>
      </c>
      <c r="M65" s="50">
        <v>494546</v>
      </c>
      <c r="N65" s="50">
        <v>0</v>
      </c>
      <c r="O65" s="50">
        <v>0</v>
      </c>
      <c r="Q65" s="50">
        <v>494546</v>
      </c>
      <c r="R65" s="50">
        <v>575</v>
      </c>
      <c r="S65" s="50" t="s">
        <v>12443</v>
      </c>
      <c r="T65" s="50">
        <v>0</v>
      </c>
      <c r="U65" s="50">
        <v>0</v>
      </c>
      <c r="W65" s="50" t="s">
        <v>102</v>
      </c>
      <c r="X65" s="50" t="s">
        <v>103</v>
      </c>
      <c r="Y65" s="50" t="s">
        <v>155</v>
      </c>
      <c r="AA65" s="50" t="s">
        <v>1631</v>
      </c>
      <c r="AB65" s="50" t="s">
        <v>12444</v>
      </c>
      <c r="AC65" s="50" t="s">
        <v>1408</v>
      </c>
      <c r="AD65" s="50" t="s">
        <v>12444</v>
      </c>
      <c r="AE65" s="50" t="s">
        <v>12289</v>
      </c>
      <c r="AF65" s="50" t="s">
        <v>12444</v>
      </c>
      <c r="AG65" s="50" t="s">
        <v>11886</v>
      </c>
      <c r="AH65" s="50" t="s">
        <v>12444</v>
      </c>
      <c r="AI65" s="50" t="s">
        <v>102</v>
      </c>
      <c r="AJ65" s="50" t="s">
        <v>9246</v>
      </c>
      <c r="AK65" s="50" t="s">
        <v>9246</v>
      </c>
      <c r="AL65" s="50" t="s">
        <v>12445</v>
      </c>
      <c r="AM65" s="50" t="s">
        <v>12446</v>
      </c>
      <c r="AN65" s="50" t="s">
        <v>12447</v>
      </c>
      <c r="AO65" s="50" t="s">
        <v>12448</v>
      </c>
      <c r="AP65" s="50" t="s">
        <v>12448</v>
      </c>
      <c r="AU65" s="50" t="s">
        <v>102</v>
      </c>
      <c r="AW65" s="50" t="s">
        <v>155</v>
      </c>
      <c r="AX65" s="50" t="s">
        <v>119</v>
      </c>
      <c r="AY65" s="50" t="s">
        <v>170</v>
      </c>
      <c r="AZ65" s="50" t="s">
        <v>118</v>
      </c>
      <c r="BB65" s="50" t="s">
        <v>120</v>
      </c>
      <c r="BC65" s="50" t="s">
        <v>12449</v>
      </c>
      <c r="BD65" s="50" t="s">
        <v>252</v>
      </c>
      <c r="BE65" s="50" t="s">
        <v>122</v>
      </c>
      <c r="BF65" s="50" t="s">
        <v>253</v>
      </c>
      <c r="BG65" s="50" t="s">
        <v>124</v>
      </c>
      <c r="BH65" s="50" t="s">
        <v>12023</v>
      </c>
      <c r="BI65" s="50" t="s">
        <v>11889</v>
      </c>
      <c r="BJ65" s="50" t="s">
        <v>127</v>
      </c>
      <c r="BK65" s="50" t="s">
        <v>12450</v>
      </c>
      <c r="BL65" s="50" t="s">
        <v>12451</v>
      </c>
      <c r="BM65" s="50" t="s">
        <v>12452</v>
      </c>
      <c r="BN65" s="50" t="s">
        <v>3880</v>
      </c>
      <c r="BO65" s="50" t="s">
        <v>12453</v>
      </c>
      <c r="BP65" s="50" t="s">
        <v>350</v>
      </c>
      <c r="BQ65" s="50" t="s">
        <v>12454</v>
      </c>
      <c r="BR65" s="50" t="s">
        <v>12455</v>
      </c>
      <c r="BS65" s="50" t="s">
        <v>1995</v>
      </c>
      <c r="BT65" s="50" t="s">
        <v>5574</v>
      </c>
      <c r="BU65" s="50" t="s">
        <v>12456</v>
      </c>
      <c r="BV65" s="50" t="s">
        <v>12457</v>
      </c>
      <c r="BW65" s="50" t="s">
        <v>354</v>
      </c>
      <c r="BX65" s="50" t="s">
        <v>225</v>
      </c>
      <c r="BY65" s="50" t="s">
        <v>12458</v>
      </c>
      <c r="BZ65" s="50" t="s">
        <v>12459</v>
      </c>
      <c r="CA65" s="50" t="s">
        <v>12460</v>
      </c>
      <c r="CB65" s="50" t="s">
        <v>12459</v>
      </c>
      <c r="CC65" s="50" t="s">
        <v>12461</v>
      </c>
      <c r="CD65" s="50" t="s">
        <v>12460</v>
      </c>
      <c r="CE65" s="50" t="s">
        <v>12459</v>
      </c>
      <c r="CF65" s="50" t="s">
        <v>12461</v>
      </c>
      <c r="CG65" s="50" t="s">
        <v>9917</v>
      </c>
      <c r="CH65" s="50" t="s">
        <v>12462</v>
      </c>
      <c r="CJ65" s="50" t="s">
        <v>12463</v>
      </c>
      <c r="CL65" s="50" t="s">
        <v>12449</v>
      </c>
      <c r="CM65" s="50" t="s">
        <v>252</v>
      </c>
      <c r="CN65" s="50" t="s">
        <v>12464</v>
      </c>
      <c r="CP65" s="50" t="s">
        <v>12465</v>
      </c>
      <c r="CQ65" s="50" t="s">
        <v>12465</v>
      </c>
    </row>
    <row r="66" spans="1:96">
      <c r="A66" s="50" t="s">
        <v>337</v>
      </c>
      <c r="B66" s="50">
        <v>3395953</v>
      </c>
      <c r="C66" s="50" t="s">
        <v>11882</v>
      </c>
      <c r="D66" s="50" t="s">
        <v>15823</v>
      </c>
      <c r="E66" s="50" t="str">
        <f>VLOOKUP(B66,aa!B:F,5,0)</f>
        <v>Ei CARES</v>
      </c>
      <c r="F66" s="50">
        <f>VLOOKUP(B66,aa!B:J,9,0)</f>
        <v>336960</v>
      </c>
      <c r="G66" s="50">
        <f>VLOOKUP(B66,aa!B:L,11,0)</f>
        <v>0</v>
      </c>
      <c r="H66" s="50">
        <f>VLOOKUP(B66,aa!B:O,14,0)</f>
        <v>336960</v>
      </c>
      <c r="I66" s="50">
        <f>VLOOKUP(B66,aa!B:R,17,0)</f>
        <v>0</v>
      </c>
      <c r="K66" s="50" t="s">
        <v>152</v>
      </c>
      <c r="L66" s="50">
        <v>193440</v>
      </c>
      <c r="M66" s="50">
        <v>193440</v>
      </c>
      <c r="N66" s="50">
        <v>0</v>
      </c>
      <c r="O66" s="50">
        <v>0</v>
      </c>
      <c r="Q66" s="50">
        <v>193440</v>
      </c>
      <c r="R66" s="50">
        <v>120</v>
      </c>
      <c r="S66" s="50" t="s">
        <v>15824</v>
      </c>
      <c r="T66" s="50">
        <v>0</v>
      </c>
      <c r="U66" s="50">
        <v>0</v>
      </c>
      <c r="W66" s="50" t="s">
        <v>102</v>
      </c>
      <c r="X66" s="50" t="s">
        <v>103</v>
      </c>
      <c r="Y66" s="50" t="s">
        <v>155</v>
      </c>
      <c r="AA66" s="50" t="s">
        <v>3880</v>
      </c>
      <c r="AB66" s="50" t="s">
        <v>15825</v>
      </c>
      <c r="AC66" s="50" t="s">
        <v>1408</v>
      </c>
      <c r="AD66" s="50" t="s">
        <v>15825</v>
      </c>
      <c r="AE66" s="50" t="s">
        <v>12289</v>
      </c>
      <c r="AF66" s="50" t="s">
        <v>15825</v>
      </c>
      <c r="AG66" s="50" t="s">
        <v>11886</v>
      </c>
      <c r="AH66" s="50" t="s">
        <v>15825</v>
      </c>
      <c r="AI66" s="50" t="s">
        <v>102</v>
      </c>
      <c r="AJ66" s="50" t="s">
        <v>4084</v>
      </c>
      <c r="AK66" s="50" t="s">
        <v>12573</v>
      </c>
      <c r="AL66" s="50" t="s">
        <v>15826</v>
      </c>
      <c r="AM66" s="50" t="s">
        <v>15827</v>
      </c>
      <c r="AN66" s="50" t="s">
        <v>15828</v>
      </c>
      <c r="AO66" s="50" t="s">
        <v>15829</v>
      </c>
      <c r="AP66" s="50" t="s">
        <v>15829</v>
      </c>
      <c r="AU66" s="50" t="s">
        <v>102</v>
      </c>
      <c r="AW66" s="50" t="s">
        <v>155</v>
      </c>
      <c r="AX66" s="50" t="s">
        <v>119</v>
      </c>
      <c r="AY66" s="50" t="s">
        <v>170</v>
      </c>
      <c r="AZ66" s="50" t="s">
        <v>118</v>
      </c>
      <c r="BB66" s="50" t="s">
        <v>120</v>
      </c>
      <c r="BC66" s="50" t="s">
        <v>15830</v>
      </c>
      <c r="BD66" s="50" t="s">
        <v>252</v>
      </c>
      <c r="BE66" s="50" t="s">
        <v>122</v>
      </c>
      <c r="BF66" s="50" t="s">
        <v>253</v>
      </c>
      <c r="BG66" s="50" t="s">
        <v>124</v>
      </c>
      <c r="BH66" s="50" t="s">
        <v>12023</v>
      </c>
      <c r="BI66" s="50" t="s">
        <v>11889</v>
      </c>
      <c r="BJ66" s="50" t="s">
        <v>127</v>
      </c>
      <c r="BK66" s="50" t="s">
        <v>15831</v>
      </c>
      <c r="BL66" s="50" t="s">
        <v>15832</v>
      </c>
      <c r="BM66" s="50" t="s">
        <v>15833</v>
      </c>
      <c r="BN66" s="50" t="s">
        <v>3880</v>
      </c>
      <c r="BO66" s="50" t="s">
        <v>12453</v>
      </c>
      <c r="BP66" s="50" t="s">
        <v>350</v>
      </c>
      <c r="BQ66" s="50" t="s">
        <v>12454</v>
      </c>
      <c r="BR66" s="50" t="s">
        <v>12455</v>
      </c>
      <c r="BS66" s="50" t="s">
        <v>1995</v>
      </c>
      <c r="BT66" s="50" t="s">
        <v>1111</v>
      </c>
      <c r="BU66" s="50" t="s">
        <v>15834</v>
      </c>
      <c r="BV66" s="50" t="s">
        <v>15835</v>
      </c>
      <c r="BW66" s="50" t="s">
        <v>354</v>
      </c>
      <c r="BX66" s="50" t="s">
        <v>15836</v>
      </c>
      <c r="BY66" s="50" t="s">
        <v>15837</v>
      </c>
      <c r="BZ66" s="50" t="s">
        <v>15838</v>
      </c>
      <c r="CA66" s="50" t="s">
        <v>15839</v>
      </c>
      <c r="CB66" s="50" t="s">
        <v>15836</v>
      </c>
      <c r="CC66" s="50" t="s">
        <v>15837</v>
      </c>
      <c r="CD66" s="50" t="s">
        <v>15839</v>
      </c>
      <c r="CE66" s="50" t="s">
        <v>15836</v>
      </c>
      <c r="CF66" s="50" t="s">
        <v>15837</v>
      </c>
      <c r="CG66" s="50" t="s">
        <v>102</v>
      </c>
      <c r="CH66" s="50" t="s">
        <v>15840</v>
      </c>
      <c r="CJ66" s="50" t="s">
        <v>12463</v>
      </c>
      <c r="CL66" s="50" t="s">
        <v>15830</v>
      </c>
      <c r="CM66" s="50" t="s">
        <v>252</v>
      </c>
      <c r="CN66" s="50" t="s">
        <v>12463</v>
      </c>
      <c r="CP66" s="50" t="s">
        <v>15841</v>
      </c>
      <c r="CQ66" s="50" t="s">
        <v>15841</v>
      </c>
    </row>
    <row r="67" spans="1:96">
      <c r="A67" s="50" t="s">
        <v>149</v>
      </c>
      <c r="B67" s="50">
        <v>2388998</v>
      </c>
      <c r="C67" s="50" t="s">
        <v>1279</v>
      </c>
      <c r="D67" s="50" t="s">
        <v>3154</v>
      </c>
      <c r="E67" s="50" t="str">
        <f>VLOOKUP(B67,aa!B:F,5,0)</f>
        <v>Ei ASSET, Ei Mindspark</v>
      </c>
      <c r="F67" s="50">
        <f>VLOOKUP(B67,aa!B:J,9,0)</f>
        <v>1687499</v>
      </c>
      <c r="G67" s="50">
        <f>VLOOKUP(B67,aa!B:L,11,0)</f>
        <v>180000</v>
      </c>
      <c r="H67" s="50">
        <f>VLOOKUP(B67,aa!B:O,14,0)</f>
        <v>0</v>
      </c>
      <c r="I67" s="50">
        <f>VLOOKUP(B67,aa!B:R,17,0)</f>
        <v>1507499</v>
      </c>
      <c r="K67" s="50" t="s">
        <v>193</v>
      </c>
      <c r="L67" s="50">
        <v>1687499</v>
      </c>
      <c r="M67" s="50">
        <v>1958849</v>
      </c>
      <c r="N67" s="50">
        <v>180000</v>
      </c>
      <c r="O67" s="50">
        <v>240</v>
      </c>
      <c r="P67" s="50" t="s">
        <v>101</v>
      </c>
      <c r="Q67" s="50">
        <v>0</v>
      </c>
      <c r="R67" s="50">
        <v>0</v>
      </c>
      <c r="T67" s="50">
        <v>1507499</v>
      </c>
      <c r="U67" s="50">
        <v>360</v>
      </c>
      <c r="V67" s="50" t="s">
        <v>13845</v>
      </c>
      <c r="W67" s="50" t="s">
        <v>102</v>
      </c>
      <c r="X67" s="50" t="s">
        <v>103</v>
      </c>
      <c r="Y67" s="50" t="s">
        <v>104</v>
      </c>
      <c r="AA67" s="50" t="s">
        <v>1305</v>
      </c>
      <c r="AB67" s="50" t="s">
        <v>13846</v>
      </c>
      <c r="AC67" s="50" t="s">
        <v>11952</v>
      </c>
      <c r="AD67" s="50" t="s">
        <v>13846</v>
      </c>
      <c r="AE67" s="50" t="s">
        <v>109</v>
      </c>
      <c r="AF67" s="50" t="s">
        <v>102</v>
      </c>
      <c r="AG67" s="50" t="s">
        <v>109</v>
      </c>
      <c r="AH67" s="50" t="s">
        <v>102</v>
      </c>
      <c r="AI67" s="50" t="s">
        <v>13847</v>
      </c>
      <c r="AJ67" s="50" t="s">
        <v>4813</v>
      </c>
      <c r="AK67" s="50" t="s">
        <v>13848</v>
      </c>
      <c r="AL67" s="50" t="s">
        <v>13849</v>
      </c>
      <c r="AM67" s="50" t="s">
        <v>13850</v>
      </c>
      <c r="AN67" s="50" t="s">
        <v>13851</v>
      </c>
      <c r="AO67" s="50" t="s">
        <v>13852</v>
      </c>
      <c r="AP67" s="50" t="s">
        <v>13852</v>
      </c>
      <c r="AU67" s="50" t="s">
        <v>207</v>
      </c>
      <c r="AV67" s="50" t="s">
        <v>118</v>
      </c>
      <c r="AW67" s="50" t="s">
        <v>102</v>
      </c>
      <c r="AX67" s="50" t="s">
        <v>119</v>
      </c>
      <c r="BA67" s="50" t="s">
        <v>250</v>
      </c>
      <c r="BB67" s="50" t="s">
        <v>171</v>
      </c>
      <c r="BC67" s="50" t="s">
        <v>623</v>
      </c>
      <c r="BD67" s="50" t="s">
        <v>621</v>
      </c>
      <c r="BE67" s="50" t="s">
        <v>622</v>
      </c>
      <c r="BF67" s="50" t="s">
        <v>623</v>
      </c>
      <c r="BG67" s="50" t="s">
        <v>124</v>
      </c>
      <c r="BH67" s="50" t="s">
        <v>5694</v>
      </c>
      <c r="BI67" s="50" t="s">
        <v>11889</v>
      </c>
      <c r="BJ67" s="50" t="s">
        <v>127</v>
      </c>
      <c r="BK67" s="50" t="s">
        <v>13853</v>
      </c>
      <c r="BL67" s="50" t="s">
        <v>3169</v>
      </c>
      <c r="BM67" s="50" t="s">
        <v>13854</v>
      </c>
      <c r="BN67" s="50" t="s">
        <v>1631</v>
      </c>
      <c r="BO67" s="50" t="s">
        <v>629</v>
      </c>
      <c r="BP67" s="50" t="s">
        <v>132</v>
      </c>
      <c r="BQ67" s="50" t="s">
        <v>630</v>
      </c>
      <c r="BR67" s="50" t="s">
        <v>631</v>
      </c>
      <c r="BS67" s="50" t="s">
        <v>1342</v>
      </c>
      <c r="BU67" s="50" t="s">
        <v>13855</v>
      </c>
      <c r="BV67" s="50" t="s">
        <v>13856</v>
      </c>
      <c r="BW67" s="50" t="s">
        <v>138</v>
      </c>
      <c r="BX67" s="50" t="s">
        <v>13857</v>
      </c>
      <c r="BY67" s="50" t="s">
        <v>13858</v>
      </c>
      <c r="BZ67" s="50" t="s">
        <v>3175</v>
      </c>
      <c r="CA67" s="50" t="s">
        <v>13859</v>
      </c>
      <c r="CB67" s="50" t="s">
        <v>13857</v>
      </c>
      <c r="CC67" s="50" t="s">
        <v>13858</v>
      </c>
      <c r="CD67" s="50" t="s">
        <v>13859</v>
      </c>
      <c r="CE67" s="50" t="s">
        <v>13857</v>
      </c>
      <c r="CF67" s="50" t="s">
        <v>13858</v>
      </c>
      <c r="CG67" s="50" t="s">
        <v>102</v>
      </c>
      <c r="CH67" s="50" t="s">
        <v>13860</v>
      </c>
      <c r="CJ67" s="50" t="s">
        <v>3177</v>
      </c>
      <c r="CL67" s="50" t="s">
        <v>623</v>
      </c>
      <c r="CM67" s="50" t="s">
        <v>621</v>
      </c>
      <c r="CN67" s="50" t="s">
        <v>3177</v>
      </c>
      <c r="CO67" s="50" t="s">
        <v>3178</v>
      </c>
      <c r="CP67" s="50" t="s">
        <v>3176</v>
      </c>
      <c r="CQ67" s="50" t="s">
        <v>3176</v>
      </c>
    </row>
    <row r="68" spans="1:96">
      <c r="A68" s="50" t="s">
        <v>149</v>
      </c>
      <c r="B68" s="50">
        <v>346484</v>
      </c>
      <c r="C68" s="50" t="s">
        <v>384</v>
      </c>
      <c r="D68" s="50" t="s">
        <v>6188</v>
      </c>
      <c r="E68" s="50" t="str">
        <f>VLOOKUP(B68,aa!B:F,5,0)</f>
        <v>Ei CARES</v>
      </c>
      <c r="F68" s="50">
        <f>VLOOKUP(B68,aa!B:J,9,0)</f>
        <v>2829096</v>
      </c>
      <c r="G68" s="50">
        <f>VLOOKUP(B68,aa!B:L,11,0)</f>
        <v>0</v>
      </c>
      <c r="H68" s="50">
        <f>VLOOKUP(B68,aa!B:O,14,0)</f>
        <v>2829096</v>
      </c>
      <c r="I68" s="50">
        <f>VLOOKUP(B68,aa!B:R,17,0)</f>
        <v>0</v>
      </c>
      <c r="K68" s="50" t="s">
        <v>152</v>
      </c>
      <c r="L68" s="50">
        <v>2832771</v>
      </c>
      <c r="M68" s="50">
        <v>2832771</v>
      </c>
      <c r="N68" s="50">
        <v>0</v>
      </c>
      <c r="O68" s="50">
        <v>0</v>
      </c>
      <c r="Q68" s="50">
        <v>2832771</v>
      </c>
      <c r="R68" s="50">
        <v>1099</v>
      </c>
      <c r="S68" s="50" t="s">
        <v>16100</v>
      </c>
      <c r="T68" s="50">
        <v>0</v>
      </c>
      <c r="U68" s="50">
        <v>0</v>
      </c>
      <c r="W68" s="50" t="s">
        <v>102</v>
      </c>
      <c r="X68" s="50" t="s">
        <v>275</v>
      </c>
      <c r="Z68" s="50" t="s">
        <v>16101</v>
      </c>
      <c r="AA68" s="50" t="s">
        <v>109</v>
      </c>
      <c r="AB68" s="50" t="s">
        <v>102</v>
      </c>
      <c r="AC68" s="50" t="s">
        <v>109</v>
      </c>
      <c r="AD68" s="50" t="s">
        <v>102</v>
      </c>
      <c r="AE68" s="50" t="s">
        <v>109</v>
      </c>
      <c r="AF68" s="50" t="s">
        <v>102</v>
      </c>
      <c r="AG68" s="50" t="s">
        <v>109</v>
      </c>
      <c r="AH68" s="50" t="s">
        <v>102</v>
      </c>
      <c r="AI68" s="50" t="s">
        <v>102</v>
      </c>
      <c r="AJ68" s="50" t="s">
        <v>16102</v>
      </c>
      <c r="AK68" s="50" t="s">
        <v>16102</v>
      </c>
      <c r="AL68" s="50" t="s">
        <v>16103</v>
      </c>
      <c r="AM68" s="50" t="s">
        <v>16104</v>
      </c>
      <c r="AN68" s="50" t="s">
        <v>16105</v>
      </c>
      <c r="AO68" s="50" t="s">
        <v>16106</v>
      </c>
      <c r="AP68" s="50" t="s">
        <v>16106</v>
      </c>
      <c r="AU68" s="50" t="s">
        <v>102</v>
      </c>
      <c r="AW68" s="50" t="s">
        <v>155</v>
      </c>
      <c r="AX68" s="50" t="s">
        <v>249</v>
      </c>
      <c r="AY68" s="50" t="s">
        <v>170</v>
      </c>
      <c r="AZ68" s="50" t="s">
        <v>118</v>
      </c>
      <c r="BB68" s="50" t="s">
        <v>171</v>
      </c>
      <c r="BC68" s="50" t="s">
        <v>6194</v>
      </c>
      <c r="BD68" s="50" t="s">
        <v>376</v>
      </c>
      <c r="BE68" s="50" t="s">
        <v>174</v>
      </c>
      <c r="BF68" s="50" t="s">
        <v>376</v>
      </c>
      <c r="BG68" s="50" t="s">
        <v>124</v>
      </c>
      <c r="BH68" s="50" t="s">
        <v>4909</v>
      </c>
      <c r="BI68" s="50" t="s">
        <v>11889</v>
      </c>
      <c r="BJ68" s="50" t="s">
        <v>127</v>
      </c>
      <c r="BK68" s="50" t="s">
        <v>16107</v>
      </c>
      <c r="BL68" s="50" t="s">
        <v>6196</v>
      </c>
      <c r="BM68" s="50" t="s">
        <v>16108</v>
      </c>
      <c r="BN68" s="50" t="s">
        <v>16099</v>
      </c>
      <c r="BO68" s="50" t="s">
        <v>1917</v>
      </c>
      <c r="BP68" s="50" t="s">
        <v>180</v>
      </c>
      <c r="BQ68" s="50" t="s">
        <v>1918</v>
      </c>
      <c r="BR68" s="50" t="s">
        <v>1919</v>
      </c>
      <c r="BS68" s="50" t="s">
        <v>5029</v>
      </c>
      <c r="BU68" s="50" t="s">
        <v>16109</v>
      </c>
      <c r="BV68" s="50" t="s">
        <v>16110</v>
      </c>
      <c r="BW68" s="50" t="s">
        <v>138</v>
      </c>
      <c r="BX68" s="50" t="s">
        <v>6200</v>
      </c>
      <c r="BY68" s="50" t="s">
        <v>6201</v>
      </c>
      <c r="BZ68" s="50" t="s">
        <v>6200</v>
      </c>
      <c r="CA68" s="50" t="s">
        <v>16110</v>
      </c>
      <c r="CB68" s="50" t="s">
        <v>6200</v>
      </c>
      <c r="CC68" s="50" t="s">
        <v>6201</v>
      </c>
      <c r="CD68" s="50" t="s">
        <v>16110</v>
      </c>
      <c r="CE68" s="50" t="s">
        <v>6200</v>
      </c>
      <c r="CF68" s="50" t="s">
        <v>6201</v>
      </c>
      <c r="CG68" s="50" t="s">
        <v>6205</v>
      </c>
      <c r="CH68" s="50" t="s">
        <v>6188</v>
      </c>
      <c r="CJ68" s="50" t="s">
        <v>6207</v>
      </c>
      <c r="CK68" s="50" t="s">
        <v>16111</v>
      </c>
      <c r="CL68" s="50" t="s">
        <v>6194</v>
      </c>
      <c r="CM68" s="50" t="s">
        <v>376</v>
      </c>
      <c r="CN68" s="50" t="s">
        <v>6207</v>
      </c>
      <c r="CO68" s="50" t="s">
        <v>6208</v>
      </c>
      <c r="CP68" s="50" t="s">
        <v>6206</v>
      </c>
      <c r="CQ68" s="50" t="s">
        <v>6206</v>
      </c>
    </row>
    <row r="69" spans="1:96">
      <c r="A69" s="50" t="s">
        <v>337</v>
      </c>
      <c r="B69" s="50">
        <v>2459310</v>
      </c>
      <c r="C69" s="50" t="s">
        <v>293</v>
      </c>
      <c r="D69" s="50" t="s">
        <v>14054</v>
      </c>
      <c r="E69" s="50" t="e">
        <f>VLOOKUP(B69,aa!B:F,5,0)</f>
        <v>#N/A</v>
      </c>
      <c r="F69" s="50" t="e">
        <f>VLOOKUP(B69,aa!B:J,9,0)</f>
        <v>#N/A</v>
      </c>
      <c r="G69" s="50" t="e">
        <f>VLOOKUP(B69,aa!B:L,11,0)</f>
        <v>#N/A</v>
      </c>
      <c r="H69" s="50" t="e">
        <f>VLOOKUP(B69,aa!B:O,14,0)</f>
        <v>#N/A</v>
      </c>
      <c r="I69" s="50" t="e">
        <f>VLOOKUP(B69,aa!B:R,17,0)</f>
        <v>#N/A</v>
      </c>
      <c r="K69" s="50" t="s">
        <v>848</v>
      </c>
      <c r="L69" s="50">
        <v>688946</v>
      </c>
      <c r="M69" s="50">
        <v>812956</v>
      </c>
      <c r="N69" s="50">
        <v>0</v>
      </c>
      <c r="O69" s="50">
        <v>0</v>
      </c>
      <c r="Q69" s="50">
        <v>0</v>
      </c>
      <c r="R69" s="50">
        <v>0</v>
      </c>
      <c r="T69" s="50">
        <v>688946</v>
      </c>
      <c r="U69" s="50">
        <v>193</v>
      </c>
      <c r="V69" s="50" t="s">
        <v>14055</v>
      </c>
      <c r="W69" s="50" t="s">
        <v>102</v>
      </c>
      <c r="X69" s="50" t="s">
        <v>103</v>
      </c>
      <c r="Y69" s="50" t="s">
        <v>398</v>
      </c>
      <c r="AA69" s="50" t="s">
        <v>9246</v>
      </c>
      <c r="AB69" s="50" t="s">
        <v>14056</v>
      </c>
      <c r="AC69" s="50" t="s">
        <v>14057</v>
      </c>
      <c r="AD69" s="50" t="s">
        <v>14058</v>
      </c>
      <c r="AE69" s="50" t="s">
        <v>14059</v>
      </c>
      <c r="AF69" s="50" t="s">
        <v>14058</v>
      </c>
      <c r="AG69" s="50" t="s">
        <v>109</v>
      </c>
      <c r="AH69" s="50" t="s">
        <v>102</v>
      </c>
      <c r="AI69" s="50" t="s">
        <v>102</v>
      </c>
      <c r="AJ69" s="50" t="s">
        <v>945</v>
      </c>
      <c r="AK69" s="50" t="s">
        <v>945</v>
      </c>
      <c r="AL69" s="50" t="s">
        <v>14060</v>
      </c>
      <c r="AM69" s="50" t="s">
        <v>14056</v>
      </c>
      <c r="AN69" s="50" t="s">
        <v>14061</v>
      </c>
      <c r="AO69" s="50" t="s">
        <v>14062</v>
      </c>
      <c r="AP69" s="50" t="s">
        <v>14062</v>
      </c>
      <c r="AU69" s="50" t="s">
        <v>102</v>
      </c>
      <c r="AW69" s="50" t="s">
        <v>102</v>
      </c>
      <c r="AX69" s="50" t="s">
        <v>119</v>
      </c>
      <c r="BA69" s="50" t="s">
        <v>250</v>
      </c>
      <c r="BB69" s="50" t="s">
        <v>171</v>
      </c>
      <c r="BC69" s="50" t="s">
        <v>920</v>
      </c>
      <c r="BD69" s="50" t="s">
        <v>211</v>
      </c>
      <c r="BE69" s="50" t="s">
        <v>212</v>
      </c>
      <c r="BF69" s="50" t="s">
        <v>213</v>
      </c>
      <c r="BG69" s="50" t="s">
        <v>124</v>
      </c>
      <c r="BH69" s="50" t="s">
        <v>11927</v>
      </c>
      <c r="BI69" s="50" t="s">
        <v>14063</v>
      </c>
      <c r="BJ69" s="50" t="s">
        <v>127</v>
      </c>
      <c r="BK69" s="50" t="s">
        <v>14064</v>
      </c>
      <c r="BL69" s="50" t="s">
        <v>14065</v>
      </c>
      <c r="BM69" s="50" t="s">
        <v>14066</v>
      </c>
      <c r="BN69" s="50" t="s">
        <v>9246</v>
      </c>
      <c r="BO69" s="50" t="s">
        <v>14067</v>
      </c>
      <c r="BP69" s="50" t="s">
        <v>180</v>
      </c>
      <c r="BQ69" s="50" t="s">
        <v>14068</v>
      </c>
      <c r="BR69" s="50" t="s">
        <v>14069</v>
      </c>
      <c r="BS69" s="50" t="s">
        <v>2463</v>
      </c>
      <c r="BU69" s="50" t="s">
        <v>14070</v>
      </c>
      <c r="BV69" s="50" t="s">
        <v>14071</v>
      </c>
      <c r="BW69" s="50" t="s">
        <v>354</v>
      </c>
      <c r="BX69" s="50" t="s">
        <v>14072</v>
      </c>
      <c r="BY69" s="50" t="s">
        <v>14073</v>
      </c>
      <c r="BZ69" s="50" t="s">
        <v>14072</v>
      </c>
      <c r="CA69" s="50" t="s">
        <v>14071</v>
      </c>
      <c r="CB69" s="50" t="s">
        <v>14072</v>
      </c>
      <c r="CC69" s="50" t="s">
        <v>14073</v>
      </c>
      <c r="CD69" s="50" t="s">
        <v>14071</v>
      </c>
      <c r="CE69" s="50" t="s">
        <v>14072</v>
      </c>
      <c r="CF69" s="50" t="s">
        <v>14073</v>
      </c>
      <c r="CG69" s="50" t="s">
        <v>14074</v>
      </c>
      <c r="CH69" s="50" t="s">
        <v>14075</v>
      </c>
      <c r="CJ69" s="50" t="s">
        <v>9439</v>
      </c>
      <c r="CK69" s="50" t="s">
        <v>14076</v>
      </c>
      <c r="CL69" s="50" t="s">
        <v>920</v>
      </c>
      <c r="CM69" s="50" t="s">
        <v>2474</v>
      </c>
      <c r="CN69" s="50" t="s">
        <v>9439</v>
      </c>
      <c r="CP69" s="50" t="s">
        <v>14076</v>
      </c>
      <c r="CQ69" s="50" t="s">
        <v>14076</v>
      </c>
      <c r="CR69" s="50" t="s">
        <v>26042</v>
      </c>
    </row>
    <row r="70" spans="1:96">
      <c r="A70" s="50" t="s">
        <v>337</v>
      </c>
      <c r="B70" s="50">
        <v>4000011</v>
      </c>
      <c r="C70" s="50" t="s">
        <v>11995</v>
      </c>
      <c r="D70" s="50" t="s">
        <v>17871</v>
      </c>
      <c r="E70" s="50" t="e">
        <f>VLOOKUP(B70,aa!B:F,5,0)</f>
        <v>#N/A</v>
      </c>
      <c r="F70" s="50" t="e">
        <f>VLOOKUP(B70,aa!B:J,9,0)</f>
        <v>#N/A</v>
      </c>
      <c r="G70" s="50" t="e">
        <f>VLOOKUP(B70,aa!B:L,11,0)</f>
        <v>#N/A</v>
      </c>
      <c r="H70" s="50" t="e">
        <f>VLOOKUP(B70,aa!B:O,14,0)</f>
        <v>#N/A</v>
      </c>
      <c r="I70" s="50" t="e">
        <f>VLOOKUP(B70,aa!B:R,17,0)</f>
        <v>#N/A</v>
      </c>
      <c r="K70" s="50" t="s">
        <v>152</v>
      </c>
      <c r="L70" s="50">
        <v>1115100</v>
      </c>
      <c r="M70" s="50">
        <v>1115100</v>
      </c>
      <c r="N70" s="50">
        <v>0</v>
      </c>
      <c r="O70" s="50">
        <v>0</v>
      </c>
      <c r="Q70" s="50">
        <v>1115100</v>
      </c>
      <c r="R70" s="50">
        <v>1062</v>
      </c>
      <c r="S70" s="50" t="s">
        <v>433</v>
      </c>
      <c r="T70" s="50">
        <v>0</v>
      </c>
      <c r="U70" s="50">
        <v>0</v>
      </c>
      <c r="W70" s="50" t="s">
        <v>102</v>
      </c>
      <c r="X70" s="50" t="s">
        <v>103</v>
      </c>
      <c r="Y70" s="50" t="s">
        <v>398</v>
      </c>
      <c r="AA70" s="50" t="s">
        <v>1827</v>
      </c>
      <c r="AB70" s="50" t="s">
        <v>17873</v>
      </c>
      <c r="AC70" s="50" t="s">
        <v>17874</v>
      </c>
      <c r="AD70" s="50" t="s">
        <v>17873</v>
      </c>
      <c r="AE70" s="50" t="s">
        <v>16007</v>
      </c>
      <c r="AF70" s="50" t="s">
        <v>17875</v>
      </c>
      <c r="AG70" s="50" t="s">
        <v>109</v>
      </c>
      <c r="AH70" s="50" t="s">
        <v>102</v>
      </c>
      <c r="AI70" s="50" t="s">
        <v>102</v>
      </c>
      <c r="AJ70" s="50" t="s">
        <v>1827</v>
      </c>
      <c r="AK70" s="50" t="s">
        <v>1827</v>
      </c>
      <c r="AL70" s="50" t="s">
        <v>17876</v>
      </c>
      <c r="AM70" s="50" t="s">
        <v>17877</v>
      </c>
      <c r="AN70" s="50" t="s">
        <v>17878</v>
      </c>
      <c r="AO70" s="50" t="s">
        <v>17879</v>
      </c>
      <c r="AP70" s="50" t="s">
        <v>17879</v>
      </c>
      <c r="AU70" s="50" t="s">
        <v>102</v>
      </c>
      <c r="AW70" s="50" t="s">
        <v>155</v>
      </c>
      <c r="AX70" s="50" t="s">
        <v>119</v>
      </c>
      <c r="AY70" s="50" t="s">
        <v>170</v>
      </c>
      <c r="AZ70" s="50" t="s">
        <v>118</v>
      </c>
      <c r="BB70" s="50" t="s">
        <v>120</v>
      </c>
      <c r="BC70" s="50" t="s">
        <v>17880</v>
      </c>
      <c r="BD70" s="50" t="s">
        <v>6390</v>
      </c>
      <c r="BE70" s="50" t="s">
        <v>212</v>
      </c>
      <c r="BF70" s="50" t="s">
        <v>286</v>
      </c>
      <c r="BG70" s="50" t="s">
        <v>124</v>
      </c>
      <c r="BH70" s="50" t="s">
        <v>12023</v>
      </c>
      <c r="BI70" s="50" t="s">
        <v>11889</v>
      </c>
      <c r="BJ70" s="50" t="s">
        <v>127</v>
      </c>
      <c r="BK70" s="50" t="s">
        <v>17881</v>
      </c>
      <c r="BL70" s="50" t="s">
        <v>17882</v>
      </c>
      <c r="BM70" s="50" t="s">
        <v>17883</v>
      </c>
      <c r="BN70" s="50" t="s">
        <v>17872</v>
      </c>
      <c r="BO70" s="50" t="s">
        <v>17884</v>
      </c>
      <c r="BP70" s="50" t="s">
        <v>505</v>
      </c>
      <c r="BQ70" s="50" t="s">
        <v>17885</v>
      </c>
      <c r="BR70" s="50" t="s">
        <v>17886</v>
      </c>
      <c r="BS70" s="50" t="s">
        <v>17887</v>
      </c>
      <c r="BU70" s="50" t="s">
        <v>17888</v>
      </c>
      <c r="BV70" s="50" t="s">
        <v>17889</v>
      </c>
      <c r="BW70" s="50" t="s">
        <v>138</v>
      </c>
      <c r="BX70" s="50" t="s">
        <v>17890</v>
      </c>
      <c r="BY70" s="50" t="s">
        <v>17891</v>
      </c>
      <c r="BZ70" s="50" t="s">
        <v>17892</v>
      </c>
      <c r="CA70" s="50" t="s">
        <v>17893</v>
      </c>
      <c r="CB70" s="50" t="s">
        <v>17894</v>
      </c>
      <c r="CC70" s="50" t="s">
        <v>17895</v>
      </c>
      <c r="CD70" s="50" t="s">
        <v>17896</v>
      </c>
      <c r="CE70" s="50" t="s">
        <v>17892</v>
      </c>
      <c r="CF70" s="50" t="s">
        <v>17897</v>
      </c>
      <c r="CG70" s="50" t="s">
        <v>907</v>
      </c>
      <c r="CH70" s="50" t="s">
        <v>17898</v>
      </c>
      <c r="CJ70" s="50" t="s">
        <v>17899</v>
      </c>
      <c r="CK70" s="50" t="s">
        <v>17900</v>
      </c>
      <c r="CL70" s="50" t="s">
        <v>17901</v>
      </c>
      <c r="CM70" s="50" t="s">
        <v>6390</v>
      </c>
      <c r="CN70" s="50" t="s">
        <v>17899</v>
      </c>
      <c r="CP70" s="50" t="s">
        <v>17902</v>
      </c>
      <c r="CQ70" s="50" t="s">
        <v>17902</v>
      </c>
      <c r="CR70" s="50" t="s">
        <v>26042</v>
      </c>
    </row>
    <row r="71" spans="1:96">
      <c r="A71" s="50" t="s">
        <v>149</v>
      </c>
      <c r="B71" s="50">
        <v>3833865</v>
      </c>
      <c r="C71" s="50" t="s">
        <v>12507</v>
      </c>
      <c r="D71" s="50" t="s">
        <v>7592</v>
      </c>
      <c r="E71" s="50" t="str">
        <f>VLOOKUP(B71,aa!B:F,5,0)</f>
        <v>Ei ASSET</v>
      </c>
      <c r="F71" s="50">
        <f>VLOOKUP(B71,aa!B:J,9,0)</f>
        <v>396652</v>
      </c>
      <c r="G71" s="50">
        <f>VLOOKUP(B71,aa!B:L,11,0)</f>
        <v>396652</v>
      </c>
      <c r="H71" s="50">
        <f>VLOOKUP(B71,aa!B:O,14,0)</f>
        <v>0</v>
      </c>
      <c r="I71" s="50">
        <f>VLOOKUP(B71,aa!B:R,17,0)</f>
        <v>0</v>
      </c>
      <c r="K71" s="50" t="s">
        <v>97</v>
      </c>
      <c r="L71" s="50">
        <v>393075</v>
      </c>
      <c r="M71" s="50">
        <v>393075</v>
      </c>
      <c r="N71" s="50">
        <v>393075</v>
      </c>
      <c r="O71" s="50">
        <v>490</v>
      </c>
      <c r="P71" s="50" t="s">
        <v>16036</v>
      </c>
      <c r="Q71" s="50">
        <v>0</v>
      </c>
      <c r="R71" s="50">
        <v>0</v>
      </c>
      <c r="T71" s="50">
        <v>0</v>
      </c>
      <c r="U71" s="50">
        <v>0</v>
      </c>
      <c r="W71" s="50" t="s">
        <v>102</v>
      </c>
      <c r="X71" s="50" t="s">
        <v>275</v>
      </c>
      <c r="Z71" s="50" t="s">
        <v>5022</v>
      </c>
      <c r="AA71" s="50" t="s">
        <v>109</v>
      </c>
      <c r="AB71" s="50" t="s">
        <v>102</v>
      </c>
      <c r="AC71" s="50" t="s">
        <v>109</v>
      </c>
      <c r="AD71" s="50" t="s">
        <v>102</v>
      </c>
      <c r="AE71" s="50" t="s">
        <v>109</v>
      </c>
      <c r="AF71" s="50" t="s">
        <v>102</v>
      </c>
      <c r="AG71" s="50" t="s">
        <v>109</v>
      </c>
      <c r="AH71" s="50" t="s">
        <v>102</v>
      </c>
      <c r="AI71" s="50" t="s">
        <v>17084</v>
      </c>
      <c r="AJ71" s="50" t="s">
        <v>5015</v>
      </c>
      <c r="AK71" s="50" t="s">
        <v>5015</v>
      </c>
      <c r="AL71" s="50" t="s">
        <v>17085</v>
      </c>
      <c r="AM71" s="50" t="s">
        <v>17086</v>
      </c>
      <c r="AN71" s="50" t="s">
        <v>102</v>
      </c>
      <c r="AO71" s="50" t="s">
        <v>7600</v>
      </c>
      <c r="AP71" s="50" t="s">
        <v>17087</v>
      </c>
      <c r="AT71" s="50" t="s">
        <v>169</v>
      </c>
      <c r="AU71" s="50" t="s">
        <v>117</v>
      </c>
      <c r="AV71" s="50" t="s">
        <v>250</v>
      </c>
      <c r="AW71" s="50" t="s">
        <v>102</v>
      </c>
      <c r="AX71" s="50" t="s">
        <v>119</v>
      </c>
      <c r="BB71" s="50" t="s">
        <v>209</v>
      </c>
      <c r="BC71" s="50" t="s">
        <v>2542</v>
      </c>
      <c r="BD71" s="50" t="s">
        <v>2543</v>
      </c>
      <c r="BE71" s="50" t="s">
        <v>122</v>
      </c>
      <c r="BF71" s="50" t="s">
        <v>557</v>
      </c>
      <c r="BG71" s="50" t="s">
        <v>124</v>
      </c>
      <c r="BH71" s="50" t="s">
        <v>12023</v>
      </c>
      <c r="BI71" s="50" t="s">
        <v>11889</v>
      </c>
      <c r="BJ71" s="50" t="s">
        <v>127</v>
      </c>
      <c r="BK71" s="50" t="s">
        <v>17088</v>
      </c>
      <c r="BL71" s="50" t="s">
        <v>7602</v>
      </c>
      <c r="BM71" s="50" t="s">
        <v>17089</v>
      </c>
      <c r="BN71" s="50" t="s">
        <v>4084</v>
      </c>
      <c r="BO71" s="50" t="s">
        <v>12743</v>
      </c>
      <c r="BP71" s="50" t="s">
        <v>350</v>
      </c>
      <c r="BQ71" s="50" t="s">
        <v>12744</v>
      </c>
      <c r="BR71" s="50" t="s">
        <v>12745</v>
      </c>
      <c r="BS71" s="50" t="s">
        <v>1075</v>
      </c>
      <c r="BU71" s="50" t="s">
        <v>17090</v>
      </c>
      <c r="BV71" s="50" t="s">
        <v>17091</v>
      </c>
      <c r="BW71" s="50" t="s">
        <v>598</v>
      </c>
      <c r="BX71" s="50" t="s">
        <v>7606</v>
      </c>
      <c r="BY71" s="50" t="s">
        <v>7607</v>
      </c>
      <c r="BZ71" s="50" t="s">
        <v>7608</v>
      </c>
      <c r="CA71" s="50" t="s">
        <v>17092</v>
      </c>
      <c r="CB71" s="50" t="s">
        <v>17093</v>
      </c>
      <c r="CC71" s="50" t="s">
        <v>17094</v>
      </c>
      <c r="CD71" s="50" t="s">
        <v>17095</v>
      </c>
      <c r="CE71" s="50" t="s">
        <v>17096</v>
      </c>
      <c r="CF71" s="50" t="s">
        <v>17097</v>
      </c>
      <c r="CG71" s="50" t="s">
        <v>709</v>
      </c>
      <c r="CH71" s="50" t="s">
        <v>7609</v>
      </c>
      <c r="CJ71" s="50" t="s">
        <v>7610</v>
      </c>
      <c r="CK71" s="50" t="s">
        <v>7609</v>
      </c>
      <c r="CL71" s="50" t="s">
        <v>2542</v>
      </c>
      <c r="CM71" s="50" t="s">
        <v>2543</v>
      </c>
      <c r="CN71" s="50" t="s">
        <v>7610</v>
      </c>
      <c r="CP71" s="50" t="s">
        <v>7609</v>
      </c>
      <c r="CQ71" s="50" t="s">
        <v>7609</v>
      </c>
    </row>
    <row r="72" spans="1:96">
      <c r="A72" s="50" t="s">
        <v>149</v>
      </c>
      <c r="B72" s="50">
        <v>168210</v>
      </c>
      <c r="C72" s="50" t="s">
        <v>384</v>
      </c>
      <c r="D72" s="50" t="s">
        <v>1492</v>
      </c>
      <c r="E72" s="50" t="str">
        <f>VLOOKUP(B72,aa!B:F,5,0)</f>
        <v>Ei ASSET, Ei Mindspark</v>
      </c>
      <c r="F72" s="50">
        <f>VLOOKUP(B72,aa!B:J,9,0)</f>
        <v>3220416</v>
      </c>
      <c r="G72" s="50">
        <f>VLOOKUP(B72,aa!B:L,11,0)</f>
        <v>278365</v>
      </c>
      <c r="H72" s="50">
        <f>VLOOKUP(B72,aa!B:O,14,0)</f>
        <v>0</v>
      </c>
      <c r="I72" s="50">
        <f>VLOOKUP(B72,aa!B:R,17,0)</f>
        <v>2942051</v>
      </c>
      <c r="K72" s="50" t="s">
        <v>2163</v>
      </c>
      <c r="L72" s="50">
        <v>4322252</v>
      </c>
      <c r="M72" s="50">
        <v>4571580</v>
      </c>
      <c r="N72" s="50">
        <v>231000</v>
      </c>
      <c r="O72" s="50">
        <v>329</v>
      </c>
      <c r="P72" s="50" t="s">
        <v>12762</v>
      </c>
      <c r="Q72" s="50">
        <v>2706098</v>
      </c>
      <c r="R72" s="50">
        <v>1961</v>
      </c>
      <c r="S72" s="50" t="s">
        <v>12763</v>
      </c>
      <c r="T72" s="50">
        <v>1385154</v>
      </c>
      <c r="U72" s="50">
        <v>908</v>
      </c>
      <c r="V72" s="50" t="s">
        <v>1907</v>
      </c>
      <c r="W72" s="50" t="s">
        <v>102</v>
      </c>
      <c r="X72" s="50" t="s">
        <v>679</v>
      </c>
      <c r="Y72" s="50" t="s">
        <v>155</v>
      </c>
      <c r="Z72" s="50" t="s">
        <v>1408</v>
      </c>
      <c r="AA72" s="50" t="s">
        <v>12764</v>
      </c>
      <c r="AB72" s="50" t="s">
        <v>12765</v>
      </c>
      <c r="AC72" s="50" t="s">
        <v>12766</v>
      </c>
      <c r="AD72" s="50" t="s">
        <v>12765</v>
      </c>
      <c r="AE72" s="50" t="s">
        <v>12767</v>
      </c>
      <c r="AF72" s="50" t="s">
        <v>12765</v>
      </c>
      <c r="AG72" s="50" t="s">
        <v>12216</v>
      </c>
      <c r="AH72" s="50" t="s">
        <v>12765</v>
      </c>
      <c r="AI72" s="50" t="s">
        <v>12768</v>
      </c>
      <c r="AJ72" s="50" t="s">
        <v>5755</v>
      </c>
      <c r="AK72" s="50" t="s">
        <v>12769</v>
      </c>
      <c r="AL72" s="50" t="s">
        <v>12770</v>
      </c>
      <c r="AM72" s="50" t="s">
        <v>12771</v>
      </c>
      <c r="AN72" s="50" t="s">
        <v>12772</v>
      </c>
      <c r="AO72" s="50" t="s">
        <v>12773</v>
      </c>
      <c r="AP72" s="50" t="s">
        <v>12773</v>
      </c>
      <c r="AU72" s="50" t="s">
        <v>247</v>
      </c>
      <c r="AV72" s="50" t="s">
        <v>118</v>
      </c>
      <c r="AW72" s="50" t="s">
        <v>655</v>
      </c>
      <c r="AX72" s="50" t="s">
        <v>119</v>
      </c>
      <c r="AY72" s="50" t="s">
        <v>170</v>
      </c>
      <c r="AZ72" s="50" t="s">
        <v>118</v>
      </c>
      <c r="BA72" s="50" t="s">
        <v>250</v>
      </c>
      <c r="BB72" s="50" t="s">
        <v>171</v>
      </c>
      <c r="BC72" s="50" t="s">
        <v>375</v>
      </c>
      <c r="BD72" s="50" t="s">
        <v>376</v>
      </c>
      <c r="BE72" s="50" t="s">
        <v>174</v>
      </c>
      <c r="BF72" s="50" t="s">
        <v>376</v>
      </c>
      <c r="BG72" s="50" t="s">
        <v>124</v>
      </c>
      <c r="BH72" s="50" t="s">
        <v>12023</v>
      </c>
      <c r="BI72" s="50" t="s">
        <v>11889</v>
      </c>
      <c r="BJ72" s="50" t="s">
        <v>127</v>
      </c>
      <c r="BK72" s="50" t="s">
        <v>12774</v>
      </c>
      <c r="BL72" s="50" t="s">
        <v>1507</v>
      </c>
      <c r="BM72" s="50" t="s">
        <v>12775</v>
      </c>
      <c r="BN72" s="50" t="s">
        <v>12761</v>
      </c>
      <c r="BO72" s="50" t="s">
        <v>1917</v>
      </c>
      <c r="BP72" s="50" t="s">
        <v>180</v>
      </c>
      <c r="BQ72" s="50" t="s">
        <v>1918</v>
      </c>
      <c r="BR72" s="50" t="s">
        <v>1919</v>
      </c>
      <c r="BS72" s="50" t="s">
        <v>183</v>
      </c>
      <c r="BU72" s="50" t="s">
        <v>12776</v>
      </c>
      <c r="BV72" s="50" t="s">
        <v>12777</v>
      </c>
      <c r="BW72" s="50" t="s">
        <v>354</v>
      </c>
      <c r="BX72" s="50" t="s">
        <v>1511</v>
      </c>
      <c r="BY72" s="50" t="s">
        <v>1512</v>
      </c>
      <c r="BZ72" s="50" t="s">
        <v>1513</v>
      </c>
      <c r="CA72" s="50" t="s">
        <v>12777</v>
      </c>
      <c r="CB72" s="50" t="s">
        <v>1511</v>
      </c>
      <c r="CC72" s="50" t="s">
        <v>1512</v>
      </c>
      <c r="CD72" s="50" t="s">
        <v>12777</v>
      </c>
      <c r="CE72" s="50" t="s">
        <v>1511</v>
      </c>
      <c r="CF72" s="50" t="s">
        <v>1512</v>
      </c>
      <c r="CG72" s="50" t="s">
        <v>102</v>
      </c>
      <c r="CH72" s="50" t="s">
        <v>12778</v>
      </c>
      <c r="CJ72" s="50" t="s">
        <v>1515</v>
      </c>
      <c r="CL72" s="50" t="s">
        <v>375</v>
      </c>
      <c r="CM72" s="50" t="s">
        <v>376</v>
      </c>
      <c r="CN72" s="50" t="s">
        <v>1515</v>
      </c>
      <c r="CO72" s="50" t="s">
        <v>1516</v>
      </c>
      <c r="CP72" s="50" t="s">
        <v>1514</v>
      </c>
      <c r="CQ72" s="50" t="s">
        <v>1514</v>
      </c>
    </row>
    <row r="73" spans="1:96">
      <c r="A73" s="50" t="s">
        <v>93</v>
      </c>
      <c r="B73" s="50">
        <v>3994892</v>
      </c>
      <c r="C73" s="50" t="s">
        <v>12155</v>
      </c>
      <c r="D73" s="50" t="s">
        <v>17661</v>
      </c>
      <c r="E73" s="50" t="str">
        <f>VLOOKUP(B73,aa!B:F,5,0)</f>
        <v>Ei Mindspark</v>
      </c>
      <c r="F73" s="50">
        <f>VLOOKUP(B73,aa!B:J,9,0)</f>
        <v>545923</v>
      </c>
      <c r="G73" s="50">
        <f>VLOOKUP(B73,aa!B:L,11,0)</f>
        <v>0</v>
      </c>
      <c r="H73" s="50">
        <f>VLOOKUP(B73,aa!B:O,14,0)</f>
        <v>0</v>
      </c>
      <c r="I73" s="50">
        <f>VLOOKUP(B73,aa!B:R,17,0)</f>
        <v>545923</v>
      </c>
      <c r="K73" s="50" t="s">
        <v>3549</v>
      </c>
      <c r="L73" s="50">
        <v>648652</v>
      </c>
      <c r="M73" s="50">
        <v>742371</v>
      </c>
      <c r="N73" s="50">
        <v>127990</v>
      </c>
      <c r="O73" s="50">
        <v>272</v>
      </c>
      <c r="P73" s="50" t="s">
        <v>17662</v>
      </c>
      <c r="Q73" s="50">
        <v>0</v>
      </c>
      <c r="R73" s="50">
        <v>0</v>
      </c>
      <c r="T73" s="50">
        <v>520662</v>
      </c>
      <c r="U73" s="50">
        <v>272</v>
      </c>
      <c r="V73" s="50" t="s">
        <v>17663</v>
      </c>
      <c r="W73" s="50" t="s">
        <v>102</v>
      </c>
      <c r="X73" s="50" t="s">
        <v>103</v>
      </c>
      <c r="Y73" s="50" t="s">
        <v>155</v>
      </c>
      <c r="AA73" s="50" t="s">
        <v>5694</v>
      </c>
      <c r="AB73" s="50" t="s">
        <v>17664</v>
      </c>
      <c r="AC73" s="50" t="s">
        <v>411</v>
      </c>
      <c r="AD73" s="50" t="s">
        <v>17664</v>
      </c>
      <c r="AE73" s="50" t="s">
        <v>1408</v>
      </c>
      <c r="AF73" s="50" t="s">
        <v>17664</v>
      </c>
      <c r="AG73" s="50" t="s">
        <v>12289</v>
      </c>
      <c r="AH73" s="50" t="s">
        <v>17664</v>
      </c>
      <c r="AI73" s="50" t="s">
        <v>17665</v>
      </c>
      <c r="AJ73" s="50" t="s">
        <v>1941</v>
      </c>
      <c r="AK73" s="50" t="s">
        <v>15489</v>
      </c>
      <c r="AL73" s="50" t="s">
        <v>17666</v>
      </c>
      <c r="AM73" s="50" t="s">
        <v>17667</v>
      </c>
      <c r="AN73" s="50" t="s">
        <v>17668</v>
      </c>
      <c r="AO73" s="50" t="s">
        <v>17669</v>
      </c>
      <c r="AP73" s="50" t="s">
        <v>17669</v>
      </c>
      <c r="AU73" s="50" t="s">
        <v>318</v>
      </c>
      <c r="AV73" s="50" t="s">
        <v>118</v>
      </c>
      <c r="AW73" s="50" t="s">
        <v>102</v>
      </c>
      <c r="AX73" s="50" t="s">
        <v>119</v>
      </c>
      <c r="BA73" s="50" t="s">
        <v>250</v>
      </c>
      <c r="BB73" s="50" t="s">
        <v>120</v>
      </c>
      <c r="BC73" s="50" t="s">
        <v>8307</v>
      </c>
      <c r="BD73" s="50" t="s">
        <v>1171</v>
      </c>
      <c r="BE73" s="50" t="s">
        <v>174</v>
      </c>
      <c r="BF73" s="50" t="s">
        <v>1172</v>
      </c>
      <c r="BG73" s="50" t="s">
        <v>124</v>
      </c>
      <c r="BH73" s="50" t="s">
        <v>12023</v>
      </c>
      <c r="BI73" s="50" t="s">
        <v>11889</v>
      </c>
      <c r="BJ73" s="50" t="s">
        <v>127</v>
      </c>
      <c r="BK73" s="50" t="s">
        <v>17670</v>
      </c>
      <c r="BL73" s="50" t="s">
        <v>8309</v>
      </c>
      <c r="BM73" s="50" t="s">
        <v>17671</v>
      </c>
      <c r="BN73" s="50" t="s">
        <v>1300</v>
      </c>
      <c r="BO73" s="50" t="s">
        <v>5557</v>
      </c>
      <c r="BP73" s="50" t="s">
        <v>180</v>
      </c>
      <c r="BQ73" s="50" t="s">
        <v>5558</v>
      </c>
      <c r="BR73" s="50" t="s">
        <v>5559</v>
      </c>
      <c r="BS73" s="50" t="s">
        <v>5560</v>
      </c>
      <c r="BU73" s="50" t="s">
        <v>17672</v>
      </c>
      <c r="BV73" s="50" t="s">
        <v>17673</v>
      </c>
      <c r="BW73" s="50" t="s">
        <v>354</v>
      </c>
      <c r="BX73" s="50" t="s">
        <v>17674</v>
      </c>
      <c r="BY73" s="50" t="s">
        <v>8314</v>
      </c>
      <c r="BZ73" s="50" t="s">
        <v>8315</v>
      </c>
      <c r="CA73" s="50" t="s">
        <v>8316</v>
      </c>
      <c r="CB73" s="50" t="s">
        <v>17674</v>
      </c>
      <c r="CC73" s="50" t="s">
        <v>8314</v>
      </c>
      <c r="CD73" s="50" t="s">
        <v>8316</v>
      </c>
      <c r="CE73" s="50" t="s">
        <v>17674</v>
      </c>
      <c r="CF73" s="50" t="s">
        <v>8314</v>
      </c>
      <c r="CG73" s="50" t="s">
        <v>8318</v>
      </c>
      <c r="CH73" s="50" t="s">
        <v>17675</v>
      </c>
      <c r="CJ73" s="50" t="s">
        <v>8320</v>
      </c>
      <c r="CK73" s="50" t="s">
        <v>17676</v>
      </c>
      <c r="CL73" s="50" t="s">
        <v>8307</v>
      </c>
      <c r="CM73" s="50" t="s">
        <v>1171</v>
      </c>
      <c r="CN73" s="50" t="s">
        <v>8320</v>
      </c>
      <c r="CO73" s="50" t="s">
        <v>8321</v>
      </c>
      <c r="CP73" s="50" t="s">
        <v>8322</v>
      </c>
      <c r="CQ73" s="50" t="s">
        <v>8322</v>
      </c>
    </row>
    <row r="74" spans="1:96">
      <c r="A74" s="50" t="s">
        <v>93</v>
      </c>
      <c r="B74" s="50">
        <v>5017739</v>
      </c>
      <c r="C74" s="50" t="s">
        <v>11898</v>
      </c>
      <c r="D74" s="50" t="s">
        <v>10158</v>
      </c>
      <c r="E74" s="50" t="e">
        <f>VLOOKUP(B74,aa!B:F,5,0)</f>
        <v>#N/A</v>
      </c>
      <c r="F74" s="50" t="e">
        <f>VLOOKUP(B74,aa!B:J,9,0)</f>
        <v>#N/A</v>
      </c>
      <c r="G74" s="50" t="e">
        <f>VLOOKUP(B74,aa!B:L,11,0)</f>
        <v>#N/A</v>
      </c>
      <c r="H74" s="50" t="e">
        <f>VLOOKUP(B74,aa!B:O,14,0)</f>
        <v>#N/A</v>
      </c>
      <c r="I74" s="50" t="e">
        <f>VLOOKUP(B74,aa!B:R,17,0)</f>
        <v>#N/A</v>
      </c>
      <c r="K74" s="50" t="s">
        <v>193</v>
      </c>
      <c r="L74" s="50">
        <v>171020</v>
      </c>
      <c r="M74" s="50">
        <v>201264</v>
      </c>
      <c r="N74" s="50">
        <v>3000</v>
      </c>
      <c r="O74" s="50">
        <v>5</v>
      </c>
      <c r="P74" s="50" t="s">
        <v>310</v>
      </c>
      <c r="Q74" s="50">
        <v>0</v>
      </c>
      <c r="R74" s="50">
        <v>0</v>
      </c>
      <c r="T74" s="50">
        <v>168020</v>
      </c>
      <c r="U74" s="50">
        <v>112</v>
      </c>
      <c r="V74" s="50" t="s">
        <v>6441</v>
      </c>
      <c r="W74" s="50" t="s">
        <v>102</v>
      </c>
      <c r="X74" s="50" t="s">
        <v>275</v>
      </c>
      <c r="Z74" s="50" t="s">
        <v>19109</v>
      </c>
      <c r="AA74" s="50" t="s">
        <v>109</v>
      </c>
      <c r="AB74" s="50" t="s">
        <v>102</v>
      </c>
      <c r="AC74" s="50" t="s">
        <v>109</v>
      </c>
      <c r="AD74" s="50" t="s">
        <v>102</v>
      </c>
      <c r="AE74" s="50" t="s">
        <v>109</v>
      </c>
      <c r="AF74" s="50" t="s">
        <v>102</v>
      </c>
      <c r="AG74" s="50" t="s">
        <v>109</v>
      </c>
      <c r="AH74" s="50" t="s">
        <v>102</v>
      </c>
      <c r="AI74" s="50" t="s">
        <v>102</v>
      </c>
      <c r="AJ74" s="50" t="s">
        <v>19110</v>
      </c>
      <c r="AK74" s="50" t="s">
        <v>19110</v>
      </c>
      <c r="AL74" s="50" t="s">
        <v>19111</v>
      </c>
      <c r="AM74" s="50" t="s">
        <v>19112</v>
      </c>
      <c r="AN74" s="50" t="s">
        <v>19113</v>
      </c>
      <c r="AO74" s="50" t="s">
        <v>19114</v>
      </c>
      <c r="AP74" s="50" t="s">
        <v>19115</v>
      </c>
      <c r="AT74" s="50" t="s">
        <v>169</v>
      </c>
      <c r="AU74" s="50" t="s">
        <v>207</v>
      </c>
      <c r="AV74" s="50" t="s">
        <v>250</v>
      </c>
      <c r="AW74" s="50" t="s">
        <v>102</v>
      </c>
      <c r="AX74" s="50" t="s">
        <v>119</v>
      </c>
      <c r="BA74" s="50" t="s">
        <v>208</v>
      </c>
      <c r="BB74" s="50" t="s">
        <v>120</v>
      </c>
      <c r="BC74" s="50" t="s">
        <v>448</v>
      </c>
      <c r="BD74" s="50" t="s">
        <v>449</v>
      </c>
      <c r="BE74" s="50" t="s">
        <v>122</v>
      </c>
      <c r="BF74" s="50" t="s">
        <v>450</v>
      </c>
      <c r="BG74" s="50" t="s">
        <v>124</v>
      </c>
      <c r="BH74" s="50" t="s">
        <v>19116</v>
      </c>
      <c r="BI74" s="50" t="s">
        <v>19117</v>
      </c>
      <c r="BJ74" s="50" t="s">
        <v>127</v>
      </c>
      <c r="BK74" s="50" t="s">
        <v>19118</v>
      </c>
      <c r="BL74" s="50" t="s">
        <v>10169</v>
      </c>
      <c r="BM74" s="50" t="s">
        <v>19119</v>
      </c>
      <c r="BN74" s="50" t="s">
        <v>19108</v>
      </c>
      <c r="BO74" s="50" t="s">
        <v>131</v>
      </c>
      <c r="BP74" s="50" t="s">
        <v>350</v>
      </c>
      <c r="BQ74" s="50" t="s">
        <v>133</v>
      </c>
      <c r="BR74" s="50" t="s">
        <v>134</v>
      </c>
      <c r="BS74" s="50" t="s">
        <v>455</v>
      </c>
      <c r="BU74" s="50" t="s">
        <v>19120</v>
      </c>
      <c r="BV74" s="50" t="s">
        <v>19121</v>
      </c>
      <c r="BW74" s="50" t="s">
        <v>598</v>
      </c>
      <c r="BX74" s="50" t="s">
        <v>7995</v>
      </c>
      <c r="BY74" s="50" t="s">
        <v>7996</v>
      </c>
      <c r="BZ74" s="50" t="s">
        <v>7995</v>
      </c>
      <c r="CA74" s="50" t="s">
        <v>1973</v>
      </c>
      <c r="CB74" s="50" t="s">
        <v>19122</v>
      </c>
      <c r="CC74" s="50" t="s">
        <v>19123</v>
      </c>
      <c r="CD74" s="50" t="s">
        <v>1973</v>
      </c>
      <c r="CE74" s="50" t="s">
        <v>19122</v>
      </c>
      <c r="CF74" s="50" t="s">
        <v>19123</v>
      </c>
      <c r="CG74" s="50" t="s">
        <v>7998</v>
      </c>
      <c r="CH74" s="50" t="s">
        <v>19124</v>
      </c>
      <c r="CJ74" s="50" t="s">
        <v>10174</v>
      </c>
      <c r="CK74" s="50" t="s">
        <v>19124</v>
      </c>
      <c r="CL74" s="50" t="s">
        <v>448</v>
      </c>
      <c r="CM74" s="50" t="s">
        <v>449</v>
      </c>
      <c r="CN74" s="50" t="s">
        <v>10174</v>
      </c>
      <c r="CP74" s="50" t="s">
        <v>10173</v>
      </c>
      <c r="CQ74" s="50" t="s">
        <v>10173</v>
      </c>
    </row>
    <row r="75" spans="1:96">
      <c r="A75" s="50" t="s">
        <v>149</v>
      </c>
      <c r="B75" s="50">
        <v>5017017</v>
      </c>
      <c r="C75" s="50" t="s">
        <v>12155</v>
      </c>
      <c r="D75" s="50" t="s">
        <v>9835</v>
      </c>
      <c r="E75" s="50" t="e">
        <f>VLOOKUP(B75,aa!B:F,5,0)</f>
        <v>#N/A</v>
      </c>
      <c r="F75" s="50" t="e">
        <f>VLOOKUP(B75,aa!B:J,9,0)</f>
        <v>#N/A</v>
      </c>
      <c r="G75" s="50" t="e">
        <f>VLOOKUP(B75,aa!B:L,11,0)</f>
        <v>#N/A</v>
      </c>
      <c r="H75" s="50" t="e">
        <f>VLOOKUP(B75,aa!B:O,14,0)</f>
        <v>#N/A</v>
      </c>
      <c r="I75" s="50" t="e">
        <f>VLOOKUP(B75,aa!B:R,17,0)</f>
        <v>#N/A</v>
      </c>
      <c r="K75" s="50" t="s">
        <v>152</v>
      </c>
      <c r="L75" s="50">
        <v>1069614</v>
      </c>
      <c r="M75" s="50">
        <v>1069614</v>
      </c>
      <c r="N75" s="50">
        <v>0</v>
      </c>
      <c r="O75" s="50">
        <v>0</v>
      </c>
      <c r="Q75" s="50">
        <v>1069614</v>
      </c>
      <c r="R75" s="50">
        <v>520</v>
      </c>
      <c r="S75" s="50" t="s">
        <v>12607</v>
      </c>
      <c r="T75" s="50">
        <v>0</v>
      </c>
      <c r="U75" s="50">
        <v>0</v>
      </c>
      <c r="W75" s="50" t="s">
        <v>102</v>
      </c>
      <c r="X75" s="50" t="s">
        <v>103</v>
      </c>
      <c r="Y75" s="50" t="s">
        <v>155</v>
      </c>
      <c r="AA75" s="50" t="s">
        <v>8186</v>
      </c>
      <c r="AB75" s="50" t="s">
        <v>18971</v>
      </c>
      <c r="AC75" s="50" t="s">
        <v>1165</v>
      </c>
      <c r="AD75" s="50" t="s">
        <v>18971</v>
      </c>
      <c r="AE75" s="50" t="s">
        <v>12609</v>
      </c>
      <c r="AF75" s="50" t="s">
        <v>18971</v>
      </c>
      <c r="AG75" s="50" t="s">
        <v>11886</v>
      </c>
      <c r="AH75" s="50" t="s">
        <v>18971</v>
      </c>
      <c r="AI75" s="50" t="s">
        <v>18972</v>
      </c>
      <c r="AJ75" s="50" t="s">
        <v>11933</v>
      </c>
      <c r="AK75" s="50" t="s">
        <v>11933</v>
      </c>
      <c r="AL75" s="50" t="s">
        <v>18973</v>
      </c>
      <c r="AM75" s="50" t="s">
        <v>18974</v>
      </c>
      <c r="AN75" s="50" t="s">
        <v>18975</v>
      </c>
      <c r="AO75" s="50" t="s">
        <v>12614</v>
      </c>
      <c r="AP75" s="50" t="s">
        <v>12614</v>
      </c>
      <c r="AU75" s="50" t="s">
        <v>102</v>
      </c>
      <c r="AW75" s="50" t="s">
        <v>155</v>
      </c>
      <c r="AX75" s="50" t="s">
        <v>447</v>
      </c>
      <c r="AY75" s="50" t="s">
        <v>170</v>
      </c>
      <c r="AZ75" s="50" t="s">
        <v>118</v>
      </c>
      <c r="BB75" s="50" t="s">
        <v>120</v>
      </c>
      <c r="BC75" s="50" t="s">
        <v>1036</v>
      </c>
      <c r="BD75" s="50" t="s">
        <v>173</v>
      </c>
      <c r="BE75" s="50" t="s">
        <v>174</v>
      </c>
      <c r="BF75" s="50" t="s">
        <v>173</v>
      </c>
      <c r="BG75" s="50" t="s">
        <v>124</v>
      </c>
      <c r="BH75" s="50" t="s">
        <v>8186</v>
      </c>
      <c r="BI75" s="50" t="s">
        <v>11889</v>
      </c>
      <c r="BJ75" s="50" t="s">
        <v>127</v>
      </c>
      <c r="BK75" s="50" t="s">
        <v>18976</v>
      </c>
      <c r="BL75" s="50" t="s">
        <v>9846</v>
      </c>
      <c r="BM75" s="50" t="s">
        <v>18977</v>
      </c>
      <c r="BN75" s="50" t="s">
        <v>1722</v>
      </c>
      <c r="BO75" s="50" t="s">
        <v>179</v>
      </c>
      <c r="BP75" s="50" t="s">
        <v>180</v>
      </c>
      <c r="BQ75" s="50" t="s">
        <v>181</v>
      </c>
      <c r="BR75" s="50" t="s">
        <v>182</v>
      </c>
      <c r="BS75" s="50" t="s">
        <v>1176</v>
      </c>
      <c r="BU75" s="50" t="s">
        <v>18978</v>
      </c>
      <c r="BV75" s="50" t="s">
        <v>12618</v>
      </c>
      <c r="BW75" s="50" t="s">
        <v>354</v>
      </c>
      <c r="BX75" s="50" t="s">
        <v>12619</v>
      </c>
      <c r="BY75" s="50" t="s">
        <v>12620</v>
      </c>
      <c r="CA75" s="50" t="s">
        <v>18979</v>
      </c>
      <c r="CB75" s="50" t="s">
        <v>12622</v>
      </c>
      <c r="CC75" s="50" t="s">
        <v>18980</v>
      </c>
      <c r="CD75" s="50" t="s">
        <v>18981</v>
      </c>
      <c r="CE75" s="50" t="s">
        <v>18982</v>
      </c>
      <c r="CF75" s="50" t="s">
        <v>18983</v>
      </c>
      <c r="CG75" s="50" t="s">
        <v>102</v>
      </c>
      <c r="CH75" s="50" t="s">
        <v>9835</v>
      </c>
      <c r="CJ75" s="50" t="s">
        <v>1054</v>
      </c>
      <c r="CL75" s="50" t="s">
        <v>1036</v>
      </c>
      <c r="CM75" s="50" t="s">
        <v>173</v>
      </c>
      <c r="CN75" s="50" t="s">
        <v>1054</v>
      </c>
      <c r="CO75" s="50" t="s">
        <v>1191</v>
      </c>
      <c r="CP75" s="50" t="s">
        <v>9850</v>
      </c>
      <c r="CQ75" s="50" t="s">
        <v>9849</v>
      </c>
      <c r="CR75" s="50" t="s">
        <v>26046</v>
      </c>
    </row>
    <row r="76" spans="1:96">
      <c r="A76" s="50" t="s">
        <v>149</v>
      </c>
      <c r="B76" s="50">
        <v>1553466</v>
      </c>
      <c r="C76" s="50" t="s">
        <v>12155</v>
      </c>
      <c r="D76" s="50" t="s">
        <v>1156</v>
      </c>
      <c r="E76" s="50" t="e">
        <f>VLOOKUP(B76,aa!B:F,5,0)</f>
        <v>#N/A</v>
      </c>
      <c r="F76" s="50" t="e">
        <f>VLOOKUP(B76,aa!B:J,9,0)</f>
        <v>#N/A</v>
      </c>
      <c r="G76" s="50" t="e">
        <f>VLOOKUP(B76,aa!B:L,11,0)</f>
        <v>#N/A</v>
      </c>
      <c r="H76" s="50" t="e">
        <f>VLOOKUP(B76,aa!B:O,14,0)</f>
        <v>#N/A</v>
      </c>
      <c r="I76" s="50" t="e">
        <f>VLOOKUP(B76,aa!B:R,17,0)</f>
        <v>#N/A</v>
      </c>
      <c r="K76" s="50" t="s">
        <v>152</v>
      </c>
      <c r="L76" s="50">
        <v>822780</v>
      </c>
      <c r="M76" s="50">
        <v>822780</v>
      </c>
      <c r="N76" s="50">
        <v>0</v>
      </c>
      <c r="O76" s="50">
        <v>0</v>
      </c>
      <c r="Q76" s="50">
        <v>822780</v>
      </c>
      <c r="R76" s="50">
        <v>400</v>
      </c>
      <c r="S76" s="50" t="s">
        <v>12607</v>
      </c>
      <c r="T76" s="50">
        <v>0</v>
      </c>
      <c r="U76" s="50">
        <v>0</v>
      </c>
      <c r="W76" s="50" t="s">
        <v>102</v>
      </c>
      <c r="X76" s="50" t="s">
        <v>103</v>
      </c>
      <c r="Y76" s="50" t="s">
        <v>155</v>
      </c>
      <c r="AA76" s="50" t="s">
        <v>8186</v>
      </c>
      <c r="AB76" s="50" t="s">
        <v>12608</v>
      </c>
      <c r="AC76" s="50" t="s">
        <v>1165</v>
      </c>
      <c r="AD76" s="50" t="s">
        <v>12608</v>
      </c>
      <c r="AE76" s="50" t="s">
        <v>12609</v>
      </c>
      <c r="AF76" s="50" t="s">
        <v>12608</v>
      </c>
      <c r="AG76" s="50" t="s">
        <v>11886</v>
      </c>
      <c r="AH76" s="50" t="s">
        <v>12608</v>
      </c>
      <c r="AI76" s="50" t="s">
        <v>12610</v>
      </c>
      <c r="AJ76" s="50" t="s">
        <v>11933</v>
      </c>
      <c r="AK76" s="50" t="s">
        <v>11933</v>
      </c>
      <c r="AL76" s="50" t="s">
        <v>12611</v>
      </c>
      <c r="AM76" s="50" t="s">
        <v>12612</v>
      </c>
      <c r="AN76" s="50" t="s">
        <v>12613</v>
      </c>
      <c r="AO76" s="50" t="s">
        <v>12614</v>
      </c>
      <c r="AP76" s="50" t="s">
        <v>12614</v>
      </c>
      <c r="AU76" s="50" t="s">
        <v>102</v>
      </c>
      <c r="AW76" s="50" t="s">
        <v>155</v>
      </c>
      <c r="AX76" s="50" t="s">
        <v>447</v>
      </c>
      <c r="AY76" s="50" t="s">
        <v>170</v>
      </c>
      <c r="AZ76" s="50" t="s">
        <v>118</v>
      </c>
      <c r="BB76" s="50" t="s">
        <v>120</v>
      </c>
      <c r="BC76" s="50" t="s">
        <v>1170</v>
      </c>
      <c r="BD76" s="50" t="s">
        <v>1171</v>
      </c>
      <c r="BE76" s="50" t="s">
        <v>174</v>
      </c>
      <c r="BF76" s="50" t="s">
        <v>1172</v>
      </c>
      <c r="BG76" s="50" t="s">
        <v>124</v>
      </c>
      <c r="BH76" s="50" t="s">
        <v>8186</v>
      </c>
      <c r="BI76" s="50" t="s">
        <v>11889</v>
      </c>
      <c r="BJ76" s="50" t="s">
        <v>127</v>
      </c>
      <c r="BK76" s="50" t="s">
        <v>12615</v>
      </c>
      <c r="BL76" s="50" t="s">
        <v>1174</v>
      </c>
      <c r="BM76" s="50" t="s">
        <v>12616</v>
      </c>
      <c r="BN76" s="50" t="s">
        <v>370</v>
      </c>
      <c r="BO76" s="50" t="s">
        <v>179</v>
      </c>
      <c r="BP76" s="50" t="s">
        <v>180</v>
      </c>
      <c r="BQ76" s="50" t="s">
        <v>181</v>
      </c>
      <c r="BR76" s="50" t="s">
        <v>182</v>
      </c>
      <c r="BS76" s="50" t="s">
        <v>1176</v>
      </c>
      <c r="BU76" s="50" t="s">
        <v>12617</v>
      </c>
      <c r="BV76" s="50" t="s">
        <v>12618</v>
      </c>
      <c r="BW76" s="50" t="s">
        <v>354</v>
      </c>
      <c r="BX76" s="50" t="s">
        <v>12619</v>
      </c>
      <c r="BY76" s="50" t="s">
        <v>12620</v>
      </c>
      <c r="BZ76" s="50" t="s">
        <v>1181</v>
      </c>
      <c r="CA76" s="50" t="s">
        <v>12621</v>
      </c>
      <c r="CB76" s="50" t="s">
        <v>12622</v>
      </c>
      <c r="CC76" s="50" t="s">
        <v>1184</v>
      </c>
      <c r="CD76" s="50" t="s">
        <v>1185</v>
      </c>
      <c r="CE76" s="50" t="s">
        <v>1186</v>
      </c>
      <c r="CF76" s="50" t="s">
        <v>1187</v>
      </c>
      <c r="CG76" s="50" t="s">
        <v>1188</v>
      </c>
      <c r="CH76" s="50" t="s">
        <v>1156</v>
      </c>
      <c r="CJ76" s="50" t="s">
        <v>1190</v>
      </c>
      <c r="CK76" s="50" t="s">
        <v>12623</v>
      </c>
      <c r="CL76" s="50" t="s">
        <v>1170</v>
      </c>
      <c r="CM76" s="50" t="s">
        <v>1171</v>
      </c>
      <c r="CN76" s="50" t="s">
        <v>1190</v>
      </c>
      <c r="CO76" s="50" t="s">
        <v>1191</v>
      </c>
      <c r="CP76" s="50" t="s">
        <v>1192</v>
      </c>
      <c r="CQ76" s="50" t="s">
        <v>1193</v>
      </c>
      <c r="CR76" s="50" t="s">
        <v>26046</v>
      </c>
    </row>
    <row r="77" spans="1:96">
      <c r="A77" s="50" t="s">
        <v>337</v>
      </c>
      <c r="B77" s="50">
        <v>3303311</v>
      </c>
      <c r="C77" s="50" t="s">
        <v>12507</v>
      </c>
      <c r="D77" s="50" t="s">
        <v>15497</v>
      </c>
      <c r="E77" s="50" t="str">
        <f>VLOOKUP(B77,aa!B:F,5,0)</f>
        <v>Ei ASSET</v>
      </c>
      <c r="F77" s="50">
        <f>VLOOKUP(B77,aa!B:J,9,0)</f>
        <v>185576</v>
      </c>
      <c r="G77" s="50">
        <f>VLOOKUP(B77,aa!B:L,11,0)</f>
        <v>185576</v>
      </c>
      <c r="H77" s="50">
        <f>VLOOKUP(B77,aa!B:O,14,0)</f>
        <v>0</v>
      </c>
      <c r="I77" s="50">
        <f>VLOOKUP(B77,aa!B:R,17,0)</f>
        <v>0</v>
      </c>
      <c r="K77" s="50" t="s">
        <v>97</v>
      </c>
      <c r="L77" s="50">
        <v>225011</v>
      </c>
      <c r="M77" s="50">
        <v>225011</v>
      </c>
      <c r="N77" s="50">
        <v>225011</v>
      </c>
      <c r="O77" s="50">
        <v>225</v>
      </c>
      <c r="P77" s="50" t="s">
        <v>5042</v>
      </c>
      <c r="Q77" s="50">
        <v>0</v>
      </c>
      <c r="R77" s="50">
        <v>0</v>
      </c>
      <c r="T77" s="50">
        <v>0</v>
      </c>
      <c r="U77" s="50">
        <v>0</v>
      </c>
      <c r="W77" s="50" t="s">
        <v>102</v>
      </c>
      <c r="X77" s="50" t="s">
        <v>275</v>
      </c>
      <c r="Z77" s="50" t="s">
        <v>5015</v>
      </c>
      <c r="AA77" s="50" t="s">
        <v>109</v>
      </c>
      <c r="AB77" s="50" t="s">
        <v>102</v>
      </c>
      <c r="AC77" s="50" t="s">
        <v>109</v>
      </c>
      <c r="AD77" s="50" t="s">
        <v>102</v>
      </c>
      <c r="AE77" s="50" t="s">
        <v>109</v>
      </c>
      <c r="AF77" s="50" t="s">
        <v>102</v>
      </c>
      <c r="AG77" s="50" t="s">
        <v>109</v>
      </c>
      <c r="AH77" s="50" t="s">
        <v>102</v>
      </c>
      <c r="AI77" s="50" t="s">
        <v>102</v>
      </c>
      <c r="AJ77" s="50" t="s">
        <v>13216</v>
      </c>
      <c r="AK77" s="50" t="s">
        <v>12816</v>
      </c>
      <c r="AL77" s="50" t="s">
        <v>15498</v>
      </c>
      <c r="AM77" s="50" t="s">
        <v>15499</v>
      </c>
      <c r="AN77" s="50" t="s">
        <v>15500</v>
      </c>
      <c r="AO77" s="50" t="s">
        <v>3677</v>
      </c>
      <c r="AP77" s="50" t="s">
        <v>3677</v>
      </c>
      <c r="AU77" s="50" t="s">
        <v>318</v>
      </c>
      <c r="AV77" s="50" t="s">
        <v>118</v>
      </c>
      <c r="AW77" s="50" t="s">
        <v>102</v>
      </c>
      <c r="AX77" s="50" t="s">
        <v>119</v>
      </c>
      <c r="BB77" s="50" t="s">
        <v>120</v>
      </c>
      <c r="BC77" s="50" t="s">
        <v>15501</v>
      </c>
      <c r="BD77" s="50" t="s">
        <v>2543</v>
      </c>
      <c r="BE77" s="50" t="s">
        <v>122</v>
      </c>
      <c r="BF77" s="50" t="s">
        <v>557</v>
      </c>
      <c r="BG77" s="50" t="s">
        <v>124</v>
      </c>
      <c r="BH77" s="50" t="s">
        <v>12023</v>
      </c>
      <c r="BI77" s="50" t="s">
        <v>11889</v>
      </c>
      <c r="BJ77" s="50" t="s">
        <v>127</v>
      </c>
      <c r="BK77" s="50" t="s">
        <v>15502</v>
      </c>
      <c r="BL77" s="50" t="s">
        <v>15503</v>
      </c>
      <c r="BM77" s="50" t="s">
        <v>15504</v>
      </c>
      <c r="BN77" s="50" t="s">
        <v>370</v>
      </c>
      <c r="BO77" s="50" t="s">
        <v>13402</v>
      </c>
      <c r="BP77" s="50" t="s">
        <v>505</v>
      </c>
      <c r="BQ77" s="50" t="s">
        <v>13403</v>
      </c>
      <c r="BR77" s="50" t="s">
        <v>13404</v>
      </c>
      <c r="BS77" s="50" t="s">
        <v>13405</v>
      </c>
      <c r="BU77" s="50" t="s">
        <v>15505</v>
      </c>
      <c r="BV77" s="50" t="s">
        <v>15506</v>
      </c>
      <c r="BW77" s="50" t="s">
        <v>138</v>
      </c>
      <c r="BX77" s="50" t="s">
        <v>15507</v>
      </c>
      <c r="BY77" s="50" t="s">
        <v>15508</v>
      </c>
      <c r="BZ77" s="50" t="s">
        <v>15509</v>
      </c>
      <c r="CA77" s="50" t="s">
        <v>15510</v>
      </c>
      <c r="CB77" s="50" t="s">
        <v>15507</v>
      </c>
      <c r="CC77" s="50" t="s">
        <v>15508</v>
      </c>
      <c r="CD77" s="50" t="s">
        <v>15510</v>
      </c>
      <c r="CE77" s="50" t="s">
        <v>15507</v>
      </c>
      <c r="CF77" s="50" t="s">
        <v>15508</v>
      </c>
      <c r="CG77" s="50" t="s">
        <v>15511</v>
      </c>
      <c r="CH77" s="50" t="s">
        <v>15512</v>
      </c>
      <c r="CJ77" s="50" t="s">
        <v>15513</v>
      </c>
      <c r="CL77" s="50" t="s">
        <v>15501</v>
      </c>
      <c r="CM77" s="50" t="s">
        <v>2543</v>
      </c>
      <c r="CN77" s="50" t="s">
        <v>15513</v>
      </c>
      <c r="CP77" s="50" t="s">
        <v>15512</v>
      </c>
      <c r="CQ77" s="50" t="s">
        <v>15512</v>
      </c>
    </row>
    <row r="78" spans="1:96">
      <c r="A78" s="50" t="s">
        <v>337</v>
      </c>
      <c r="B78" s="50">
        <v>3460346</v>
      </c>
      <c r="C78" s="50" t="s">
        <v>16075</v>
      </c>
      <c r="D78" s="50" t="s">
        <v>16074</v>
      </c>
      <c r="E78" s="50" t="str">
        <f>VLOOKUP(B78,aa!B:F,5,0)</f>
        <v>Ei CARES</v>
      </c>
      <c r="F78" s="50">
        <f>VLOOKUP(B78,aa!B:J,9,0)</f>
        <v>288514</v>
      </c>
      <c r="G78" s="50">
        <f>VLOOKUP(B78,aa!B:L,11,0)</f>
        <v>0</v>
      </c>
      <c r="H78" s="50">
        <f>VLOOKUP(B78,aa!B:O,14,0)</f>
        <v>288514</v>
      </c>
      <c r="I78" s="50">
        <f>VLOOKUP(B78,aa!B:R,17,0)</f>
        <v>0</v>
      </c>
      <c r="K78" s="50" t="s">
        <v>848</v>
      </c>
      <c r="L78" s="50">
        <v>456379</v>
      </c>
      <c r="M78" s="50">
        <v>538527</v>
      </c>
      <c r="N78" s="50">
        <v>0</v>
      </c>
      <c r="O78" s="50">
        <v>0</v>
      </c>
      <c r="Q78" s="50">
        <v>0</v>
      </c>
      <c r="R78" s="50">
        <v>0</v>
      </c>
      <c r="T78" s="50">
        <v>456379</v>
      </c>
      <c r="U78" s="50">
        <v>359</v>
      </c>
      <c r="V78" s="50" t="s">
        <v>850</v>
      </c>
      <c r="W78" s="50" t="s">
        <v>102</v>
      </c>
      <c r="X78" s="50" t="s">
        <v>103</v>
      </c>
      <c r="Y78" s="50" t="s">
        <v>155</v>
      </c>
      <c r="AA78" s="50" t="s">
        <v>12023</v>
      </c>
      <c r="AB78" s="50" t="s">
        <v>16076</v>
      </c>
      <c r="AC78" s="50" t="s">
        <v>11976</v>
      </c>
      <c r="AD78" s="50" t="s">
        <v>16076</v>
      </c>
      <c r="AE78" s="50" t="s">
        <v>11888</v>
      </c>
      <c r="AF78" s="50" t="s">
        <v>16076</v>
      </c>
      <c r="AG78" s="50" t="s">
        <v>12084</v>
      </c>
      <c r="AH78" s="50" t="s">
        <v>16076</v>
      </c>
      <c r="AI78" s="50" t="s">
        <v>102</v>
      </c>
      <c r="AJ78" s="50" t="s">
        <v>8186</v>
      </c>
      <c r="AK78" s="50" t="s">
        <v>13863</v>
      </c>
      <c r="AL78" s="50" t="s">
        <v>16077</v>
      </c>
      <c r="AM78" s="50" t="s">
        <v>16078</v>
      </c>
      <c r="AN78" s="50" t="s">
        <v>16079</v>
      </c>
      <c r="AO78" s="50" t="s">
        <v>13206</v>
      </c>
      <c r="AP78" s="50" t="s">
        <v>13206</v>
      </c>
      <c r="AU78" s="50" t="s">
        <v>102</v>
      </c>
      <c r="AW78" s="50" t="s">
        <v>102</v>
      </c>
      <c r="AX78" s="50" t="s">
        <v>119</v>
      </c>
      <c r="BA78" s="50" t="s">
        <v>250</v>
      </c>
      <c r="BB78" s="50" t="s">
        <v>120</v>
      </c>
      <c r="BC78" s="50" t="s">
        <v>375</v>
      </c>
      <c r="BD78" s="50" t="s">
        <v>376</v>
      </c>
      <c r="BE78" s="50" t="s">
        <v>174</v>
      </c>
      <c r="BF78" s="50" t="s">
        <v>376</v>
      </c>
      <c r="BG78" s="50" t="s">
        <v>124</v>
      </c>
      <c r="BH78" s="50" t="s">
        <v>12023</v>
      </c>
      <c r="BI78" s="50" t="s">
        <v>11889</v>
      </c>
      <c r="BJ78" s="50" t="s">
        <v>127</v>
      </c>
      <c r="BK78" s="50" t="s">
        <v>16080</v>
      </c>
      <c r="BL78" s="50" t="s">
        <v>16081</v>
      </c>
      <c r="BM78" s="50" t="s">
        <v>16082</v>
      </c>
      <c r="BN78" s="50" t="s">
        <v>370</v>
      </c>
      <c r="BO78" s="50" t="s">
        <v>6926</v>
      </c>
      <c r="BP78" s="50" t="s">
        <v>180</v>
      </c>
      <c r="BQ78" s="50" t="s">
        <v>6927</v>
      </c>
      <c r="BR78" s="50" t="s">
        <v>6928</v>
      </c>
      <c r="BS78" s="50" t="s">
        <v>1858</v>
      </c>
      <c r="BU78" s="50" t="s">
        <v>16083</v>
      </c>
      <c r="BV78" s="50" t="s">
        <v>16084</v>
      </c>
      <c r="BW78" s="50" t="s">
        <v>354</v>
      </c>
      <c r="BX78" s="50" t="s">
        <v>16085</v>
      </c>
      <c r="BY78" s="50" t="s">
        <v>16086</v>
      </c>
      <c r="BZ78" s="50" t="s">
        <v>16085</v>
      </c>
      <c r="CA78" s="50" t="s">
        <v>16084</v>
      </c>
      <c r="CB78" s="50" t="s">
        <v>16085</v>
      </c>
      <c r="CC78" s="50" t="s">
        <v>16086</v>
      </c>
      <c r="CD78" s="50" t="s">
        <v>16084</v>
      </c>
      <c r="CE78" s="50" t="s">
        <v>16085</v>
      </c>
      <c r="CF78" s="50" t="s">
        <v>16086</v>
      </c>
      <c r="CG78" s="50" t="s">
        <v>16087</v>
      </c>
      <c r="CH78" s="50" t="s">
        <v>16088</v>
      </c>
      <c r="CJ78" s="50" t="s">
        <v>1866</v>
      </c>
      <c r="CL78" s="50" t="s">
        <v>375</v>
      </c>
      <c r="CM78" s="50" t="s">
        <v>376</v>
      </c>
      <c r="CN78" s="50" t="s">
        <v>1866</v>
      </c>
      <c r="CP78" s="50" t="s">
        <v>16088</v>
      </c>
      <c r="CQ78" s="50" t="s">
        <v>16088</v>
      </c>
    </row>
    <row r="79" spans="1:96">
      <c r="A79" s="50" t="s">
        <v>337</v>
      </c>
      <c r="B79" s="50">
        <v>4082390</v>
      </c>
      <c r="C79" s="50" t="s">
        <v>12507</v>
      </c>
      <c r="D79" s="50" t="s">
        <v>18043</v>
      </c>
      <c r="E79" s="50" t="str">
        <f>VLOOKUP(B79,aa!B:F,5,0)</f>
        <v>Ei ASSET,Ei CARES</v>
      </c>
      <c r="F79" s="50">
        <f>VLOOKUP(B79,aa!B:J,9,0)</f>
        <v>1156995</v>
      </c>
      <c r="G79" s="50">
        <f>VLOOKUP(B79,aa!B:L,11,0)</f>
        <v>321124</v>
      </c>
      <c r="H79" s="50">
        <f>VLOOKUP(B79,aa!B:O,14,0)</f>
        <v>835871</v>
      </c>
      <c r="I79" s="50">
        <f>VLOOKUP(B79,aa!B:R,17,0)</f>
        <v>0</v>
      </c>
      <c r="K79" s="50" t="s">
        <v>2044</v>
      </c>
      <c r="L79" s="50">
        <v>1093650</v>
      </c>
      <c r="M79" s="50">
        <v>1093650</v>
      </c>
      <c r="N79" s="50">
        <v>253244</v>
      </c>
      <c r="O79" s="50">
        <v>327</v>
      </c>
      <c r="P79" s="50" t="s">
        <v>18044</v>
      </c>
      <c r="Q79" s="50">
        <v>840406</v>
      </c>
      <c r="R79" s="50">
        <v>487</v>
      </c>
      <c r="S79" s="50" t="s">
        <v>18045</v>
      </c>
      <c r="T79" s="50">
        <v>0</v>
      </c>
      <c r="U79" s="50">
        <v>0</v>
      </c>
      <c r="W79" s="50" t="s">
        <v>102</v>
      </c>
      <c r="X79" s="50" t="s">
        <v>103</v>
      </c>
      <c r="Y79" s="50" t="s">
        <v>155</v>
      </c>
      <c r="AA79" s="50" t="s">
        <v>7695</v>
      </c>
      <c r="AB79" s="50" t="s">
        <v>18046</v>
      </c>
      <c r="AC79" s="50" t="s">
        <v>1547</v>
      </c>
      <c r="AD79" s="50" t="s">
        <v>18046</v>
      </c>
      <c r="AE79" s="50" t="s">
        <v>12427</v>
      </c>
      <c r="AF79" s="50" t="s">
        <v>18046</v>
      </c>
      <c r="AG79" s="50" t="s">
        <v>16007</v>
      </c>
      <c r="AH79" s="50" t="s">
        <v>18046</v>
      </c>
      <c r="AI79" s="50" t="s">
        <v>18047</v>
      </c>
      <c r="AJ79" s="50" t="s">
        <v>3988</v>
      </c>
      <c r="AK79" s="50" t="s">
        <v>15755</v>
      </c>
      <c r="AL79" s="50" t="s">
        <v>18048</v>
      </c>
      <c r="AM79" s="50" t="s">
        <v>18049</v>
      </c>
      <c r="AN79" s="50" t="s">
        <v>18050</v>
      </c>
      <c r="AO79" s="50" t="s">
        <v>18051</v>
      </c>
      <c r="AP79" s="50" t="s">
        <v>18052</v>
      </c>
      <c r="AS79" s="50" t="s">
        <v>169</v>
      </c>
      <c r="AU79" s="50" t="s">
        <v>117</v>
      </c>
      <c r="AV79" s="50" t="s">
        <v>118</v>
      </c>
      <c r="AW79" s="50" t="s">
        <v>1758</v>
      </c>
      <c r="AX79" s="50" t="s">
        <v>447</v>
      </c>
      <c r="AY79" s="50" t="s">
        <v>170</v>
      </c>
      <c r="AZ79" s="50" t="s">
        <v>118</v>
      </c>
      <c r="BB79" s="50" t="s">
        <v>120</v>
      </c>
      <c r="BC79" s="50" t="s">
        <v>4216</v>
      </c>
      <c r="BD79" s="50" t="s">
        <v>556</v>
      </c>
      <c r="BE79" s="50" t="s">
        <v>122</v>
      </c>
      <c r="BF79" s="50" t="s">
        <v>557</v>
      </c>
      <c r="BG79" s="50" t="s">
        <v>124</v>
      </c>
      <c r="BH79" s="50" t="s">
        <v>4665</v>
      </c>
      <c r="BI79" s="50" t="s">
        <v>17605</v>
      </c>
      <c r="BJ79" s="50" t="s">
        <v>127</v>
      </c>
      <c r="BK79" s="50" t="s">
        <v>18053</v>
      </c>
      <c r="BL79" s="50" t="s">
        <v>18054</v>
      </c>
      <c r="BM79" s="50" t="s">
        <v>18055</v>
      </c>
      <c r="BN79" s="50" t="s">
        <v>370</v>
      </c>
      <c r="BO79" s="50" t="s">
        <v>1071</v>
      </c>
      <c r="BP79" s="50" t="s">
        <v>350</v>
      </c>
      <c r="BQ79" s="50" t="s">
        <v>1072</v>
      </c>
      <c r="BR79" s="50" t="s">
        <v>1073</v>
      </c>
      <c r="BS79" s="50" t="s">
        <v>1074</v>
      </c>
      <c r="BU79" s="50" t="s">
        <v>18056</v>
      </c>
      <c r="BV79" s="50" t="s">
        <v>18057</v>
      </c>
      <c r="BX79" s="50" t="s">
        <v>18058</v>
      </c>
      <c r="BY79" s="50" t="s">
        <v>18059</v>
      </c>
      <c r="BZ79" s="50" t="s">
        <v>18060</v>
      </c>
      <c r="CA79" s="50" t="s">
        <v>18061</v>
      </c>
      <c r="CB79" s="50" t="s">
        <v>18062</v>
      </c>
      <c r="CC79" s="50" t="s">
        <v>18059</v>
      </c>
      <c r="CD79" s="50" t="s">
        <v>18061</v>
      </c>
      <c r="CE79" s="50" t="s">
        <v>18058</v>
      </c>
      <c r="CF79" s="50" t="s">
        <v>18059</v>
      </c>
      <c r="CG79" s="50" t="s">
        <v>18063</v>
      </c>
      <c r="CH79" s="50" t="s">
        <v>18064</v>
      </c>
      <c r="CJ79" s="50" t="s">
        <v>18065</v>
      </c>
      <c r="CK79" s="50" t="s">
        <v>18066</v>
      </c>
      <c r="CL79" s="50" t="s">
        <v>4216</v>
      </c>
      <c r="CM79" s="50" t="s">
        <v>556</v>
      </c>
      <c r="CN79" s="50" t="s">
        <v>18065</v>
      </c>
      <c r="CO79" s="50" t="s">
        <v>18067</v>
      </c>
      <c r="CP79" s="50" t="s">
        <v>18068</v>
      </c>
      <c r="CQ79" s="50" t="s">
        <v>18068</v>
      </c>
    </row>
    <row r="80" spans="1:96">
      <c r="A80" s="50" t="s">
        <v>337</v>
      </c>
      <c r="B80" s="50">
        <v>516721</v>
      </c>
      <c r="C80" s="50" t="s">
        <v>14664</v>
      </c>
      <c r="D80" s="50" t="s">
        <v>20963</v>
      </c>
      <c r="E80" s="50" t="str">
        <f>VLOOKUP(B80,aa!B:F,5,0)</f>
        <v>Ei ASSET</v>
      </c>
      <c r="F80" s="50">
        <f>VLOOKUP(B80,aa!B:J,9,0)</f>
        <v>340137</v>
      </c>
      <c r="G80" s="50">
        <f>VLOOKUP(B80,aa!B:L,11,0)</f>
        <v>340137</v>
      </c>
      <c r="H80" s="50">
        <f>VLOOKUP(B80,aa!B:O,14,0)</f>
        <v>0</v>
      </c>
      <c r="I80" s="50">
        <f>VLOOKUP(B80,aa!B:R,17,0)</f>
        <v>0</v>
      </c>
      <c r="K80" s="50" t="s">
        <v>97</v>
      </c>
      <c r="L80" s="50">
        <v>294910</v>
      </c>
      <c r="M80" s="50">
        <v>294910</v>
      </c>
      <c r="N80" s="50">
        <v>294910</v>
      </c>
      <c r="O80" s="50">
        <v>421</v>
      </c>
      <c r="P80" s="50" t="s">
        <v>799</v>
      </c>
      <c r="Q80" s="50">
        <v>0</v>
      </c>
      <c r="R80" s="50">
        <v>0</v>
      </c>
      <c r="T80" s="50">
        <v>0</v>
      </c>
      <c r="U80" s="50">
        <v>0</v>
      </c>
      <c r="W80" s="50" t="s">
        <v>102</v>
      </c>
      <c r="X80" s="50" t="s">
        <v>103</v>
      </c>
      <c r="Y80" s="50" t="s">
        <v>398</v>
      </c>
      <c r="AA80" s="50" t="s">
        <v>370</v>
      </c>
      <c r="AB80" s="50" t="s">
        <v>20964</v>
      </c>
      <c r="AC80" s="50" t="s">
        <v>1408</v>
      </c>
      <c r="AD80" s="50" t="s">
        <v>20964</v>
      </c>
      <c r="AE80" s="50" t="s">
        <v>3679</v>
      </c>
      <c r="AF80" s="50" t="s">
        <v>20965</v>
      </c>
      <c r="AG80" s="50" t="s">
        <v>109</v>
      </c>
      <c r="AH80" s="50" t="s">
        <v>102</v>
      </c>
      <c r="AI80" s="50" t="s">
        <v>20966</v>
      </c>
      <c r="AJ80" s="50" t="s">
        <v>7695</v>
      </c>
      <c r="AK80" s="50" t="s">
        <v>13245</v>
      </c>
      <c r="AL80" s="50" t="s">
        <v>20967</v>
      </c>
      <c r="AM80" s="50" t="s">
        <v>20968</v>
      </c>
      <c r="AN80" s="50" t="s">
        <v>20969</v>
      </c>
      <c r="AO80" s="50" t="s">
        <v>3992</v>
      </c>
      <c r="AP80" s="50" t="s">
        <v>3992</v>
      </c>
      <c r="AU80" s="50" t="s">
        <v>318</v>
      </c>
      <c r="AV80" s="50" t="s">
        <v>118</v>
      </c>
      <c r="AW80" s="50" t="s">
        <v>102</v>
      </c>
      <c r="AX80" s="50" t="s">
        <v>119</v>
      </c>
      <c r="BB80" s="50" t="s">
        <v>1242</v>
      </c>
      <c r="BC80" s="50" t="s">
        <v>6280</v>
      </c>
      <c r="BD80" s="50" t="s">
        <v>621</v>
      </c>
      <c r="BE80" s="50" t="s">
        <v>622</v>
      </c>
      <c r="BF80" s="50" t="s">
        <v>976</v>
      </c>
      <c r="BG80" s="50" t="s">
        <v>124</v>
      </c>
      <c r="BH80" s="50" t="s">
        <v>8258</v>
      </c>
      <c r="BI80" s="50" t="s">
        <v>14059</v>
      </c>
      <c r="BJ80" s="50" t="s">
        <v>127</v>
      </c>
      <c r="BK80" s="50" t="s">
        <v>20970</v>
      </c>
      <c r="BL80" s="50" t="s">
        <v>20971</v>
      </c>
      <c r="BM80" s="50" t="s">
        <v>20972</v>
      </c>
      <c r="BN80" s="50" t="s">
        <v>370</v>
      </c>
      <c r="BO80" s="50" t="s">
        <v>2284</v>
      </c>
      <c r="BP80" s="50" t="s">
        <v>132</v>
      </c>
      <c r="BQ80" s="50" t="s">
        <v>2285</v>
      </c>
      <c r="BR80" s="50" t="s">
        <v>2286</v>
      </c>
      <c r="BS80" s="50" t="s">
        <v>1342</v>
      </c>
      <c r="BU80" s="50" t="s">
        <v>20973</v>
      </c>
      <c r="BV80" s="50" t="s">
        <v>20974</v>
      </c>
      <c r="BW80" s="50" t="s">
        <v>598</v>
      </c>
      <c r="BX80" s="50" t="s">
        <v>20975</v>
      </c>
      <c r="BY80" s="50" t="s">
        <v>20976</v>
      </c>
      <c r="BZ80" s="50" t="s">
        <v>20977</v>
      </c>
      <c r="CA80" s="50" t="s">
        <v>20978</v>
      </c>
      <c r="CB80" s="50" t="s">
        <v>20977</v>
      </c>
      <c r="CC80" s="50" t="s">
        <v>20976</v>
      </c>
      <c r="CD80" s="50" t="s">
        <v>20979</v>
      </c>
      <c r="CE80" s="50" t="s">
        <v>20975</v>
      </c>
      <c r="CF80" s="50" t="s">
        <v>20976</v>
      </c>
      <c r="CG80" s="50" t="s">
        <v>8793</v>
      </c>
      <c r="CH80" s="50" t="s">
        <v>20980</v>
      </c>
      <c r="CJ80" s="50" t="s">
        <v>20981</v>
      </c>
      <c r="CL80" s="50" t="s">
        <v>6280</v>
      </c>
      <c r="CM80" s="50" t="s">
        <v>621</v>
      </c>
      <c r="CN80" s="50" t="s">
        <v>20981</v>
      </c>
      <c r="CO80" s="50" t="s">
        <v>20982</v>
      </c>
      <c r="CP80" s="50" t="s">
        <v>20983</v>
      </c>
      <c r="CQ80" s="50" t="s">
        <v>20983</v>
      </c>
    </row>
    <row r="81" spans="1:96">
      <c r="A81" s="50" t="s">
        <v>149</v>
      </c>
      <c r="B81" s="50">
        <v>3634161</v>
      </c>
      <c r="C81" s="50" t="s">
        <v>985</v>
      </c>
      <c r="D81" s="50" t="s">
        <v>6936</v>
      </c>
      <c r="E81" s="50" t="str">
        <f>VLOOKUP(B81,aa!B:F,5,0)</f>
        <v>Ei CARES</v>
      </c>
      <c r="F81" s="50">
        <f>VLOOKUP(B81,aa!B:J,9,0)</f>
        <v>1806963</v>
      </c>
      <c r="G81" s="50">
        <f>VLOOKUP(B81,aa!B:L,11,0)</f>
        <v>0</v>
      </c>
      <c r="H81" s="50">
        <f>VLOOKUP(B81,aa!B:O,14,0)</f>
        <v>1806963</v>
      </c>
      <c r="I81" s="50">
        <f>VLOOKUP(B81,aa!B:R,17,0)</f>
        <v>0</v>
      </c>
      <c r="K81" s="50" t="s">
        <v>152</v>
      </c>
      <c r="L81" s="50">
        <v>1132779</v>
      </c>
      <c r="M81" s="50">
        <v>1132779</v>
      </c>
      <c r="N81" s="50">
        <v>0</v>
      </c>
      <c r="O81" s="50">
        <v>0</v>
      </c>
      <c r="Q81" s="50">
        <v>1132779</v>
      </c>
      <c r="R81" s="50">
        <v>468</v>
      </c>
      <c r="S81" s="50" t="s">
        <v>16658</v>
      </c>
      <c r="T81" s="50">
        <v>0</v>
      </c>
      <c r="U81" s="50">
        <v>0</v>
      </c>
      <c r="W81" s="50" t="s">
        <v>102</v>
      </c>
      <c r="X81" s="50" t="s">
        <v>679</v>
      </c>
      <c r="Y81" s="50" t="s">
        <v>155</v>
      </c>
      <c r="Z81" s="50" t="s">
        <v>14267</v>
      </c>
      <c r="AA81" s="50" t="s">
        <v>16659</v>
      </c>
      <c r="AB81" s="50" t="s">
        <v>16660</v>
      </c>
      <c r="AC81" s="50" t="s">
        <v>15486</v>
      </c>
      <c r="AD81" s="50" t="s">
        <v>16660</v>
      </c>
      <c r="AE81" s="50" t="s">
        <v>14349</v>
      </c>
      <c r="AF81" s="50" t="s">
        <v>16660</v>
      </c>
      <c r="AG81" s="50" t="s">
        <v>13263</v>
      </c>
      <c r="AH81" s="50" t="s">
        <v>16660</v>
      </c>
      <c r="AI81" s="50" t="s">
        <v>16661</v>
      </c>
      <c r="AJ81" s="50" t="s">
        <v>5755</v>
      </c>
      <c r="AK81" s="50" t="s">
        <v>15011</v>
      </c>
      <c r="AL81" s="50" t="s">
        <v>16662</v>
      </c>
      <c r="AM81" s="50" t="s">
        <v>16663</v>
      </c>
      <c r="AN81" s="50" t="s">
        <v>16664</v>
      </c>
      <c r="AO81" s="50" t="s">
        <v>16665</v>
      </c>
      <c r="AP81" s="50" t="s">
        <v>16665</v>
      </c>
      <c r="AU81" s="50" t="s">
        <v>102</v>
      </c>
      <c r="AW81" s="50" t="s">
        <v>16666</v>
      </c>
      <c r="AX81" s="50" t="s">
        <v>447</v>
      </c>
      <c r="AY81" s="50" t="s">
        <v>170</v>
      </c>
      <c r="AZ81" s="50" t="s">
        <v>118</v>
      </c>
      <c r="BB81" s="50" t="s">
        <v>120</v>
      </c>
      <c r="BC81" s="50" t="s">
        <v>2127</v>
      </c>
      <c r="BD81" s="50" t="s">
        <v>621</v>
      </c>
      <c r="BE81" s="50" t="s">
        <v>622</v>
      </c>
      <c r="BF81" s="50" t="s">
        <v>976</v>
      </c>
      <c r="BG81" s="50" t="s">
        <v>124</v>
      </c>
      <c r="BH81" s="50" t="s">
        <v>12023</v>
      </c>
      <c r="BI81" s="50" t="s">
        <v>11889</v>
      </c>
      <c r="BJ81" s="50" t="s">
        <v>127</v>
      </c>
      <c r="BK81" s="50" t="s">
        <v>16667</v>
      </c>
      <c r="BL81" s="50" t="s">
        <v>6945</v>
      </c>
      <c r="BM81" s="50" t="s">
        <v>16668</v>
      </c>
      <c r="BN81" s="50" t="s">
        <v>16657</v>
      </c>
      <c r="BO81" s="50" t="s">
        <v>981</v>
      </c>
      <c r="BP81" s="50" t="s">
        <v>132</v>
      </c>
      <c r="BQ81" s="50" t="s">
        <v>982</v>
      </c>
      <c r="BR81" s="50" t="s">
        <v>983</v>
      </c>
      <c r="BS81" s="50" t="s">
        <v>984</v>
      </c>
      <c r="BU81" s="50" t="s">
        <v>16669</v>
      </c>
      <c r="BV81" s="50" t="s">
        <v>16670</v>
      </c>
      <c r="BX81" s="50" t="s">
        <v>6949</v>
      </c>
      <c r="BY81" s="50" t="s">
        <v>6950</v>
      </c>
      <c r="BZ81" s="50" t="s">
        <v>6949</v>
      </c>
      <c r="CA81" s="50" t="s">
        <v>16671</v>
      </c>
      <c r="CB81" s="50" t="s">
        <v>16672</v>
      </c>
      <c r="CC81" s="50" t="s">
        <v>16673</v>
      </c>
      <c r="CD81" s="50" t="s">
        <v>16671</v>
      </c>
      <c r="CE81" s="50" t="s">
        <v>16672</v>
      </c>
      <c r="CF81" s="50" t="s">
        <v>16673</v>
      </c>
      <c r="CG81" s="50" t="s">
        <v>6951</v>
      </c>
      <c r="CH81" s="50" t="s">
        <v>16674</v>
      </c>
      <c r="CJ81" s="50" t="s">
        <v>6953</v>
      </c>
      <c r="CK81" s="50" t="s">
        <v>16675</v>
      </c>
      <c r="CL81" s="50" t="s">
        <v>2127</v>
      </c>
      <c r="CM81" s="50" t="s">
        <v>621</v>
      </c>
      <c r="CN81" s="50" t="s">
        <v>6953</v>
      </c>
      <c r="CO81" s="50" t="s">
        <v>6954</v>
      </c>
      <c r="CP81" s="50" t="s">
        <v>6952</v>
      </c>
      <c r="CQ81" s="50" t="s">
        <v>6952</v>
      </c>
    </row>
    <row r="82" spans="1:96">
      <c r="A82" s="50" t="s">
        <v>337</v>
      </c>
      <c r="B82" s="50">
        <v>3997080</v>
      </c>
      <c r="C82" s="50" t="s">
        <v>12018</v>
      </c>
      <c r="D82" s="50" t="s">
        <v>17736</v>
      </c>
      <c r="E82" s="50" t="str">
        <f>VLOOKUP(B82,aa!B:F,5,0)</f>
        <v>Ei CARES</v>
      </c>
      <c r="F82" s="50">
        <f>VLOOKUP(B82,aa!B:J,9,0)</f>
        <v>589297</v>
      </c>
      <c r="G82" s="50">
        <f>VLOOKUP(B82,aa!B:L,11,0)</f>
        <v>0</v>
      </c>
      <c r="H82" s="50">
        <f>VLOOKUP(B82,aa!B:O,14,0)</f>
        <v>589297</v>
      </c>
      <c r="I82" s="50">
        <f>VLOOKUP(B82,aa!B:R,17,0)</f>
        <v>0</v>
      </c>
      <c r="K82" s="50" t="s">
        <v>152</v>
      </c>
      <c r="L82" s="50">
        <v>506089</v>
      </c>
      <c r="M82" s="50">
        <v>506089</v>
      </c>
      <c r="N82" s="50">
        <v>0</v>
      </c>
      <c r="O82" s="50">
        <v>0</v>
      </c>
      <c r="Q82" s="50">
        <v>506089</v>
      </c>
      <c r="R82" s="50">
        <v>444</v>
      </c>
      <c r="S82" s="50" t="s">
        <v>1495</v>
      </c>
      <c r="T82" s="50">
        <v>0</v>
      </c>
      <c r="U82" s="50">
        <v>0</v>
      </c>
      <c r="W82" s="50" t="s">
        <v>102</v>
      </c>
      <c r="X82" s="50" t="s">
        <v>103</v>
      </c>
      <c r="Y82" s="50" t="s">
        <v>155</v>
      </c>
      <c r="AA82" s="50" t="s">
        <v>6177</v>
      </c>
      <c r="AB82" s="50" t="s">
        <v>17737</v>
      </c>
      <c r="AC82" s="50" t="s">
        <v>7439</v>
      </c>
      <c r="AD82" s="50" t="s">
        <v>17737</v>
      </c>
      <c r="AE82" s="50" t="s">
        <v>13583</v>
      </c>
      <c r="AF82" s="50" t="s">
        <v>17737</v>
      </c>
      <c r="AG82" s="50" t="s">
        <v>12728</v>
      </c>
      <c r="AH82" s="50" t="s">
        <v>17737</v>
      </c>
      <c r="AI82" s="50" t="s">
        <v>102</v>
      </c>
      <c r="AJ82" s="50" t="s">
        <v>8054</v>
      </c>
      <c r="AK82" s="50" t="s">
        <v>12931</v>
      </c>
      <c r="AL82" s="50" t="s">
        <v>17738</v>
      </c>
      <c r="AM82" s="50" t="s">
        <v>14971</v>
      </c>
      <c r="AN82" s="50" t="s">
        <v>17739</v>
      </c>
      <c r="AO82" s="50" t="s">
        <v>5460</v>
      </c>
      <c r="AP82" s="50" t="s">
        <v>5460</v>
      </c>
      <c r="AU82" s="50" t="s">
        <v>102</v>
      </c>
      <c r="AW82" s="50" t="s">
        <v>155</v>
      </c>
      <c r="AX82" s="50" t="s">
        <v>447</v>
      </c>
      <c r="AY82" s="50" t="s">
        <v>1138</v>
      </c>
      <c r="AZ82" s="50" t="s">
        <v>118</v>
      </c>
      <c r="BB82" s="50" t="s">
        <v>120</v>
      </c>
      <c r="BC82" s="50" t="s">
        <v>17740</v>
      </c>
      <c r="BD82" s="50" t="s">
        <v>345</v>
      </c>
      <c r="BE82" s="50" t="s">
        <v>122</v>
      </c>
      <c r="BF82" s="50" t="s">
        <v>346</v>
      </c>
      <c r="BG82" s="50" t="s">
        <v>124</v>
      </c>
      <c r="BH82" s="50" t="s">
        <v>5694</v>
      </c>
      <c r="BI82" s="50" t="s">
        <v>11889</v>
      </c>
      <c r="BJ82" s="50" t="s">
        <v>127</v>
      </c>
      <c r="BK82" s="50" t="s">
        <v>17741</v>
      </c>
      <c r="BL82" s="50" t="s">
        <v>17742</v>
      </c>
      <c r="BM82" s="50" t="s">
        <v>17743</v>
      </c>
      <c r="BN82" s="50" t="s">
        <v>7479</v>
      </c>
      <c r="BO82" s="50" t="s">
        <v>12226</v>
      </c>
      <c r="BP82" s="50" t="s">
        <v>350</v>
      </c>
      <c r="BQ82" s="50" t="s">
        <v>12228</v>
      </c>
      <c r="BR82" s="50" t="s">
        <v>12229</v>
      </c>
      <c r="BS82" s="50" t="s">
        <v>8623</v>
      </c>
      <c r="BU82" s="50" t="s">
        <v>17744</v>
      </c>
      <c r="BV82" s="50" t="s">
        <v>17745</v>
      </c>
      <c r="BW82" s="50" t="s">
        <v>138</v>
      </c>
      <c r="BX82" s="50" t="s">
        <v>17746</v>
      </c>
      <c r="BY82" s="50" t="s">
        <v>17747</v>
      </c>
      <c r="BZ82" s="50" t="s">
        <v>17746</v>
      </c>
      <c r="CA82" s="50" t="s">
        <v>17748</v>
      </c>
      <c r="CB82" s="50" t="s">
        <v>17746</v>
      </c>
      <c r="CC82" s="50" t="s">
        <v>17747</v>
      </c>
      <c r="CD82" s="50" t="s">
        <v>17749</v>
      </c>
      <c r="CE82" s="50" t="s">
        <v>17750</v>
      </c>
      <c r="CF82" s="50" t="s">
        <v>17751</v>
      </c>
      <c r="CG82" s="50" t="s">
        <v>1016</v>
      </c>
      <c r="CH82" s="50" t="s">
        <v>17752</v>
      </c>
      <c r="CJ82" s="50" t="s">
        <v>17753</v>
      </c>
      <c r="CK82" s="50" t="s">
        <v>17754</v>
      </c>
      <c r="CL82" s="50" t="s">
        <v>17740</v>
      </c>
      <c r="CM82" s="50" t="s">
        <v>345</v>
      </c>
      <c r="CN82" s="50" t="s">
        <v>17753</v>
      </c>
      <c r="CP82" s="50" t="s">
        <v>17755</v>
      </c>
      <c r="CQ82" s="50" t="s">
        <v>17755</v>
      </c>
    </row>
    <row r="83" spans="1:96">
      <c r="A83" s="50" t="s">
        <v>93</v>
      </c>
      <c r="B83" s="50">
        <v>347614</v>
      </c>
      <c r="C83" s="50" t="s">
        <v>3562</v>
      </c>
      <c r="D83" s="50" t="s">
        <v>6296</v>
      </c>
      <c r="E83" s="50" t="str">
        <f>VLOOKUP(B83,aa!B:F,5,0)</f>
        <v>Ei ASSET</v>
      </c>
      <c r="F83" s="50">
        <f>VLOOKUP(B83,aa!B:J,9,0)</f>
        <v>378405</v>
      </c>
      <c r="G83" s="50">
        <f>VLOOKUP(B83,aa!B:L,11,0)</f>
        <v>378405</v>
      </c>
      <c r="H83" s="50">
        <f>VLOOKUP(B83,aa!B:O,14,0)</f>
        <v>0</v>
      </c>
      <c r="I83" s="50">
        <f>VLOOKUP(B83,aa!B:R,17,0)</f>
        <v>0</v>
      </c>
      <c r="K83" s="50" t="s">
        <v>643</v>
      </c>
      <c r="L83" s="50">
        <v>1457489</v>
      </c>
      <c r="M83" s="50">
        <v>1630084</v>
      </c>
      <c r="N83" s="50">
        <v>0</v>
      </c>
      <c r="O83" s="50">
        <v>0</v>
      </c>
      <c r="Q83" s="50">
        <v>498628</v>
      </c>
      <c r="R83" s="50">
        <v>454</v>
      </c>
      <c r="S83" s="50" t="s">
        <v>16205</v>
      </c>
      <c r="T83" s="50">
        <v>958861</v>
      </c>
      <c r="U83" s="50">
        <v>728</v>
      </c>
      <c r="V83" s="50" t="s">
        <v>5240</v>
      </c>
      <c r="W83" s="50" t="s">
        <v>102</v>
      </c>
      <c r="X83" s="50" t="s">
        <v>103</v>
      </c>
      <c r="Y83" s="50" t="s">
        <v>801</v>
      </c>
      <c r="AA83" s="50" t="s">
        <v>16206</v>
      </c>
      <c r="AB83" s="50" t="s">
        <v>16207</v>
      </c>
      <c r="AC83" s="50" t="s">
        <v>15091</v>
      </c>
      <c r="AD83" s="50" t="s">
        <v>16207</v>
      </c>
      <c r="AE83" s="50" t="s">
        <v>12571</v>
      </c>
      <c r="AF83" s="50" t="s">
        <v>16208</v>
      </c>
      <c r="AG83" s="50" t="s">
        <v>13263</v>
      </c>
      <c r="AH83" s="50" t="s">
        <v>16208</v>
      </c>
      <c r="AI83" s="50" t="s">
        <v>16209</v>
      </c>
      <c r="AJ83" s="50" t="s">
        <v>16210</v>
      </c>
      <c r="AK83" s="50" t="s">
        <v>16162</v>
      </c>
      <c r="AL83" s="50" t="s">
        <v>16211</v>
      </c>
      <c r="AM83" s="50" t="s">
        <v>16212</v>
      </c>
      <c r="AN83" s="50" t="s">
        <v>16213</v>
      </c>
      <c r="AO83" s="50" t="s">
        <v>16214</v>
      </c>
      <c r="AP83" s="50" t="s">
        <v>16214</v>
      </c>
      <c r="AU83" s="50" t="s">
        <v>102</v>
      </c>
      <c r="AW83" s="50" t="s">
        <v>655</v>
      </c>
      <c r="AX83" s="50" t="s">
        <v>119</v>
      </c>
      <c r="AY83" s="50" t="s">
        <v>170</v>
      </c>
      <c r="AZ83" s="50" t="s">
        <v>118</v>
      </c>
      <c r="BA83" s="50" t="s">
        <v>250</v>
      </c>
      <c r="BB83" s="50" t="s">
        <v>120</v>
      </c>
      <c r="BC83" s="50" t="s">
        <v>6305</v>
      </c>
      <c r="BD83" s="50" t="s">
        <v>730</v>
      </c>
      <c r="BE83" s="50" t="s">
        <v>622</v>
      </c>
      <c r="BF83" s="50" t="s">
        <v>730</v>
      </c>
      <c r="BG83" s="50" t="s">
        <v>124</v>
      </c>
      <c r="BH83" s="50" t="s">
        <v>12023</v>
      </c>
      <c r="BI83" s="50" t="s">
        <v>11889</v>
      </c>
      <c r="BJ83" s="50" t="s">
        <v>127</v>
      </c>
      <c r="BK83" s="50" t="s">
        <v>16215</v>
      </c>
      <c r="BL83" s="50" t="s">
        <v>6307</v>
      </c>
      <c r="BM83" s="50" t="s">
        <v>16216</v>
      </c>
      <c r="BN83" s="50" t="s">
        <v>16204</v>
      </c>
      <c r="BO83" s="50" t="s">
        <v>2262</v>
      </c>
      <c r="BP83" s="50" t="s">
        <v>350</v>
      </c>
      <c r="BQ83" s="50" t="s">
        <v>2263</v>
      </c>
      <c r="BR83" s="50" t="s">
        <v>2264</v>
      </c>
      <c r="BS83" s="50" t="s">
        <v>2569</v>
      </c>
      <c r="BU83" s="50" t="s">
        <v>16217</v>
      </c>
      <c r="BV83" s="50" t="s">
        <v>6310</v>
      </c>
      <c r="BW83" s="50" t="s">
        <v>138</v>
      </c>
      <c r="BX83" s="50" t="s">
        <v>16218</v>
      </c>
      <c r="BY83" s="50" t="s">
        <v>16219</v>
      </c>
      <c r="BZ83" s="50" t="s">
        <v>6313</v>
      </c>
      <c r="CA83" s="50" t="s">
        <v>16220</v>
      </c>
      <c r="CB83" s="50" t="s">
        <v>6311</v>
      </c>
      <c r="CC83" s="50" t="s">
        <v>16219</v>
      </c>
      <c r="CD83" s="50" t="s">
        <v>16220</v>
      </c>
      <c r="CE83" s="50" t="s">
        <v>6311</v>
      </c>
      <c r="CF83" s="50" t="s">
        <v>16219</v>
      </c>
      <c r="CG83" s="50" t="s">
        <v>907</v>
      </c>
      <c r="CH83" s="50" t="s">
        <v>16221</v>
      </c>
      <c r="CJ83" s="50" t="s">
        <v>6315</v>
      </c>
      <c r="CK83" s="50" t="s">
        <v>16222</v>
      </c>
      <c r="CL83" s="50" t="s">
        <v>6305</v>
      </c>
      <c r="CM83" s="50" t="s">
        <v>730</v>
      </c>
      <c r="CN83" s="50" t="s">
        <v>6315</v>
      </c>
      <c r="CO83" s="50" t="s">
        <v>6316</v>
      </c>
      <c r="CP83" s="50" t="s">
        <v>6314</v>
      </c>
      <c r="CQ83" s="50" t="s">
        <v>6314</v>
      </c>
    </row>
    <row r="84" spans="1:96">
      <c r="A84" s="50" t="s">
        <v>337</v>
      </c>
      <c r="B84" s="50">
        <v>5018471</v>
      </c>
      <c r="C84" s="50" t="s">
        <v>12423</v>
      </c>
      <c r="D84" s="50" t="s">
        <v>19829</v>
      </c>
      <c r="E84" s="50" t="e">
        <f>VLOOKUP(B84,aa!B:F,5,0)</f>
        <v>#N/A</v>
      </c>
      <c r="F84" s="50" t="e">
        <f>VLOOKUP(B84,aa!B:J,9,0)</f>
        <v>#N/A</v>
      </c>
      <c r="G84" s="50" t="e">
        <f>VLOOKUP(B84,aa!B:L,11,0)</f>
        <v>#N/A</v>
      </c>
      <c r="H84" s="50" t="e">
        <f>VLOOKUP(B84,aa!B:O,14,0)</f>
        <v>#N/A</v>
      </c>
      <c r="I84" s="50" t="e">
        <f>VLOOKUP(B84,aa!B:R,17,0)</f>
        <v>#N/A</v>
      </c>
      <c r="K84" s="50" t="s">
        <v>848</v>
      </c>
      <c r="L84" s="50">
        <v>97644</v>
      </c>
      <c r="M84" s="50">
        <v>115220</v>
      </c>
      <c r="N84" s="50">
        <v>0</v>
      </c>
      <c r="O84" s="50">
        <v>0</v>
      </c>
      <c r="Q84" s="50">
        <v>0</v>
      </c>
      <c r="R84" s="50">
        <v>0</v>
      </c>
      <c r="T84" s="50">
        <v>97644</v>
      </c>
      <c r="U84" s="50">
        <v>36</v>
      </c>
      <c r="V84" s="50" t="s">
        <v>6544</v>
      </c>
      <c r="W84" s="50" t="s">
        <v>102</v>
      </c>
      <c r="X84" s="50" t="s">
        <v>103</v>
      </c>
      <c r="Y84" s="50" t="s">
        <v>104</v>
      </c>
      <c r="AA84" s="50" t="s">
        <v>5755</v>
      </c>
      <c r="AB84" s="50" t="s">
        <v>19830</v>
      </c>
      <c r="AC84" s="50" t="s">
        <v>1408</v>
      </c>
      <c r="AD84" s="50" t="s">
        <v>19830</v>
      </c>
      <c r="AE84" s="50" t="s">
        <v>109</v>
      </c>
      <c r="AF84" s="50" t="s">
        <v>102</v>
      </c>
      <c r="AG84" s="50" t="s">
        <v>109</v>
      </c>
      <c r="AH84" s="50" t="s">
        <v>102</v>
      </c>
      <c r="AI84" s="50" t="s">
        <v>102</v>
      </c>
      <c r="AJ84" s="50" t="s">
        <v>13075</v>
      </c>
      <c r="AK84" s="50" t="s">
        <v>13075</v>
      </c>
      <c r="AL84" s="50" t="s">
        <v>19831</v>
      </c>
      <c r="AM84" s="50" t="s">
        <v>19832</v>
      </c>
      <c r="AN84" s="50" t="s">
        <v>19833</v>
      </c>
      <c r="AO84" s="50" t="s">
        <v>13347</v>
      </c>
      <c r="AP84" s="50" t="s">
        <v>13347</v>
      </c>
      <c r="AU84" s="50" t="s">
        <v>102</v>
      </c>
      <c r="AW84" s="50" t="s">
        <v>102</v>
      </c>
      <c r="AX84" s="50" t="s">
        <v>119</v>
      </c>
      <c r="BA84" s="50" t="s">
        <v>250</v>
      </c>
      <c r="BB84" s="50" t="s">
        <v>1242</v>
      </c>
      <c r="BC84" s="50" t="s">
        <v>1759</v>
      </c>
      <c r="BD84" s="50" t="s">
        <v>410</v>
      </c>
      <c r="BE84" s="50" t="s">
        <v>212</v>
      </c>
      <c r="BF84" s="50" t="s">
        <v>410</v>
      </c>
      <c r="BG84" s="50" t="s">
        <v>124</v>
      </c>
      <c r="BH84" s="50" t="s">
        <v>5755</v>
      </c>
      <c r="BI84" s="50" t="s">
        <v>11889</v>
      </c>
      <c r="BJ84" s="50" t="s">
        <v>127</v>
      </c>
      <c r="BK84" s="50" t="s">
        <v>19834</v>
      </c>
      <c r="BL84" s="50" t="s">
        <v>19835</v>
      </c>
      <c r="BM84" s="50" t="s">
        <v>19836</v>
      </c>
      <c r="BN84" s="50" t="s">
        <v>5015</v>
      </c>
      <c r="BO84" s="50" t="s">
        <v>1582</v>
      </c>
      <c r="BP84" s="50" t="s">
        <v>132</v>
      </c>
      <c r="BQ84" s="50" t="s">
        <v>1583</v>
      </c>
      <c r="BR84" s="50" t="s">
        <v>1584</v>
      </c>
      <c r="BS84" s="50" t="s">
        <v>4056</v>
      </c>
      <c r="BU84" s="50" t="s">
        <v>19837</v>
      </c>
      <c r="BV84" s="50" t="s">
        <v>19838</v>
      </c>
      <c r="BW84" s="50" t="s">
        <v>138</v>
      </c>
      <c r="BX84" s="50" t="s">
        <v>19839</v>
      </c>
      <c r="BY84" s="50" t="s">
        <v>19840</v>
      </c>
      <c r="BZ84" s="50" t="s">
        <v>19839</v>
      </c>
      <c r="CA84" s="50" t="s">
        <v>19841</v>
      </c>
      <c r="CB84" s="50" t="s">
        <v>19839</v>
      </c>
      <c r="CC84" s="50" t="s">
        <v>19842</v>
      </c>
      <c r="CD84" s="50" t="s">
        <v>19843</v>
      </c>
      <c r="CE84" s="50" t="s">
        <v>19839</v>
      </c>
      <c r="CF84" s="50" t="s">
        <v>19844</v>
      </c>
      <c r="CG84" s="50" t="s">
        <v>13597</v>
      </c>
      <c r="CH84" s="50" t="s">
        <v>19845</v>
      </c>
      <c r="CJ84" s="50" t="s">
        <v>2740</v>
      </c>
      <c r="CK84" s="50" t="s">
        <v>19845</v>
      </c>
      <c r="CL84" s="50" t="s">
        <v>1759</v>
      </c>
      <c r="CM84" s="50" t="s">
        <v>9715</v>
      </c>
      <c r="CN84" s="50" t="s">
        <v>2740</v>
      </c>
      <c r="CP84" s="50" t="s">
        <v>16051</v>
      </c>
      <c r="CQ84" s="50" t="s">
        <v>16051</v>
      </c>
      <c r="CR84" s="50" t="s">
        <v>26042</v>
      </c>
    </row>
    <row r="85" spans="1:96">
      <c r="A85" s="50" t="s">
        <v>337</v>
      </c>
      <c r="B85" s="50">
        <v>3218539</v>
      </c>
      <c r="C85" s="50" t="s">
        <v>12155</v>
      </c>
      <c r="D85" s="50" t="s">
        <v>15214</v>
      </c>
      <c r="E85" s="50" t="str">
        <f>VLOOKUP(B85,aa!B:F,5,0)</f>
        <v>Ei CARES</v>
      </c>
      <c r="F85" s="50">
        <f>VLOOKUP(B85,aa!B:J,9,0)</f>
        <v>879043</v>
      </c>
      <c r="G85" s="50">
        <f>VLOOKUP(B85,aa!B:L,11,0)</f>
        <v>0</v>
      </c>
      <c r="H85" s="50">
        <f>VLOOKUP(B85,aa!B:O,14,0)</f>
        <v>879043</v>
      </c>
      <c r="I85" s="50">
        <f>VLOOKUP(B85,aa!B:R,17,0)</f>
        <v>0</v>
      </c>
      <c r="K85" s="50" t="s">
        <v>152</v>
      </c>
      <c r="L85" s="50">
        <v>859394</v>
      </c>
      <c r="M85" s="50">
        <v>859394</v>
      </c>
      <c r="N85" s="50">
        <v>0</v>
      </c>
      <c r="O85" s="50">
        <v>0</v>
      </c>
      <c r="Q85" s="50">
        <v>859394</v>
      </c>
      <c r="R85" s="50">
        <v>1532</v>
      </c>
      <c r="S85" s="50" t="s">
        <v>15216</v>
      </c>
      <c r="T85" s="50">
        <v>0</v>
      </c>
      <c r="U85" s="50">
        <v>0</v>
      </c>
      <c r="W85" s="50" t="s">
        <v>102</v>
      </c>
      <c r="X85" s="50" t="s">
        <v>103</v>
      </c>
      <c r="Y85" s="50" t="s">
        <v>801</v>
      </c>
      <c r="AA85" s="50" t="s">
        <v>15217</v>
      </c>
      <c r="AB85" s="50" t="s">
        <v>15218</v>
      </c>
      <c r="AC85" s="50" t="s">
        <v>15219</v>
      </c>
      <c r="AD85" s="50" t="s">
        <v>15218</v>
      </c>
      <c r="AE85" s="50" t="s">
        <v>15220</v>
      </c>
      <c r="AF85" s="50" t="s">
        <v>15218</v>
      </c>
      <c r="AG85" s="50" t="s">
        <v>12516</v>
      </c>
      <c r="AH85" s="50" t="s">
        <v>15218</v>
      </c>
      <c r="AI85" s="50" t="s">
        <v>102</v>
      </c>
      <c r="AJ85" s="50" t="s">
        <v>442</v>
      </c>
      <c r="AK85" s="50" t="s">
        <v>15221</v>
      </c>
      <c r="AL85" s="50" t="s">
        <v>15222</v>
      </c>
      <c r="AM85" s="50" t="s">
        <v>15223</v>
      </c>
      <c r="AN85" s="50" t="s">
        <v>15224</v>
      </c>
      <c r="AO85" s="50" t="s">
        <v>15225</v>
      </c>
      <c r="AP85" s="50" t="s">
        <v>15225</v>
      </c>
      <c r="AU85" s="50" t="s">
        <v>102</v>
      </c>
      <c r="AW85" s="50" t="s">
        <v>155</v>
      </c>
      <c r="AX85" s="50" t="s">
        <v>447</v>
      </c>
      <c r="AY85" s="50" t="s">
        <v>170</v>
      </c>
      <c r="AZ85" s="50" t="s">
        <v>118</v>
      </c>
      <c r="BB85" s="50" t="s">
        <v>120</v>
      </c>
      <c r="BC85" s="50" t="s">
        <v>3754</v>
      </c>
      <c r="BD85" s="50" t="s">
        <v>173</v>
      </c>
      <c r="BE85" s="50" t="s">
        <v>174</v>
      </c>
      <c r="BF85" s="50" t="s">
        <v>173</v>
      </c>
      <c r="BG85" s="50" t="s">
        <v>124</v>
      </c>
      <c r="BH85" s="50" t="s">
        <v>4909</v>
      </c>
      <c r="BI85" s="50" t="s">
        <v>14455</v>
      </c>
      <c r="BJ85" s="50" t="s">
        <v>127</v>
      </c>
      <c r="BK85" s="50" t="s">
        <v>15226</v>
      </c>
      <c r="BL85" s="50" t="s">
        <v>15227</v>
      </c>
      <c r="BM85" s="50" t="s">
        <v>15228</v>
      </c>
      <c r="BN85" s="50" t="s">
        <v>15215</v>
      </c>
      <c r="BO85" s="50" t="s">
        <v>8447</v>
      </c>
      <c r="BP85" s="50" t="s">
        <v>7992</v>
      </c>
      <c r="BQ85" s="50" t="s">
        <v>8448</v>
      </c>
      <c r="BR85" s="50" t="s">
        <v>8449</v>
      </c>
      <c r="BS85" s="50" t="s">
        <v>8450</v>
      </c>
      <c r="BU85" s="50" t="s">
        <v>15229</v>
      </c>
      <c r="BV85" s="50" t="s">
        <v>15230</v>
      </c>
      <c r="BW85" s="50" t="s">
        <v>354</v>
      </c>
      <c r="BX85" s="50" t="s">
        <v>15231</v>
      </c>
      <c r="BY85" s="50" t="s">
        <v>15232</v>
      </c>
      <c r="BZ85" s="50" t="s">
        <v>15233</v>
      </c>
      <c r="CA85" s="50" t="s">
        <v>15234</v>
      </c>
      <c r="CB85" s="50" t="s">
        <v>15235</v>
      </c>
      <c r="CC85" s="50" t="s">
        <v>15236</v>
      </c>
      <c r="CD85" s="50" t="s">
        <v>15237</v>
      </c>
      <c r="CE85" s="50" t="s">
        <v>15238</v>
      </c>
      <c r="CF85" s="50" t="s">
        <v>15239</v>
      </c>
      <c r="CG85" s="50" t="s">
        <v>14754</v>
      </c>
      <c r="CH85" s="50" t="s">
        <v>15240</v>
      </c>
      <c r="CJ85" s="50" t="s">
        <v>15241</v>
      </c>
      <c r="CK85" s="50" t="s">
        <v>15242</v>
      </c>
      <c r="CL85" s="50" t="s">
        <v>3754</v>
      </c>
      <c r="CM85" s="50" t="s">
        <v>173</v>
      </c>
      <c r="CN85" s="50" t="s">
        <v>15241</v>
      </c>
      <c r="CP85" s="50" t="s">
        <v>15243</v>
      </c>
      <c r="CQ85" s="50" t="s">
        <v>15243</v>
      </c>
    </row>
    <row r="86" spans="1:96">
      <c r="A86" s="50" t="s">
        <v>337</v>
      </c>
      <c r="B86" s="50">
        <v>119874</v>
      </c>
      <c r="C86" s="50" t="s">
        <v>12096</v>
      </c>
      <c r="D86" s="50" t="s">
        <v>12243</v>
      </c>
      <c r="E86" s="50" t="str">
        <f>VLOOKUP(B86,aa!B:F,5,0)</f>
        <v>Ei Mindspark</v>
      </c>
      <c r="F86" s="50">
        <f>VLOOKUP(B86,aa!B:J,9,0)</f>
        <v>602572</v>
      </c>
      <c r="G86" s="50">
        <f>VLOOKUP(B86,aa!B:L,11,0)</f>
        <v>0</v>
      </c>
      <c r="H86" s="50">
        <f>VLOOKUP(B86,aa!B:O,14,0)</f>
        <v>0</v>
      </c>
      <c r="I86" s="50">
        <f>VLOOKUP(B86,aa!B:R,17,0)</f>
        <v>602572</v>
      </c>
      <c r="K86" s="50" t="s">
        <v>848</v>
      </c>
      <c r="L86" s="50">
        <v>360272</v>
      </c>
      <c r="M86" s="50">
        <v>425121</v>
      </c>
      <c r="N86" s="50">
        <v>0</v>
      </c>
      <c r="O86" s="50">
        <v>0</v>
      </c>
      <c r="Q86" s="50">
        <v>0</v>
      </c>
      <c r="R86" s="50">
        <v>0</v>
      </c>
      <c r="T86" s="50">
        <v>360272</v>
      </c>
      <c r="U86" s="50">
        <v>250</v>
      </c>
      <c r="V86" s="50" t="s">
        <v>4082</v>
      </c>
      <c r="W86" s="50" t="s">
        <v>102</v>
      </c>
      <c r="X86" s="50" t="s">
        <v>103</v>
      </c>
      <c r="Y86" s="50" t="s">
        <v>155</v>
      </c>
      <c r="AA86" s="50" t="s">
        <v>12023</v>
      </c>
      <c r="AB86" s="50" t="s">
        <v>12244</v>
      </c>
      <c r="AC86" s="50" t="s">
        <v>11976</v>
      </c>
      <c r="AD86" s="50" t="s">
        <v>12244</v>
      </c>
      <c r="AE86" s="50" t="s">
        <v>5651</v>
      </c>
      <c r="AF86" s="50" t="s">
        <v>12244</v>
      </c>
      <c r="AG86" s="50" t="s">
        <v>12084</v>
      </c>
      <c r="AH86" s="50" t="s">
        <v>12244</v>
      </c>
      <c r="AI86" s="50" t="s">
        <v>12245</v>
      </c>
      <c r="AJ86" s="50" t="s">
        <v>8186</v>
      </c>
      <c r="AK86" s="50" t="s">
        <v>12086</v>
      </c>
      <c r="AL86" s="50" t="s">
        <v>12246</v>
      </c>
      <c r="AM86" s="50" t="s">
        <v>12247</v>
      </c>
      <c r="AN86" s="50" t="s">
        <v>12248</v>
      </c>
      <c r="AO86" s="50" t="s">
        <v>12249</v>
      </c>
      <c r="AP86" s="50" t="s">
        <v>12249</v>
      </c>
      <c r="AU86" s="50" t="s">
        <v>102</v>
      </c>
      <c r="AW86" s="50" t="s">
        <v>102</v>
      </c>
      <c r="AX86" s="50" t="s">
        <v>119</v>
      </c>
      <c r="BA86" s="50" t="s">
        <v>250</v>
      </c>
      <c r="BB86" s="50" t="s">
        <v>171</v>
      </c>
      <c r="BC86" s="50" t="s">
        <v>375</v>
      </c>
      <c r="BD86" s="50" t="s">
        <v>376</v>
      </c>
      <c r="BE86" s="50" t="s">
        <v>174</v>
      </c>
      <c r="BF86" s="50" t="s">
        <v>376</v>
      </c>
      <c r="BG86" s="50" t="s">
        <v>124</v>
      </c>
      <c r="BH86" s="50" t="s">
        <v>6341</v>
      </c>
      <c r="BI86" s="50" t="s">
        <v>12250</v>
      </c>
      <c r="BJ86" s="50" t="s">
        <v>127</v>
      </c>
      <c r="BK86" s="50" t="s">
        <v>12251</v>
      </c>
      <c r="BL86" s="50" t="s">
        <v>12252</v>
      </c>
      <c r="BM86" s="50" t="s">
        <v>12253</v>
      </c>
      <c r="BN86" s="50" t="s">
        <v>3988</v>
      </c>
      <c r="BO86" s="50" t="s">
        <v>6926</v>
      </c>
      <c r="BP86" s="50" t="s">
        <v>180</v>
      </c>
      <c r="BQ86" s="50" t="s">
        <v>6927</v>
      </c>
      <c r="BR86" s="50" t="s">
        <v>6928</v>
      </c>
      <c r="BS86" s="50" t="s">
        <v>1858</v>
      </c>
      <c r="BU86" s="50" t="s">
        <v>12254</v>
      </c>
      <c r="BV86" s="50" t="s">
        <v>12255</v>
      </c>
      <c r="BW86" s="50" t="s">
        <v>598</v>
      </c>
      <c r="BX86" s="50" t="s">
        <v>12256</v>
      </c>
      <c r="BY86" s="50" t="s">
        <v>12257</v>
      </c>
      <c r="BZ86" s="50" t="s">
        <v>12258</v>
      </c>
      <c r="CA86" s="50" t="s">
        <v>12259</v>
      </c>
      <c r="CB86" s="50" t="s">
        <v>12260</v>
      </c>
      <c r="CC86" s="50" t="s">
        <v>12261</v>
      </c>
      <c r="CD86" s="50" t="s">
        <v>12259</v>
      </c>
      <c r="CE86" s="50" t="s">
        <v>12260</v>
      </c>
      <c r="CF86" s="50" t="s">
        <v>12261</v>
      </c>
      <c r="CG86" s="50" t="s">
        <v>12262</v>
      </c>
      <c r="CH86" s="50" t="s">
        <v>12263</v>
      </c>
      <c r="CJ86" s="50" t="s">
        <v>12264</v>
      </c>
      <c r="CK86" s="50" t="s">
        <v>12263</v>
      </c>
      <c r="CL86" s="50" t="s">
        <v>375</v>
      </c>
      <c r="CM86" s="50" t="s">
        <v>376</v>
      </c>
      <c r="CN86" s="50" t="s">
        <v>12264</v>
      </c>
      <c r="CO86" s="50" t="s">
        <v>12265</v>
      </c>
      <c r="CP86" s="50" t="s">
        <v>12263</v>
      </c>
      <c r="CQ86" s="50" t="s">
        <v>12263</v>
      </c>
    </row>
    <row r="87" spans="1:96">
      <c r="A87" s="50" t="s">
        <v>149</v>
      </c>
      <c r="B87" s="50">
        <v>1722766</v>
      </c>
      <c r="C87" s="50" t="s">
        <v>11995</v>
      </c>
      <c r="D87" s="50" t="s">
        <v>1597</v>
      </c>
      <c r="E87" s="50" t="str">
        <f>VLOOKUP(B87,aa!B:F,5,0)</f>
        <v>Ei CARES</v>
      </c>
      <c r="F87" s="50">
        <f>VLOOKUP(B87,aa!B:J,9,0)</f>
        <v>1164481</v>
      </c>
      <c r="G87" s="50">
        <f>VLOOKUP(B87,aa!B:L,11,0)</f>
        <v>0</v>
      </c>
      <c r="H87" s="50">
        <f>VLOOKUP(B87,aa!B:O,14,0)</f>
        <v>1164481</v>
      </c>
      <c r="I87" s="50">
        <f>VLOOKUP(B87,aa!B:R,17,0)</f>
        <v>0</v>
      </c>
      <c r="K87" s="50" t="s">
        <v>152</v>
      </c>
      <c r="L87" s="50">
        <v>989996</v>
      </c>
      <c r="M87" s="50">
        <v>989996</v>
      </c>
      <c r="N87" s="50">
        <v>0</v>
      </c>
      <c r="O87" s="50">
        <v>0</v>
      </c>
      <c r="Q87" s="50">
        <v>989996</v>
      </c>
      <c r="R87" s="50">
        <v>630</v>
      </c>
      <c r="S87" s="50" t="s">
        <v>12856</v>
      </c>
      <c r="T87" s="50">
        <v>0</v>
      </c>
      <c r="U87" s="50">
        <v>0</v>
      </c>
      <c r="W87" s="50" t="s">
        <v>102</v>
      </c>
      <c r="X87" s="50" t="s">
        <v>103</v>
      </c>
      <c r="Y87" s="50" t="s">
        <v>155</v>
      </c>
      <c r="AA87" s="50" t="s">
        <v>12492</v>
      </c>
      <c r="AB87" s="50" t="s">
        <v>12857</v>
      </c>
      <c r="AC87" s="50" t="s">
        <v>12800</v>
      </c>
      <c r="AD87" s="50" t="s">
        <v>12857</v>
      </c>
      <c r="AE87" s="50" t="s">
        <v>12099</v>
      </c>
      <c r="AF87" s="50" t="s">
        <v>12857</v>
      </c>
      <c r="AG87" s="50" t="s">
        <v>12713</v>
      </c>
      <c r="AH87" s="50" t="s">
        <v>12857</v>
      </c>
      <c r="AI87" s="50" t="s">
        <v>102</v>
      </c>
      <c r="AJ87" s="50" t="s">
        <v>12858</v>
      </c>
      <c r="AK87" s="50" t="s">
        <v>12859</v>
      </c>
      <c r="AL87" s="50" t="s">
        <v>12860</v>
      </c>
      <c r="AM87" s="50" t="s">
        <v>12861</v>
      </c>
      <c r="AN87" s="50" t="s">
        <v>12862</v>
      </c>
      <c r="AO87" s="50" t="s">
        <v>12863</v>
      </c>
      <c r="AP87" s="50" t="s">
        <v>12863</v>
      </c>
      <c r="AU87" s="50" t="s">
        <v>102</v>
      </c>
      <c r="AW87" s="50" t="s">
        <v>155</v>
      </c>
      <c r="AX87" s="50" t="s">
        <v>119</v>
      </c>
      <c r="AY87" s="50" t="s">
        <v>1138</v>
      </c>
      <c r="AZ87" s="50" t="s">
        <v>118</v>
      </c>
      <c r="BB87" s="50" t="s">
        <v>120</v>
      </c>
      <c r="BC87" s="50" t="s">
        <v>1609</v>
      </c>
      <c r="BD87" s="50" t="s">
        <v>285</v>
      </c>
      <c r="BE87" s="50" t="s">
        <v>212</v>
      </c>
      <c r="BF87" s="50" t="s">
        <v>286</v>
      </c>
      <c r="BG87" s="50" t="s">
        <v>124</v>
      </c>
      <c r="BH87" s="50" t="s">
        <v>11959</v>
      </c>
      <c r="BI87" s="50" t="s">
        <v>11889</v>
      </c>
      <c r="BJ87" s="50" t="s">
        <v>127</v>
      </c>
      <c r="BK87" s="50" t="s">
        <v>12864</v>
      </c>
      <c r="BL87" s="50" t="s">
        <v>1611</v>
      </c>
      <c r="BM87" s="50" t="s">
        <v>12865</v>
      </c>
      <c r="BN87" s="50" t="s">
        <v>3988</v>
      </c>
      <c r="BO87" s="50" t="s">
        <v>956</v>
      </c>
      <c r="BP87" s="50" t="s">
        <v>132</v>
      </c>
      <c r="BQ87" s="50" t="s">
        <v>958</v>
      </c>
      <c r="BR87" s="50" t="s">
        <v>959</v>
      </c>
      <c r="BS87" s="50" t="s">
        <v>293</v>
      </c>
      <c r="BU87" s="50" t="s">
        <v>12866</v>
      </c>
      <c r="BV87" s="50" t="s">
        <v>12867</v>
      </c>
      <c r="BX87" s="50" t="s">
        <v>12868</v>
      </c>
      <c r="BY87" s="50" t="s">
        <v>1616</v>
      </c>
      <c r="BZ87" s="50" t="s">
        <v>1617</v>
      </c>
      <c r="CA87" s="50" t="s">
        <v>12869</v>
      </c>
      <c r="CB87" s="50" t="s">
        <v>1618</v>
      </c>
      <c r="CC87" s="50" t="s">
        <v>1619</v>
      </c>
      <c r="CD87" s="50" t="s">
        <v>12867</v>
      </c>
      <c r="CE87" s="50" t="s">
        <v>12868</v>
      </c>
      <c r="CF87" s="50" t="s">
        <v>1616</v>
      </c>
      <c r="CG87" s="50" t="s">
        <v>102</v>
      </c>
      <c r="CH87" s="50" t="s">
        <v>12870</v>
      </c>
      <c r="CJ87" s="50" t="s">
        <v>1622</v>
      </c>
      <c r="CL87" s="50" t="s">
        <v>1609</v>
      </c>
      <c r="CM87" s="50" t="s">
        <v>285</v>
      </c>
      <c r="CN87" s="50" t="s">
        <v>1622</v>
      </c>
      <c r="CP87" s="50" t="s">
        <v>1621</v>
      </c>
      <c r="CQ87" s="50" t="s">
        <v>1621</v>
      </c>
    </row>
    <row r="88" spans="1:96">
      <c r="A88" s="50" t="s">
        <v>149</v>
      </c>
      <c r="B88" s="50">
        <v>209833</v>
      </c>
      <c r="C88" s="50" t="s">
        <v>2525</v>
      </c>
      <c r="D88" s="50" t="s">
        <v>2671</v>
      </c>
      <c r="E88" s="50" t="e">
        <f>VLOOKUP(B88,aa!B:F,5,0)</f>
        <v>#N/A</v>
      </c>
      <c r="F88" s="50" t="e">
        <f>VLOOKUP(B88,aa!B:J,9,0)</f>
        <v>#N/A</v>
      </c>
      <c r="G88" s="50" t="e">
        <f>VLOOKUP(B88,aa!B:L,11,0)</f>
        <v>#N/A</v>
      </c>
      <c r="H88" s="50" t="e">
        <f>VLOOKUP(B88,aa!B:O,14,0)</f>
        <v>#N/A</v>
      </c>
      <c r="I88" s="50" t="e">
        <f>VLOOKUP(B88,aa!B:R,17,0)</f>
        <v>#N/A</v>
      </c>
      <c r="K88" s="50" t="s">
        <v>152</v>
      </c>
      <c r="L88" s="50">
        <v>360030</v>
      </c>
      <c r="M88" s="50">
        <v>360030</v>
      </c>
      <c r="N88" s="50">
        <v>0</v>
      </c>
      <c r="O88" s="50">
        <v>0</v>
      </c>
      <c r="Q88" s="50">
        <v>360030</v>
      </c>
      <c r="R88" s="50">
        <v>150</v>
      </c>
      <c r="S88" s="50" t="s">
        <v>4372</v>
      </c>
      <c r="T88" s="50">
        <v>0</v>
      </c>
      <c r="U88" s="50">
        <v>0</v>
      </c>
      <c r="W88" s="50" t="s">
        <v>102</v>
      </c>
      <c r="X88" s="50" t="s">
        <v>103</v>
      </c>
      <c r="Y88" s="50" t="s">
        <v>104</v>
      </c>
      <c r="AA88" s="50" t="s">
        <v>12023</v>
      </c>
      <c r="AB88" s="50" t="s">
        <v>13528</v>
      </c>
      <c r="AC88" s="50" t="s">
        <v>12496</v>
      </c>
      <c r="AD88" s="50" t="s">
        <v>13528</v>
      </c>
      <c r="AE88" s="50" t="s">
        <v>109</v>
      </c>
      <c r="AF88" s="50" t="s">
        <v>102</v>
      </c>
      <c r="AG88" s="50" t="s">
        <v>109</v>
      </c>
      <c r="AH88" s="50" t="s">
        <v>102</v>
      </c>
      <c r="AI88" s="50" t="s">
        <v>102</v>
      </c>
      <c r="AJ88" s="50" t="s">
        <v>4836</v>
      </c>
      <c r="AK88" s="50" t="s">
        <v>13529</v>
      </c>
      <c r="AL88" s="50" t="s">
        <v>13530</v>
      </c>
      <c r="AM88" s="50" t="s">
        <v>13531</v>
      </c>
      <c r="AN88" s="50" t="s">
        <v>13532</v>
      </c>
      <c r="AO88" s="50" t="s">
        <v>4378</v>
      </c>
      <c r="AP88" s="50" t="s">
        <v>13533</v>
      </c>
      <c r="AT88" s="50" t="s">
        <v>169</v>
      </c>
      <c r="AU88" s="50" t="s">
        <v>102</v>
      </c>
      <c r="AW88" s="50" t="s">
        <v>155</v>
      </c>
      <c r="AX88" s="50" t="s">
        <v>119</v>
      </c>
      <c r="AY88" s="50" t="s">
        <v>170</v>
      </c>
      <c r="AZ88" s="50" t="s">
        <v>118</v>
      </c>
      <c r="BB88" s="50" t="s">
        <v>171</v>
      </c>
      <c r="BC88" s="50" t="s">
        <v>729</v>
      </c>
      <c r="BD88" s="50" t="s">
        <v>730</v>
      </c>
      <c r="BE88" s="50" t="s">
        <v>622</v>
      </c>
      <c r="BF88" s="50" t="s">
        <v>730</v>
      </c>
      <c r="BG88" s="50" t="s">
        <v>124</v>
      </c>
      <c r="BH88" s="50" t="s">
        <v>12023</v>
      </c>
      <c r="BI88" s="50" t="s">
        <v>11889</v>
      </c>
      <c r="BJ88" s="50" t="s">
        <v>127</v>
      </c>
      <c r="BK88" s="50" t="s">
        <v>13534</v>
      </c>
      <c r="BL88" s="50" t="s">
        <v>2685</v>
      </c>
      <c r="BM88" s="50" t="s">
        <v>13535</v>
      </c>
      <c r="BN88" s="50" t="s">
        <v>13527</v>
      </c>
      <c r="BO88" s="50" t="s">
        <v>3606</v>
      </c>
      <c r="BP88" s="50" t="s">
        <v>505</v>
      </c>
      <c r="BQ88" s="50" t="s">
        <v>3607</v>
      </c>
      <c r="BR88" s="50" t="s">
        <v>3608</v>
      </c>
      <c r="BS88" s="50" t="s">
        <v>2569</v>
      </c>
      <c r="BU88" s="50" t="s">
        <v>13536</v>
      </c>
      <c r="BV88" s="50" t="s">
        <v>13537</v>
      </c>
      <c r="BW88" s="50" t="s">
        <v>138</v>
      </c>
      <c r="BX88" s="50" t="s">
        <v>13538</v>
      </c>
      <c r="BY88" s="50" t="s">
        <v>2690</v>
      </c>
      <c r="BZ88" s="50" t="s">
        <v>2691</v>
      </c>
      <c r="CA88" s="50" t="s">
        <v>2688</v>
      </c>
      <c r="CB88" s="50" t="s">
        <v>2689</v>
      </c>
      <c r="CC88" s="50" t="s">
        <v>13539</v>
      </c>
      <c r="CD88" s="50" t="s">
        <v>2692</v>
      </c>
      <c r="CE88" s="50" t="s">
        <v>2693</v>
      </c>
      <c r="CF88" s="50" t="s">
        <v>2694</v>
      </c>
      <c r="CG88" s="50" t="s">
        <v>907</v>
      </c>
      <c r="CH88" s="50" t="s">
        <v>2695</v>
      </c>
      <c r="CJ88" s="50" t="s">
        <v>2696</v>
      </c>
      <c r="CK88" s="50" t="s">
        <v>13540</v>
      </c>
      <c r="CL88" s="50" t="s">
        <v>729</v>
      </c>
      <c r="CM88" s="50" t="s">
        <v>730</v>
      </c>
      <c r="CN88" s="50" t="s">
        <v>2696</v>
      </c>
      <c r="CP88" s="50" t="s">
        <v>2695</v>
      </c>
      <c r="CQ88" s="50" t="s">
        <v>2695</v>
      </c>
      <c r="CR88" s="50" t="s">
        <v>26046</v>
      </c>
    </row>
    <row r="89" spans="1:96">
      <c r="A89" s="50" t="s">
        <v>149</v>
      </c>
      <c r="B89" s="50">
        <v>2382287</v>
      </c>
      <c r="C89" s="50" t="s">
        <v>12030</v>
      </c>
      <c r="D89" s="50" t="s">
        <v>3107</v>
      </c>
      <c r="E89" s="50" t="e">
        <f>VLOOKUP(B89,aa!B:F,5,0)</f>
        <v>#N/A</v>
      </c>
      <c r="F89" s="50" t="e">
        <f>VLOOKUP(B89,aa!B:J,9,0)</f>
        <v>#N/A</v>
      </c>
      <c r="G89" s="50" t="e">
        <f>VLOOKUP(B89,aa!B:L,11,0)</f>
        <v>#N/A</v>
      </c>
      <c r="H89" s="50" t="e">
        <f>VLOOKUP(B89,aa!B:O,14,0)</f>
        <v>#N/A</v>
      </c>
      <c r="I89" s="50" t="e">
        <f>VLOOKUP(B89,aa!B:R,17,0)</f>
        <v>#N/A</v>
      </c>
      <c r="K89" s="50" t="s">
        <v>97</v>
      </c>
      <c r="L89" s="50">
        <v>420012</v>
      </c>
      <c r="M89" s="50">
        <v>420012</v>
      </c>
      <c r="N89" s="50">
        <v>420012</v>
      </c>
      <c r="O89" s="50">
        <v>800</v>
      </c>
      <c r="P89" s="50" t="s">
        <v>4107</v>
      </c>
      <c r="Q89" s="50">
        <v>0</v>
      </c>
      <c r="R89" s="50">
        <v>0</v>
      </c>
      <c r="T89" s="50">
        <v>0</v>
      </c>
      <c r="U89" s="50">
        <v>0</v>
      </c>
      <c r="W89" s="50" t="s">
        <v>102</v>
      </c>
      <c r="X89" s="50" t="s">
        <v>275</v>
      </c>
      <c r="Z89" s="50" t="s">
        <v>8054</v>
      </c>
      <c r="AA89" s="50" t="s">
        <v>109</v>
      </c>
      <c r="AB89" s="50" t="s">
        <v>102</v>
      </c>
      <c r="AC89" s="50" t="s">
        <v>109</v>
      </c>
      <c r="AD89" s="50" t="s">
        <v>102</v>
      </c>
      <c r="AE89" s="50" t="s">
        <v>109</v>
      </c>
      <c r="AF89" s="50" t="s">
        <v>102</v>
      </c>
      <c r="AG89" s="50" t="s">
        <v>109</v>
      </c>
      <c r="AH89" s="50" t="s">
        <v>102</v>
      </c>
      <c r="AI89" s="50" t="s">
        <v>13821</v>
      </c>
      <c r="AJ89" s="50" t="s">
        <v>13486</v>
      </c>
      <c r="AK89" s="50" t="s">
        <v>13486</v>
      </c>
      <c r="AL89" s="50" t="s">
        <v>13822</v>
      </c>
      <c r="AM89" s="50" t="s">
        <v>13823</v>
      </c>
      <c r="AN89" s="50" t="s">
        <v>102</v>
      </c>
      <c r="AO89" s="50" t="s">
        <v>6115</v>
      </c>
      <c r="AP89" s="50" t="s">
        <v>13824</v>
      </c>
      <c r="AQ89" s="50" t="s">
        <v>343</v>
      </c>
      <c r="AT89" s="50" t="s">
        <v>169</v>
      </c>
      <c r="AU89" s="50" t="s">
        <v>117</v>
      </c>
      <c r="AV89" s="50" t="s">
        <v>118</v>
      </c>
      <c r="AW89" s="50" t="s">
        <v>102</v>
      </c>
      <c r="AX89" s="50" t="s">
        <v>119</v>
      </c>
      <c r="BB89" s="50" t="s">
        <v>120</v>
      </c>
      <c r="BC89" s="50" t="s">
        <v>2204</v>
      </c>
      <c r="BD89" s="50" t="s">
        <v>121</v>
      </c>
      <c r="BE89" s="50" t="s">
        <v>122</v>
      </c>
      <c r="BF89" s="50" t="s">
        <v>123</v>
      </c>
      <c r="BG89" s="50" t="s">
        <v>124</v>
      </c>
      <c r="BH89" s="50" t="s">
        <v>12023</v>
      </c>
      <c r="BI89" s="50" t="s">
        <v>11889</v>
      </c>
      <c r="BJ89" s="50" t="s">
        <v>127</v>
      </c>
      <c r="BK89" s="50" t="s">
        <v>13825</v>
      </c>
      <c r="BL89" s="50" t="s">
        <v>3117</v>
      </c>
      <c r="BM89" s="50" t="s">
        <v>13826</v>
      </c>
      <c r="BN89" s="50" t="s">
        <v>13527</v>
      </c>
      <c r="BO89" s="50" t="s">
        <v>1108</v>
      </c>
      <c r="BP89" s="50" t="s">
        <v>350</v>
      </c>
      <c r="BQ89" s="50" t="s">
        <v>1109</v>
      </c>
      <c r="BR89" s="50" t="s">
        <v>1110</v>
      </c>
      <c r="BS89" s="50" t="s">
        <v>328</v>
      </c>
      <c r="BU89" s="50" t="s">
        <v>13827</v>
      </c>
      <c r="BV89" s="50" t="s">
        <v>3120</v>
      </c>
      <c r="BW89" s="50" t="s">
        <v>138</v>
      </c>
      <c r="BX89" s="50" t="s">
        <v>3124</v>
      </c>
      <c r="BY89" s="50" t="s">
        <v>3123</v>
      </c>
      <c r="BZ89" s="50" t="s">
        <v>3124</v>
      </c>
      <c r="CA89" s="50" t="s">
        <v>13828</v>
      </c>
      <c r="CB89" s="50" t="s">
        <v>3122</v>
      </c>
      <c r="CC89" s="50" t="s">
        <v>3123</v>
      </c>
      <c r="CD89" s="50" t="s">
        <v>13828</v>
      </c>
      <c r="CE89" s="50" t="s">
        <v>3122</v>
      </c>
      <c r="CF89" s="50" t="s">
        <v>3123</v>
      </c>
      <c r="CG89" s="50" t="s">
        <v>102</v>
      </c>
      <c r="CH89" s="50" t="s">
        <v>13829</v>
      </c>
      <c r="CJ89" s="50" t="s">
        <v>2775</v>
      </c>
      <c r="CL89" s="50" t="s">
        <v>2204</v>
      </c>
      <c r="CM89" s="50" t="s">
        <v>121</v>
      </c>
      <c r="CN89" s="50" t="s">
        <v>2775</v>
      </c>
      <c r="CO89" s="50" t="s">
        <v>3129</v>
      </c>
      <c r="CP89" s="50" t="s">
        <v>3130</v>
      </c>
      <c r="CQ89" s="50" t="s">
        <v>3130</v>
      </c>
    </row>
    <row r="90" spans="1:96">
      <c r="A90" s="50" t="s">
        <v>149</v>
      </c>
      <c r="B90" s="50">
        <v>2528645</v>
      </c>
      <c r="C90" s="50" t="s">
        <v>2525</v>
      </c>
      <c r="D90" s="50" t="s">
        <v>3948</v>
      </c>
      <c r="E90" s="50" t="e">
        <f>VLOOKUP(B90,aa!B:F,5,0)</f>
        <v>#N/A</v>
      </c>
      <c r="F90" s="50" t="e">
        <f>VLOOKUP(B90,aa!B:J,9,0)</f>
        <v>#N/A</v>
      </c>
      <c r="G90" s="50" t="e">
        <f>VLOOKUP(B90,aa!B:L,11,0)</f>
        <v>#N/A</v>
      </c>
      <c r="H90" s="50" t="e">
        <f>VLOOKUP(B90,aa!B:O,14,0)</f>
        <v>#N/A</v>
      </c>
      <c r="I90" s="50" t="e">
        <f>VLOOKUP(B90,aa!B:R,17,0)</f>
        <v>#N/A</v>
      </c>
      <c r="K90" s="50" t="s">
        <v>1746</v>
      </c>
      <c r="L90" s="50">
        <v>3606546</v>
      </c>
      <c r="M90" s="50">
        <v>3957535</v>
      </c>
      <c r="N90" s="50">
        <v>585516</v>
      </c>
      <c r="O90" s="50">
        <v>1078</v>
      </c>
      <c r="P90" s="50" t="s">
        <v>14391</v>
      </c>
      <c r="Q90" s="50">
        <v>1071092</v>
      </c>
      <c r="R90" s="50">
        <v>1100</v>
      </c>
      <c r="S90" s="50" t="s">
        <v>14392</v>
      </c>
      <c r="T90" s="50">
        <v>1949938</v>
      </c>
      <c r="U90" s="50">
        <v>1444</v>
      </c>
      <c r="V90" s="50" t="s">
        <v>397</v>
      </c>
      <c r="W90" s="50" t="s">
        <v>102</v>
      </c>
      <c r="X90" s="50" t="s">
        <v>103</v>
      </c>
      <c r="Y90" s="50" t="s">
        <v>104</v>
      </c>
      <c r="AA90" s="50" t="s">
        <v>7020</v>
      </c>
      <c r="AB90" s="50" t="s">
        <v>14393</v>
      </c>
      <c r="AC90" s="50" t="s">
        <v>12099</v>
      </c>
      <c r="AD90" s="50" t="s">
        <v>14393</v>
      </c>
      <c r="AE90" s="50" t="s">
        <v>109</v>
      </c>
      <c r="AF90" s="50" t="s">
        <v>102</v>
      </c>
      <c r="AG90" s="50" t="s">
        <v>109</v>
      </c>
      <c r="AH90" s="50" t="s">
        <v>102</v>
      </c>
      <c r="AI90" s="50" t="s">
        <v>14394</v>
      </c>
      <c r="AJ90" s="50" t="s">
        <v>1202</v>
      </c>
      <c r="AK90" s="50" t="s">
        <v>13242</v>
      </c>
      <c r="AL90" s="50" t="s">
        <v>14395</v>
      </c>
      <c r="AM90" s="50" t="s">
        <v>14396</v>
      </c>
      <c r="AN90" s="50" t="s">
        <v>14397</v>
      </c>
      <c r="AO90" s="50" t="s">
        <v>14398</v>
      </c>
      <c r="AP90" s="50" t="s">
        <v>14399</v>
      </c>
      <c r="AR90" s="50" t="s">
        <v>169</v>
      </c>
      <c r="AS90" s="50" t="s">
        <v>169</v>
      </c>
      <c r="AT90" s="50" t="s">
        <v>169</v>
      </c>
      <c r="AU90" s="50" t="s">
        <v>318</v>
      </c>
      <c r="AV90" s="50" t="s">
        <v>118</v>
      </c>
      <c r="AW90" s="50" t="s">
        <v>155</v>
      </c>
      <c r="AX90" s="50" t="s">
        <v>119</v>
      </c>
      <c r="AY90" s="50" t="s">
        <v>170</v>
      </c>
      <c r="AZ90" s="50" t="s">
        <v>118</v>
      </c>
      <c r="BA90" s="50" t="s">
        <v>250</v>
      </c>
      <c r="BB90" s="50" t="s">
        <v>120</v>
      </c>
      <c r="BC90" s="50" t="s">
        <v>729</v>
      </c>
      <c r="BD90" s="50" t="s">
        <v>730</v>
      </c>
      <c r="BE90" s="50" t="s">
        <v>622</v>
      </c>
      <c r="BF90" s="50" t="s">
        <v>730</v>
      </c>
      <c r="BG90" s="50" t="s">
        <v>124</v>
      </c>
      <c r="BH90" s="50" t="s">
        <v>3485</v>
      </c>
      <c r="BI90" s="50" t="s">
        <v>14400</v>
      </c>
      <c r="BJ90" s="50" t="s">
        <v>127</v>
      </c>
      <c r="BK90" s="50" t="s">
        <v>14401</v>
      </c>
      <c r="BL90" s="50" t="s">
        <v>3961</v>
      </c>
      <c r="BM90" s="50" t="s">
        <v>14402</v>
      </c>
      <c r="BN90" s="50" t="s">
        <v>13527</v>
      </c>
      <c r="BO90" s="50" t="s">
        <v>3606</v>
      </c>
      <c r="BP90" s="50" t="s">
        <v>350</v>
      </c>
      <c r="BQ90" s="50" t="s">
        <v>3607</v>
      </c>
      <c r="BR90" s="50" t="s">
        <v>3608</v>
      </c>
      <c r="BS90" s="50" t="s">
        <v>2569</v>
      </c>
      <c r="BU90" s="50" t="s">
        <v>14403</v>
      </c>
      <c r="BV90" s="50" t="s">
        <v>14404</v>
      </c>
      <c r="BW90" s="50" t="s">
        <v>354</v>
      </c>
      <c r="BX90" s="50" t="s">
        <v>3965</v>
      </c>
      <c r="BY90" s="50" t="s">
        <v>3966</v>
      </c>
      <c r="BZ90" s="50" t="s">
        <v>3967</v>
      </c>
      <c r="CA90" s="50" t="s">
        <v>14405</v>
      </c>
      <c r="CB90" s="50" t="s">
        <v>14406</v>
      </c>
      <c r="CC90" s="50" t="s">
        <v>14407</v>
      </c>
      <c r="CD90" s="50" t="s">
        <v>14408</v>
      </c>
      <c r="CE90" s="50" t="s">
        <v>14409</v>
      </c>
      <c r="CF90" s="50" t="s">
        <v>14410</v>
      </c>
      <c r="CG90" s="50" t="s">
        <v>3968</v>
      </c>
      <c r="CH90" s="50" t="s">
        <v>3969</v>
      </c>
      <c r="CJ90" s="50" t="s">
        <v>3970</v>
      </c>
      <c r="CK90" s="50" t="s">
        <v>14411</v>
      </c>
      <c r="CL90" s="50" t="s">
        <v>729</v>
      </c>
      <c r="CM90" s="50" t="s">
        <v>730</v>
      </c>
      <c r="CN90" s="50" t="s">
        <v>3970</v>
      </c>
      <c r="CO90" s="50" t="s">
        <v>3971</v>
      </c>
      <c r="CP90" s="50" t="s">
        <v>3969</v>
      </c>
      <c r="CQ90" s="50" t="s">
        <v>3969</v>
      </c>
    </row>
    <row r="91" spans="1:96">
      <c r="A91" s="50" t="s">
        <v>149</v>
      </c>
      <c r="B91" s="50">
        <v>3425691</v>
      </c>
      <c r="C91" s="50" t="s">
        <v>2525</v>
      </c>
      <c r="D91" s="50" t="s">
        <v>6007</v>
      </c>
      <c r="E91" s="50" t="e">
        <f>VLOOKUP(B91,aa!B:F,5,0)</f>
        <v>#N/A</v>
      </c>
      <c r="F91" s="50" t="e">
        <f>VLOOKUP(B91,aa!B:J,9,0)</f>
        <v>#N/A</v>
      </c>
      <c r="G91" s="50" t="e">
        <f>VLOOKUP(B91,aa!B:L,11,0)</f>
        <v>#N/A</v>
      </c>
      <c r="H91" s="50" t="e">
        <f>VLOOKUP(B91,aa!B:O,14,0)</f>
        <v>#N/A</v>
      </c>
      <c r="I91" s="50" t="e">
        <f>VLOOKUP(B91,aa!B:R,17,0)</f>
        <v>#N/A</v>
      </c>
      <c r="K91" s="50" t="s">
        <v>1746</v>
      </c>
      <c r="L91" s="50">
        <v>3104772</v>
      </c>
      <c r="M91" s="50">
        <v>3401528</v>
      </c>
      <c r="N91" s="50">
        <v>482614</v>
      </c>
      <c r="O91" s="50">
        <v>915</v>
      </c>
      <c r="P91" s="50" t="s">
        <v>15928</v>
      </c>
      <c r="Q91" s="50">
        <v>973511</v>
      </c>
      <c r="R91" s="50">
        <v>1031</v>
      </c>
      <c r="S91" s="50" t="s">
        <v>15929</v>
      </c>
      <c r="T91" s="50">
        <v>1648647</v>
      </c>
      <c r="U91" s="50">
        <v>1259</v>
      </c>
      <c r="V91" s="50" t="s">
        <v>15930</v>
      </c>
      <c r="W91" s="50" t="s">
        <v>102</v>
      </c>
      <c r="X91" s="50" t="s">
        <v>103</v>
      </c>
      <c r="Y91" s="50" t="s">
        <v>104</v>
      </c>
      <c r="AA91" s="50" t="s">
        <v>7020</v>
      </c>
      <c r="AB91" s="50" t="s">
        <v>15931</v>
      </c>
      <c r="AC91" s="50" t="s">
        <v>12099</v>
      </c>
      <c r="AD91" s="50" t="s">
        <v>15931</v>
      </c>
      <c r="AE91" s="50" t="s">
        <v>109</v>
      </c>
      <c r="AF91" s="50" t="s">
        <v>102</v>
      </c>
      <c r="AG91" s="50" t="s">
        <v>109</v>
      </c>
      <c r="AH91" s="50" t="s">
        <v>102</v>
      </c>
      <c r="AI91" s="50" t="s">
        <v>15932</v>
      </c>
      <c r="AJ91" s="50" t="s">
        <v>12312</v>
      </c>
      <c r="AK91" s="50" t="s">
        <v>15933</v>
      </c>
      <c r="AL91" s="50" t="s">
        <v>15934</v>
      </c>
      <c r="AM91" s="50" t="s">
        <v>15935</v>
      </c>
      <c r="AN91" s="50" t="s">
        <v>15936</v>
      </c>
      <c r="AO91" s="50" t="s">
        <v>15937</v>
      </c>
      <c r="AP91" s="50" t="s">
        <v>15938</v>
      </c>
      <c r="AR91" s="50" t="s">
        <v>169</v>
      </c>
      <c r="AS91" s="50" t="s">
        <v>169</v>
      </c>
      <c r="AT91" s="50" t="s">
        <v>169</v>
      </c>
      <c r="AU91" s="50" t="s">
        <v>318</v>
      </c>
      <c r="AV91" s="50" t="s">
        <v>118</v>
      </c>
      <c r="AW91" s="50" t="s">
        <v>1758</v>
      </c>
      <c r="AX91" s="50" t="s">
        <v>119</v>
      </c>
      <c r="AY91" s="50" t="s">
        <v>170</v>
      </c>
      <c r="AZ91" s="50" t="s">
        <v>118</v>
      </c>
      <c r="BA91" s="50" t="s">
        <v>250</v>
      </c>
      <c r="BB91" s="50" t="s">
        <v>209</v>
      </c>
      <c r="BC91" s="50" t="s">
        <v>729</v>
      </c>
      <c r="BD91" s="50" t="s">
        <v>730</v>
      </c>
      <c r="BE91" s="50" t="s">
        <v>622</v>
      </c>
      <c r="BF91" s="50" t="s">
        <v>730</v>
      </c>
      <c r="BG91" s="50" t="s">
        <v>124</v>
      </c>
      <c r="BH91" s="50" t="s">
        <v>15939</v>
      </c>
      <c r="BI91" s="50" t="s">
        <v>15940</v>
      </c>
      <c r="BJ91" s="50" t="s">
        <v>127</v>
      </c>
      <c r="BK91" s="50" t="s">
        <v>15941</v>
      </c>
      <c r="BL91" s="50" t="s">
        <v>6018</v>
      </c>
      <c r="BM91" s="50" t="s">
        <v>15942</v>
      </c>
      <c r="BN91" s="50" t="s">
        <v>13527</v>
      </c>
      <c r="BO91" s="50" t="s">
        <v>3606</v>
      </c>
      <c r="BP91" s="50" t="s">
        <v>350</v>
      </c>
      <c r="BQ91" s="50" t="s">
        <v>3607</v>
      </c>
      <c r="BR91" s="50" t="s">
        <v>3608</v>
      </c>
      <c r="BS91" s="50" t="s">
        <v>2569</v>
      </c>
      <c r="BU91" s="50" t="s">
        <v>15943</v>
      </c>
      <c r="BV91" s="50" t="s">
        <v>3964</v>
      </c>
      <c r="BW91" s="50" t="s">
        <v>354</v>
      </c>
      <c r="BX91" s="50" t="s">
        <v>3965</v>
      </c>
      <c r="BY91" s="50" t="s">
        <v>3966</v>
      </c>
      <c r="BZ91" s="50" t="s">
        <v>3967</v>
      </c>
      <c r="CA91" s="50" t="s">
        <v>6021</v>
      </c>
      <c r="CB91" s="50" t="s">
        <v>6022</v>
      </c>
      <c r="CC91" s="50" t="s">
        <v>15944</v>
      </c>
      <c r="CD91" s="50" t="s">
        <v>15945</v>
      </c>
      <c r="CE91" s="50" t="s">
        <v>15946</v>
      </c>
      <c r="CF91" s="50" t="s">
        <v>15947</v>
      </c>
      <c r="CG91" s="50" t="s">
        <v>1594</v>
      </c>
      <c r="CH91" s="50" t="s">
        <v>6024</v>
      </c>
      <c r="CJ91" s="50" t="s">
        <v>6025</v>
      </c>
      <c r="CK91" s="50" t="s">
        <v>15948</v>
      </c>
      <c r="CL91" s="50" t="s">
        <v>729</v>
      </c>
      <c r="CM91" s="50" t="s">
        <v>730</v>
      </c>
      <c r="CN91" s="50" t="s">
        <v>6025</v>
      </c>
      <c r="CO91" s="50" t="s">
        <v>3971</v>
      </c>
      <c r="CP91" s="50" t="s">
        <v>6024</v>
      </c>
      <c r="CQ91" s="50" t="s">
        <v>6024</v>
      </c>
    </row>
    <row r="92" spans="1:96">
      <c r="A92" s="50" t="s">
        <v>337</v>
      </c>
      <c r="B92" s="50">
        <v>253271</v>
      </c>
      <c r="C92" s="50" t="s">
        <v>11898</v>
      </c>
      <c r="D92" s="50" t="s">
        <v>14422</v>
      </c>
      <c r="E92" s="50" t="e">
        <f>VLOOKUP(B92,aa!B:F,5,0)</f>
        <v>#N/A</v>
      </c>
      <c r="F92" s="50" t="e">
        <f>VLOOKUP(B92,aa!B:J,9,0)</f>
        <v>#N/A</v>
      </c>
      <c r="G92" s="50" t="e">
        <f>VLOOKUP(B92,aa!B:L,11,0)</f>
        <v>#N/A</v>
      </c>
      <c r="H92" s="50" t="e">
        <f>VLOOKUP(B92,aa!B:O,14,0)</f>
        <v>#N/A</v>
      </c>
      <c r="I92" s="50" t="e">
        <f>VLOOKUP(B92,aa!B:R,17,0)</f>
        <v>#N/A</v>
      </c>
      <c r="K92" s="50" t="s">
        <v>2044</v>
      </c>
      <c r="L92" s="50">
        <v>1963865</v>
      </c>
      <c r="M92" s="50">
        <v>1963865</v>
      </c>
      <c r="N92" s="50">
        <v>775210</v>
      </c>
      <c r="O92" s="50">
        <v>1091</v>
      </c>
      <c r="P92" s="50" t="s">
        <v>14423</v>
      </c>
      <c r="Q92" s="50">
        <v>1188655</v>
      </c>
      <c r="R92" s="50">
        <v>1091</v>
      </c>
      <c r="S92" s="50" t="s">
        <v>14424</v>
      </c>
      <c r="T92" s="50">
        <v>0</v>
      </c>
      <c r="U92" s="50">
        <v>0</v>
      </c>
      <c r="W92" s="50" t="s">
        <v>102</v>
      </c>
      <c r="X92" s="50" t="s">
        <v>103</v>
      </c>
      <c r="Y92" s="50" t="s">
        <v>155</v>
      </c>
      <c r="AA92" s="50" t="s">
        <v>8054</v>
      </c>
      <c r="AB92" s="50" t="s">
        <v>14425</v>
      </c>
      <c r="AC92" s="50" t="s">
        <v>1408</v>
      </c>
      <c r="AD92" s="50" t="s">
        <v>14425</v>
      </c>
      <c r="AE92" s="50" t="s">
        <v>12289</v>
      </c>
      <c r="AF92" s="50" t="s">
        <v>14425</v>
      </c>
      <c r="AG92" s="50" t="s">
        <v>11886</v>
      </c>
      <c r="AH92" s="50" t="s">
        <v>14425</v>
      </c>
      <c r="AI92" s="50" t="s">
        <v>14426</v>
      </c>
      <c r="AJ92" s="50" t="s">
        <v>8054</v>
      </c>
      <c r="AK92" s="50" t="s">
        <v>14427</v>
      </c>
      <c r="AL92" s="50" t="s">
        <v>14428</v>
      </c>
      <c r="AM92" s="50" t="s">
        <v>14429</v>
      </c>
      <c r="AN92" s="50" t="s">
        <v>14430</v>
      </c>
      <c r="AO92" s="50" t="s">
        <v>14431</v>
      </c>
      <c r="AP92" s="50" t="s">
        <v>14432</v>
      </c>
      <c r="AR92" s="50" t="s">
        <v>14433</v>
      </c>
      <c r="AS92" s="50" t="s">
        <v>14434</v>
      </c>
      <c r="AU92" s="50" t="s">
        <v>318</v>
      </c>
      <c r="AV92" s="50" t="s">
        <v>118</v>
      </c>
      <c r="AW92" s="50" t="s">
        <v>155</v>
      </c>
      <c r="AX92" s="50" t="s">
        <v>447</v>
      </c>
      <c r="AY92" s="50" t="s">
        <v>170</v>
      </c>
      <c r="AZ92" s="50" t="s">
        <v>118</v>
      </c>
      <c r="BB92" s="50" t="s">
        <v>120</v>
      </c>
      <c r="BC92" s="50" t="s">
        <v>121</v>
      </c>
      <c r="BD92" s="50" t="s">
        <v>121</v>
      </c>
      <c r="BE92" s="50" t="s">
        <v>122</v>
      </c>
      <c r="BF92" s="50" t="s">
        <v>123</v>
      </c>
      <c r="BG92" s="50" t="s">
        <v>124</v>
      </c>
      <c r="BH92" s="50" t="s">
        <v>12023</v>
      </c>
      <c r="BI92" s="50" t="s">
        <v>11889</v>
      </c>
      <c r="BJ92" s="50" t="s">
        <v>127</v>
      </c>
      <c r="BK92" s="50" t="s">
        <v>14435</v>
      </c>
      <c r="BL92" s="50" t="s">
        <v>14436</v>
      </c>
      <c r="BM92" s="50" t="s">
        <v>14437</v>
      </c>
      <c r="BN92" s="50" t="s">
        <v>2586</v>
      </c>
      <c r="BO92" s="50" t="s">
        <v>7005</v>
      </c>
      <c r="BP92" s="50" t="s">
        <v>350</v>
      </c>
      <c r="BQ92" s="50" t="s">
        <v>7006</v>
      </c>
      <c r="BR92" s="50" t="s">
        <v>7007</v>
      </c>
      <c r="BS92" s="50" t="s">
        <v>7008</v>
      </c>
      <c r="BU92" s="50" t="s">
        <v>14438</v>
      </c>
      <c r="BV92" s="50" t="s">
        <v>14439</v>
      </c>
      <c r="BW92" s="50" t="s">
        <v>138</v>
      </c>
      <c r="BX92" s="50" t="s">
        <v>14440</v>
      </c>
      <c r="BY92" s="50" t="s">
        <v>14441</v>
      </c>
      <c r="BZ92" s="50" t="s">
        <v>14442</v>
      </c>
      <c r="CA92" s="50" t="s">
        <v>14443</v>
      </c>
      <c r="CB92" s="50" t="s">
        <v>14440</v>
      </c>
      <c r="CC92" s="50" t="s">
        <v>14444</v>
      </c>
      <c r="CD92" s="50" t="s">
        <v>14445</v>
      </c>
      <c r="CE92" s="50" t="s">
        <v>14440</v>
      </c>
      <c r="CF92" s="50" t="s">
        <v>14446</v>
      </c>
      <c r="CG92" s="50" t="s">
        <v>14447</v>
      </c>
      <c r="CH92" s="50" t="s">
        <v>14448</v>
      </c>
      <c r="CJ92" s="50" t="s">
        <v>14449</v>
      </c>
      <c r="CK92" s="50" t="s">
        <v>14450</v>
      </c>
      <c r="CL92" s="50" t="s">
        <v>121</v>
      </c>
      <c r="CM92" s="50" t="s">
        <v>121</v>
      </c>
      <c r="CN92" s="50" t="s">
        <v>14449</v>
      </c>
      <c r="CO92" s="50" t="s">
        <v>14451</v>
      </c>
      <c r="CP92" s="50" t="s">
        <v>14452</v>
      </c>
      <c r="CQ92" s="50" t="s">
        <v>14452</v>
      </c>
    </row>
    <row r="93" spans="1:96">
      <c r="A93" s="50" t="s">
        <v>337</v>
      </c>
      <c r="B93" s="50">
        <v>28486</v>
      </c>
      <c r="C93" s="50" t="s">
        <v>2525</v>
      </c>
      <c r="D93" s="50" t="s">
        <v>14789</v>
      </c>
      <c r="E93" s="50" t="str">
        <f>VLOOKUP(B93,aa!B:F,5,0)</f>
        <v>Ei CARES</v>
      </c>
      <c r="F93" s="50">
        <f>VLOOKUP(B93,aa!B:J,9,0)</f>
        <v>442859</v>
      </c>
      <c r="G93" s="50">
        <f>VLOOKUP(B93,aa!B:L,11,0)</f>
        <v>0</v>
      </c>
      <c r="H93" s="50">
        <f>VLOOKUP(B93,aa!B:O,14,0)</f>
        <v>442859</v>
      </c>
      <c r="I93" s="50">
        <f>VLOOKUP(B93,aa!B:R,17,0)</f>
        <v>0</v>
      </c>
      <c r="K93" s="50" t="s">
        <v>152</v>
      </c>
      <c r="L93" s="50">
        <v>212428</v>
      </c>
      <c r="M93" s="50">
        <v>212428</v>
      </c>
      <c r="N93" s="50">
        <v>0</v>
      </c>
      <c r="O93" s="50">
        <v>0</v>
      </c>
      <c r="Q93" s="50">
        <v>212428</v>
      </c>
      <c r="R93" s="50">
        <v>118</v>
      </c>
      <c r="S93" s="50" t="s">
        <v>3005</v>
      </c>
      <c r="T93" s="50">
        <v>0</v>
      </c>
      <c r="U93" s="50">
        <v>0</v>
      </c>
      <c r="W93" s="50" t="s">
        <v>102</v>
      </c>
      <c r="X93" s="50" t="s">
        <v>103</v>
      </c>
      <c r="Y93" s="50" t="s">
        <v>104</v>
      </c>
      <c r="AA93" s="50" t="s">
        <v>5694</v>
      </c>
      <c r="AB93" s="50" t="s">
        <v>14790</v>
      </c>
      <c r="AC93" s="50" t="s">
        <v>12327</v>
      </c>
      <c r="AD93" s="50" t="s">
        <v>14790</v>
      </c>
      <c r="AE93" s="50" t="s">
        <v>109</v>
      </c>
      <c r="AF93" s="50" t="s">
        <v>102</v>
      </c>
      <c r="AG93" s="50" t="s">
        <v>109</v>
      </c>
      <c r="AH93" s="50" t="s">
        <v>102</v>
      </c>
      <c r="AI93" s="50" t="s">
        <v>102</v>
      </c>
      <c r="AJ93" s="50" t="s">
        <v>6443</v>
      </c>
      <c r="AK93" s="50" t="s">
        <v>6443</v>
      </c>
      <c r="AL93" s="50" t="s">
        <v>14791</v>
      </c>
      <c r="AM93" s="50" t="s">
        <v>14791</v>
      </c>
      <c r="AN93" s="50" t="s">
        <v>102</v>
      </c>
      <c r="AO93" s="50" t="s">
        <v>3906</v>
      </c>
      <c r="AP93" s="50" t="s">
        <v>3906</v>
      </c>
      <c r="AU93" s="50" t="s">
        <v>102</v>
      </c>
      <c r="AW93" s="50" t="s">
        <v>155</v>
      </c>
      <c r="AX93" s="50" t="s">
        <v>119</v>
      </c>
      <c r="AY93" s="50" t="s">
        <v>170</v>
      </c>
      <c r="AZ93" s="50" t="s">
        <v>118</v>
      </c>
      <c r="BB93" s="50" t="s">
        <v>120</v>
      </c>
      <c r="BC93" s="50" t="s">
        <v>729</v>
      </c>
      <c r="BD93" s="50" t="s">
        <v>730</v>
      </c>
      <c r="BE93" s="50" t="s">
        <v>622</v>
      </c>
      <c r="BF93" s="50" t="s">
        <v>730</v>
      </c>
      <c r="BG93" s="50" t="s">
        <v>124</v>
      </c>
      <c r="BH93" s="50" t="s">
        <v>12023</v>
      </c>
      <c r="BI93" s="50" t="s">
        <v>11889</v>
      </c>
      <c r="BJ93" s="50" t="s">
        <v>127</v>
      </c>
      <c r="BK93" s="50" t="s">
        <v>14792</v>
      </c>
      <c r="BL93" s="50" t="s">
        <v>14793</v>
      </c>
      <c r="BM93" s="50" t="s">
        <v>14794</v>
      </c>
      <c r="BN93" s="50" t="s">
        <v>2586</v>
      </c>
      <c r="BO93" s="50" t="s">
        <v>2262</v>
      </c>
      <c r="BP93" s="50" t="s">
        <v>258</v>
      </c>
      <c r="BQ93" s="50" t="s">
        <v>2263</v>
      </c>
      <c r="BR93" s="50" t="s">
        <v>2264</v>
      </c>
      <c r="BS93" s="50" t="s">
        <v>2331</v>
      </c>
      <c r="BU93" s="50" t="s">
        <v>14795</v>
      </c>
      <c r="BV93" s="50" t="s">
        <v>14796</v>
      </c>
      <c r="BW93" s="50" t="s">
        <v>138</v>
      </c>
      <c r="BX93" s="50" t="s">
        <v>14797</v>
      </c>
      <c r="BY93" s="50" t="s">
        <v>14798</v>
      </c>
      <c r="BZ93" s="50" t="s">
        <v>14799</v>
      </c>
      <c r="CA93" s="50" t="s">
        <v>14796</v>
      </c>
      <c r="CB93" s="50" t="s">
        <v>14797</v>
      </c>
      <c r="CC93" s="50" t="s">
        <v>14798</v>
      </c>
      <c r="CD93" s="50" t="s">
        <v>14796</v>
      </c>
      <c r="CE93" s="50" t="s">
        <v>14797</v>
      </c>
      <c r="CF93" s="50" t="s">
        <v>14798</v>
      </c>
      <c r="CG93" s="50" t="s">
        <v>14800</v>
      </c>
      <c r="CH93" s="50" t="s">
        <v>14801</v>
      </c>
      <c r="CJ93" s="50" t="s">
        <v>14802</v>
      </c>
      <c r="CK93" s="50" t="s">
        <v>14803</v>
      </c>
      <c r="CL93" s="50" t="s">
        <v>729</v>
      </c>
      <c r="CM93" s="50" t="s">
        <v>730</v>
      </c>
      <c r="CN93" s="50" t="s">
        <v>14802</v>
      </c>
      <c r="CP93" s="50" t="s">
        <v>14801</v>
      </c>
      <c r="CQ93" s="50" t="s">
        <v>14801</v>
      </c>
    </row>
    <row r="94" spans="1:96">
      <c r="A94" s="50" t="s">
        <v>337</v>
      </c>
      <c r="B94" s="50">
        <v>452934</v>
      </c>
      <c r="C94" s="50" t="s">
        <v>12155</v>
      </c>
      <c r="D94" s="50" t="s">
        <v>18350</v>
      </c>
      <c r="E94" s="50" t="e">
        <f>VLOOKUP(B94,aa!B:F,5,0)</f>
        <v>#N/A</v>
      </c>
      <c r="F94" s="50" t="e">
        <f>VLOOKUP(B94,aa!B:J,9,0)</f>
        <v>#N/A</v>
      </c>
      <c r="G94" s="50" t="e">
        <f>VLOOKUP(B94,aa!B:L,11,0)</f>
        <v>#N/A</v>
      </c>
      <c r="H94" s="50" t="e">
        <f>VLOOKUP(B94,aa!B:O,14,0)</f>
        <v>#N/A</v>
      </c>
      <c r="I94" s="50" t="e">
        <f>VLOOKUP(B94,aa!B:R,17,0)</f>
        <v>#N/A</v>
      </c>
      <c r="K94" s="50" t="s">
        <v>152</v>
      </c>
      <c r="L94" s="50">
        <v>439699</v>
      </c>
      <c r="M94" s="50">
        <v>439699</v>
      </c>
      <c r="N94" s="50">
        <v>0</v>
      </c>
      <c r="O94" s="50">
        <v>0</v>
      </c>
      <c r="Q94" s="50">
        <v>439699</v>
      </c>
      <c r="R94" s="50">
        <v>543</v>
      </c>
      <c r="S94" s="50" t="s">
        <v>18352</v>
      </c>
      <c r="T94" s="50">
        <v>0</v>
      </c>
      <c r="U94" s="50">
        <v>0</v>
      </c>
      <c r="W94" s="50" t="s">
        <v>102</v>
      </c>
      <c r="X94" s="50" t="s">
        <v>679</v>
      </c>
      <c r="Y94" s="50" t="s">
        <v>155</v>
      </c>
      <c r="Z94" s="50" t="s">
        <v>6895</v>
      </c>
      <c r="AA94" s="50" t="s">
        <v>18353</v>
      </c>
      <c r="AB94" s="50" t="s">
        <v>18354</v>
      </c>
      <c r="AC94" s="50" t="s">
        <v>18355</v>
      </c>
      <c r="AD94" s="50" t="s">
        <v>18354</v>
      </c>
      <c r="AE94" s="50" t="s">
        <v>18356</v>
      </c>
      <c r="AF94" s="50" t="s">
        <v>18354</v>
      </c>
      <c r="AG94" s="50" t="s">
        <v>18357</v>
      </c>
      <c r="AH94" s="50" t="s">
        <v>18354</v>
      </c>
      <c r="AI94" s="50" t="s">
        <v>102</v>
      </c>
      <c r="AJ94" s="50" t="s">
        <v>8128</v>
      </c>
      <c r="AK94" s="50" t="s">
        <v>14825</v>
      </c>
      <c r="AL94" s="50" t="s">
        <v>18358</v>
      </c>
      <c r="AM94" s="50" t="s">
        <v>18359</v>
      </c>
      <c r="AN94" s="50" t="s">
        <v>18360</v>
      </c>
      <c r="AO94" s="50" t="s">
        <v>18361</v>
      </c>
      <c r="AP94" s="50" t="s">
        <v>18361</v>
      </c>
      <c r="AU94" s="50" t="s">
        <v>102</v>
      </c>
      <c r="AW94" s="50" t="s">
        <v>104</v>
      </c>
      <c r="AX94" s="50" t="s">
        <v>447</v>
      </c>
      <c r="AY94" s="50" t="s">
        <v>170</v>
      </c>
      <c r="AZ94" s="50" t="s">
        <v>118</v>
      </c>
      <c r="BB94" s="50" t="s">
        <v>171</v>
      </c>
      <c r="BC94" s="50" t="s">
        <v>18362</v>
      </c>
      <c r="BD94" s="50" t="s">
        <v>173</v>
      </c>
      <c r="BE94" s="50" t="s">
        <v>174</v>
      </c>
      <c r="BF94" s="50" t="s">
        <v>173</v>
      </c>
      <c r="BG94" s="50" t="s">
        <v>124</v>
      </c>
      <c r="BH94" s="50" t="s">
        <v>12023</v>
      </c>
      <c r="BI94" s="50" t="s">
        <v>11889</v>
      </c>
      <c r="BJ94" s="50" t="s">
        <v>127</v>
      </c>
      <c r="BK94" s="50" t="s">
        <v>18363</v>
      </c>
      <c r="BL94" s="50" t="s">
        <v>18364</v>
      </c>
      <c r="BM94" s="50" t="s">
        <v>18365</v>
      </c>
      <c r="BN94" s="50" t="s">
        <v>18351</v>
      </c>
      <c r="BO94" s="50" t="s">
        <v>9823</v>
      </c>
      <c r="BP94" s="50" t="s">
        <v>7992</v>
      </c>
      <c r="BQ94" s="50" t="s">
        <v>9824</v>
      </c>
      <c r="BR94" s="50" t="s">
        <v>9825</v>
      </c>
      <c r="BS94" s="50" t="s">
        <v>1176</v>
      </c>
      <c r="BU94" s="50" t="s">
        <v>18366</v>
      </c>
      <c r="BV94" s="50" t="s">
        <v>18367</v>
      </c>
      <c r="BW94" s="50" t="s">
        <v>1282</v>
      </c>
      <c r="BX94" s="50" t="s">
        <v>18368</v>
      </c>
      <c r="BY94" s="50" t="s">
        <v>18369</v>
      </c>
      <c r="BZ94" s="50" t="s">
        <v>18370</v>
      </c>
      <c r="CA94" s="50" t="s">
        <v>18371</v>
      </c>
      <c r="CB94" s="50" t="s">
        <v>18372</v>
      </c>
      <c r="CC94" s="50" t="s">
        <v>18373</v>
      </c>
      <c r="CD94" s="50" t="s">
        <v>18371</v>
      </c>
      <c r="CE94" s="50" t="s">
        <v>18372</v>
      </c>
      <c r="CF94" s="50" t="s">
        <v>18373</v>
      </c>
      <c r="CG94" s="50" t="s">
        <v>18374</v>
      </c>
      <c r="CH94" s="50" t="s">
        <v>18350</v>
      </c>
      <c r="CJ94" s="50" t="s">
        <v>18375</v>
      </c>
      <c r="CL94" s="50" t="s">
        <v>18362</v>
      </c>
      <c r="CM94" s="50" t="s">
        <v>173</v>
      </c>
      <c r="CN94" s="50" t="s">
        <v>18375</v>
      </c>
      <c r="CP94" s="50" t="s">
        <v>18376</v>
      </c>
      <c r="CQ94" s="50" t="s">
        <v>18376</v>
      </c>
      <c r="CR94" s="50" t="s">
        <v>26046</v>
      </c>
    </row>
    <row r="95" spans="1:96">
      <c r="A95" s="50" t="s">
        <v>337</v>
      </c>
      <c r="B95" s="50">
        <v>5024546</v>
      </c>
      <c r="C95" s="50" t="s">
        <v>12423</v>
      </c>
      <c r="D95" s="50" t="s">
        <v>20151</v>
      </c>
      <c r="E95" s="50" t="e">
        <f>VLOOKUP(B95,aa!B:F,5,0)</f>
        <v>#N/A</v>
      </c>
      <c r="F95" s="50" t="e">
        <f>VLOOKUP(B95,aa!B:J,9,0)</f>
        <v>#N/A</v>
      </c>
      <c r="G95" s="50" t="e">
        <f>VLOOKUP(B95,aa!B:L,11,0)</f>
        <v>#N/A</v>
      </c>
      <c r="H95" s="50" t="e">
        <f>VLOOKUP(B95,aa!B:O,14,0)</f>
        <v>#N/A</v>
      </c>
      <c r="I95" s="50" t="e">
        <f>VLOOKUP(B95,aa!B:R,17,0)</f>
        <v>#N/A</v>
      </c>
      <c r="K95" s="50" t="s">
        <v>152</v>
      </c>
      <c r="L95" s="50">
        <v>842566</v>
      </c>
      <c r="M95" s="50">
        <v>842566</v>
      </c>
      <c r="N95" s="50">
        <v>0</v>
      </c>
      <c r="O95" s="50">
        <v>0</v>
      </c>
      <c r="Q95" s="50">
        <v>842566</v>
      </c>
      <c r="R95" s="50">
        <v>1040</v>
      </c>
      <c r="S95" s="50" t="s">
        <v>6750</v>
      </c>
      <c r="T95" s="50">
        <v>0</v>
      </c>
      <c r="U95" s="50">
        <v>0</v>
      </c>
      <c r="W95" s="50" t="s">
        <v>102</v>
      </c>
      <c r="X95" s="50" t="s">
        <v>103</v>
      </c>
      <c r="Y95" s="50" t="s">
        <v>155</v>
      </c>
      <c r="AA95" s="50" t="s">
        <v>6134</v>
      </c>
      <c r="AB95" s="50" t="s">
        <v>20152</v>
      </c>
      <c r="AC95" s="50" t="s">
        <v>13033</v>
      </c>
      <c r="AD95" s="50" t="s">
        <v>20152</v>
      </c>
      <c r="AE95" s="50" t="s">
        <v>12873</v>
      </c>
      <c r="AF95" s="50" t="s">
        <v>20152</v>
      </c>
      <c r="AG95" s="50" t="s">
        <v>6895</v>
      </c>
      <c r="AH95" s="50" t="s">
        <v>20152</v>
      </c>
      <c r="AI95" s="50" t="s">
        <v>102</v>
      </c>
      <c r="AJ95" s="50" t="s">
        <v>6134</v>
      </c>
      <c r="AK95" s="50" t="s">
        <v>12327</v>
      </c>
      <c r="AL95" s="50" t="s">
        <v>20153</v>
      </c>
      <c r="AM95" s="50" t="s">
        <v>20154</v>
      </c>
      <c r="AN95" s="50" t="s">
        <v>20152</v>
      </c>
      <c r="AO95" s="50" t="s">
        <v>20155</v>
      </c>
      <c r="AP95" s="50" t="s">
        <v>20155</v>
      </c>
      <c r="AU95" s="50" t="s">
        <v>102</v>
      </c>
      <c r="AW95" s="50" t="s">
        <v>155</v>
      </c>
      <c r="AX95" s="50" t="s">
        <v>119</v>
      </c>
      <c r="AY95" s="50" t="s">
        <v>170</v>
      </c>
      <c r="AZ95" s="50" t="s">
        <v>118</v>
      </c>
      <c r="BB95" s="50" t="s">
        <v>120</v>
      </c>
      <c r="BC95" s="50" t="s">
        <v>1552</v>
      </c>
      <c r="BD95" s="50" t="s">
        <v>20156</v>
      </c>
      <c r="BE95" s="50" t="s">
        <v>212</v>
      </c>
      <c r="BF95" s="50" t="s">
        <v>410</v>
      </c>
      <c r="BG95" s="50" t="s">
        <v>124</v>
      </c>
      <c r="BH95" s="50" t="s">
        <v>12023</v>
      </c>
      <c r="BI95" s="50" t="s">
        <v>11889</v>
      </c>
      <c r="BJ95" s="50" t="s">
        <v>127</v>
      </c>
      <c r="BK95" s="50" t="s">
        <v>20157</v>
      </c>
      <c r="BL95" s="50" t="s">
        <v>20158</v>
      </c>
      <c r="BM95" s="50" t="s">
        <v>20159</v>
      </c>
      <c r="BN95" s="50" t="s">
        <v>20110</v>
      </c>
      <c r="BO95" s="50" t="s">
        <v>4053</v>
      </c>
      <c r="BP95" s="50" t="s">
        <v>132</v>
      </c>
      <c r="BQ95" s="50" t="s">
        <v>4054</v>
      </c>
      <c r="BR95" s="50" t="s">
        <v>4055</v>
      </c>
      <c r="BS95" s="50" t="s">
        <v>4056</v>
      </c>
      <c r="BU95" s="50" t="s">
        <v>20160</v>
      </c>
      <c r="BV95" s="50" t="s">
        <v>20161</v>
      </c>
      <c r="BW95" s="50" t="s">
        <v>138</v>
      </c>
      <c r="BX95" s="50" t="s">
        <v>20162</v>
      </c>
      <c r="BY95" s="50" t="s">
        <v>20163</v>
      </c>
      <c r="BZ95" s="50" t="s">
        <v>20162</v>
      </c>
      <c r="CA95" s="50" t="s">
        <v>20164</v>
      </c>
      <c r="CB95" s="50" t="s">
        <v>20165</v>
      </c>
      <c r="CC95" s="50" t="s">
        <v>20163</v>
      </c>
      <c r="CD95" s="50" t="s">
        <v>20166</v>
      </c>
      <c r="CE95" s="50" t="s">
        <v>20165</v>
      </c>
      <c r="CF95" s="50" t="s">
        <v>20163</v>
      </c>
      <c r="CG95" s="50" t="s">
        <v>102</v>
      </c>
      <c r="CH95" s="50" t="s">
        <v>20167</v>
      </c>
      <c r="CJ95" s="50" t="s">
        <v>1565</v>
      </c>
      <c r="CK95" s="50" t="s">
        <v>20168</v>
      </c>
      <c r="CL95" s="50" t="s">
        <v>1552</v>
      </c>
      <c r="CM95" s="50" t="s">
        <v>20156</v>
      </c>
      <c r="CN95" s="50" t="s">
        <v>1565</v>
      </c>
      <c r="CP95" s="50" t="s">
        <v>20169</v>
      </c>
      <c r="CQ95" s="50" t="s">
        <v>20169</v>
      </c>
      <c r="CR95" s="50" t="s">
        <v>26043</v>
      </c>
    </row>
    <row r="96" spans="1:96">
      <c r="A96" s="50" t="s">
        <v>337</v>
      </c>
      <c r="B96" s="50">
        <v>5018668</v>
      </c>
      <c r="C96" s="50" t="s">
        <v>12423</v>
      </c>
      <c r="D96" s="50" t="s">
        <v>20104</v>
      </c>
      <c r="E96" s="50" t="str">
        <f>VLOOKUP(B96,aa!B:F,5,0)</f>
        <v>Ei Mindspark</v>
      </c>
      <c r="F96" s="50">
        <f>VLOOKUP(B96,aa!B:J,9,0)</f>
        <v>337332</v>
      </c>
      <c r="G96" s="50">
        <f>VLOOKUP(B96,aa!B:L,11,0)</f>
        <v>0</v>
      </c>
      <c r="H96" s="50">
        <f>VLOOKUP(B96,aa!B:O,14,0)</f>
        <v>0</v>
      </c>
      <c r="I96" s="50">
        <f>VLOOKUP(B96,aa!B:R,17,0)</f>
        <v>337332</v>
      </c>
      <c r="K96" s="50" t="s">
        <v>643</v>
      </c>
      <c r="L96" s="50">
        <v>537465</v>
      </c>
      <c r="M96" s="50">
        <v>603677</v>
      </c>
      <c r="N96" s="50">
        <v>0</v>
      </c>
      <c r="O96" s="50">
        <v>0</v>
      </c>
      <c r="Q96" s="50">
        <v>169621</v>
      </c>
      <c r="R96" s="50">
        <v>424</v>
      </c>
      <c r="S96" s="50" t="s">
        <v>6051</v>
      </c>
      <c r="T96" s="50">
        <v>367844</v>
      </c>
      <c r="U96" s="50">
        <v>434</v>
      </c>
      <c r="V96" s="50" t="s">
        <v>19950</v>
      </c>
      <c r="W96" s="50" t="s">
        <v>102</v>
      </c>
      <c r="X96" s="50" t="s">
        <v>679</v>
      </c>
      <c r="Y96" s="50" t="s">
        <v>398</v>
      </c>
      <c r="Z96" s="50" t="s">
        <v>6134</v>
      </c>
      <c r="AA96" s="50" t="s">
        <v>20106</v>
      </c>
      <c r="AB96" s="50" t="s">
        <v>20107</v>
      </c>
      <c r="AC96" s="50" t="s">
        <v>20108</v>
      </c>
      <c r="AD96" s="50" t="s">
        <v>20109</v>
      </c>
      <c r="AE96" s="50" t="s">
        <v>14084</v>
      </c>
      <c r="AF96" s="50" t="s">
        <v>20109</v>
      </c>
      <c r="AG96" s="50" t="s">
        <v>109</v>
      </c>
      <c r="AH96" s="50" t="s">
        <v>102</v>
      </c>
      <c r="AI96" s="50" t="s">
        <v>102</v>
      </c>
      <c r="AJ96" s="50" t="s">
        <v>20110</v>
      </c>
      <c r="AK96" s="50" t="s">
        <v>20110</v>
      </c>
      <c r="AL96" s="50" t="s">
        <v>20111</v>
      </c>
      <c r="AM96" s="50" t="s">
        <v>20112</v>
      </c>
      <c r="AN96" s="50" t="s">
        <v>20113</v>
      </c>
      <c r="AO96" s="50" t="s">
        <v>19959</v>
      </c>
      <c r="AP96" s="50" t="s">
        <v>19959</v>
      </c>
      <c r="AU96" s="50" t="s">
        <v>102</v>
      </c>
      <c r="AW96" s="50" t="s">
        <v>1103</v>
      </c>
      <c r="AX96" s="50" t="s">
        <v>119</v>
      </c>
      <c r="AY96" s="50" t="s">
        <v>170</v>
      </c>
      <c r="AZ96" s="50" t="s">
        <v>250</v>
      </c>
      <c r="BA96" s="50" t="s">
        <v>250</v>
      </c>
      <c r="BB96" s="50" t="s">
        <v>120</v>
      </c>
      <c r="BC96" s="50" t="s">
        <v>20114</v>
      </c>
      <c r="BD96" s="50" t="s">
        <v>410</v>
      </c>
      <c r="BE96" s="50" t="s">
        <v>212</v>
      </c>
      <c r="BF96" s="50" t="s">
        <v>410</v>
      </c>
      <c r="BG96" s="50" t="s">
        <v>124</v>
      </c>
      <c r="BH96" s="50" t="s">
        <v>12023</v>
      </c>
      <c r="BI96" s="50" t="s">
        <v>11889</v>
      </c>
      <c r="BJ96" s="50" t="s">
        <v>127</v>
      </c>
      <c r="BK96" s="50" t="s">
        <v>20115</v>
      </c>
      <c r="BL96" s="50" t="s">
        <v>20116</v>
      </c>
      <c r="BM96" s="50" t="s">
        <v>20117</v>
      </c>
      <c r="BN96" s="50" t="s">
        <v>20105</v>
      </c>
      <c r="BO96" s="50" t="s">
        <v>4053</v>
      </c>
      <c r="BP96" s="50" t="s">
        <v>132</v>
      </c>
      <c r="BQ96" s="50" t="s">
        <v>4054</v>
      </c>
      <c r="BR96" s="50" t="s">
        <v>4055</v>
      </c>
      <c r="BS96" s="50" t="s">
        <v>4056</v>
      </c>
      <c r="BU96" s="50" t="s">
        <v>20118</v>
      </c>
      <c r="BV96" s="50" t="s">
        <v>20119</v>
      </c>
      <c r="BW96" s="50" t="s">
        <v>354</v>
      </c>
      <c r="BX96" s="50" t="s">
        <v>20120</v>
      </c>
      <c r="BY96" s="50" t="s">
        <v>20121</v>
      </c>
      <c r="BZ96" s="50" t="s">
        <v>20120</v>
      </c>
      <c r="CA96" s="50" t="s">
        <v>20122</v>
      </c>
      <c r="CB96" s="50" t="s">
        <v>20123</v>
      </c>
      <c r="CC96" s="50" t="s">
        <v>20124</v>
      </c>
      <c r="CD96" s="50" t="s">
        <v>20122</v>
      </c>
      <c r="CE96" s="50" t="s">
        <v>20125</v>
      </c>
      <c r="CF96" s="50" t="s">
        <v>20124</v>
      </c>
      <c r="CG96" s="50" t="s">
        <v>4062</v>
      </c>
      <c r="CH96" s="50" t="s">
        <v>20114</v>
      </c>
      <c r="CJ96" s="50" t="s">
        <v>20126</v>
      </c>
      <c r="CK96" s="50" t="s">
        <v>20127</v>
      </c>
      <c r="CL96" s="50" t="s">
        <v>20114</v>
      </c>
      <c r="CM96" s="50" t="s">
        <v>410</v>
      </c>
      <c r="CN96" s="50" t="s">
        <v>20126</v>
      </c>
      <c r="CP96" s="50" t="s">
        <v>20114</v>
      </c>
      <c r="CQ96" s="50" t="s">
        <v>20128</v>
      </c>
    </row>
    <row r="97" spans="1:96">
      <c r="A97" s="50" t="s">
        <v>337</v>
      </c>
      <c r="B97" s="50">
        <v>1155119</v>
      </c>
      <c r="C97" s="50" t="s">
        <v>12155</v>
      </c>
      <c r="D97" s="50" t="s">
        <v>12154</v>
      </c>
      <c r="E97" s="50" t="e">
        <f>VLOOKUP(B97,aa!B:F,5,0)</f>
        <v>#N/A</v>
      </c>
      <c r="F97" s="50" t="e">
        <f>VLOOKUP(B97,aa!B:J,9,0)</f>
        <v>#N/A</v>
      </c>
      <c r="G97" s="50" t="e">
        <f>VLOOKUP(B97,aa!B:L,11,0)</f>
        <v>#N/A</v>
      </c>
      <c r="H97" s="50" t="e">
        <f>VLOOKUP(B97,aa!B:O,14,0)</f>
        <v>#N/A</v>
      </c>
      <c r="I97" s="50" t="e">
        <f>VLOOKUP(B97,aa!B:R,17,0)</f>
        <v>#N/A</v>
      </c>
      <c r="K97" s="50" t="s">
        <v>152</v>
      </c>
      <c r="L97" s="50">
        <v>1355900</v>
      </c>
      <c r="M97" s="50">
        <v>1355900</v>
      </c>
      <c r="N97" s="50">
        <v>0</v>
      </c>
      <c r="O97" s="50">
        <v>0</v>
      </c>
      <c r="Q97" s="50">
        <v>1355900</v>
      </c>
      <c r="R97" s="50">
        <v>1043</v>
      </c>
      <c r="S97" s="50" t="s">
        <v>8534</v>
      </c>
      <c r="T97" s="50">
        <v>0</v>
      </c>
      <c r="U97" s="50">
        <v>0</v>
      </c>
      <c r="W97" s="50" t="s">
        <v>102</v>
      </c>
      <c r="X97" s="50" t="s">
        <v>103</v>
      </c>
      <c r="Y97" s="50" t="s">
        <v>155</v>
      </c>
      <c r="AA97" s="50" t="s">
        <v>2392</v>
      </c>
      <c r="AB97" s="50" t="s">
        <v>12156</v>
      </c>
      <c r="AC97" s="50" t="s">
        <v>12157</v>
      </c>
      <c r="AD97" s="50" t="s">
        <v>12156</v>
      </c>
      <c r="AE97" s="50" t="s">
        <v>12043</v>
      </c>
      <c r="AF97" s="50" t="s">
        <v>12156</v>
      </c>
      <c r="AG97" s="50" t="s">
        <v>11886</v>
      </c>
      <c r="AH97" s="50" t="s">
        <v>12156</v>
      </c>
      <c r="AI97" s="50" t="s">
        <v>102</v>
      </c>
      <c r="AJ97" s="50" t="s">
        <v>8783</v>
      </c>
      <c r="AK97" s="50" t="s">
        <v>12158</v>
      </c>
      <c r="AL97" s="50" t="s">
        <v>12159</v>
      </c>
      <c r="AM97" s="50" t="s">
        <v>12160</v>
      </c>
      <c r="AN97" s="50" t="s">
        <v>12161</v>
      </c>
      <c r="AO97" s="50" t="s">
        <v>116</v>
      </c>
      <c r="AP97" s="50" t="s">
        <v>116</v>
      </c>
      <c r="AU97" s="50" t="s">
        <v>102</v>
      </c>
      <c r="AW97" s="50" t="s">
        <v>155</v>
      </c>
      <c r="AX97" s="50" t="s">
        <v>119</v>
      </c>
      <c r="AY97" s="50" t="s">
        <v>170</v>
      </c>
      <c r="AZ97" s="50" t="s">
        <v>118</v>
      </c>
      <c r="BB97" s="50" t="s">
        <v>120</v>
      </c>
      <c r="BC97" s="50" t="s">
        <v>12162</v>
      </c>
      <c r="BD97" s="50" t="s">
        <v>1171</v>
      </c>
      <c r="BE97" s="50" t="s">
        <v>174</v>
      </c>
      <c r="BF97" s="50" t="s">
        <v>1172</v>
      </c>
      <c r="BG97" s="50" t="s">
        <v>124</v>
      </c>
      <c r="BH97" s="50" t="s">
        <v>12023</v>
      </c>
      <c r="BI97" s="50" t="s">
        <v>11889</v>
      </c>
      <c r="BJ97" s="50" t="s">
        <v>127</v>
      </c>
      <c r="BK97" s="50" t="s">
        <v>12163</v>
      </c>
      <c r="BL97" s="50" t="s">
        <v>12164</v>
      </c>
      <c r="BM97" s="50" t="s">
        <v>12165</v>
      </c>
      <c r="BN97" s="50" t="s">
        <v>6134</v>
      </c>
      <c r="BO97" s="50" t="s">
        <v>5557</v>
      </c>
      <c r="BP97" s="50" t="s">
        <v>180</v>
      </c>
      <c r="BQ97" s="50" t="s">
        <v>5558</v>
      </c>
      <c r="BR97" s="50" t="s">
        <v>5559</v>
      </c>
      <c r="BS97" s="50" t="s">
        <v>5560</v>
      </c>
      <c r="BU97" s="50" t="s">
        <v>12166</v>
      </c>
      <c r="BV97" s="50" t="s">
        <v>12167</v>
      </c>
      <c r="BW97" s="50" t="s">
        <v>138</v>
      </c>
      <c r="BX97" s="50" t="s">
        <v>12168</v>
      </c>
      <c r="BY97" s="50" t="s">
        <v>12169</v>
      </c>
      <c r="BZ97" s="50" t="s">
        <v>12168</v>
      </c>
      <c r="CA97" s="50" t="s">
        <v>12167</v>
      </c>
      <c r="CB97" s="50" t="s">
        <v>12168</v>
      </c>
      <c r="CC97" s="50" t="s">
        <v>12170</v>
      </c>
      <c r="CD97" s="50" t="s">
        <v>12167</v>
      </c>
      <c r="CE97" s="50" t="s">
        <v>12168</v>
      </c>
      <c r="CF97" s="50" t="s">
        <v>12170</v>
      </c>
      <c r="CG97" s="50" t="s">
        <v>12171</v>
      </c>
      <c r="CH97" s="50" t="s">
        <v>12172</v>
      </c>
      <c r="CJ97" s="50" t="s">
        <v>12173</v>
      </c>
      <c r="CK97" s="50" t="s">
        <v>12174</v>
      </c>
      <c r="CL97" s="50" t="s">
        <v>12162</v>
      </c>
      <c r="CM97" s="50" t="s">
        <v>1171</v>
      </c>
      <c r="CN97" s="50" t="s">
        <v>12173</v>
      </c>
      <c r="CP97" s="50" t="s">
        <v>12174</v>
      </c>
      <c r="CQ97" s="50" t="s">
        <v>12174</v>
      </c>
      <c r="CR97" s="50" t="s">
        <v>26046</v>
      </c>
    </row>
    <row r="98" spans="1:96">
      <c r="A98" s="50" t="s">
        <v>337</v>
      </c>
      <c r="B98" s="50">
        <v>1155556</v>
      </c>
      <c r="C98" s="50" t="s">
        <v>12155</v>
      </c>
      <c r="D98" s="50" t="s">
        <v>12175</v>
      </c>
      <c r="E98" s="50" t="e">
        <f>VLOOKUP(B98,aa!B:F,5,0)</f>
        <v>#N/A</v>
      </c>
      <c r="F98" s="50" t="e">
        <f>VLOOKUP(B98,aa!B:J,9,0)</f>
        <v>#N/A</v>
      </c>
      <c r="G98" s="50" t="e">
        <f>VLOOKUP(B98,aa!B:L,11,0)</f>
        <v>#N/A</v>
      </c>
      <c r="H98" s="50" t="e">
        <f>VLOOKUP(B98,aa!B:O,14,0)</f>
        <v>#N/A</v>
      </c>
      <c r="I98" s="50" t="e">
        <f>VLOOKUP(B98,aa!B:R,17,0)</f>
        <v>#N/A</v>
      </c>
      <c r="K98" s="50" t="s">
        <v>152</v>
      </c>
      <c r="L98" s="50">
        <v>1014000</v>
      </c>
      <c r="M98" s="50">
        <v>1014000</v>
      </c>
      <c r="N98" s="50">
        <v>0</v>
      </c>
      <c r="O98" s="50">
        <v>0</v>
      </c>
      <c r="Q98" s="50">
        <v>1014000</v>
      </c>
      <c r="R98" s="50">
        <v>780</v>
      </c>
      <c r="S98" s="50" t="s">
        <v>8534</v>
      </c>
      <c r="T98" s="50">
        <v>0</v>
      </c>
      <c r="U98" s="50">
        <v>0</v>
      </c>
      <c r="W98" s="50" t="s">
        <v>102</v>
      </c>
      <c r="X98" s="50" t="s">
        <v>103</v>
      </c>
      <c r="Y98" s="50" t="s">
        <v>155</v>
      </c>
      <c r="AA98" s="50" t="s">
        <v>2392</v>
      </c>
      <c r="AB98" s="50" t="s">
        <v>12176</v>
      </c>
      <c r="AC98" s="50" t="s">
        <v>12157</v>
      </c>
      <c r="AD98" s="50" t="s">
        <v>12176</v>
      </c>
      <c r="AE98" s="50" t="s">
        <v>12043</v>
      </c>
      <c r="AF98" s="50" t="s">
        <v>12176</v>
      </c>
      <c r="AG98" s="50" t="s">
        <v>6895</v>
      </c>
      <c r="AH98" s="50" t="s">
        <v>12176</v>
      </c>
      <c r="AI98" s="50" t="s">
        <v>102</v>
      </c>
      <c r="AJ98" s="50" t="s">
        <v>8783</v>
      </c>
      <c r="AK98" s="50" t="s">
        <v>5351</v>
      </c>
      <c r="AL98" s="50" t="s">
        <v>12177</v>
      </c>
      <c r="AM98" s="50" t="s">
        <v>12178</v>
      </c>
      <c r="AN98" s="50" t="s">
        <v>12179</v>
      </c>
      <c r="AO98" s="50" t="s">
        <v>116</v>
      </c>
      <c r="AP98" s="50" t="s">
        <v>116</v>
      </c>
      <c r="AU98" s="50" t="s">
        <v>102</v>
      </c>
      <c r="AW98" s="50" t="s">
        <v>155</v>
      </c>
      <c r="AX98" s="50" t="s">
        <v>119</v>
      </c>
      <c r="AY98" s="50" t="s">
        <v>170</v>
      </c>
      <c r="AZ98" s="50" t="s">
        <v>118</v>
      </c>
      <c r="BB98" s="50" t="s">
        <v>120</v>
      </c>
      <c r="BC98" s="50" t="s">
        <v>12162</v>
      </c>
      <c r="BD98" s="50" t="s">
        <v>1171</v>
      </c>
      <c r="BE98" s="50" t="s">
        <v>174</v>
      </c>
      <c r="BF98" s="50" t="s">
        <v>1172</v>
      </c>
      <c r="BG98" s="50" t="s">
        <v>124</v>
      </c>
      <c r="BH98" s="50" t="s">
        <v>5694</v>
      </c>
      <c r="BI98" s="50" t="s">
        <v>11889</v>
      </c>
      <c r="BJ98" s="50" t="s">
        <v>127</v>
      </c>
      <c r="BK98" s="50" t="s">
        <v>12180</v>
      </c>
      <c r="BL98" s="50" t="s">
        <v>12181</v>
      </c>
      <c r="BM98" s="50" t="s">
        <v>12182</v>
      </c>
      <c r="BN98" s="50" t="s">
        <v>6134</v>
      </c>
      <c r="BO98" s="50" t="s">
        <v>5557</v>
      </c>
      <c r="BP98" s="50" t="s">
        <v>180</v>
      </c>
      <c r="BQ98" s="50" t="s">
        <v>5558</v>
      </c>
      <c r="BR98" s="50" t="s">
        <v>5559</v>
      </c>
      <c r="BS98" s="50" t="s">
        <v>5560</v>
      </c>
      <c r="BU98" s="50" t="s">
        <v>12183</v>
      </c>
      <c r="BV98" s="50" t="s">
        <v>12184</v>
      </c>
      <c r="BW98" s="50" t="s">
        <v>138</v>
      </c>
      <c r="BX98" s="50" t="s">
        <v>12185</v>
      </c>
      <c r="BY98" s="50" t="s">
        <v>12169</v>
      </c>
      <c r="BZ98" s="50" t="s">
        <v>12186</v>
      </c>
      <c r="CA98" s="50" t="s">
        <v>12187</v>
      </c>
      <c r="CB98" s="50" t="s">
        <v>12185</v>
      </c>
      <c r="CC98" s="50" t="s">
        <v>12169</v>
      </c>
      <c r="CD98" s="50" t="s">
        <v>12187</v>
      </c>
      <c r="CE98" s="50" t="s">
        <v>12185</v>
      </c>
      <c r="CF98" s="50" t="s">
        <v>12169</v>
      </c>
      <c r="CG98" s="50" t="s">
        <v>12188</v>
      </c>
      <c r="CH98" s="50" t="s">
        <v>12189</v>
      </c>
      <c r="CJ98" s="50" t="s">
        <v>12190</v>
      </c>
      <c r="CK98" s="50" t="s">
        <v>12191</v>
      </c>
      <c r="CL98" s="50" t="s">
        <v>12162</v>
      </c>
      <c r="CM98" s="50" t="s">
        <v>1171</v>
      </c>
      <c r="CN98" s="50" t="s">
        <v>12190</v>
      </c>
      <c r="CP98" s="50" t="s">
        <v>12191</v>
      </c>
      <c r="CQ98" s="50" t="s">
        <v>12191</v>
      </c>
      <c r="CR98" s="50" t="s">
        <v>26046</v>
      </c>
    </row>
    <row r="99" spans="1:96">
      <c r="A99" s="50" t="s">
        <v>93</v>
      </c>
      <c r="B99" s="50">
        <v>5017780</v>
      </c>
      <c r="C99" s="50" t="s">
        <v>12423</v>
      </c>
      <c r="D99" s="50" t="s">
        <v>10193</v>
      </c>
      <c r="E99" s="50" t="str">
        <f>VLOOKUP(B99,aa!B:F,5,0)</f>
        <v>Ei Mindspark</v>
      </c>
      <c r="F99" s="50">
        <f>VLOOKUP(B99,aa!B:J,9,0)</f>
        <v>295422</v>
      </c>
      <c r="G99" s="50">
        <f>VLOOKUP(B99,aa!B:L,11,0)</f>
        <v>0</v>
      </c>
      <c r="H99" s="50">
        <f>VLOOKUP(B99,aa!B:O,14,0)</f>
        <v>0</v>
      </c>
      <c r="I99" s="50">
        <f>VLOOKUP(B99,aa!B:R,17,0)</f>
        <v>295422</v>
      </c>
      <c r="K99" s="50" t="s">
        <v>848</v>
      </c>
      <c r="L99" s="50">
        <v>342417</v>
      </c>
      <c r="M99" s="50">
        <v>404052</v>
      </c>
      <c r="N99" s="50">
        <v>0</v>
      </c>
      <c r="O99" s="50">
        <v>0</v>
      </c>
      <c r="Q99" s="50">
        <v>0</v>
      </c>
      <c r="R99" s="50">
        <v>0</v>
      </c>
      <c r="T99" s="50">
        <v>342417</v>
      </c>
      <c r="U99" s="50">
        <v>202</v>
      </c>
      <c r="V99" s="50" t="s">
        <v>2007</v>
      </c>
      <c r="W99" s="50" t="s">
        <v>102</v>
      </c>
      <c r="X99" s="50" t="s">
        <v>103</v>
      </c>
      <c r="Y99" s="50" t="s">
        <v>155</v>
      </c>
      <c r="AA99" s="50" t="s">
        <v>6918</v>
      </c>
      <c r="AB99" s="50" t="s">
        <v>19125</v>
      </c>
      <c r="AC99" s="50" t="s">
        <v>11932</v>
      </c>
      <c r="AD99" s="50" t="s">
        <v>19126</v>
      </c>
      <c r="AE99" s="50" t="s">
        <v>12467</v>
      </c>
      <c r="AF99" s="50" t="s">
        <v>19126</v>
      </c>
      <c r="AG99" s="50" t="s">
        <v>11952</v>
      </c>
      <c r="AH99" s="50" t="s">
        <v>19126</v>
      </c>
      <c r="AI99" s="50" t="s">
        <v>19127</v>
      </c>
      <c r="AJ99" s="50" t="s">
        <v>1941</v>
      </c>
      <c r="AK99" s="50" t="s">
        <v>15933</v>
      </c>
      <c r="AL99" s="50" t="s">
        <v>19128</v>
      </c>
      <c r="AM99" s="50" t="s">
        <v>19129</v>
      </c>
      <c r="AN99" s="50" t="s">
        <v>19130</v>
      </c>
      <c r="AO99" s="50" t="s">
        <v>9445</v>
      </c>
      <c r="AP99" s="50" t="s">
        <v>9445</v>
      </c>
      <c r="AU99" s="50" t="s">
        <v>102</v>
      </c>
      <c r="AW99" s="50" t="s">
        <v>102</v>
      </c>
      <c r="AX99" s="50" t="s">
        <v>119</v>
      </c>
      <c r="BA99" s="50" t="s">
        <v>250</v>
      </c>
      <c r="BB99" s="50" t="s">
        <v>120</v>
      </c>
      <c r="BC99" s="50" t="s">
        <v>10200</v>
      </c>
      <c r="BD99" s="50" t="s">
        <v>410</v>
      </c>
      <c r="BE99" s="50" t="s">
        <v>212</v>
      </c>
      <c r="BF99" s="50" t="s">
        <v>410</v>
      </c>
      <c r="BG99" s="50" t="s">
        <v>124</v>
      </c>
      <c r="BH99" s="50" t="s">
        <v>12023</v>
      </c>
      <c r="BI99" s="50" t="s">
        <v>11889</v>
      </c>
      <c r="BJ99" s="50" t="s">
        <v>127</v>
      </c>
      <c r="BK99" s="50" t="s">
        <v>19131</v>
      </c>
      <c r="BL99" s="50" t="s">
        <v>10202</v>
      </c>
      <c r="BM99" s="50" t="s">
        <v>19132</v>
      </c>
      <c r="BN99" s="50" t="s">
        <v>6134</v>
      </c>
      <c r="BO99" s="50" t="s">
        <v>896</v>
      </c>
      <c r="BP99" s="50" t="s">
        <v>132</v>
      </c>
      <c r="BQ99" s="50" t="s">
        <v>897</v>
      </c>
      <c r="BR99" s="50" t="s">
        <v>898</v>
      </c>
      <c r="BS99" s="50" t="s">
        <v>899</v>
      </c>
      <c r="BU99" s="50" t="s">
        <v>19133</v>
      </c>
      <c r="BV99" s="50" t="s">
        <v>10205</v>
      </c>
      <c r="BW99" s="50" t="s">
        <v>354</v>
      </c>
      <c r="BX99" s="50" t="s">
        <v>10206</v>
      </c>
      <c r="BY99" s="50" t="s">
        <v>10207</v>
      </c>
      <c r="BZ99" s="50" t="s">
        <v>10206</v>
      </c>
      <c r="CA99" s="50" t="s">
        <v>19134</v>
      </c>
      <c r="CB99" s="50" t="s">
        <v>10206</v>
      </c>
      <c r="CC99" s="50" t="s">
        <v>10207</v>
      </c>
      <c r="CD99" s="50" t="s">
        <v>19135</v>
      </c>
      <c r="CE99" s="50" t="s">
        <v>10206</v>
      </c>
      <c r="CF99" s="50" t="s">
        <v>10207</v>
      </c>
      <c r="CG99" s="50" t="s">
        <v>3968</v>
      </c>
      <c r="CH99" s="50" t="s">
        <v>10210</v>
      </c>
      <c r="CJ99" s="50" t="s">
        <v>10211</v>
      </c>
      <c r="CK99" s="50" t="s">
        <v>10210</v>
      </c>
      <c r="CL99" s="50" t="s">
        <v>10200</v>
      </c>
      <c r="CM99" s="50" t="s">
        <v>10076</v>
      </c>
      <c r="CN99" s="50" t="s">
        <v>10211</v>
      </c>
      <c r="CO99" s="50" t="s">
        <v>10212</v>
      </c>
      <c r="CP99" s="50" t="s">
        <v>10210</v>
      </c>
      <c r="CQ99" s="50" t="s">
        <v>10210</v>
      </c>
      <c r="CR99" s="50" t="s">
        <v>26043</v>
      </c>
    </row>
    <row r="100" spans="1:96">
      <c r="A100" s="50" t="s">
        <v>337</v>
      </c>
      <c r="B100" s="50">
        <v>5026233</v>
      </c>
      <c r="C100" s="50" t="s">
        <v>632</v>
      </c>
      <c r="D100" s="50" t="s">
        <v>20170</v>
      </c>
      <c r="E100" s="50" t="str">
        <f>VLOOKUP(B100,aa!B:F,5,0)</f>
        <v>Ei CARES,Ei Mindspark</v>
      </c>
      <c r="F100" s="50">
        <f>VLOOKUP(B100,aa!B:J,9,0)</f>
        <v>191304</v>
      </c>
      <c r="G100" s="50">
        <f>VLOOKUP(B100,aa!B:L,11,0)</f>
        <v>0</v>
      </c>
      <c r="H100" s="50">
        <f>VLOOKUP(B100,aa!B:O,14,0)</f>
        <v>80150</v>
      </c>
      <c r="I100" s="50">
        <f>VLOOKUP(B100,aa!B:R,17,0)</f>
        <v>111154</v>
      </c>
      <c r="K100" s="50" t="s">
        <v>848</v>
      </c>
      <c r="L100" s="50">
        <v>121657</v>
      </c>
      <c r="M100" s="50">
        <v>143555</v>
      </c>
      <c r="N100" s="50">
        <v>0</v>
      </c>
      <c r="O100" s="50">
        <v>0</v>
      </c>
      <c r="Q100" s="50">
        <v>0</v>
      </c>
      <c r="R100" s="50">
        <v>0</v>
      </c>
      <c r="T100" s="50">
        <v>121657</v>
      </c>
      <c r="U100" s="50">
        <v>45</v>
      </c>
      <c r="V100" s="50" t="s">
        <v>12674</v>
      </c>
      <c r="W100" s="50" t="s">
        <v>102</v>
      </c>
      <c r="X100" s="50" t="s">
        <v>103</v>
      </c>
      <c r="Y100" s="50" t="s">
        <v>155</v>
      </c>
      <c r="AA100" s="50" t="s">
        <v>1408</v>
      </c>
      <c r="AB100" s="50" t="s">
        <v>20171</v>
      </c>
      <c r="AC100" s="50" t="s">
        <v>12888</v>
      </c>
      <c r="AD100" s="50" t="s">
        <v>20171</v>
      </c>
      <c r="AE100" s="50" t="s">
        <v>1427</v>
      </c>
      <c r="AF100" s="50" t="s">
        <v>20171</v>
      </c>
      <c r="AG100" s="50" t="s">
        <v>11886</v>
      </c>
      <c r="AH100" s="50" t="s">
        <v>20171</v>
      </c>
      <c r="AI100" s="50" t="s">
        <v>20172</v>
      </c>
      <c r="AJ100" s="50" t="s">
        <v>13455</v>
      </c>
      <c r="AK100" s="50" t="s">
        <v>946</v>
      </c>
      <c r="AL100" s="50" t="s">
        <v>20173</v>
      </c>
      <c r="AM100" s="50" t="s">
        <v>20174</v>
      </c>
      <c r="AN100" s="50" t="s">
        <v>20175</v>
      </c>
      <c r="AO100" s="50" t="s">
        <v>20176</v>
      </c>
      <c r="AP100" s="50" t="s">
        <v>20176</v>
      </c>
      <c r="AU100" s="50" t="s">
        <v>102</v>
      </c>
      <c r="AW100" s="50" t="s">
        <v>102</v>
      </c>
      <c r="AX100" s="50" t="s">
        <v>119</v>
      </c>
      <c r="BA100" s="50" t="s">
        <v>250</v>
      </c>
      <c r="BB100" s="50" t="s">
        <v>1242</v>
      </c>
      <c r="BC100" s="50" t="s">
        <v>623</v>
      </c>
      <c r="BD100" s="50" t="s">
        <v>621</v>
      </c>
      <c r="BE100" s="50" t="s">
        <v>622</v>
      </c>
      <c r="BF100" s="50" t="s">
        <v>623</v>
      </c>
      <c r="BG100" s="50" t="s">
        <v>124</v>
      </c>
      <c r="BH100" s="50" t="s">
        <v>5548</v>
      </c>
      <c r="BI100" s="50" t="s">
        <v>14455</v>
      </c>
      <c r="BJ100" s="50" t="s">
        <v>127</v>
      </c>
      <c r="BK100" s="50" t="s">
        <v>20177</v>
      </c>
      <c r="BL100" s="50" t="s">
        <v>20178</v>
      </c>
      <c r="BM100" s="50" t="s">
        <v>20179</v>
      </c>
      <c r="BN100" s="50" t="s">
        <v>6134</v>
      </c>
      <c r="BO100" s="50" t="s">
        <v>1339</v>
      </c>
      <c r="BP100" s="50" t="s">
        <v>132</v>
      </c>
      <c r="BQ100" s="50" t="s">
        <v>1340</v>
      </c>
      <c r="BR100" s="50" t="s">
        <v>1341</v>
      </c>
      <c r="BS100" s="50" t="s">
        <v>507</v>
      </c>
      <c r="BU100" s="50" t="s">
        <v>20180</v>
      </c>
      <c r="BV100" s="50" t="s">
        <v>12688</v>
      </c>
      <c r="BW100" s="50" t="s">
        <v>598</v>
      </c>
      <c r="BX100" s="50" t="s">
        <v>12689</v>
      </c>
      <c r="BY100" s="50" t="s">
        <v>12690</v>
      </c>
      <c r="BZ100" s="50" t="s">
        <v>20181</v>
      </c>
      <c r="CA100" s="50" t="s">
        <v>12688</v>
      </c>
      <c r="CB100" s="50" t="s">
        <v>12689</v>
      </c>
      <c r="CC100" s="50" t="s">
        <v>12690</v>
      </c>
      <c r="CD100" s="50" t="s">
        <v>12688</v>
      </c>
      <c r="CE100" s="50" t="s">
        <v>12689</v>
      </c>
      <c r="CF100" s="50" t="s">
        <v>12690</v>
      </c>
      <c r="CG100" s="50" t="s">
        <v>907</v>
      </c>
      <c r="CH100" s="50" t="s">
        <v>20182</v>
      </c>
      <c r="CJ100" s="50" t="s">
        <v>1351</v>
      </c>
      <c r="CL100" s="50" t="s">
        <v>623</v>
      </c>
      <c r="CM100" s="50" t="s">
        <v>621</v>
      </c>
      <c r="CN100" s="50" t="s">
        <v>1351</v>
      </c>
      <c r="CO100" s="50" t="s">
        <v>1352</v>
      </c>
      <c r="CP100" s="50" t="s">
        <v>20183</v>
      </c>
      <c r="CQ100" s="50" t="s">
        <v>20184</v>
      </c>
    </row>
    <row r="101" spans="1:96">
      <c r="A101" s="50" t="s">
        <v>93</v>
      </c>
      <c r="B101" s="50">
        <v>202033</v>
      </c>
      <c r="C101" s="50" t="s">
        <v>2151</v>
      </c>
      <c r="D101" s="50" t="s">
        <v>2409</v>
      </c>
      <c r="E101" s="50" t="str">
        <f>VLOOKUP(B101,aa!B:F,5,0)</f>
        <v>Ei ASSET,Ei Mindspark</v>
      </c>
      <c r="F101" s="50">
        <f>VLOOKUP(B101,aa!B:J,9,0)</f>
        <v>263780</v>
      </c>
      <c r="G101" s="50">
        <f>VLOOKUP(B101,aa!B:L,11,0)</f>
        <v>62681</v>
      </c>
      <c r="H101" s="50">
        <f>VLOOKUP(B101,aa!B:O,14,0)</f>
        <v>0</v>
      </c>
      <c r="I101" s="50">
        <f>VLOOKUP(B101,aa!B:R,17,0)</f>
        <v>201099</v>
      </c>
      <c r="K101" s="50" t="s">
        <v>193</v>
      </c>
      <c r="L101" s="50">
        <v>273432</v>
      </c>
      <c r="M101" s="50">
        <v>284418</v>
      </c>
      <c r="N101" s="50">
        <v>212400</v>
      </c>
      <c r="O101" s="50">
        <v>177</v>
      </c>
      <c r="P101" s="50" t="s">
        <v>880</v>
      </c>
      <c r="Q101" s="50">
        <v>0</v>
      </c>
      <c r="R101" s="50">
        <v>0</v>
      </c>
      <c r="T101" s="50">
        <v>61032</v>
      </c>
      <c r="U101" s="50">
        <v>60</v>
      </c>
      <c r="V101" s="50" t="s">
        <v>3924</v>
      </c>
      <c r="W101" s="50" t="s">
        <v>102</v>
      </c>
      <c r="X101" s="50" t="s">
        <v>103</v>
      </c>
      <c r="Y101" s="50" t="s">
        <v>104</v>
      </c>
      <c r="AA101" s="50" t="s">
        <v>13298</v>
      </c>
      <c r="AB101" s="50" t="s">
        <v>13299</v>
      </c>
      <c r="AC101" s="50" t="s">
        <v>13300</v>
      </c>
      <c r="AD101" s="50" t="s">
        <v>13301</v>
      </c>
      <c r="AE101" s="50" t="s">
        <v>109</v>
      </c>
      <c r="AF101" s="50" t="s">
        <v>102</v>
      </c>
      <c r="AG101" s="50" t="s">
        <v>109</v>
      </c>
      <c r="AH101" s="50" t="s">
        <v>102</v>
      </c>
      <c r="AI101" s="50" t="s">
        <v>102</v>
      </c>
      <c r="AJ101" s="50" t="s">
        <v>13036</v>
      </c>
      <c r="AK101" s="50" t="s">
        <v>13302</v>
      </c>
      <c r="AL101" s="50" t="s">
        <v>13303</v>
      </c>
      <c r="AM101" s="50" t="s">
        <v>13304</v>
      </c>
      <c r="AN101" s="50" t="s">
        <v>13305</v>
      </c>
      <c r="AO101" s="50" t="s">
        <v>13306</v>
      </c>
      <c r="AP101" s="50" t="s">
        <v>13307</v>
      </c>
      <c r="AT101" s="50" t="s">
        <v>169</v>
      </c>
      <c r="AU101" s="50" t="s">
        <v>247</v>
      </c>
      <c r="AV101" s="50" t="s">
        <v>118</v>
      </c>
      <c r="AW101" s="50" t="s">
        <v>102</v>
      </c>
      <c r="AX101" s="50" t="s">
        <v>119</v>
      </c>
      <c r="BA101" s="50" t="s">
        <v>250</v>
      </c>
      <c r="BB101" s="50" t="s">
        <v>171</v>
      </c>
      <c r="BC101" s="50" t="s">
        <v>920</v>
      </c>
      <c r="BD101" s="50" t="s">
        <v>211</v>
      </c>
      <c r="BE101" s="50" t="s">
        <v>212</v>
      </c>
      <c r="BF101" s="50" t="s">
        <v>213</v>
      </c>
      <c r="BG101" s="50" t="s">
        <v>124</v>
      </c>
      <c r="BH101" s="50" t="s">
        <v>13308</v>
      </c>
      <c r="BI101" s="50" t="s">
        <v>13309</v>
      </c>
      <c r="BJ101" s="50" t="s">
        <v>127</v>
      </c>
      <c r="BK101" s="50" t="s">
        <v>13310</v>
      </c>
      <c r="BL101" s="50" t="s">
        <v>2417</v>
      </c>
      <c r="BM101" s="50" t="s">
        <v>13311</v>
      </c>
      <c r="BN101" s="50" t="s">
        <v>13297</v>
      </c>
      <c r="BO101" s="50" t="s">
        <v>1309</v>
      </c>
      <c r="BP101" s="50" t="s">
        <v>180</v>
      </c>
      <c r="BQ101" s="50" t="s">
        <v>1310</v>
      </c>
      <c r="BR101" s="50" t="s">
        <v>1311</v>
      </c>
      <c r="BS101" s="50" t="s">
        <v>1312</v>
      </c>
      <c r="BU101" s="50" t="s">
        <v>13312</v>
      </c>
      <c r="BV101" s="50" t="s">
        <v>13313</v>
      </c>
      <c r="BW101" s="50" t="s">
        <v>138</v>
      </c>
      <c r="BX101" s="50" t="s">
        <v>13314</v>
      </c>
      <c r="BY101" s="50" t="s">
        <v>13315</v>
      </c>
      <c r="BZ101" s="50" t="s">
        <v>2423</v>
      </c>
      <c r="CA101" s="50" t="s">
        <v>13313</v>
      </c>
      <c r="CB101" s="50" t="s">
        <v>13314</v>
      </c>
      <c r="CC101" s="50" t="s">
        <v>13315</v>
      </c>
      <c r="CD101" s="50" t="s">
        <v>13313</v>
      </c>
      <c r="CE101" s="50" t="s">
        <v>13314</v>
      </c>
      <c r="CF101" s="50" t="s">
        <v>13315</v>
      </c>
      <c r="CG101" s="50" t="s">
        <v>2424</v>
      </c>
      <c r="CH101" s="50" t="s">
        <v>13316</v>
      </c>
      <c r="CJ101" s="50" t="s">
        <v>2426</v>
      </c>
      <c r="CK101" s="50" t="s">
        <v>13317</v>
      </c>
      <c r="CL101" s="50" t="s">
        <v>920</v>
      </c>
      <c r="CM101" s="50" t="s">
        <v>211</v>
      </c>
      <c r="CN101" s="50" t="s">
        <v>2426</v>
      </c>
      <c r="CO101" s="50" t="s">
        <v>102</v>
      </c>
      <c r="CP101" s="50" t="s">
        <v>2425</v>
      </c>
      <c r="CQ101" s="50" t="s">
        <v>2425</v>
      </c>
      <c r="CR101" s="50" t="s">
        <v>26045</v>
      </c>
    </row>
    <row r="102" spans="1:96">
      <c r="A102" s="50" t="s">
        <v>337</v>
      </c>
      <c r="B102" s="50">
        <v>1114832</v>
      </c>
      <c r="C102" s="50" t="s">
        <v>12121</v>
      </c>
      <c r="D102" s="50" t="s">
        <v>12120</v>
      </c>
      <c r="E102" s="50" t="e">
        <f>VLOOKUP(B102,aa!B:F,5,0)</f>
        <v>#N/A</v>
      </c>
      <c r="F102" s="50" t="e">
        <f>VLOOKUP(B102,aa!B:J,9,0)</f>
        <v>#N/A</v>
      </c>
      <c r="G102" s="50" t="e">
        <f>VLOOKUP(B102,aa!B:L,11,0)</f>
        <v>#N/A</v>
      </c>
      <c r="H102" s="50" t="e">
        <f>VLOOKUP(B102,aa!B:O,14,0)</f>
        <v>#N/A</v>
      </c>
      <c r="I102" s="50" t="e">
        <f>VLOOKUP(B102,aa!B:R,17,0)</f>
        <v>#N/A</v>
      </c>
      <c r="K102" s="50" t="s">
        <v>152</v>
      </c>
      <c r="L102" s="50">
        <v>343024</v>
      </c>
      <c r="M102" s="50">
        <v>343024</v>
      </c>
      <c r="N102" s="50">
        <v>0</v>
      </c>
      <c r="O102" s="50">
        <v>0</v>
      </c>
      <c r="Q102" s="50">
        <v>343024</v>
      </c>
      <c r="R102" s="50">
        <v>245</v>
      </c>
      <c r="S102" s="50" t="s">
        <v>4289</v>
      </c>
      <c r="T102" s="50">
        <v>0</v>
      </c>
      <c r="U102" s="50">
        <v>0</v>
      </c>
      <c r="W102" s="50" t="s">
        <v>102</v>
      </c>
      <c r="X102" s="50" t="s">
        <v>103</v>
      </c>
      <c r="Y102" s="50" t="s">
        <v>104</v>
      </c>
      <c r="AA102" s="50" t="s">
        <v>5022</v>
      </c>
      <c r="AB102" s="50" t="s">
        <v>12122</v>
      </c>
      <c r="AC102" s="50" t="s">
        <v>12123</v>
      </c>
      <c r="AD102" s="50" t="s">
        <v>12124</v>
      </c>
      <c r="AE102" s="50" t="s">
        <v>109</v>
      </c>
      <c r="AF102" s="50" t="s">
        <v>102</v>
      </c>
      <c r="AG102" s="50" t="s">
        <v>109</v>
      </c>
      <c r="AH102" s="50" t="s">
        <v>102</v>
      </c>
      <c r="AI102" s="50" t="s">
        <v>102</v>
      </c>
      <c r="AJ102" s="50" t="s">
        <v>158</v>
      </c>
      <c r="AK102" s="50" t="s">
        <v>158</v>
      </c>
      <c r="AL102" s="50" t="s">
        <v>12125</v>
      </c>
      <c r="AM102" s="50" t="s">
        <v>12126</v>
      </c>
      <c r="AN102" s="50" t="s">
        <v>12127</v>
      </c>
      <c r="AO102" s="50" t="s">
        <v>4298</v>
      </c>
      <c r="AP102" s="50" t="s">
        <v>4298</v>
      </c>
      <c r="AU102" s="50" t="s">
        <v>102</v>
      </c>
      <c r="AW102" s="50" t="s">
        <v>155</v>
      </c>
      <c r="AX102" s="50" t="s">
        <v>119</v>
      </c>
      <c r="AY102" s="50" t="s">
        <v>170</v>
      </c>
      <c r="AZ102" s="50" t="s">
        <v>118</v>
      </c>
      <c r="BB102" s="50" t="s">
        <v>120</v>
      </c>
      <c r="BC102" s="50" t="s">
        <v>9564</v>
      </c>
      <c r="BD102" s="50" t="s">
        <v>556</v>
      </c>
      <c r="BE102" s="50" t="s">
        <v>122</v>
      </c>
      <c r="BF102" s="50" t="s">
        <v>557</v>
      </c>
      <c r="BG102" s="50" t="s">
        <v>124</v>
      </c>
      <c r="BH102" s="50" t="s">
        <v>12128</v>
      </c>
      <c r="BI102" s="50" t="s">
        <v>12129</v>
      </c>
      <c r="BJ102" s="50" t="s">
        <v>127</v>
      </c>
      <c r="BK102" s="50" t="s">
        <v>12130</v>
      </c>
      <c r="BL102" s="50" t="s">
        <v>12131</v>
      </c>
      <c r="BM102" s="50" t="s">
        <v>12132</v>
      </c>
      <c r="BN102" s="50" t="s">
        <v>5022</v>
      </c>
      <c r="BO102" s="50" t="s">
        <v>563</v>
      </c>
      <c r="BP102" s="50" t="s">
        <v>350</v>
      </c>
      <c r="BQ102" s="50" t="s">
        <v>564</v>
      </c>
      <c r="BR102" s="50" t="s">
        <v>565</v>
      </c>
      <c r="BS102" s="50" t="s">
        <v>563</v>
      </c>
      <c r="BU102" s="50" t="s">
        <v>12133</v>
      </c>
      <c r="BV102" s="50" t="s">
        <v>12134</v>
      </c>
      <c r="BW102" s="50" t="s">
        <v>138</v>
      </c>
      <c r="BX102" s="50" t="s">
        <v>12135</v>
      </c>
      <c r="BY102" s="50" t="s">
        <v>12136</v>
      </c>
      <c r="BZ102" s="50" t="s">
        <v>12137</v>
      </c>
      <c r="CA102" s="50" t="s">
        <v>12138</v>
      </c>
      <c r="CB102" s="50" t="s">
        <v>12139</v>
      </c>
      <c r="CC102" s="50" t="s">
        <v>12136</v>
      </c>
      <c r="CD102" s="50" t="s">
        <v>12138</v>
      </c>
      <c r="CE102" s="50" t="s">
        <v>12139</v>
      </c>
      <c r="CF102" s="50" t="s">
        <v>12136</v>
      </c>
      <c r="CG102" s="50" t="s">
        <v>10583</v>
      </c>
      <c r="CH102" s="50" t="s">
        <v>12140</v>
      </c>
      <c r="CJ102" s="50" t="s">
        <v>9563</v>
      </c>
      <c r="CK102" s="50" t="s">
        <v>12141</v>
      </c>
      <c r="CL102" s="50" t="s">
        <v>9564</v>
      </c>
      <c r="CM102" s="50" t="s">
        <v>556</v>
      </c>
      <c r="CN102" s="50" t="s">
        <v>9563</v>
      </c>
      <c r="CP102" s="50" t="s">
        <v>12142</v>
      </c>
      <c r="CQ102" s="50" t="s">
        <v>12143</v>
      </c>
    </row>
    <row r="103" spans="1:96">
      <c r="A103" s="50" t="s">
        <v>93</v>
      </c>
      <c r="B103" s="50">
        <v>2551930</v>
      </c>
      <c r="C103" s="50" t="s">
        <v>11995</v>
      </c>
      <c r="D103" s="50" t="s">
        <v>4023</v>
      </c>
      <c r="E103" s="50" t="e">
        <f>VLOOKUP(B103,aa!B:F,5,0)</f>
        <v>#N/A</v>
      </c>
      <c r="F103" s="50" t="e">
        <f>VLOOKUP(B103,aa!B:J,9,0)</f>
        <v>#N/A</v>
      </c>
      <c r="G103" s="50" t="e">
        <f>VLOOKUP(B103,aa!B:L,11,0)</f>
        <v>#N/A</v>
      </c>
      <c r="H103" s="50" t="e">
        <f>VLOOKUP(B103,aa!B:O,14,0)</f>
        <v>#N/A</v>
      </c>
      <c r="I103" s="50" t="e">
        <f>VLOOKUP(B103,aa!B:R,17,0)</f>
        <v>#N/A</v>
      </c>
      <c r="K103" s="50" t="s">
        <v>152</v>
      </c>
      <c r="L103" s="50">
        <v>582306</v>
      </c>
      <c r="M103" s="50">
        <v>582306</v>
      </c>
      <c r="N103" s="50">
        <v>0</v>
      </c>
      <c r="O103" s="50">
        <v>0</v>
      </c>
      <c r="Q103" s="50">
        <v>582306</v>
      </c>
      <c r="R103" s="50">
        <v>584</v>
      </c>
      <c r="S103" s="50" t="s">
        <v>7732</v>
      </c>
      <c r="T103" s="50">
        <v>0</v>
      </c>
      <c r="U103" s="50">
        <v>0</v>
      </c>
      <c r="W103" s="50" t="s">
        <v>102</v>
      </c>
      <c r="X103" s="50" t="s">
        <v>275</v>
      </c>
      <c r="Z103" s="50" t="s">
        <v>1408</v>
      </c>
      <c r="AA103" s="50" t="s">
        <v>109</v>
      </c>
      <c r="AB103" s="50" t="s">
        <v>102</v>
      </c>
      <c r="AC103" s="50" t="s">
        <v>109</v>
      </c>
      <c r="AD103" s="50" t="s">
        <v>102</v>
      </c>
      <c r="AE103" s="50" t="s">
        <v>109</v>
      </c>
      <c r="AF103" s="50" t="s">
        <v>102</v>
      </c>
      <c r="AG103" s="50" t="s">
        <v>109</v>
      </c>
      <c r="AH103" s="50" t="s">
        <v>102</v>
      </c>
      <c r="AI103" s="50" t="s">
        <v>102</v>
      </c>
      <c r="AJ103" s="50" t="s">
        <v>13511</v>
      </c>
      <c r="AK103" s="50" t="s">
        <v>5651</v>
      </c>
      <c r="AL103" s="50" t="s">
        <v>14478</v>
      </c>
      <c r="AM103" s="50" t="s">
        <v>14479</v>
      </c>
      <c r="AN103" s="50" t="s">
        <v>14480</v>
      </c>
      <c r="AO103" s="50" t="s">
        <v>14481</v>
      </c>
      <c r="AP103" s="50" t="s">
        <v>14481</v>
      </c>
      <c r="AU103" s="50" t="s">
        <v>102</v>
      </c>
      <c r="AW103" s="50" t="s">
        <v>155</v>
      </c>
      <c r="AX103" s="50" t="s">
        <v>119</v>
      </c>
      <c r="AY103" s="50" t="s">
        <v>1138</v>
      </c>
      <c r="AZ103" s="50" t="s">
        <v>118</v>
      </c>
      <c r="BB103" s="50" t="s">
        <v>120</v>
      </c>
      <c r="BC103" s="50" t="s">
        <v>284</v>
      </c>
      <c r="BD103" s="50" t="s">
        <v>285</v>
      </c>
      <c r="BE103" s="50" t="s">
        <v>212</v>
      </c>
      <c r="BF103" s="50" t="s">
        <v>286</v>
      </c>
      <c r="BG103" s="50" t="s">
        <v>124</v>
      </c>
      <c r="BH103" s="50" t="s">
        <v>12425</v>
      </c>
      <c r="BI103" s="50" t="s">
        <v>12047</v>
      </c>
      <c r="BJ103" s="50" t="s">
        <v>127</v>
      </c>
      <c r="BK103" s="50" t="s">
        <v>14482</v>
      </c>
      <c r="BL103" s="50" t="s">
        <v>4031</v>
      </c>
      <c r="BM103" s="50" t="s">
        <v>4032</v>
      </c>
      <c r="BN103" s="50" t="s">
        <v>5022</v>
      </c>
      <c r="BO103" s="50" t="s">
        <v>3997</v>
      </c>
      <c r="BP103" s="50" t="s">
        <v>132</v>
      </c>
      <c r="BQ103" s="50" t="s">
        <v>3998</v>
      </c>
      <c r="BR103" s="50" t="s">
        <v>3999</v>
      </c>
      <c r="BS103" s="50" t="s">
        <v>3362</v>
      </c>
      <c r="BU103" s="50" t="s">
        <v>14483</v>
      </c>
      <c r="BV103" s="50" t="s">
        <v>4034</v>
      </c>
      <c r="BW103" s="50" t="s">
        <v>354</v>
      </c>
      <c r="BX103" s="50" t="s">
        <v>4035</v>
      </c>
      <c r="BY103" s="50" t="s">
        <v>4036</v>
      </c>
      <c r="BZ103" s="50" t="s">
        <v>4037</v>
      </c>
      <c r="CA103" s="50" t="s">
        <v>14484</v>
      </c>
      <c r="CB103" s="50" t="s">
        <v>4035</v>
      </c>
      <c r="CC103" s="50" t="s">
        <v>14485</v>
      </c>
      <c r="CD103" s="50" t="s">
        <v>14486</v>
      </c>
      <c r="CE103" s="50" t="s">
        <v>4035</v>
      </c>
      <c r="CF103" s="50" t="s">
        <v>14487</v>
      </c>
      <c r="CG103" s="50" t="s">
        <v>102</v>
      </c>
      <c r="CH103" s="50" t="s">
        <v>14488</v>
      </c>
      <c r="CJ103" s="50" t="s">
        <v>4039</v>
      </c>
      <c r="CK103" s="50" t="s">
        <v>14489</v>
      </c>
      <c r="CL103" s="50" t="s">
        <v>284</v>
      </c>
      <c r="CM103" s="50" t="s">
        <v>285</v>
      </c>
      <c r="CN103" s="50" t="s">
        <v>4039</v>
      </c>
      <c r="CP103" s="50" t="s">
        <v>4038</v>
      </c>
      <c r="CQ103" s="50" t="s">
        <v>4038</v>
      </c>
      <c r="CR103" s="50" t="s">
        <v>26044</v>
      </c>
    </row>
    <row r="104" spans="1:96">
      <c r="A104" s="50" t="s">
        <v>337</v>
      </c>
      <c r="B104" s="50">
        <v>3915751</v>
      </c>
      <c r="C104" s="50" t="s">
        <v>11995</v>
      </c>
      <c r="D104" s="50" t="s">
        <v>17298</v>
      </c>
      <c r="E104" s="50" t="e">
        <f>VLOOKUP(B104,aa!B:F,5,0)</f>
        <v>#N/A</v>
      </c>
      <c r="F104" s="50" t="e">
        <f>VLOOKUP(B104,aa!B:J,9,0)</f>
        <v>#N/A</v>
      </c>
      <c r="G104" s="50" t="e">
        <f>VLOOKUP(B104,aa!B:L,11,0)</f>
        <v>#N/A</v>
      </c>
      <c r="H104" s="50" t="e">
        <f>VLOOKUP(B104,aa!B:O,14,0)</f>
        <v>#N/A</v>
      </c>
      <c r="I104" s="50" t="e">
        <f>VLOOKUP(B104,aa!B:R,17,0)</f>
        <v>#N/A</v>
      </c>
      <c r="K104" s="50" t="s">
        <v>97</v>
      </c>
      <c r="L104" s="50">
        <v>249381</v>
      </c>
      <c r="M104" s="50">
        <v>249381</v>
      </c>
      <c r="N104" s="50">
        <v>249381</v>
      </c>
      <c r="O104" s="50">
        <v>458</v>
      </c>
      <c r="P104" s="50" t="s">
        <v>16052</v>
      </c>
      <c r="Q104" s="50">
        <v>0</v>
      </c>
      <c r="R104" s="50">
        <v>0</v>
      </c>
      <c r="T104" s="50">
        <v>0</v>
      </c>
      <c r="U104" s="50">
        <v>0</v>
      </c>
      <c r="W104" s="50" t="s">
        <v>102</v>
      </c>
      <c r="X104" s="50" t="s">
        <v>103</v>
      </c>
      <c r="Y104" s="50" t="s">
        <v>398</v>
      </c>
      <c r="AA104" s="50" t="s">
        <v>4909</v>
      </c>
      <c r="AB104" s="50" t="s">
        <v>17299</v>
      </c>
      <c r="AC104" s="50" t="s">
        <v>3679</v>
      </c>
      <c r="AD104" s="50" t="s">
        <v>17300</v>
      </c>
      <c r="AE104" s="50" t="s">
        <v>1427</v>
      </c>
      <c r="AF104" s="50" t="s">
        <v>17299</v>
      </c>
      <c r="AG104" s="50" t="s">
        <v>109</v>
      </c>
      <c r="AH104" s="50" t="s">
        <v>102</v>
      </c>
      <c r="AI104" s="50" t="s">
        <v>17301</v>
      </c>
      <c r="AJ104" s="50" t="s">
        <v>16382</v>
      </c>
      <c r="AK104" s="50" t="s">
        <v>17302</v>
      </c>
      <c r="AL104" s="50" t="s">
        <v>17303</v>
      </c>
      <c r="AM104" s="50" t="s">
        <v>17304</v>
      </c>
      <c r="AN104" s="50" t="s">
        <v>398</v>
      </c>
      <c r="AO104" s="50" t="s">
        <v>16058</v>
      </c>
      <c r="AP104" s="50" t="s">
        <v>16058</v>
      </c>
      <c r="AU104" s="50" t="s">
        <v>318</v>
      </c>
      <c r="AV104" s="50" t="s">
        <v>118</v>
      </c>
      <c r="AW104" s="50" t="s">
        <v>102</v>
      </c>
      <c r="AX104" s="50" t="s">
        <v>119</v>
      </c>
      <c r="BB104" s="50" t="s">
        <v>120</v>
      </c>
      <c r="BC104" s="50" t="s">
        <v>284</v>
      </c>
      <c r="BD104" s="50" t="s">
        <v>285</v>
      </c>
      <c r="BE104" s="50" t="s">
        <v>212</v>
      </c>
      <c r="BF104" s="50" t="s">
        <v>286</v>
      </c>
      <c r="BG104" s="50" t="s">
        <v>124</v>
      </c>
      <c r="BH104" s="50" t="s">
        <v>12425</v>
      </c>
      <c r="BI104" s="50" t="s">
        <v>12047</v>
      </c>
      <c r="BJ104" s="50" t="s">
        <v>127</v>
      </c>
      <c r="BK104" s="50" t="s">
        <v>17305</v>
      </c>
      <c r="BL104" s="50" t="s">
        <v>17306</v>
      </c>
      <c r="BM104" s="50" t="s">
        <v>17307</v>
      </c>
      <c r="BN104" s="50" t="s">
        <v>5022</v>
      </c>
      <c r="BO104" s="50" t="s">
        <v>3997</v>
      </c>
      <c r="BP104" s="50" t="s">
        <v>132</v>
      </c>
      <c r="BQ104" s="50" t="s">
        <v>3998</v>
      </c>
      <c r="BR104" s="50" t="s">
        <v>3999</v>
      </c>
      <c r="BS104" s="50" t="s">
        <v>3362</v>
      </c>
      <c r="BU104" s="50" t="s">
        <v>17308</v>
      </c>
      <c r="BV104" s="50" t="s">
        <v>17309</v>
      </c>
      <c r="BW104" s="50" t="s">
        <v>138</v>
      </c>
      <c r="BX104" s="50" t="s">
        <v>17310</v>
      </c>
      <c r="BY104" s="50" t="s">
        <v>17311</v>
      </c>
      <c r="BZ104" s="50" t="s">
        <v>17312</v>
      </c>
      <c r="CA104" s="50" t="s">
        <v>17313</v>
      </c>
      <c r="CB104" s="50" t="s">
        <v>17312</v>
      </c>
      <c r="CC104" s="50" t="s">
        <v>17311</v>
      </c>
      <c r="CD104" s="50" t="s">
        <v>17313</v>
      </c>
      <c r="CE104" s="50" t="s">
        <v>17312</v>
      </c>
      <c r="CF104" s="50" t="s">
        <v>17311</v>
      </c>
      <c r="CG104" s="50" t="s">
        <v>5768</v>
      </c>
      <c r="CH104" s="50" t="s">
        <v>17314</v>
      </c>
      <c r="CJ104" s="50" t="s">
        <v>17315</v>
      </c>
      <c r="CK104" s="50" t="s">
        <v>17316</v>
      </c>
      <c r="CL104" s="50" t="s">
        <v>284</v>
      </c>
      <c r="CM104" s="50" t="s">
        <v>285</v>
      </c>
      <c r="CN104" s="50" t="s">
        <v>17315</v>
      </c>
      <c r="CO104" s="50" t="s">
        <v>17317</v>
      </c>
      <c r="CP104" s="50" t="s">
        <v>17318</v>
      </c>
      <c r="CQ104" s="50" t="s">
        <v>17318</v>
      </c>
      <c r="CR104" s="53" t="s">
        <v>26040</v>
      </c>
    </row>
    <row r="105" spans="1:96">
      <c r="A105" s="50" t="s">
        <v>149</v>
      </c>
      <c r="B105" s="50">
        <v>3896752</v>
      </c>
      <c r="C105" s="50" t="s">
        <v>3562</v>
      </c>
      <c r="D105" s="50" t="s">
        <v>7847</v>
      </c>
      <c r="E105" s="50" t="str">
        <f>VLOOKUP(B105,aa!B:F,5,0)</f>
        <v>Ei ASSET</v>
      </c>
      <c r="F105" s="50">
        <f>VLOOKUP(B105,aa!B:J,9,0)</f>
        <v>181708</v>
      </c>
      <c r="G105" s="50">
        <f>VLOOKUP(B105,aa!B:L,11,0)</f>
        <v>181708</v>
      </c>
      <c r="H105" s="50">
        <f>VLOOKUP(B105,aa!B:O,14,0)</f>
        <v>0</v>
      </c>
      <c r="I105" s="50">
        <f>VLOOKUP(B105,aa!B:R,17,0)</f>
        <v>0</v>
      </c>
      <c r="K105" s="50" t="s">
        <v>193</v>
      </c>
      <c r="L105" s="50">
        <v>481656</v>
      </c>
      <c r="M105" s="50">
        <v>547561</v>
      </c>
      <c r="N105" s="50">
        <v>115518</v>
      </c>
      <c r="O105" s="50">
        <v>165</v>
      </c>
      <c r="P105" s="50" t="s">
        <v>799</v>
      </c>
      <c r="Q105" s="50">
        <v>0</v>
      </c>
      <c r="R105" s="50">
        <v>0</v>
      </c>
      <c r="T105" s="50">
        <v>366138</v>
      </c>
      <c r="U105" s="50">
        <v>180</v>
      </c>
      <c r="V105" s="50" t="s">
        <v>1399</v>
      </c>
      <c r="W105" s="50" t="s">
        <v>102</v>
      </c>
      <c r="X105" s="50" t="s">
        <v>679</v>
      </c>
      <c r="Y105" s="50" t="s">
        <v>104</v>
      </c>
      <c r="Z105" s="50" t="s">
        <v>126</v>
      </c>
      <c r="AA105" s="50" t="s">
        <v>17284</v>
      </c>
      <c r="AB105" s="50" t="s">
        <v>17285</v>
      </c>
      <c r="AC105" s="50" t="s">
        <v>12595</v>
      </c>
      <c r="AD105" s="50" t="s">
        <v>17286</v>
      </c>
      <c r="AE105" s="50" t="s">
        <v>109</v>
      </c>
      <c r="AF105" s="50" t="s">
        <v>102</v>
      </c>
      <c r="AG105" s="50" t="s">
        <v>109</v>
      </c>
      <c r="AH105" s="50" t="s">
        <v>102</v>
      </c>
      <c r="AI105" s="50" t="s">
        <v>102</v>
      </c>
      <c r="AJ105" s="50" t="s">
        <v>17287</v>
      </c>
      <c r="AK105" s="50" t="s">
        <v>17287</v>
      </c>
      <c r="AL105" s="50" t="s">
        <v>17288</v>
      </c>
      <c r="AM105" s="50" t="s">
        <v>17289</v>
      </c>
      <c r="AN105" s="50" t="s">
        <v>17290</v>
      </c>
      <c r="AO105" s="50" t="s">
        <v>17291</v>
      </c>
      <c r="AP105" s="50" t="s">
        <v>17292</v>
      </c>
      <c r="AQ105" s="50" t="s">
        <v>343</v>
      </c>
      <c r="AT105" s="50" t="s">
        <v>169</v>
      </c>
      <c r="AU105" s="50" t="s">
        <v>207</v>
      </c>
      <c r="AV105" s="50" t="s">
        <v>118</v>
      </c>
      <c r="AW105" s="50" t="s">
        <v>102</v>
      </c>
      <c r="AX105" s="50" t="s">
        <v>119</v>
      </c>
      <c r="BA105" s="50" t="s">
        <v>250</v>
      </c>
      <c r="BB105" s="50" t="s">
        <v>209</v>
      </c>
      <c r="BC105" s="50" t="s">
        <v>1729</v>
      </c>
      <c r="BD105" s="50" t="s">
        <v>730</v>
      </c>
      <c r="BE105" s="50" t="s">
        <v>622</v>
      </c>
      <c r="BF105" s="50" t="s">
        <v>730</v>
      </c>
      <c r="BG105" s="50" t="s">
        <v>124</v>
      </c>
      <c r="BH105" s="50" t="s">
        <v>11959</v>
      </c>
      <c r="BI105" s="50" t="s">
        <v>11960</v>
      </c>
      <c r="BJ105" s="50" t="s">
        <v>127</v>
      </c>
      <c r="BK105" s="50" t="s">
        <v>17293</v>
      </c>
      <c r="BL105" s="50" t="s">
        <v>7860</v>
      </c>
      <c r="BM105" s="50" t="s">
        <v>17294</v>
      </c>
      <c r="BN105" s="50" t="s">
        <v>17283</v>
      </c>
      <c r="BO105" s="50" t="s">
        <v>7559</v>
      </c>
      <c r="BP105" s="50" t="s">
        <v>350</v>
      </c>
      <c r="BQ105" s="50" t="s">
        <v>7560</v>
      </c>
      <c r="BR105" s="50" t="s">
        <v>7561</v>
      </c>
      <c r="BS105" s="50" t="s">
        <v>7862</v>
      </c>
      <c r="BU105" s="50" t="s">
        <v>17295</v>
      </c>
      <c r="BV105" s="50" t="s">
        <v>7864</v>
      </c>
      <c r="BW105" s="50" t="s">
        <v>354</v>
      </c>
      <c r="BX105" s="50" t="s">
        <v>7865</v>
      </c>
      <c r="BY105" s="50" t="s">
        <v>17296</v>
      </c>
      <c r="BZ105" s="50" t="s">
        <v>7865</v>
      </c>
      <c r="CA105" s="50" t="s">
        <v>17297</v>
      </c>
      <c r="CB105" s="50" t="s">
        <v>7865</v>
      </c>
      <c r="CC105" s="50" t="s">
        <v>17296</v>
      </c>
      <c r="CD105" s="50" t="s">
        <v>17297</v>
      </c>
      <c r="CE105" s="50" t="s">
        <v>7865</v>
      </c>
      <c r="CF105" s="50" t="s">
        <v>17296</v>
      </c>
      <c r="CG105" s="50" t="s">
        <v>102</v>
      </c>
      <c r="CH105" s="50" t="s">
        <v>7867</v>
      </c>
      <c r="CJ105" s="50" t="s">
        <v>7868</v>
      </c>
      <c r="CL105" s="50" t="s">
        <v>1729</v>
      </c>
      <c r="CM105" s="50" t="s">
        <v>730</v>
      </c>
      <c r="CN105" s="50" t="s">
        <v>7868</v>
      </c>
      <c r="CP105" s="50" t="s">
        <v>7867</v>
      </c>
      <c r="CQ105" s="50" t="s">
        <v>7867</v>
      </c>
      <c r="CR105" s="50" t="s">
        <v>26040</v>
      </c>
    </row>
    <row r="106" spans="1:96">
      <c r="A106" s="50" t="s">
        <v>149</v>
      </c>
      <c r="B106" s="50">
        <v>3400783</v>
      </c>
      <c r="C106" s="50" t="s">
        <v>1111</v>
      </c>
      <c r="D106" s="50" t="s">
        <v>5874</v>
      </c>
      <c r="E106" s="50" t="str">
        <f>VLOOKUP(B106,aa!B:F,5,0)</f>
        <v>Ei CARES</v>
      </c>
      <c r="F106" s="50">
        <f>VLOOKUP(B106,aa!B:J,9,0)</f>
        <v>713589</v>
      </c>
      <c r="G106" s="50">
        <f>VLOOKUP(B106,aa!B:L,11,0)</f>
        <v>0</v>
      </c>
      <c r="H106" s="50">
        <f>VLOOKUP(B106,aa!B:O,14,0)</f>
        <v>713589</v>
      </c>
      <c r="I106" s="50">
        <f>VLOOKUP(B106,aa!B:R,17,0)</f>
        <v>0</v>
      </c>
      <c r="K106" s="50" t="s">
        <v>152</v>
      </c>
      <c r="L106" s="50">
        <v>611514</v>
      </c>
      <c r="M106" s="50">
        <v>611514</v>
      </c>
      <c r="N106" s="50">
        <v>0</v>
      </c>
      <c r="O106" s="50">
        <v>0</v>
      </c>
      <c r="Q106" s="50">
        <v>611514</v>
      </c>
      <c r="R106" s="50">
        <v>453</v>
      </c>
      <c r="S106" s="50" t="s">
        <v>397</v>
      </c>
      <c r="T106" s="50">
        <v>0</v>
      </c>
      <c r="U106" s="50">
        <v>0</v>
      </c>
      <c r="W106" s="50" t="s">
        <v>102</v>
      </c>
      <c r="X106" s="50" t="s">
        <v>275</v>
      </c>
      <c r="Z106" s="50" t="s">
        <v>411</v>
      </c>
      <c r="AA106" s="50" t="s">
        <v>109</v>
      </c>
      <c r="AB106" s="50" t="s">
        <v>102</v>
      </c>
      <c r="AC106" s="50" t="s">
        <v>109</v>
      </c>
      <c r="AD106" s="50" t="s">
        <v>102</v>
      </c>
      <c r="AE106" s="50" t="s">
        <v>109</v>
      </c>
      <c r="AF106" s="50" t="s">
        <v>102</v>
      </c>
      <c r="AG106" s="50" t="s">
        <v>109</v>
      </c>
      <c r="AH106" s="50" t="s">
        <v>102</v>
      </c>
      <c r="AI106" s="50" t="s">
        <v>102</v>
      </c>
      <c r="AJ106" s="50" t="s">
        <v>13769</v>
      </c>
      <c r="AK106" s="50" t="s">
        <v>13769</v>
      </c>
      <c r="AL106" s="50" t="s">
        <v>15855</v>
      </c>
      <c r="AM106" s="50" t="s">
        <v>15856</v>
      </c>
      <c r="AN106" s="50" t="s">
        <v>15857</v>
      </c>
      <c r="AO106" s="50" t="s">
        <v>408</v>
      </c>
      <c r="AP106" s="50" t="s">
        <v>408</v>
      </c>
      <c r="AU106" s="50" t="s">
        <v>102</v>
      </c>
      <c r="AW106" s="50" t="s">
        <v>155</v>
      </c>
      <c r="AX106" s="50" t="s">
        <v>119</v>
      </c>
      <c r="AY106" s="50" t="s">
        <v>170</v>
      </c>
      <c r="AZ106" s="50" t="s">
        <v>118</v>
      </c>
      <c r="BB106" s="50" t="s">
        <v>120</v>
      </c>
      <c r="BC106" s="50" t="s">
        <v>5878</v>
      </c>
      <c r="BD106" s="50" t="s">
        <v>5879</v>
      </c>
      <c r="BE106" s="50" t="s">
        <v>174</v>
      </c>
      <c r="BF106" s="50" t="s">
        <v>4405</v>
      </c>
      <c r="BG106" s="50" t="s">
        <v>124</v>
      </c>
      <c r="BH106" s="50" t="s">
        <v>1850</v>
      </c>
      <c r="BI106" s="50" t="s">
        <v>14455</v>
      </c>
      <c r="BJ106" s="50" t="s">
        <v>127</v>
      </c>
      <c r="BK106" s="50" t="s">
        <v>15858</v>
      </c>
      <c r="BL106" s="50" t="s">
        <v>5881</v>
      </c>
      <c r="BM106" s="50" t="s">
        <v>15859</v>
      </c>
      <c r="BN106" s="50" t="s">
        <v>5694</v>
      </c>
      <c r="BO106" s="50" t="s">
        <v>1108</v>
      </c>
      <c r="BP106" s="50" t="s">
        <v>180</v>
      </c>
      <c r="BQ106" s="50" t="s">
        <v>1109</v>
      </c>
      <c r="BR106" s="50" t="s">
        <v>1110</v>
      </c>
      <c r="BS106" s="50" t="s">
        <v>4413</v>
      </c>
      <c r="BU106" s="50" t="s">
        <v>15860</v>
      </c>
      <c r="BV106" s="50" t="s">
        <v>5884</v>
      </c>
      <c r="BW106" s="50" t="s">
        <v>138</v>
      </c>
      <c r="BX106" s="50" t="s">
        <v>15861</v>
      </c>
      <c r="BY106" s="50" t="s">
        <v>15862</v>
      </c>
      <c r="BZ106" s="50" t="s">
        <v>5885</v>
      </c>
      <c r="CA106" s="50" t="s">
        <v>5884</v>
      </c>
      <c r="CB106" s="50" t="s">
        <v>15861</v>
      </c>
      <c r="CC106" s="50" t="s">
        <v>15862</v>
      </c>
      <c r="CD106" s="50" t="s">
        <v>5884</v>
      </c>
      <c r="CE106" s="50" t="s">
        <v>15861</v>
      </c>
      <c r="CF106" s="50" t="s">
        <v>15862</v>
      </c>
      <c r="CG106" s="50" t="s">
        <v>102</v>
      </c>
      <c r="CH106" s="50" t="s">
        <v>15863</v>
      </c>
      <c r="CJ106" s="50" t="s">
        <v>5889</v>
      </c>
      <c r="CL106" s="50" t="s">
        <v>5878</v>
      </c>
      <c r="CM106" s="50" t="s">
        <v>5879</v>
      </c>
      <c r="CN106" s="50" t="s">
        <v>5889</v>
      </c>
      <c r="CP106" s="50" t="s">
        <v>5888</v>
      </c>
      <c r="CQ106" s="50" t="s">
        <v>5888</v>
      </c>
    </row>
    <row r="107" spans="1:96">
      <c r="A107" s="50" t="s">
        <v>337</v>
      </c>
      <c r="B107" s="50">
        <v>3589593</v>
      </c>
      <c r="C107" s="50" t="s">
        <v>632</v>
      </c>
      <c r="D107" s="50" t="s">
        <v>16550</v>
      </c>
      <c r="E107" s="50" t="e">
        <f>VLOOKUP(B107,aa!B:F,5,0)</f>
        <v>#N/A</v>
      </c>
      <c r="F107" s="50" t="e">
        <f>VLOOKUP(B107,aa!B:J,9,0)</f>
        <v>#N/A</v>
      </c>
      <c r="G107" s="50" t="e">
        <f>VLOOKUP(B107,aa!B:L,11,0)</f>
        <v>#N/A</v>
      </c>
      <c r="H107" s="50" t="e">
        <f>VLOOKUP(B107,aa!B:O,14,0)</f>
        <v>#N/A</v>
      </c>
      <c r="I107" s="50" t="e">
        <f>VLOOKUP(B107,aa!B:R,17,0)</f>
        <v>#N/A</v>
      </c>
      <c r="K107" s="50" t="s">
        <v>97</v>
      </c>
      <c r="L107" s="50">
        <v>518373</v>
      </c>
      <c r="M107" s="50">
        <v>518373</v>
      </c>
      <c r="N107" s="50">
        <v>518373</v>
      </c>
      <c r="O107" s="50">
        <v>734</v>
      </c>
      <c r="P107" s="50" t="s">
        <v>5793</v>
      </c>
      <c r="Q107" s="50">
        <v>0</v>
      </c>
      <c r="R107" s="50">
        <v>0</v>
      </c>
      <c r="T107" s="50">
        <v>0</v>
      </c>
      <c r="U107" s="50">
        <v>0</v>
      </c>
      <c r="W107" s="50" t="s">
        <v>102</v>
      </c>
      <c r="X107" s="50" t="s">
        <v>103</v>
      </c>
      <c r="Y107" s="50" t="s">
        <v>104</v>
      </c>
      <c r="AA107" s="50" t="s">
        <v>5694</v>
      </c>
      <c r="AB107" s="50" t="s">
        <v>16551</v>
      </c>
      <c r="AC107" s="50" t="s">
        <v>13033</v>
      </c>
      <c r="AD107" s="50" t="s">
        <v>16551</v>
      </c>
      <c r="AE107" s="50" t="s">
        <v>109</v>
      </c>
      <c r="AF107" s="50" t="s">
        <v>102</v>
      </c>
      <c r="AG107" s="50" t="s">
        <v>109</v>
      </c>
      <c r="AH107" s="50" t="s">
        <v>102</v>
      </c>
      <c r="AI107" s="50" t="s">
        <v>16552</v>
      </c>
      <c r="AJ107" s="50" t="s">
        <v>13435</v>
      </c>
      <c r="AK107" s="50" t="s">
        <v>16553</v>
      </c>
      <c r="AL107" s="50" t="s">
        <v>16554</v>
      </c>
      <c r="AM107" s="50" t="s">
        <v>16555</v>
      </c>
      <c r="AN107" s="50" t="s">
        <v>16556</v>
      </c>
      <c r="AO107" s="50" t="s">
        <v>16557</v>
      </c>
      <c r="AP107" s="50" t="s">
        <v>16557</v>
      </c>
      <c r="AU107" s="50" t="s">
        <v>117</v>
      </c>
      <c r="AV107" s="50" t="s">
        <v>118</v>
      </c>
      <c r="AW107" s="50" t="s">
        <v>102</v>
      </c>
      <c r="AX107" s="50" t="s">
        <v>119</v>
      </c>
      <c r="BB107" s="50" t="s">
        <v>120</v>
      </c>
      <c r="BC107" s="50" t="s">
        <v>4864</v>
      </c>
      <c r="BD107" s="50" t="s">
        <v>621</v>
      </c>
      <c r="BE107" s="50" t="s">
        <v>622</v>
      </c>
      <c r="BF107" s="50" t="s">
        <v>623</v>
      </c>
      <c r="BG107" s="50" t="s">
        <v>124</v>
      </c>
      <c r="BH107" s="50" t="s">
        <v>5548</v>
      </c>
      <c r="BI107" s="50" t="s">
        <v>16558</v>
      </c>
      <c r="BJ107" s="50" t="s">
        <v>127</v>
      </c>
      <c r="BK107" s="50" t="s">
        <v>16559</v>
      </c>
      <c r="BL107" s="50" t="s">
        <v>16560</v>
      </c>
      <c r="BM107" s="50" t="s">
        <v>16561</v>
      </c>
      <c r="BN107" s="50" t="s">
        <v>5694</v>
      </c>
      <c r="BO107" s="50" t="s">
        <v>1670</v>
      </c>
      <c r="BP107" s="50" t="s">
        <v>132</v>
      </c>
      <c r="BQ107" s="50" t="s">
        <v>1671</v>
      </c>
      <c r="BR107" s="50" t="s">
        <v>1672</v>
      </c>
      <c r="BS107" s="50" t="s">
        <v>507</v>
      </c>
      <c r="BT107" s="50" t="s">
        <v>1279</v>
      </c>
      <c r="BU107" s="50" t="s">
        <v>16562</v>
      </c>
      <c r="BV107" s="50" t="s">
        <v>16563</v>
      </c>
      <c r="BW107" s="50" t="s">
        <v>138</v>
      </c>
      <c r="BX107" s="50" t="s">
        <v>16564</v>
      </c>
      <c r="BY107" s="50" t="s">
        <v>16565</v>
      </c>
      <c r="BZ107" s="50" t="s">
        <v>16564</v>
      </c>
      <c r="CA107" s="50" t="s">
        <v>16566</v>
      </c>
      <c r="CB107" s="50" t="s">
        <v>16564</v>
      </c>
      <c r="CC107" s="50" t="s">
        <v>16565</v>
      </c>
      <c r="CD107" s="50" t="s">
        <v>16567</v>
      </c>
      <c r="CE107" s="50" t="s">
        <v>16568</v>
      </c>
      <c r="CF107" s="50" t="s">
        <v>16569</v>
      </c>
      <c r="CG107" s="50" t="s">
        <v>4937</v>
      </c>
      <c r="CH107" s="50" t="s">
        <v>16570</v>
      </c>
      <c r="CJ107" s="50" t="s">
        <v>16571</v>
      </c>
      <c r="CK107" s="50" t="s">
        <v>16572</v>
      </c>
      <c r="CL107" s="50" t="s">
        <v>4864</v>
      </c>
      <c r="CM107" s="50" t="s">
        <v>621</v>
      </c>
      <c r="CN107" s="50" t="s">
        <v>16571</v>
      </c>
      <c r="CO107" s="50" t="s">
        <v>16573</v>
      </c>
      <c r="CP107" s="50" t="s">
        <v>16574</v>
      </c>
      <c r="CQ107" s="50" t="s">
        <v>16574</v>
      </c>
    </row>
    <row r="108" spans="1:96">
      <c r="A108" s="50" t="s">
        <v>149</v>
      </c>
      <c r="B108" s="50">
        <v>2057359</v>
      </c>
      <c r="C108" s="50" t="s">
        <v>12507</v>
      </c>
      <c r="D108" s="50" t="s">
        <v>2534</v>
      </c>
      <c r="E108" s="50" t="str">
        <f>VLOOKUP(B108,aa!B:F,5,0)</f>
        <v>Ei CARES, Ei Mindspark</v>
      </c>
      <c r="F108" s="50">
        <f>VLOOKUP(B108,aa!B:J,9,0)</f>
        <v>1776018</v>
      </c>
      <c r="G108" s="50">
        <f>VLOOKUP(B108,aa!B:L,11,0)</f>
        <v>0</v>
      </c>
      <c r="H108" s="50">
        <f>VLOOKUP(B108,aa!B:O,14,0)</f>
        <v>1083017</v>
      </c>
      <c r="I108" s="50">
        <f>VLOOKUP(B108,aa!B:R,17,0)</f>
        <v>693001</v>
      </c>
      <c r="K108" s="50" t="s">
        <v>152</v>
      </c>
      <c r="L108" s="50">
        <v>1083017</v>
      </c>
      <c r="M108" s="50">
        <v>1083017</v>
      </c>
      <c r="N108" s="50">
        <v>0</v>
      </c>
      <c r="O108" s="50">
        <v>0</v>
      </c>
      <c r="Q108" s="50">
        <v>1083017</v>
      </c>
      <c r="R108" s="50">
        <v>570</v>
      </c>
      <c r="S108" s="50" t="s">
        <v>13436</v>
      </c>
      <c r="T108" s="50">
        <v>0</v>
      </c>
      <c r="U108" s="50">
        <v>0</v>
      </c>
      <c r="W108" s="50" t="s">
        <v>102</v>
      </c>
      <c r="X108" s="50" t="s">
        <v>103</v>
      </c>
      <c r="Y108" s="50" t="s">
        <v>104</v>
      </c>
      <c r="AA108" s="50" t="s">
        <v>1941</v>
      </c>
      <c r="AB108" s="50" t="s">
        <v>13437</v>
      </c>
      <c r="AC108" s="50" t="s">
        <v>13395</v>
      </c>
      <c r="AD108" s="50" t="s">
        <v>13437</v>
      </c>
      <c r="AE108" s="50" t="s">
        <v>109</v>
      </c>
      <c r="AF108" s="50" t="s">
        <v>102</v>
      </c>
      <c r="AG108" s="50" t="s">
        <v>109</v>
      </c>
      <c r="AH108" s="50" t="s">
        <v>102</v>
      </c>
      <c r="AI108" s="50" t="s">
        <v>13438</v>
      </c>
      <c r="AJ108" s="50" t="s">
        <v>10729</v>
      </c>
      <c r="AK108" s="50" t="s">
        <v>13439</v>
      </c>
      <c r="AL108" s="50" t="s">
        <v>13440</v>
      </c>
      <c r="AM108" s="50" t="s">
        <v>13441</v>
      </c>
      <c r="AN108" s="50" t="s">
        <v>13442</v>
      </c>
      <c r="AO108" s="50" t="s">
        <v>13443</v>
      </c>
      <c r="AP108" s="50" t="s">
        <v>13443</v>
      </c>
      <c r="AU108" s="50" t="s">
        <v>102</v>
      </c>
      <c r="AW108" s="50" t="s">
        <v>104</v>
      </c>
      <c r="AX108" s="50" t="s">
        <v>447</v>
      </c>
      <c r="AY108" s="50" t="s">
        <v>170</v>
      </c>
      <c r="AZ108" s="50" t="s">
        <v>118</v>
      </c>
      <c r="BB108" s="50" t="s">
        <v>120</v>
      </c>
      <c r="BC108" s="50" t="s">
        <v>2542</v>
      </c>
      <c r="BD108" s="50" t="s">
        <v>2543</v>
      </c>
      <c r="BE108" s="50" t="s">
        <v>122</v>
      </c>
      <c r="BF108" s="50" t="s">
        <v>557</v>
      </c>
      <c r="BG108" s="50" t="s">
        <v>124</v>
      </c>
      <c r="BH108" s="50" t="s">
        <v>12023</v>
      </c>
      <c r="BI108" s="50" t="s">
        <v>11889</v>
      </c>
      <c r="BJ108" s="50" t="s">
        <v>127</v>
      </c>
      <c r="BK108" s="50" t="s">
        <v>13444</v>
      </c>
      <c r="BL108" s="50" t="s">
        <v>2545</v>
      </c>
      <c r="BM108" s="50" t="s">
        <v>13445</v>
      </c>
      <c r="BN108" s="50" t="s">
        <v>13435</v>
      </c>
      <c r="BO108" s="50" t="s">
        <v>12743</v>
      </c>
      <c r="BP108" s="50" t="s">
        <v>350</v>
      </c>
      <c r="BQ108" s="50" t="s">
        <v>12744</v>
      </c>
      <c r="BR108" s="50" t="s">
        <v>12745</v>
      </c>
      <c r="BS108" s="50" t="s">
        <v>1075</v>
      </c>
      <c r="BU108" s="50" t="s">
        <v>13446</v>
      </c>
      <c r="BV108" s="50" t="s">
        <v>13447</v>
      </c>
      <c r="BW108" s="50" t="s">
        <v>569</v>
      </c>
      <c r="BX108" s="50" t="s">
        <v>13448</v>
      </c>
      <c r="BY108" s="50" t="s">
        <v>13449</v>
      </c>
      <c r="BZ108" s="50" t="s">
        <v>2554</v>
      </c>
      <c r="CA108" s="50" t="s">
        <v>13450</v>
      </c>
      <c r="CB108" s="50" t="s">
        <v>2554</v>
      </c>
      <c r="CC108" s="50" t="s">
        <v>13451</v>
      </c>
      <c r="CD108" s="50" t="s">
        <v>13452</v>
      </c>
      <c r="CE108" s="50" t="s">
        <v>13453</v>
      </c>
      <c r="CF108" s="50" t="s">
        <v>2553</v>
      </c>
      <c r="CG108" s="50" t="s">
        <v>2555</v>
      </c>
      <c r="CH108" s="50" t="s">
        <v>13454</v>
      </c>
      <c r="CJ108" s="50" t="s">
        <v>2557</v>
      </c>
      <c r="CK108" s="50" t="s">
        <v>2556</v>
      </c>
      <c r="CL108" s="50" t="s">
        <v>2542</v>
      </c>
      <c r="CM108" s="50" t="s">
        <v>2543</v>
      </c>
      <c r="CN108" s="50" t="s">
        <v>2557</v>
      </c>
      <c r="CO108" s="50" t="s">
        <v>2558</v>
      </c>
      <c r="CP108" s="50" t="s">
        <v>2556</v>
      </c>
      <c r="CQ108" s="50" t="s">
        <v>2556</v>
      </c>
    </row>
    <row r="109" spans="1:96">
      <c r="A109" s="50" t="s">
        <v>337</v>
      </c>
      <c r="B109" s="50">
        <v>3395252</v>
      </c>
      <c r="C109" s="50" t="s">
        <v>2525</v>
      </c>
      <c r="D109" s="50" t="s">
        <v>15801</v>
      </c>
      <c r="E109" s="50" t="e">
        <f>VLOOKUP(B109,aa!B:F,5,0)</f>
        <v>#N/A</v>
      </c>
      <c r="F109" s="50" t="e">
        <f>VLOOKUP(B109,aa!B:J,9,0)</f>
        <v>#N/A</v>
      </c>
      <c r="G109" s="50" t="e">
        <f>VLOOKUP(B109,aa!B:L,11,0)</f>
        <v>#N/A</v>
      </c>
      <c r="H109" s="50" t="e">
        <f>VLOOKUP(B109,aa!B:O,14,0)</f>
        <v>#N/A</v>
      </c>
      <c r="I109" s="50" t="e">
        <f>VLOOKUP(B109,aa!B:R,17,0)</f>
        <v>#N/A</v>
      </c>
      <c r="K109" s="50" t="s">
        <v>152</v>
      </c>
      <c r="L109" s="50">
        <v>108915</v>
      </c>
      <c r="M109" s="50">
        <v>108915</v>
      </c>
      <c r="N109" s="50">
        <v>0</v>
      </c>
      <c r="O109" s="50">
        <v>0</v>
      </c>
      <c r="Q109" s="50">
        <v>108915</v>
      </c>
      <c r="R109" s="50">
        <v>121</v>
      </c>
      <c r="S109" s="50" t="s">
        <v>2451</v>
      </c>
      <c r="T109" s="50">
        <v>0</v>
      </c>
      <c r="U109" s="50">
        <v>0</v>
      </c>
      <c r="W109" s="50" t="s">
        <v>102</v>
      </c>
      <c r="X109" s="50" t="s">
        <v>103</v>
      </c>
      <c r="Y109" s="50" t="s">
        <v>104</v>
      </c>
      <c r="AA109" s="50" t="s">
        <v>13435</v>
      </c>
      <c r="AB109" s="50" t="s">
        <v>15802</v>
      </c>
      <c r="AC109" s="50" t="s">
        <v>12467</v>
      </c>
      <c r="AD109" s="50" t="s">
        <v>15802</v>
      </c>
      <c r="AE109" s="50" t="s">
        <v>109</v>
      </c>
      <c r="AF109" s="50" t="s">
        <v>102</v>
      </c>
      <c r="AG109" s="50" t="s">
        <v>109</v>
      </c>
      <c r="AH109" s="50" t="s">
        <v>102</v>
      </c>
      <c r="AI109" s="50" t="s">
        <v>102</v>
      </c>
      <c r="AJ109" s="50" t="s">
        <v>945</v>
      </c>
      <c r="AK109" s="50" t="s">
        <v>14267</v>
      </c>
      <c r="AL109" s="50" t="s">
        <v>15803</v>
      </c>
      <c r="AM109" s="50" t="s">
        <v>15804</v>
      </c>
      <c r="AN109" s="50" t="s">
        <v>15805</v>
      </c>
      <c r="AO109" s="50" t="s">
        <v>3906</v>
      </c>
      <c r="AP109" s="50" t="s">
        <v>3906</v>
      </c>
      <c r="AU109" s="50" t="s">
        <v>102</v>
      </c>
      <c r="AW109" s="50" t="s">
        <v>104</v>
      </c>
      <c r="AX109" s="50" t="s">
        <v>119</v>
      </c>
      <c r="AY109" s="50" t="s">
        <v>170</v>
      </c>
      <c r="AZ109" s="50" t="s">
        <v>118</v>
      </c>
      <c r="BB109" s="50" t="s">
        <v>120</v>
      </c>
      <c r="BC109" s="50" t="s">
        <v>15806</v>
      </c>
      <c r="BD109" s="50" t="s">
        <v>730</v>
      </c>
      <c r="BE109" s="50" t="s">
        <v>622</v>
      </c>
      <c r="BF109" s="50" t="s">
        <v>730</v>
      </c>
      <c r="BG109" s="50" t="s">
        <v>124</v>
      </c>
      <c r="BH109" s="50" t="s">
        <v>12023</v>
      </c>
      <c r="BI109" s="50" t="s">
        <v>11889</v>
      </c>
      <c r="BJ109" s="50" t="s">
        <v>127</v>
      </c>
      <c r="BK109" s="50" t="s">
        <v>15807</v>
      </c>
      <c r="BL109" s="50" t="s">
        <v>15808</v>
      </c>
      <c r="BM109" s="50" t="s">
        <v>15809</v>
      </c>
      <c r="BN109" s="50" t="s">
        <v>13435</v>
      </c>
      <c r="BO109" s="50" t="s">
        <v>5197</v>
      </c>
      <c r="BP109" s="50" t="s">
        <v>505</v>
      </c>
      <c r="BQ109" s="50" t="s">
        <v>5198</v>
      </c>
      <c r="BR109" s="50" t="s">
        <v>5199</v>
      </c>
      <c r="BS109" s="50" t="s">
        <v>2331</v>
      </c>
      <c r="BU109" s="50" t="s">
        <v>15810</v>
      </c>
      <c r="BV109" s="50" t="s">
        <v>15811</v>
      </c>
      <c r="BW109" s="50" t="s">
        <v>138</v>
      </c>
      <c r="BX109" s="50" t="s">
        <v>15812</v>
      </c>
      <c r="BY109" s="50" t="s">
        <v>15813</v>
      </c>
      <c r="BZ109" s="50" t="s">
        <v>15814</v>
      </c>
      <c r="CA109" s="50" t="s">
        <v>15815</v>
      </c>
      <c r="CB109" s="50" t="s">
        <v>15816</v>
      </c>
      <c r="CC109" s="50" t="s">
        <v>15813</v>
      </c>
      <c r="CD109" s="50" t="s">
        <v>15817</v>
      </c>
      <c r="CE109" s="50" t="s">
        <v>15818</v>
      </c>
      <c r="CF109" s="50" t="s">
        <v>15819</v>
      </c>
      <c r="CG109" s="50" t="s">
        <v>2270</v>
      </c>
      <c r="CH109" s="50" t="s">
        <v>15820</v>
      </c>
      <c r="CJ109" s="50" t="s">
        <v>15821</v>
      </c>
      <c r="CL109" s="50" t="s">
        <v>15806</v>
      </c>
      <c r="CM109" s="50" t="s">
        <v>730</v>
      </c>
      <c r="CN109" s="50" t="s">
        <v>15821</v>
      </c>
      <c r="CP109" s="50" t="s">
        <v>15822</v>
      </c>
      <c r="CQ109" s="50" t="s">
        <v>15822</v>
      </c>
    </row>
    <row r="110" spans="1:96">
      <c r="A110" s="50" t="s">
        <v>93</v>
      </c>
      <c r="B110" s="50">
        <v>3155338</v>
      </c>
      <c r="C110" s="50" t="s">
        <v>12030</v>
      </c>
      <c r="D110" s="50" t="s">
        <v>4832</v>
      </c>
      <c r="E110" s="50" t="str">
        <f>VLOOKUP(B110,aa!B:F,5,0)</f>
        <v>Ei Mindspark</v>
      </c>
      <c r="F110" s="50">
        <f>VLOOKUP(B110,aa!B:J,9,0)</f>
        <v>624234</v>
      </c>
      <c r="G110" s="50">
        <f>VLOOKUP(B110,aa!B:L,11,0)</f>
        <v>0</v>
      </c>
      <c r="H110" s="50">
        <f>VLOOKUP(B110,aa!B:O,14,0)</f>
        <v>0</v>
      </c>
      <c r="I110" s="50">
        <f>VLOOKUP(B110,aa!B:R,17,0)</f>
        <v>624234</v>
      </c>
      <c r="K110" s="50" t="s">
        <v>848</v>
      </c>
      <c r="L110" s="50">
        <v>2407313</v>
      </c>
      <c r="M110" s="50">
        <v>2840629</v>
      </c>
      <c r="N110" s="50">
        <v>0</v>
      </c>
      <c r="O110" s="50">
        <v>0</v>
      </c>
      <c r="Q110" s="50">
        <v>0</v>
      </c>
      <c r="R110" s="50">
        <v>0</v>
      </c>
      <c r="T110" s="50">
        <v>2407313</v>
      </c>
      <c r="U110" s="50">
        <v>1108</v>
      </c>
      <c r="V110" s="50" t="s">
        <v>15068</v>
      </c>
      <c r="W110" s="50" t="s">
        <v>102</v>
      </c>
      <c r="X110" s="50" t="s">
        <v>103</v>
      </c>
      <c r="Y110" s="50" t="s">
        <v>155</v>
      </c>
      <c r="AA110" s="50" t="s">
        <v>15069</v>
      </c>
      <c r="AB110" s="50" t="s">
        <v>15070</v>
      </c>
      <c r="AC110" s="50" t="s">
        <v>15071</v>
      </c>
      <c r="AD110" s="50" t="s">
        <v>15070</v>
      </c>
      <c r="AE110" s="50" t="s">
        <v>15072</v>
      </c>
      <c r="AF110" s="50" t="s">
        <v>15070</v>
      </c>
      <c r="AG110" s="50" t="s">
        <v>11886</v>
      </c>
      <c r="AH110" s="50" t="s">
        <v>15070</v>
      </c>
      <c r="AI110" s="50" t="s">
        <v>15073</v>
      </c>
      <c r="AJ110" s="50" t="s">
        <v>7439</v>
      </c>
      <c r="AK110" s="50" t="s">
        <v>12859</v>
      </c>
      <c r="AL110" s="50" t="s">
        <v>15074</v>
      </c>
      <c r="AM110" s="50" t="s">
        <v>15075</v>
      </c>
      <c r="AN110" s="50" t="s">
        <v>15076</v>
      </c>
      <c r="AO110" s="50" t="s">
        <v>15077</v>
      </c>
      <c r="AP110" s="50" t="s">
        <v>15078</v>
      </c>
      <c r="AT110" s="50" t="s">
        <v>169</v>
      </c>
      <c r="AU110" s="50" t="s">
        <v>102</v>
      </c>
      <c r="AW110" s="50" t="s">
        <v>102</v>
      </c>
      <c r="AX110" s="50" t="s">
        <v>119</v>
      </c>
      <c r="BA110" s="50" t="s">
        <v>250</v>
      </c>
      <c r="BB110" s="50" t="s">
        <v>120</v>
      </c>
      <c r="BC110" s="50" t="s">
        <v>4841</v>
      </c>
      <c r="BD110" s="50" t="s">
        <v>2800</v>
      </c>
      <c r="BE110" s="50" t="s">
        <v>122</v>
      </c>
      <c r="BF110" s="50" t="s">
        <v>346</v>
      </c>
      <c r="BG110" s="50" t="s">
        <v>124</v>
      </c>
      <c r="BH110" s="50" t="s">
        <v>12023</v>
      </c>
      <c r="BI110" s="50" t="s">
        <v>12524</v>
      </c>
      <c r="BJ110" s="50" t="s">
        <v>127</v>
      </c>
      <c r="BK110" s="50" t="s">
        <v>15079</v>
      </c>
      <c r="BL110" s="50" t="s">
        <v>4843</v>
      </c>
      <c r="BM110" s="50" t="s">
        <v>15080</v>
      </c>
      <c r="BN110" s="50" t="s">
        <v>15067</v>
      </c>
      <c r="BO110" s="50" t="s">
        <v>4845</v>
      </c>
      <c r="BP110" s="50" t="s">
        <v>350</v>
      </c>
      <c r="BQ110" s="50" t="s">
        <v>4846</v>
      </c>
      <c r="BR110" s="50" t="s">
        <v>4847</v>
      </c>
      <c r="BS110" s="50" t="s">
        <v>328</v>
      </c>
      <c r="BU110" s="50" t="s">
        <v>15081</v>
      </c>
      <c r="BV110" s="50" t="s">
        <v>15082</v>
      </c>
      <c r="BW110" s="50" t="s">
        <v>1282</v>
      </c>
      <c r="BX110" s="50" t="s">
        <v>15083</v>
      </c>
      <c r="BY110" s="50" t="s">
        <v>4851</v>
      </c>
      <c r="BZ110" s="50" t="s">
        <v>4852</v>
      </c>
      <c r="CA110" s="50" t="s">
        <v>15084</v>
      </c>
      <c r="CB110" s="50" t="s">
        <v>4850</v>
      </c>
      <c r="CC110" s="50" t="s">
        <v>15085</v>
      </c>
      <c r="CD110" s="50" t="s">
        <v>15084</v>
      </c>
      <c r="CE110" s="50" t="s">
        <v>4850</v>
      </c>
      <c r="CF110" s="50" t="s">
        <v>15086</v>
      </c>
      <c r="CG110" s="50" t="s">
        <v>573</v>
      </c>
      <c r="CH110" s="50" t="s">
        <v>4855</v>
      </c>
      <c r="CJ110" s="50" t="s">
        <v>4856</v>
      </c>
      <c r="CK110" s="50" t="s">
        <v>4855</v>
      </c>
      <c r="CL110" s="50" t="s">
        <v>4841</v>
      </c>
      <c r="CM110" s="50" t="s">
        <v>2800</v>
      </c>
      <c r="CN110" s="50" t="s">
        <v>4856</v>
      </c>
      <c r="CO110" s="50" t="s">
        <v>4857</v>
      </c>
      <c r="CP110" s="50" t="s">
        <v>4855</v>
      </c>
      <c r="CQ110" s="50" t="s">
        <v>4855</v>
      </c>
    </row>
    <row r="111" spans="1:96">
      <c r="A111" s="50" t="s">
        <v>337</v>
      </c>
      <c r="B111" s="50">
        <v>201355</v>
      </c>
      <c r="C111" s="50" t="s">
        <v>11898</v>
      </c>
      <c r="D111" s="50" t="s">
        <v>13257</v>
      </c>
      <c r="E111" s="50" t="e">
        <f>VLOOKUP(B111,aa!B:F,5,0)</f>
        <v>#N/A</v>
      </c>
      <c r="F111" s="50" t="e">
        <f>VLOOKUP(B111,aa!B:J,9,0)</f>
        <v>#N/A</v>
      </c>
      <c r="G111" s="50" t="e">
        <f>VLOOKUP(B111,aa!B:L,11,0)</f>
        <v>#N/A</v>
      </c>
      <c r="H111" s="50" t="e">
        <f>VLOOKUP(B111,aa!B:O,14,0)</f>
        <v>#N/A</v>
      </c>
      <c r="I111" s="50" t="e">
        <f>VLOOKUP(B111,aa!B:R,17,0)</f>
        <v>#N/A</v>
      </c>
      <c r="K111" s="50" t="s">
        <v>193</v>
      </c>
      <c r="L111" s="50">
        <v>651133</v>
      </c>
      <c r="M111" s="50">
        <v>693163</v>
      </c>
      <c r="N111" s="50">
        <v>417633</v>
      </c>
      <c r="O111" s="50">
        <v>654</v>
      </c>
      <c r="P111" s="50" t="s">
        <v>13259</v>
      </c>
      <c r="Q111" s="50">
        <v>0</v>
      </c>
      <c r="R111" s="50">
        <v>0</v>
      </c>
      <c r="T111" s="50">
        <v>233500</v>
      </c>
      <c r="U111" s="50">
        <v>252</v>
      </c>
      <c r="V111" s="50" t="s">
        <v>13260</v>
      </c>
      <c r="W111" s="50" t="s">
        <v>102</v>
      </c>
      <c r="X111" s="50" t="s">
        <v>679</v>
      </c>
      <c r="Y111" s="50" t="s">
        <v>155</v>
      </c>
      <c r="Z111" s="50" t="s">
        <v>9814</v>
      </c>
      <c r="AA111" s="50" t="s">
        <v>13261</v>
      </c>
      <c r="AB111" s="50" t="s">
        <v>13262</v>
      </c>
      <c r="AC111" s="50" t="s">
        <v>12570</v>
      </c>
      <c r="AD111" s="50" t="s">
        <v>13262</v>
      </c>
      <c r="AE111" s="50" t="s">
        <v>12571</v>
      </c>
      <c r="AF111" s="50" t="s">
        <v>13262</v>
      </c>
      <c r="AG111" s="50" t="s">
        <v>13263</v>
      </c>
      <c r="AH111" s="50" t="s">
        <v>13262</v>
      </c>
      <c r="AI111" s="50" t="s">
        <v>13264</v>
      </c>
      <c r="AJ111" s="50" t="s">
        <v>13265</v>
      </c>
      <c r="AK111" s="50" t="s">
        <v>13266</v>
      </c>
      <c r="AL111" s="50" t="s">
        <v>13267</v>
      </c>
      <c r="AM111" s="50" t="s">
        <v>13268</v>
      </c>
      <c r="AN111" s="50" t="s">
        <v>13269</v>
      </c>
      <c r="AO111" s="50" t="s">
        <v>13270</v>
      </c>
      <c r="AP111" s="50" t="s">
        <v>13270</v>
      </c>
      <c r="AU111" s="50" t="s">
        <v>247</v>
      </c>
      <c r="AV111" s="50" t="s">
        <v>2203</v>
      </c>
      <c r="AW111" s="50" t="s">
        <v>102</v>
      </c>
      <c r="AX111" s="50" t="s">
        <v>119</v>
      </c>
      <c r="BA111" s="50" t="s">
        <v>250</v>
      </c>
      <c r="BB111" s="50" t="s">
        <v>120</v>
      </c>
      <c r="BC111" s="50" t="s">
        <v>121</v>
      </c>
      <c r="BD111" s="50" t="s">
        <v>121</v>
      </c>
      <c r="BE111" s="50" t="s">
        <v>122</v>
      </c>
      <c r="BF111" s="50" t="s">
        <v>123</v>
      </c>
      <c r="BG111" s="50" t="s">
        <v>124</v>
      </c>
      <c r="BH111" s="50" t="s">
        <v>13271</v>
      </c>
      <c r="BI111" s="50" t="s">
        <v>11889</v>
      </c>
      <c r="BJ111" s="50" t="s">
        <v>127</v>
      </c>
      <c r="BK111" s="50" t="s">
        <v>13272</v>
      </c>
      <c r="BL111" s="50" t="s">
        <v>13273</v>
      </c>
      <c r="BM111" s="50" t="s">
        <v>13274</v>
      </c>
      <c r="BN111" s="50" t="s">
        <v>13258</v>
      </c>
      <c r="BO111" s="50" t="s">
        <v>131</v>
      </c>
      <c r="BP111" s="50" t="s">
        <v>350</v>
      </c>
      <c r="BQ111" s="50" t="s">
        <v>133</v>
      </c>
      <c r="BR111" s="50" t="s">
        <v>134</v>
      </c>
      <c r="BS111" s="50" t="s">
        <v>455</v>
      </c>
      <c r="BU111" s="50" t="s">
        <v>13275</v>
      </c>
      <c r="BV111" s="50" t="s">
        <v>13276</v>
      </c>
      <c r="BW111" s="50" t="s">
        <v>138</v>
      </c>
      <c r="BX111" s="50" t="s">
        <v>13277</v>
      </c>
      <c r="BY111" s="50" t="s">
        <v>13278</v>
      </c>
      <c r="BZ111" s="50" t="s">
        <v>13277</v>
      </c>
      <c r="CA111" s="50" t="s">
        <v>13279</v>
      </c>
      <c r="CB111" s="50" t="s">
        <v>13277</v>
      </c>
      <c r="CC111" s="50" t="s">
        <v>13278</v>
      </c>
      <c r="CD111" s="50" t="s">
        <v>13280</v>
      </c>
      <c r="CE111" s="50" t="s">
        <v>13277</v>
      </c>
      <c r="CF111" s="50" t="s">
        <v>13281</v>
      </c>
      <c r="CG111" s="50" t="s">
        <v>3805</v>
      </c>
      <c r="CH111" s="50" t="s">
        <v>13282</v>
      </c>
      <c r="CJ111" s="50" t="s">
        <v>13283</v>
      </c>
      <c r="CK111" s="50" t="s">
        <v>13284</v>
      </c>
      <c r="CL111" s="50" t="s">
        <v>121</v>
      </c>
      <c r="CM111" s="50" t="s">
        <v>121</v>
      </c>
      <c r="CN111" s="50" t="s">
        <v>13283</v>
      </c>
      <c r="CO111" s="50" t="s">
        <v>13285</v>
      </c>
      <c r="CP111" s="50" t="s">
        <v>13282</v>
      </c>
      <c r="CQ111" s="50" t="s">
        <v>13282</v>
      </c>
    </row>
    <row r="112" spans="1:96">
      <c r="A112" s="50" t="s">
        <v>93</v>
      </c>
      <c r="B112" s="50">
        <v>1271232</v>
      </c>
      <c r="C112" s="50" t="s">
        <v>12030</v>
      </c>
      <c r="D112" s="50" t="s">
        <v>12308</v>
      </c>
      <c r="E112" s="50" t="str">
        <f>VLOOKUP(B112,aa!B:F,5,0)</f>
        <v>Ei CARES</v>
      </c>
      <c r="F112" s="50">
        <f>VLOOKUP(B112,aa!B:J,9,0)</f>
        <v>858600</v>
      </c>
      <c r="G112" s="50">
        <f>VLOOKUP(B112,aa!B:L,11,0)</f>
        <v>0</v>
      </c>
      <c r="H112" s="50">
        <f>VLOOKUP(B112,aa!B:O,14,0)</f>
        <v>858600</v>
      </c>
      <c r="I112" s="50">
        <f>VLOOKUP(B112,aa!B:R,17,0)</f>
        <v>0</v>
      </c>
      <c r="K112" s="50" t="s">
        <v>1746</v>
      </c>
      <c r="L112" s="50">
        <v>2151433</v>
      </c>
      <c r="M112" s="50">
        <v>2200068</v>
      </c>
      <c r="N112" s="50">
        <v>331436</v>
      </c>
      <c r="O112" s="50">
        <v>499</v>
      </c>
      <c r="P112" s="50" t="s">
        <v>12309</v>
      </c>
      <c r="Q112" s="50">
        <v>1549800</v>
      </c>
      <c r="R112" s="50">
        <v>1000</v>
      </c>
      <c r="S112" s="50" t="s">
        <v>8766</v>
      </c>
      <c r="T112" s="50">
        <v>270197</v>
      </c>
      <c r="U112" s="50">
        <v>200</v>
      </c>
      <c r="V112" s="50" t="s">
        <v>12310</v>
      </c>
      <c r="W112" s="50" t="s">
        <v>102</v>
      </c>
      <c r="X112" s="50" t="s">
        <v>103</v>
      </c>
      <c r="Y112" s="50" t="s">
        <v>155</v>
      </c>
      <c r="AA112" s="50" t="s">
        <v>4665</v>
      </c>
      <c r="AB112" s="50" t="s">
        <v>12311</v>
      </c>
      <c r="AC112" s="50" t="s">
        <v>12312</v>
      </c>
      <c r="AD112" s="50" t="s">
        <v>12311</v>
      </c>
      <c r="AE112" s="50" t="s">
        <v>12099</v>
      </c>
      <c r="AF112" s="50" t="s">
        <v>12311</v>
      </c>
      <c r="AG112" s="50" t="s">
        <v>11886</v>
      </c>
      <c r="AH112" s="50" t="s">
        <v>12311</v>
      </c>
      <c r="AI112" s="50" t="s">
        <v>1538</v>
      </c>
      <c r="AJ112" s="50" t="s">
        <v>6918</v>
      </c>
      <c r="AK112" s="50" t="s">
        <v>12313</v>
      </c>
      <c r="AL112" s="50" t="s">
        <v>12314</v>
      </c>
      <c r="AM112" s="50" t="s">
        <v>12315</v>
      </c>
      <c r="AN112" s="50" t="s">
        <v>12316</v>
      </c>
      <c r="AO112" s="50" t="s">
        <v>12317</v>
      </c>
      <c r="AP112" s="50" t="s">
        <v>12318</v>
      </c>
      <c r="AR112" s="50" t="s">
        <v>169</v>
      </c>
      <c r="AU112" s="50" t="s">
        <v>318</v>
      </c>
      <c r="AV112" s="50" t="s">
        <v>118</v>
      </c>
      <c r="AW112" s="50" t="s">
        <v>155</v>
      </c>
      <c r="AX112" s="50" t="s">
        <v>447</v>
      </c>
      <c r="AY112" s="50" t="s">
        <v>170</v>
      </c>
      <c r="AZ112" s="50" t="s">
        <v>118</v>
      </c>
      <c r="BA112" s="50" t="s">
        <v>250</v>
      </c>
      <c r="BB112" s="50" t="s">
        <v>120</v>
      </c>
      <c r="BC112" s="50" t="s">
        <v>691</v>
      </c>
      <c r="BD112" s="50" t="s">
        <v>320</v>
      </c>
      <c r="BE112" s="50" t="s">
        <v>122</v>
      </c>
      <c r="BF112" s="50" t="s">
        <v>123</v>
      </c>
      <c r="BG112" s="50" t="s">
        <v>124</v>
      </c>
      <c r="BH112" s="50" t="s">
        <v>12023</v>
      </c>
      <c r="BI112" s="50" t="s">
        <v>11889</v>
      </c>
      <c r="BJ112" s="50" t="s">
        <v>127</v>
      </c>
      <c r="BK112" s="50" t="s">
        <v>12319</v>
      </c>
      <c r="BL112" s="50" t="s">
        <v>693</v>
      </c>
      <c r="BM112" s="50" t="s">
        <v>12320</v>
      </c>
      <c r="BN112" s="50" t="s">
        <v>5928</v>
      </c>
      <c r="BO112" s="50" t="s">
        <v>695</v>
      </c>
      <c r="BP112" s="50" t="s">
        <v>350</v>
      </c>
      <c r="BQ112" s="50" t="s">
        <v>697</v>
      </c>
      <c r="BR112" s="50" t="s">
        <v>698</v>
      </c>
      <c r="BS112" s="50" t="s">
        <v>699</v>
      </c>
      <c r="BU112" s="50" t="s">
        <v>12321</v>
      </c>
      <c r="BV112" s="50" t="s">
        <v>12322</v>
      </c>
      <c r="BW112" s="50" t="s">
        <v>354</v>
      </c>
      <c r="BX112" s="50" t="s">
        <v>704</v>
      </c>
      <c r="BY112" s="50" t="s">
        <v>703</v>
      </c>
      <c r="BZ112" s="50" t="s">
        <v>704</v>
      </c>
      <c r="CA112" s="50" t="s">
        <v>701</v>
      </c>
      <c r="CB112" s="50" t="s">
        <v>704</v>
      </c>
      <c r="CC112" s="50" t="s">
        <v>703</v>
      </c>
      <c r="CD112" s="50" t="s">
        <v>701</v>
      </c>
      <c r="CE112" s="50" t="s">
        <v>704</v>
      </c>
      <c r="CF112" s="50" t="s">
        <v>703</v>
      </c>
      <c r="CG112" s="50" t="s">
        <v>709</v>
      </c>
      <c r="CH112" s="50" t="s">
        <v>12323</v>
      </c>
      <c r="CJ112" s="50" t="s">
        <v>711</v>
      </c>
      <c r="CK112" s="50" t="s">
        <v>713</v>
      </c>
      <c r="CL112" s="50" t="s">
        <v>691</v>
      </c>
      <c r="CM112" s="50" t="s">
        <v>320</v>
      </c>
      <c r="CN112" s="50" t="s">
        <v>711</v>
      </c>
      <c r="CP112" s="50" t="s">
        <v>713</v>
      </c>
      <c r="CQ112" s="50" t="s">
        <v>714</v>
      </c>
    </row>
    <row r="113" spans="1:96">
      <c r="A113" s="50" t="s">
        <v>93</v>
      </c>
      <c r="B113" s="50">
        <v>1324480</v>
      </c>
      <c r="C113" s="50" t="s">
        <v>11898</v>
      </c>
      <c r="D113" s="50" t="s">
        <v>796</v>
      </c>
      <c r="E113" s="50" t="str">
        <f>VLOOKUP(B113,aa!B:F,5,0)</f>
        <v>Ei ASSET,Ei Mindspark</v>
      </c>
      <c r="F113" s="50">
        <f>VLOOKUP(B113,aa!B:J,9,0)</f>
        <v>747960</v>
      </c>
      <c r="G113" s="50">
        <f>VLOOKUP(B113,aa!B:L,11,0)</f>
        <v>170378</v>
      </c>
      <c r="H113" s="50">
        <f>VLOOKUP(B113,aa!B:O,14,0)</f>
        <v>0</v>
      </c>
      <c r="I113" s="50">
        <f>VLOOKUP(B113,aa!B:R,17,0)</f>
        <v>577582</v>
      </c>
      <c r="K113" s="50" t="s">
        <v>3549</v>
      </c>
      <c r="L113" s="50">
        <v>1251424</v>
      </c>
      <c r="M113" s="50">
        <v>1407583</v>
      </c>
      <c r="N113" s="50">
        <v>383872</v>
      </c>
      <c r="O113" s="50">
        <v>450</v>
      </c>
      <c r="P113" s="50" t="s">
        <v>12381</v>
      </c>
      <c r="Q113" s="50">
        <v>0</v>
      </c>
      <c r="R113" s="50">
        <v>0</v>
      </c>
      <c r="T113" s="50">
        <v>867552</v>
      </c>
      <c r="U113" s="50">
        <v>500</v>
      </c>
      <c r="V113" s="50" t="s">
        <v>7476</v>
      </c>
      <c r="W113" s="50" t="s">
        <v>102</v>
      </c>
      <c r="X113" s="50" t="s">
        <v>103</v>
      </c>
      <c r="Y113" s="50" t="s">
        <v>155</v>
      </c>
      <c r="AA113" s="50" t="s">
        <v>411</v>
      </c>
      <c r="AB113" s="50" t="s">
        <v>12382</v>
      </c>
      <c r="AC113" s="50" t="s">
        <v>12040</v>
      </c>
      <c r="AD113" s="50" t="s">
        <v>12382</v>
      </c>
      <c r="AE113" s="50" t="s">
        <v>12099</v>
      </c>
      <c r="AF113" s="50" t="s">
        <v>12382</v>
      </c>
      <c r="AG113" s="50" t="s">
        <v>11886</v>
      </c>
      <c r="AH113" s="50" t="s">
        <v>12382</v>
      </c>
      <c r="AI113" s="50" t="s">
        <v>102</v>
      </c>
      <c r="AJ113" s="50" t="s">
        <v>9840</v>
      </c>
      <c r="AK113" s="50" t="s">
        <v>12383</v>
      </c>
      <c r="AL113" s="50" t="s">
        <v>12384</v>
      </c>
      <c r="AM113" s="50" t="s">
        <v>1081</v>
      </c>
      <c r="AN113" s="50" t="s">
        <v>12385</v>
      </c>
      <c r="AO113" s="50" t="s">
        <v>12386</v>
      </c>
      <c r="AP113" s="50" t="s">
        <v>12386</v>
      </c>
      <c r="AU113" s="50" t="s">
        <v>117</v>
      </c>
      <c r="AV113" s="50" t="s">
        <v>118</v>
      </c>
      <c r="AW113" s="50" t="s">
        <v>102</v>
      </c>
      <c r="AX113" s="50" t="s">
        <v>119</v>
      </c>
      <c r="BA113" s="50" t="s">
        <v>250</v>
      </c>
      <c r="BB113" s="50" t="s">
        <v>120</v>
      </c>
      <c r="BC113" s="50" t="s">
        <v>814</v>
      </c>
      <c r="BD113" s="50" t="s">
        <v>320</v>
      </c>
      <c r="BE113" s="50" t="s">
        <v>122</v>
      </c>
      <c r="BF113" s="50" t="s">
        <v>123</v>
      </c>
      <c r="BG113" s="50" t="s">
        <v>124</v>
      </c>
      <c r="BH113" s="50" t="s">
        <v>12023</v>
      </c>
      <c r="BI113" s="50" t="s">
        <v>11889</v>
      </c>
      <c r="BJ113" s="50" t="s">
        <v>127</v>
      </c>
      <c r="BK113" s="50" t="s">
        <v>12387</v>
      </c>
      <c r="BL113" s="50" t="s">
        <v>817</v>
      </c>
      <c r="BM113" s="50" t="s">
        <v>12388</v>
      </c>
      <c r="BN113" s="50" t="s">
        <v>5928</v>
      </c>
      <c r="BO113" s="50" t="s">
        <v>695</v>
      </c>
      <c r="BP113" s="50" t="s">
        <v>350</v>
      </c>
      <c r="BQ113" s="50" t="s">
        <v>697</v>
      </c>
      <c r="BR113" s="50" t="s">
        <v>698</v>
      </c>
      <c r="BS113" s="50" t="s">
        <v>819</v>
      </c>
      <c r="BT113" s="50" t="s">
        <v>261</v>
      </c>
      <c r="BU113" s="50" t="s">
        <v>12389</v>
      </c>
      <c r="BV113" s="50" t="s">
        <v>821</v>
      </c>
      <c r="BW113" s="50" t="s">
        <v>354</v>
      </c>
      <c r="BX113" s="50" t="s">
        <v>822</v>
      </c>
      <c r="BY113" s="50" t="s">
        <v>823</v>
      </c>
      <c r="BZ113" s="50" t="s">
        <v>824</v>
      </c>
      <c r="CA113" s="50" t="s">
        <v>12390</v>
      </c>
      <c r="CB113" s="50" t="s">
        <v>822</v>
      </c>
      <c r="CC113" s="50" t="s">
        <v>823</v>
      </c>
      <c r="CD113" s="50" t="s">
        <v>12390</v>
      </c>
      <c r="CE113" s="50" t="s">
        <v>822</v>
      </c>
      <c r="CF113" s="50" t="s">
        <v>823</v>
      </c>
      <c r="CG113" s="50" t="s">
        <v>828</v>
      </c>
      <c r="CH113" s="50" t="s">
        <v>829</v>
      </c>
      <c r="CJ113" s="50" t="s">
        <v>830</v>
      </c>
      <c r="CK113" s="50" t="s">
        <v>12391</v>
      </c>
      <c r="CL113" s="50" t="s">
        <v>814</v>
      </c>
      <c r="CM113" s="50" t="s">
        <v>320</v>
      </c>
      <c r="CN113" s="50" t="s">
        <v>830</v>
      </c>
      <c r="CP113" s="50" t="s">
        <v>829</v>
      </c>
      <c r="CQ113" s="50" t="s">
        <v>829</v>
      </c>
    </row>
    <row r="114" spans="1:96">
      <c r="A114" s="50" t="s">
        <v>93</v>
      </c>
      <c r="B114" s="50">
        <v>207093</v>
      </c>
      <c r="C114" s="50" t="s">
        <v>12121</v>
      </c>
      <c r="D114" s="50" t="s">
        <v>2626</v>
      </c>
      <c r="E114" s="50" t="e">
        <f>VLOOKUP(B114,aa!B:F,5,0)</f>
        <v>#N/A</v>
      </c>
      <c r="F114" s="50" t="e">
        <f>VLOOKUP(B114,aa!B:J,9,0)</f>
        <v>#N/A</v>
      </c>
      <c r="G114" s="50" t="e">
        <f>VLOOKUP(B114,aa!B:L,11,0)</f>
        <v>#N/A</v>
      </c>
      <c r="H114" s="50" t="e">
        <f>VLOOKUP(B114,aa!B:O,14,0)</f>
        <v>#N/A</v>
      </c>
      <c r="I114" s="50" t="e">
        <f>VLOOKUP(B114,aa!B:R,17,0)</f>
        <v>#N/A</v>
      </c>
      <c r="K114" s="50" t="s">
        <v>152</v>
      </c>
      <c r="L114" s="50">
        <v>1241100</v>
      </c>
      <c r="M114" s="50">
        <v>1241100</v>
      </c>
      <c r="N114" s="50">
        <v>0</v>
      </c>
      <c r="O114" s="50">
        <v>0</v>
      </c>
      <c r="Q114" s="50">
        <v>1241100</v>
      </c>
      <c r="R114" s="50">
        <v>591</v>
      </c>
      <c r="S114" s="50" t="s">
        <v>2987</v>
      </c>
      <c r="T114" s="50">
        <v>0</v>
      </c>
      <c r="U114" s="50">
        <v>0</v>
      </c>
      <c r="W114" s="50" t="s">
        <v>102</v>
      </c>
      <c r="X114" s="50" t="s">
        <v>103</v>
      </c>
      <c r="Y114" s="50" t="s">
        <v>398</v>
      </c>
      <c r="AA114" s="50" t="s">
        <v>6918</v>
      </c>
      <c r="AB114" s="50" t="s">
        <v>13483</v>
      </c>
      <c r="AC114" s="50" t="s">
        <v>12427</v>
      </c>
      <c r="AD114" s="50" t="s">
        <v>13484</v>
      </c>
      <c r="AE114" s="50" t="s">
        <v>12713</v>
      </c>
      <c r="AF114" s="50" t="s">
        <v>13484</v>
      </c>
      <c r="AG114" s="50" t="s">
        <v>109</v>
      </c>
      <c r="AH114" s="50" t="s">
        <v>102</v>
      </c>
      <c r="AI114" s="50" t="s">
        <v>13485</v>
      </c>
      <c r="AJ114" s="50" t="s">
        <v>857</v>
      </c>
      <c r="AK114" s="50" t="s">
        <v>13486</v>
      </c>
      <c r="AL114" s="50" t="s">
        <v>13487</v>
      </c>
      <c r="AM114" s="50" t="s">
        <v>13488</v>
      </c>
      <c r="AN114" s="50" t="s">
        <v>13489</v>
      </c>
      <c r="AO114" s="50" t="s">
        <v>554</v>
      </c>
      <c r="AP114" s="50" t="s">
        <v>554</v>
      </c>
      <c r="AU114" s="50" t="s">
        <v>102</v>
      </c>
      <c r="AW114" s="50" t="s">
        <v>155</v>
      </c>
      <c r="AX114" s="50" t="s">
        <v>119</v>
      </c>
      <c r="AY114" s="50" t="s">
        <v>170</v>
      </c>
      <c r="AZ114" s="50" t="s">
        <v>118</v>
      </c>
      <c r="BB114" s="50" t="s">
        <v>120</v>
      </c>
      <c r="BC114" s="50" t="s">
        <v>555</v>
      </c>
      <c r="BD114" s="50" t="s">
        <v>556</v>
      </c>
      <c r="BE114" s="50" t="s">
        <v>122</v>
      </c>
      <c r="BF114" s="50" t="s">
        <v>557</v>
      </c>
      <c r="BG114" s="50" t="s">
        <v>124</v>
      </c>
      <c r="BH114" s="50" t="s">
        <v>12023</v>
      </c>
      <c r="BI114" s="50" t="s">
        <v>11889</v>
      </c>
      <c r="BJ114" s="50" t="s">
        <v>127</v>
      </c>
      <c r="BK114" s="50" t="s">
        <v>13490</v>
      </c>
      <c r="BL114" s="50" t="s">
        <v>2637</v>
      </c>
      <c r="BM114" s="50" t="s">
        <v>13491</v>
      </c>
      <c r="BN114" s="50" t="s">
        <v>5928</v>
      </c>
      <c r="BO114" s="50" t="s">
        <v>563</v>
      </c>
      <c r="BP114" s="50" t="s">
        <v>350</v>
      </c>
      <c r="BQ114" s="50" t="s">
        <v>564</v>
      </c>
      <c r="BR114" s="50" t="s">
        <v>565</v>
      </c>
      <c r="BS114" s="50" t="s">
        <v>563</v>
      </c>
      <c r="BU114" s="50" t="s">
        <v>13492</v>
      </c>
      <c r="BV114" s="50" t="s">
        <v>13493</v>
      </c>
      <c r="BW114" s="50" t="s">
        <v>138</v>
      </c>
      <c r="BX114" s="50" t="s">
        <v>2641</v>
      </c>
      <c r="BY114" s="50" t="s">
        <v>2642</v>
      </c>
      <c r="BZ114" s="50" t="s">
        <v>2641</v>
      </c>
      <c r="CA114" s="50" t="s">
        <v>13493</v>
      </c>
      <c r="CB114" s="50" t="s">
        <v>2641</v>
      </c>
      <c r="CC114" s="50" t="s">
        <v>2642</v>
      </c>
      <c r="CD114" s="50" t="s">
        <v>2643</v>
      </c>
      <c r="CE114" s="50" t="s">
        <v>2641</v>
      </c>
      <c r="CF114" s="50" t="s">
        <v>13494</v>
      </c>
      <c r="CG114" s="50" t="s">
        <v>2645</v>
      </c>
      <c r="CH114" s="50" t="s">
        <v>13495</v>
      </c>
      <c r="CJ114" s="50" t="s">
        <v>2447</v>
      </c>
      <c r="CK114" s="50" t="s">
        <v>13495</v>
      </c>
      <c r="CL114" s="50" t="s">
        <v>555</v>
      </c>
      <c r="CM114" s="50" t="s">
        <v>556</v>
      </c>
      <c r="CN114" s="50" t="s">
        <v>2447</v>
      </c>
      <c r="CO114" s="50" t="s">
        <v>2647</v>
      </c>
      <c r="CP114" s="50" t="s">
        <v>2646</v>
      </c>
      <c r="CQ114" s="50" t="s">
        <v>2646</v>
      </c>
    </row>
    <row r="115" spans="1:96">
      <c r="A115" s="50" t="s">
        <v>337</v>
      </c>
      <c r="B115" s="50">
        <v>641697</v>
      </c>
      <c r="C115" s="50" t="s">
        <v>11898</v>
      </c>
      <c r="D115" s="50" t="s">
        <v>21381</v>
      </c>
      <c r="E115" s="50" t="e">
        <f>VLOOKUP(B115,aa!B:F,5,0)</f>
        <v>#N/A</v>
      </c>
      <c r="F115" s="50" t="e">
        <f>VLOOKUP(B115,aa!B:J,9,0)</f>
        <v>#N/A</v>
      </c>
      <c r="G115" s="50" t="e">
        <f>VLOOKUP(B115,aa!B:L,11,0)</f>
        <v>#N/A</v>
      </c>
      <c r="H115" s="50" t="e">
        <f>VLOOKUP(B115,aa!B:O,14,0)</f>
        <v>#N/A</v>
      </c>
      <c r="I115" s="50" t="e">
        <f>VLOOKUP(B115,aa!B:R,17,0)</f>
        <v>#N/A</v>
      </c>
      <c r="K115" s="50" t="s">
        <v>152</v>
      </c>
      <c r="L115" s="50">
        <v>540072</v>
      </c>
      <c r="M115" s="50">
        <v>540072</v>
      </c>
      <c r="N115" s="50">
        <v>0</v>
      </c>
      <c r="O115" s="50">
        <v>0</v>
      </c>
      <c r="Q115" s="50">
        <v>540072</v>
      </c>
      <c r="R115" s="50">
        <v>900</v>
      </c>
      <c r="S115" s="50" t="s">
        <v>310</v>
      </c>
      <c r="T115" s="50">
        <v>0</v>
      </c>
      <c r="U115" s="50">
        <v>0</v>
      </c>
      <c r="W115" s="50" t="s">
        <v>102</v>
      </c>
      <c r="X115" s="50" t="s">
        <v>103</v>
      </c>
      <c r="Y115" s="50" t="s">
        <v>155</v>
      </c>
      <c r="AA115" s="50" t="s">
        <v>945</v>
      </c>
      <c r="AB115" s="50" t="s">
        <v>21382</v>
      </c>
      <c r="AC115" s="50" t="s">
        <v>1165</v>
      </c>
      <c r="AD115" s="50" t="s">
        <v>21382</v>
      </c>
      <c r="AE115" s="50" t="s">
        <v>12609</v>
      </c>
      <c r="AF115" s="50" t="s">
        <v>21382</v>
      </c>
      <c r="AG115" s="50" t="s">
        <v>11886</v>
      </c>
      <c r="AH115" s="50" t="s">
        <v>21382</v>
      </c>
      <c r="AI115" s="50" t="s">
        <v>21383</v>
      </c>
      <c r="AJ115" s="50" t="s">
        <v>857</v>
      </c>
      <c r="AK115" s="50" t="s">
        <v>6615</v>
      </c>
      <c r="AL115" s="50" t="s">
        <v>21384</v>
      </c>
      <c r="AM115" s="50" t="s">
        <v>21385</v>
      </c>
      <c r="AN115" s="50" t="s">
        <v>2987</v>
      </c>
      <c r="AO115" s="50" t="s">
        <v>1963</v>
      </c>
      <c r="AP115" s="50" t="s">
        <v>21386</v>
      </c>
      <c r="AR115" s="50" t="s">
        <v>169</v>
      </c>
      <c r="AU115" s="50" t="s">
        <v>102</v>
      </c>
      <c r="AW115" s="50" t="s">
        <v>1384</v>
      </c>
      <c r="AX115" s="50" t="s">
        <v>447</v>
      </c>
      <c r="AY115" s="50" t="s">
        <v>170</v>
      </c>
      <c r="AZ115" s="50" t="s">
        <v>118</v>
      </c>
      <c r="BB115" s="50" t="s">
        <v>171</v>
      </c>
      <c r="BC115" s="50" t="s">
        <v>9178</v>
      </c>
      <c r="BD115" s="50" t="s">
        <v>320</v>
      </c>
      <c r="BE115" s="50" t="s">
        <v>122</v>
      </c>
      <c r="BF115" s="50" t="s">
        <v>123</v>
      </c>
      <c r="BG115" s="50" t="s">
        <v>124</v>
      </c>
      <c r="BH115" s="50" t="s">
        <v>12023</v>
      </c>
      <c r="BI115" s="50" t="s">
        <v>11889</v>
      </c>
      <c r="BJ115" s="50" t="s">
        <v>127</v>
      </c>
      <c r="BK115" s="50" t="s">
        <v>21387</v>
      </c>
      <c r="BL115" s="50" t="s">
        <v>21388</v>
      </c>
      <c r="BM115" s="50" t="s">
        <v>21389</v>
      </c>
      <c r="BN115" s="50" t="s">
        <v>5928</v>
      </c>
      <c r="BO115" s="50" t="s">
        <v>7005</v>
      </c>
      <c r="BP115" s="50" t="s">
        <v>350</v>
      </c>
      <c r="BQ115" s="50" t="s">
        <v>7006</v>
      </c>
      <c r="BR115" s="50" t="s">
        <v>7007</v>
      </c>
      <c r="BS115" s="50" t="s">
        <v>7008</v>
      </c>
      <c r="BU115" s="50" t="s">
        <v>21390</v>
      </c>
      <c r="BV115" s="50" t="s">
        <v>21391</v>
      </c>
      <c r="BW115" s="50" t="s">
        <v>138</v>
      </c>
      <c r="BX115" s="50" t="s">
        <v>21392</v>
      </c>
      <c r="BY115" s="50" t="s">
        <v>21393</v>
      </c>
      <c r="BZ115" s="50" t="s">
        <v>21392</v>
      </c>
      <c r="CA115" s="50" t="s">
        <v>21391</v>
      </c>
      <c r="CB115" s="50" t="s">
        <v>21392</v>
      </c>
      <c r="CC115" s="50" t="s">
        <v>21393</v>
      </c>
      <c r="CD115" s="50" t="s">
        <v>21394</v>
      </c>
      <c r="CE115" s="50" t="s">
        <v>21395</v>
      </c>
      <c r="CF115" s="50" t="s">
        <v>21396</v>
      </c>
      <c r="CG115" s="50" t="s">
        <v>21397</v>
      </c>
      <c r="CH115" s="50" t="s">
        <v>21381</v>
      </c>
      <c r="CJ115" s="50" t="s">
        <v>9897</v>
      </c>
      <c r="CK115" s="50" t="s">
        <v>21398</v>
      </c>
      <c r="CL115" s="50" t="s">
        <v>9178</v>
      </c>
      <c r="CM115" s="50" t="s">
        <v>320</v>
      </c>
      <c r="CN115" s="50" t="s">
        <v>9897</v>
      </c>
      <c r="CO115" s="50" t="s">
        <v>21399</v>
      </c>
      <c r="CP115" s="50" t="s">
        <v>21400</v>
      </c>
      <c r="CQ115" s="50" t="s">
        <v>21401</v>
      </c>
    </row>
    <row r="116" spans="1:96">
      <c r="A116" s="50" t="s">
        <v>149</v>
      </c>
      <c r="B116" s="50">
        <v>18922</v>
      </c>
      <c r="C116" s="50" t="s">
        <v>2151</v>
      </c>
      <c r="D116" s="50" t="s">
        <v>2162</v>
      </c>
      <c r="E116" s="50" t="e">
        <f>VLOOKUP(B116,aa!B:F,5,0)</f>
        <v>#N/A</v>
      </c>
      <c r="F116" s="50" t="e">
        <f>VLOOKUP(B116,aa!B:J,9,0)</f>
        <v>#N/A</v>
      </c>
      <c r="G116" s="50" t="e">
        <f>VLOOKUP(B116,aa!B:L,11,0)</f>
        <v>#N/A</v>
      </c>
      <c r="H116" s="50" t="e">
        <f>VLOOKUP(B116,aa!B:O,14,0)</f>
        <v>#N/A</v>
      </c>
      <c r="I116" s="50" t="e">
        <f>VLOOKUP(B116,aa!B:R,17,0)</f>
        <v>#N/A</v>
      </c>
      <c r="K116" s="50" t="s">
        <v>1746</v>
      </c>
      <c r="L116" s="50">
        <v>3035261</v>
      </c>
      <c r="M116" s="50">
        <v>3181511</v>
      </c>
      <c r="N116" s="50">
        <v>1366920</v>
      </c>
      <c r="O116" s="50">
        <v>1638</v>
      </c>
      <c r="P116" s="50" t="s">
        <v>13143</v>
      </c>
      <c r="Q116" s="50">
        <v>855843</v>
      </c>
      <c r="R116" s="50">
        <v>467</v>
      </c>
      <c r="S116" s="50" t="s">
        <v>13144</v>
      </c>
      <c r="T116" s="50">
        <v>812498</v>
      </c>
      <c r="U116" s="50">
        <v>465</v>
      </c>
      <c r="V116" s="50" t="s">
        <v>8745</v>
      </c>
      <c r="W116" s="50" t="s">
        <v>102</v>
      </c>
      <c r="X116" s="50" t="s">
        <v>103</v>
      </c>
      <c r="Y116" s="50" t="s">
        <v>155</v>
      </c>
      <c r="AA116" s="50" t="s">
        <v>12023</v>
      </c>
      <c r="AB116" s="50" t="s">
        <v>13145</v>
      </c>
      <c r="AC116" s="50" t="s">
        <v>1408</v>
      </c>
      <c r="AD116" s="50" t="s">
        <v>13145</v>
      </c>
      <c r="AE116" s="50" t="s">
        <v>12888</v>
      </c>
      <c r="AF116" s="50" t="s">
        <v>13145</v>
      </c>
      <c r="AG116" s="50" t="s">
        <v>1427</v>
      </c>
      <c r="AH116" s="50" t="s">
        <v>13145</v>
      </c>
      <c r="AI116" s="50" t="s">
        <v>13146</v>
      </c>
      <c r="AJ116" s="50" t="s">
        <v>1941</v>
      </c>
      <c r="AK116" s="50" t="s">
        <v>12859</v>
      </c>
      <c r="AL116" s="50" t="s">
        <v>13147</v>
      </c>
      <c r="AM116" s="50" t="s">
        <v>13148</v>
      </c>
      <c r="AN116" s="50" t="s">
        <v>13149</v>
      </c>
      <c r="AO116" s="50" t="s">
        <v>13150</v>
      </c>
      <c r="AP116" s="50" t="s">
        <v>13150</v>
      </c>
      <c r="AU116" s="50" t="s">
        <v>318</v>
      </c>
      <c r="AV116" s="50" t="s">
        <v>250</v>
      </c>
      <c r="AW116" s="50" t="s">
        <v>155</v>
      </c>
      <c r="AX116" s="50" t="s">
        <v>119</v>
      </c>
      <c r="AZ116" s="50" t="s">
        <v>250</v>
      </c>
      <c r="BA116" s="50" t="s">
        <v>250</v>
      </c>
      <c r="BB116" s="50" t="s">
        <v>120</v>
      </c>
      <c r="BC116" s="50" t="s">
        <v>920</v>
      </c>
      <c r="BD116" s="50" t="s">
        <v>211</v>
      </c>
      <c r="BE116" s="50" t="s">
        <v>212</v>
      </c>
      <c r="BF116" s="50" t="s">
        <v>213</v>
      </c>
      <c r="BG116" s="50" t="s">
        <v>124</v>
      </c>
      <c r="BH116" s="50" t="s">
        <v>12492</v>
      </c>
      <c r="BI116" s="50" t="s">
        <v>11960</v>
      </c>
      <c r="BJ116" s="50" t="s">
        <v>127</v>
      </c>
      <c r="BK116" s="50" t="s">
        <v>13151</v>
      </c>
      <c r="BL116" s="50" t="s">
        <v>2181</v>
      </c>
      <c r="BM116" s="50" t="s">
        <v>13152</v>
      </c>
      <c r="BN116" s="50" t="s">
        <v>945</v>
      </c>
      <c r="BO116" s="50" t="s">
        <v>415</v>
      </c>
      <c r="BP116" s="50" t="s">
        <v>132</v>
      </c>
      <c r="BQ116" s="50" t="s">
        <v>416</v>
      </c>
      <c r="BR116" s="50" t="s">
        <v>417</v>
      </c>
      <c r="BS116" s="50" t="s">
        <v>222</v>
      </c>
      <c r="BU116" s="50" t="s">
        <v>13153</v>
      </c>
      <c r="BV116" s="50" t="s">
        <v>2184</v>
      </c>
      <c r="BW116" s="50" t="s">
        <v>138</v>
      </c>
      <c r="BX116" s="50" t="s">
        <v>2185</v>
      </c>
      <c r="BY116" s="50" t="s">
        <v>2186</v>
      </c>
      <c r="BZ116" s="50" t="s">
        <v>2187</v>
      </c>
      <c r="CA116" s="50" t="s">
        <v>2184</v>
      </c>
      <c r="CB116" s="50" t="s">
        <v>2185</v>
      </c>
      <c r="CC116" s="50" t="s">
        <v>13154</v>
      </c>
      <c r="CD116" s="50" t="s">
        <v>13155</v>
      </c>
      <c r="CE116" s="50" t="s">
        <v>13156</v>
      </c>
      <c r="CF116" s="50" t="s">
        <v>13157</v>
      </c>
      <c r="CG116" s="50" t="s">
        <v>102</v>
      </c>
      <c r="CH116" s="50" t="s">
        <v>2188</v>
      </c>
      <c r="CJ116" s="50" t="s">
        <v>2189</v>
      </c>
      <c r="CL116" s="50" t="s">
        <v>920</v>
      </c>
      <c r="CM116" s="50" t="s">
        <v>211</v>
      </c>
      <c r="CN116" s="50" t="s">
        <v>2189</v>
      </c>
      <c r="CO116" s="50" t="s">
        <v>2190</v>
      </c>
      <c r="CP116" s="50" t="s">
        <v>2188</v>
      </c>
      <c r="CQ116" s="50" t="s">
        <v>2188</v>
      </c>
      <c r="CR116" s="50" t="s">
        <v>26040</v>
      </c>
    </row>
    <row r="117" spans="1:96">
      <c r="A117" s="50" t="s">
        <v>149</v>
      </c>
      <c r="B117" s="50">
        <v>2291851</v>
      </c>
      <c r="C117" s="50" t="s">
        <v>2525</v>
      </c>
      <c r="D117" s="50" t="s">
        <v>2985</v>
      </c>
      <c r="E117" s="50" t="str">
        <f>VLOOKUP(B117,aa!B:F,5,0)</f>
        <v>Ei ASSET, Ei CARES</v>
      </c>
      <c r="F117" s="50">
        <f>VLOOKUP(B117,aa!B:J,9,0)</f>
        <v>2455448</v>
      </c>
      <c r="G117" s="50">
        <f>VLOOKUP(B117,aa!B:L,11,0)</f>
        <v>695520</v>
      </c>
      <c r="H117" s="50">
        <f>VLOOKUP(B117,aa!B:O,14,0)</f>
        <v>1759928</v>
      </c>
      <c r="I117" s="50">
        <f>VLOOKUP(B117,aa!B:R,17,0)</f>
        <v>0</v>
      </c>
      <c r="K117" s="50" t="s">
        <v>152</v>
      </c>
      <c r="L117" s="50">
        <v>801948</v>
      </c>
      <c r="M117" s="50">
        <v>801948</v>
      </c>
      <c r="N117" s="50">
        <v>0</v>
      </c>
      <c r="O117" s="50">
        <v>0</v>
      </c>
      <c r="Q117" s="50">
        <v>801948</v>
      </c>
      <c r="R117" s="50">
        <v>330</v>
      </c>
      <c r="S117" s="50" t="s">
        <v>13698</v>
      </c>
      <c r="T117" s="50">
        <v>0</v>
      </c>
      <c r="U117" s="50">
        <v>0</v>
      </c>
      <c r="W117" s="50" t="s">
        <v>102</v>
      </c>
      <c r="X117" s="50" t="s">
        <v>275</v>
      </c>
      <c r="Z117" s="50" t="s">
        <v>126</v>
      </c>
      <c r="AA117" s="50" t="s">
        <v>109</v>
      </c>
      <c r="AB117" s="50" t="s">
        <v>102</v>
      </c>
      <c r="AC117" s="50" t="s">
        <v>109</v>
      </c>
      <c r="AD117" s="50" t="s">
        <v>102</v>
      </c>
      <c r="AE117" s="50" t="s">
        <v>109</v>
      </c>
      <c r="AF117" s="50" t="s">
        <v>102</v>
      </c>
      <c r="AG117" s="50" t="s">
        <v>109</v>
      </c>
      <c r="AH117" s="50" t="s">
        <v>102</v>
      </c>
      <c r="AI117" s="50" t="s">
        <v>13699</v>
      </c>
      <c r="AJ117" s="50" t="s">
        <v>1403</v>
      </c>
      <c r="AK117" s="50" t="s">
        <v>1403</v>
      </c>
      <c r="AL117" s="50" t="s">
        <v>13700</v>
      </c>
      <c r="AM117" s="50" t="s">
        <v>13701</v>
      </c>
      <c r="AN117" s="50" t="s">
        <v>115</v>
      </c>
      <c r="AO117" s="50" t="s">
        <v>13702</v>
      </c>
      <c r="AP117" s="50" t="s">
        <v>13703</v>
      </c>
      <c r="AQ117" s="50" t="s">
        <v>343</v>
      </c>
      <c r="AT117" s="50" t="s">
        <v>169</v>
      </c>
      <c r="AU117" s="50" t="s">
        <v>102</v>
      </c>
      <c r="AW117" s="50" t="s">
        <v>1758</v>
      </c>
      <c r="AX117" s="50" t="s">
        <v>447</v>
      </c>
      <c r="AY117" s="50" t="s">
        <v>170</v>
      </c>
      <c r="AZ117" s="50" t="s">
        <v>118</v>
      </c>
      <c r="BB117" s="50" t="s">
        <v>209</v>
      </c>
      <c r="BC117" s="50" t="s">
        <v>2327</v>
      </c>
      <c r="BD117" s="50" t="s">
        <v>730</v>
      </c>
      <c r="BE117" s="50" t="s">
        <v>622</v>
      </c>
      <c r="BF117" s="50" t="s">
        <v>730</v>
      </c>
      <c r="BG117" s="50" t="s">
        <v>124</v>
      </c>
      <c r="BH117" s="50" t="s">
        <v>12023</v>
      </c>
      <c r="BI117" s="50" t="s">
        <v>11889</v>
      </c>
      <c r="BJ117" s="50" t="s">
        <v>127</v>
      </c>
      <c r="BK117" s="50" t="s">
        <v>13704</v>
      </c>
      <c r="BL117" s="50" t="s">
        <v>2995</v>
      </c>
      <c r="BM117" s="50" t="s">
        <v>13705</v>
      </c>
      <c r="BN117" s="50" t="s">
        <v>945</v>
      </c>
      <c r="BO117" s="50" t="s">
        <v>3606</v>
      </c>
      <c r="BP117" s="50" t="s">
        <v>258</v>
      </c>
      <c r="BQ117" s="50" t="s">
        <v>3607</v>
      </c>
      <c r="BR117" s="50" t="s">
        <v>3608</v>
      </c>
      <c r="BS117" s="50" t="s">
        <v>2525</v>
      </c>
      <c r="BU117" s="50" t="s">
        <v>13706</v>
      </c>
      <c r="BV117" s="50" t="s">
        <v>2998</v>
      </c>
      <c r="BW117" s="50" t="s">
        <v>296</v>
      </c>
      <c r="BX117" s="50" t="s">
        <v>13707</v>
      </c>
      <c r="BY117" s="50" t="s">
        <v>3000</v>
      </c>
      <c r="CA117" s="50" t="s">
        <v>2998</v>
      </c>
      <c r="CB117" s="50" t="s">
        <v>13707</v>
      </c>
      <c r="CC117" s="50" t="s">
        <v>3000</v>
      </c>
      <c r="CD117" s="50" t="s">
        <v>2998</v>
      </c>
      <c r="CE117" s="50" t="s">
        <v>13707</v>
      </c>
      <c r="CF117" s="50" t="s">
        <v>3000</v>
      </c>
      <c r="CG117" s="50" t="s">
        <v>102</v>
      </c>
      <c r="CH117" s="50" t="s">
        <v>13708</v>
      </c>
      <c r="CJ117" s="50" t="s">
        <v>2272</v>
      </c>
      <c r="CL117" s="50" t="s">
        <v>2327</v>
      </c>
      <c r="CM117" s="50" t="s">
        <v>730</v>
      </c>
      <c r="CN117" s="50" t="s">
        <v>2272</v>
      </c>
      <c r="CP117" s="50" t="s">
        <v>3001</v>
      </c>
      <c r="CQ117" s="50" t="s">
        <v>3001</v>
      </c>
    </row>
    <row r="118" spans="1:96">
      <c r="A118" s="50" t="s">
        <v>149</v>
      </c>
      <c r="B118" s="50">
        <v>2409420</v>
      </c>
      <c r="C118" s="50" t="s">
        <v>12121</v>
      </c>
      <c r="D118" s="50" t="s">
        <v>3277</v>
      </c>
      <c r="E118" s="50" t="str">
        <f>VLOOKUP(B118,aa!B:F,5,0)</f>
        <v>Ei ASSET</v>
      </c>
      <c r="F118" s="50">
        <f>VLOOKUP(B118,aa!B:J,9,0)</f>
        <v>391222</v>
      </c>
      <c r="G118" s="50">
        <f>VLOOKUP(B118,aa!B:L,11,0)</f>
        <v>391222</v>
      </c>
      <c r="H118" s="50">
        <f>VLOOKUP(B118,aa!B:O,14,0)</f>
        <v>0</v>
      </c>
      <c r="I118" s="50">
        <f>VLOOKUP(B118,aa!B:R,17,0)</f>
        <v>0</v>
      </c>
      <c r="K118" s="50" t="s">
        <v>97</v>
      </c>
      <c r="L118" s="50">
        <v>283797</v>
      </c>
      <c r="M118" s="50">
        <v>283797</v>
      </c>
      <c r="N118" s="50">
        <v>283797</v>
      </c>
      <c r="O118" s="50">
        <v>457</v>
      </c>
      <c r="P118" s="50" t="s">
        <v>13912</v>
      </c>
      <c r="Q118" s="50">
        <v>0</v>
      </c>
      <c r="R118" s="50">
        <v>0</v>
      </c>
      <c r="T118" s="50">
        <v>0</v>
      </c>
      <c r="U118" s="50">
        <v>0</v>
      </c>
      <c r="W118" s="50" t="s">
        <v>102</v>
      </c>
      <c r="X118" s="50" t="s">
        <v>275</v>
      </c>
      <c r="Z118" s="50" t="s">
        <v>4665</v>
      </c>
      <c r="AA118" s="50" t="s">
        <v>109</v>
      </c>
      <c r="AB118" s="50" t="s">
        <v>102</v>
      </c>
      <c r="AC118" s="50" t="s">
        <v>109</v>
      </c>
      <c r="AD118" s="50" t="s">
        <v>102</v>
      </c>
      <c r="AE118" s="50" t="s">
        <v>109</v>
      </c>
      <c r="AF118" s="50" t="s">
        <v>102</v>
      </c>
      <c r="AG118" s="50" t="s">
        <v>109</v>
      </c>
      <c r="AH118" s="50" t="s">
        <v>102</v>
      </c>
      <c r="AI118" s="50" t="s">
        <v>13913</v>
      </c>
      <c r="AJ118" s="50" t="s">
        <v>12211</v>
      </c>
      <c r="AK118" s="50" t="s">
        <v>12211</v>
      </c>
      <c r="AL118" s="50" t="s">
        <v>13914</v>
      </c>
      <c r="AM118" s="50" t="s">
        <v>13915</v>
      </c>
      <c r="AN118" s="50" t="s">
        <v>102</v>
      </c>
      <c r="AO118" s="50" t="s">
        <v>13916</v>
      </c>
      <c r="AP118" s="50" t="s">
        <v>13916</v>
      </c>
      <c r="AU118" s="50" t="s">
        <v>318</v>
      </c>
      <c r="AV118" s="50" t="s">
        <v>250</v>
      </c>
      <c r="AW118" s="50" t="s">
        <v>102</v>
      </c>
      <c r="AX118" s="50" t="s">
        <v>119</v>
      </c>
      <c r="BB118" s="50" t="s">
        <v>120</v>
      </c>
      <c r="BC118" s="50" t="s">
        <v>3284</v>
      </c>
      <c r="BD118" s="50" t="s">
        <v>449</v>
      </c>
      <c r="BE118" s="50" t="s">
        <v>122</v>
      </c>
      <c r="BF118" s="50" t="s">
        <v>253</v>
      </c>
      <c r="BG118" s="50" t="s">
        <v>124</v>
      </c>
      <c r="BH118" s="50" t="s">
        <v>12023</v>
      </c>
      <c r="BI118" s="50" t="s">
        <v>11889</v>
      </c>
      <c r="BJ118" s="50" t="s">
        <v>127</v>
      </c>
      <c r="BK118" s="50" t="s">
        <v>13917</v>
      </c>
      <c r="BL118" s="50" t="s">
        <v>3286</v>
      </c>
      <c r="BM118" s="50" t="s">
        <v>13918</v>
      </c>
      <c r="BN118" s="50" t="s">
        <v>945</v>
      </c>
      <c r="BO118" s="50" t="s">
        <v>1142</v>
      </c>
      <c r="BP118" s="50" t="s">
        <v>350</v>
      </c>
      <c r="BQ118" s="50" t="s">
        <v>1143</v>
      </c>
      <c r="BR118" s="50" t="s">
        <v>1144</v>
      </c>
      <c r="BS118" s="50" t="s">
        <v>566</v>
      </c>
      <c r="BU118" s="50" t="s">
        <v>13919</v>
      </c>
      <c r="BV118" s="50" t="s">
        <v>13920</v>
      </c>
      <c r="BW118" s="50" t="s">
        <v>569</v>
      </c>
      <c r="BX118" s="50" t="s">
        <v>13921</v>
      </c>
      <c r="BY118" s="50" t="s">
        <v>13922</v>
      </c>
      <c r="BZ118" s="50" t="s">
        <v>3292</v>
      </c>
      <c r="CA118" s="50" t="s">
        <v>13920</v>
      </c>
      <c r="CB118" s="50" t="s">
        <v>13921</v>
      </c>
      <c r="CC118" s="50" t="s">
        <v>13922</v>
      </c>
      <c r="CD118" s="50" t="s">
        <v>13920</v>
      </c>
      <c r="CE118" s="50" t="s">
        <v>13921</v>
      </c>
      <c r="CF118" s="50" t="s">
        <v>13922</v>
      </c>
      <c r="CG118" s="50" t="s">
        <v>102</v>
      </c>
      <c r="CH118" s="50" t="s">
        <v>4128</v>
      </c>
      <c r="CJ118" s="50" t="s">
        <v>3298</v>
      </c>
      <c r="CL118" s="50" t="s">
        <v>3284</v>
      </c>
      <c r="CM118" s="50" t="s">
        <v>449</v>
      </c>
      <c r="CN118" s="50" t="s">
        <v>3298</v>
      </c>
      <c r="CO118" s="50" t="s">
        <v>3299</v>
      </c>
      <c r="CP118" s="50" t="s">
        <v>3297</v>
      </c>
      <c r="CQ118" s="50" t="s">
        <v>3297</v>
      </c>
    </row>
    <row r="119" spans="1:96">
      <c r="A119" s="50" t="s">
        <v>337</v>
      </c>
      <c r="B119" s="50">
        <v>3187344</v>
      </c>
      <c r="C119" s="50" t="s">
        <v>12423</v>
      </c>
      <c r="D119" s="50" t="s">
        <v>15150</v>
      </c>
      <c r="E119" s="50" t="e">
        <f>VLOOKUP(B119,aa!B:F,5,0)</f>
        <v>#N/A</v>
      </c>
      <c r="F119" s="50" t="e">
        <f>VLOOKUP(B119,aa!B:J,9,0)</f>
        <v>#N/A</v>
      </c>
      <c r="G119" s="50" t="e">
        <f>VLOOKUP(B119,aa!B:L,11,0)</f>
        <v>#N/A</v>
      </c>
      <c r="H119" s="50" t="e">
        <f>VLOOKUP(B119,aa!B:O,14,0)</f>
        <v>#N/A</v>
      </c>
      <c r="I119" s="50" t="e">
        <f>VLOOKUP(B119,aa!B:R,17,0)</f>
        <v>#N/A</v>
      </c>
      <c r="K119" s="50" t="s">
        <v>848</v>
      </c>
      <c r="L119" s="50">
        <v>181916</v>
      </c>
      <c r="M119" s="50">
        <v>214661</v>
      </c>
      <c r="N119" s="50">
        <v>0</v>
      </c>
      <c r="O119" s="50">
        <v>0</v>
      </c>
      <c r="Q119" s="50">
        <v>0</v>
      </c>
      <c r="R119" s="50">
        <v>0</v>
      </c>
      <c r="T119" s="50">
        <v>181916</v>
      </c>
      <c r="U119" s="50">
        <v>159</v>
      </c>
      <c r="V119" s="50" t="s">
        <v>15151</v>
      </c>
      <c r="W119" s="50" t="s">
        <v>102</v>
      </c>
      <c r="X119" s="50" t="s">
        <v>103</v>
      </c>
      <c r="Y119" s="50" t="s">
        <v>104</v>
      </c>
      <c r="AA119" s="50" t="s">
        <v>6918</v>
      </c>
      <c r="AB119" s="50" t="s">
        <v>15152</v>
      </c>
      <c r="AC119" s="50" t="s">
        <v>11950</v>
      </c>
      <c r="AD119" s="50" t="s">
        <v>15153</v>
      </c>
      <c r="AE119" s="50" t="s">
        <v>109</v>
      </c>
      <c r="AF119" s="50" t="s">
        <v>102</v>
      </c>
      <c r="AG119" s="50" t="s">
        <v>109</v>
      </c>
      <c r="AH119" s="50" t="s">
        <v>102</v>
      </c>
      <c r="AI119" s="50" t="s">
        <v>102</v>
      </c>
      <c r="AJ119" s="50" t="s">
        <v>11959</v>
      </c>
      <c r="AK119" s="50" t="s">
        <v>11959</v>
      </c>
      <c r="AL119" s="50" t="s">
        <v>15154</v>
      </c>
      <c r="AM119" s="50" t="s">
        <v>1594</v>
      </c>
      <c r="AN119" s="50" t="s">
        <v>1647</v>
      </c>
      <c r="AO119" s="50" t="s">
        <v>15155</v>
      </c>
      <c r="AP119" s="50" t="s">
        <v>15155</v>
      </c>
      <c r="AU119" s="50" t="s">
        <v>102</v>
      </c>
      <c r="AW119" s="50" t="s">
        <v>102</v>
      </c>
      <c r="AX119" s="50" t="s">
        <v>119</v>
      </c>
      <c r="BA119" s="50" t="s">
        <v>250</v>
      </c>
      <c r="BB119" s="50" t="s">
        <v>120</v>
      </c>
      <c r="BC119" s="50" t="s">
        <v>3214</v>
      </c>
      <c r="BD119" s="50" t="s">
        <v>410</v>
      </c>
      <c r="BE119" s="50" t="s">
        <v>212</v>
      </c>
      <c r="BF119" s="50" t="s">
        <v>410</v>
      </c>
      <c r="BG119" s="50" t="s">
        <v>124</v>
      </c>
      <c r="BH119" s="50" t="s">
        <v>12023</v>
      </c>
      <c r="BI119" s="50" t="s">
        <v>11889</v>
      </c>
      <c r="BJ119" s="50" t="s">
        <v>127</v>
      </c>
      <c r="BK119" s="50" t="s">
        <v>15156</v>
      </c>
      <c r="BL119" s="50" t="s">
        <v>15157</v>
      </c>
      <c r="BM119" s="50" t="s">
        <v>15158</v>
      </c>
      <c r="BN119" s="50" t="s">
        <v>945</v>
      </c>
      <c r="BO119" s="50" t="s">
        <v>4053</v>
      </c>
      <c r="BP119" s="50" t="s">
        <v>505</v>
      </c>
      <c r="BQ119" s="50" t="s">
        <v>4054</v>
      </c>
      <c r="BR119" s="50" t="s">
        <v>4055</v>
      </c>
      <c r="BS119" s="50" t="s">
        <v>4056</v>
      </c>
      <c r="BT119" s="50" t="s">
        <v>15159</v>
      </c>
      <c r="BU119" s="50" t="s">
        <v>15160</v>
      </c>
      <c r="BV119" s="50" t="s">
        <v>15161</v>
      </c>
      <c r="BW119" s="50" t="s">
        <v>354</v>
      </c>
      <c r="BX119" s="50" t="s">
        <v>15162</v>
      </c>
      <c r="BY119" s="50" t="s">
        <v>15163</v>
      </c>
      <c r="BZ119" s="50" t="s">
        <v>15164</v>
      </c>
      <c r="CA119" s="50" t="s">
        <v>15165</v>
      </c>
      <c r="CB119" s="50" t="s">
        <v>15166</v>
      </c>
      <c r="CC119" s="50" t="s">
        <v>15167</v>
      </c>
      <c r="CD119" s="50" t="s">
        <v>15168</v>
      </c>
      <c r="CE119" s="50" t="s">
        <v>15169</v>
      </c>
      <c r="CF119" s="50" t="s">
        <v>15170</v>
      </c>
      <c r="CG119" s="50" t="s">
        <v>2270</v>
      </c>
      <c r="CH119" s="50" t="s">
        <v>15171</v>
      </c>
      <c r="CJ119" s="50" t="s">
        <v>15172</v>
      </c>
      <c r="CK119" s="50" t="s">
        <v>15173</v>
      </c>
      <c r="CL119" s="50" t="s">
        <v>3214</v>
      </c>
      <c r="CM119" s="50" t="s">
        <v>410</v>
      </c>
      <c r="CN119" s="50" t="s">
        <v>15172</v>
      </c>
      <c r="CP119" s="50" t="s">
        <v>15174</v>
      </c>
      <c r="CQ119" s="50" t="s">
        <v>15174</v>
      </c>
      <c r="CR119" s="50" t="s">
        <v>26042</v>
      </c>
    </row>
    <row r="120" spans="1:96">
      <c r="A120" s="50" t="s">
        <v>337</v>
      </c>
      <c r="B120" s="50">
        <v>3442227</v>
      </c>
      <c r="C120" s="50" t="s">
        <v>1111</v>
      </c>
      <c r="D120" s="50" t="s">
        <v>16005</v>
      </c>
      <c r="E120" s="50" t="str">
        <f>VLOOKUP(B120,aa!B:F,5,0)</f>
        <v>Ei Mindspark</v>
      </c>
      <c r="F120" s="50">
        <f>VLOOKUP(B120,aa!B:J,9,0)</f>
        <v>248595</v>
      </c>
      <c r="G120" s="50">
        <f>VLOOKUP(B120,aa!B:L,11,0)</f>
        <v>0</v>
      </c>
      <c r="H120" s="50">
        <f>VLOOKUP(B120,aa!B:O,14,0)</f>
        <v>0</v>
      </c>
      <c r="I120" s="50">
        <f>VLOOKUP(B120,aa!B:R,17,0)</f>
        <v>248595</v>
      </c>
      <c r="K120" s="50" t="s">
        <v>848</v>
      </c>
      <c r="L120" s="50">
        <v>287038</v>
      </c>
      <c r="M120" s="50">
        <v>338705</v>
      </c>
      <c r="N120" s="50">
        <v>0</v>
      </c>
      <c r="O120" s="50">
        <v>0</v>
      </c>
      <c r="Q120" s="50">
        <v>0</v>
      </c>
      <c r="R120" s="50">
        <v>0</v>
      </c>
      <c r="T120" s="50">
        <v>287038</v>
      </c>
      <c r="U120" s="50">
        <v>224</v>
      </c>
      <c r="V120" s="50" t="s">
        <v>10554</v>
      </c>
      <c r="W120" s="50" t="s">
        <v>102</v>
      </c>
      <c r="X120" s="50" t="s">
        <v>103</v>
      </c>
      <c r="Y120" s="50" t="s">
        <v>155</v>
      </c>
      <c r="AA120" s="50" t="s">
        <v>12023</v>
      </c>
      <c r="AB120" s="50" t="s">
        <v>16006</v>
      </c>
      <c r="AC120" s="50" t="s">
        <v>4563</v>
      </c>
      <c r="AD120" s="50" t="s">
        <v>16006</v>
      </c>
      <c r="AE120" s="50" t="s">
        <v>11888</v>
      </c>
      <c r="AF120" s="50" t="s">
        <v>16006</v>
      </c>
      <c r="AG120" s="50" t="s">
        <v>16007</v>
      </c>
      <c r="AH120" s="50" t="s">
        <v>16006</v>
      </c>
      <c r="AI120" s="50" t="s">
        <v>102</v>
      </c>
      <c r="AJ120" s="50" t="s">
        <v>1202</v>
      </c>
      <c r="AK120" s="50" t="s">
        <v>11905</v>
      </c>
      <c r="AL120" s="50" t="s">
        <v>16008</v>
      </c>
      <c r="AM120" s="50" t="s">
        <v>16009</v>
      </c>
      <c r="AN120" s="50" t="s">
        <v>16010</v>
      </c>
      <c r="AO120" s="50" t="s">
        <v>7221</v>
      </c>
      <c r="AP120" s="50" t="s">
        <v>7221</v>
      </c>
      <c r="AU120" s="50" t="s">
        <v>102</v>
      </c>
      <c r="AW120" s="50" t="s">
        <v>102</v>
      </c>
      <c r="AX120" s="50" t="s">
        <v>119</v>
      </c>
      <c r="BA120" s="50" t="s">
        <v>250</v>
      </c>
      <c r="BB120" s="50" t="s">
        <v>120</v>
      </c>
      <c r="BC120" s="50" t="s">
        <v>16011</v>
      </c>
      <c r="BD120" s="50" t="s">
        <v>4404</v>
      </c>
      <c r="BE120" s="50" t="s">
        <v>174</v>
      </c>
      <c r="BF120" s="50" t="s">
        <v>4405</v>
      </c>
      <c r="BG120" s="50" t="s">
        <v>124</v>
      </c>
      <c r="BH120" s="50" t="s">
        <v>12023</v>
      </c>
      <c r="BI120" s="50" t="s">
        <v>11889</v>
      </c>
      <c r="BJ120" s="50" t="s">
        <v>127</v>
      </c>
      <c r="BK120" s="50" t="s">
        <v>16012</v>
      </c>
      <c r="BL120" s="50" t="s">
        <v>16013</v>
      </c>
      <c r="BM120" s="50" t="s">
        <v>16014</v>
      </c>
      <c r="BN120" s="50" t="s">
        <v>945</v>
      </c>
      <c r="BO120" s="50" t="s">
        <v>16015</v>
      </c>
      <c r="BP120" s="50" t="s">
        <v>180</v>
      </c>
      <c r="BQ120" s="50" t="s">
        <v>16016</v>
      </c>
      <c r="BR120" s="50" t="s">
        <v>16017</v>
      </c>
      <c r="BS120" s="50" t="s">
        <v>4413</v>
      </c>
      <c r="BU120" s="50" t="s">
        <v>16018</v>
      </c>
      <c r="BV120" s="50" t="s">
        <v>16019</v>
      </c>
      <c r="BW120" s="50" t="s">
        <v>138</v>
      </c>
      <c r="BX120" s="50" t="s">
        <v>16020</v>
      </c>
      <c r="BY120" s="50" t="s">
        <v>16021</v>
      </c>
      <c r="BZ120" s="50" t="s">
        <v>16020</v>
      </c>
      <c r="CA120" s="50" t="s">
        <v>16019</v>
      </c>
      <c r="CB120" s="50" t="s">
        <v>16020</v>
      </c>
      <c r="CC120" s="50" t="s">
        <v>16021</v>
      </c>
      <c r="CD120" s="50" t="s">
        <v>16019</v>
      </c>
      <c r="CE120" s="50" t="s">
        <v>16020</v>
      </c>
      <c r="CF120" s="50" t="s">
        <v>16021</v>
      </c>
      <c r="CG120" s="50" t="s">
        <v>16022</v>
      </c>
      <c r="CH120" s="50" t="s">
        <v>16023</v>
      </c>
      <c r="CJ120" s="50" t="s">
        <v>16024</v>
      </c>
      <c r="CK120" s="50" t="s">
        <v>16025</v>
      </c>
      <c r="CL120" s="50" t="s">
        <v>16011</v>
      </c>
      <c r="CM120" s="50" t="s">
        <v>4404</v>
      </c>
      <c r="CN120" s="50" t="s">
        <v>16024</v>
      </c>
      <c r="CP120" s="50" t="s">
        <v>16026</v>
      </c>
      <c r="CQ120" s="50" t="s">
        <v>16026</v>
      </c>
    </row>
    <row r="121" spans="1:96">
      <c r="A121" s="50" t="s">
        <v>149</v>
      </c>
      <c r="B121" s="50">
        <v>5002616</v>
      </c>
      <c r="C121" s="50" t="s">
        <v>2151</v>
      </c>
      <c r="D121" s="50" t="s">
        <v>9104</v>
      </c>
      <c r="E121" s="50" t="e">
        <f>VLOOKUP(B121,aa!B:F,5,0)</f>
        <v>#N/A</v>
      </c>
      <c r="F121" s="50" t="e">
        <f>VLOOKUP(B121,aa!B:J,9,0)</f>
        <v>#N/A</v>
      </c>
      <c r="G121" s="50" t="e">
        <f>VLOOKUP(B121,aa!B:L,11,0)</f>
        <v>#N/A</v>
      </c>
      <c r="H121" s="50" t="e">
        <f>VLOOKUP(B121,aa!B:O,14,0)</f>
        <v>#N/A</v>
      </c>
      <c r="I121" s="50" t="e">
        <f>VLOOKUP(B121,aa!B:R,17,0)</f>
        <v>#N/A</v>
      </c>
      <c r="K121" s="50" t="s">
        <v>152</v>
      </c>
      <c r="L121" s="50">
        <v>620325</v>
      </c>
      <c r="M121" s="50">
        <v>620325</v>
      </c>
      <c r="N121" s="50">
        <v>0</v>
      </c>
      <c r="O121" s="50">
        <v>0</v>
      </c>
      <c r="Q121" s="50">
        <v>620325</v>
      </c>
      <c r="R121" s="50">
        <v>470</v>
      </c>
      <c r="S121" s="50" t="s">
        <v>16755</v>
      </c>
      <c r="T121" s="50">
        <v>0</v>
      </c>
      <c r="U121" s="50">
        <v>0</v>
      </c>
      <c r="W121" s="50" t="s">
        <v>102</v>
      </c>
      <c r="X121" s="50" t="s">
        <v>103</v>
      </c>
      <c r="Y121" s="50" t="s">
        <v>155</v>
      </c>
      <c r="AA121" s="50" t="s">
        <v>12023</v>
      </c>
      <c r="AB121" s="50" t="s">
        <v>18473</v>
      </c>
      <c r="AC121" s="50" t="s">
        <v>1408</v>
      </c>
      <c r="AD121" s="50" t="s">
        <v>18473</v>
      </c>
      <c r="AE121" s="50" t="s">
        <v>12888</v>
      </c>
      <c r="AF121" s="50" t="s">
        <v>18473</v>
      </c>
      <c r="AG121" s="50" t="s">
        <v>1427</v>
      </c>
      <c r="AH121" s="50" t="s">
        <v>18473</v>
      </c>
      <c r="AI121" s="50" t="s">
        <v>1594</v>
      </c>
      <c r="AJ121" s="50" t="s">
        <v>1941</v>
      </c>
      <c r="AK121" s="50" t="s">
        <v>12859</v>
      </c>
      <c r="AL121" s="50" t="s">
        <v>18474</v>
      </c>
      <c r="AM121" s="50" t="s">
        <v>18475</v>
      </c>
      <c r="AN121" s="50" t="s">
        <v>18476</v>
      </c>
      <c r="AO121" s="50" t="s">
        <v>18477</v>
      </c>
      <c r="AP121" s="50" t="s">
        <v>18477</v>
      </c>
      <c r="AU121" s="50" t="s">
        <v>102</v>
      </c>
      <c r="AW121" s="50" t="s">
        <v>104</v>
      </c>
      <c r="AX121" s="50" t="s">
        <v>119</v>
      </c>
      <c r="AZ121" s="50" t="s">
        <v>250</v>
      </c>
      <c r="BB121" s="50" t="s">
        <v>120</v>
      </c>
      <c r="BC121" s="50" t="s">
        <v>920</v>
      </c>
      <c r="BD121" s="50" t="s">
        <v>211</v>
      </c>
      <c r="BE121" s="50" t="s">
        <v>212</v>
      </c>
      <c r="BF121" s="50" t="s">
        <v>213</v>
      </c>
      <c r="BG121" s="50" t="s">
        <v>124</v>
      </c>
      <c r="BH121" s="50" t="s">
        <v>12492</v>
      </c>
      <c r="BI121" s="50" t="s">
        <v>11960</v>
      </c>
      <c r="BJ121" s="50" t="s">
        <v>127</v>
      </c>
      <c r="BK121" s="50" t="s">
        <v>18478</v>
      </c>
      <c r="BL121" s="50" t="s">
        <v>9113</v>
      </c>
      <c r="BM121" s="50" t="s">
        <v>18479</v>
      </c>
      <c r="BN121" s="50" t="s">
        <v>945</v>
      </c>
      <c r="BO121" s="50" t="s">
        <v>415</v>
      </c>
      <c r="BP121" s="50" t="s">
        <v>132</v>
      </c>
      <c r="BQ121" s="50" t="s">
        <v>416</v>
      </c>
      <c r="BR121" s="50" t="s">
        <v>417</v>
      </c>
      <c r="BS121" s="50" t="s">
        <v>222</v>
      </c>
      <c r="BU121" s="50" t="s">
        <v>18480</v>
      </c>
      <c r="BV121" s="50" t="s">
        <v>2184</v>
      </c>
      <c r="BW121" s="50" t="s">
        <v>138</v>
      </c>
      <c r="BX121" s="50" t="s">
        <v>2185</v>
      </c>
      <c r="BY121" s="50" t="s">
        <v>2186</v>
      </c>
      <c r="BZ121" s="50" t="s">
        <v>2187</v>
      </c>
      <c r="CA121" s="50" t="s">
        <v>2184</v>
      </c>
      <c r="CB121" s="50" t="s">
        <v>2185</v>
      </c>
      <c r="CC121" s="50" t="s">
        <v>13154</v>
      </c>
      <c r="CD121" s="50" t="s">
        <v>13155</v>
      </c>
      <c r="CE121" s="50" t="s">
        <v>13156</v>
      </c>
      <c r="CF121" s="50" t="s">
        <v>13157</v>
      </c>
      <c r="CG121" s="50" t="s">
        <v>102</v>
      </c>
      <c r="CH121" s="50" t="s">
        <v>2188</v>
      </c>
      <c r="CJ121" s="50" t="s">
        <v>2189</v>
      </c>
      <c r="CL121" s="50" t="s">
        <v>920</v>
      </c>
      <c r="CM121" s="50" t="s">
        <v>2474</v>
      </c>
      <c r="CN121" s="50" t="s">
        <v>2189</v>
      </c>
      <c r="CO121" s="50" t="s">
        <v>2190</v>
      </c>
      <c r="CP121" s="50" t="s">
        <v>2188</v>
      </c>
      <c r="CQ121" s="50" t="s">
        <v>2188</v>
      </c>
      <c r="CR121" s="50" t="s">
        <v>26040</v>
      </c>
    </row>
    <row r="122" spans="1:96">
      <c r="A122" s="50" t="s">
        <v>149</v>
      </c>
      <c r="B122" s="50">
        <v>5016613</v>
      </c>
      <c r="C122" s="50" t="s">
        <v>11995</v>
      </c>
      <c r="D122" s="50" t="s">
        <v>9761</v>
      </c>
      <c r="E122" s="50" t="str">
        <f>VLOOKUP(B122,aa!B:F,5,0)</f>
        <v>Ei Mindspark</v>
      </c>
      <c r="F122" s="50">
        <f>VLOOKUP(B122,aa!B:J,9,0)</f>
        <v>1159868</v>
      </c>
      <c r="G122" s="50">
        <f>VLOOKUP(B122,aa!B:L,11,0)</f>
        <v>0</v>
      </c>
      <c r="H122" s="50">
        <f>VLOOKUP(B122,aa!B:O,14,0)</f>
        <v>0</v>
      </c>
      <c r="I122" s="50">
        <f>VLOOKUP(B122,aa!B:R,17,0)</f>
        <v>1159868</v>
      </c>
      <c r="K122" s="50" t="s">
        <v>848</v>
      </c>
      <c r="L122" s="50">
        <v>1110453</v>
      </c>
      <c r="M122" s="50">
        <v>1310335</v>
      </c>
      <c r="N122" s="50">
        <v>0</v>
      </c>
      <c r="O122" s="50">
        <v>0</v>
      </c>
      <c r="Q122" s="50">
        <v>0</v>
      </c>
      <c r="R122" s="50">
        <v>0</v>
      </c>
      <c r="T122" s="50">
        <v>1110453</v>
      </c>
      <c r="U122" s="50">
        <v>819</v>
      </c>
      <c r="V122" s="50" t="s">
        <v>4518</v>
      </c>
      <c r="W122" s="50" t="s">
        <v>102</v>
      </c>
      <c r="X122" s="50" t="s">
        <v>103</v>
      </c>
      <c r="Y122" s="50" t="s">
        <v>398</v>
      </c>
      <c r="AA122" s="50" t="s">
        <v>3993</v>
      </c>
      <c r="AB122" s="50" t="s">
        <v>18919</v>
      </c>
      <c r="AC122" s="50" t="s">
        <v>12040</v>
      </c>
      <c r="AD122" s="50" t="s">
        <v>18920</v>
      </c>
      <c r="AE122" s="50" t="s">
        <v>12099</v>
      </c>
      <c r="AF122" s="50" t="s">
        <v>18920</v>
      </c>
      <c r="AG122" s="50" t="s">
        <v>109</v>
      </c>
      <c r="AH122" s="50" t="s">
        <v>102</v>
      </c>
      <c r="AI122" s="50" t="s">
        <v>18921</v>
      </c>
      <c r="AJ122" s="50" t="s">
        <v>857</v>
      </c>
      <c r="AK122" s="50" t="s">
        <v>18922</v>
      </c>
      <c r="AL122" s="50" t="s">
        <v>18923</v>
      </c>
      <c r="AM122" s="50" t="s">
        <v>18924</v>
      </c>
      <c r="AN122" s="50" t="s">
        <v>18925</v>
      </c>
      <c r="AO122" s="50" t="s">
        <v>18926</v>
      </c>
      <c r="AP122" s="50" t="s">
        <v>18926</v>
      </c>
      <c r="AU122" s="50" t="s">
        <v>102</v>
      </c>
      <c r="AW122" s="50" t="s">
        <v>102</v>
      </c>
      <c r="AX122" s="50" t="s">
        <v>119</v>
      </c>
      <c r="BA122" s="50" t="s">
        <v>250</v>
      </c>
      <c r="BB122" s="50" t="s">
        <v>8521</v>
      </c>
      <c r="BC122" s="50" t="s">
        <v>284</v>
      </c>
      <c r="BD122" s="50" t="s">
        <v>285</v>
      </c>
      <c r="BE122" s="50" t="s">
        <v>212</v>
      </c>
      <c r="BF122" s="50" t="s">
        <v>286</v>
      </c>
      <c r="BG122" s="50" t="s">
        <v>124</v>
      </c>
      <c r="BH122" s="50" t="s">
        <v>7020</v>
      </c>
      <c r="BI122" s="50" t="s">
        <v>18927</v>
      </c>
      <c r="BJ122" s="50" t="s">
        <v>127</v>
      </c>
      <c r="BK122" s="50" t="s">
        <v>18928</v>
      </c>
      <c r="BL122" s="50" t="s">
        <v>9772</v>
      </c>
      <c r="BM122" s="50" t="s">
        <v>18929</v>
      </c>
      <c r="BN122" s="50" t="s">
        <v>945</v>
      </c>
      <c r="BO122" s="50" t="s">
        <v>956</v>
      </c>
      <c r="BP122" s="50" t="s">
        <v>132</v>
      </c>
      <c r="BQ122" s="50" t="s">
        <v>958</v>
      </c>
      <c r="BR122" s="50" t="s">
        <v>959</v>
      </c>
      <c r="BS122" s="50" t="s">
        <v>4765</v>
      </c>
      <c r="BU122" s="50" t="s">
        <v>18930</v>
      </c>
      <c r="BV122" s="50" t="s">
        <v>18931</v>
      </c>
      <c r="BW122" s="50" t="s">
        <v>296</v>
      </c>
      <c r="BX122" s="50" t="s">
        <v>18932</v>
      </c>
      <c r="BY122" s="50" t="s">
        <v>6877</v>
      </c>
      <c r="CA122" s="50" t="s">
        <v>18931</v>
      </c>
      <c r="CB122" s="50" t="s">
        <v>6876</v>
      </c>
      <c r="CC122" s="50" t="s">
        <v>6877</v>
      </c>
      <c r="CD122" s="50" t="s">
        <v>18933</v>
      </c>
      <c r="CE122" s="50" t="s">
        <v>9807</v>
      </c>
      <c r="CF122" s="50" t="s">
        <v>9808</v>
      </c>
      <c r="CG122" s="50" t="s">
        <v>102</v>
      </c>
      <c r="CH122" s="50" t="s">
        <v>18934</v>
      </c>
      <c r="CJ122" s="50" t="s">
        <v>6729</v>
      </c>
      <c r="CL122" s="50" t="s">
        <v>284</v>
      </c>
      <c r="CM122" s="50" t="s">
        <v>285</v>
      </c>
      <c r="CN122" s="50" t="s">
        <v>6729</v>
      </c>
      <c r="CO122" s="50" t="s">
        <v>6886</v>
      </c>
      <c r="CP122" s="50" t="s">
        <v>9776</v>
      </c>
      <c r="CQ122" s="50" t="s">
        <v>9775</v>
      </c>
    </row>
    <row r="123" spans="1:96">
      <c r="A123" s="50" t="s">
        <v>149</v>
      </c>
      <c r="B123" s="50">
        <v>5016893</v>
      </c>
      <c r="C123" s="50" t="s">
        <v>11995</v>
      </c>
      <c r="D123" s="50" t="s">
        <v>9787</v>
      </c>
      <c r="E123" s="50" t="str">
        <f>VLOOKUP(B123,aa!B:F,5,0)</f>
        <v>Ei Mindspark</v>
      </c>
      <c r="F123" s="50">
        <f>VLOOKUP(B123,aa!B:J,9,0)</f>
        <v>292896</v>
      </c>
      <c r="G123" s="50">
        <f>VLOOKUP(B123,aa!B:L,11,0)</f>
        <v>0</v>
      </c>
      <c r="H123" s="50">
        <f>VLOOKUP(B123,aa!B:O,14,0)</f>
        <v>0</v>
      </c>
      <c r="I123" s="50">
        <f>VLOOKUP(B123,aa!B:R,17,0)</f>
        <v>292896</v>
      </c>
      <c r="K123" s="50" t="s">
        <v>193</v>
      </c>
      <c r="L123" s="50">
        <v>674407</v>
      </c>
      <c r="M123" s="50">
        <v>720778</v>
      </c>
      <c r="N123" s="50">
        <v>416793</v>
      </c>
      <c r="O123" s="50">
        <v>579</v>
      </c>
      <c r="P123" s="50" t="s">
        <v>995</v>
      </c>
      <c r="Q123" s="50">
        <v>0</v>
      </c>
      <c r="R123" s="50">
        <v>0</v>
      </c>
      <c r="T123" s="50">
        <v>257614</v>
      </c>
      <c r="U123" s="50">
        <v>190</v>
      </c>
      <c r="V123" s="50" t="s">
        <v>4518</v>
      </c>
      <c r="W123" s="50" t="s">
        <v>102</v>
      </c>
      <c r="X123" s="50" t="s">
        <v>103</v>
      </c>
      <c r="Y123" s="50" t="s">
        <v>5317</v>
      </c>
      <c r="AA123" s="50" t="s">
        <v>3993</v>
      </c>
      <c r="AB123" s="50" t="s">
        <v>18940</v>
      </c>
      <c r="AC123" s="50" t="s">
        <v>16772</v>
      </c>
      <c r="AD123" s="50" t="s">
        <v>18941</v>
      </c>
      <c r="AE123" s="50" t="s">
        <v>14349</v>
      </c>
      <c r="AF123" s="50" t="s">
        <v>18942</v>
      </c>
      <c r="AG123" s="50" t="s">
        <v>109</v>
      </c>
      <c r="AH123" s="50" t="s">
        <v>102</v>
      </c>
      <c r="AI123" s="50" t="s">
        <v>18943</v>
      </c>
      <c r="AJ123" s="50" t="s">
        <v>857</v>
      </c>
      <c r="AK123" s="50" t="s">
        <v>18944</v>
      </c>
      <c r="AL123" s="50" t="s">
        <v>18945</v>
      </c>
      <c r="AM123" s="50" t="s">
        <v>18946</v>
      </c>
      <c r="AN123" s="50" t="s">
        <v>18947</v>
      </c>
      <c r="AO123" s="50" t="s">
        <v>18948</v>
      </c>
      <c r="AP123" s="50" t="s">
        <v>18948</v>
      </c>
      <c r="AU123" s="50" t="s">
        <v>207</v>
      </c>
      <c r="AV123" s="50" t="s">
        <v>118</v>
      </c>
      <c r="AW123" s="50" t="s">
        <v>102</v>
      </c>
      <c r="AX123" s="50" t="s">
        <v>119</v>
      </c>
      <c r="BA123" s="50" t="s">
        <v>250</v>
      </c>
      <c r="BB123" s="50" t="s">
        <v>120</v>
      </c>
      <c r="BC123" s="50" t="s">
        <v>284</v>
      </c>
      <c r="BD123" s="50" t="s">
        <v>285</v>
      </c>
      <c r="BE123" s="50" t="s">
        <v>212</v>
      </c>
      <c r="BF123" s="50" t="s">
        <v>286</v>
      </c>
      <c r="BG123" s="50" t="s">
        <v>124</v>
      </c>
      <c r="BH123" s="50" t="s">
        <v>18949</v>
      </c>
      <c r="BI123" s="50" t="s">
        <v>18950</v>
      </c>
      <c r="BJ123" s="50" t="s">
        <v>127</v>
      </c>
      <c r="BK123" s="50" t="s">
        <v>18951</v>
      </c>
      <c r="BL123" s="50" t="s">
        <v>9801</v>
      </c>
      <c r="BM123" s="50" t="s">
        <v>18952</v>
      </c>
      <c r="BN123" s="50" t="s">
        <v>945</v>
      </c>
      <c r="BO123" s="50" t="s">
        <v>12008</v>
      </c>
      <c r="BP123" s="50" t="s">
        <v>132</v>
      </c>
      <c r="BQ123" s="50" t="s">
        <v>12009</v>
      </c>
      <c r="BR123" s="50" t="s">
        <v>12010</v>
      </c>
      <c r="BS123" s="50" t="s">
        <v>293</v>
      </c>
      <c r="BU123" s="50" t="s">
        <v>18953</v>
      </c>
      <c r="BV123" s="50" t="s">
        <v>18931</v>
      </c>
      <c r="BW123" s="50" t="s">
        <v>296</v>
      </c>
      <c r="BX123" s="50" t="s">
        <v>18932</v>
      </c>
      <c r="BY123" s="50" t="s">
        <v>6877</v>
      </c>
      <c r="BZ123" s="50" t="s">
        <v>6876</v>
      </c>
      <c r="CA123" s="50" t="s">
        <v>18954</v>
      </c>
      <c r="CB123" s="50" t="s">
        <v>18955</v>
      </c>
      <c r="CC123" s="50" t="s">
        <v>18956</v>
      </c>
      <c r="CD123" s="50" t="s">
        <v>18957</v>
      </c>
      <c r="CE123" s="50" t="s">
        <v>9807</v>
      </c>
      <c r="CF123" s="50" t="s">
        <v>9808</v>
      </c>
      <c r="CG123" s="50" t="s">
        <v>102</v>
      </c>
      <c r="CH123" s="50" t="s">
        <v>9809</v>
      </c>
      <c r="CJ123" s="50" t="s">
        <v>6711</v>
      </c>
      <c r="CL123" s="50" t="s">
        <v>284</v>
      </c>
      <c r="CM123" s="50" t="s">
        <v>285</v>
      </c>
      <c r="CN123" s="50" t="s">
        <v>6711</v>
      </c>
      <c r="CO123" s="50" t="s">
        <v>6886</v>
      </c>
      <c r="CP123" s="50" t="s">
        <v>9810</v>
      </c>
      <c r="CQ123" s="50" t="s">
        <v>9809</v>
      </c>
    </row>
    <row r="124" spans="1:96">
      <c r="A124" s="50" t="s">
        <v>93</v>
      </c>
      <c r="B124" s="50">
        <v>5017818</v>
      </c>
      <c r="C124" s="50" t="s">
        <v>11995</v>
      </c>
      <c r="D124" s="50" t="s">
        <v>10261</v>
      </c>
      <c r="E124" s="50" t="str">
        <f>VLOOKUP(B124,aa!B:F,5,0)</f>
        <v>Ei Mindspark</v>
      </c>
      <c r="F124" s="50">
        <f>VLOOKUP(B124,aa!B:J,9,0)</f>
        <v>1640218</v>
      </c>
      <c r="G124" s="50">
        <f>VLOOKUP(B124,aa!B:L,11,0)</f>
        <v>0</v>
      </c>
      <c r="H124" s="50">
        <f>VLOOKUP(B124,aa!B:O,14,0)</f>
        <v>0</v>
      </c>
      <c r="I124" s="50">
        <f>VLOOKUP(B124,aa!B:R,17,0)</f>
        <v>1640218</v>
      </c>
      <c r="K124" s="50" t="s">
        <v>848</v>
      </c>
      <c r="L124" s="50">
        <v>755216</v>
      </c>
      <c r="M124" s="50">
        <v>891155</v>
      </c>
      <c r="N124" s="50">
        <v>0</v>
      </c>
      <c r="O124" s="50">
        <v>0</v>
      </c>
      <c r="Q124" s="50">
        <v>0</v>
      </c>
      <c r="R124" s="50">
        <v>0</v>
      </c>
      <c r="T124" s="50">
        <v>755216</v>
      </c>
      <c r="U124" s="50">
        <v>557</v>
      </c>
      <c r="V124" s="50" t="s">
        <v>4518</v>
      </c>
      <c r="W124" s="50" t="s">
        <v>102</v>
      </c>
      <c r="X124" s="50" t="s">
        <v>103</v>
      </c>
      <c r="Y124" s="50" t="s">
        <v>398</v>
      </c>
      <c r="AA124" s="50" t="s">
        <v>3993</v>
      </c>
      <c r="AB124" s="50" t="s">
        <v>19208</v>
      </c>
      <c r="AC124" s="50" t="s">
        <v>12040</v>
      </c>
      <c r="AD124" s="50" t="s">
        <v>19209</v>
      </c>
      <c r="AE124" s="50" t="s">
        <v>12099</v>
      </c>
      <c r="AF124" s="50" t="s">
        <v>19209</v>
      </c>
      <c r="AG124" s="50" t="s">
        <v>109</v>
      </c>
      <c r="AH124" s="50" t="s">
        <v>102</v>
      </c>
      <c r="AI124" s="50" t="s">
        <v>19210</v>
      </c>
      <c r="AJ124" s="50" t="s">
        <v>857</v>
      </c>
      <c r="AK124" s="50" t="s">
        <v>19211</v>
      </c>
      <c r="AL124" s="50" t="s">
        <v>19212</v>
      </c>
      <c r="AM124" s="50" t="s">
        <v>19213</v>
      </c>
      <c r="AN124" s="50" t="s">
        <v>19214</v>
      </c>
      <c r="AO124" s="50" t="s">
        <v>18926</v>
      </c>
      <c r="AP124" s="50" t="s">
        <v>18926</v>
      </c>
      <c r="AU124" s="50" t="s">
        <v>102</v>
      </c>
      <c r="AW124" s="50" t="s">
        <v>102</v>
      </c>
      <c r="AX124" s="50" t="s">
        <v>119</v>
      </c>
      <c r="BA124" s="50" t="s">
        <v>250</v>
      </c>
      <c r="BB124" s="50" t="s">
        <v>8521</v>
      </c>
      <c r="BC124" s="50" t="s">
        <v>284</v>
      </c>
      <c r="BD124" s="50" t="s">
        <v>285</v>
      </c>
      <c r="BE124" s="50" t="s">
        <v>212</v>
      </c>
      <c r="BF124" s="50" t="s">
        <v>286</v>
      </c>
      <c r="BG124" s="50" t="s">
        <v>124</v>
      </c>
      <c r="BH124" s="50" t="s">
        <v>7020</v>
      </c>
      <c r="BI124" s="50" t="s">
        <v>18927</v>
      </c>
      <c r="BJ124" s="50" t="s">
        <v>127</v>
      </c>
      <c r="BK124" s="50" t="s">
        <v>19215</v>
      </c>
      <c r="BL124" s="50" t="s">
        <v>10271</v>
      </c>
      <c r="BM124" s="50" t="s">
        <v>19216</v>
      </c>
      <c r="BN124" s="50" t="s">
        <v>945</v>
      </c>
      <c r="BO124" s="50" t="s">
        <v>956</v>
      </c>
      <c r="BP124" s="50" t="s">
        <v>132</v>
      </c>
      <c r="BQ124" s="50" t="s">
        <v>958</v>
      </c>
      <c r="BR124" s="50" t="s">
        <v>959</v>
      </c>
      <c r="BS124" s="50" t="s">
        <v>3362</v>
      </c>
      <c r="BU124" s="50" t="s">
        <v>19217</v>
      </c>
      <c r="BV124" s="50" t="s">
        <v>18931</v>
      </c>
      <c r="BW124" s="50" t="s">
        <v>296</v>
      </c>
      <c r="BX124" s="50" t="s">
        <v>18932</v>
      </c>
      <c r="BY124" s="50" t="s">
        <v>6877</v>
      </c>
      <c r="BZ124" s="50" t="s">
        <v>6876</v>
      </c>
      <c r="CA124" s="50" t="s">
        <v>18931</v>
      </c>
      <c r="CB124" s="50" t="s">
        <v>6876</v>
      </c>
      <c r="CC124" s="50" t="s">
        <v>6877</v>
      </c>
      <c r="CD124" s="50" t="s">
        <v>18933</v>
      </c>
      <c r="CE124" s="50" t="s">
        <v>9807</v>
      </c>
      <c r="CF124" s="50" t="s">
        <v>9808</v>
      </c>
      <c r="CG124" s="50" t="s">
        <v>102</v>
      </c>
      <c r="CH124" s="50" t="s">
        <v>9809</v>
      </c>
      <c r="CJ124" s="50" t="s">
        <v>6711</v>
      </c>
      <c r="CL124" s="50" t="s">
        <v>284</v>
      </c>
      <c r="CM124" s="50" t="s">
        <v>285</v>
      </c>
      <c r="CN124" s="50" t="s">
        <v>6711</v>
      </c>
      <c r="CO124" s="50" t="s">
        <v>6886</v>
      </c>
      <c r="CP124" s="50" t="s">
        <v>9810</v>
      </c>
      <c r="CQ124" s="50" t="s">
        <v>9809</v>
      </c>
    </row>
    <row r="125" spans="1:96">
      <c r="A125" s="50" t="s">
        <v>93</v>
      </c>
      <c r="B125" s="50">
        <v>608032</v>
      </c>
      <c r="C125" s="50" t="s">
        <v>985</v>
      </c>
      <c r="D125" s="50" t="s">
        <v>21231</v>
      </c>
      <c r="E125" s="50" t="e">
        <f>VLOOKUP(B125,aa!B:F,5,0)</f>
        <v>#N/A</v>
      </c>
      <c r="F125" s="50" t="e">
        <f>VLOOKUP(B125,aa!B:J,9,0)</f>
        <v>#N/A</v>
      </c>
      <c r="G125" s="50" t="e">
        <f>VLOOKUP(B125,aa!B:L,11,0)</f>
        <v>#N/A</v>
      </c>
      <c r="H125" s="50" t="e">
        <f>VLOOKUP(B125,aa!B:O,14,0)</f>
        <v>#N/A</v>
      </c>
      <c r="I125" s="50" t="e">
        <f>VLOOKUP(B125,aa!B:R,17,0)</f>
        <v>#N/A</v>
      </c>
      <c r="K125" s="50" t="s">
        <v>97</v>
      </c>
      <c r="L125" s="50">
        <v>81000</v>
      </c>
      <c r="M125" s="50">
        <v>81000</v>
      </c>
      <c r="N125" s="50">
        <v>81000</v>
      </c>
      <c r="O125" s="50">
        <v>135</v>
      </c>
      <c r="P125" s="50" t="s">
        <v>310</v>
      </c>
      <c r="Q125" s="50">
        <v>0</v>
      </c>
      <c r="R125" s="50">
        <v>0</v>
      </c>
      <c r="T125" s="50">
        <v>0</v>
      </c>
      <c r="U125" s="50">
        <v>0</v>
      </c>
      <c r="W125" s="50" t="s">
        <v>102</v>
      </c>
      <c r="X125" s="50" t="s">
        <v>103</v>
      </c>
      <c r="Y125" s="50" t="s">
        <v>398</v>
      </c>
      <c r="AA125" s="50" t="s">
        <v>126</v>
      </c>
      <c r="AB125" s="50" t="s">
        <v>21232</v>
      </c>
      <c r="AC125" s="50" t="s">
        <v>1408</v>
      </c>
      <c r="AD125" s="50" t="s">
        <v>21233</v>
      </c>
      <c r="AE125" s="50" t="s">
        <v>3679</v>
      </c>
      <c r="AF125" s="50" t="s">
        <v>21233</v>
      </c>
      <c r="AG125" s="50" t="s">
        <v>109</v>
      </c>
      <c r="AH125" s="50" t="s">
        <v>102</v>
      </c>
      <c r="AI125" s="50" t="s">
        <v>102</v>
      </c>
      <c r="AJ125" s="50" t="s">
        <v>11300</v>
      </c>
      <c r="AK125" s="50" t="s">
        <v>8060</v>
      </c>
      <c r="AL125" s="50" t="s">
        <v>3223</v>
      </c>
      <c r="AM125" s="50" t="s">
        <v>3223</v>
      </c>
      <c r="AN125" s="50" t="s">
        <v>102</v>
      </c>
      <c r="AO125" s="50" t="s">
        <v>317</v>
      </c>
      <c r="AP125" s="50" t="s">
        <v>317</v>
      </c>
      <c r="AU125" s="50" t="s">
        <v>318</v>
      </c>
      <c r="AV125" s="50" t="s">
        <v>118</v>
      </c>
      <c r="AW125" s="50" t="s">
        <v>102</v>
      </c>
      <c r="AX125" s="50" t="s">
        <v>119</v>
      </c>
      <c r="BB125" s="50" t="s">
        <v>209</v>
      </c>
      <c r="BC125" s="50" t="s">
        <v>11303</v>
      </c>
      <c r="BD125" s="50" t="s">
        <v>9269</v>
      </c>
      <c r="BE125" s="50" t="s">
        <v>622</v>
      </c>
      <c r="BF125" s="50" t="s">
        <v>976</v>
      </c>
      <c r="BG125" s="50" t="s">
        <v>124</v>
      </c>
      <c r="BH125" s="50" t="s">
        <v>12082</v>
      </c>
      <c r="BI125" s="50" t="s">
        <v>11886</v>
      </c>
      <c r="BJ125" s="50" t="s">
        <v>127</v>
      </c>
      <c r="BK125" s="50" t="s">
        <v>21234</v>
      </c>
      <c r="BL125" s="50" t="s">
        <v>11305</v>
      </c>
      <c r="BM125" s="50" t="s">
        <v>21235</v>
      </c>
      <c r="BN125" s="50" t="s">
        <v>945</v>
      </c>
      <c r="BO125" s="50" t="s">
        <v>18506</v>
      </c>
      <c r="BP125" s="50" t="s">
        <v>350</v>
      </c>
      <c r="BQ125" s="50" t="s">
        <v>18507</v>
      </c>
      <c r="BR125" s="50" t="s">
        <v>18508</v>
      </c>
      <c r="BS125" s="50" t="s">
        <v>984</v>
      </c>
      <c r="BU125" s="50" t="s">
        <v>21236</v>
      </c>
      <c r="BV125" s="50" t="s">
        <v>11312</v>
      </c>
      <c r="BW125" s="50" t="s">
        <v>138</v>
      </c>
      <c r="BX125" s="50" t="s">
        <v>11309</v>
      </c>
      <c r="BY125" s="50" t="s">
        <v>11310</v>
      </c>
      <c r="BZ125" s="50" t="s">
        <v>11311</v>
      </c>
      <c r="CA125" s="50" t="s">
        <v>21237</v>
      </c>
      <c r="CB125" s="50" t="s">
        <v>11309</v>
      </c>
      <c r="CC125" s="50" t="s">
        <v>11310</v>
      </c>
      <c r="CD125" s="50" t="s">
        <v>21237</v>
      </c>
      <c r="CE125" s="50" t="s">
        <v>11309</v>
      </c>
      <c r="CF125" s="50" t="s">
        <v>11310</v>
      </c>
      <c r="CG125" s="50" t="s">
        <v>709</v>
      </c>
      <c r="CH125" s="50" t="s">
        <v>21238</v>
      </c>
      <c r="CJ125" s="50" t="s">
        <v>11315</v>
      </c>
      <c r="CK125" s="50" t="s">
        <v>21239</v>
      </c>
      <c r="CL125" s="50" t="s">
        <v>11303</v>
      </c>
      <c r="CM125" s="50" t="s">
        <v>9269</v>
      </c>
      <c r="CN125" s="50" t="s">
        <v>11315</v>
      </c>
      <c r="CP125" s="50" t="s">
        <v>11316</v>
      </c>
      <c r="CQ125" s="50" t="s">
        <v>11303</v>
      </c>
      <c r="CR125" s="50" t="s">
        <v>26046</v>
      </c>
    </row>
    <row r="126" spans="1:96">
      <c r="A126" s="50" t="s">
        <v>337</v>
      </c>
      <c r="B126" s="50">
        <v>5018506</v>
      </c>
      <c r="C126" s="50" t="s">
        <v>12423</v>
      </c>
      <c r="D126" s="50" t="s">
        <v>19948</v>
      </c>
      <c r="E126" s="50" t="e">
        <f>VLOOKUP(B126,aa!B:F,5,0)</f>
        <v>#N/A</v>
      </c>
      <c r="F126" s="50" t="e">
        <f>VLOOKUP(B126,aa!B:J,9,0)</f>
        <v>#N/A</v>
      </c>
      <c r="G126" s="50" t="e">
        <f>VLOOKUP(B126,aa!B:L,11,0)</f>
        <v>#N/A</v>
      </c>
      <c r="H126" s="50" t="e">
        <f>VLOOKUP(B126,aa!B:O,14,0)</f>
        <v>#N/A</v>
      </c>
      <c r="I126" s="50" t="e">
        <f>VLOOKUP(B126,aa!B:R,17,0)</f>
        <v>#N/A</v>
      </c>
      <c r="K126" s="50" t="s">
        <v>643</v>
      </c>
      <c r="L126" s="50">
        <v>312833</v>
      </c>
      <c r="M126" s="50">
        <v>337243</v>
      </c>
      <c r="N126" s="50">
        <v>0</v>
      </c>
      <c r="O126" s="50">
        <v>0</v>
      </c>
      <c r="Q126" s="50">
        <v>177222</v>
      </c>
      <c r="R126" s="50">
        <v>443</v>
      </c>
      <c r="S126" s="50" t="s">
        <v>6051</v>
      </c>
      <c r="T126" s="50">
        <v>135611</v>
      </c>
      <c r="U126" s="50">
        <v>160</v>
      </c>
      <c r="V126" s="50" t="s">
        <v>19950</v>
      </c>
      <c r="W126" s="50" t="s">
        <v>102</v>
      </c>
      <c r="X126" s="50" t="s">
        <v>103</v>
      </c>
      <c r="Y126" s="50" t="s">
        <v>938</v>
      </c>
      <c r="AA126" s="50" t="s">
        <v>12819</v>
      </c>
      <c r="AB126" s="50" t="s">
        <v>19951</v>
      </c>
      <c r="AC126" s="50" t="s">
        <v>19952</v>
      </c>
      <c r="AD126" s="50" t="s">
        <v>19953</v>
      </c>
      <c r="AE126" s="50" t="s">
        <v>19954</v>
      </c>
      <c r="AF126" s="50" t="s">
        <v>19953</v>
      </c>
      <c r="AG126" s="50" t="s">
        <v>19955</v>
      </c>
      <c r="AH126" s="50" t="s">
        <v>19956</v>
      </c>
      <c r="AI126" s="50" t="s">
        <v>102</v>
      </c>
      <c r="AJ126" s="50" t="s">
        <v>15564</v>
      </c>
      <c r="AK126" s="50" t="s">
        <v>15564</v>
      </c>
      <c r="AL126" s="50" t="s">
        <v>19957</v>
      </c>
      <c r="AM126" s="50" t="s">
        <v>9607</v>
      </c>
      <c r="AN126" s="50" t="s">
        <v>19958</v>
      </c>
      <c r="AO126" s="50" t="s">
        <v>19959</v>
      </c>
      <c r="AP126" s="50" t="s">
        <v>19959</v>
      </c>
      <c r="AU126" s="50" t="s">
        <v>102</v>
      </c>
      <c r="AW126" s="50" t="s">
        <v>1103</v>
      </c>
      <c r="AX126" s="50" t="s">
        <v>119</v>
      </c>
      <c r="AY126" s="50" t="s">
        <v>170</v>
      </c>
      <c r="AZ126" s="50" t="s">
        <v>250</v>
      </c>
      <c r="BA126" s="50" t="s">
        <v>250</v>
      </c>
      <c r="BB126" s="50" t="s">
        <v>120</v>
      </c>
      <c r="BC126" s="50" t="s">
        <v>17538</v>
      </c>
      <c r="BD126" s="50" t="s">
        <v>410</v>
      </c>
      <c r="BE126" s="50" t="s">
        <v>212</v>
      </c>
      <c r="BF126" s="50" t="s">
        <v>410</v>
      </c>
      <c r="BG126" s="50" t="s">
        <v>124</v>
      </c>
      <c r="BH126" s="50" t="s">
        <v>12023</v>
      </c>
      <c r="BI126" s="50" t="s">
        <v>11889</v>
      </c>
      <c r="BJ126" s="50" t="s">
        <v>127</v>
      </c>
      <c r="BK126" s="50" t="s">
        <v>19960</v>
      </c>
      <c r="BL126" s="50" t="s">
        <v>19961</v>
      </c>
      <c r="BM126" s="50" t="s">
        <v>19962</v>
      </c>
      <c r="BN126" s="50" t="s">
        <v>19949</v>
      </c>
      <c r="BO126" s="50" t="s">
        <v>4053</v>
      </c>
      <c r="BP126" s="50" t="s">
        <v>132</v>
      </c>
      <c r="BQ126" s="50" t="s">
        <v>4054</v>
      </c>
      <c r="BR126" s="50" t="s">
        <v>4055</v>
      </c>
      <c r="BS126" s="50" t="s">
        <v>4056</v>
      </c>
      <c r="BU126" s="50" t="s">
        <v>19963</v>
      </c>
      <c r="BV126" s="50" t="s">
        <v>19964</v>
      </c>
      <c r="BW126" s="50" t="s">
        <v>138</v>
      </c>
      <c r="BX126" s="50" t="s">
        <v>19965</v>
      </c>
      <c r="BY126" s="50" t="s">
        <v>19966</v>
      </c>
      <c r="BZ126" s="50" t="s">
        <v>19967</v>
      </c>
      <c r="CA126" s="50" t="s">
        <v>19968</v>
      </c>
      <c r="CB126" s="50" t="s">
        <v>19967</v>
      </c>
      <c r="CC126" s="50" t="s">
        <v>19969</v>
      </c>
      <c r="CD126" s="50" t="s">
        <v>19968</v>
      </c>
      <c r="CE126" s="50" t="s">
        <v>19967</v>
      </c>
      <c r="CF126" s="50" t="s">
        <v>19969</v>
      </c>
      <c r="CG126" s="50" t="s">
        <v>8793</v>
      </c>
      <c r="CH126" s="50" t="s">
        <v>19970</v>
      </c>
      <c r="CJ126" s="50" t="s">
        <v>17539</v>
      </c>
      <c r="CK126" s="50" t="s">
        <v>17538</v>
      </c>
      <c r="CL126" s="50" t="s">
        <v>17538</v>
      </c>
      <c r="CM126" s="50" t="s">
        <v>9715</v>
      </c>
      <c r="CN126" s="50" t="s">
        <v>17539</v>
      </c>
      <c r="CP126" s="50" t="s">
        <v>17540</v>
      </c>
      <c r="CQ126" s="50" t="s">
        <v>19971</v>
      </c>
      <c r="CR126" s="50" t="s">
        <v>26044</v>
      </c>
    </row>
    <row r="127" spans="1:96">
      <c r="A127" s="50" t="s">
        <v>149</v>
      </c>
      <c r="B127" s="50">
        <v>3594140</v>
      </c>
      <c r="C127" s="50" t="s">
        <v>11995</v>
      </c>
      <c r="D127" s="50" t="s">
        <v>6856</v>
      </c>
      <c r="E127" s="50" t="str">
        <f>VLOOKUP(B127,aa!B:F,5,0)</f>
        <v>Ei ASSET,Ei Mindspark</v>
      </c>
      <c r="F127" s="50">
        <f>VLOOKUP(B127,aa!B:J,9,0)</f>
        <v>1712819</v>
      </c>
      <c r="G127" s="50">
        <f>VLOOKUP(B127,aa!B:L,11,0)</f>
        <v>1096200</v>
      </c>
      <c r="H127" s="50">
        <f>VLOOKUP(B127,aa!B:O,14,0)</f>
        <v>0</v>
      </c>
      <c r="I127" s="50">
        <f>VLOOKUP(B127,aa!B:R,17,0)</f>
        <v>616619</v>
      </c>
      <c r="K127" s="50" t="s">
        <v>2163</v>
      </c>
      <c r="L127" s="50">
        <v>1556936</v>
      </c>
      <c r="M127" s="50">
        <v>1649433</v>
      </c>
      <c r="N127" s="50">
        <v>1043063</v>
      </c>
      <c r="O127" s="50">
        <v>1449</v>
      </c>
      <c r="P127" s="50" t="s">
        <v>995</v>
      </c>
      <c r="Q127" s="50">
        <v>0</v>
      </c>
      <c r="R127" s="50">
        <v>100</v>
      </c>
      <c r="S127" s="50" t="s">
        <v>102</v>
      </c>
      <c r="T127" s="50">
        <v>513873</v>
      </c>
      <c r="U127" s="50">
        <v>379</v>
      </c>
      <c r="V127" s="50" t="s">
        <v>4518</v>
      </c>
      <c r="W127" s="50" t="s">
        <v>102</v>
      </c>
      <c r="X127" s="50" t="s">
        <v>679</v>
      </c>
      <c r="Y127" s="50" t="s">
        <v>5317</v>
      </c>
      <c r="Z127" s="50" t="s">
        <v>3679</v>
      </c>
      <c r="AA127" s="50" t="s">
        <v>15616</v>
      </c>
      <c r="AB127" s="50" t="s">
        <v>16604</v>
      </c>
      <c r="AC127" s="50" t="s">
        <v>16605</v>
      </c>
      <c r="AD127" s="50" t="s">
        <v>16606</v>
      </c>
      <c r="AE127" s="50" t="s">
        <v>14349</v>
      </c>
      <c r="AF127" s="50" t="s">
        <v>16607</v>
      </c>
      <c r="AG127" s="50" t="s">
        <v>109</v>
      </c>
      <c r="AH127" s="50" t="s">
        <v>102</v>
      </c>
      <c r="AI127" s="50" t="s">
        <v>16608</v>
      </c>
      <c r="AJ127" s="50" t="s">
        <v>857</v>
      </c>
      <c r="AK127" s="50" t="s">
        <v>16609</v>
      </c>
      <c r="AL127" s="50" t="s">
        <v>16610</v>
      </c>
      <c r="AM127" s="50" t="s">
        <v>16611</v>
      </c>
      <c r="AN127" s="50" t="s">
        <v>16612</v>
      </c>
      <c r="AO127" s="50" t="s">
        <v>16613</v>
      </c>
      <c r="AP127" s="50" t="s">
        <v>16613</v>
      </c>
      <c r="AU127" s="50" t="s">
        <v>207</v>
      </c>
      <c r="AV127" s="50" t="s">
        <v>118</v>
      </c>
      <c r="AW127" s="50" t="s">
        <v>1103</v>
      </c>
      <c r="AX127" s="50" t="s">
        <v>119</v>
      </c>
      <c r="AZ127" s="50" t="s">
        <v>250</v>
      </c>
      <c r="BA127" s="50" t="s">
        <v>250</v>
      </c>
      <c r="BB127" s="50" t="s">
        <v>120</v>
      </c>
      <c r="BC127" s="50" t="s">
        <v>284</v>
      </c>
      <c r="BD127" s="50" t="s">
        <v>285</v>
      </c>
      <c r="BE127" s="50" t="s">
        <v>212</v>
      </c>
      <c r="BF127" s="50" t="s">
        <v>286</v>
      </c>
      <c r="BG127" s="50" t="s">
        <v>124</v>
      </c>
      <c r="BH127" s="50" t="s">
        <v>16614</v>
      </c>
      <c r="BI127" s="50" t="s">
        <v>16615</v>
      </c>
      <c r="BJ127" s="50" t="s">
        <v>127</v>
      </c>
      <c r="BK127" s="50" t="s">
        <v>16616</v>
      </c>
      <c r="BL127" s="50" t="s">
        <v>6872</v>
      </c>
      <c r="BM127" s="50" t="s">
        <v>16617</v>
      </c>
      <c r="BN127" s="50" t="s">
        <v>16603</v>
      </c>
      <c r="BO127" s="50" t="s">
        <v>12008</v>
      </c>
      <c r="BP127" s="50" t="s">
        <v>132</v>
      </c>
      <c r="BQ127" s="50" t="s">
        <v>12009</v>
      </c>
      <c r="BR127" s="50" t="s">
        <v>12010</v>
      </c>
      <c r="BS127" s="50" t="s">
        <v>4765</v>
      </c>
      <c r="BU127" s="50" t="s">
        <v>16618</v>
      </c>
      <c r="BV127" s="50" t="s">
        <v>16619</v>
      </c>
      <c r="BW127" s="50" t="s">
        <v>16620</v>
      </c>
      <c r="BX127" s="50" t="s">
        <v>16621</v>
      </c>
      <c r="BY127" s="50" t="s">
        <v>16622</v>
      </c>
      <c r="BZ127" s="50" t="s">
        <v>6878</v>
      </c>
      <c r="CA127" s="50" t="s">
        <v>16623</v>
      </c>
      <c r="CB127" s="50" t="s">
        <v>16624</v>
      </c>
      <c r="CC127" s="50" t="s">
        <v>16625</v>
      </c>
      <c r="CD127" s="50" t="s">
        <v>16626</v>
      </c>
      <c r="CE127" s="50" t="s">
        <v>16627</v>
      </c>
      <c r="CF127" s="50" t="s">
        <v>16628</v>
      </c>
      <c r="CG127" s="50" t="s">
        <v>102</v>
      </c>
      <c r="CH127" s="50" t="s">
        <v>16629</v>
      </c>
      <c r="CJ127" s="50" t="s">
        <v>6729</v>
      </c>
      <c r="CL127" s="50" t="s">
        <v>284</v>
      </c>
      <c r="CM127" s="50" t="s">
        <v>285</v>
      </c>
      <c r="CN127" s="50" t="s">
        <v>6729</v>
      </c>
      <c r="CO127" s="50" t="s">
        <v>6886</v>
      </c>
      <c r="CP127" s="50" t="s">
        <v>6887</v>
      </c>
      <c r="CQ127" s="50" t="s">
        <v>6885</v>
      </c>
    </row>
    <row r="128" spans="1:96">
      <c r="A128" s="50" t="s">
        <v>93</v>
      </c>
      <c r="B128" s="50">
        <v>3955038</v>
      </c>
      <c r="C128" s="50" t="s">
        <v>12491</v>
      </c>
      <c r="D128" s="50" t="s">
        <v>8022</v>
      </c>
      <c r="E128" s="50" t="e">
        <f>VLOOKUP(B128,aa!B:F,5,0)</f>
        <v>#N/A</v>
      </c>
      <c r="F128" s="50" t="e">
        <f>VLOOKUP(B128,aa!B:J,9,0)</f>
        <v>#N/A</v>
      </c>
      <c r="G128" s="50" t="e">
        <f>VLOOKUP(B128,aa!B:L,11,0)</f>
        <v>#N/A</v>
      </c>
      <c r="H128" s="50" t="e">
        <f>VLOOKUP(B128,aa!B:O,14,0)</f>
        <v>#N/A</v>
      </c>
      <c r="I128" s="50" t="e">
        <f>VLOOKUP(B128,aa!B:R,17,0)</f>
        <v>#N/A</v>
      </c>
      <c r="K128" s="50" t="s">
        <v>643</v>
      </c>
      <c r="L128" s="50">
        <v>755153</v>
      </c>
      <c r="M128" s="50">
        <v>791206</v>
      </c>
      <c r="N128" s="50">
        <v>0</v>
      </c>
      <c r="O128" s="50">
        <v>0</v>
      </c>
      <c r="Q128" s="50">
        <v>554856</v>
      </c>
      <c r="R128" s="50">
        <v>379</v>
      </c>
      <c r="S128" s="50" t="s">
        <v>17398</v>
      </c>
      <c r="T128" s="50">
        <v>200297</v>
      </c>
      <c r="U128" s="50">
        <v>139</v>
      </c>
      <c r="V128" s="50" t="s">
        <v>4082</v>
      </c>
      <c r="W128" s="50" t="s">
        <v>102</v>
      </c>
      <c r="X128" s="50" t="s">
        <v>103</v>
      </c>
      <c r="Y128" s="50" t="s">
        <v>155</v>
      </c>
      <c r="AA128" s="50" t="s">
        <v>17399</v>
      </c>
      <c r="AB128" s="50" t="s">
        <v>17400</v>
      </c>
      <c r="AC128" s="50" t="s">
        <v>17401</v>
      </c>
      <c r="AD128" s="50" t="s">
        <v>17400</v>
      </c>
      <c r="AE128" s="50" t="s">
        <v>17402</v>
      </c>
      <c r="AF128" s="50" t="s">
        <v>17400</v>
      </c>
      <c r="AG128" s="50" t="s">
        <v>17403</v>
      </c>
      <c r="AH128" s="50" t="s">
        <v>17400</v>
      </c>
      <c r="AI128" s="50" t="s">
        <v>102</v>
      </c>
      <c r="AJ128" s="50" t="s">
        <v>17404</v>
      </c>
      <c r="AK128" s="50" t="s">
        <v>17404</v>
      </c>
      <c r="AL128" s="50" t="s">
        <v>17405</v>
      </c>
      <c r="AM128" s="50" t="s">
        <v>17406</v>
      </c>
      <c r="AN128" s="50" t="s">
        <v>17407</v>
      </c>
      <c r="AO128" s="50" t="s">
        <v>17408</v>
      </c>
      <c r="AP128" s="50" t="s">
        <v>17408</v>
      </c>
      <c r="AU128" s="50" t="s">
        <v>102</v>
      </c>
      <c r="AW128" s="50" t="s">
        <v>655</v>
      </c>
      <c r="AX128" s="50" t="s">
        <v>119</v>
      </c>
      <c r="AZ128" s="50" t="s">
        <v>250</v>
      </c>
      <c r="BA128" s="50" t="s">
        <v>250</v>
      </c>
      <c r="BB128" s="50" t="s">
        <v>120</v>
      </c>
      <c r="BC128" s="50" t="s">
        <v>8034</v>
      </c>
      <c r="BD128" s="50" t="s">
        <v>449</v>
      </c>
      <c r="BE128" s="50" t="s">
        <v>122</v>
      </c>
      <c r="BF128" s="50" t="s">
        <v>253</v>
      </c>
      <c r="BG128" s="50" t="s">
        <v>124</v>
      </c>
      <c r="BH128" s="50" t="s">
        <v>12023</v>
      </c>
      <c r="BI128" s="50" t="s">
        <v>11889</v>
      </c>
      <c r="BJ128" s="50" t="s">
        <v>127</v>
      </c>
      <c r="BK128" s="50" t="s">
        <v>17409</v>
      </c>
      <c r="BL128" s="50" t="s">
        <v>8036</v>
      </c>
      <c r="BM128" s="50" t="s">
        <v>17410</v>
      </c>
      <c r="BN128" s="50" t="s">
        <v>17397</v>
      </c>
      <c r="BO128" s="50" t="s">
        <v>3243</v>
      </c>
      <c r="BP128" s="50" t="s">
        <v>350</v>
      </c>
      <c r="BQ128" s="50" t="s">
        <v>3244</v>
      </c>
      <c r="BR128" s="50" t="s">
        <v>3245</v>
      </c>
      <c r="BS128" s="50" t="s">
        <v>3246</v>
      </c>
      <c r="BU128" s="50" t="s">
        <v>17411</v>
      </c>
      <c r="BV128" s="50" t="s">
        <v>17412</v>
      </c>
      <c r="BW128" s="50" t="s">
        <v>138</v>
      </c>
      <c r="BX128" s="50" t="s">
        <v>17413</v>
      </c>
      <c r="BY128" s="50" t="s">
        <v>17414</v>
      </c>
      <c r="BZ128" s="50" t="s">
        <v>8042</v>
      </c>
      <c r="CA128" s="50" t="s">
        <v>17412</v>
      </c>
      <c r="CB128" s="50" t="s">
        <v>17413</v>
      </c>
      <c r="CC128" s="50" t="s">
        <v>17414</v>
      </c>
      <c r="CD128" s="50" t="s">
        <v>17412</v>
      </c>
      <c r="CE128" s="50" t="s">
        <v>17413</v>
      </c>
      <c r="CF128" s="50" t="s">
        <v>17414</v>
      </c>
      <c r="CG128" s="50" t="s">
        <v>1016</v>
      </c>
      <c r="CH128" s="50" t="s">
        <v>8045</v>
      </c>
      <c r="CJ128" s="50" t="s">
        <v>8046</v>
      </c>
      <c r="CK128" s="50" t="s">
        <v>17415</v>
      </c>
      <c r="CL128" s="50" t="s">
        <v>8034</v>
      </c>
      <c r="CM128" s="50" t="s">
        <v>449</v>
      </c>
      <c r="CN128" s="50" t="s">
        <v>8046</v>
      </c>
      <c r="CP128" s="50" t="s">
        <v>8045</v>
      </c>
      <c r="CQ128" s="50" t="s">
        <v>8045</v>
      </c>
    </row>
    <row r="129" spans="1:96">
      <c r="A129" s="50" t="s">
        <v>149</v>
      </c>
      <c r="B129" s="50">
        <v>3147476</v>
      </c>
      <c r="C129" s="50" t="s">
        <v>2151</v>
      </c>
      <c r="D129" s="50" t="s">
        <v>4737</v>
      </c>
      <c r="E129" s="50" t="e">
        <f>VLOOKUP(B129,aa!B:F,5,0)</f>
        <v>#N/A</v>
      </c>
      <c r="F129" s="50" t="e">
        <f>VLOOKUP(B129,aa!B:J,9,0)</f>
        <v>#N/A</v>
      </c>
      <c r="G129" s="50" t="e">
        <f>VLOOKUP(B129,aa!B:L,11,0)</f>
        <v>#N/A</v>
      </c>
      <c r="H129" s="50" t="e">
        <f>VLOOKUP(B129,aa!B:O,14,0)</f>
        <v>#N/A</v>
      </c>
      <c r="I129" s="50" t="e">
        <f>VLOOKUP(B129,aa!B:R,17,0)</f>
        <v>#N/A</v>
      </c>
      <c r="K129" s="50" t="s">
        <v>2163</v>
      </c>
      <c r="L129" s="50">
        <v>1483593</v>
      </c>
      <c r="M129" s="50">
        <v>1581328</v>
      </c>
      <c r="N129" s="50">
        <v>594663</v>
      </c>
      <c r="O129" s="50">
        <v>806</v>
      </c>
      <c r="P129" s="50" t="s">
        <v>14985</v>
      </c>
      <c r="Q129" s="50">
        <v>345958</v>
      </c>
      <c r="R129" s="50">
        <v>233</v>
      </c>
      <c r="S129" s="50" t="s">
        <v>14986</v>
      </c>
      <c r="T129" s="50">
        <v>542972</v>
      </c>
      <c r="U129" s="50">
        <v>233</v>
      </c>
      <c r="V129" s="50" t="s">
        <v>14987</v>
      </c>
      <c r="W129" s="50" t="s">
        <v>102</v>
      </c>
      <c r="X129" s="50" t="s">
        <v>103</v>
      </c>
      <c r="Y129" s="50" t="s">
        <v>155</v>
      </c>
      <c r="AA129" s="50" t="s">
        <v>12023</v>
      </c>
      <c r="AB129" s="50" t="s">
        <v>14988</v>
      </c>
      <c r="AC129" s="50" t="s">
        <v>1408</v>
      </c>
      <c r="AD129" s="50" t="s">
        <v>14988</v>
      </c>
      <c r="AE129" s="50" t="s">
        <v>12888</v>
      </c>
      <c r="AF129" s="50" t="s">
        <v>14988</v>
      </c>
      <c r="AG129" s="50" t="s">
        <v>1427</v>
      </c>
      <c r="AH129" s="50" t="s">
        <v>14988</v>
      </c>
      <c r="AI129" s="50" t="s">
        <v>14989</v>
      </c>
      <c r="AJ129" s="50" t="s">
        <v>6443</v>
      </c>
      <c r="AK129" s="50" t="s">
        <v>14990</v>
      </c>
      <c r="AL129" s="50" t="s">
        <v>14991</v>
      </c>
      <c r="AM129" s="50" t="s">
        <v>14992</v>
      </c>
      <c r="AN129" s="50" t="s">
        <v>14993</v>
      </c>
      <c r="AO129" s="50" t="s">
        <v>14994</v>
      </c>
      <c r="AP129" s="50" t="s">
        <v>14994</v>
      </c>
      <c r="AU129" s="50" t="s">
        <v>247</v>
      </c>
      <c r="AV129" s="50" t="s">
        <v>250</v>
      </c>
      <c r="AW129" s="50" t="s">
        <v>655</v>
      </c>
      <c r="AX129" s="50" t="s">
        <v>119</v>
      </c>
      <c r="AZ129" s="50" t="s">
        <v>250</v>
      </c>
      <c r="BA129" s="50" t="s">
        <v>250</v>
      </c>
      <c r="BB129" s="50" t="s">
        <v>120</v>
      </c>
      <c r="BC129" s="50" t="s">
        <v>920</v>
      </c>
      <c r="BD129" s="50" t="s">
        <v>211</v>
      </c>
      <c r="BE129" s="50" t="s">
        <v>212</v>
      </c>
      <c r="BF129" s="50" t="s">
        <v>213</v>
      </c>
      <c r="BG129" s="50" t="s">
        <v>124</v>
      </c>
      <c r="BH129" s="50" t="s">
        <v>12492</v>
      </c>
      <c r="BI129" s="50" t="s">
        <v>11889</v>
      </c>
      <c r="BJ129" s="50" t="s">
        <v>127</v>
      </c>
      <c r="BK129" s="50" t="s">
        <v>14995</v>
      </c>
      <c r="BL129" s="50" t="s">
        <v>4747</v>
      </c>
      <c r="BM129" s="50" t="s">
        <v>14996</v>
      </c>
      <c r="BN129" s="50" t="s">
        <v>4909</v>
      </c>
      <c r="BO129" s="50" t="s">
        <v>415</v>
      </c>
      <c r="BP129" s="50" t="s">
        <v>180</v>
      </c>
      <c r="BQ129" s="50" t="s">
        <v>416</v>
      </c>
      <c r="BR129" s="50" t="s">
        <v>417</v>
      </c>
      <c r="BS129" s="50" t="s">
        <v>222</v>
      </c>
      <c r="BU129" s="50" t="s">
        <v>14997</v>
      </c>
      <c r="BV129" s="50" t="s">
        <v>14998</v>
      </c>
      <c r="BW129" s="50" t="s">
        <v>138</v>
      </c>
      <c r="BX129" s="50" t="s">
        <v>4751</v>
      </c>
      <c r="BY129" s="50" t="s">
        <v>14999</v>
      </c>
      <c r="BZ129" s="50" t="s">
        <v>4751</v>
      </c>
      <c r="CA129" s="50" t="s">
        <v>15000</v>
      </c>
      <c r="CB129" s="50" t="s">
        <v>4751</v>
      </c>
      <c r="CC129" s="50" t="s">
        <v>14999</v>
      </c>
      <c r="CD129" s="50" t="s">
        <v>15001</v>
      </c>
      <c r="CE129" s="50" t="s">
        <v>15002</v>
      </c>
      <c r="CF129" s="50" t="s">
        <v>15003</v>
      </c>
      <c r="CG129" s="50" t="s">
        <v>102</v>
      </c>
      <c r="CH129" s="50" t="s">
        <v>4753</v>
      </c>
      <c r="CJ129" s="50" t="s">
        <v>3982</v>
      </c>
      <c r="CL129" s="50" t="s">
        <v>920</v>
      </c>
      <c r="CM129" s="50" t="s">
        <v>211</v>
      </c>
      <c r="CN129" s="50" t="s">
        <v>3982</v>
      </c>
      <c r="CO129" s="50" t="s">
        <v>2190</v>
      </c>
      <c r="CP129" s="50" t="s">
        <v>4753</v>
      </c>
      <c r="CQ129" s="50" t="s">
        <v>4753</v>
      </c>
      <c r="CR129" s="50" t="s">
        <v>26040</v>
      </c>
    </row>
    <row r="130" spans="1:96">
      <c r="A130" s="50" t="s">
        <v>149</v>
      </c>
      <c r="B130" s="50">
        <v>370457</v>
      </c>
      <c r="C130" s="50" t="s">
        <v>2151</v>
      </c>
      <c r="D130" s="50" t="s">
        <v>7166</v>
      </c>
      <c r="E130" s="50" t="e">
        <f>VLOOKUP(B130,aa!B:F,5,0)</f>
        <v>#N/A</v>
      </c>
      <c r="F130" s="50" t="e">
        <f>VLOOKUP(B130,aa!B:J,9,0)</f>
        <v>#N/A</v>
      </c>
      <c r="G130" s="50" t="e">
        <f>VLOOKUP(B130,aa!B:L,11,0)</f>
        <v>#N/A</v>
      </c>
      <c r="H130" s="50" t="e">
        <f>VLOOKUP(B130,aa!B:O,14,0)</f>
        <v>#N/A</v>
      </c>
      <c r="I130" s="50" t="e">
        <f>VLOOKUP(B130,aa!B:R,17,0)</f>
        <v>#N/A</v>
      </c>
      <c r="K130" s="50" t="s">
        <v>2163</v>
      </c>
      <c r="L130" s="50">
        <v>1285779</v>
      </c>
      <c r="M130" s="50">
        <v>1383095</v>
      </c>
      <c r="N130" s="50">
        <v>597297</v>
      </c>
      <c r="O130" s="50">
        <v>808</v>
      </c>
      <c r="P130" s="50" t="s">
        <v>16754</v>
      </c>
      <c r="Q130" s="50">
        <v>147840</v>
      </c>
      <c r="R130" s="50">
        <v>112</v>
      </c>
      <c r="S130" s="50" t="s">
        <v>16755</v>
      </c>
      <c r="T130" s="50">
        <v>540642</v>
      </c>
      <c r="U130" s="50">
        <v>232</v>
      </c>
      <c r="V130" s="50" t="s">
        <v>14987</v>
      </c>
      <c r="W130" s="50" t="s">
        <v>102</v>
      </c>
      <c r="X130" s="50" t="s">
        <v>103</v>
      </c>
      <c r="Y130" s="50" t="s">
        <v>155</v>
      </c>
      <c r="AA130" s="50" t="s">
        <v>12023</v>
      </c>
      <c r="AB130" s="50" t="s">
        <v>16756</v>
      </c>
      <c r="AC130" s="50" t="s">
        <v>1408</v>
      </c>
      <c r="AD130" s="50" t="s">
        <v>16756</v>
      </c>
      <c r="AE130" s="50" t="s">
        <v>12888</v>
      </c>
      <c r="AF130" s="50" t="s">
        <v>16756</v>
      </c>
      <c r="AG130" s="50" t="s">
        <v>1427</v>
      </c>
      <c r="AH130" s="50" t="s">
        <v>16756</v>
      </c>
      <c r="AI130" s="50" t="s">
        <v>16757</v>
      </c>
      <c r="AJ130" s="50" t="s">
        <v>6443</v>
      </c>
      <c r="AK130" s="50" t="s">
        <v>16758</v>
      </c>
      <c r="AL130" s="50" t="s">
        <v>16759</v>
      </c>
      <c r="AM130" s="50" t="s">
        <v>16760</v>
      </c>
      <c r="AN130" s="50" t="s">
        <v>16761</v>
      </c>
      <c r="AO130" s="50" t="s">
        <v>16762</v>
      </c>
      <c r="AP130" s="50" t="s">
        <v>16762</v>
      </c>
      <c r="AU130" s="50" t="s">
        <v>247</v>
      </c>
      <c r="AV130" s="50" t="s">
        <v>250</v>
      </c>
      <c r="AW130" s="50" t="s">
        <v>655</v>
      </c>
      <c r="AX130" s="50" t="s">
        <v>119</v>
      </c>
      <c r="AZ130" s="50" t="s">
        <v>250</v>
      </c>
      <c r="BA130" s="50" t="s">
        <v>250</v>
      </c>
      <c r="BB130" s="50" t="s">
        <v>171</v>
      </c>
      <c r="BC130" s="50" t="s">
        <v>920</v>
      </c>
      <c r="BD130" s="50" t="s">
        <v>211</v>
      </c>
      <c r="BE130" s="50" t="s">
        <v>212</v>
      </c>
      <c r="BF130" s="50" t="s">
        <v>213</v>
      </c>
      <c r="BG130" s="50" t="s">
        <v>124</v>
      </c>
      <c r="BH130" s="50" t="s">
        <v>12492</v>
      </c>
      <c r="BI130" s="50" t="s">
        <v>11889</v>
      </c>
      <c r="BJ130" s="50" t="s">
        <v>127</v>
      </c>
      <c r="BK130" s="50" t="s">
        <v>16763</v>
      </c>
      <c r="BL130" s="50" t="s">
        <v>7179</v>
      </c>
      <c r="BM130" s="50" t="s">
        <v>16764</v>
      </c>
      <c r="BN130" s="50" t="s">
        <v>4909</v>
      </c>
      <c r="BO130" s="50" t="s">
        <v>415</v>
      </c>
      <c r="BP130" s="50" t="s">
        <v>180</v>
      </c>
      <c r="BQ130" s="50" t="s">
        <v>416</v>
      </c>
      <c r="BR130" s="50" t="s">
        <v>417</v>
      </c>
      <c r="BS130" s="50" t="s">
        <v>222</v>
      </c>
      <c r="BU130" s="50" t="s">
        <v>16765</v>
      </c>
      <c r="BV130" s="50" t="s">
        <v>7182</v>
      </c>
      <c r="BW130" s="50" t="s">
        <v>138</v>
      </c>
      <c r="BX130" s="50" t="s">
        <v>7183</v>
      </c>
      <c r="BY130" s="50" t="s">
        <v>7184</v>
      </c>
      <c r="BZ130" s="50" t="s">
        <v>7185</v>
      </c>
      <c r="CA130" s="50" t="s">
        <v>7182</v>
      </c>
      <c r="CB130" s="50" t="s">
        <v>7183</v>
      </c>
      <c r="CC130" s="50" t="s">
        <v>16766</v>
      </c>
      <c r="CD130" s="50" t="s">
        <v>16767</v>
      </c>
      <c r="CE130" s="50" t="s">
        <v>16768</v>
      </c>
      <c r="CF130" s="50" t="s">
        <v>16769</v>
      </c>
      <c r="CG130" s="50" t="s">
        <v>102</v>
      </c>
      <c r="CH130" s="50" t="s">
        <v>7186</v>
      </c>
      <c r="CJ130" s="50" t="s">
        <v>3982</v>
      </c>
      <c r="CL130" s="50" t="s">
        <v>920</v>
      </c>
      <c r="CM130" s="50" t="s">
        <v>211</v>
      </c>
      <c r="CN130" s="50" t="s">
        <v>3982</v>
      </c>
      <c r="CO130" s="50" t="s">
        <v>7187</v>
      </c>
      <c r="CP130" s="50" t="s">
        <v>7186</v>
      </c>
      <c r="CQ130" s="50" t="s">
        <v>7186</v>
      </c>
      <c r="CR130" s="50" t="s">
        <v>26040</v>
      </c>
    </row>
    <row r="131" spans="1:96">
      <c r="A131" s="50" t="s">
        <v>337</v>
      </c>
      <c r="B131" s="50">
        <v>3996980</v>
      </c>
      <c r="C131" s="50" t="s">
        <v>12096</v>
      </c>
      <c r="D131" s="50" t="s">
        <v>17718</v>
      </c>
      <c r="E131" s="50" t="e">
        <f>VLOOKUP(B131,aa!B:F,5,0)</f>
        <v>#N/A</v>
      </c>
      <c r="F131" s="50" t="e">
        <f>VLOOKUP(B131,aa!B:J,9,0)</f>
        <v>#N/A</v>
      </c>
      <c r="G131" s="50" t="e">
        <f>VLOOKUP(B131,aa!B:L,11,0)</f>
        <v>#N/A</v>
      </c>
      <c r="H131" s="50" t="e">
        <f>VLOOKUP(B131,aa!B:O,14,0)</f>
        <v>#N/A</v>
      </c>
      <c r="I131" s="50" t="e">
        <f>VLOOKUP(B131,aa!B:R,17,0)</f>
        <v>#N/A</v>
      </c>
      <c r="K131" s="50" t="s">
        <v>152</v>
      </c>
      <c r="L131" s="50">
        <v>175320</v>
      </c>
      <c r="M131" s="50">
        <v>175320</v>
      </c>
      <c r="N131" s="50">
        <v>0</v>
      </c>
      <c r="O131" s="50">
        <v>0</v>
      </c>
      <c r="Q131" s="50">
        <v>175320</v>
      </c>
      <c r="R131" s="50">
        <v>200</v>
      </c>
      <c r="S131" s="50" t="s">
        <v>5436</v>
      </c>
      <c r="T131" s="50">
        <v>0</v>
      </c>
      <c r="U131" s="50">
        <v>0</v>
      </c>
      <c r="W131" s="50" t="s">
        <v>102</v>
      </c>
      <c r="X131" s="50" t="s">
        <v>103</v>
      </c>
      <c r="Y131" s="50" t="s">
        <v>104</v>
      </c>
      <c r="AA131" s="50" t="s">
        <v>6768</v>
      </c>
      <c r="AB131" s="50" t="s">
        <v>17719</v>
      </c>
      <c r="AC131" s="50" t="s">
        <v>12427</v>
      </c>
      <c r="AD131" s="50" t="s">
        <v>17719</v>
      </c>
      <c r="AE131" s="50" t="s">
        <v>109</v>
      </c>
      <c r="AF131" s="50" t="s">
        <v>102</v>
      </c>
      <c r="AG131" s="50" t="s">
        <v>109</v>
      </c>
      <c r="AH131" s="50" t="s">
        <v>102</v>
      </c>
      <c r="AI131" s="50" t="s">
        <v>102</v>
      </c>
      <c r="AJ131" s="50" t="s">
        <v>11300</v>
      </c>
      <c r="AK131" s="50" t="s">
        <v>17126</v>
      </c>
      <c r="AL131" s="50" t="s">
        <v>17720</v>
      </c>
      <c r="AM131" s="50" t="s">
        <v>17720</v>
      </c>
      <c r="AN131" s="50" t="s">
        <v>102</v>
      </c>
      <c r="AO131" s="50" t="s">
        <v>17721</v>
      </c>
      <c r="AP131" s="50" t="s">
        <v>17721</v>
      </c>
      <c r="AU131" s="50" t="s">
        <v>102</v>
      </c>
      <c r="AW131" s="50" t="s">
        <v>104</v>
      </c>
      <c r="AX131" s="50" t="s">
        <v>447</v>
      </c>
      <c r="AY131" s="50" t="s">
        <v>170</v>
      </c>
      <c r="AZ131" s="50" t="s">
        <v>118</v>
      </c>
      <c r="BB131" s="50" t="s">
        <v>120</v>
      </c>
      <c r="BC131" s="50" t="s">
        <v>12104</v>
      </c>
      <c r="BD131" s="50" t="s">
        <v>1208</v>
      </c>
      <c r="BE131" s="50" t="s">
        <v>174</v>
      </c>
      <c r="BF131" s="50" t="s">
        <v>1172</v>
      </c>
      <c r="BG131" s="50" t="s">
        <v>124</v>
      </c>
      <c r="BH131" s="50" t="s">
        <v>12023</v>
      </c>
      <c r="BI131" s="50" t="s">
        <v>11889</v>
      </c>
      <c r="BJ131" s="50" t="s">
        <v>127</v>
      </c>
      <c r="BK131" s="50" t="s">
        <v>17722</v>
      </c>
      <c r="BL131" s="50" t="s">
        <v>17723</v>
      </c>
      <c r="BM131" s="50" t="s">
        <v>17724</v>
      </c>
      <c r="BN131" s="50" t="s">
        <v>4909</v>
      </c>
      <c r="BO131" s="50" t="s">
        <v>1212</v>
      </c>
      <c r="BP131" s="50" t="s">
        <v>180</v>
      </c>
      <c r="BQ131" s="50" t="s">
        <v>1213</v>
      </c>
      <c r="BR131" s="50" t="s">
        <v>1214</v>
      </c>
      <c r="BS131" s="50" t="s">
        <v>1215</v>
      </c>
      <c r="BU131" s="50" t="s">
        <v>17725</v>
      </c>
      <c r="BV131" s="50" t="s">
        <v>17726</v>
      </c>
      <c r="BW131" s="50" t="s">
        <v>354</v>
      </c>
      <c r="BX131" s="50" t="s">
        <v>17727</v>
      </c>
      <c r="BY131" s="50" t="s">
        <v>17728</v>
      </c>
      <c r="BZ131" s="50" t="s">
        <v>17727</v>
      </c>
      <c r="CA131" s="50" t="s">
        <v>17729</v>
      </c>
      <c r="CB131" s="50" t="s">
        <v>17730</v>
      </c>
      <c r="CC131" s="50" t="s">
        <v>17731</v>
      </c>
      <c r="CD131" s="50" t="s">
        <v>17729</v>
      </c>
      <c r="CE131" s="50" t="s">
        <v>17730</v>
      </c>
      <c r="CF131" s="50" t="s">
        <v>17731</v>
      </c>
      <c r="CG131" s="50" t="s">
        <v>3918</v>
      </c>
      <c r="CH131" s="50" t="s">
        <v>17732</v>
      </c>
      <c r="CJ131" s="50" t="s">
        <v>17733</v>
      </c>
      <c r="CL131" s="50" t="s">
        <v>12104</v>
      </c>
      <c r="CM131" s="50" t="s">
        <v>1208</v>
      </c>
      <c r="CN131" s="50" t="s">
        <v>17733</v>
      </c>
      <c r="CP131" s="50" t="s">
        <v>17734</v>
      </c>
      <c r="CQ131" s="50" t="s">
        <v>17735</v>
      </c>
    </row>
    <row r="132" spans="1:96">
      <c r="A132" s="50" t="s">
        <v>149</v>
      </c>
      <c r="B132" s="50">
        <v>5002617</v>
      </c>
      <c r="C132" s="50" t="s">
        <v>2151</v>
      </c>
      <c r="D132" s="50" t="s">
        <v>9116</v>
      </c>
      <c r="E132" s="50" t="e">
        <f>VLOOKUP(B132,aa!B:F,5,0)</f>
        <v>#N/A</v>
      </c>
      <c r="F132" s="50" t="e">
        <f>VLOOKUP(B132,aa!B:J,9,0)</f>
        <v>#N/A</v>
      </c>
      <c r="G132" s="50" t="e">
        <f>VLOOKUP(B132,aa!B:L,11,0)</f>
        <v>#N/A</v>
      </c>
      <c r="H132" s="50" t="e">
        <f>VLOOKUP(B132,aa!B:O,14,0)</f>
        <v>#N/A</v>
      </c>
      <c r="I132" s="50" t="e">
        <f>VLOOKUP(B132,aa!B:R,17,0)</f>
        <v>#N/A</v>
      </c>
      <c r="K132" s="50" t="s">
        <v>152</v>
      </c>
      <c r="L132" s="50">
        <v>294324</v>
      </c>
      <c r="M132" s="50">
        <v>294324</v>
      </c>
      <c r="N132" s="50">
        <v>0</v>
      </c>
      <c r="O132" s="50">
        <v>0</v>
      </c>
      <c r="Q132" s="50">
        <v>294324</v>
      </c>
      <c r="R132" s="50">
        <v>223</v>
      </c>
      <c r="S132" s="50" t="s">
        <v>16755</v>
      </c>
      <c r="T132" s="50">
        <v>0</v>
      </c>
      <c r="U132" s="50">
        <v>0</v>
      </c>
      <c r="W132" s="50" t="s">
        <v>102</v>
      </c>
      <c r="X132" s="50" t="s">
        <v>103</v>
      </c>
      <c r="Y132" s="50" t="s">
        <v>155</v>
      </c>
      <c r="AA132" s="50" t="s">
        <v>12023</v>
      </c>
      <c r="AB132" s="50" t="s">
        <v>18481</v>
      </c>
      <c r="AC132" s="50" t="s">
        <v>1408</v>
      </c>
      <c r="AD132" s="50" t="s">
        <v>18481</v>
      </c>
      <c r="AE132" s="50" t="s">
        <v>12888</v>
      </c>
      <c r="AF132" s="50" t="s">
        <v>18481</v>
      </c>
      <c r="AG132" s="50" t="s">
        <v>1427</v>
      </c>
      <c r="AH132" s="50" t="s">
        <v>18481</v>
      </c>
      <c r="AI132" s="50" t="s">
        <v>18482</v>
      </c>
      <c r="AJ132" s="50" t="s">
        <v>6443</v>
      </c>
      <c r="AK132" s="50" t="s">
        <v>15363</v>
      </c>
      <c r="AL132" s="50" t="s">
        <v>18483</v>
      </c>
      <c r="AM132" s="50" t="s">
        <v>18484</v>
      </c>
      <c r="AN132" s="50" t="s">
        <v>18213</v>
      </c>
      <c r="AO132" s="50" t="s">
        <v>18477</v>
      </c>
      <c r="AP132" s="50" t="s">
        <v>18477</v>
      </c>
      <c r="AU132" s="50" t="s">
        <v>102</v>
      </c>
      <c r="AW132" s="50" t="s">
        <v>104</v>
      </c>
      <c r="AX132" s="50" t="s">
        <v>119</v>
      </c>
      <c r="AZ132" s="50" t="s">
        <v>250</v>
      </c>
      <c r="BB132" s="50" t="s">
        <v>120</v>
      </c>
      <c r="BC132" s="50" t="s">
        <v>920</v>
      </c>
      <c r="BD132" s="50" t="s">
        <v>211</v>
      </c>
      <c r="BE132" s="50" t="s">
        <v>212</v>
      </c>
      <c r="BF132" s="50" t="s">
        <v>213</v>
      </c>
      <c r="BG132" s="50" t="s">
        <v>124</v>
      </c>
      <c r="BH132" s="50" t="s">
        <v>12492</v>
      </c>
      <c r="BI132" s="50" t="s">
        <v>11889</v>
      </c>
      <c r="BJ132" s="50" t="s">
        <v>127</v>
      </c>
      <c r="BK132" s="50" t="s">
        <v>18485</v>
      </c>
      <c r="BL132" s="50" t="s">
        <v>9125</v>
      </c>
      <c r="BM132" s="50" t="s">
        <v>18486</v>
      </c>
      <c r="BN132" s="50" t="s">
        <v>4909</v>
      </c>
      <c r="BO132" s="50" t="s">
        <v>415</v>
      </c>
      <c r="BP132" s="50" t="s">
        <v>180</v>
      </c>
      <c r="BQ132" s="50" t="s">
        <v>416</v>
      </c>
      <c r="BR132" s="50" t="s">
        <v>417</v>
      </c>
      <c r="BS132" s="50" t="s">
        <v>222</v>
      </c>
      <c r="BU132" s="50" t="s">
        <v>18487</v>
      </c>
      <c r="BV132" s="50" t="s">
        <v>14998</v>
      </c>
      <c r="BW132" s="50" t="s">
        <v>138</v>
      </c>
      <c r="BX132" s="50" t="s">
        <v>4751</v>
      </c>
      <c r="BY132" s="50" t="s">
        <v>14999</v>
      </c>
      <c r="BZ132" s="50" t="s">
        <v>4751</v>
      </c>
      <c r="CA132" s="50" t="s">
        <v>15000</v>
      </c>
      <c r="CB132" s="50" t="s">
        <v>4751</v>
      </c>
      <c r="CC132" s="50" t="s">
        <v>14999</v>
      </c>
      <c r="CD132" s="50" t="s">
        <v>18488</v>
      </c>
      <c r="CE132" s="50" t="s">
        <v>18489</v>
      </c>
      <c r="CF132" s="50" t="s">
        <v>18490</v>
      </c>
      <c r="CG132" s="50" t="s">
        <v>102</v>
      </c>
      <c r="CH132" s="50" t="s">
        <v>4753</v>
      </c>
      <c r="CJ132" s="50" t="s">
        <v>3982</v>
      </c>
      <c r="CL132" s="50" t="s">
        <v>920</v>
      </c>
      <c r="CM132" s="50" t="s">
        <v>2474</v>
      </c>
      <c r="CN132" s="50" t="s">
        <v>3982</v>
      </c>
      <c r="CO132" s="50" t="s">
        <v>2190</v>
      </c>
      <c r="CP132" s="50" t="s">
        <v>4753</v>
      </c>
      <c r="CQ132" s="50" t="s">
        <v>4753</v>
      </c>
      <c r="CR132" s="50" t="s">
        <v>26040</v>
      </c>
    </row>
    <row r="133" spans="1:96">
      <c r="A133" s="50" t="s">
        <v>149</v>
      </c>
      <c r="B133" s="50">
        <v>218537</v>
      </c>
      <c r="C133" s="50" t="s">
        <v>12121</v>
      </c>
      <c r="D133" s="50" t="s">
        <v>2831</v>
      </c>
      <c r="E133" s="50" t="e">
        <f>VLOOKUP(B133,aa!B:F,5,0)</f>
        <v>#N/A</v>
      </c>
      <c r="F133" s="50" t="e">
        <f>VLOOKUP(B133,aa!B:J,9,0)</f>
        <v>#N/A</v>
      </c>
      <c r="G133" s="50" t="e">
        <f>VLOOKUP(B133,aa!B:L,11,0)</f>
        <v>#N/A</v>
      </c>
      <c r="H133" s="50" t="e">
        <f>VLOOKUP(B133,aa!B:O,14,0)</f>
        <v>#N/A</v>
      </c>
      <c r="I133" s="50" t="e">
        <f>VLOOKUP(B133,aa!B:R,17,0)</f>
        <v>#N/A</v>
      </c>
      <c r="K133" s="50" t="s">
        <v>97</v>
      </c>
      <c r="L133" s="50">
        <v>480596</v>
      </c>
      <c r="M133" s="50">
        <v>480596</v>
      </c>
      <c r="N133" s="50">
        <v>480596</v>
      </c>
      <c r="O133" s="50">
        <v>961</v>
      </c>
      <c r="P133" s="50" t="s">
        <v>364</v>
      </c>
      <c r="Q133" s="50">
        <v>0</v>
      </c>
      <c r="R133" s="50">
        <v>0</v>
      </c>
      <c r="T133" s="50">
        <v>0</v>
      </c>
      <c r="U133" s="50">
        <v>0</v>
      </c>
      <c r="W133" s="50" t="s">
        <v>102</v>
      </c>
      <c r="X133" s="50" t="s">
        <v>103</v>
      </c>
      <c r="Y133" s="50" t="s">
        <v>104</v>
      </c>
      <c r="AA133" s="50" t="s">
        <v>7020</v>
      </c>
      <c r="AB133" s="50" t="s">
        <v>13632</v>
      </c>
      <c r="AC133" s="50" t="s">
        <v>12099</v>
      </c>
      <c r="AD133" s="50" t="s">
        <v>13632</v>
      </c>
      <c r="AE133" s="50" t="s">
        <v>109</v>
      </c>
      <c r="AF133" s="50" t="s">
        <v>102</v>
      </c>
      <c r="AG133" s="50" t="s">
        <v>109</v>
      </c>
      <c r="AH133" s="50" t="s">
        <v>102</v>
      </c>
      <c r="AI133" s="50" t="s">
        <v>13633</v>
      </c>
      <c r="AJ133" s="50" t="s">
        <v>13216</v>
      </c>
      <c r="AK133" s="50" t="s">
        <v>12470</v>
      </c>
      <c r="AL133" s="50" t="s">
        <v>13634</v>
      </c>
      <c r="AM133" s="50" t="s">
        <v>13635</v>
      </c>
      <c r="AN133" s="50" t="s">
        <v>115</v>
      </c>
      <c r="AO133" s="50" t="s">
        <v>2353</v>
      </c>
      <c r="AP133" s="50" t="s">
        <v>2353</v>
      </c>
      <c r="AU133" s="50" t="s">
        <v>117</v>
      </c>
      <c r="AV133" s="50" t="s">
        <v>118</v>
      </c>
      <c r="AW133" s="50" t="s">
        <v>102</v>
      </c>
      <c r="AX133" s="50" t="s">
        <v>119</v>
      </c>
      <c r="BB133" s="50" t="s">
        <v>120</v>
      </c>
      <c r="BC133" s="50" t="s">
        <v>8152</v>
      </c>
      <c r="BD133" s="50" t="s">
        <v>449</v>
      </c>
      <c r="BE133" s="50" t="s">
        <v>122</v>
      </c>
      <c r="BF133" s="50" t="s">
        <v>253</v>
      </c>
      <c r="BG133" s="50" t="s">
        <v>124</v>
      </c>
      <c r="BH133" s="50" t="s">
        <v>12023</v>
      </c>
      <c r="BI133" s="50" t="s">
        <v>11889</v>
      </c>
      <c r="BJ133" s="50" t="s">
        <v>127</v>
      </c>
      <c r="BK133" s="50" t="s">
        <v>13636</v>
      </c>
      <c r="BL133" s="50" t="s">
        <v>2842</v>
      </c>
      <c r="BM133" s="50" t="s">
        <v>13637</v>
      </c>
      <c r="BN133" s="50" t="s">
        <v>6768</v>
      </c>
      <c r="BO133" s="50" t="s">
        <v>13638</v>
      </c>
      <c r="BP133" s="50" t="s">
        <v>132</v>
      </c>
      <c r="BQ133" s="50" t="s">
        <v>13639</v>
      </c>
      <c r="BR133" s="50" t="s">
        <v>13640</v>
      </c>
      <c r="BS133" s="50" t="s">
        <v>2847</v>
      </c>
      <c r="BU133" s="50" t="s">
        <v>13641</v>
      </c>
      <c r="BV133" s="50" t="s">
        <v>13642</v>
      </c>
      <c r="BW133" s="50" t="s">
        <v>569</v>
      </c>
      <c r="BX133" s="50" t="s">
        <v>8158</v>
      </c>
      <c r="BY133" s="50" t="s">
        <v>13643</v>
      </c>
      <c r="BZ133" s="50" t="s">
        <v>2852</v>
      </c>
      <c r="CA133" s="50" t="s">
        <v>13644</v>
      </c>
      <c r="CB133" s="50" t="s">
        <v>13645</v>
      </c>
      <c r="CC133" s="50" t="s">
        <v>13643</v>
      </c>
      <c r="CD133" s="50" t="s">
        <v>13646</v>
      </c>
      <c r="CE133" s="50" t="s">
        <v>8158</v>
      </c>
      <c r="CF133" s="50" t="s">
        <v>13643</v>
      </c>
      <c r="CG133" s="50" t="s">
        <v>2853</v>
      </c>
      <c r="CH133" s="50" t="s">
        <v>13647</v>
      </c>
      <c r="CJ133" s="50" t="s">
        <v>10907</v>
      </c>
      <c r="CK133" s="50" t="s">
        <v>13648</v>
      </c>
      <c r="CL133" s="50" t="s">
        <v>2840</v>
      </c>
      <c r="CM133" s="50" t="s">
        <v>449</v>
      </c>
      <c r="CN133" s="50" t="s">
        <v>2855</v>
      </c>
      <c r="CO133" s="50" t="s">
        <v>2857</v>
      </c>
      <c r="CP133" s="50" t="s">
        <v>2858</v>
      </c>
      <c r="CQ133" s="50" t="s">
        <v>2856</v>
      </c>
    </row>
    <row r="134" spans="1:96">
      <c r="A134" s="50" t="s">
        <v>93</v>
      </c>
      <c r="B134" s="50">
        <v>3991655</v>
      </c>
      <c r="C134" s="50" t="s">
        <v>985</v>
      </c>
      <c r="D134" s="50" t="s">
        <v>8145</v>
      </c>
      <c r="E134" s="50" t="e">
        <f>VLOOKUP(B134,aa!B:F,5,0)</f>
        <v>#N/A</v>
      </c>
      <c r="F134" s="50" t="e">
        <f>VLOOKUP(B134,aa!B:J,9,0)</f>
        <v>#N/A</v>
      </c>
      <c r="G134" s="50" t="e">
        <f>VLOOKUP(B134,aa!B:L,11,0)</f>
        <v>#N/A</v>
      </c>
      <c r="H134" s="50" t="e">
        <f>VLOOKUP(B134,aa!B:O,14,0)</f>
        <v>#N/A</v>
      </c>
      <c r="I134" s="50" t="e">
        <f>VLOOKUP(B134,aa!B:R,17,0)</f>
        <v>#N/A</v>
      </c>
      <c r="K134" s="50" t="s">
        <v>97</v>
      </c>
      <c r="L134" s="50">
        <v>572114</v>
      </c>
      <c r="M134" s="50">
        <v>572114</v>
      </c>
      <c r="N134" s="50">
        <v>572114</v>
      </c>
      <c r="O134" s="50">
        <v>1144</v>
      </c>
      <c r="P134" s="50" t="s">
        <v>364</v>
      </c>
      <c r="Q134" s="50">
        <v>0</v>
      </c>
      <c r="R134" s="50">
        <v>0</v>
      </c>
      <c r="T134" s="50">
        <v>0</v>
      </c>
      <c r="U134" s="50">
        <v>0</v>
      </c>
      <c r="W134" s="50" t="s">
        <v>102</v>
      </c>
      <c r="X134" s="50" t="s">
        <v>103</v>
      </c>
      <c r="Y134" s="50" t="s">
        <v>104</v>
      </c>
      <c r="AA134" s="50" t="s">
        <v>7020</v>
      </c>
      <c r="AB134" s="50" t="s">
        <v>17501</v>
      </c>
      <c r="AC134" s="50" t="s">
        <v>12099</v>
      </c>
      <c r="AD134" s="50" t="s">
        <v>17501</v>
      </c>
      <c r="AE134" s="50" t="s">
        <v>109</v>
      </c>
      <c r="AF134" s="50" t="s">
        <v>102</v>
      </c>
      <c r="AG134" s="50" t="s">
        <v>109</v>
      </c>
      <c r="AH134" s="50" t="s">
        <v>102</v>
      </c>
      <c r="AI134" s="50" t="s">
        <v>17502</v>
      </c>
      <c r="AJ134" s="50" t="s">
        <v>13216</v>
      </c>
      <c r="AK134" s="50" t="s">
        <v>12470</v>
      </c>
      <c r="AL134" s="50" t="s">
        <v>17503</v>
      </c>
      <c r="AM134" s="50" t="s">
        <v>17504</v>
      </c>
      <c r="AN134" s="50" t="s">
        <v>17505</v>
      </c>
      <c r="AO134" s="50" t="s">
        <v>2353</v>
      </c>
      <c r="AP134" s="50" t="s">
        <v>2353</v>
      </c>
      <c r="AU134" s="50" t="s">
        <v>117</v>
      </c>
      <c r="AV134" s="50" t="s">
        <v>118</v>
      </c>
      <c r="AW134" s="50" t="s">
        <v>102</v>
      </c>
      <c r="AX134" s="50" t="s">
        <v>119</v>
      </c>
      <c r="BB134" s="50" t="s">
        <v>120</v>
      </c>
      <c r="BC134" s="50" t="s">
        <v>8152</v>
      </c>
      <c r="BD134" s="50" t="s">
        <v>621</v>
      </c>
      <c r="BE134" s="50" t="s">
        <v>622</v>
      </c>
      <c r="BF134" s="50" t="s">
        <v>976</v>
      </c>
      <c r="BG134" s="50" t="s">
        <v>124</v>
      </c>
      <c r="BH134" s="50" t="s">
        <v>12023</v>
      </c>
      <c r="BI134" s="50" t="s">
        <v>11889</v>
      </c>
      <c r="BJ134" s="50" t="s">
        <v>127</v>
      </c>
      <c r="BK134" s="50" t="s">
        <v>17506</v>
      </c>
      <c r="BL134" s="50" t="s">
        <v>8154</v>
      </c>
      <c r="BM134" s="50" t="s">
        <v>17507</v>
      </c>
      <c r="BN134" s="50" t="s">
        <v>6768</v>
      </c>
      <c r="BO134" s="50" t="s">
        <v>13638</v>
      </c>
      <c r="BP134" s="50" t="s">
        <v>132</v>
      </c>
      <c r="BQ134" s="50" t="s">
        <v>13639</v>
      </c>
      <c r="BR134" s="50" t="s">
        <v>13640</v>
      </c>
      <c r="BS134" s="50" t="s">
        <v>984</v>
      </c>
      <c r="BU134" s="50" t="s">
        <v>17508</v>
      </c>
      <c r="BV134" s="50" t="s">
        <v>17509</v>
      </c>
      <c r="BW134" s="50" t="s">
        <v>598</v>
      </c>
      <c r="BX134" s="50" t="s">
        <v>8158</v>
      </c>
      <c r="BY134" s="50" t="s">
        <v>13643</v>
      </c>
      <c r="BZ134" s="50" t="s">
        <v>8160</v>
      </c>
      <c r="CA134" s="50" t="s">
        <v>8161</v>
      </c>
      <c r="CB134" s="50" t="s">
        <v>8160</v>
      </c>
      <c r="CC134" s="50" t="s">
        <v>13643</v>
      </c>
      <c r="CD134" s="50" t="s">
        <v>17509</v>
      </c>
      <c r="CE134" s="50" t="s">
        <v>8158</v>
      </c>
      <c r="CF134" s="50" t="s">
        <v>13643</v>
      </c>
      <c r="CG134" s="50" t="s">
        <v>6290</v>
      </c>
      <c r="CH134" s="50" t="s">
        <v>17510</v>
      </c>
      <c r="CJ134" s="50" t="s">
        <v>10907</v>
      </c>
      <c r="CK134" s="50" t="s">
        <v>17511</v>
      </c>
      <c r="CL134" s="50" t="s">
        <v>6280</v>
      </c>
      <c r="CM134" s="50" t="s">
        <v>621</v>
      </c>
      <c r="CN134" s="50" t="s">
        <v>8165</v>
      </c>
      <c r="CO134" s="50" t="s">
        <v>2857</v>
      </c>
      <c r="CP134" s="50" t="s">
        <v>8166</v>
      </c>
      <c r="CQ134" s="50" t="s">
        <v>8167</v>
      </c>
      <c r="CR134" s="50" t="s">
        <v>26040</v>
      </c>
    </row>
    <row r="135" spans="1:96">
      <c r="A135" s="50" t="s">
        <v>337</v>
      </c>
      <c r="B135" s="50">
        <v>5017448</v>
      </c>
      <c r="C135" s="50" t="s">
        <v>985</v>
      </c>
      <c r="D135" s="50" t="s">
        <v>19047</v>
      </c>
      <c r="E135" s="50" t="e">
        <f>VLOOKUP(B135,aa!B:F,5,0)</f>
        <v>#N/A</v>
      </c>
      <c r="F135" s="50" t="e">
        <f>VLOOKUP(B135,aa!B:J,9,0)</f>
        <v>#N/A</v>
      </c>
      <c r="G135" s="50" t="e">
        <f>VLOOKUP(B135,aa!B:L,11,0)</f>
        <v>#N/A</v>
      </c>
      <c r="H135" s="50" t="e">
        <f>VLOOKUP(B135,aa!B:O,14,0)</f>
        <v>#N/A</v>
      </c>
      <c r="I135" s="50" t="e">
        <f>VLOOKUP(B135,aa!B:R,17,0)</f>
        <v>#N/A</v>
      </c>
      <c r="K135" s="50" t="s">
        <v>97</v>
      </c>
      <c r="L135" s="50">
        <v>129026</v>
      </c>
      <c r="M135" s="50">
        <v>129026</v>
      </c>
      <c r="N135" s="50">
        <v>129026</v>
      </c>
      <c r="O135" s="50">
        <v>258</v>
      </c>
      <c r="P135" s="50" t="s">
        <v>364</v>
      </c>
      <c r="Q135" s="50">
        <v>0</v>
      </c>
      <c r="R135" s="50">
        <v>0</v>
      </c>
      <c r="T135" s="50">
        <v>0</v>
      </c>
      <c r="U135" s="50">
        <v>0</v>
      </c>
      <c r="W135" s="50" t="s">
        <v>102</v>
      </c>
      <c r="X135" s="50" t="s">
        <v>103</v>
      </c>
      <c r="Y135" s="50" t="s">
        <v>104</v>
      </c>
      <c r="AA135" s="50" t="s">
        <v>7020</v>
      </c>
      <c r="AB135" s="50" t="s">
        <v>19048</v>
      </c>
      <c r="AC135" s="50" t="s">
        <v>12099</v>
      </c>
      <c r="AD135" s="50" t="s">
        <v>19048</v>
      </c>
      <c r="AE135" s="50" t="s">
        <v>109</v>
      </c>
      <c r="AF135" s="50" t="s">
        <v>102</v>
      </c>
      <c r="AG135" s="50" t="s">
        <v>109</v>
      </c>
      <c r="AH135" s="50" t="s">
        <v>102</v>
      </c>
      <c r="AI135" s="50" t="s">
        <v>19049</v>
      </c>
      <c r="AJ135" s="50" t="s">
        <v>13216</v>
      </c>
      <c r="AK135" s="50" t="s">
        <v>12470</v>
      </c>
      <c r="AL135" s="50" t="s">
        <v>19050</v>
      </c>
      <c r="AM135" s="50" t="s">
        <v>19051</v>
      </c>
      <c r="AN135" s="50" t="s">
        <v>5926</v>
      </c>
      <c r="AO135" s="50" t="s">
        <v>2353</v>
      </c>
      <c r="AP135" s="50" t="s">
        <v>2353</v>
      </c>
      <c r="AU135" s="50" t="s">
        <v>117</v>
      </c>
      <c r="AV135" s="50" t="s">
        <v>118</v>
      </c>
      <c r="AW135" s="50" t="s">
        <v>102</v>
      </c>
      <c r="AX135" s="50" t="s">
        <v>119</v>
      </c>
      <c r="BB135" s="50" t="s">
        <v>120</v>
      </c>
      <c r="BC135" s="50" t="s">
        <v>19052</v>
      </c>
      <c r="BD135" s="50" t="s">
        <v>621</v>
      </c>
      <c r="BE135" s="50" t="s">
        <v>622</v>
      </c>
      <c r="BF135" s="50" t="s">
        <v>976</v>
      </c>
      <c r="BG135" s="50" t="s">
        <v>124</v>
      </c>
      <c r="BH135" s="50" t="s">
        <v>12023</v>
      </c>
      <c r="BI135" s="50" t="s">
        <v>11889</v>
      </c>
      <c r="BJ135" s="50" t="s">
        <v>127</v>
      </c>
      <c r="BK135" s="50" t="s">
        <v>19053</v>
      </c>
      <c r="BL135" s="50" t="s">
        <v>19054</v>
      </c>
      <c r="BM135" s="50" t="s">
        <v>19055</v>
      </c>
      <c r="BN135" s="50" t="s">
        <v>6768</v>
      </c>
      <c r="BO135" s="50" t="s">
        <v>13638</v>
      </c>
      <c r="BP135" s="50" t="s">
        <v>132</v>
      </c>
      <c r="BQ135" s="50" t="s">
        <v>13639</v>
      </c>
      <c r="BR135" s="50" t="s">
        <v>13640</v>
      </c>
      <c r="BS135" s="50" t="s">
        <v>984</v>
      </c>
      <c r="BT135" s="50" t="s">
        <v>985</v>
      </c>
      <c r="BU135" s="50" t="s">
        <v>19056</v>
      </c>
      <c r="BV135" s="50" t="s">
        <v>17509</v>
      </c>
      <c r="BW135" s="50" t="s">
        <v>598</v>
      </c>
      <c r="BX135" s="50" t="s">
        <v>8158</v>
      </c>
      <c r="BY135" s="50" t="s">
        <v>13643</v>
      </c>
      <c r="BZ135" s="50" t="s">
        <v>8158</v>
      </c>
      <c r="CA135" s="50" t="s">
        <v>19057</v>
      </c>
      <c r="CB135" s="50" t="s">
        <v>19058</v>
      </c>
      <c r="CC135" s="50" t="s">
        <v>13643</v>
      </c>
      <c r="CD135" s="50" t="s">
        <v>17509</v>
      </c>
      <c r="CE135" s="50" t="s">
        <v>8158</v>
      </c>
      <c r="CF135" s="50" t="s">
        <v>13643</v>
      </c>
      <c r="CG135" s="50" t="s">
        <v>19059</v>
      </c>
      <c r="CH135" s="50" t="s">
        <v>19060</v>
      </c>
      <c r="CJ135" s="50" t="s">
        <v>10907</v>
      </c>
      <c r="CK135" s="50" t="s">
        <v>19061</v>
      </c>
      <c r="CL135" s="50" t="s">
        <v>2127</v>
      </c>
      <c r="CM135" s="50" t="s">
        <v>621</v>
      </c>
      <c r="CN135" s="50" t="s">
        <v>19062</v>
      </c>
      <c r="CO135" s="50" t="s">
        <v>2857</v>
      </c>
      <c r="CP135" s="50" t="s">
        <v>19063</v>
      </c>
      <c r="CQ135" s="50" t="s">
        <v>14774</v>
      </c>
      <c r="CR135" s="50" t="s">
        <v>26040</v>
      </c>
    </row>
    <row r="136" spans="1:96">
      <c r="A136" s="50" t="s">
        <v>93</v>
      </c>
      <c r="B136" s="50">
        <v>519329</v>
      </c>
      <c r="C136" s="50" t="s">
        <v>985</v>
      </c>
      <c r="D136" s="50" t="s">
        <v>10893</v>
      </c>
      <c r="E136" s="50" t="e">
        <f>VLOOKUP(B136,aa!B:F,5,0)</f>
        <v>#N/A</v>
      </c>
      <c r="F136" s="50" t="e">
        <f>VLOOKUP(B136,aa!B:J,9,0)</f>
        <v>#N/A</v>
      </c>
      <c r="G136" s="50" t="e">
        <f>VLOOKUP(B136,aa!B:L,11,0)</f>
        <v>#N/A</v>
      </c>
      <c r="H136" s="50" t="e">
        <f>VLOOKUP(B136,aa!B:O,14,0)</f>
        <v>#N/A</v>
      </c>
      <c r="I136" s="50" t="e">
        <f>VLOOKUP(B136,aa!B:R,17,0)</f>
        <v>#N/A</v>
      </c>
      <c r="K136" s="50" t="s">
        <v>97</v>
      </c>
      <c r="L136" s="50">
        <v>348570</v>
      </c>
      <c r="M136" s="50">
        <v>348570</v>
      </c>
      <c r="N136" s="50">
        <v>348570</v>
      </c>
      <c r="O136" s="50">
        <v>697</v>
      </c>
      <c r="P136" s="50" t="s">
        <v>364</v>
      </c>
      <c r="Q136" s="50">
        <v>0</v>
      </c>
      <c r="R136" s="50">
        <v>0</v>
      </c>
      <c r="T136" s="50">
        <v>0</v>
      </c>
      <c r="U136" s="50">
        <v>0</v>
      </c>
      <c r="W136" s="50" t="s">
        <v>102</v>
      </c>
      <c r="X136" s="50" t="s">
        <v>103</v>
      </c>
      <c r="Y136" s="50" t="s">
        <v>104</v>
      </c>
      <c r="AA136" s="50" t="s">
        <v>7020</v>
      </c>
      <c r="AB136" s="50" t="s">
        <v>20997</v>
      </c>
      <c r="AC136" s="50" t="s">
        <v>12099</v>
      </c>
      <c r="AD136" s="50" t="s">
        <v>20997</v>
      </c>
      <c r="AE136" s="50" t="s">
        <v>109</v>
      </c>
      <c r="AF136" s="50" t="s">
        <v>102</v>
      </c>
      <c r="AG136" s="50" t="s">
        <v>109</v>
      </c>
      <c r="AH136" s="50" t="s">
        <v>102</v>
      </c>
      <c r="AI136" s="50" t="s">
        <v>20998</v>
      </c>
      <c r="AJ136" s="50" t="s">
        <v>13216</v>
      </c>
      <c r="AK136" s="50" t="s">
        <v>12470</v>
      </c>
      <c r="AL136" s="50" t="s">
        <v>20999</v>
      </c>
      <c r="AM136" s="50" t="s">
        <v>21000</v>
      </c>
      <c r="AN136" s="50" t="s">
        <v>398</v>
      </c>
      <c r="AO136" s="50" t="s">
        <v>2353</v>
      </c>
      <c r="AP136" s="50" t="s">
        <v>2353</v>
      </c>
      <c r="AU136" s="50" t="s">
        <v>117</v>
      </c>
      <c r="AV136" s="50" t="s">
        <v>118</v>
      </c>
      <c r="AW136" s="50" t="s">
        <v>102</v>
      </c>
      <c r="AX136" s="50" t="s">
        <v>119</v>
      </c>
      <c r="BB136" s="50" t="s">
        <v>120</v>
      </c>
      <c r="BC136" s="50" t="s">
        <v>8152</v>
      </c>
      <c r="BD136" s="50" t="s">
        <v>621</v>
      </c>
      <c r="BE136" s="50" t="s">
        <v>622</v>
      </c>
      <c r="BF136" s="50" t="s">
        <v>976</v>
      </c>
      <c r="BG136" s="50" t="s">
        <v>124</v>
      </c>
      <c r="BH136" s="50" t="s">
        <v>12023</v>
      </c>
      <c r="BI136" s="50" t="s">
        <v>11889</v>
      </c>
      <c r="BJ136" s="50" t="s">
        <v>127</v>
      </c>
      <c r="BK136" s="50" t="s">
        <v>21001</v>
      </c>
      <c r="BL136" s="50" t="s">
        <v>10899</v>
      </c>
      <c r="BM136" s="50" t="s">
        <v>21002</v>
      </c>
      <c r="BN136" s="50" t="s">
        <v>6768</v>
      </c>
      <c r="BO136" s="50" t="s">
        <v>13638</v>
      </c>
      <c r="BP136" s="50" t="s">
        <v>132</v>
      </c>
      <c r="BQ136" s="50" t="s">
        <v>13639</v>
      </c>
      <c r="BR136" s="50" t="s">
        <v>13640</v>
      </c>
      <c r="BS136" s="50" t="s">
        <v>10901</v>
      </c>
      <c r="BU136" s="50" t="s">
        <v>21003</v>
      </c>
      <c r="BV136" s="50" t="s">
        <v>17509</v>
      </c>
      <c r="BW136" s="50" t="s">
        <v>598</v>
      </c>
      <c r="BX136" s="50" t="s">
        <v>8158</v>
      </c>
      <c r="BY136" s="50" t="s">
        <v>13643</v>
      </c>
      <c r="BZ136" s="50" t="s">
        <v>10903</v>
      </c>
      <c r="CA136" s="50" t="s">
        <v>10904</v>
      </c>
      <c r="CB136" s="50" t="s">
        <v>10905</v>
      </c>
      <c r="CC136" s="50" t="s">
        <v>13643</v>
      </c>
      <c r="CD136" s="50" t="s">
        <v>17509</v>
      </c>
      <c r="CE136" s="50" t="s">
        <v>8158</v>
      </c>
      <c r="CF136" s="50" t="s">
        <v>13643</v>
      </c>
      <c r="CG136" s="50" t="s">
        <v>6290</v>
      </c>
      <c r="CH136" s="50" t="s">
        <v>17510</v>
      </c>
      <c r="CJ136" s="50" t="s">
        <v>10907</v>
      </c>
      <c r="CK136" s="50" t="s">
        <v>21004</v>
      </c>
      <c r="CL136" s="50" t="s">
        <v>8152</v>
      </c>
      <c r="CM136" s="50" t="s">
        <v>621</v>
      </c>
      <c r="CN136" s="50" t="s">
        <v>10909</v>
      </c>
      <c r="CO136" s="50" t="s">
        <v>2857</v>
      </c>
      <c r="CP136" s="50" t="s">
        <v>10910</v>
      </c>
      <c r="CQ136" s="50" t="s">
        <v>10911</v>
      </c>
      <c r="CR136" s="50" t="s">
        <v>26040</v>
      </c>
    </row>
    <row r="137" spans="1:96">
      <c r="A137" s="50" t="s">
        <v>337</v>
      </c>
      <c r="B137" s="50">
        <v>3999184</v>
      </c>
      <c r="C137" s="50" t="s">
        <v>12018</v>
      </c>
      <c r="D137" s="50" t="s">
        <v>17805</v>
      </c>
      <c r="E137" s="50" t="e">
        <f>VLOOKUP(B137,aa!B:F,5,0)</f>
        <v>#N/A</v>
      </c>
      <c r="F137" s="50" t="e">
        <f>VLOOKUP(B137,aa!B:J,9,0)</f>
        <v>#N/A</v>
      </c>
      <c r="G137" s="50" t="e">
        <f>VLOOKUP(B137,aa!B:L,11,0)</f>
        <v>#N/A</v>
      </c>
      <c r="H137" s="50" t="e">
        <f>VLOOKUP(B137,aa!B:O,14,0)</f>
        <v>#N/A</v>
      </c>
      <c r="I137" s="50" t="e">
        <f>VLOOKUP(B137,aa!B:R,17,0)</f>
        <v>#N/A</v>
      </c>
      <c r="K137" s="50" t="s">
        <v>152</v>
      </c>
      <c r="L137" s="50">
        <v>304876</v>
      </c>
      <c r="M137" s="50">
        <v>304876</v>
      </c>
      <c r="N137" s="50">
        <v>0</v>
      </c>
      <c r="O137" s="50">
        <v>0</v>
      </c>
      <c r="Q137" s="50">
        <v>304876</v>
      </c>
      <c r="R137" s="50">
        <v>199</v>
      </c>
      <c r="S137" s="50" t="s">
        <v>17807</v>
      </c>
      <c r="T137" s="50">
        <v>0</v>
      </c>
      <c r="U137" s="50">
        <v>0</v>
      </c>
      <c r="W137" s="50" t="s">
        <v>102</v>
      </c>
      <c r="X137" s="50" t="s">
        <v>679</v>
      </c>
      <c r="Y137" s="50" t="s">
        <v>155</v>
      </c>
      <c r="Z137" s="50" t="s">
        <v>13036</v>
      </c>
      <c r="AA137" s="50" t="s">
        <v>17808</v>
      </c>
      <c r="AB137" s="50" t="s">
        <v>17809</v>
      </c>
      <c r="AC137" s="50" t="s">
        <v>17047</v>
      </c>
      <c r="AD137" s="50" t="s">
        <v>17809</v>
      </c>
      <c r="AE137" s="50" t="s">
        <v>12215</v>
      </c>
      <c r="AF137" s="50" t="s">
        <v>17809</v>
      </c>
      <c r="AG137" s="50" t="s">
        <v>12216</v>
      </c>
      <c r="AH137" s="50" t="s">
        <v>17809</v>
      </c>
      <c r="AI137" s="50" t="s">
        <v>102</v>
      </c>
      <c r="AJ137" s="50" t="s">
        <v>17810</v>
      </c>
      <c r="AK137" s="50" t="s">
        <v>17811</v>
      </c>
      <c r="AL137" s="50" t="s">
        <v>17812</v>
      </c>
      <c r="AM137" s="50" t="s">
        <v>17813</v>
      </c>
      <c r="AN137" s="50" t="s">
        <v>17814</v>
      </c>
      <c r="AO137" s="50" t="s">
        <v>17815</v>
      </c>
      <c r="AP137" s="50" t="s">
        <v>17815</v>
      </c>
      <c r="AU137" s="50" t="s">
        <v>102</v>
      </c>
      <c r="AW137" s="50" t="s">
        <v>155</v>
      </c>
      <c r="AX137" s="50" t="s">
        <v>447</v>
      </c>
      <c r="AY137" s="50" t="s">
        <v>170</v>
      </c>
      <c r="AZ137" s="50" t="s">
        <v>118</v>
      </c>
      <c r="BB137" s="50" t="s">
        <v>120</v>
      </c>
      <c r="BC137" s="50" t="s">
        <v>17816</v>
      </c>
      <c r="BD137" s="50" t="s">
        <v>345</v>
      </c>
      <c r="BE137" s="50" t="s">
        <v>122</v>
      </c>
      <c r="BF137" s="50" t="s">
        <v>346</v>
      </c>
      <c r="BG137" s="50" t="s">
        <v>124</v>
      </c>
      <c r="BH137" s="50" t="s">
        <v>12023</v>
      </c>
      <c r="BI137" s="50" t="s">
        <v>11889</v>
      </c>
      <c r="BJ137" s="50" t="s">
        <v>127</v>
      </c>
      <c r="BK137" s="50" t="s">
        <v>17817</v>
      </c>
      <c r="BL137" s="50" t="s">
        <v>17818</v>
      </c>
      <c r="BM137" s="50" t="s">
        <v>17819</v>
      </c>
      <c r="BN137" s="50" t="s">
        <v>17806</v>
      </c>
      <c r="BO137" s="50" t="s">
        <v>12226</v>
      </c>
      <c r="BP137" s="50" t="s">
        <v>180</v>
      </c>
      <c r="BQ137" s="50" t="s">
        <v>12228</v>
      </c>
      <c r="BR137" s="50" t="s">
        <v>12229</v>
      </c>
      <c r="BS137" s="50" t="s">
        <v>8623</v>
      </c>
      <c r="BU137" s="50" t="s">
        <v>17820</v>
      </c>
      <c r="BV137" s="50" t="s">
        <v>17821</v>
      </c>
      <c r="BW137" s="50" t="s">
        <v>3121</v>
      </c>
      <c r="BX137" s="50" t="s">
        <v>17822</v>
      </c>
      <c r="BY137" s="50" t="s">
        <v>17823</v>
      </c>
      <c r="BZ137" s="50" t="s">
        <v>17824</v>
      </c>
      <c r="CA137" s="50" t="s">
        <v>17825</v>
      </c>
      <c r="CB137" s="50" t="s">
        <v>17822</v>
      </c>
      <c r="CC137" s="50" t="s">
        <v>17823</v>
      </c>
      <c r="CD137" s="50" t="s">
        <v>17825</v>
      </c>
      <c r="CE137" s="50" t="s">
        <v>17822</v>
      </c>
      <c r="CF137" s="50" t="s">
        <v>17823</v>
      </c>
      <c r="CG137" s="50" t="s">
        <v>1709</v>
      </c>
      <c r="CH137" s="50" t="s">
        <v>17826</v>
      </c>
      <c r="CJ137" s="50" t="s">
        <v>17827</v>
      </c>
      <c r="CK137" s="50" t="s">
        <v>17826</v>
      </c>
      <c r="CL137" s="50" t="s">
        <v>17816</v>
      </c>
      <c r="CM137" s="50" t="s">
        <v>345</v>
      </c>
      <c r="CN137" s="50" t="s">
        <v>17827</v>
      </c>
      <c r="CP137" s="50" t="s">
        <v>17828</v>
      </c>
      <c r="CQ137" s="50" t="s">
        <v>17828</v>
      </c>
    </row>
    <row r="138" spans="1:96">
      <c r="A138" s="50" t="s">
        <v>149</v>
      </c>
      <c r="B138" s="50">
        <v>1879439</v>
      </c>
      <c r="C138" s="50" t="s">
        <v>11947</v>
      </c>
      <c r="D138" s="50" t="s">
        <v>2138</v>
      </c>
      <c r="E138" s="50" t="str">
        <f>VLOOKUP(B138,aa!B:F,5,0)</f>
        <v>Ei ASSET</v>
      </c>
      <c r="F138" s="50">
        <f>VLOOKUP(B138,aa!B:J,9,0)</f>
        <v>447253</v>
      </c>
      <c r="G138" s="50">
        <f>VLOOKUP(B138,aa!B:L,11,0)</f>
        <v>447253</v>
      </c>
      <c r="H138" s="50">
        <f>VLOOKUP(B138,aa!B:O,14,0)</f>
        <v>0</v>
      </c>
      <c r="I138" s="50">
        <f>VLOOKUP(B138,aa!B:R,17,0)</f>
        <v>0</v>
      </c>
      <c r="K138" s="50" t="s">
        <v>193</v>
      </c>
      <c r="L138" s="50">
        <v>431637</v>
      </c>
      <c r="M138" s="50">
        <v>431637</v>
      </c>
      <c r="N138" s="50">
        <v>431637</v>
      </c>
      <c r="O138" s="50">
        <v>489</v>
      </c>
      <c r="P138" s="50" t="s">
        <v>13091</v>
      </c>
      <c r="Q138" s="50">
        <v>0</v>
      </c>
      <c r="R138" s="50">
        <v>0</v>
      </c>
      <c r="T138" s="50">
        <v>0</v>
      </c>
      <c r="U138" s="50">
        <v>210</v>
      </c>
      <c r="V138" s="50" t="s">
        <v>102</v>
      </c>
      <c r="W138" s="50" t="s">
        <v>102</v>
      </c>
      <c r="X138" s="50" t="s">
        <v>275</v>
      </c>
      <c r="Z138" s="50" t="s">
        <v>13092</v>
      </c>
      <c r="AA138" s="50" t="s">
        <v>109</v>
      </c>
      <c r="AB138" s="50" t="s">
        <v>102</v>
      </c>
      <c r="AC138" s="50" t="s">
        <v>109</v>
      </c>
      <c r="AD138" s="50" t="s">
        <v>102</v>
      </c>
      <c r="AE138" s="50" t="s">
        <v>109</v>
      </c>
      <c r="AF138" s="50" t="s">
        <v>102</v>
      </c>
      <c r="AG138" s="50" t="s">
        <v>109</v>
      </c>
      <c r="AH138" s="50" t="s">
        <v>102</v>
      </c>
      <c r="AI138" s="50" t="s">
        <v>13093</v>
      </c>
      <c r="AJ138" s="50" t="s">
        <v>11300</v>
      </c>
      <c r="AK138" s="50" t="s">
        <v>11300</v>
      </c>
      <c r="AL138" s="50" t="s">
        <v>13094</v>
      </c>
      <c r="AM138" s="50" t="s">
        <v>13095</v>
      </c>
      <c r="AN138" s="50" t="s">
        <v>102</v>
      </c>
      <c r="AO138" s="50" t="s">
        <v>13096</v>
      </c>
      <c r="AP138" s="50" t="s">
        <v>13096</v>
      </c>
      <c r="AU138" s="50" t="s">
        <v>207</v>
      </c>
      <c r="AV138" s="50" t="s">
        <v>118</v>
      </c>
      <c r="AW138" s="50" t="s">
        <v>102</v>
      </c>
      <c r="AX138" s="50" t="s">
        <v>119</v>
      </c>
      <c r="BA138" s="50" t="s">
        <v>250</v>
      </c>
      <c r="BB138" s="50" t="s">
        <v>209</v>
      </c>
      <c r="BC138" s="50" t="s">
        <v>920</v>
      </c>
      <c r="BD138" s="50" t="s">
        <v>211</v>
      </c>
      <c r="BE138" s="50" t="s">
        <v>212</v>
      </c>
      <c r="BF138" s="50" t="s">
        <v>213</v>
      </c>
      <c r="BG138" s="50" t="s">
        <v>124</v>
      </c>
      <c r="BH138" s="50" t="s">
        <v>11959</v>
      </c>
      <c r="BI138" s="50" t="s">
        <v>11960</v>
      </c>
      <c r="BJ138" s="50" t="s">
        <v>127</v>
      </c>
      <c r="BK138" s="50" t="s">
        <v>13097</v>
      </c>
      <c r="BL138" s="50" t="s">
        <v>2149</v>
      </c>
      <c r="BM138" s="50" t="s">
        <v>13098</v>
      </c>
      <c r="BN138" s="50" t="s">
        <v>13090</v>
      </c>
      <c r="BO138" s="50" t="s">
        <v>13099</v>
      </c>
      <c r="BP138" s="50" t="s">
        <v>180</v>
      </c>
      <c r="BQ138" s="50" t="s">
        <v>13100</v>
      </c>
      <c r="BR138" s="50" t="s">
        <v>13101</v>
      </c>
      <c r="BS138" s="50" t="s">
        <v>2151</v>
      </c>
      <c r="BU138" s="50" t="s">
        <v>13102</v>
      </c>
      <c r="BV138" s="50" t="s">
        <v>13103</v>
      </c>
      <c r="BW138" s="50" t="s">
        <v>9092</v>
      </c>
      <c r="BX138" s="50" t="s">
        <v>13104</v>
      </c>
      <c r="BY138" s="50" t="s">
        <v>13105</v>
      </c>
      <c r="BZ138" s="50" t="s">
        <v>2156</v>
      </c>
      <c r="CA138" s="50" t="s">
        <v>13106</v>
      </c>
      <c r="CB138" s="50" t="s">
        <v>13107</v>
      </c>
      <c r="CC138" s="50" t="s">
        <v>13108</v>
      </c>
      <c r="CD138" s="50" t="s">
        <v>13103</v>
      </c>
      <c r="CE138" s="50" t="s">
        <v>13104</v>
      </c>
      <c r="CF138" s="50" t="s">
        <v>13108</v>
      </c>
      <c r="CG138" s="50" t="s">
        <v>102</v>
      </c>
      <c r="CH138" s="50" t="s">
        <v>2159</v>
      </c>
      <c r="CJ138" s="50" t="s">
        <v>2160</v>
      </c>
      <c r="CL138" s="50" t="s">
        <v>920</v>
      </c>
      <c r="CM138" s="50" t="s">
        <v>211</v>
      </c>
      <c r="CN138" s="50" t="s">
        <v>2160</v>
      </c>
      <c r="CO138" s="50" t="s">
        <v>2161</v>
      </c>
      <c r="CP138" s="50" t="s">
        <v>2159</v>
      </c>
      <c r="CQ138" s="50" t="s">
        <v>2159</v>
      </c>
    </row>
    <row r="139" spans="1:96">
      <c r="A139" s="50" t="s">
        <v>93</v>
      </c>
      <c r="B139" s="50">
        <v>3875940</v>
      </c>
      <c r="C139" s="50" t="s">
        <v>384</v>
      </c>
      <c r="D139" s="50" t="s">
        <v>7753</v>
      </c>
      <c r="E139" s="50" t="str">
        <f>VLOOKUP(B139,aa!B:F,5,0)</f>
        <v>Ei CARES</v>
      </c>
      <c r="F139" s="50">
        <f>VLOOKUP(B139,aa!B:J,9,0)</f>
        <v>264683</v>
      </c>
      <c r="G139" s="50">
        <f>VLOOKUP(B139,aa!B:L,11,0)</f>
        <v>0</v>
      </c>
      <c r="H139" s="50">
        <f>VLOOKUP(B139,aa!B:O,14,0)</f>
        <v>264683</v>
      </c>
      <c r="I139" s="50">
        <f>VLOOKUP(B139,aa!B:R,17,0)</f>
        <v>0</v>
      </c>
      <c r="K139" s="50" t="s">
        <v>152</v>
      </c>
      <c r="L139" s="50">
        <v>214139</v>
      </c>
      <c r="M139" s="50">
        <v>214139</v>
      </c>
      <c r="N139" s="50">
        <v>0</v>
      </c>
      <c r="O139" s="50">
        <v>0</v>
      </c>
      <c r="Q139" s="50">
        <v>214139</v>
      </c>
      <c r="R139" s="50">
        <v>133</v>
      </c>
      <c r="S139" s="50" t="s">
        <v>6839</v>
      </c>
      <c r="T139" s="50">
        <v>0</v>
      </c>
      <c r="U139" s="50">
        <v>0</v>
      </c>
      <c r="W139" s="50" t="s">
        <v>102</v>
      </c>
      <c r="X139" s="50" t="s">
        <v>103</v>
      </c>
      <c r="Y139" s="50" t="s">
        <v>155</v>
      </c>
      <c r="AA139" s="50" t="s">
        <v>7020</v>
      </c>
      <c r="AB139" s="50" t="s">
        <v>17208</v>
      </c>
      <c r="AC139" s="50" t="s">
        <v>8708</v>
      </c>
      <c r="AD139" s="50" t="s">
        <v>17208</v>
      </c>
      <c r="AE139" s="50" t="s">
        <v>12427</v>
      </c>
      <c r="AF139" s="50" t="s">
        <v>17208</v>
      </c>
      <c r="AG139" s="50" t="s">
        <v>12713</v>
      </c>
      <c r="AH139" s="50" t="s">
        <v>17208</v>
      </c>
      <c r="AI139" s="50" t="s">
        <v>102</v>
      </c>
      <c r="AJ139" s="50" t="s">
        <v>1379</v>
      </c>
      <c r="AK139" s="50" t="s">
        <v>16007</v>
      </c>
      <c r="AL139" s="50" t="s">
        <v>17209</v>
      </c>
      <c r="AM139" s="50" t="s">
        <v>17210</v>
      </c>
      <c r="AN139" s="50" t="s">
        <v>17211</v>
      </c>
      <c r="AO139" s="50" t="s">
        <v>17212</v>
      </c>
      <c r="AP139" s="50" t="s">
        <v>17212</v>
      </c>
      <c r="AU139" s="50" t="s">
        <v>102</v>
      </c>
      <c r="AW139" s="50" t="s">
        <v>155</v>
      </c>
      <c r="AX139" s="50" t="s">
        <v>447</v>
      </c>
      <c r="AY139" s="50" t="s">
        <v>170</v>
      </c>
      <c r="AZ139" s="50" t="s">
        <v>118</v>
      </c>
      <c r="BB139" s="50" t="s">
        <v>171</v>
      </c>
      <c r="BC139" s="50" t="s">
        <v>7760</v>
      </c>
      <c r="BD139" s="50" t="s">
        <v>376</v>
      </c>
      <c r="BE139" s="50" t="s">
        <v>174</v>
      </c>
      <c r="BF139" s="50" t="s">
        <v>376</v>
      </c>
      <c r="BG139" s="50" t="s">
        <v>124</v>
      </c>
      <c r="BH139" s="50" t="s">
        <v>12023</v>
      </c>
      <c r="BI139" s="50" t="s">
        <v>11886</v>
      </c>
      <c r="BJ139" s="50" t="s">
        <v>127</v>
      </c>
      <c r="BK139" s="50" t="s">
        <v>17213</v>
      </c>
      <c r="BL139" s="50" t="s">
        <v>7762</v>
      </c>
      <c r="BM139" s="50" t="s">
        <v>17214</v>
      </c>
      <c r="BN139" s="50" t="s">
        <v>17207</v>
      </c>
      <c r="BO139" s="50" t="s">
        <v>5026</v>
      </c>
      <c r="BP139" s="50" t="s">
        <v>258</v>
      </c>
      <c r="BQ139" s="50" t="s">
        <v>5027</v>
      </c>
      <c r="BR139" s="50" t="s">
        <v>5028</v>
      </c>
      <c r="BS139" s="50" t="s">
        <v>5029</v>
      </c>
      <c r="BU139" s="50" t="s">
        <v>17215</v>
      </c>
      <c r="BV139" s="50" t="s">
        <v>7765</v>
      </c>
      <c r="BW139" s="50" t="s">
        <v>138</v>
      </c>
      <c r="BX139" s="50" t="s">
        <v>7766</v>
      </c>
      <c r="BY139" s="50" t="s">
        <v>7767</v>
      </c>
      <c r="BZ139" s="50" t="s">
        <v>7766</v>
      </c>
      <c r="CA139" s="50" t="s">
        <v>7765</v>
      </c>
      <c r="CB139" s="50" t="s">
        <v>7766</v>
      </c>
      <c r="CC139" s="50" t="s">
        <v>7767</v>
      </c>
      <c r="CD139" s="50" t="s">
        <v>7765</v>
      </c>
      <c r="CE139" s="50" t="s">
        <v>7766</v>
      </c>
      <c r="CF139" s="50" t="s">
        <v>7767</v>
      </c>
      <c r="CG139" s="50" t="s">
        <v>358</v>
      </c>
      <c r="CH139" s="50" t="s">
        <v>17216</v>
      </c>
      <c r="CJ139" s="50" t="s">
        <v>7772</v>
      </c>
      <c r="CK139" s="50" t="s">
        <v>7771</v>
      </c>
      <c r="CL139" s="50" t="s">
        <v>7760</v>
      </c>
      <c r="CM139" s="50" t="s">
        <v>376</v>
      </c>
      <c r="CN139" s="50" t="s">
        <v>7772</v>
      </c>
      <c r="CP139" s="50" t="s">
        <v>7771</v>
      </c>
      <c r="CQ139" s="50" t="s">
        <v>7771</v>
      </c>
    </row>
    <row r="140" spans="1:96">
      <c r="A140" s="50" t="s">
        <v>149</v>
      </c>
      <c r="B140" s="50">
        <v>3883519</v>
      </c>
      <c r="C140" s="50" t="s">
        <v>12491</v>
      </c>
      <c r="D140" s="50" t="s">
        <v>7786</v>
      </c>
      <c r="E140" s="50" t="str">
        <f>VLOOKUP(B140,aa!B:F,5,0)</f>
        <v>Ei ASSET, Ei CARES</v>
      </c>
      <c r="F140" s="50">
        <f>VLOOKUP(B140,aa!B:J,9,0)</f>
        <v>1504335</v>
      </c>
      <c r="G140" s="50">
        <f>VLOOKUP(B140,aa!B:L,11,0)</f>
        <v>492523</v>
      </c>
      <c r="H140" s="50">
        <f>VLOOKUP(B140,aa!B:O,14,0)</f>
        <v>1011812</v>
      </c>
      <c r="I140" s="50">
        <f>VLOOKUP(B140,aa!B:R,17,0)</f>
        <v>0</v>
      </c>
      <c r="K140" s="50" t="s">
        <v>675</v>
      </c>
      <c r="L140" s="50">
        <v>1164872</v>
      </c>
      <c r="M140" s="50">
        <v>1164872</v>
      </c>
      <c r="N140" s="50">
        <v>408151</v>
      </c>
      <c r="O140" s="50">
        <v>535</v>
      </c>
      <c r="P140" s="50" t="s">
        <v>17225</v>
      </c>
      <c r="Q140" s="50">
        <v>756721</v>
      </c>
      <c r="R140" s="50">
        <v>340</v>
      </c>
      <c r="S140" s="50" t="s">
        <v>17226</v>
      </c>
      <c r="T140" s="50">
        <v>0</v>
      </c>
      <c r="U140" s="50">
        <v>0</v>
      </c>
      <c r="W140" s="50" t="s">
        <v>102</v>
      </c>
      <c r="X140" s="50" t="s">
        <v>103</v>
      </c>
      <c r="Y140" s="50" t="s">
        <v>155</v>
      </c>
      <c r="AA140" s="50" t="s">
        <v>14914</v>
      </c>
      <c r="AB140" s="50" t="s">
        <v>17227</v>
      </c>
      <c r="AC140" s="50" t="s">
        <v>17228</v>
      </c>
      <c r="AD140" s="50" t="s">
        <v>17227</v>
      </c>
      <c r="AE140" s="50" t="s">
        <v>17229</v>
      </c>
      <c r="AF140" s="50" t="s">
        <v>17227</v>
      </c>
      <c r="AG140" s="50" t="s">
        <v>11886</v>
      </c>
      <c r="AH140" s="50" t="s">
        <v>17227</v>
      </c>
      <c r="AI140" s="50" t="s">
        <v>17230</v>
      </c>
      <c r="AJ140" s="50" t="s">
        <v>15221</v>
      </c>
      <c r="AK140" s="50" t="s">
        <v>17231</v>
      </c>
      <c r="AL140" s="50" t="s">
        <v>17232</v>
      </c>
      <c r="AM140" s="50" t="s">
        <v>17233</v>
      </c>
      <c r="AN140" s="50" t="s">
        <v>17234</v>
      </c>
      <c r="AO140" s="50" t="s">
        <v>17235</v>
      </c>
      <c r="AP140" s="50" t="s">
        <v>17235</v>
      </c>
      <c r="AU140" s="50" t="s">
        <v>207</v>
      </c>
      <c r="AV140" s="50" t="s">
        <v>118</v>
      </c>
      <c r="AW140" s="50" t="s">
        <v>655</v>
      </c>
      <c r="AX140" s="50" t="s">
        <v>119</v>
      </c>
      <c r="AY140" s="50" t="s">
        <v>1138</v>
      </c>
      <c r="AZ140" s="50" t="s">
        <v>118</v>
      </c>
      <c r="BB140" s="50" t="s">
        <v>120</v>
      </c>
      <c r="BC140" s="50" t="s">
        <v>3854</v>
      </c>
      <c r="BD140" s="50" t="s">
        <v>449</v>
      </c>
      <c r="BE140" s="50" t="s">
        <v>122</v>
      </c>
      <c r="BF140" s="50" t="s">
        <v>450</v>
      </c>
      <c r="BG140" s="50" t="s">
        <v>124</v>
      </c>
      <c r="BH140" s="50" t="s">
        <v>12023</v>
      </c>
      <c r="BI140" s="50" t="s">
        <v>11889</v>
      </c>
      <c r="BJ140" s="50" t="s">
        <v>127</v>
      </c>
      <c r="BK140" s="50" t="s">
        <v>17236</v>
      </c>
      <c r="BL140" s="50" t="s">
        <v>7800</v>
      </c>
      <c r="BM140" s="50" t="s">
        <v>17237</v>
      </c>
      <c r="BN140" s="50" t="s">
        <v>17207</v>
      </c>
      <c r="BO140" s="50" t="s">
        <v>8788</v>
      </c>
      <c r="BP140" s="50" t="s">
        <v>350</v>
      </c>
      <c r="BQ140" s="50" t="s">
        <v>8789</v>
      </c>
      <c r="BR140" s="50" t="s">
        <v>8790</v>
      </c>
      <c r="BS140" s="50" t="s">
        <v>1006</v>
      </c>
      <c r="BU140" s="50" t="s">
        <v>17238</v>
      </c>
      <c r="BV140" s="50" t="s">
        <v>7803</v>
      </c>
      <c r="BW140" s="50" t="s">
        <v>354</v>
      </c>
      <c r="BX140" s="50" t="s">
        <v>17239</v>
      </c>
      <c r="BY140" s="50" t="s">
        <v>17240</v>
      </c>
      <c r="BZ140" s="50" t="s">
        <v>7806</v>
      </c>
      <c r="CA140" s="50" t="s">
        <v>17241</v>
      </c>
      <c r="CB140" s="50" t="s">
        <v>17242</v>
      </c>
      <c r="CC140" s="50" t="s">
        <v>17243</v>
      </c>
      <c r="CD140" s="50" t="s">
        <v>17244</v>
      </c>
      <c r="CE140" s="50" t="s">
        <v>17245</v>
      </c>
      <c r="CF140" s="50" t="s">
        <v>17243</v>
      </c>
      <c r="CG140" s="50" t="s">
        <v>102</v>
      </c>
      <c r="CH140" s="50" t="s">
        <v>17246</v>
      </c>
      <c r="CJ140" s="50" t="s">
        <v>7810</v>
      </c>
      <c r="CL140" s="50" t="s">
        <v>3854</v>
      </c>
      <c r="CM140" s="50" t="s">
        <v>449</v>
      </c>
      <c r="CN140" s="50" t="s">
        <v>7810</v>
      </c>
      <c r="CO140" s="50" t="s">
        <v>7811</v>
      </c>
      <c r="CP140" s="50" t="s">
        <v>7809</v>
      </c>
      <c r="CQ140" s="50" t="s">
        <v>7809</v>
      </c>
    </row>
    <row r="141" spans="1:96">
      <c r="A141" s="50" t="s">
        <v>337</v>
      </c>
      <c r="B141" s="50">
        <v>5018578</v>
      </c>
      <c r="C141" s="50" t="s">
        <v>12423</v>
      </c>
      <c r="D141" s="50" t="s">
        <v>20037</v>
      </c>
      <c r="E141" s="50" t="str">
        <f>VLOOKUP(B141,aa!B:F,5,0)</f>
        <v>Ei CARES</v>
      </c>
      <c r="F141" s="50">
        <f>VLOOKUP(B141,aa!B:J,9,0)</f>
        <v>168940</v>
      </c>
      <c r="G141" s="50">
        <f>VLOOKUP(B141,aa!B:L,11,0)</f>
        <v>0</v>
      </c>
      <c r="H141" s="50">
        <f>VLOOKUP(B141,aa!B:O,14,0)</f>
        <v>168940</v>
      </c>
      <c r="I141" s="50">
        <f>VLOOKUP(B141,aa!B:R,17,0)</f>
        <v>0</v>
      </c>
      <c r="K141" s="50" t="s">
        <v>20039</v>
      </c>
      <c r="L141" s="50">
        <v>288282</v>
      </c>
      <c r="M141" s="50">
        <v>288282</v>
      </c>
      <c r="N141" s="50">
        <v>84216</v>
      </c>
      <c r="O141" s="50">
        <v>127</v>
      </c>
      <c r="P141" s="50" t="s">
        <v>20040</v>
      </c>
      <c r="Q141" s="50">
        <v>204066</v>
      </c>
      <c r="R141" s="50">
        <v>164</v>
      </c>
      <c r="S141" s="50" t="s">
        <v>20041</v>
      </c>
      <c r="T141" s="50">
        <v>0</v>
      </c>
      <c r="U141" s="50">
        <v>0</v>
      </c>
      <c r="W141" s="50" t="s">
        <v>102</v>
      </c>
      <c r="X141" s="50" t="s">
        <v>679</v>
      </c>
      <c r="Y141" s="50" t="s">
        <v>155</v>
      </c>
      <c r="Z141" s="50" t="s">
        <v>11911</v>
      </c>
      <c r="AA141" s="50" t="s">
        <v>20042</v>
      </c>
      <c r="AB141" s="50" t="s">
        <v>20043</v>
      </c>
      <c r="AC141" s="50" t="s">
        <v>20044</v>
      </c>
      <c r="AD141" s="50" t="s">
        <v>20045</v>
      </c>
      <c r="AE141" s="50" t="s">
        <v>17939</v>
      </c>
      <c r="AF141" s="50" t="s">
        <v>20045</v>
      </c>
      <c r="AG141" s="50" t="s">
        <v>14084</v>
      </c>
      <c r="AH141" s="50" t="s">
        <v>20045</v>
      </c>
      <c r="AI141" s="50" t="s">
        <v>102</v>
      </c>
      <c r="AJ141" s="50" t="s">
        <v>13949</v>
      </c>
      <c r="AK141" s="50" t="s">
        <v>8747</v>
      </c>
      <c r="AL141" s="50" t="s">
        <v>20046</v>
      </c>
      <c r="AM141" s="50" t="s">
        <v>20047</v>
      </c>
      <c r="AN141" s="50" t="s">
        <v>20048</v>
      </c>
      <c r="AO141" s="50" t="s">
        <v>20049</v>
      </c>
      <c r="AP141" s="50" t="s">
        <v>20050</v>
      </c>
      <c r="AS141" s="50" t="s">
        <v>169</v>
      </c>
      <c r="AU141" s="50" t="s">
        <v>207</v>
      </c>
      <c r="AV141" s="50" t="s">
        <v>250</v>
      </c>
      <c r="AW141" s="50" t="s">
        <v>801</v>
      </c>
      <c r="AX141" s="50" t="s">
        <v>447</v>
      </c>
      <c r="AY141" s="50" t="s">
        <v>170</v>
      </c>
      <c r="AZ141" s="50" t="s">
        <v>118</v>
      </c>
      <c r="BB141" s="50" t="s">
        <v>120</v>
      </c>
      <c r="BC141" s="50" t="s">
        <v>3735</v>
      </c>
      <c r="BD141" s="50" t="s">
        <v>410</v>
      </c>
      <c r="BE141" s="50" t="s">
        <v>212</v>
      </c>
      <c r="BF141" s="50" t="s">
        <v>410</v>
      </c>
      <c r="BG141" s="50" t="s">
        <v>124</v>
      </c>
      <c r="BH141" s="50" t="s">
        <v>12023</v>
      </c>
      <c r="BI141" s="50" t="s">
        <v>11889</v>
      </c>
      <c r="BJ141" s="50" t="s">
        <v>127</v>
      </c>
      <c r="BK141" s="50" t="s">
        <v>20051</v>
      </c>
      <c r="BL141" s="50" t="s">
        <v>20052</v>
      </c>
      <c r="BM141" s="50" t="s">
        <v>20053</v>
      </c>
      <c r="BN141" s="50" t="s">
        <v>20038</v>
      </c>
      <c r="BO141" s="50" t="s">
        <v>896</v>
      </c>
      <c r="BP141" s="50" t="s">
        <v>13875</v>
      </c>
      <c r="BQ141" s="50" t="s">
        <v>897</v>
      </c>
      <c r="BR141" s="50" t="s">
        <v>898</v>
      </c>
      <c r="BS141" s="50" t="s">
        <v>899</v>
      </c>
      <c r="BU141" s="50" t="s">
        <v>20054</v>
      </c>
      <c r="BV141" s="50" t="s">
        <v>20055</v>
      </c>
      <c r="BW141" s="50" t="s">
        <v>3121</v>
      </c>
      <c r="BX141" s="50" t="s">
        <v>20056</v>
      </c>
      <c r="BY141" s="50" t="s">
        <v>20057</v>
      </c>
      <c r="BZ141" s="50" t="s">
        <v>20056</v>
      </c>
      <c r="CA141" s="50" t="s">
        <v>20058</v>
      </c>
      <c r="CB141" s="50" t="s">
        <v>20056</v>
      </c>
      <c r="CC141" s="50" t="s">
        <v>20059</v>
      </c>
      <c r="CD141" s="50" t="s">
        <v>20058</v>
      </c>
      <c r="CE141" s="50" t="s">
        <v>20056</v>
      </c>
      <c r="CF141" s="50" t="s">
        <v>20059</v>
      </c>
      <c r="CG141" s="50" t="s">
        <v>3968</v>
      </c>
      <c r="CH141" s="50" t="s">
        <v>20060</v>
      </c>
      <c r="CJ141" s="50" t="s">
        <v>20061</v>
      </c>
      <c r="CK141" s="50" t="s">
        <v>20060</v>
      </c>
      <c r="CL141" s="50" t="s">
        <v>3735</v>
      </c>
      <c r="CM141" s="50" t="s">
        <v>410</v>
      </c>
      <c r="CN141" s="50" t="s">
        <v>20061</v>
      </c>
      <c r="CP141" s="50" t="s">
        <v>20062</v>
      </c>
      <c r="CQ141" s="50" t="s">
        <v>20062</v>
      </c>
    </row>
    <row r="142" spans="1:96">
      <c r="A142" s="50" t="s">
        <v>149</v>
      </c>
      <c r="B142" s="50">
        <v>562911</v>
      </c>
      <c r="C142" s="50" t="s">
        <v>12491</v>
      </c>
      <c r="D142" s="50" t="s">
        <v>11156</v>
      </c>
      <c r="E142" s="50" t="str">
        <f>VLOOKUP(B142,aa!B:F,5,0)</f>
        <v>Ei ASSET, Ei Mindspark</v>
      </c>
      <c r="F142" s="50">
        <f>VLOOKUP(B142,aa!B:J,9,0)</f>
        <v>1792583</v>
      </c>
      <c r="G142" s="50">
        <f>VLOOKUP(B142,aa!B:L,11,0)</f>
        <v>451972</v>
      </c>
      <c r="H142" s="50">
        <f>VLOOKUP(B142,aa!B:O,14,0)</f>
        <v>0</v>
      </c>
      <c r="I142" s="50">
        <f>VLOOKUP(B142,aa!B:R,17,0)</f>
        <v>1340611</v>
      </c>
      <c r="K142" s="50" t="s">
        <v>193</v>
      </c>
      <c r="L142" s="50">
        <v>1779772</v>
      </c>
      <c r="M142" s="50">
        <v>2027061</v>
      </c>
      <c r="N142" s="50">
        <v>405942</v>
      </c>
      <c r="O142" s="50">
        <v>580</v>
      </c>
      <c r="P142" s="50" t="s">
        <v>799</v>
      </c>
      <c r="Q142" s="50">
        <v>0</v>
      </c>
      <c r="R142" s="50">
        <v>0</v>
      </c>
      <c r="T142" s="50">
        <v>1373830</v>
      </c>
      <c r="U142" s="50">
        <v>579</v>
      </c>
      <c r="V142" s="50" t="s">
        <v>11158</v>
      </c>
      <c r="W142" s="50" t="s">
        <v>102</v>
      </c>
      <c r="X142" s="50" t="s">
        <v>103</v>
      </c>
      <c r="Y142" s="50" t="s">
        <v>155</v>
      </c>
      <c r="AA142" s="50" t="s">
        <v>1941</v>
      </c>
      <c r="AB142" s="50" t="s">
        <v>21148</v>
      </c>
      <c r="AC142" s="50" t="s">
        <v>12040</v>
      </c>
      <c r="AD142" s="50" t="s">
        <v>21148</v>
      </c>
      <c r="AE142" s="50" t="s">
        <v>12099</v>
      </c>
      <c r="AF142" s="50" t="s">
        <v>21148</v>
      </c>
      <c r="AG142" s="50" t="s">
        <v>11886</v>
      </c>
      <c r="AH142" s="50" t="s">
        <v>21148</v>
      </c>
      <c r="AI142" s="50" t="s">
        <v>21149</v>
      </c>
      <c r="AJ142" s="50" t="s">
        <v>8783</v>
      </c>
      <c r="AK142" s="50" t="s">
        <v>12397</v>
      </c>
      <c r="AL142" s="50" t="s">
        <v>21150</v>
      </c>
      <c r="AM142" s="50" t="s">
        <v>21151</v>
      </c>
      <c r="AN142" s="50" t="s">
        <v>21152</v>
      </c>
      <c r="AO142" s="50" t="s">
        <v>21153</v>
      </c>
      <c r="AP142" s="50" t="s">
        <v>21153</v>
      </c>
      <c r="AU142" s="50" t="s">
        <v>247</v>
      </c>
      <c r="AV142" s="50" t="s">
        <v>118</v>
      </c>
      <c r="AW142" s="50" t="s">
        <v>102</v>
      </c>
      <c r="AX142" s="50" t="s">
        <v>119</v>
      </c>
      <c r="BA142" s="50" t="s">
        <v>250</v>
      </c>
      <c r="BB142" s="50" t="s">
        <v>120</v>
      </c>
      <c r="BC142" s="50" t="s">
        <v>121</v>
      </c>
      <c r="BD142" s="50" t="s">
        <v>121</v>
      </c>
      <c r="BE142" s="50" t="s">
        <v>122</v>
      </c>
      <c r="BF142" s="50" t="s">
        <v>123</v>
      </c>
      <c r="BG142" s="50" t="s">
        <v>124</v>
      </c>
      <c r="BH142" s="50" t="s">
        <v>12023</v>
      </c>
      <c r="BI142" s="50" t="s">
        <v>11889</v>
      </c>
      <c r="BJ142" s="50" t="s">
        <v>127</v>
      </c>
      <c r="BK142" s="50" t="s">
        <v>21154</v>
      </c>
      <c r="BL142" s="50" t="s">
        <v>11169</v>
      </c>
      <c r="BM142" s="50" t="s">
        <v>21155</v>
      </c>
      <c r="BN142" s="50" t="s">
        <v>6918</v>
      </c>
      <c r="BO142" s="50" t="s">
        <v>8788</v>
      </c>
      <c r="BP142" s="50" t="s">
        <v>350</v>
      </c>
      <c r="BQ142" s="50" t="s">
        <v>8789</v>
      </c>
      <c r="BR142" s="50" t="s">
        <v>8790</v>
      </c>
      <c r="BS142" s="50" t="s">
        <v>1006</v>
      </c>
      <c r="BU142" s="50" t="s">
        <v>21156</v>
      </c>
      <c r="BV142" s="50" t="s">
        <v>21157</v>
      </c>
      <c r="BW142" s="50" t="s">
        <v>569</v>
      </c>
      <c r="BX142" s="50" t="s">
        <v>21158</v>
      </c>
      <c r="BY142" s="50" t="s">
        <v>11174</v>
      </c>
      <c r="BZ142" s="50" t="s">
        <v>11175</v>
      </c>
      <c r="CA142" s="50" t="s">
        <v>21159</v>
      </c>
      <c r="CB142" s="50" t="s">
        <v>11177</v>
      </c>
      <c r="CC142" s="50" t="s">
        <v>11180</v>
      </c>
      <c r="CD142" s="50" t="s">
        <v>21160</v>
      </c>
      <c r="CE142" s="50" t="s">
        <v>11179</v>
      </c>
      <c r="CF142" s="50" t="s">
        <v>11180</v>
      </c>
      <c r="CG142" s="50" t="s">
        <v>102</v>
      </c>
      <c r="CH142" s="50" t="s">
        <v>21161</v>
      </c>
      <c r="CJ142" s="50" t="s">
        <v>7014</v>
      </c>
      <c r="CL142" s="50" t="s">
        <v>121</v>
      </c>
      <c r="CM142" s="50" t="s">
        <v>121</v>
      </c>
      <c r="CN142" s="50" t="s">
        <v>7014</v>
      </c>
      <c r="CO142" s="50" t="s">
        <v>11182</v>
      </c>
      <c r="CP142" s="50" t="s">
        <v>11181</v>
      </c>
      <c r="CQ142" s="50" t="s">
        <v>11181</v>
      </c>
    </row>
    <row r="143" spans="1:96">
      <c r="A143" s="50" t="s">
        <v>149</v>
      </c>
      <c r="B143" s="50">
        <v>23246</v>
      </c>
      <c r="C143" s="50" t="s">
        <v>418</v>
      </c>
      <c r="D143" s="50" t="s">
        <v>3026</v>
      </c>
      <c r="E143" s="50" t="str">
        <f>VLOOKUP(B143,aa!B:F,5,0)</f>
        <v>Ei ASSET, Ei Mindspark</v>
      </c>
      <c r="F143" s="50">
        <f>VLOOKUP(B143,aa!B:J,9,0)</f>
        <v>4385191</v>
      </c>
      <c r="G143" s="50">
        <f>VLOOKUP(B143,aa!B:L,11,0)</f>
        <v>1695708</v>
      </c>
      <c r="H143" s="50">
        <f>VLOOKUP(B143,aa!B:O,14,0)</f>
        <v>0</v>
      </c>
      <c r="I143" s="50">
        <f>VLOOKUP(B143,aa!B:R,17,0)</f>
        <v>2689483</v>
      </c>
      <c r="K143" s="50" t="s">
        <v>193</v>
      </c>
      <c r="L143" s="50">
        <v>3594413</v>
      </c>
      <c r="M143" s="50">
        <v>3968364</v>
      </c>
      <c r="N143" s="50">
        <v>1516908</v>
      </c>
      <c r="O143" s="50">
        <v>1404</v>
      </c>
      <c r="P143" s="50" t="s">
        <v>13723</v>
      </c>
      <c r="Q143" s="50">
        <v>0</v>
      </c>
      <c r="R143" s="50">
        <v>0</v>
      </c>
      <c r="T143" s="50">
        <v>2077505</v>
      </c>
      <c r="U143" s="50">
        <v>921</v>
      </c>
      <c r="V143" s="50" t="s">
        <v>13724</v>
      </c>
      <c r="W143" s="50" t="s">
        <v>102</v>
      </c>
      <c r="X143" s="50" t="s">
        <v>679</v>
      </c>
      <c r="Y143" s="50" t="s">
        <v>398</v>
      </c>
      <c r="Z143" s="50" t="s">
        <v>13725</v>
      </c>
      <c r="AA143" s="50" t="s">
        <v>13726</v>
      </c>
      <c r="AB143" s="50" t="s">
        <v>13727</v>
      </c>
      <c r="AC143" s="50" t="s">
        <v>13728</v>
      </c>
      <c r="AD143" s="50" t="s">
        <v>13729</v>
      </c>
      <c r="AE143" s="50" t="s">
        <v>13730</v>
      </c>
      <c r="AF143" s="50" t="s">
        <v>13729</v>
      </c>
      <c r="AG143" s="50" t="s">
        <v>109</v>
      </c>
      <c r="AH143" s="50" t="s">
        <v>102</v>
      </c>
      <c r="AI143" s="50" t="s">
        <v>13731</v>
      </c>
      <c r="AJ143" s="50" t="s">
        <v>7484</v>
      </c>
      <c r="AK143" s="50" t="s">
        <v>12927</v>
      </c>
      <c r="AL143" s="50" t="s">
        <v>13732</v>
      </c>
      <c r="AM143" s="50" t="s">
        <v>13733</v>
      </c>
      <c r="AN143" s="50" t="s">
        <v>13734</v>
      </c>
      <c r="AO143" s="50" t="s">
        <v>13735</v>
      </c>
      <c r="AP143" s="50" t="s">
        <v>13735</v>
      </c>
      <c r="AU143" s="50" t="s">
        <v>247</v>
      </c>
      <c r="AV143" s="50" t="s">
        <v>2203</v>
      </c>
      <c r="AW143" s="50" t="s">
        <v>102</v>
      </c>
      <c r="AX143" s="50" t="s">
        <v>119</v>
      </c>
      <c r="BA143" s="50" t="s">
        <v>250</v>
      </c>
      <c r="BB143" s="50" t="s">
        <v>171</v>
      </c>
      <c r="BC143" s="50" t="s">
        <v>920</v>
      </c>
      <c r="BD143" s="50" t="s">
        <v>211</v>
      </c>
      <c r="BE143" s="50" t="s">
        <v>212</v>
      </c>
      <c r="BF143" s="50" t="s">
        <v>213</v>
      </c>
      <c r="BG143" s="50" t="s">
        <v>124</v>
      </c>
      <c r="BH143" s="50" t="s">
        <v>13736</v>
      </c>
      <c r="BI143" s="50" t="s">
        <v>13737</v>
      </c>
      <c r="BJ143" s="50" t="s">
        <v>127</v>
      </c>
      <c r="BK143" s="50" t="s">
        <v>13738</v>
      </c>
      <c r="BL143" s="50" t="s">
        <v>3039</v>
      </c>
      <c r="BM143" s="50" t="s">
        <v>13739</v>
      </c>
      <c r="BN143" s="50" t="s">
        <v>13722</v>
      </c>
      <c r="BO143" s="50" t="s">
        <v>13740</v>
      </c>
      <c r="BP143" s="50" t="s">
        <v>13741</v>
      </c>
      <c r="BQ143" s="50" t="s">
        <v>13742</v>
      </c>
      <c r="BR143" s="50" t="s">
        <v>13743</v>
      </c>
      <c r="BS143" s="50" t="s">
        <v>222</v>
      </c>
      <c r="BU143" s="50" t="s">
        <v>13744</v>
      </c>
      <c r="BV143" s="50" t="s">
        <v>13745</v>
      </c>
      <c r="BW143" s="50" t="s">
        <v>1282</v>
      </c>
      <c r="BX143" s="50" t="s">
        <v>13746</v>
      </c>
      <c r="BY143" s="50" t="s">
        <v>13747</v>
      </c>
      <c r="BZ143" s="50" t="s">
        <v>3045</v>
      </c>
      <c r="CA143" s="50" t="s">
        <v>13748</v>
      </c>
      <c r="CB143" s="50" t="s">
        <v>13746</v>
      </c>
      <c r="CC143" s="50" t="s">
        <v>13747</v>
      </c>
      <c r="CD143" s="50" t="s">
        <v>13748</v>
      </c>
      <c r="CE143" s="50" t="s">
        <v>13746</v>
      </c>
      <c r="CF143" s="50" t="s">
        <v>13747</v>
      </c>
      <c r="CG143" s="50" t="s">
        <v>102</v>
      </c>
      <c r="CH143" s="50" t="s">
        <v>3049</v>
      </c>
      <c r="CJ143" s="50" t="s">
        <v>3050</v>
      </c>
      <c r="CL143" s="50" t="s">
        <v>920</v>
      </c>
      <c r="CM143" s="50" t="s">
        <v>211</v>
      </c>
      <c r="CN143" s="50" t="s">
        <v>3050</v>
      </c>
      <c r="CO143" s="50" t="s">
        <v>3051</v>
      </c>
      <c r="CP143" s="50" t="s">
        <v>3049</v>
      </c>
      <c r="CQ143" s="50" t="s">
        <v>3049</v>
      </c>
    </row>
    <row r="144" spans="1:96">
      <c r="A144" s="50" t="s">
        <v>149</v>
      </c>
      <c r="B144" s="50">
        <v>1837151</v>
      </c>
      <c r="C144" s="50" t="s">
        <v>12491</v>
      </c>
      <c r="D144" s="50" t="s">
        <v>13015</v>
      </c>
      <c r="E144" s="50" t="str">
        <f>VLOOKUP(B144,aa!B:F,5,0)</f>
        <v>Ei ASSET, Ei CARES</v>
      </c>
      <c r="F144" s="50">
        <f>VLOOKUP(B144,aa!B:J,9,0)</f>
        <v>2346186</v>
      </c>
      <c r="G144" s="50">
        <f>VLOOKUP(B144,aa!B:L,11,0)</f>
        <v>696060</v>
      </c>
      <c r="H144" s="50">
        <f>VLOOKUP(B144,aa!B:O,14,0)</f>
        <v>1650126</v>
      </c>
      <c r="I144" s="50">
        <f>VLOOKUP(B144,aa!B:R,17,0)</f>
        <v>0</v>
      </c>
      <c r="K144" s="50" t="s">
        <v>675</v>
      </c>
      <c r="L144" s="50">
        <v>2277700</v>
      </c>
      <c r="M144" s="50">
        <v>2277700</v>
      </c>
      <c r="N144" s="50">
        <v>678780</v>
      </c>
      <c r="O144" s="50">
        <v>1257</v>
      </c>
      <c r="P144" s="50" t="s">
        <v>2322</v>
      </c>
      <c r="Q144" s="50">
        <v>1598920</v>
      </c>
      <c r="R144" s="50">
        <v>1249</v>
      </c>
      <c r="S144" s="50" t="s">
        <v>13016</v>
      </c>
      <c r="T144" s="50">
        <v>0</v>
      </c>
      <c r="U144" s="50">
        <v>0</v>
      </c>
      <c r="W144" s="50" t="s">
        <v>102</v>
      </c>
      <c r="X144" s="50" t="s">
        <v>275</v>
      </c>
      <c r="Z144" s="50" t="s">
        <v>126</v>
      </c>
      <c r="AA144" s="50" t="s">
        <v>109</v>
      </c>
      <c r="AB144" s="50" t="s">
        <v>102</v>
      </c>
      <c r="AC144" s="50" t="s">
        <v>109</v>
      </c>
      <c r="AD144" s="50" t="s">
        <v>102</v>
      </c>
      <c r="AE144" s="50" t="s">
        <v>109</v>
      </c>
      <c r="AF144" s="50" t="s">
        <v>102</v>
      </c>
      <c r="AG144" s="50" t="s">
        <v>109</v>
      </c>
      <c r="AH144" s="50" t="s">
        <v>102</v>
      </c>
      <c r="AI144" s="50" t="s">
        <v>13017</v>
      </c>
      <c r="AJ144" s="50" t="s">
        <v>11948</v>
      </c>
      <c r="AK144" s="50" t="s">
        <v>2050</v>
      </c>
      <c r="AL144" s="50" t="s">
        <v>13018</v>
      </c>
      <c r="AM144" s="50" t="s">
        <v>13019</v>
      </c>
      <c r="AN144" s="50" t="s">
        <v>13020</v>
      </c>
      <c r="AO144" s="50" t="s">
        <v>13021</v>
      </c>
      <c r="AP144" s="50" t="s">
        <v>13022</v>
      </c>
      <c r="AQ144" s="50" t="s">
        <v>343</v>
      </c>
      <c r="AR144" s="50" t="s">
        <v>169</v>
      </c>
      <c r="AU144" s="50" t="s">
        <v>247</v>
      </c>
      <c r="AV144" s="50" t="s">
        <v>118</v>
      </c>
      <c r="AW144" s="50" t="s">
        <v>655</v>
      </c>
      <c r="AX144" s="50" t="s">
        <v>119</v>
      </c>
      <c r="AY144" s="50" t="s">
        <v>170</v>
      </c>
      <c r="AZ144" s="50" t="s">
        <v>118</v>
      </c>
      <c r="BB144" s="50" t="s">
        <v>120</v>
      </c>
      <c r="BC144" s="50" t="s">
        <v>2056</v>
      </c>
      <c r="BD144" s="50" t="s">
        <v>320</v>
      </c>
      <c r="BE144" s="50" t="s">
        <v>122</v>
      </c>
      <c r="BF144" s="50" t="s">
        <v>123</v>
      </c>
      <c r="BG144" s="50" t="s">
        <v>124</v>
      </c>
      <c r="BH144" s="50" t="s">
        <v>12023</v>
      </c>
      <c r="BI144" s="50" t="s">
        <v>11889</v>
      </c>
      <c r="BJ144" s="50" t="s">
        <v>127</v>
      </c>
      <c r="BK144" s="50" t="s">
        <v>13023</v>
      </c>
      <c r="BL144" s="50" t="s">
        <v>2058</v>
      </c>
      <c r="BM144" s="50" t="s">
        <v>13024</v>
      </c>
      <c r="BN144" s="50" t="s">
        <v>442</v>
      </c>
      <c r="BO144" s="50" t="s">
        <v>8788</v>
      </c>
      <c r="BP144" s="50" t="s">
        <v>350</v>
      </c>
      <c r="BQ144" s="50" t="s">
        <v>8789</v>
      </c>
      <c r="BR144" s="50" t="s">
        <v>8790</v>
      </c>
      <c r="BS144" s="50" t="s">
        <v>1006</v>
      </c>
      <c r="BU144" s="50" t="s">
        <v>13025</v>
      </c>
      <c r="BV144" s="50" t="s">
        <v>2061</v>
      </c>
      <c r="BW144" s="50" t="s">
        <v>354</v>
      </c>
      <c r="BX144" s="50" t="s">
        <v>2062</v>
      </c>
      <c r="BY144" s="50" t="s">
        <v>2063</v>
      </c>
      <c r="BZ144" s="50" t="s">
        <v>2062</v>
      </c>
      <c r="CA144" s="50" t="s">
        <v>13026</v>
      </c>
      <c r="CB144" s="50" t="s">
        <v>2062</v>
      </c>
      <c r="CC144" s="50" t="s">
        <v>2066</v>
      </c>
      <c r="CD144" s="50" t="s">
        <v>13027</v>
      </c>
      <c r="CE144" s="50" t="s">
        <v>2062</v>
      </c>
      <c r="CF144" s="50" t="s">
        <v>13028</v>
      </c>
      <c r="CG144" s="50" t="s">
        <v>2069</v>
      </c>
      <c r="CH144" s="50" t="s">
        <v>13029</v>
      </c>
      <c r="CJ144" s="50" t="s">
        <v>2071</v>
      </c>
      <c r="CK144" s="50" t="s">
        <v>13030</v>
      </c>
      <c r="CL144" s="50" t="s">
        <v>2056</v>
      </c>
      <c r="CM144" s="50" t="s">
        <v>320</v>
      </c>
      <c r="CN144" s="50" t="s">
        <v>2071</v>
      </c>
      <c r="CO144" s="50" t="s">
        <v>2072</v>
      </c>
      <c r="CP144" s="50" t="s">
        <v>2070</v>
      </c>
      <c r="CQ144" s="50" t="s">
        <v>2070</v>
      </c>
    </row>
    <row r="145" spans="1:96">
      <c r="A145" s="50" t="s">
        <v>93</v>
      </c>
      <c r="B145" s="50">
        <v>22983</v>
      </c>
      <c r="C145" s="50" t="s">
        <v>2525</v>
      </c>
      <c r="D145" s="50" t="s">
        <v>3002</v>
      </c>
      <c r="E145" s="50" t="str">
        <f>VLOOKUP(B145,aa!B:F,5,0)</f>
        <v>Ei CARES</v>
      </c>
      <c r="F145" s="50">
        <f>VLOOKUP(B145,aa!B:J,9,0)</f>
        <v>676988</v>
      </c>
      <c r="G145" s="50">
        <f>VLOOKUP(B145,aa!B:L,11,0)</f>
        <v>0</v>
      </c>
      <c r="H145" s="50">
        <f>VLOOKUP(B145,aa!B:O,14,0)</f>
        <v>676988</v>
      </c>
      <c r="I145" s="50">
        <f>VLOOKUP(B145,aa!B:R,17,0)</f>
        <v>0</v>
      </c>
      <c r="K145" s="50" t="s">
        <v>152</v>
      </c>
      <c r="L145" s="50">
        <v>457327</v>
      </c>
      <c r="M145" s="50">
        <v>457327</v>
      </c>
      <c r="N145" s="50">
        <v>0</v>
      </c>
      <c r="O145" s="50">
        <v>0</v>
      </c>
      <c r="Q145" s="50">
        <v>457327</v>
      </c>
      <c r="R145" s="50">
        <v>254</v>
      </c>
      <c r="S145" s="50" t="s">
        <v>3005</v>
      </c>
      <c r="T145" s="50">
        <v>0</v>
      </c>
      <c r="U145" s="50">
        <v>0</v>
      </c>
      <c r="W145" s="50" t="s">
        <v>102</v>
      </c>
      <c r="X145" s="50" t="s">
        <v>103</v>
      </c>
      <c r="Y145" s="50" t="s">
        <v>104</v>
      </c>
      <c r="AA145" s="50" t="s">
        <v>3993</v>
      </c>
      <c r="AB145" s="50" t="s">
        <v>13709</v>
      </c>
      <c r="AC145" s="50" t="s">
        <v>11888</v>
      </c>
      <c r="AD145" s="50" t="s">
        <v>13709</v>
      </c>
      <c r="AE145" s="50" t="s">
        <v>109</v>
      </c>
      <c r="AF145" s="50" t="s">
        <v>102</v>
      </c>
      <c r="AG145" s="50" t="s">
        <v>109</v>
      </c>
      <c r="AH145" s="50" t="s">
        <v>102</v>
      </c>
      <c r="AI145" s="50" t="s">
        <v>13710</v>
      </c>
      <c r="AJ145" s="50" t="s">
        <v>4813</v>
      </c>
      <c r="AK145" s="50" t="s">
        <v>12099</v>
      </c>
      <c r="AL145" s="50" t="s">
        <v>13711</v>
      </c>
      <c r="AM145" s="50" t="s">
        <v>13712</v>
      </c>
      <c r="AN145" s="50" t="s">
        <v>13713</v>
      </c>
      <c r="AO145" s="50" t="s">
        <v>3012</v>
      </c>
      <c r="AP145" s="50" t="s">
        <v>13714</v>
      </c>
      <c r="AT145" s="50" t="s">
        <v>169</v>
      </c>
      <c r="AU145" s="50" t="s">
        <v>102</v>
      </c>
      <c r="AW145" s="50" t="s">
        <v>155</v>
      </c>
      <c r="AX145" s="50" t="s">
        <v>119</v>
      </c>
      <c r="AY145" s="50" t="s">
        <v>170</v>
      </c>
      <c r="AZ145" s="50" t="s">
        <v>118</v>
      </c>
      <c r="BB145" s="50" t="s">
        <v>120</v>
      </c>
      <c r="BC145" s="50" t="s">
        <v>729</v>
      </c>
      <c r="BD145" s="50" t="s">
        <v>730</v>
      </c>
      <c r="BE145" s="50" t="s">
        <v>622</v>
      </c>
      <c r="BF145" s="50" t="s">
        <v>730</v>
      </c>
      <c r="BG145" s="50" t="s">
        <v>124</v>
      </c>
      <c r="BH145" s="50" t="s">
        <v>12023</v>
      </c>
      <c r="BI145" s="50" t="s">
        <v>11889</v>
      </c>
      <c r="BJ145" s="50" t="s">
        <v>127</v>
      </c>
      <c r="BK145" s="50" t="s">
        <v>13715</v>
      </c>
      <c r="BL145" s="50" t="s">
        <v>3014</v>
      </c>
      <c r="BM145" s="50" t="s">
        <v>13716</v>
      </c>
      <c r="BN145" s="50" t="s">
        <v>442</v>
      </c>
      <c r="BO145" s="50" t="s">
        <v>2262</v>
      </c>
      <c r="BP145" s="50" t="s">
        <v>350</v>
      </c>
      <c r="BQ145" s="50" t="s">
        <v>2263</v>
      </c>
      <c r="BR145" s="50" t="s">
        <v>2264</v>
      </c>
      <c r="BS145" s="50" t="s">
        <v>2569</v>
      </c>
      <c r="BU145" s="50" t="s">
        <v>13717</v>
      </c>
      <c r="BV145" s="50" t="s">
        <v>13718</v>
      </c>
      <c r="BW145" s="50" t="s">
        <v>138</v>
      </c>
      <c r="BX145" s="50" t="s">
        <v>3018</v>
      </c>
      <c r="BY145" s="50" t="s">
        <v>3019</v>
      </c>
      <c r="BZ145" s="50" t="s">
        <v>3020</v>
      </c>
      <c r="CA145" s="50" t="s">
        <v>13718</v>
      </c>
      <c r="CB145" s="50" t="s">
        <v>3018</v>
      </c>
      <c r="CC145" s="50" t="s">
        <v>3019</v>
      </c>
      <c r="CD145" s="50" t="s">
        <v>13719</v>
      </c>
      <c r="CE145" s="50" t="s">
        <v>3020</v>
      </c>
      <c r="CF145" s="50" t="s">
        <v>13720</v>
      </c>
      <c r="CG145" s="50" t="s">
        <v>3021</v>
      </c>
      <c r="CH145" s="50" t="s">
        <v>13721</v>
      </c>
      <c r="CJ145" s="50" t="s">
        <v>3023</v>
      </c>
      <c r="CK145" s="50" t="s">
        <v>13721</v>
      </c>
      <c r="CL145" s="50" t="s">
        <v>729</v>
      </c>
      <c r="CM145" s="50" t="s">
        <v>730</v>
      </c>
      <c r="CN145" s="50" t="s">
        <v>3024</v>
      </c>
      <c r="CO145" s="50" t="s">
        <v>3025</v>
      </c>
      <c r="CP145" s="50" t="s">
        <v>3022</v>
      </c>
      <c r="CQ145" s="50" t="s">
        <v>3022</v>
      </c>
    </row>
    <row r="146" spans="1:96">
      <c r="A146" s="50" t="s">
        <v>149</v>
      </c>
      <c r="B146" s="50">
        <v>5016602</v>
      </c>
      <c r="C146" s="50" t="s">
        <v>12491</v>
      </c>
      <c r="D146" s="50" t="s">
        <v>18900</v>
      </c>
      <c r="E146" s="50" t="str">
        <f>VLOOKUP(B146,aa!B:F,5,0)</f>
        <v>Ei ASSET, Ei CARES</v>
      </c>
      <c r="F146" s="50">
        <f>VLOOKUP(B146,aa!B:J,9,0)</f>
        <v>2100465</v>
      </c>
      <c r="G146" s="50">
        <f>VLOOKUP(B146,aa!B:L,11,0)</f>
        <v>623160</v>
      </c>
      <c r="H146" s="50">
        <f>VLOOKUP(B146,aa!B:O,14,0)</f>
        <v>1477305</v>
      </c>
      <c r="I146" s="50">
        <f>VLOOKUP(B146,aa!B:R,17,0)</f>
        <v>0</v>
      </c>
      <c r="K146" s="50" t="s">
        <v>675</v>
      </c>
      <c r="L146" s="50">
        <v>1980772</v>
      </c>
      <c r="M146" s="50">
        <v>1980772</v>
      </c>
      <c r="N146" s="50">
        <v>605880</v>
      </c>
      <c r="O146" s="50">
        <v>1122</v>
      </c>
      <c r="P146" s="50" t="s">
        <v>2322</v>
      </c>
      <c r="Q146" s="50">
        <v>1374892</v>
      </c>
      <c r="R146" s="50">
        <v>1074</v>
      </c>
      <c r="S146" s="50" t="s">
        <v>13016</v>
      </c>
      <c r="T146" s="50">
        <v>0</v>
      </c>
      <c r="U146" s="50">
        <v>0</v>
      </c>
      <c r="W146" s="50" t="s">
        <v>102</v>
      </c>
      <c r="X146" s="50" t="s">
        <v>275</v>
      </c>
      <c r="Z146" s="50" t="s">
        <v>126</v>
      </c>
      <c r="AA146" s="50" t="s">
        <v>109</v>
      </c>
      <c r="AB146" s="50" t="s">
        <v>102</v>
      </c>
      <c r="AC146" s="50" t="s">
        <v>109</v>
      </c>
      <c r="AD146" s="50" t="s">
        <v>102</v>
      </c>
      <c r="AE146" s="50" t="s">
        <v>109</v>
      </c>
      <c r="AF146" s="50" t="s">
        <v>102</v>
      </c>
      <c r="AG146" s="50" t="s">
        <v>109</v>
      </c>
      <c r="AH146" s="50" t="s">
        <v>102</v>
      </c>
      <c r="AI146" s="50" t="s">
        <v>18901</v>
      </c>
      <c r="AJ146" s="50" t="s">
        <v>11948</v>
      </c>
      <c r="AK146" s="50" t="s">
        <v>2050</v>
      </c>
      <c r="AL146" s="50" t="s">
        <v>18902</v>
      </c>
      <c r="AM146" s="50" t="s">
        <v>18903</v>
      </c>
      <c r="AN146" s="50" t="s">
        <v>18904</v>
      </c>
      <c r="AO146" s="50" t="s">
        <v>13021</v>
      </c>
      <c r="AP146" s="50" t="s">
        <v>13022</v>
      </c>
      <c r="AQ146" s="50" t="s">
        <v>343</v>
      </c>
      <c r="AR146" s="50" t="s">
        <v>169</v>
      </c>
      <c r="AU146" s="50" t="s">
        <v>247</v>
      </c>
      <c r="AV146" s="50" t="s">
        <v>118</v>
      </c>
      <c r="AW146" s="50" t="s">
        <v>655</v>
      </c>
      <c r="AX146" s="50" t="s">
        <v>119</v>
      </c>
      <c r="AY146" s="50" t="s">
        <v>170</v>
      </c>
      <c r="AZ146" s="50" t="s">
        <v>118</v>
      </c>
      <c r="BB146" s="50" t="s">
        <v>120</v>
      </c>
      <c r="BC146" s="50" t="s">
        <v>2056</v>
      </c>
      <c r="BD146" s="50" t="s">
        <v>320</v>
      </c>
      <c r="BE146" s="50" t="s">
        <v>122</v>
      </c>
      <c r="BF146" s="50" t="s">
        <v>123</v>
      </c>
      <c r="BG146" s="50" t="s">
        <v>124</v>
      </c>
      <c r="BH146" s="50" t="s">
        <v>12023</v>
      </c>
      <c r="BI146" s="50" t="s">
        <v>11889</v>
      </c>
      <c r="BJ146" s="50" t="s">
        <v>127</v>
      </c>
      <c r="BK146" s="50" t="s">
        <v>18905</v>
      </c>
      <c r="BL146" s="50" t="s">
        <v>9723</v>
      </c>
      <c r="BM146" s="50" t="s">
        <v>18906</v>
      </c>
      <c r="BN146" s="50" t="s">
        <v>442</v>
      </c>
      <c r="BO146" s="50" t="s">
        <v>8788</v>
      </c>
      <c r="BP146" s="50" t="s">
        <v>350</v>
      </c>
      <c r="BQ146" s="50" t="s">
        <v>8789</v>
      </c>
      <c r="BR146" s="50" t="s">
        <v>8790</v>
      </c>
      <c r="BS146" s="50" t="s">
        <v>1006</v>
      </c>
      <c r="BU146" s="50" t="s">
        <v>18907</v>
      </c>
      <c r="BV146" s="50" t="s">
        <v>2061</v>
      </c>
      <c r="BW146" s="50" t="s">
        <v>354</v>
      </c>
      <c r="BX146" s="50" t="s">
        <v>2062</v>
      </c>
      <c r="BY146" s="50" t="s">
        <v>2063</v>
      </c>
      <c r="BZ146" s="50" t="s">
        <v>2062</v>
      </c>
      <c r="CA146" s="50" t="s">
        <v>9726</v>
      </c>
      <c r="CB146" s="50" t="s">
        <v>2062</v>
      </c>
      <c r="CC146" s="50" t="s">
        <v>9728</v>
      </c>
      <c r="CD146" s="50" t="s">
        <v>13027</v>
      </c>
      <c r="CE146" s="50" t="s">
        <v>2062</v>
      </c>
      <c r="CF146" s="50" t="s">
        <v>13028</v>
      </c>
      <c r="CG146" s="50" t="s">
        <v>2069</v>
      </c>
      <c r="CH146" s="50" t="s">
        <v>2056</v>
      </c>
      <c r="CJ146" s="50" t="s">
        <v>2071</v>
      </c>
      <c r="CK146" s="50" t="s">
        <v>18908</v>
      </c>
      <c r="CL146" s="50" t="s">
        <v>2056</v>
      </c>
      <c r="CM146" s="50" t="s">
        <v>320</v>
      </c>
      <c r="CN146" s="50" t="s">
        <v>2071</v>
      </c>
      <c r="CO146" s="50" t="s">
        <v>2072</v>
      </c>
      <c r="CP146" s="50" t="s">
        <v>9729</v>
      </c>
      <c r="CQ146" s="50" t="s">
        <v>9729</v>
      </c>
    </row>
    <row r="147" spans="1:96">
      <c r="A147" s="50" t="s">
        <v>93</v>
      </c>
      <c r="B147" s="50">
        <v>507154</v>
      </c>
      <c r="C147" s="50" t="s">
        <v>11882</v>
      </c>
      <c r="D147" s="50" t="s">
        <v>10826</v>
      </c>
      <c r="E147" s="50" t="str">
        <f>VLOOKUP(B147,aa!B:F,5,0)</f>
        <v>Ei Mindspark</v>
      </c>
      <c r="F147" s="50">
        <f>VLOOKUP(B147,aa!B:J,9,0)</f>
        <v>1352353</v>
      </c>
      <c r="G147" s="50">
        <f>VLOOKUP(B147,aa!B:L,11,0)</f>
        <v>0</v>
      </c>
      <c r="H147" s="50">
        <f>VLOOKUP(B147,aa!B:O,14,0)</f>
        <v>0</v>
      </c>
      <c r="I147" s="50">
        <f>VLOOKUP(B147,aa!B:R,17,0)</f>
        <v>1352353</v>
      </c>
      <c r="K147" s="50" t="s">
        <v>848</v>
      </c>
      <c r="L147" s="50">
        <v>1662083</v>
      </c>
      <c r="M147" s="50">
        <v>1961258</v>
      </c>
      <c r="N147" s="50">
        <v>0</v>
      </c>
      <c r="O147" s="50">
        <v>0</v>
      </c>
      <c r="Q147" s="50">
        <v>0</v>
      </c>
      <c r="R147" s="50">
        <v>0</v>
      </c>
      <c r="T147" s="50">
        <v>1662083</v>
      </c>
      <c r="U147" s="50">
        <v>1108</v>
      </c>
      <c r="V147" s="50" t="s">
        <v>6441</v>
      </c>
      <c r="W147" s="50" t="s">
        <v>102</v>
      </c>
      <c r="X147" s="50" t="s">
        <v>103</v>
      </c>
      <c r="Y147" s="50" t="s">
        <v>398</v>
      </c>
      <c r="AA147" s="50" t="s">
        <v>4665</v>
      </c>
      <c r="AB147" s="50" t="s">
        <v>20807</v>
      </c>
      <c r="AC147" s="50" t="s">
        <v>11976</v>
      </c>
      <c r="AD147" s="50" t="s">
        <v>20807</v>
      </c>
      <c r="AE147" s="50" t="s">
        <v>12084</v>
      </c>
      <c r="AF147" s="50" t="s">
        <v>20808</v>
      </c>
      <c r="AG147" s="50" t="s">
        <v>109</v>
      </c>
      <c r="AH147" s="50" t="s">
        <v>102</v>
      </c>
      <c r="AI147" s="50" t="s">
        <v>20809</v>
      </c>
      <c r="AJ147" s="50" t="s">
        <v>2950</v>
      </c>
      <c r="AK147" s="50" t="s">
        <v>17302</v>
      </c>
      <c r="AL147" s="50" t="s">
        <v>20810</v>
      </c>
      <c r="AM147" s="50" t="s">
        <v>20811</v>
      </c>
      <c r="AN147" s="50" t="s">
        <v>20812</v>
      </c>
      <c r="AO147" s="50" t="s">
        <v>20813</v>
      </c>
      <c r="AP147" s="50" t="s">
        <v>20814</v>
      </c>
      <c r="AR147" s="50" t="s">
        <v>169</v>
      </c>
      <c r="AT147" s="50" t="s">
        <v>169</v>
      </c>
      <c r="AU147" s="50" t="s">
        <v>102</v>
      </c>
      <c r="AW147" s="50" t="s">
        <v>102</v>
      </c>
      <c r="AX147" s="50" t="s">
        <v>119</v>
      </c>
      <c r="BA147" s="50" t="s">
        <v>250</v>
      </c>
      <c r="BB147" s="50" t="s">
        <v>120</v>
      </c>
      <c r="BC147" s="50" t="s">
        <v>448</v>
      </c>
      <c r="BD147" s="50" t="s">
        <v>449</v>
      </c>
      <c r="BE147" s="50" t="s">
        <v>122</v>
      </c>
      <c r="BF147" s="50" t="s">
        <v>450</v>
      </c>
      <c r="BG147" s="50" t="s">
        <v>124</v>
      </c>
      <c r="BH147" s="50" t="s">
        <v>12023</v>
      </c>
      <c r="BI147" s="50" t="s">
        <v>11889</v>
      </c>
      <c r="BJ147" s="50" t="s">
        <v>127</v>
      </c>
      <c r="BK147" s="50" t="s">
        <v>20815</v>
      </c>
      <c r="BL147" s="50" t="s">
        <v>10837</v>
      </c>
      <c r="BM147" s="50" t="s">
        <v>20816</v>
      </c>
      <c r="BN147" s="50" t="s">
        <v>442</v>
      </c>
      <c r="BO147" s="50" t="s">
        <v>131</v>
      </c>
      <c r="BP147" s="50" t="s">
        <v>350</v>
      </c>
      <c r="BQ147" s="50" t="s">
        <v>133</v>
      </c>
      <c r="BR147" s="50" t="s">
        <v>134</v>
      </c>
      <c r="BS147" s="50" t="s">
        <v>455</v>
      </c>
      <c r="BU147" s="50" t="s">
        <v>20817</v>
      </c>
      <c r="BV147" s="50" t="s">
        <v>20818</v>
      </c>
      <c r="BW147" s="50" t="s">
        <v>138</v>
      </c>
      <c r="BX147" s="50" t="s">
        <v>10843</v>
      </c>
      <c r="BY147" s="50" t="s">
        <v>20819</v>
      </c>
      <c r="BZ147" s="50" t="s">
        <v>10843</v>
      </c>
      <c r="CA147" s="50" t="s">
        <v>20820</v>
      </c>
      <c r="CB147" s="50" t="s">
        <v>10843</v>
      </c>
      <c r="CC147" s="50" t="s">
        <v>20819</v>
      </c>
      <c r="CD147" s="50" t="s">
        <v>20821</v>
      </c>
      <c r="CE147" s="50" t="s">
        <v>20822</v>
      </c>
      <c r="CF147" s="50" t="s">
        <v>20823</v>
      </c>
      <c r="CG147" s="50" t="s">
        <v>7998</v>
      </c>
      <c r="CH147" s="50" t="s">
        <v>10844</v>
      </c>
      <c r="CJ147" s="50" t="s">
        <v>4512</v>
      </c>
      <c r="CK147" s="50" t="s">
        <v>20824</v>
      </c>
      <c r="CL147" s="50" t="s">
        <v>448</v>
      </c>
      <c r="CM147" s="50" t="s">
        <v>449</v>
      </c>
      <c r="CN147" s="50" t="s">
        <v>4512</v>
      </c>
      <c r="CO147" s="50" t="s">
        <v>10846</v>
      </c>
      <c r="CP147" s="50" t="s">
        <v>10844</v>
      </c>
      <c r="CQ147" s="50" t="s">
        <v>10845</v>
      </c>
    </row>
    <row r="148" spans="1:96">
      <c r="A148" s="50" t="s">
        <v>149</v>
      </c>
      <c r="B148" s="50">
        <v>3534332</v>
      </c>
      <c r="C148" s="50" t="s">
        <v>418</v>
      </c>
      <c r="D148" s="50" t="s">
        <v>6541</v>
      </c>
      <c r="E148" s="50" t="str">
        <f>VLOOKUP(B148,aa!B:F,5,0)</f>
        <v>Ei ASSET, Ei Mindspark</v>
      </c>
      <c r="F148" s="50">
        <f>VLOOKUP(B148,aa!B:J,9,0)</f>
        <v>190618</v>
      </c>
      <c r="G148" s="50">
        <f>VLOOKUP(B148,aa!B:L,11,0)</f>
        <v>77265</v>
      </c>
      <c r="H148" s="50">
        <f>VLOOKUP(B148,aa!B:O,14,0)</f>
        <v>0</v>
      </c>
      <c r="I148" s="50">
        <f>VLOOKUP(B148,aa!B:R,17,0)</f>
        <v>113353</v>
      </c>
      <c r="K148" s="50" t="s">
        <v>193</v>
      </c>
      <c r="L148" s="50">
        <v>173921</v>
      </c>
      <c r="M148" s="50">
        <v>191005</v>
      </c>
      <c r="N148" s="50">
        <v>79010</v>
      </c>
      <c r="O148" s="50">
        <v>117</v>
      </c>
      <c r="P148" s="50" t="s">
        <v>340</v>
      </c>
      <c r="Q148" s="50">
        <v>0</v>
      </c>
      <c r="R148" s="50">
        <v>0</v>
      </c>
      <c r="T148" s="50">
        <v>94911</v>
      </c>
      <c r="U148" s="50">
        <v>35</v>
      </c>
      <c r="V148" s="50" t="s">
        <v>6544</v>
      </c>
      <c r="W148" s="50" t="s">
        <v>102</v>
      </c>
      <c r="X148" s="50" t="s">
        <v>103</v>
      </c>
      <c r="Y148" s="50" t="s">
        <v>104</v>
      </c>
      <c r="AA148" s="50" t="s">
        <v>1408</v>
      </c>
      <c r="AB148" s="50" t="s">
        <v>16397</v>
      </c>
      <c r="AC148" s="50" t="s">
        <v>12289</v>
      </c>
      <c r="AD148" s="50" t="s">
        <v>16397</v>
      </c>
      <c r="AE148" s="50" t="s">
        <v>109</v>
      </c>
      <c r="AF148" s="50" t="s">
        <v>102</v>
      </c>
      <c r="AG148" s="50" t="s">
        <v>109</v>
      </c>
      <c r="AH148" s="50" t="s">
        <v>102</v>
      </c>
      <c r="AI148" s="50" t="s">
        <v>16398</v>
      </c>
      <c r="AJ148" s="50" t="s">
        <v>3679</v>
      </c>
      <c r="AK148" s="50" t="s">
        <v>15755</v>
      </c>
      <c r="AL148" s="50" t="s">
        <v>16399</v>
      </c>
      <c r="AM148" s="50" t="s">
        <v>16400</v>
      </c>
      <c r="AN148" s="50" t="s">
        <v>16401</v>
      </c>
      <c r="AO148" s="50" t="s">
        <v>16402</v>
      </c>
      <c r="AP148" s="50" t="s">
        <v>16402</v>
      </c>
      <c r="AU148" s="50" t="s">
        <v>207</v>
      </c>
      <c r="AV148" s="50" t="s">
        <v>118</v>
      </c>
      <c r="AW148" s="50" t="s">
        <v>102</v>
      </c>
      <c r="AX148" s="50" t="s">
        <v>119</v>
      </c>
      <c r="BA148" s="50" t="s">
        <v>250</v>
      </c>
      <c r="BB148" s="50" t="s">
        <v>1242</v>
      </c>
      <c r="BC148" s="50" t="s">
        <v>409</v>
      </c>
      <c r="BD148" s="50" t="s">
        <v>410</v>
      </c>
      <c r="BE148" s="50" t="s">
        <v>212</v>
      </c>
      <c r="BF148" s="50" t="s">
        <v>410</v>
      </c>
      <c r="BG148" s="50" t="s">
        <v>124</v>
      </c>
      <c r="BH148" s="50" t="s">
        <v>11959</v>
      </c>
      <c r="BI148" s="50" t="s">
        <v>12276</v>
      </c>
      <c r="BJ148" s="50" t="s">
        <v>127</v>
      </c>
      <c r="BK148" s="50" t="s">
        <v>16403</v>
      </c>
      <c r="BL148" s="50" t="s">
        <v>6556</v>
      </c>
      <c r="BM148" s="50" t="s">
        <v>16404</v>
      </c>
      <c r="BN148" s="50" t="s">
        <v>16396</v>
      </c>
      <c r="BO148" s="50" t="s">
        <v>866</v>
      </c>
      <c r="BP148" s="50" t="s">
        <v>132</v>
      </c>
      <c r="BQ148" s="50" t="s">
        <v>867</v>
      </c>
      <c r="BR148" s="50" t="s">
        <v>868</v>
      </c>
      <c r="BS148" s="50" t="s">
        <v>418</v>
      </c>
      <c r="BU148" s="50" t="s">
        <v>16405</v>
      </c>
      <c r="BV148" s="50" t="s">
        <v>6562</v>
      </c>
      <c r="BW148" s="50" t="s">
        <v>138</v>
      </c>
      <c r="BX148" s="50" t="s">
        <v>6563</v>
      </c>
      <c r="BY148" s="50" t="s">
        <v>16406</v>
      </c>
      <c r="BZ148" s="50" t="s">
        <v>6565</v>
      </c>
      <c r="CA148" s="50" t="s">
        <v>16407</v>
      </c>
      <c r="CB148" s="50" t="s">
        <v>6563</v>
      </c>
      <c r="CC148" s="50" t="s">
        <v>16406</v>
      </c>
      <c r="CD148" s="50" t="s">
        <v>16408</v>
      </c>
      <c r="CE148" s="50" t="s">
        <v>16409</v>
      </c>
      <c r="CF148" s="50" t="s">
        <v>16410</v>
      </c>
      <c r="CG148" s="50" t="s">
        <v>102</v>
      </c>
      <c r="CH148" s="50" t="s">
        <v>6568</v>
      </c>
      <c r="CJ148" s="50" t="s">
        <v>6569</v>
      </c>
      <c r="CL148" s="50" t="s">
        <v>409</v>
      </c>
      <c r="CM148" s="50" t="s">
        <v>410</v>
      </c>
      <c r="CN148" s="50" t="s">
        <v>6569</v>
      </c>
      <c r="CO148" s="50" t="s">
        <v>6570</v>
      </c>
      <c r="CP148" s="50" t="s">
        <v>6568</v>
      </c>
      <c r="CQ148" s="50" t="s">
        <v>6568</v>
      </c>
    </row>
    <row r="149" spans="1:96">
      <c r="A149" s="50" t="s">
        <v>93</v>
      </c>
      <c r="B149" s="50">
        <v>27245</v>
      </c>
      <c r="C149" s="50" t="s">
        <v>14664</v>
      </c>
      <c r="D149" s="50" t="s">
        <v>4308</v>
      </c>
      <c r="E149" s="50" t="e">
        <f>VLOOKUP(B149,aa!B:F,5,0)</f>
        <v>#N/A</v>
      </c>
      <c r="F149" s="50" t="e">
        <f>VLOOKUP(B149,aa!B:J,9,0)</f>
        <v>#N/A</v>
      </c>
      <c r="G149" s="50" t="e">
        <f>VLOOKUP(B149,aa!B:L,11,0)</f>
        <v>#N/A</v>
      </c>
      <c r="H149" s="50" t="e">
        <f>VLOOKUP(B149,aa!B:O,14,0)</f>
        <v>#N/A</v>
      </c>
      <c r="I149" s="50" t="e">
        <f>VLOOKUP(B149,aa!B:R,17,0)</f>
        <v>#N/A</v>
      </c>
      <c r="K149" s="50" t="s">
        <v>193</v>
      </c>
      <c r="L149" s="50">
        <v>1132051</v>
      </c>
      <c r="M149" s="50">
        <v>1237972</v>
      </c>
      <c r="N149" s="50">
        <v>543600</v>
      </c>
      <c r="O149" s="50">
        <v>1308</v>
      </c>
      <c r="P149" s="50" t="s">
        <v>14346</v>
      </c>
      <c r="Q149" s="50">
        <v>0</v>
      </c>
      <c r="R149" s="50">
        <v>0</v>
      </c>
      <c r="T149" s="50">
        <v>588451</v>
      </c>
      <c r="U149" s="50">
        <v>213</v>
      </c>
      <c r="V149" s="50" t="s">
        <v>4311</v>
      </c>
      <c r="W149" s="50" t="s">
        <v>102</v>
      </c>
      <c r="X149" s="50" t="s">
        <v>679</v>
      </c>
      <c r="Y149" s="50" t="s">
        <v>104</v>
      </c>
      <c r="Z149" s="50" t="s">
        <v>11899</v>
      </c>
      <c r="AA149" s="50" t="s">
        <v>14666</v>
      </c>
      <c r="AB149" s="50" t="s">
        <v>14667</v>
      </c>
      <c r="AC149" s="50" t="s">
        <v>14668</v>
      </c>
      <c r="AD149" s="50" t="s">
        <v>14669</v>
      </c>
      <c r="AE149" s="50" t="s">
        <v>109</v>
      </c>
      <c r="AF149" s="50" t="s">
        <v>102</v>
      </c>
      <c r="AG149" s="50" t="s">
        <v>109</v>
      </c>
      <c r="AH149" s="50" t="s">
        <v>102</v>
      </c>
      <c r="AI149" s="50" t="s">
        <v>14670</v>
      </c>
      <c r="AJ149" s="50" t="s">
        <v>14671</v>
      </c>
      <c r="AK149" s="50" t="s">
        <v>14672</v>
      </c>
      <c r="AL149" s="50" t="s">
        <v>14673</v>
      </c>
      <c r="AM149" s="50" t="s">
        <v>14674</v>
      </c>
      <c r="AN149" s="50" t="s">
        <v>14675</v>
      </c>
      <c r="AO149" s="50" t="s">
        <v>14676</v>
      </c>
      <c r="AP149" s="50" t="s">
        <v>14676</v>
      </c>
      <c r="AU149" s="50" t="s">
        <v>207</v>
      </c>
      <c r="AV149" s="50" t="s">
        <v>118</v>
      </c>
      <c r="AW149" s="50" t="s">
        <v>102</v>
      </c>
      <c r="AX149" s="50" t="s">
        <v>119</v>
      </c>
      <c r="BA149" s="50" t="s">
        <v>250</v>
      </c>
      <c r="BB149" s="50" t="s">
        <v>171</v>
      </c>
      <c r="BC149" s="50" t="s">
        <v>623</v>
      </c>
      <c r="BD149" s="50" t="s">
        <v>621</v>
      </c>
      <c r="BE149" s="50" t="s">
        <v>622</v>
      </c>
      <c r="BF149" s="50" t="s">
        <v>623</v>
      </c>
      <c r="BG149" s="50" t="s">
        <v>124</v>
      </c>
      <c r="BH149" s="50" t="s">
        <v>14677</v>
      </c>
      <c r="BI149" s="50" t="s">
        <v>14678</v>
      </c>
      <c r="BJ149" s="50" t="s">
        <v>127</v>
      </c>
      <c r="BK149" s="50" t="s">
        <v>14679</v>
      </c>
      <c r="BL149" s="50" t="s">
        <v>4324</v>
      </c>
      <c r="BM149" s="50" t="s">
        <v>14680</v>
      </c>
      <c r="BN149" s="50" t="s">
        <v>14665</v>
      </c>
      <c r="BO149" s="50" t="s">
        <v>1670</v>
      </c>
      <c r="BP149" s="50" t="s">
        <v>132</v>
      </c>
      <c r="BQ149" s="50" t="s">
        <v>1671</v>
      </c>
      <c r="BR149" s="50" t="s">
        <v>1672</v>
      </c>
      <c r="BS149" s="50" t="s">
        <v>507</v>
      </c>
      <c r="BU149" s="50" t="s">
        <v>14681</v>
      </c>
      <c r="BV149" s="50" t="s">
        <v>14682</v>
      </c>
      <c r="BW149" s="50" t="s">
        <v>138</v>
      </c>
      <c r="BX149" s="50" t="s">
        <v>4331</v>
      </c>
      <c r="BY149" s="50" t="s">
        <v>14683</v>
      </c>
      <c r="BZ149" s="50" t="s">
        <v>4333</v>
      </c>
      <c r="CA149" s="50" t="s">
        <v>14684</v>
      </c>
      <c r="CB149" s="50" t="s">
        <v>4335</v>
      </c>
      <c r="CC149" s="50" t="s">
        <v>14683</v>
      </c>
      <c r="CD149" s="50" t="s">
        <v>14685</v>
      </c>
      <c r="CE149" s="50" t="s">
        <v>14686</v>
      </c>
      <c r="CF149" s="50" t="s">
        <v>4339</v>
      </c>
      <c r="CG149" s="50" t="s">
        <v>4340</v>
      </c>
      <c r="CH149" s="50" t="s">
        <v>14687</v>
      </c>
      <c r="CJ149" s="50" t="s">
        <v>4342</v>
      </c>
      <c r="CK149" s="50" t="s">
        <v>14687</v>
      </c>
      <c r="CL149" s="50" t="s">
        <v>623</v>
      </c>
      <c r="CM149" s="50" t="s">
        <v>621</v>
      </c>
      <c r="CN149" s="50" t="s">
        <v>4342</v>
      </c>
      <c r="CO149" s="50" t="s">
        <v>4344</v>
      </c>
      <c r="CP149" s="50" t="s">
        <v>4345</v>
      </c>
      <c r="CQ149" s="50" t="s">
        <v>4343</v>
      </c>
      <c r="CR149" s="50" t="s">
        <v>26042</v>
      </c>
    </row>
    <row r="150" spans="1:96">
      <c r="A150" s="50" t="s">
        <v>337</v>
      </c>
      <c r="B150" s="50">
        <v>3316343</v>
      </c>
      <c r="C150" s="50" t="s">
        <v>12507</v>
      </c>
      <c r="D150" s="50" t="s">
        <v>15536</v>
      </c>
      <c r="E150" s="50" t="str">
        <f>VLOOKUP(B150,aa!B:F,5,0)</f>
        <v>Ei CARES</v>
      </c>
      <c r="F150" s="50">
        <f>VLOOKUP(B150,aa!B:J,9,0)</f>
        <v>452572</v>
      </c>
      <c r="G150" s="50">
        <f>VLOOKUP(B150,aa!B:L,11,0)</f>
        <v>0</v>
      </c>
      <c r="H150" s="50">
        <f>VLOOKUP(B150,aa!B:O,14,0)</f>
        <v>452572</v>
      </c>
      <c r="I150" s="50">
        <f>VLOOKUP(B150,aa!B:R,17,0)</f>
        <v>0</v>
      </c>
      <c r="K150" s="50" t="s">
        <v>152</v>
      </c>
      <c r="L150" s="50">
        <v>438820</v>
      </c>
      <c r="M150" s="50">
        <v>438820</v>
      </c>
      <c r="N150" s="50">
        <v>0</v>
      </c>
      <c r="O150" s="50">
        <v>0</v>
      </c>
      <c r="Q150" s="50">
        <v>438820</v>
      </c>
      <c r="R150" s="50">
        <v>351</v>
      </c>
      <c r="S150" s="50" t="s">
        <v>1424</v>
      </c>
      <c r="T150" s="50">
        <v>0</v>
      </c>
      <c r="U150" s="50">
        <v>0</v>
      </c>
      <c r="W150" s="50" t="s">
        <v>102</v>
      </c>
      <c r="X150" s="50" t="s">
        <v>103</v>
      </c>
      <c r="Y150" s="50" t="s">
        <v>398</v>
      </c>
      <c r="AA150" s="50" t="s">
        <v>11300</v>
      </c>
      <c r="AB150" s="50" t="s">
        <v>15537</v>
      </c>
      <c r="AC150" s="50" t="s">
        <v>12737</v>
      </c>
      <c r="AD150" s="50" t="s">
        <v>15538</v>
      </c>
      <c r="AE150" s="50" t="s">
        <v>11902</v>
      </c>
      <c r="AF150" s="50" t="s">
        <v>15538</v>
      </c>
      <c r="AG150" s="50" t="s">
        <v>109</v>
      </c>
      <c r="AH150" s="50" t="s">
        <v>102</v>
      </c>
      <c r="AI150" s="50" t="s">
        <v>102</v>
      </c>
      <c r="AJ150" s="50" t="s">
        <v>3258</v>
      </c>
      <c r="AK150" s="50" t="s">
        <v>13867</v>
      </c>
      <c r="AL150" s="50" t="s">
        <v>15539</v>
      </c>
      <c r="AM150" s="50" t="s">
        <v>15540</v>
      </c>
      <c r="AN150" s="50" t="s">
        <v>15541</v>
      </c>
      <c r="AO150" s="50" t="s">
        <v>1431</v>
      </c>
      <c r="AP150" s="50" t="s">
        <v>1431</v>
      </c>
      <c r="AU150" s="50" t="s">
        <v>102</v>
      </c>
      <c r="AW150" s="50" t="s">
        <v>155</v>
      </c>
      <c r="AX150" s="50" t="s">
        <v>447</v>
      </c>
      <c r="AY150" s="50" t="s">
        <v>170</v>
      </c>
      <c r="AZ150" s="50" t="s">
        <v>118</v>
      </c>
      <c r="BB150" s="50" t="s">
        <v>120</v>
      </c>
      <c r="BC150" s="50" t="s">
        <v>15542</v>
      </c>
      <c r="BD150" s="50" t="s">
        <v>556</v>
      </c>
      <c r="BE150" s="50" t="s">
        <v>122</v>
      </c>
      <c r="BF150" s="50" t="s">
        <v>557</v>
      </c>
      <c r="BG150" s="50" t="s">
        <v>124</v>
      </c>
      <c r="BH150" s="50" t="s">
        <v>12023</v>
      </c>
      <c r="BI150" s="50" t="s">
        <v>11889</v>
      </c>
      <c r="BJ150" s="50" t="s">
        <v>127</v>
      </c>
      <c r="BK150" s="50" t="s">
        <v>15543</v>
      </c>
      <c r="BL150" s="50" t="s">
        <v>15544</v>
      </c>
      <c r="BM150" s="50" t="s">
        <v>15545</v>
      </c>
      <c r="BN150" s="50" t="s">
        <v>11300</v>
      </c>
      <c r="BO150" s="50" t="s">
        <v>563</v>
      </c>
      <c r="BP150" s="50" t="s">
        <v>350</v>
      </c>
      <c r="BQ150" s="50" t="s">
        <v>564</v>
      </c>
      <c r="BR150" s="50" t="s">
        <v>565</v>
      </c>
      <c r="BS150" s="50" t="s">
        <v>563</v>
      </c>
      <c r="BU150" s="50" t="s">
        <v>15546</v>
      </c>
      <c r="BV150" s="50" t="s">
        <v>15547</v>
      </c>
      <c r="BW150" s="50" t="s">
        <v>138</v>
      </c>
      <c r="BX150" s="50" t="s">
        <v>15548</v>
      </c>
      <c r="BY150" s="50" t="s">
        <v>15549</v>
      </c>
      <c r="BZ150" s="50" t="s">
        <v>15548</v>
      </c>
      <c r="CA150" s="50" t="s">
        <v>15547</v>
      </c>
      <c r="CB150" s="50" t="s">
        <v>15550</v>
      </c>
      <c r="CC150" s="50" t="s">
        <v>15549</v>
      </c>
      <c r="CD150" s="50" t="s">
        <v>15551</v>
      </c>
      <c r="CE150" s="50" t="s">
        <v>15552</v>
      </c>
      <c r="CF150" s="50" t="s">
        <v>15553</v>
      </c>
      <c r="CG150" s="50" t="s">
        <v>15554</v>
      </c>
      <c r="CH150" s="50" t="s">
        <v>15555</v>
      </c>
      <c r="CJ150" s="50" t="s">
        <v>15556</v>
      </c>
      <c r="CK150" s="50" t="s">
        <v>15557</v>
      </c>
      <c r="CL150" s="50" t="s">
        <v>15542</v>
      </c>
      <c r="CM150" s="50" t="s">
        <v>556</v>
      </c>
      <c r="CN150" s="50" t="s">
        <v>15556</v>
      </c>
      <c r="CP150" s="50" t="s">
        <v>15558</v>
      </c>
      <c r="CQ150" s="50" t="s">
        <v>15558</v>
      </c>
    </row>
    <row r="151" spans="1:96">
      <c r="A151" s="50" t="s">
        <v>93</v>
      </c>
      <c r="B151" s="50">
        <v>3780526</v>
      </c>
      <c r="C151" s="50" t="s">
        <v>12096</v>
      </c>
      <c r="D151" s="50" t="s">
        <v>7429</v>
      </c>
      <c r="E151" s="50" t="e">
        <f>VLOOKUP(B151,aa!B:F,5,0)</f>
        <v>#N/A</v>
      </c>
      <c r="F151" s="50" t="e">
        <f>VLOOKUP(B151,aa!B:J,9,0)</f>
        <v>#N/A</v>
      </c>
      <c r="G151" s="50" t="e">
        <f>VLOOKUP(B151,aa!B:L,11,0)</f>
        <v>#N/A</v>
      </c>
      <c r="H151" s="50" t="e">
        <f>VLOOKUP(B151,aa!B:O,14,0)</f>
        <v>#N/A</v>
      </c>
      <c r="I151" s="50" t="e">
        <f>VLOOKUP(B151,aa!B:R,17,0)</f>
        <v>#N/A</v>
      </c>
      <c r="K151" s="50" t="s">
        <v>643</v>
      </c>
      <c r="L151" s="50">
        <v>1001106</v>
      </c>
      <c r="M151" s="50">
        <v>1039395</v>
      </c>
      <c r="N151" s="50">
        <v>0</v>
      </c>
      <c r="O151" s="50">
        <v>0</v>
      </c>
      <c r="Q151" s="50">
        <v>788390</v>
      </c>
      <c r="R151" s="50">
        <v>448</v>
      </c>
      <c r="S151" s="50" t="s">
        <v>5818</v>
      </c>
      <c r="T151" s="50">
        <v>212716</v>
      </c>
      <c r="U151" s="50">
        <v>168</v>
      </c>
      <c r="V151" s="50" t="s">
        <v>16944</v>
      </c>
      <c r="W151" s="50" t="s">
        <v>102</v>
      </c>
      <c r="X151" s="50" t="s">
        <v>103</v>
      </c>
      <c r="Y151" s="50" t="s">
        <v>155</v>
      </c>
      <c r="AA151" s="50" t="s">
        <v>1305</v>
      </c>
      <c r="AB151" s="50" t="s">
        <v>16945</v>
      </c>
      <c r="AC151" s="50" t="s">
        <v>13033</v>
      </c>
      <c r="AD151" s="50" t="s">
        <v>16945</v>
      </c>
      <c r="AE151" s="50" t="s">
        <v>13034</v>
      </c>
      <c r="AF151" s="50" t="s">
        <v>16945</v>
      </c>
      <c r="AG151" s="50" t="s">
        <v>12430</v>
      </c>
      <c r="AH151" s="50" t="s">
        <v>16945</v>
      </c>
      <c r="AI151" s="50" t="s">
        <v>102</v>
      </c>
      <c r="AJ151" s="50" t="s">
        <v>2950</v>
      </c>
      <c r="AK151" s="50" t="s">
        <v>13000</v>
      </c>
      <c r="AL151" s="50" t="s">
        <v>16946</v>
      </c>
      <c r="AM151" s="50" t="s">
        <v>16947</v>
      </c>
      <c r="AN151" s="50" t="s">
        <v>16948</v>
      </c>
      <c r="AO151" s="50" t="s">
        <v>16949</v>
      </c>
      <c r="AP151" s="50" t="s">
        <v>16949</v>
      </c>
      <c r="AU151" s="50" t="s">
        <v>102</v>
      </c>
      <c r="AW151" s="50" t="s">
        <v>655</v>
      </c>
      <c r="AX151" s="50" t="s">
        <v>249</v>
      </c>
      <c r="AY151" s="50" t="s">
        <v>170</v>
      </c>
      <c r="AZ151" s="50" t="s">
        <v>118</v>
      </c>
      <c r="BA151" s="50" t="s">
        <v>250</v>
      </c>
      <c r="BB151" s="50" t="s">
        <v>120</v>
      </c>
      <c r="BC151" s="50" t="s">
        <v>7438</v>
      </c>
      <c r="BD151" s="50" t="s">
        <v>376</v>
      </c>
      <c r="BE151" s="50" t="s">
        <v>174</v>
      </c>
      <c r="BF151" s="50" t="s">
        <v>376</v>
      </c>
      <c r="BG151" s="50" t="s">
        <v>124</v>
      </c>
      <c r="BH151" s="50" t="s">
        <v>8186</v>
      </c>
      <c r="BI151" s="50" t="s">
        <v>11889</v>
      </c>
      <c r="BJ151" s="50" t="s">
        <v>127</v>
      </c>
      <c r="BK151" s="50" t="s">
        <v>16950</v>
      </c>
      <c r="BL151" s="50" t="s">
        <v>7441</v>
      </c>
      <c r="BM151" s="50" t="s">
        <v>16951</v>
      </c>
      <c r="BN151" s="50" t="s">
        <v>11300</v>
      </c>
      <c r="BO151" s="50" t="s">
        <v>1831</v>
      </c>
      <c r="BP151" s="50" t="s">
        <v>180</v>
      </c>
      <c r="BQ151" s="50" t="s">
        <v>1832</v>
      </c>
      <c r="BR151" s="50" t="s">
        <v>1833</v>
      </c>
      <c r="BS151" s="50" t="s">
        <v>1834</v>
      </c>
      <c r="BU151" s="50" t="s">
        <v>16952</v>
      </c>
      <c r="BV151" s="50" t="s">
        <v>16953</v>
      </c>
      <c r="BW151" s="50" t="s">
        <v>354</v>
      </c>
      <c r="BX151" s="50" t="s">
        <v>16954</v>
      </c>
      <c r="BY151" s="50" t="s">
        <v>16955</v>
      </c>
      <c r="BZ151" s="50" t="s">
        <v>7446</v>
      </c>
      <c r="CA151" s="50" t="s">
        <v>16956</v>
      </c>
      <c r="CB151" s="50" t="s">
        <v>16954</v>
      </c>
      <c r="CC151" s="50" t="s">
        <v>16957</v>
      </c>
      <c r="CD151" s="50" t="s">
        <v>16956</v>
      </c>
      <c r="CE151" s="50" t="s">
        <v>16954</v>
      </c>
      <c r="CF151" s="50" t="s">
        <v>16957</v>
      </c>
      <c r="CG151" s="50" t="s">
        <v>1538</v>
      </c>
      <c r="CH151" s="50" t="s">
        <v>7447</v>
      </c>
      <c r="CJ151" s="50" t="s">
        <v>7448</v>
      </c>
      <c r="CK151" s="50" t="s">
        <v>7447</v>
      </c>
      <c r="CL151" s="50" t="s">
        <v>7438</v>
      </c>
      <c r="CM151" s="50" t="s">
        <v>376</v>
      </c>
      <c r="CN151" s="50" t="s">
        <v>7448</v>
      </c>
      <c r="CP151" s="50" t="s">
        <v>7447</v>
      </c>
      <c r="CQ151" s="50" t="s">
        <v>7447</v>
      </c>
      <c r="CR151" s="50" t="s">
        <v>26046</v>
      </c>
    </row>
    <row r="152" spans="1:96">
      <c r="A152" s="50" t="s">
        <v>149</v>
      </c>
      <c r="B152" s="50">
        <v>5017918</v>
      </c>
      <c r="C152" s="50" t="s">
        <v>418</v>
      </c>
      <c r="D152" s="50" t="s">
        <v>19268</v>
      </c>
      <c r="E152" s="50" t="str">
        <f>VLOOKUP(B152,aa!B:F,5,0)</f>
        <v>Ei CARES,Ei Mindspark</v>
      </c>
      <c r="F152" s="50">
        <f>VLOOKUP(B152,aa!B:J,9,0)</f>
        <v>346129</v>
      </c>
      <c r="G152" s="50">
        <f>VLOOKUP(B152,aa!B:L,11,0)</f>
        <v>0</v>
      </c>
      <c r="H152" s="50">
        <f>VLOOKUP(B152,aa!B:O,14,0)</f>
        <v>187350</v>
      </c>
      <c r="I152" s="50">
        <f>VLOOKUP(B152,aa!B:R,17,0)</f>
        <v>158779</v>
      </c>
      <c r="K152" s="50" t="s">
        <v>8024</v>
      </c>
      <c r="L152" s="50">
        <v>476462</v>
      </c>
      <c r="M152" s="50">
        <v>530402</v>
      </c>
      <c r="N152" s="50">
        <v>0</v>
      </c>
      <c r="O152" s="50">
        <v>0</v>
      </c>
      <c r="Q152" s="50">
        <v>176795</v>
      </c>
      <c r="R152" s="50">
        <v>314</v>
      </c>
      <c r="S152" s="50" t="s">
        <v>12799</v>
      </c>
      <c r="T152" s="50">
        <v>299667</v>
      </c>
      <c r="U152" s="50">
        <v>314</v>
      </c>
      <c r="V152" s="50" t="s">
        <v>6010</v>
      </c>
      <c r="W152" s="50" t="s">
        <v>102</v>
      </c>
      <c r="X152" s="50" t="s">
        <v>103</v>
      </c>
      <c r="Y152" s="50" t="s">
        <v>104</v>
      </c>
      <c r="AA152" s="50" t="s">
        <v>11599</v>
      </c>
      <c r="AB152" s="50" t="s">
        <v>19269</v>
      </c>
      <c r="AC152" s="50" t="s">
        <v>11886</v>
      </c>
      <c r="AD152" s="50" t="s">
        <v>19269</v>
      </c>
      <c r="AE152" s="50" t="s">
        <v>109</v>
      </c>
      <c r="AF152" s="50" t="s">
        <v>102</v>
      </c>
      <c r="AG152" s="50" t="s">
        <v>109</v>
      </c>
      <c r="AH152" s="50" t="s">
        <v>102</v>
      </c>
      <c r="AI152" s="50" t="s">
        <v>19270</v>
      </c>
      <c r="AJ152" s="50" t="s">
        <v>8060</v>
      </c>
      <c r="AK152" s="50" t="s">
        <v>8060</v>
      </c>
      <c r="AL152" s="50" t="s">
        <v>19271</v>
      </c>
      <c r="AM152" s="50" t="s">
        <v>19272</v>
      </c>
      <c r="AN152" s="50" t="s">
        <v>19273</v>
      </c>
      <c r="AO152" s="50" t="s">
        <v>12806</v>
      </c>
      <c r="AP152" s="50" t="s">
        <v>12806</v>
      </c>
      <c r="AU152" s="50" t="s">
        <v>102</v>
      </c>
      <c r="AW152" s="50" t="s">
        <v>1758</v>
      </c>
      <c r="AX152" s="50" t="s">
        <v>119</v>
      </c>
      <c r="AZ152" s="50" t="s">
        <v>250</v>
      </c>
      <c r="BA152" s="50" t="s">
        <v>250</v>
      </c>
      <c r="BB152" s="50" t="s">
        <v>120</v>
      </c>
      <c r="BC152" s="50" t="s">
        <v>1552</v>
      </c>
      <c r="BD152" s="50" t="s">
        <v>410</v>
      </c>
      <c r="BE152" s="50" t="s">
        <v>212</v>
      </c>
      <c r="BF152" s="50" t="s">
        <v>410</v>
      </c>
      <c r="BG152" s="50" t="s">
        <v>124</v>
      </c>
      <c r="BH152" s="50" t="s">
        <v>7020</v>
      </c>
      <c r="BI152" s="50" t="s">
        <v>14455</v>
      </c>
      <c r="BJ152" s="50" t="s">
        <v>127</v>
      </c>
      <c r="BK152" s="50" t="s">
        <v>19274</v>
      </c>
      <c r="BL152" s="50" t="s">
        <v>19275</v>
      </c>
      <c r="BM152" s="50" t="s">
        <v>19276</v>
      </c>
      <c r="BN152" s="50" t="s">
        <v>11300</v>
      </c>
      <c r="BO152" s="50" t="s">
        <v>866</v>
      </c>
      <c r="BP152" s="50" t="s">
        <v>132</v>
      </c>
      <c r="BQ152" s="50" t="s">
        <v>867</v>
      </c>
      <c r="BR152" s="50" t="s">
        <v>868</v>
      </c>
      <c r="BS152" s="50" t="s">
        <v>222</v>
      </c>
      <c r="BU152" s="50" t="s">
        <v>19277</v>
      </c>
      <c r="BV152" s="50" t="s">
        <v>1557</v>
      </c>
      <c r="BW152" s="50" t="s">
        <v>354</v>
      </c>
      <c r="BX152" s="50" t="s">
        <v>1558</v>
      </c>
      <c r="BY152" s="50" t="s">
        <v>12810</v>
      </c>
      <c r="BZ152" s="50" t="s">
        <v>1560</v>
      </c>
      <c r="CA152" s="50" t="s">
        <v>19278</v>
      </c>
      <c r="CB152" s="50" t="s">
        <v>12812</v>
      </c>
      <c r="CC152" s="50" t="s">
        <v>12813</v>
      </c>
      <c r="CD152" s="50" t="s">
        <v>19279</v>
      </c>
      <c r="CE152" s="50" t="s">
        <v>1562</v>
      </c>
      <c r="CF152" s="50" t="s">
        <v>1563</v>
      </c>
      <c r="CG152" s="50" t="s">
        <v>102</v>
      </c>
      <c r="CH152" s="50" t="s">
        <v>1564</v>
      </c>
      <c r="CJ152" s="50" t="s">
        <v>1565</v>
      </c>
      <c r="CL152" s="50" t="s">
        <v>1552</v>
      </c>
      <c r="CM152" s="50" t="s">
        <v>410</v>
      </c>
      <c r="CN152" s="50" t="s">
        <v>1565</v>
      </c>
      <c r="CO152" s="50" t="s">
        <v>1566</v>
      </c>
      <c r="CP152" s="50" t="s">
        <v>1564</v>
      </c>
      <c r="CQ152" s="50" t="s">
        <v>1564</v>
      </c>
    </row>
    <row r="153" spans="1:96">
      <c r="A153" s="50" t="s">
        <v>337</v>
      </c>
      <c r="B153" s="50">
        <v>5018655</v>
      </c>
      <c r="C153" s="50" t="s">
        <v>12507</v>
      </c>
      <c r="D153" s="50" t="s">
        <v>20080</v>
      </c>
      <c r="E153" s="50" t="str">
        <f>VLOOKUP(B153,aa!B:F,5,0)</f>
        <v>Ei CARES</v>
      </c>
      <c r="F153" s="50">
        <f>VLOOKUP(B153,aa!B:J,9,0)</f>
        <v>360045</v>
      </c>
      <c r="G153" s="50">
        <f>VLOOKUP(B153,aa!B:L,11,0)</f>
        <v>0</v>
      </c>
      <c r="H153" s="50">
        <f>VLOOKUP(B153,aa!B:O,14,0)</f>
        <v>360045</v>
      </c>
      <c r="I153" s="50">
        <f>VLOOKUP(B153,aa!B:R,17,0)</f>
        <v>0</v>
      </c>
      <c r="K153" s="50" t="s">
        <v>152</v>
      </c>
      <c r="L153" s="50">
        <v>324040</v>
      </c>
      <c r="M153" s="50">
        <v>324040</v>
      </c>
      <c r="N153" s="50">
        <v>0</v>
      </c>
      <c r="O153" s="50">
        <v>0</v>
      </c>
      <c r="Q153" s="50">
        <v>324040</v>
      </c>
      <c r="R153" s="50">
        <v>270</v>
      </c>
      <c r="S153" s="50" t="s">
        <v>880</v>
      </c>
      <c r="T153" s="50">
        <v>0</v>
      </c>
      <c r="U153" s="50">
        <v>0</v>
      </c>
      <c r="W153" s="50" t="s">
        <v>102</v>
      </c>
      <c r="X153" s="50" t="s">
        <v>103</v>
      </c>
      <c r="Y153" s="50" t="s">
        <v>398</v>
      </c>
      <c r="AA153" s="50" t="s">
        <v>5022</v>
      </c>
      <c r="AB153" s="50" t="s">
        <v>20081</v>
      </c>
      <c r="AC153" s="50" t="s">
        <v>12800</v>
      </c>
      <c r="AD153" s="50" t="s">
        <v>20082</v>
      </c>
      <c r="AE153" s="50" t="s">
        <v>11886</v>
      </c>
      <c r="AF153" s="50" t="s">
        <v>20083</v>
      </c>
      <c r="AG153" s="50" t="s">
        <v>109</v>
      </c>
      <c r="AH153" s="50" t="s">
        <v>102</v>
      </c>
      <c r="AI153" s="50" t="s">
        <v>102</v>
      </c>
      <c r="AJ153" s="50" t="s">
        <v>14705</v>
      </c>
      <c r="AK153" s="50" t="s">
        <v>13000</v>
      </c>
      <c r="AL153" s="50" t="s">
        <v>20084</v>
      </c>
      <c r="AM153" s="50" t="s">
        <v>20085</v>
      </c>
      <c r="AN153" s="50" t="s">
        <v>20086</v>
      </c>
      <c r="AO153" s="50" t="s">
        <v>20087</v>
      </c>
      <c r="AP153" s="50" t="s">
        <v>20087</v>
      </c>
      <c r="AU153" s="50" t="s">
        <v>102</v>
      </c>
      <c r="AW153" s="50" t="s">
        <v>102</v>
      </c>
      <c r="AX153" s="50" t="s">
        <v>119</v>
      </c>
      <c r="AY153" s="50" t="s">
        <v>170</v>
      </c>
      <c r="AZ153" s="50" t="s">
        <v>118</v>
      </c>
      <c r="BB153" s="50" t="s">
        <v>120</v>
      </c>
      <c r="BC153" s="50" t="s">
        <v>2373</v>
      </c>
      <c r="BD153" s="50" t="s">
        <v>20088</v>
      </c>
      <c r="BE153" s="50" t="s">
        <v>122</v>
      </c>
      <c r="BF153" s="50" t="s">
        <v>557</v>
      </c>
      <c r="BG153" s="50" t="s">
        <v>124</v>
      </c>
      <c r="BH153" s="50" t="s">
        <v>12023</v>
      </c>
      <c r="BI153" s="50" t="s">
        <v>11889</v>
      </c>
      <c r="BJ153" s="50" t="s">
        <v>127</v>
      </c>
      <c r="BK153" s="50" t="s">
        <v>20089</v>
      </c>
      <c r="BL153" s="50" t="s">
        <v>20090</v>
      </c>
      <c r="BM153" s="50" t="s">
        <v>20091</v>
      </c>
      <c r="BN153" s="50" t="s">
        <v>11300</v>
      </c>
      <c r="BO153" s="50" t="s">
        <v>16526</v>
      </c>
      <c r="BP153" s="50" t="s">
        <v>350</v>
      </c>
      <c r="BQ153" s="50" t="s">
        <v>16527</v>
      </c>
      <c r="BR153" s="50" t="s">
        <v>16528</v>
      </c>
      <c r="BS153" s="50" t="s">
        <v>16529</v>
      </c>
      <c r="BU153" s="50" t="s">
        <v>20092</v>
      </c>
      <c r="BV153" s="50" t="s">
        <v>20093</v>
      </c>
      <c r="BW153" s="50" t="s">
        <v>354</v>
      </c>
      <c r="BX153" s="50" t="s">
        <v>20094</v>
      </c>
      <c r="BY153" s="50" t="s">
        <v>20095</v>
      </c>
      <c r="BZ153" s="50" t="s">
        <v>20096</v>
      </c>
      <c r="CA153" s="50" t="s">
        <v>20097</v>
      </c>
      <c r="CB153" s="50" t="s">
        <v>20094</v>
      </c>
      <c r="CC153" s="50" t="s">
        <v>20098</v>
      </c>
      <c r="CD153" s="50" t="s">
        <v>20099</v>
      </c>
      <c r="CE153" s="50" t="s">
        <v>20094</v>
      </c>
      <c r="CF153" s="50" t="s">
        <v>20100</v>
      </c>
      <c r="CG153" s="50" t="s">
        <v>11282</v>
      </c>
      <c r="CH153" s="50" t="s">
        <v>20101</v>
      </c>
      <c r="CJ153" s="50" t="s">
        <v>20102</v>
      </c>
      <c r="CL153" s="50" t="s">
        <v>2373</v>
      </c>
      <c r="CM153" s="50" t="s">
        <v>20088</v>
      </c>
      <c r="CN153" s="50" t="s">
        <v>20102</v>
      </c>
      <c r="CP153" s="50" t="s">
        <v>20103</v>
      </c>
      <c r="CQ153" s="50" t="s">
        <v>20103</v>
      </c>
    </row>
    <row r="154" spans="1:96">
      <c r="A154" s="50" t="s">
        <v>93</v>
      </c>
      <c r="B154" s="50">
        <v>2458794</v>
      </c>
      <c r="C154" s="50" t="s">
        <v>12018</v>
      </c>
      <c r="D154" s="50" t="s">
        <v>3478</v>
      </c>
      <c r="E154" s="50" t="str">
        <f>VLOOKUP(B154,aa!B:F,5,0)</f>
        <v>Ei CARES</v>
      </c>
      <c r="F154" s="50">
        <f>VLOOKUP(B154,aa!B:J,9,0)</f>
        <v>584364</v>
      </c>
      <c r="G154" s="50">
        <f>VLOOKUP(B154,aa!B:L,11,0)</f>
        <v>0</v>
      </c>
      <c r="H154" s="50">
        <f>VLOOKUP(B154,aa!B:O,14,0)</f>
        <v>584364</v>
      </c>
      <c r="I154" s="50">
        <f>VLOOKUP(B154,aa!B:R,17,0)</f>
        <v>0</v>
      </c>
      <c r="K154" s="50" t="s">
        <v>152</v>
      </c>
      <c r="L154" s="50">
        <v>625372</v>
      </c>
      <c r="M154" s="50">
        <v>625372</v>
      </c>
      <c r="N154" s="50">
        <v>0</v>
      </c>
      <c r="O154" s="50">
        <v>0</v>
      </c>
      <c r="Q154" s="50">
        <v>625372</v>
      </c>
      <c r="R154" s="50">
        <v>305</v>
      </c>
      <c r="S154" s="50" t="s">
        <v>3481</v>
      </c>
      <c r="T154" s="50">
        <v>0</v>
      </c>
      <c r="U154" s="50">
        <v>0</v>
      </c>
      <c r="W154" s="50" t="s">
        <v>102</v>
      </c>
      <c r="X154" s="50" t="s">
        <v>103</v>
      </c>
      <c r="Y154" s="50" t="s">
        <v>155</v>
      </c>
      <c r="AA154" s="50" t="s">
        <v>1305</v>
      </c>
      <c r="AB154" s="50" t="s">
        <v>14038</v>
      </c>
      <c r="AC154" s="50" t="s">
        <v>13033</v>
      </c>
      <c r="AD154" s="50" t="s">
        <v>14038</v>
      </c>
      <c r="AE154" s="50" t="s">
        <v>13034</v>
      </c>
      <c r="AF154" s="50" t="s">
        <v>14038</v>
      </c>
      <c r="AG154" s="50" t="s">
        <v>11952</v>
      </c>
      <c r="AH154" s="50" t="s">
        <v>14038</v>
      </c>
      <c r="AI154" s="50" t="s">
        <v>14039</v>
      </c>
      <c r="AJ154" s="50" t="s">
        <v>14040</v>
      </c>
      <c r="AK154" s="50" t="s">
        <v>14040</v>
      </c>
      <c r="AL154" s="50" t="s">
        <v>14041</v>
      </c>
      <c r="AM154" s="50" t="s">
        <v>14042</v>
      </c>
      <c r="AN154" s="50" t="s">
        <v>14043</v>
      </c>
      <c r="AO154" s="50" t="s">
        <v>3489</v>
      </c>
      <c r="AP154" s="50" t="s">
        <v>3489</v>
      </c>
      <c r="AU154" s="50" t="s">
        <v>102</v>
      </c>
      <c r="AW154" s="50" t="s">
        <v>155</v>
      </c>
      <c r="AX154" s="50" t="s">
        <v>447</v>
      </c>
      <c r="AY154" s="50" t="s">
        <v>170</v>
      </c>
      <c r="AZ154" s="50" t="s">
        <v>118</v>
      </c>
      <c r="BB154" s="50" t="s">
        <v>120</v>
      </c>
      <c r="BC154" s="50" t="s">
        <v>3490</v>
      </c>
      <c r="BD154" s="50" t="s">
        <v>345</v>
      </c>
      <c r="BE154" s="50" t="s">
        <v>122</v>
      </c>
      <c r="BF154" s="50" t="s">
        <v>346</v>
      </c>
      <c r="BG154" s="50" t="s">
        <v>124</v>
      </c>
      <c r="BH154" s="50" t="s">
        <v>12023</v>
      </c>
      <c r="BI154" s="50" t="s">
        <v>11889</v>
      </c>
      <c r="BJ154" s="50" t="s">
        <v>127</v>
      </c>
      <c r="BK154" s="50" t="s">
        <v>14044</v>
      </c>
      <c r="BL154" s="50" t="s">
        <v>3492</v>
      </c>
      <c r="BM154" s="50" t="s">
        <v>14045</v>
      </c>
      <c r="BN154" s="50" t="s">
        <v>7020</v>
      </c>
      <c r="BO154" s="50" t="s">
        <v>593</v>
      </c>
      <c r="BP154" s="50" t="s">
        <v>350</v>
      </c>
      <c r="BQ154" s="50" t="s">
        <v>594</v>
      </c>
      <c r="BR154" s="50" t="s">
        <v>595</v>
      </c>
      <c r="BS154" s="50" t="s">
        <v>328</v>
      </c>
      <c r="BU154" s="50" t="s">
        <v>14046</v>
      </c>
      <c r="BV154" s="50" t="s">
        <v>14047</v>
      </c>
      <c r="BW154" s="50" t="s">
        <v>354</v>
      </c>
      <c r="BX154" s="50" t="s">
        <v>3496</v>
      </c>
      <c r="BY154" s="50" t="s">
        <v>3497</v>
      </c>
      <c r="BZ154" s="50" t="s">
        <v>3498</v>
      </c>
      <c r="CA154" s="50" t="s">
        <v>14048</v>
      </c>
      <c r="CB154" s="50" t="s">
        <v>14049</v>
      </c>
      <c r="CC154" s="50" t="s">
        <v>14050</v>
      </c>
      <c r="CD154" s="50" t="s">
        <v>14051</v>
      </c>
      <c r="CE154" s="50" t="s">
        <v>14052</v>
      </c>
      <c r="CF154" s="50" t="s">
        <v>14053</v>
      </c>
      <c r="CG154" s="50" t="s">
        <v>3499</v>
      </c>
      <c r="CH154" s="50" t="s">
        <v>3500</v>
      </c>
      <c r="CJ154" s="50" t="s">
        <v>3501</v>
      </c>
      <c r="CK154" s="50" t="s">
        <v>3500</v>
      </c>
      <c r="CL154" s="50" t="s">
        <v>3490</v>
      </c>
      <c r="CM154" s="50" t="s">
        <v>345</v>
      </c>
      <c r="CN154" s="50" t="s">
        <v>3501</v>
      </c>
      <c r="CO154" s="50" t="s">
        <v>3502</v>
      </c>
      <c r="CP154" s="50" t="s">
        <v>3500</v>
      </c>
      <c r="CQ154" s="50" t="s">
        <v>3500</v>
      </c>
    </row>
    <row r="155" spans="1:96">
      <c r="A155" s="50" t="s">
        <v>149</v>
      </c>
      <c r="B155" s="50">
        <v>2472480</v>
      </c>
      <c r="C155" s="50" t="s">
        <v>2525</v>
      </c>
      <c r="D155" s="50" t="s">
        <v>3590</v>
      </c>
      <c r="E155" s="50" t="str">
        <f>VLOOKUP(B155,aa!B:F,5,0)</f>
        <v>Ei ASSET, Ei Mindspark</v>
      </c>
      <c r="F155" s="50">
        <f>VLOOKUP(B155,aa!B:J,9,0)</f>
        <v>565810</v>
      </c>
      <c r="G155" s="50">
        <f>VLOOKUP(B155,aa!B:L,11,0)</f>
        <v>292013</v>
      </c>
      <c r="H155" s="50">
        <f>VLOOKUP(B155,aa!B:O,14,0)</f>
        <v>0</v>
      </c>
      <c r="I155" s="50">
        <f>VLOOKUP(B155,aa!B:R,17,0)</f>
        <v>273797</v>
      </c>
      <c r="K155" s="50" t="s">
        <v>1746</v>
      </c>
      <c r="L155" s="50">
        <v>999543</v>
      </c>
      <c r="M155" s="50">
        <v>1124137</v>
      </c>
      <c r="N155" s="50">
        <v>200312</v>
      </c>
      <c r="O155" s="50">
        <v>517</v>
      </c>
      <c r="P155" s="50" t="s">
        <v>14152</v>
      </c>
      <c r="Q155" s="50">
        <v>107040</v>
      </c>
      <c r="R155" s="50">
        <v>296</v>
      </c>
      <c r="S155" s="50" t="s">
        <v>14153</v>
      </c>
      <c r="T155" s="50">
        <v>692191</v>
      </c>
      <c r="U155" s="50">
        <v>527</v>
      </c>
      <c r="V155" s="50" t="s">
        <v>3747</v>
      </c>
      <c r="W155" s="50" t="s">
        <v>102</v>
      </c>
      <c r="X155" s="50" t="s">
        <v>103</v>
      </c>
      <c r="Y155" s="50" t="s">
        <v>155</v>
      </c>
      <c r="AA155" s="50" t="s">
        <v>4665</v>
      </c>
      <c r="AB155" s="50" t="s">
        <v>14154</v>
      </c>
      <c r="AC155" s="50" t="s">
        <v>1547</v>
      </c>
      <c r="AD155" s="50" t="s">
        <v>14154</v>
      </c>
      <c r="AE155" s="50" t="s">
        <v>13110</v>
      </c>
      <c r="AF155" s="50" t="s">
        <v>14154</v>
      </c>
      <c r="AG155" s="50" t="s">
        <v>14024</v>
      </c>
      <c r="AH155" s="50" t="s">
        <v>14154</v>
      </c>
      <c r="AI155" s="50" t="s">
        <v>14155</v>
      </c>
      <c r="AJ155" s="50" t="s">
        <v>1202</v>
      </c>
      <c r="AK155" s="50" t="s">
        <v>12696</v>
      </c>
      <c r="AL155" s="50" t="s">
        <v>14156</v>
      </c>
      <c r="AM155" s="50" t="s">
        <v>14157</v>
      </c>
      <c r="AN155" s="50" t="s">
        <v>14158</v>
      </c>
      <c r="AO155" s="50" t="s">
        <v>14159</v>
      </c>
      <c r="AP155" s="50" t="s">
        <v>14160</v>
      </c>
      <c r="AS155" s="50" t="s">
        <v>169</v>
      </c>
      <c r="AT155" s="50" t="s">
        <v>169</v>
      </c>
      <c r="AU155" s="50" t="s">
        <v>318</v>
      </c>
      <c r="AV155" s="50" t="s">
        <v>118</v>
      </c>
      <c r="AW155" s="50" t="s">
        <v>104</v>
      </c>
      <c r="AX155" s="50" t="s">
        <v>119</v>
      </c>
      <c r="AY155" s="50" t="s">
        <v>170</v>
      </c>
      <c r="AZ155" s="50" t="s">
        <v>118</v>
      </c>
      <c r="BA155" s="50" t="s">
        <v>250</v>
      </c>
      <c r="BB155" s="50" t="s">
        <v>120</v>
      </c>
      <c r="BC155" s="50" t="s">
        <v>2327</v>
      </c>
      <c r="BD155" s="50" t="s">
        <v>730</v>
      </c>
      <c r="BE155" s="50" t="s">
        <v>622</v>
      </c>
      <c r="BF155" s="50" t="s">
        <v>730</v>
      </c>
      <c r="BG155" s="50" t="s">
        <v>124</v>
      </c>
      <c r="BH155" s="50" t="s">
        <v>1202</v>
      </c>
      <c r="BI155" s="50" t="s">
        <v>14161</v>
      </c>
      <c r="BJ155" s="50" t="s">
        <v>127</v>
      </c>
      <c r="BK155" s="50" t="s">
        <v>14162</v>
      </c>
      <c r="BL155" s="50" t="s">
        <v>3604</v>
      </c>
      <c r="BM155" s="50" t="s">
        <v>14163</v>
      </c>
      <c r="BN155" s="50" t="s">
        <v>7020</v>
      </c>
      <c r="BO155" s="50" t="s">
        <v>3606</v>
      </c>
      <c r="BP155" s="50" t="s">
        <v>350</v>
      </c>
      <c r="BQ155" s="50" t="s">
        <v>3607</v>
      </c>
      <c r="BR155" s="50" t="s">
        <v>3608</v>
      </c>
      <c r="BS155" s="50" t="s">
        <v>3562</v>
      </c>
      <c r="BU155" s="50" t="s">
        <v>14164</v>
      </c>
      <c r="BV155" s="50" t="s">
        <v>3610</v>
      </c>
      <c r="BW155" s="50" t="s">
        <v>138</v>
      </c>
      <c r="BX155" s="50" t="s">
        <v>3611</v>
      </c>
      <c r="BY155" s="50" t="s">
        <v>3612</v>
      </c>
      <c r="BZ155" s="50" t="s">
        <v>3613</v>
      </c>
      <c r="CA155" s="50" t="s">
        <v>10629</v>
      </c>
      <c r="CB155" s="50" t="s">
        <v>3611</v>
      </c>
      <c r="CC155" s="50" t="s">
        <v>3612</v>
      </c>
      <c r="CD155" s="50" t="s">
        <v>14165</v>
      </c>
      <c r="CE155" s="50" t="s">
        <v>14166</v>
      </c>
      <c r="CF155" s="50" t="s">
        <v>14167</v>
      </c>
      <c r="CG155" s="50" t="s">
        <v>102</v>
      </c>
      <c r="CH155" s="50" t="s">
        <v>3614</v>
      </c>
      <c r="CJ155" s="50" t="s">
        <v>3615</v>
      </c>
      <c r="CL155" s="50" t="s">
        <v>2327</v>
      </c>
      <c r="CM155" s="50" t="s">
        <v>730</v>
      </c>
      <c r="CN155" s="50" t="s">
        <v>3615</v>
      </c>
      <c r="CO155" s="50" t="s">
        <v>3616</v>
      </c>
      <c r="CP155" s="50" t="s">
        <v>3614</v>
      </c>
      <c r="CQ155" s="50" t="s">
        <v>3614</v>
      </c>
    </row>
    <row r="156" spans="1:96">
      <c r="A156" s="50" t="s">
        <v>149</v>
      </c>
      <c r="B156" s="50">
        <v>308823</v>
      </c>
      <c r="C156" s="50" t="s">
        <v>12018</v>
      </c>
      <c r="D156" s="50" t="s">
        <v>4635</v>
      </c>
      <c r="E156" s="50" t="e">
        <f>VLOOKUP(B156,aa!B:F,5,0)</f>
        <v>#N/A</v>
      </c>
      <c r="F156" s="50" t="e">
        <f>VLOOKUP(B156,aa!B:J,9,0)</f>
        <v>#N/A</v>
      </c>
      <c r="G156" s="50" t="e">
        <f>VLOOKUP(B156,aa!B:L,11,0)</f>
        <v>#N/A</v>
      </c>
      <c r="H156" s="50" t="e">
        <f>VLOOKUP(B156,aa!B:O,14,0)</f>
        <v>#N/A</v>
      </c>
      <c r="I156" s="50" t="e">
        <f>VLOOKUP(B156,aa!B:R,17,0)</f>
        <v>#N/A</v>
      </c>
      <c r="K156" s="50" t="s">
        <v>675</v>
      </c>
      <c r="L156" s="50">
        <v>713396</v>
      </c>
      <c r="M156" s="50">
        <v>713396</v>
      </c>
      <c r="N156" s="50">
        <v>105021</v>
      </c>
      <c r="O156" s="50">
        <v>210</v>
      </c>
      <c r="P156" s="50" t="s">
        <v>364</v>
      </c>
      <c r="Q156" s="50">
        <v>608375</v>
      </c>
      <c r="R156" s="50">
        <v>517</v>
      </c>
      <c r="S156" s="50" t="s">
        <v>14913</v>
      </c>
      <c r="T156" s="50">
        <v>0</v>
      </c>
      <c r="U156" s="50">
        <v>0</v>
      </c>
      <c r="W156" s="50" t="s">
        <v>102</v>
      </c>
      <c r="X156" s="50" t="s">
        <v>103</v>
      </c>
      <c r="Y156" s="50" t="s">
        <v>104</v>
      </c>
      <c r="AA156" s="50" t="s">
        <v>14914</v>
      </c>
      <c r="AB156" s="50" t="s">
        <v>14915</v>
      </c>
      <c r="AC156" s="50" t="s">
        <v>14916</v>
      </c>
      <c r="AD156" s="50" t="s">
        <v>14915</v>
      </c>
      <c r="AE156" s="50" t="s">
        <v>109</v>
      </c>
      <c r="AF156" s="50" t="s">
        <v>102</v>
      </c>
      <c r="AG156" s="50" t="s">
        <v>109</v>
      </c>
      <c r="AH156" s="50" t="s">
        <v>102</v>
      </c>
      <c r="AI156" s="50" t="s">
        <v>14917</v>
      </c>
      <c r="AJ156" s="50" t="s">
        <v>6715</v>
      </c>
      <c r="AK156" s="50" t="s">
        <v>14918</v>
      </c>
      <c r="AL156" s="50" t="s">
        <v>14919</v>
      </c>
      <c r="AM156" s="50" t="s">
        <v>14920</v>
      </c>
      <c r="AN156" s="50" t="s">
        <v>14921</v>
      </c>
      <c r="AO156" s="50" t="s">
        <v>14922</v>
      </c>
      <c r="AP156" s="50" t="s">
        <v>14922</v>
      </c>
      <c r="AU156" s="50" t="s">
        <v>247</v>
      </c>
      <c r="AV156" s="50" t="s">
        <v>118</v>
      </c>
      <c r="AW156" s="50" t="s">
        <v>951</v>
      </c>
      <c r="AX156" s="50" t="s">
        <v>249</v>
      </c>
      <c r="AY156" s="50" t="s">
        <v>170</v>
      </c>
      <c r="AZ156" s="50" t="s">
        <v>118</v>
      </c>
      <c r="BB156" s="50" t="s">
        <v>120</v>
      </c>
      <c r="BC156" s="50" t="s">
        <v>4644</v>
      </c>
      <c r="BD156" s="50" t="s">
        <v>320</v>
      </c>
      <c r="BE156" s="50" t="s">
        <v>122</v>
      </c>
      <c r="BF156" s="50" t="s">
        <v>123</v>
      </c>
      <c r="BG156" s="50" t="s">
        <v>124</v>
      </c>
      <c r="BH156" s="50" t="s">
        <v>12023</v>
      </c>
      <c r="BI156" s="50" t="s">
        <v>11889</v>
      </c>
      <c r="BJ156" s="50" t="s">
        <v>127</v>
      </c>
      <c r="BK156" s="50" t="s">
        <v>14923</v>
      </c>
      <c r="BL156" s="50" t="s">
        <v>4646</v>
      </c>
      <c r="BM156" s="50" t="s">
        <v>14924</v>
      </c>
      <c r="BN156" s="50" t="s">
        <v>14912</v>
      </c>
      <c r="BO156" s="50" t="s">
        <v>593</v>
      </c>
      <c r="BP156" s="50" t="s">
        <v>696</v>
      </c>
      <c r="BQ156" s="50" t="s">
        <v>594</v>
      </c>
      <c r="BR156" s="50" t="s">
        <v>595</v>
      </c>
      <c r="BS156" s="50" t="s">
        <v>328</v>
      </c>
      <c r="BU156" s="50" t="s">
        <v>14925</v>
      </c>
      <c r="BV156" s="50" t="s">
        <v>14926</v>
      </c>
      <c r="BW156" s="50" t="s">
        <v>138</v>
      </c>
      <c r="BX156" s="50" t="s">
        <v>4650</v>
      </c>
      <c r="BY156" s="50" t="s">
        <v>4651</v>
      </c>
      <c r="BZ156" s="50" t="s">
        <v>4652</v>
      </c>
      <c r="CA156" s="50" t="s">
        <v>14927</v>
      </c>
      <c r="CB156" s="50" t="s">
        <v>4650</v>
      </c>
      <c r="CC156" s="50" t="s">
        <v>4651</v>
      </c>
      <c r="CD156" s="50" t="s">
        <v>14928</v>
      </c>
      <c r="CE156" s="50" t="s">
        <v>4650</v>
      </c>
      <c r="CF156" s="50" t="s">
        <v>14929</v>
      </c>
      <c r="CG156" s="50" t="s">
        <v>4653</v>
      </c>
      <c r="CH156" s="50" t="s">
        <v>4654</v>
      </c>
      <c r="CJ156" s="50" t="s">
        <v>4655</v>
      </c>
      <c r="CK156" s="50" t="s">
        <v>14930</v>
      </c>
      <c r="CL156" s="50" t="s">
        <v>4644</v>
      </c>
      <c r="CM156" s="50" t="s">
        <v>320</v>
      </c>
      <c r="CN156" s="50" t="s">
        <v>4655</v>
      </c>
      <c r="CP156" s="50" t="s">
        <v>4654</v>
      </c>
      <c r="CQ156" s="50" t="s">
        <v>4654</v>
      </c>
    </row>
    <row r="157" spans="1:96">
      <c r="A157" s="50" t="s">
        <v>149</v>
      </c>
      <c r="B157" s="50">
        <v>1650530</v>
      </c>
      <c r="C157" s="50" t="s">
        <v>12121</v>
      </c>
      <c r="D157" s="50" t="s">
        <v>1466</v>
      </c>
      <c r="E157" s="50" t="str">
        <f>VLOOKUP(B157,aa!B:F,5,0)</f>
        <v>Ei CARES</v>
      </c>
      <c r="F157" s="50">
        <f>VLOOKUP(B157,aa!B:J,9,0)</f>
        <v>302020</v>
      </c>
      <c r="G157" s="50">
        <f>VLOOKUP(B157,aa!B:L,11,0)</f>
        <v>0</v>
      </c>
      <c r="H157" s="50">
        <f>VLOOKUP(B157,aa!B:O,14,0)</f>
        <v>302020</v>
      </c>
      <c r="I157" s="50">
        <f>VLOOKUP(B157,aa!B:R,17,0)</f>
        <v>0</v>
      </c>
      <c r="K157" s="50" t="s">
        <v>152</v>
      </c>
      <c r="L157" s="50">
        <v>308674</v>
      </c>
      <c r="M157" s="50">
        <v>308674</v>
      </c>
      <c r="N157" s="50">
        <v>0</v>
      </c>
      <c r="O157" s="50">
        <v>0</v>
      </c>
      <c r="Q157" s="50">
        <v>308674</v>
      </c>
      <c r="R157" s="50">
        <v>165</v>
      </c>
      <c r="S157" s="50" t="s">
        <v>12749</v>
      </c>
      <c r="T157" s="50">
        <v>0</v>
      </c>
      <c r="U157" s="50">
        <v>0</v>
      </c>
      <c r="W157" s="50" t="s">
        <v>102</v>
      </c>
      <c r="X157" s="50" t="s">
        <v>103</v>
      </c>
      <c r="Y157" s="50" t="s">
        <v>155</v>
      </c>
      <c r="AA157" s="50" t="s">
        <v>12023</v>
      </c>
      <c r="AB157" s="50" t="s">
        <v>12750</v>
      </c>
      <c r="AC157" s="50" t="s">
        <v>11976</v>
      </c>
      <c r="AD157" s="50" t="s">
        <v>12750</v>
      </c>
      <c r="AE157" s="50" t="s">
        <v>11888</v>
      </c>
      <c r="AF157" s="50" t="s">
        <v>12750</v>
      </c>
      <c r="AG157" s="50" t="s">
        <v>12084</v>
      </c>
      <c r="AH157" s="50" t="s">
        <v>12750</v>
      </c>
      <c r="AI157" s="50" t="s">
        <v>12751</v>
      </c>
      <c r="AJ157" s="50" t="s">
        <v>11976</v>
      </c>
      <c r="AK157" s="50" t="s">
        <v>12752</v>
      </c>
      <c r="AL157" s="50" t="s">
        <v>12753</v>
      </c>
      <c r="AM157" s="50" t="s">
        <v>12754</v>
      </c>
      <c r="AN157" s="50" t="s">
        <v>12755</v>
      </c>
      <c r="AO157" s="50" t="s">
        <v>12756</v>
      </c>
      <c r="AP157" s="50" t="s">
        <v>12756</v>
      </c>
      <c r="AU157" s="50" t="s">
        <v>102</v>
      </c>
      <c r="AW157" s="50" t="s">
        <v>155</v>
      </c>
      <c r="AX157" s="50" t="s">
        <v>119</v>
      </c>
      <c r="AY157" s="50" t="s">
        <v>170</v>
      </c>
      <c r="AZ157" s="50" t="s">
        <v>118</v>
      </c>
      <c r="BB157" s="50" t="s">
        <v>120</v>
      </c>
      <c r="BC157" s="50" t="s">
        <v>1480</v>
      </c>
      <c r="BD157" s="50" t="s">
        <v>556</v>
      </c>
      <c r="BE157" s="50" t="s">
        <v>122</v>
      </c>
      <c r="BF157" s="50" t="s">
        <v>557</v>
      </c>
      <c r="BG157" s="50" t="s">
        <v>124</v>
      </c>
      <c r="BH157" s="50" t="s">
        <v>12023</v>
      </c>
      <c r="BI157" s="50" t="s">
        <v>11889</v>
      </c>
      <c r="BJ157" s="50" t="s">
        <v>127</v>
      </c>
      <c r="BK157" s="50" t="s">
        <v>12757</v>
      </c>
      <c r="BL157" s="50" t="s">
        <v>1482</v>
      </c>
      <c r="BM157" s="50" t="s">
        <v>12758</v>
      </c>
      <c r="BN157" s="50" t="s">
        <v>12748</v>
      </c>
      <c r="BO157" s="50" t="s">
        <v>1142</v>
      </c>
      <c r="BP157" s="50" t="s">
        <v>350</v>
      </c>
      <c r="BQ157" s="50" t="s">
        <v>1143</v>
      </c>
      <c r="BR157" s="50" t="s">
        <v>1144</v>
      </c>
      <c r="BS157" s="50" t="s">
        <v>566</v>
      </c>
      <c r="BU157" s="50" t="s">
        <v>12759</v>
      </c>
      <c r="BV157" s="50" t="s">
        <v>1485</v>
      </c>
      <c r="BW157" s="50" t="s">
        <v>138</v>
      </c>
      <c r="BX157" s="50" t="s">
        <v>1486</v>
      </c>
      <c r="BY157" s="50" t="s">
        <v>1487</v>
      </c>
      <c r="BZ157" s="50" t="s">
        <v>1488</v>
      </c>
      <c r="CA157" s="50" t="s">
        <v>1485</v>
      </c>
      <c r="CB157" s="50" t="s">
        <v>1486</v>
      </c>
      <c r="CC157" s="50" t="s">
        <v>1487</v>
      </c>
      <c r="CD157" s="50" t="s">
        <v>1485</v>
      </c>
      <c r="CE157" s="50" t="s">
        <v>1486</v>
      </c>
      <c r="CF157" s="50" t="s">
        <v>1487</v>
      </c>
      <c r="CG157" s="50" t="s">
        <v>102</v>
      </c>
      <c r="CH157" s="50" t="s">
        <v>12760</v>
      </c>
      <c r="CJ157" s="50" t="s">
        <v>1490</v>
      </c>
      <c r="CL157" s="50" t="s">
        <v>1480</v>
      </c>
      <c r="CM157" s="50" t="s">
        <v>556</v>
      </c>
      <c r="CN157" s="50" t="s">
        <v>1490</v>
      </c>
      <c r="CO157" s="50" t="s">
        <v>1491</v>
      </c>
      <c r="CP157" s="50" t="s">
        <v>1489</v>
      </c>
      <c r="CQ157" s="50" t="s">
        <v>1489</v>
      </c>
    </row>
    <row r="158" spans="1:96">
      <c r="A158" s="50" t="s">
        <v>149</v>
      </c>
      <c r="B158" s="50">
        <v>1551815</v>
      </c>
      <c r="C158" s="50" t="s">
        <v>12121</v>
      </c>
      <c r="D158" s="50" t="s">
        <v>1119</v>
      </c>
      <c r="E158" s="50" t="str">
        <f>VLOOKUP(B158,aa!B:F,5,0)</f>
        <v>Ei ASSET, Ei CARES</v>
      </c>
      <c r="F158" s="50">
        <f>VLOOKUP(B158,aa!B:J,9,0)</f>
        <v>4613052</v>
      </c>
      <c r="G158" s="50">
        <f>VLOOKUP(B158,aa!B:L,11,0)</f>
        <v>1314502</v>
      </c>
      <c r="H158" s="50">
        <f>VLOOKUP(B158,aa!B:O,14,0)</f>
        <v>3298550</v>
      </c>
      <c r="I158" s="50">
        <f>VLOOKUP(B158,aa!B:R,17,0)</f>
        <v>0</v>
      </c>
      <c r="K158" s="50" t="s">
        <v>675</v>
      </c>
      <c r="L158" s="50">
        <v>4605809</v>
      </c>
      <c r="M158" s="50">
        <v>4605809</v>
      </c>
      <c r="N158" s="50">
        <v>1323909</v>
      </c>
      <c r="O158" s="50">
        <v>2036</v>
      </c>
      <c r="P158" s="50" t="s">
        <v>1122</v>
      </c>
      <c r="Q158" s="50">
        <v>3281900</v>
      </c>
      <c r="R158" s="50">
        <v>1774</v>
      </c>
      <c r="S158" s="50" t="s">
        <v>1123</v>
      </c>
      <c r="T158" s="50">
        <v>0</v>
      </c>
      <c r="U158" s="50">
        <v>0</v>
      </c>
      <c r="W158" s="50" t="s">
        <v>102</v>
      </c>
      <c r="X158" s="50" t="s">
        <v>103</v>
      </c>
      <c r="Y158" s="50" t="s">
        <v>801</v>
      </c>
      <c r="AA158" s="50" t="s">
        <v>12023</v>
      </c>
      <c r="AB158" s="50" t="s">
        <v>12590</v>
      </c>
      <c r="AC158" s="50" t="s">
        <v>12591</v>
      </c>
      <c r="AD158" s="50" t="s">
        <v>12592</v>
      </c>
      <c r="AE158" s="50" t="s">
        <v>12593</v>
      </c>
      <c r="AF158" s="50" t="s">
        <v>12594</v>
      </c>
      <c r="AG158" s="50" t="s">
        <v>12595</v>
      </c>
      <c r="AH158" s="50" t="s">
        <v>12594</v>
      </c>
      <c r="AI158" s="50" t="s">
        <v>12596</v>
      </c>
      <c r="AJ158" s="50" t="s">
        <v>12597</v>
      </c>
      <c r="AK158" s="50" t="s">
        <v>12598</v>
      </c>
      <c r="AL158" s="50" t="s">
        <v>12599</v>
      </c>
      <c r="AM158" s="50" t="s">
        <v>12600</v>
      </c>
      <c r="AN158" s="50" t="s">
        <v>12601</v>
      </c>
      <c r="AO158" s="50" t="s">
        <v>8689</v>
      </c>
      <c r="AP158" s="50" t="s">
        <v>8689</v>
      </c>
      <c r="AU158" s="50" t="s">
        <v>247</v>
      </c>
      <c r="AV158" s="50" t="s">
        <v>118</v>
      </c>
      <c r="AW158" s="50" t="s">
        <v>248</v>
      </c>
      <c r="AX158" s="50" t="s">
        <v>119</v>
      </c>
      <c r="AY158" s="50" t="s">
        <v>1138</v>
      </c>
      <c r="AZ158" s="50" t="s">
        <v>118</v>
      </c>
      <c r="BB158" s="50" t="s">
        <v>120</v>
      </c>
      <c r="BC158" s="50" t="s">
        <v>555</v>
      </c>
      <c r="BD158" s="50" t="s">
        <v>556</v>
      </c>
      <c r="BE158" s="50" t="s">
        <v>122</v>
      </c>
      <c r="BF158" s="50" t="s">
        <v>557</v>
      </c>
      <c r="BG158" s="50" t="s">
        <v>124</v>
      </c>
      <c r="BH158" s="50" t="s">
        <v>12023</v>
      </c>
      <c r="BI158" s="50" t="s">
        <v>12602</v>
      </c>
      <c r="BJ158" s="50" t="s">
        <v>127</v>
      </c>
      <c r="BK158" s="50" t="s">
        <v>12603</v>
      </c>
      <c r="BL158" s="50" t="s">
        <v>1140</v>
      </c>
      <c r="BM158" s="50" t="s">
        <v>12604</v>
      </c>
      <c r="BN158" s="50" t="s">
        <v>5548</v>
      </c>
      <c r="BO158" s="50" t="s">
        <v>1142</v>
      </c>
      <c r="BP158" s="50" t="s">
        <v>350</v>
      </c>
      <c r="BQ158" s="50" t="s">
        <v>1143</v>
      </c>
      <c r="BR158" s="50" t="s">
        <v>1144</v>
      </c>
      <c r="BS158" s="50" t="s">
        <v>566</v>
      </c>
      <c r="BU158" s="50" t="s">
        <v>12605</v>
      </c>
      <c r="BV158" s="50" t="s">
        <v>1146</v>
      </c>
      <c r="BW158" s="50" t="s">
        <v>138</v>
      </c>
      <c r="BX158" s="50" t="s">
        <v>1147</v>
      </c>
      <c r="BY158" s="50" t="s">
        <v>1148</v>
      </c>
      <c r="BZ158" s="50" t="s">
        <v>1149</v>
      </c>
      <c r="CA158" s="50" t="s">
        <v>1146</v>
      </c>
      <c r="CB158" s="50" t="s">
        <v>1147</v>
      </c>
      <c r="CC158" s="50" t="s">
        <v>1148</v>
      </c>
      <c r="CD158" s="50" t="s">
        <v>1146</v>
      </c>
      <c r="CE158" s="50" t="s">
        <v>1147</v>
      </c>
      <c r="CF158" s="50" t="s">
        <v>1148</v>
      </c>
      <c r="CG158" s="50" t="s">
        <v>102</v>
      </c>
      <c r="CH158" s="50" t="s">
        <v>12606</v>
      </c>
      <c r="CJ158" s="50" t="s">
        <v>1154</v>
      </c>
      <c r="CL158" s="50" t="s">
        <v>555</v>
      </c>
      <c r="CM158" s="50" t="s">
        <v>556</v>
      </c>
      <c r="CN158" s="50" t="s">
        <v>1154</v>
      </c>
      <c r="CO158" s="50" t="s">
        <v>1155</v>
      </c>
      <c r="CP158" s="50" t="s">
        <v>1153</v>
      </c>
      <c r="CQ158" s="50" t="s">
        <v>1153</v>
      </c>
    </row>
    <row r="159" spans="1:96">
      <c r="A159" s="50" t="s">
        <v>337</v>
      </c>
      <c r="B159" s="50">
        <v>2037085</v>
      </c>
      <c r="C159" s="50" t="s">
        <v>12507</v>
      </c>
      <c r="D159" s="50" t="s">
        <v>13337</v>
      </c>
      <c r="E159" s="50" t="e">
        <f>VLOOKUP(B159,aa!B:F,5,0)</f>
        <v>#N/A</v>
      </c>
      <c r="F159" s="50" t="e">
        <f>VLOOKUP(B159,aa!B:J,9,0)</f>
        <v>#N/A</v>
      </c>
      <c r="G159" s="50" t="e">
        <f>VLOOKUP(B159,aa!B:L,11,0)</f>
        <v>#N/A</v>
      </c>
      <c r="H159" s="50" t="e">
        <f>VLOOKUP(B159,aa!B:O,14,0)</f>
        <v>#N/A</v>
      </c>
      <c r="I159" s="50" t="e">
        <f>VLOOKUP(B159,aa!B:R,17,0)</f>
        <v>#N/A</v>
      </c>
      <c r="K159" s="50" t="s">
        <v>152</v>
      </c>
      <c r="L159" s="50">
        <v>515264</v>
      </c>
      <c r="M159" s="50">
        <v>515264</v>
      </c>
      <c r="N159" s="50">
        <v>0</v>
      </c>
      <c r="O159" s="50">
        <v>0</v>
      </c>
      <c r="Q159" s="50">
        <v>515264</v>
      </c>
      <c r="R159" s="50">
        <v>644</v>
      </c>
      <c r="S159" s="50" t="s">
        <v>1297</v>
      </c>
      <c r="T159" s="50">
        <v>0</v>
      </c>
      <c r="U159" s="50">
        <v>0</v>
      </c>
      <c r="W159" s="50" t="s">
        <v>102</v>
      </c>
      <c r="X159" s="50" t="s">
        <v>103</v>
      </c>
      <c r="Y159" s="50" t="s">
        <v>155</v>
      </c>
      <c r="AA159" s="50" t="s">
        <v>3993</v>
      </c>
      <c r="AB159" s="50" t="s">
        <v>13338</v>
      </c>
      <c r="AC159" s="50" t="s">
        <v>4563</v>
      </c>
      <c r="AD159" s="50" t="s">
        <v>13339</v>
      </c>
      <c r="AE159" s="50" t="s">
        <v>13340</v>
      </c>
      <c r="AF159" s="50" t="s">
        <v>13341</v>
      </c>
      <c r="AG159" s="50" t="s">
        <v>11886</v>
      </c>
      <c r="AH159" s="50" t="s">
        <v>13342</v>
      </c>
      <c r="AI159" s="50" t="s">
        <v>13343</v>
      </c>
      <c r="AJ159" s="50" t="s">
        <v>1202</v>
      </c>
      <c r="AK159" s="50" t="s">
        <v>13344</v>
      </c>
      <c r="AL159" s="50" t="s">
        <v>13345</v>
      </c>
      <c r="AM159" s="50" t="s">
        <v>13346</v>
      </c>
      <c r="AN159" s="50" t="s">
        <v>6604</v>
      </c>
      <c r="AO159" s="50" t="s">
        <v>13347</v>
      </c>
      <c r="AP159" s="50" t="s">
        <v>13347</v>
      </c>
      <c r="AU159" s="50" t="s">
        <v>102</v>
      </c>
      <c r="AW159" s="50" t="s">
        <v>155</v>
      </c>
      <c r="AX159" s="50" t="s">
        <v>447</v>
      </c>
      <c r="AY159" s="50" t="s">
        <v>170</v>
      </c>
      <c r="AZ159" s="50" t="s">
        <v>118</v>
      </c>
      <c r="BA159" s="50" t="s">
        <v>208</v>
      </c>
      <c r="BB159" s="50" t="s">
        <v>120</v>
      </c>
      <c r="BC159" s="50" t="s">
        <v>13348</v>
      </c>
      <c r="BD159" s="50" t="s">
        <v>556</v>
      </c>
      <c r="BE159" s="50" t="s">
        <v>122</v>
      </c>
      <c r="BF159" s="50" t="s">
        <v>557</v>
      </c>
      <c r="BG159" s="50" t="s">
        <v>124</v>
      </c>
      <c r="BH159" s="50" t="s">
        <v>12023</v>
      </c>
      <c r="BI159" s="50" t="s">
        <v>11889</v>
      </c>
      <c r="BJ159" s="50" t="s">
        <v>127</v>
      </c>
      <c r="BK159" s="50" t="s">
        <v>13349</v>
      </c>
      <c r="BL159" s="50" t="s">
        <v>13350</v>
      </c>
      <c r="BM159" s="50" t="s">
        <v>13351</v>
      </c>
      <c r="BN159" s="50" t="s">
        <v>5548</v>
      </c>
      <c r="BO159" s="50" t="s">
        <v>1071</v>
      </c>
      <c r="BP159" s="50" t="s">
        <v>350</v>
      </c>
      <c r="BQ159" s="50" t="s">
        <v>1072</v>
      </c>
      <c r="BR159" s="50" t="s">
        <v>1073</v>
      </c>
      <c r="BS159" s="50" t="s">
        <v>1074</v>
      </c>
      <c r="BU159" s="50" t="s">
        <v>13352</v>
      </c>
      <c r="BV159" s="50" t="s">
        <v>13353</v>
      </c>
      <c r="BW159" s="50" t="s">
        <v>138</v>
      </c>
      <c r="BX159" s="50" t="s">
        <v>13354</v>
      </c>
      <c r="BY159" s="50" t="s">
        <v>13355</v>
      </c>
      <c r="BZ159" s="50" t="s">
        <v>13356</v>
      </c>
      <c r="CA159" s="50" t="s">
        <v>13357</v>
      </c>
      <c r="CB159" s="50" t="s">
        <v>13358</v>
      </c>
      <c r="CC159" s="50" t="s">
        <v>13355</v>
      </c>
      <c r="CD159" s="50" t="s">
        <v>13357</v>
      </c>
      <c r="CE159" s="50" t="s">
        <v>13358</v>
      </c>
      <c r="CF159" s="50" t="s">
        <v>13355</v>
      </c>
      <c r="CG159" s="50" t="s">
        <v>13359</v>
      </c>
      <c r="CH159" s="50" t="s">
        <v>13360</v>
      </c>
      <c r="CJ159" s="50" t="s">
        <v>13361</v>
      </c>
      <c r="CK159" s="50" t="s">
        <v>13360</v>
      </c>
      <c r="CL159" s="50" t="s">
        <v>13348</v>
      </c>
      <c r="CM159" s="50" t="s">
        <v>556</v>
      </c>
      <c r="CN159" s="50" t="s">
        <v>13361</v>
      </c>
      <c r="CO159" s="50" t="s">
        <v>13362</v>
      </c>
      <c r="CP159" s="50" t="s">
        <v>13363</v>
      </c>
      <c r="CQ159" s="50" t="s">
        <v>13363</v>
      </c>
    </row>
    <row r="160" spans="1:96">
      <c r="A160" s="50" t="s">
        <v>149</v>
      </c>
      <c r="B160" s="50">
        <v>20480</v>
      </c>
      <c r="C160" s="50" t="s">
        <v>12121</v>
      </c>
      <c r="D160" s="50" t="s">
        <v>2476</v>
      </c>
      <c r="E160" s="50" t="str">
        <f>VLOOKUP(B160,aa!B:F,5,0)</f>
        <v>Ei CARES</v>
      </c>
      <c r="F160" s="50">
        <f>VLOOKUP(B160,aa!B:J,9,0)</f>
        <v>1550010</v>
      </c>
      <c r="G160" s="50">
        <f>VLOOKUP(B160,aa!B:L,11,0)</f>
        <v>0</v>
      </c>
      <c r="H160" s="50">
        <f>VLOOKUP(B160,aa!B:O,14,0)</f>
        <v>1550010</v>
      </c>
      <c r="I160" s="50">
        <f>VLOOKUP(B160,aa!B:R,17,0)</f>
        <v>0</v>
      </c>
      <c r="K160" s="50" t="s">
        <v>152</v>
      </c>
      <c r="L160" s="50">
        <v>1392630</v>
      </c>
      <c r="M160" s="50">
        <v>1392630</v>
      </c>
      <c r="N160" s="50">
        <v>0</v>
      </c>
      <c r="O160" s="50">
        <v>0</v>
      </c>
      <c r="Q160" s="50">
        <v>1392630</v>
      </c>
      <c r="R160" s="50">
        <v>761</v>
      </c>
      <c r="S160" s="50" t="s">
        <v>2478</v>
      </c>
      <c r="T160" s="50">
        <v>0</v>
      </c>
      <c r="U160" s="50">
        <v>0</v>
      </c>
      <c r="W160" s="50" t="s">
        <v>102</v>
      </c>
      <c r="X160" s="50" t="s">
        <v>103</v>
      </c>
      <c r="Y160" s="50" t="s">
        <v>398</v>
      </c>
      <c r="AA160" s="50" t="s">
        <v>12023</v>
      </c>
      <c r="AB160" s="50" t="s">
        <v>13383</v>
      </c>
      <c r="AC160" s="50" t="s">
        <v>11976</v>
      </c>
      <c r="AD160" s="50" t="s">
        <v>13384</v>
      </c>
      <c r="AE160" s="50" t="s">
        <v>12327</v>
      </c>
      <c r="AF160" s="50" t="s">
        <v>13384</v>
      </c>
      <c r="AG160" s="50" t="s">
        <v>109</v>
      </c>
      <c r="AH160" s="50" t="s">
        <v>102</v>
      </c>
      <c r="AI160" s="50" t="s">
        <v>102</v>
      </c>
      <c r="AJ160" s="50" t="s">
        <v>13385</v>
      </c>
      <c r="AK160" s="50" t="s">
        <v>13386</v>
      </c>
      <c r="AL160" s="50" t="s">
        <v>13387</v>
      </c>
      <c r="AM160" s="50" t="s">
        <v>13388</v>
      </c>
      <c r="AN160" s="50" t="s">
        <v>13389</v>
      </c>
      <c r="AO160" s="50" t="s">
        <v>2487</v>
      </c>
      <c r="AP160" s="50" t="s">
        <v>2487</v>
      </c>
      <c r="AU160" s="50" t="s">
        <v>102</v>
      </c>
      <c r="AW160" s="50" t="s">
        <v>1384</v>
      </c>
      <c r="AX160" s="50" t="s">
        <v>119</v>
      </c>
      <c r="AY160" s="50" t="s">
        <v>1138</v>
      </c>
      <c r="AZ160" s="50" t="s">
        <v>118</v>
      </c>
      <c r="BB160" s="50" t="s">
        <v>120</v>
      </c>
      <c r="BC160" s="50" t="s">
        <v>555</v>
      </c>
      <c r="BD160" s="50" t="s">
        <v>556</v>
      </c>
      <c r="BE160" s="50" t="s">
        <v>122</v>
      </c>
      <c r="BF160" s="50" t="s">
        <v>557</v>
      </c>
      <c r="BG160" s="50" t="s">
        <v>124</v>
      </c>
      <c r="BH160" s="50" t="s">
        <v>12023</v>
      </c>
      <c r="BI160" s="50" t="s">
        <v>11889</v>
      </c>
      <c r="BJ160" s="50" t="s">
        <v>127</v>
      </c>
      <c r="BK160" s="50" t="s">
        <v>13390</v>
      </c>
      <c r="BL160" s="50" t="s">
        <v>2489</v>
      </c>
      <c r="BM160" s="50" t="s">
        <v>13391</v>
      </c>
      <c r="BN160" s="50" t="s">
        <v>5548</v>
      </c>
      <c r="BO160" s="50" t="s">
        <v>1142</v>
      </c>
      <c r="BP160" s="50" t="s">
        <v>350</v>
      </c>
      <c r="BQ160" s="50" t="s">
        <v>1143</v>
      </c>
      <c r="BR160" s="50" t="s">
        <v>1144</v>
      </c>
      <c r="BS160" s="50" t="s">
        <v>566</v>
      </c>
      <c r="BU160" s="50" t="s">
        <v>13392</v>
      </c>
      <c r="BV160" s="50" t="s">
        <v>2492</v>
      </c>
      <c r="BW160" s="50" t="s">
        <v>138</v>
      </c>
      <c r="BX160" s="50" t="s">
        <v>2493</v>
      </c>
      <c r="BY160" s="50" t="s">
        <v>2494</v>
      </c>
      <c r="BZ160" s="50" t="s">
        <v>2495</v>
      </c>
      <c r="CA160" s="50" t="s">
        <v>2492</v>
      </c>
      <c r="CB160" s="50" t="s">
        <v>2493</v>
      </c>
      <c r="CC160" s="50" t="s">
        <v>2494</v>
      </c>
      <c r="CD160" s="50" t="s">
        <v>2492</v>
      </c>
      <c r="CE160" s="50" t="s">
        <v>2493</v>
      </c>
      <c r="CF160" s="50" t="s">
        <v>2494</v>
      </c>
      <c r="CG160" s="50" t="s">
        <v>102</v>
      </c>
      <c r="CH160" s="50" t="s">
        <v>2476</v>
      </c>
      <c r="CJ160" s="50" t="s">
        <v>2500</v>
      </c>
      <c r="CL160" s="50" t="s">
        <v>555</v>
      </c>
      <c r="CM160" s="50" t="s">
        <v>556</v>
      </c>
      <c r="CN160" s="50" t="s">
        <v>2500</v>
      </c>
      <c r="CO160" s="50" t="s">
        <v>2501</v>
      </c>
      <c r="CP160" s="50" t="s">
        <v>2499</v>
      </c>
      <c r="CQ160" s="50" t="s">
        <v>2499</v>
      </c>
    </row>
    <row r="161" spans="1:96">
      <c r="A161" s="50" t="s">
        <v>149</v>
      </c>
      <c r="B161" s="50">
        <v>4105283</v>
      </c>
      <c r="C161" s="50" t="s">
        <v>12121</v>
      </c>
      <c r="D161" s="50" t="s">
        <v>8677</v>
      </c>
      <c r="E161" s="50" t="str">
        <f>VLOOKUP(B161,aa!B:F,5,0)</f>
        <v>Ei ASSET, Ei CARES</v>
      </c>
      <c r="F161" s="50">
        <f>VLOOKUP(B161,aa!B:J,9,0)</f>
        <v>2730651</v>
      </c>
      <c r="G161" s="50">
        <f>VLOOKUP(B161,aa!B:L,11,0)</f>
        <v>778719</v>
      </c>
      <c r="H161" s="50">
        <f>VLOOKUP(B161,aa!B:O,14,0)</f>
        <v>1951932</v>
      </c>
      <c r="I161" s="50">
        <f>VLOOKUP(B161,aa!B:R,17,0)</f>
        <v>0</v>
      </c>
      <c r="K161" s="50" t="s">
        <v>675</v>
      </c>
      <c r="L161" s="50">
        <v>2652490</v>
      </c>
      <c r="M161" s="50">
        <v>2652490</v>
      </c>
      <c r="N161" s="50">
        <v>774740</v>
      </c>
      <c r="O161" s="50">
        <v>1192</v>
      </c>
      <c r="P161" s="50" t="s">
        <v>1122</v>
      </c>
      <c r="Q161" s="50">
        <v>1877750</v>
      </c>
      <c r="R161" s="50">
        <v>1015</v>
      </c>
      <c r="S161" s="50" t="s">
        <v>1123</v>
      </c>
      <c r="T161" s="50">
        <v>0</v>
      </c>
      <c r="U161" s="50">
        <v>0</v>
      </c>
      <c r="W161" s="50" t="s">
        <v>102</v>
      </c>
      <c r="X161" s="50" t="s">
        <v>103</v>
      </c>
      <c r="Y161" s="50" t="s">
        <v>801</v>
      </c>
      <c r="AA161" s="50" t="s">
        <v>18107</v>
      </c>
      <c r="AB161" s="50" t="s">
        <v>18108</v>
      </c>
      <c r="AC161" s="50" t="s">
        <v>18109</v>
      </c>
      <c r="AD161" s="50" t="s">
        <v>18110</v>
      </c>
      <c r="AE161" s="50" t="s">
        <v>12593</v>
      </c>
      <c r="AF161" s="50" t="s">
        <v>18111</v>
      </c>
      <c r="AG161" s="50" t="s">
        <v>12595</v>
      </c>
      <c r="AH161" s="50" t="s">
        <v>18111</v>
      </c>
      <c r="AI161" s="50" t="s">
        <v>18112</v>
      </c>
      <c r="AJ161" s="50" t="s">
        <v>18113</v>
      </c>
      <c r="AK161" s="50" t="s">
        <v>18114</v>
      </c>
      <c r="AL161" s="50" t="s">
        <v>18115</v>
      </c>
      <c r="AM161" s="50" t="s">
        <v>18116</v>
      </c>
      <c r="AN161" s="50" t="s">
        <v>18117</v>
      </c>
      <c r="AO161" s="50" t="s">
        <v>1137</v>
      </c>
      <c r="AP161" s="50" t="s">
        <v>1137</v>
      </c>
      <c r="AU161" s="50" t="s">
        <v>247</v>
      </c>
      <c r="AV161" s="50" t="s">
        <v>118</v>
      </c>
      <c r="AW161" s="50" t="s">
        <v>248</v>
      </c>
      <c r="AX161" s="50" t="s">
        <v>119</v>
      </c>
      <c r="AY161" s="50" t="s">
        <v>1138</v>
      </c>
      <c r="AZ161" s="50" t="s">
        <v>118</v>
      </c>
      <c r="BB161" s="50" t="s">
        <v>120</v>
      </c>
      <c r="BC161" s="50" t="s">
        <v>555</v>
      </c>
      <c r="BD161" s="50" t="s">
        <v>556</v>
      </c>
      <c r="BE161" s="50" t="s">
        <v>122</v>
      </c>
      <c r="BF161" s="50" t="s">
        <v>557</v>
      </c>
      <c r="BG161" s="50" t="s">
        <v>124</v>
      </c>
      <c r="BH161" s="50" t="s">
        <v>7020</v>
      </c>
      <c r="BI161" s="50" t="s">
        <v>12602</v>
      </c>
      <c r="BJ161" s="50" t="s">
        <v>127</v>
      </c>
      <c r="BK161" s="50" t="s">
        <v>18118</v>
      </c>
      <c r="BL161" s="50" t="s">
        <v>8691</v>
      </c>
      <c r="BM161" s="50" t="s">
        <v>18119</v>
      </c>
      <c r="BN161" s="50" t="s">
        <v>5548</v>
      </c>
      <c r="BO161" s="50" t="s">
        <v>1142</v>
      </c>
      <c r="BP161" s="50" t="s">
        <v>350</v>
      </c>
      <c r="BQ161" s="50" t="s">
        <v>1143</v>
      </c>
      <c r="BR161" s="50" t="s">
        <v>1144</v>
      </c>
      <c r="BS161" s="50" t="s">
        <v>566</v>
      </c>
      <c r="BU161" s="50" t="s">
        <v>18120</v>
      </c>
      <c r="BV161" s="50" t="s">
        <v>1146</v>
      </c>
      <c r="BW161" s="50" t="s">
        <v>138</v>
      </c>
      <c r="BX161" s="50" t="s">
        <v>1147</v>
      </c>
      <c r="BY161" s="50" t="s">
        <v>1148</v>
      </c>
      <c r="BZ161" s="50" t="s">
        <v>8694</v>
      </c>
      <c r="CA161" s="50" t="s">
        <v>1146</v>
      </c>
      <c r="CB161" s="50" t="s">
        <v>1147</v>
      </c>
      <c r="CC161" s="50" t="s">
        <v>1148</v>
      </c>
      <c r="CD161" s="50" t="s">
        <v>1146</v>
      </c>
      <c r="CE161" s="50" t="s">
        <v>1147</v>
      </c>
      <c r="CF161" s="50" t="s">
        <v>1148</v>
      </c>
      <c r="CG161" s="50" t="s">
        <v>102</v>
      </c>
      <c r="CH161" s="50" t="s">
        <v>18121</v>
      </c>
      <c r="CJ161" s="50" t="s">
        <v>8699</v>
      </c>
      <c r="CL161" s="50" t="s">
        <v>555</v>
      </c>
      <c r="CM161" s="50" t="s">
        <v>556</v>
      </c>
      <c r="CN161" s="50" t="s">
        <v>8699</v>
      </c>
      <c r="CO161" s="50" t="s">
        <v>1155</v>
      </c>
      <c r="CP161" s="50" t="s">
        <v>8698</v>
      </c>
      <c r="CQ161" s="50" t="s">
        <v>8698</v>
      </c>
    </row>
    <row r="162" spans="1:96">
      <c r="A162" s="50" t="s">
        <v>149</v>
      </c>
      <c r="B162" s="50">
        <v>3407332</v>
      </c>
      <c r="C162" s="50" t="s">
        <v>13158</v>
      </c>
      <c r="D162" s="50" t="s">
        <v>14582</v>
      </c>
      <c r="E162" s="50" t="e">
        <f>VLOOKUP(B162,aa!B:F,5,0)</f>
        <v>#N/A</v>
      </c>
      <c r="F162" s="50" t="e">
        <f>VLOOKUP(B162,aa!B:J,9,0)</f>
        <v>#N/A</v>
      </c>
      <c r="G162" s="50" t="e">
        <f>VLOOKUP(B162,aa!B:L,11,0)</f>
        <v>#N/A</v>
      </c>
      <c r="H162" s="50" t="e">
        <f>VLOOKUP(B162,aa!B:O,14,0)</f>
        <v>#N/A</v>
      </c>
      <c r="I162" s="50" t="e">
        <f>VLOOKUP(B162,aa!B:R,17,0)</f>
        <v>#N/A</v>
      </c>
      <c r="K162" s="50" t="s">
        <v>193</v>
      </c>
      <c r="L162" s="50">
        <v>1274174</v>
      </c>
      <c r="M162" s="50">
        <v>1503525</v>
      </c>
      <c r="N162" s="50">
        <v>0</v>
      </c>
      <c r="O162" s="50">
        <v>367</v>
      </c>
      <c r="P162" s="50" t="s">
        <v>102</v>
      </c>
      <c r="Q162" s="50">
        <v>0</v>
      </c>
      <c r="R162" s="50">
        <v>0</v>
      </c>
      <c r="T162" s="50">
        <v>1274174</v>
      </c>
      <c r="U162" s="50">
        <v>537</v>
      </c>
      <c r="V162" s="50" t="s">
        <v>11158</v>
      </c>
      <c r="W162" s="50" t="s">
        <v>102</v>
      </c>
      <c r="X162" s="50" t="s">
        <v>275</v>
      </c>
      <c r="Z162" s="50" t="s">
        <v>15889</v>
      </c>
      <c r="AA162" s="50" t="s">
        <v>109</v>
      </c>
      <c r="AB162" s="50" t="s">
        <v>102</v>
      </c>
      <c r="AC162" s="50" t="s">
        <v>109</v>
      </c>
      <c r="AD162" s="50" t="s">
        <v>102</v>
      </c>
      <c r="AE162" s="50" t="s">
        <v>109</v>
      </c>
      <c r="AF162" s="50" t="s">
        <v>102</v>
      </c>
      <c r="AG162" s="50" t="s">
        <v>109</v>
      </c>
      <c r="AH162" s="50" t="s">
        <v>102</v>
      </c>
      <c r="AI162" s="50" t="s">
        <v>15890</v>
      </c>
      <c r="AJ162" s="50" t="s">
        <v>11599</v>
      </c>
      <c r="AK162" s="50" t="s">
        <v>11599</v>
      </c>
      <c r="AL162" s="50" t="s">
        <v>15891</v>
      </c>
      <c r="AM162" s="50" t="s">
        <v>15892</v>
      </c>
      <c r="AN162" s="50" t="s">
        <v>2202</v>
      </c>
      <c r="AO162" s="50" t="s">
        <v>15893</v>
      </c>
      <c r="AP162" s="50" t="s">
        <v>15893</v>
      </c>
      <c r="AU162" s="50" t="s">
        <v>247</v>
      </c>
      <c r="AV162" s="50" t="s">
        <v>118</v>
      </c>
      <c r="AW162" s="50" t="s">
        <v>102</v>
      </c>
      <c r="AX162" s="50" t="s">
        <v>119</v>
      </c>
      <c r="BA162" s="50" t="s">
        <v>250</v>
      </c>
      <c r="BB162" s="50" t="s">
        <v>120</v>
      </c>
      <c r="BC162" s="50" t="s">
        <v>3058</v>
      </c>
      <c r="BD162" s="50" t="s">
        <v>320</v>
      </c>
      <c r="BE162" s="50" t="s">
        <v>122</v>
      </c>
      <c r="BF162" s="50" t="s">
        <v>123</v>
      </c>
      <c r="BG162" s="50" t="s">
        <v>124</v>
      </c>
      <c r="BH162" s="50" t="s">
        <v>15894</v>
      </c>
      <c r="BI162" s="50" t="s">
        <v>11889</v>
      </c>
      <c r="BJ162" s="50" t="s">
        <v>127</v>
      </c>
      <c r="BK162" s="50" t="s">
        <v>15895</v>
      </c>
      <c r="BL162" s="50" t="s">
        <v>5914</v>
      </c>
      <c r="BM162" s="50" t="s">
        <v>15896</v>
      </c>
      <c r="BN162" s="50" t="s">
        <v>15888</v>
      </c>
      <c r="BO162" s="50" t="s">
        <v>1108</v>
      </c>
      <c r="BP162" s="50" t="s">
        <v>350</v>
      </c>
      <c r="BQ162" s="50" t="s">
        <v>1109</v>
      </c>
      <c r="BR162" s="50" t="s">
        <v>1110</v>
      </c>
      <c r="BS162" s="50" t="s">
        <v>1111</v>
      </c>
      <c r="BU162" s="50" t="s">
        <v>15897</v>
      </c>
      <c r="BV162" s="50" t="s">
        <v>15898</v>
      </c>
      <c r="BW162" s="50" t="s">
        <v>598</v>
      </c>
      <c r="BX162" s="50" t="s">
        <v>15899</v>
      </c>
      <c r="BY162" s="50" t="s">
        <v>15900</v>
      </c>
      <c r="BZ162" s="50" t="s">
        <v>5917</v>
      </c>
      <c r="CA162" s="50" t="s">
        <v>15901</v>
      </c>
      <c r="CB162" s="50" t="s">
        <v>10519</v>
      </c>
      <c r="CC162" s="50" t="s">
        <v>15902</v>
      </c>
      <c r="CD162" s="50" t="s">
        <v>15903</v>
      </c>
      <c r="CE162" s="50" t="s">
        <v>15904</v>
      </c>
      <c r="CF162" s="50" t="s">
        <v>15905</v>
      </c>
      <c r="CG162" s="50" t="s">
        <v>102</v>
      </c>
      <c r="CH162" s="50" t="s">
        <v>15906</v>
      </c>
      <c r="CJ162" s="50" t="s">
        <v>3070</v>
      </c>
      <c r="CL162" s="50" t="s">
        <v>3058</v>
      </c>
      <c r="CM162" s="50" t="s">
        <v>320</v>
      </c>
      <c r="CN162" s="50" t="s">
        <v>3070</v>
      </c>
      <c r="CO162" s="50" t="s">
        <v>5919</v>
      </c>
      <c r="CP162" s="50" t="s">
        <v>5918</v>
      </c>
      <c r="CQ162" s="50" t="s">
        <v>5918</v>
      </c>
    </row>
    <row r="163" spans="1:96">
      <c r="A163" s="50" t="s">
        <v>337</v>
      </c>
      <c r="B163" s="50">
        <v>1110834</v>
      </c>
      <c r="C163" s="50" t="s">
        <v>12096</v>
      </c>
      <c r="D163" s="50" t="s">
        <v>12095</v>
      </c>
      <c r="E163" s="50" t="e">
        <f>VLOOKUP(B163,aa!B:F,5,0)</f>
        <v>#N/A</v>
      </c>
      <c r="F163" s="50" t="e">
        <f>VLOOKUP(B163,aa!B:J,9,0)</f>
        <v>#N/A</v>
      </c>
      <c r="G163" s="50" t="e">
        <f>VLOOKUP(B163,aa!B:L,11,0)</f>
        <v>#N/A</v>
      </c>
      <c r="H163" s="50" t="e">
        <f>VLOOKUP(B163,aa!B:O,14,0)</f>
        <v>#N/A</v>
      </c>
      <c r="I163" s="50" t="e">
        <f>VLOOKUP(B163,aa!B:R,17,0)</f>
        <v>#N/A</v>
      </c>
      <c r="K163" s="50" t="s">
        <v>152</v>
      </c>
      <c r="L163" s="50">
        <v>337680</v>
      </c>
      <c r="M163" s="50">
        <v>337680</v>
      </c>
      <c r="N163" s="50">
        <v>0</v>
      </c>
      <c r="O163" s="50">
        <v>0</v>
      </c>
      <c r="Q163" s="50">
        <v>337680</v>
      </c>
      <c r="R163" s="50">
        <v>201</v>
      </c>
      <c r="S163" s="50" t="s">
        <v>12097</v>
      </c>
      <c r="T163" s="50">
        <v>0</v>
      </c>
      <c r="U163" s="50">
        <v>0</v>
      </c>
      <c r="W163" s="50" t="s">
        <v>102</v>
      </c>
      <c r="X163" s="50" t="s">
        <v>103</v>
      </c>
      <c r="Y163" s="50" t="s">
        <v>155</v>
      </c>
      <c r="AA163" s="50" t="s">
        <v>1202</v>
      </c>
      <c r="AB163" s="50" t="s">
        <v>12098</v>
      </c>
      <c r="AC163" s="50" t="s">
        <v>12040</v>
      </c>
      <c r="AD163" s="50" t="s">
        <v>12098</v>
      </c>
      <c r="AE163" s="50" t="s">
        <v>12099</v>
      </c>
      <c r="AF163" s="50" t="s">
        <v>12098</v>
      </c>
      <c r="AG163" s="50" t="s">
        <v>11886</v>
      </c>
      <c r="AH163" s="50" t="s">
        <v>12098</v>
      </c>
      <c r="AI163" s="50" t="s">
        <v>102</v>
      </c>
      <c r="AJ163" s="50" t="s">
        <v>12100</v>
      </c>
      <c r="AK163" s="50" t="s">
        <v>12100</v>
      </c>
      <c r="AL163" s="50" t="s">
        <v>12101</v>
      </c>
      <c r="AM163" s="50" t="s">
        <v>12102</v>
      </c>
      <c r="AN163" s="50" t="s">
        <v>12103</v>
      </c>
      <c r="AO163" s="50" t="s">
        <v>4168</v>
      </c>
      <c r="AP163" s="50" t="s">
        <v>4168</v>
      </c>
      <c r="AU163" s="50" t="s">
        <v>102</v>
      </c>
      <c r="AW163" s="50" t="s">
        <v>155</v>
      </c>
      <c r="AX163" s="50" t="s">
        <v>447</v>
      </c>
      <c r="AY163" s="50" t="s">
        <v>170</v>
      </c>
      <c r="AZ163" s="50" t="s">
        <v>118</v>
      </c>
      <c r="BB163" s="50" t="s">
        <v>120</v>
      </c>
      <c r="BC163" s="50" t="s">
        <v>12104</v>
      </c>
      <c r="BD163" s="50" t="s">
        <v>1208</v>
      </c>
      <c r="BE163" s="50" t="s">
        <v>174</v>
      </c>
      <c r="BF163" s="50" t="s">
        <v>1172</v>
      </c>
      <c r="BG163" s="50" t="s">
        <v>124</v>
      </c>
      <c r="BH163" s="50" t="s">
        <v>12023</v>
      </c>
      <c r="BI163" s="50" t="s">
        <v>11889</v>
      </c>
      <c r="BJ163" s="50" t="s">
        <v>127</v>
      </c>
      <c r="BK163" s="50" t="s">
        <v>12105</v>
      </c>
      <c r="BL163" s="50" t="s">
        <v>12106</v>
      </c>
      <c r="BM163" s="50" t="s">
        <v>12107</v>
      </c>
      <c r="BN163" s="50" t="s">
        <v>3993</v>
      </c>
      <c r="BO163" s="50" t="s">
        <v>1212</v>
      </c>
      <c r="BP163" s="50" t="s">
        <v>180</v>
      </c>
      <c r="BQ163" s="50" t="s">
        <v>1213</v>
      </c>
      <c r="BR163" s="50" t="s">
        <v>1214</v>
      </c>
      <c r="BS163" s="50" t="s">
        <v>1215</v>
      </c>
      <c r="BU163" s="50" t="s">
        <v>12108</v>
      </c>
      <c r="BV163" s="50" t="s">
        <v>12109</v>
      </c>
      <c r="BW163" s="50" t="s">
        <v>598</v>
      </c>
      <c r="BX163" s="50" t="s">
        <v>12110</v>
      </c>
      <c r="BY163" s="50" t="s">
        <v>12111</v>
      </c>
      <c r="BZ163" s="50" t="s">
        <v>12110</v>
      </c>
      <c r="CA163" s="50" t="s">
        <v>12112</v>
      </c>
      <c r="CB163" s="50" t="s">
        <v>12113</v>
      </c>
      <c r="CC163" s="50" t="s">
        <v>12114</v>
      </c>
      <c r="CD163" s="50" t="s">
        <v>12109</v>
      </c>
      <c r="CE163" s="50" t="s">
        <v>12110</v>
      </c>
      <c r="CF163" s="50" t="s">
        <v>12111</v>
      </c>
      <c r="CG163" s="50" t="s">
        <v>12115</v>
      </c>
      <c r="CH163" s="50" t="s">
        <v>12116</v>
      </c>
      <c r="CJ163" s="50" t="s">
        <v>12117</v>
      </c>
      <c r="CK163" s="50" t="s">
        <v>12118</v>
      </c>
      <c r="CL163" s="50" t="s">
        <v>12104</v>
      </c>
      <c r="CM163" s="50" t="s">
        <v>1208</v>
      </c>
      <c r="CN163" s="50" t="s">
        <v>12117</v>
      </c>
      <c r="CP163" s="50" t="s">
        <v>12119</v>
      </c>
      <c r="CQ163" s="50" t="s">
        <v>12116</v>
      </c>
      <c r="CR163" s="50" t="s">
        <v>26046</v>
      </c>
    </row>
    <row r="164" spans="1:96">
      <c r="A164" s="50" t="s">
        <v>149</v>
      </c>
      <c r="B164" s="50">
        <v>3557796</v>
      </c>
      <c r="C164" s="50" t="s">
        <v>418</v>
      </c>
      <c r="D164" s="50" t="s">
        <v>6541</v>
      </c>
      <c r="E164" s="50" t="str">
        <f>VLOOKUP(B164,aa!B:F,5,0)</f>
        <v>Ei ASSET, Ei Mindspark</v>
      </c>
      <c r="F164" s="50">
        <f>VLOOKUP(B164,aa!B:J,9,0)</f>
        <v>389588</v>
      </c>
      <c r="G164" s="50">
        <f>VLOOKUP(B164,aa!B:L,11,0)</f>
        <v>156917</v>
      </c>
      <c r="H164" s="50">
        <f>VLOOKUP(B164,aa!B:O,14,0)</f>
        <v>0</v>
      </c>
      <c r="I164" s="50">
        <f>VLOOKUP(B164,aa!B:R,17,0)</f>
        <v>232671</v>
      </c>
      <c r="K164" s="50" t="s">
        <v>193</v>
      </c>
      <c r="L164" s="50">
        <v>279238</v>
      </c>
      <c r="M164" s="50">
        <v>308037</v>
      </c>
      <c r="N164" s="50">
        <v>119246</v>
      </c>
      <c r="O164" s="50">
        <v>169</v>
      </c>
      <c r="P164" s="50" t="s">
        <v>5793</v>
      </c>
      <c r="Q164" s="50">
        <v>0</v>
      </c>
      <c r="R164" s="50">
        <v>0</v>
      </c>
      <c r="T164" s="50">
        <v>159992</v>
      </c>
      <c r="U164" s="50">
        <v>59</v>
      </c>
      <c r="V164" s="50" t="s">
        <v>6544</v>
      </c>
      <c r="W164" s="50" t="s">
        <v>102</v>
      </c>
      <c r="X164" s="50" t="s">
        <v>103</v>
      </c>
      <c r="Y164" s="50" t="s">
        <v>104</v>
      </c>
      <c r="AA164" s="50" t="s">
        <v>1408</v>
      </c>
      <c r="AB164" s="50" t="s">
        <v>16447</v>
      </c>
      <c r="AC164" s="50" t="s">
        <v>12289</v>
      </c>
      <c r="AD164" s="50" t="s">
        <v>16447</v>
      </c>
      <c r="AE164" s="50" t="s">
        <v>109</v>
      </c>
      <c r="AF164" s="50" t="s">
        <v>102</v>
      </c>
      <c r="AG164" s="50" t="s">
        <v>109</v>
      </c>
      <c r="AH164" s="50" t="s">
        <v>102</v>
      </c>
      <c r="AI164" s="50" t="s">
        <v>16448</v>
      </c>
      <c r="AJ164" s="50" t="s">
        <v>16449</v>
      </c>
      <c r="AK164" s="50" t="s">
        <v>16450</v>
      </c>
      <c r="AL164" s="50" t="s">
        <v>16451</v>
      </c>
      <c r="AM164" s="50" t="s">
        <v>16452</v>
      </c>
      <c r="AN164" s="50" t="s">
        <v>16453</v>
      </c>
      <c r="AO164" s="50" t="s">
        <v>16454</v>
      </c>
      <c r="AP164" s="50" t="s">
        <v>16454</v>
      </c>
      <c r="AU164" s="50" t="s">
        <v>207</v>
      </c>
      <c r="AV164" s="50" t="s">
        <v>118</v>
      </c>
      <c r="AW164" s="50" t="s">
        <v>102</v>
      </c>
      <c r="AX164" s="50" t="s">
        <v>119</v>
      </c>
      <c r="BA164" s="50" t="s">
        <v>250</v>
      </c>
      <c r="BB164" s="50" t="s">
        <v>2565</v>
      </c>
      <c r="BC164" s="50" t="s">
        <v>409</v>
      </c>
      <c r="BD164" s="50" t="s">
        <v>410</v>
      </c>
      <c r="BE164" s="50" t="s">
        <v>212</v>
      </c>
      <c r="BF164" s="50" t="s">
        <v>410</v>
      </c>
      <c r="BG164" s="50" t="s">
        <v>124</v>
      </c>
      <c r="BH164" s="50" t="s">
        <v>11959</v>
      </c>
      <c r="BI164" s="50" t="s">
        <v>12276</v>
      </c>
      <c r="BJ164" s="50" t="s">
        <v>127</v>
      </c>
      <c r="BK164" s="50" t="s">
        <v>16455</v>
      </c>
      <c r="BL164" s="50" t="s">
        <v>6682</v>
      </c>
      <c r="BM164" s="50" t="s">
        <v>16456</v>
      </c>
      <c r="BN164" s="50" t="s">
        <v>3993</v>
      </c>
      <c r="BO164" s="50" t="s">
        <v>866</v>
      </c>
      <c r="BP164" s="50" t="s">
        <v>132</v>
      </c>
      <c r="BQ164" s="50" t="s">
        <v>867</v>
      </c>
      <c r="BR164" s="50" t="s">
        <v>868</v>
      </c>
      <c r="BS164" s="50" t="s">
        <v>418</v>
      </c>
      <c r="BU164" s="50" t="s">
        <v>16457</v>
      </c>
      <c r="BV164" s="50" t="s">
        <v>6562</v>
      </c>
      <c r="BW164" s="50" t="s">
        <v>138</v>
      </c>
      <c r="BX164" s="50" t="s">
        <v>6563</v>
      </c>
      <c r="BY164" s="50" t="s">
        <v>16406</v>
      </c>
      <c r="BZ164" s="50" t="s">
        <v>6563</v>
      </c>
      <c r="CA164" s="50" t="s">
        <v>16458</v>
      </c>
      <c r="CB164" s="50" t="s">
        <v>6563</v>
      </c>
      <c r="CC164" s="50" t="s">
        <v>16406</v>
      </c>
      <c r="CD164" s="50" t="s">
        <v>16459</v>
      </c>
      <c r="CE164" s="50" t="s">
        <v>16460</v>
      </c>
      <c r="CF164" s="50" t="s">
        <v>16461</v>
      </c>
      <c r="CG164" s="50" t="s">
        <v>102</v>
      </c>
      <c r="CH164" s="50" t="s">
        <v>6686</v>
      </c>
      <c r="CJ164" s="50" t="s">
        <v>6687</v>
      </c>
      <c r="CL164" s="50" t="s">
        <v>409</v>
      </c>
      <c r="CM164" s="50" t="s">
        <v>410</v>
      </c>
      <c r="CN164" s="50" t="s">
        <v>6687</v>
      </c>
      <c r="CO164" s="50" t="s">
        <v>6570</v>
      </c>
      <c r="CP164" s="50" t="s">
        <v>6686</v>
      </c>
      <c r="CQ164" s="50" t="s">
        <v>6686</v>
      </c>
    </row>
    <row r="165" spans="1:96">
      <c r="A165" s="50" t="s">
        <v>149</v>
      </c>
      <c r="B165" s="50">
        <v>391739</v>
      </c>
      <c r="C165" s="50" t="s">
        <v>11882</v>
      </c>
      <c r="D165" s="50" t="s">
        <v>7869</v>
      </c>
      <c r="E165" s="50" t="str">
        <f>VLOOKUP(B165,aa!B:F,5,0)</f>
        <v>Ei CARES, Ei Mindspark</v>
      </c>
      <c r="F165" s="50">
        <f>VLOOKUP(B165,aa!B:J,9,0)</f>
        <v>1713116</v>
      </c>
      <c r="G165" s="50">
        <f>VLOOKUP(B165,aa!B:L,11,0)</f>
        <v>0</v>
      </c>
      <c r="H165" s="50">
        <f>VLOOKUP(B165,aa!B:O,14,0)</f>
        <v>885519</v>
      </c>
      <c r="I165" s="50">
        <f>VLOOKUP(B165,aa!B:R,17,0)</f>
        <v>827597</v>
      </c>
      <c r="K165" s="50" t="s">
        <v>643</v>
      </c>
      <c r="L165" s="50">
        <v>1434876</v>
      </c>
      <c r="M165" s="50">
        <v>1575743</v>
      </c>
      <c r="N165" s="50">
        <v>0</v>
      </c>
      <c r="O165" s="50">
        <v>0</v>
      </c>
      <c r="Q165" s="50">
        <v>652284</v>
      </c>
      <c r="R165" s="50">
        <v>389</v>
      </c>
      <c r="S165" s="50" t="s">
        <v>17319</v>
      </c>
      <c r="T165" s="50">
        <v>782592</v>
      </c>
      <c r="U165" s="50">
        <v>313</v>
      </c>
      <c r="V165" s="50" t="s">
        <v>3499</v>
      </c>
      <c r="W165" s="50" t="s">
        <v>102</v>
      </c>
      <c r="X165" s="50" t="s">
        <v>103</v>
      </c>
      <c r="Y165" s="50" t="s">
        <v>104</v>
      </c>
      <c r="AA165" s="50" t="s">
        <v>8128</v>
      </c>
      <c r="AB165" s="50" t="s">
        <v>17320</v>
      </c>
      <c r="AC165" s="50" t="s">
        <v>17321</v>
      </c>
      <c r="AD165" s="50" t="s">
        <v>17322</v>
      </c>
      <c r="AE165" s="50" t="s">
        <v>109</v>
      </c>
      <c r="AF165" s="50" t="s">
        <v>102</v>
      </c>
      <c r="AG165" s="50" t="s">
        <v>109</v>
      </c>
      <c r="AH165" s="50" t="s">
        <v>102</v>
      </c>
      <c r="AI165" s="50" t="s">
        <v>17323</v>
      </c>
      <c r="AJ165" s="50" t="s">
        <v>12890</v>
      </c>
      <c r="AK165" s="50" t="s">
        <v>12890</v>
      </c>
      <c r="AL165" s="50" t="s">
        <v>17324</v>
      </c>
      <c r="AM165" s="50" t="s">
        <v>17325</v>
      </c>
      <c r="AN165" s="50" t="s">
        <v>17326</v>
      </c>
      <c r="AO165" s="50" t="s">
        <v>17327</v>
      </c>
      <c r="AP165" s="50" t="s">
        <v>17328</v>
      </c>
      <c r="AT165" s="50" t="s">
        <v>169</v>
      </c>
      <c r="AU165" s="50" t="s">
        <v>102</v>
      </c>
      <c r="AW165" s="50" t="s">
        <v>655</v>
      </c>
      <c r="AX165" s="50" t="s">
        <v>119</v>
      </c>
      <c r="AZ165" s="50" t="s">
        <v>250</v>
      </c>
      <c r="BA165" s="50" t="s">
        <v>250</v>
      </c>
      <c r="BB165" s="50" t="s">
        <v>120</v>
      </c>
      <c r="BC165" s="50" t="s">
        <v>3854</v>
      </c>
      <c r="BD165" s="50" t="s">
        <v>449</v>
      </c>
      <c r="BE165" s="50" t="s">
        <v>122</v>
      </c>
      <c r="BF165" s="50" t="s">
        <v>450</v>
      </c>
      <c r="BG165" s="50" t="s">
        <v>124</v>
      </c>
      <c r="BH165" s="50" t="s">
        <v>12023</v>
      </c>
      <c r="BI165" s="50" t="s">
        <v>11889</v>
      </c>
      <c r="BJ165" s="50" t="s">
        <v>127</v>
      </c>
      <c r="BK165" s="50" t="s">
        <v>17329</v>
      </c>
      <c r="BL165" s="50" t="s">
        <v>7881</v>
      </c>
      <c r="BM165" s="50" t="s">
        <v>17330</v>
      </c>
      <c r="BN165" s="50" t="s">
        <v>3993</v>
      </c>
      <c r="BO165" s="50" t="s">
        <v>3267</v>
      </c>
      <c r="BP165" s="50" t="s">
        <v>350</v>
      </c>
      <c r="BQ165" s="50" t="s">
        <v>3268</v>
      </c>
      <c r="BR165" s="50" t="s">
        <v>3269</v>
      </c>
      <c r="BS165" s="50" t="s">
        <v>328</v>
      </c>
      <c r="BU165" s="50" t="s">
        <v>17331</v>
      </c>
      <c r="BV165" s="50" t="s">
        <v>17332</v>
      </c>
      <c r="BW165" s="50" t="s">
        <v>354</v>
      </c>
      <c r="BX165" s="50" t="s">
        <v>7885</v>
      </c>
      <c r="BY165" s="50" t="s">
        <v>17333</v>
      </c>
      <c r="BZ165" s="50" t="s">
        <v>7887</v>
      </c>
      <c r="CA165" s="50" t="s">
        <v>17334</v>
      </c>
      <c r="CB165" s="50" t="s">
        <v>17335</v>
      </c>
      <c r="CC165" s="50" t="s">
        <v>17333</v>
      </c>
      <c r="CD165" s="50" t="s">
        <v>17336</v>
      </c>
      <c r="CE165" s="50" t="s">
        <v>17337</v>
      </c>
      <c r="CF165" s="50" t="s">
        <v>17338</v>
      </c>
      <c r="CG165" s="50" t="s">
        <v>102</v>
      </c>
      <c r="CH165" s="50" t="s">
        <v>17339</v>
      </c>
      <c r="CJ165" s="50" t="s">
        <v>4271</v>
      </c>
      <c r="CL165" s="50" t="s">
        <v>3854</v>
      </c>
      <c r="CM165" s="50" t="s">
        <v>449</v>
      </c>
      <c r="CN165" s="50" t="s">
        <v>4271</v>
      </c>
      <c r="CO165" s="50" t="s">
        <v>7889</v>
      </c>
      <c r="CP165" s="50" t="s">
        <v>7888</v>
      </c>
      <c r="CQ165" s="50" t="s">
        <v>7888</v>
      </c>
    </row>
    <row r="166" spans="1:96">
      <c r="A166" s="50" t="s">
        <v>149</v>
      </c>
      <c r="B166" s="50">
        <v>532393</v>
      </c>
      <c r="C166" s="50" t="s">
        <v>11898</v>
      </c>
      <c r="D166" s="50" t="s">
        <v>10986</v>
      </c>
      <c r="E166" s="50" t="str">
        <f>VLOOKUP(B166,aa!B:F,5,0)</f>
        <v>Ei ASSET,Ei CARES</v>
      </c>
      <c r="F166" s="50">
        <f>VLOOKUP(B166,aa!B:J,9,0)</f>
        <v>999095</v>
      </c>
      <c r="G166" s="50">
        <f>VLOOKUP(B166,aa!B:L,11,0)</f>
        <v>147892</v>
      </c>
      <c r="H166" s="50">
        <f>VLOOKUP(B166,aa!B:O,14,0)</f>
        <v>851203</v>
      </c>
      <c r="I166" s="50">
        <f>VLOOKUP(B166,aa!B:R,17,0)</f>
        <v>0</v>
      </c>
      <c r="K166" s="50" t="s">
        <v>152</v>
      </c>
      <c r="L166" s="50">
        <v>932467</v>
      </c>
      <c r="M166" s="50">
        <v>932467</v>
      </c>
      <c r="N166" s="50">
        <v>0</v>
      </c>
      <c r="O166" s="50">
        <v>0</v>
      </c>
      <c r="Q166" s="50">
        <v>932467</v>
      </c>
      <c r="R166" s="50">
        <v>666</v>
      </c>
      <c r="S166" s="50" t="s">
        <v>4289</v>
      </c>
      <c r="T166" s="50">
        <v>0</v>
      </c>
      <c r="U166" s="50">
        <v>0</v>
      </c>
      <c r="W166" s="50" t="s">
        <v>102</v>
      </c>
      <c r="X166" s="50" t="s">
        <v>103</v>
      </c>
      <c r="Y166" s="50" t="s">
        <v>155</v>
      </c>
      <c r="AA166" s="50" t="s">
        <v>1305</v>
      </c>
      <c r="AB166" s="50" t="s">
        <v>21060</v>
      </c>
      <c r="AC166" s="50" t="s">
        <v>13033</v>
      </c>
      <c r="AD166" s="50" t="s">
        <v>21060</v>
      </c>
      <c r="AE166" s="50" t="s">
        <v>13034</v>
      </c>
      <c r="AF166" s="50" t="s">
        <v>21060</v>
      </c>
      <c r="AG166" s="50" t="s">
        <v>11952</v>
      </c>
      <c r="AH166" s="50" t="s">
        <v>21060</v>
      </c>
      <c r="AI166" s="50" t="s">
        <v>21061</v>
      </c>
      <c r="AJ166" s="50" t="s">
        <v>17126</v>
      </c>
      <c r="AK166" s="50" t="s">
        <v>15141</v>
      </c>
      <c r="AL166" s="50" t="s">
        <v>21062</v>
      </c>
      <c r="AM166" s="50" t="s">
        <v>21063</v>
      </c>
      <c r="AN166" s="50" t="s">
        <v>21064</v>
      </c>
      <c r="AO166" s="50" t="s">
        <v>4298</v>
      </c>
      <c r="AP166" s="50" t="s">
        <v>4298</v>
      </c>
      <c r="AU166" s="50" t="s">
        <v>102</v>
      </c>
      <c r="AW166" s="50" t="s">
        <v>155</v>
      </c>
      <c r="AX166" s="50" t="s">
        <v>447</v>
      </c>
      <c r="AY166" s="50" t="s">
        <v>170</v>
      </c>
      <c r="AZ166" s="50" t="s">
        <v>118</v>
      </c>
      <c r="BB166" s="50" t="s">
        <v>120</v>
      </c>
      <c r="BC166" s="50" t="s">
        <v>10993</v>
      </c>
      <c r="BD166" s="50" t="s">
        <v>320</v>
      </c>
      <c r="BE166" s="50" t="s">
        <v>122</v>
      </c>
      <c r="BF166" s="50" t="s">
        <v>123</v>
      </c>
      <c r="BG166" s="50" t="s">
        <v>124</v>
      </c>
      <c r="BH166" s="50" t="s">
        <v>12023</v>
      </c>
      <c r="BI166" s="50" t="s">
        <v>11889</v>
      </c>
      <c r="BJ166" s="50" t="s">
        <v>127</v>
      </c>
      <c r="BK166" s="50" t="s">
        <v>21065</v>
      </c>
      <c r="BL166" s="50" t="s">
        <v>10995</v>
      </c>
      <c r="BM166" s="50" t="s">
        <v>21066</v>
      </c>
      <c r="BN166" s="50" t="s">
        <v>3993</v>
      </c>
      <c r="BO166" s="50" t="s">
        <v>593</v>
      </c>
      <c r="BP166" s="50" t="s">
        <v>132</v>
      </c>
      <c r="BQ166" s="50" t="s">
        <v>594</v>
      </c>
      <c r="BR166" s="50" t="s">
        <v>595</v>
      </c>
      <c r="BS166" s="50" t="s">
        <v>261</v>
      </c>
      <c r="BU166" s="50" t="s">
        <v>21067</v>
      </c>
      <c r="BV166" s="50" t="s">
        <v>10998</v>
      </c>
      <c r="BW166" s="50" t="s">
        <v>354</v>
      </c>
      <c r="BX166" s="50" t="s">
        <v>10999</v>
      </c>
      <c r="BY166" s="50" t="s">
        <v>11000</v>
      </c>
      <c r="BZ166" s="50" t="s">
        <v>11001</v>
      </c>
      <c r="CA166" s="50" t="s">
        <v>10998</v>
      </c>
      <c r="CB166" s="50" t="s">
        <v>11001</v>
      </c>
      <c r="CC166" s="50" t="s">
        <v>11000</v>
      </c>
      <c r="CD166" s="50" t="s">
        <v>11004</v>
      </c>
      <c r="CE166" s="50" t="s">
        <v>21068</v>
      </c>
      <c r="CF166" s="50" t="s">
        <v>11005</v>
      </c>
      <c r="CG166" s="50" t="s">
        <v>11006</v>
      </c>
      <c r="CH166" s="50" t="s">
        <v>21069</v>
      </c>
      <c r="CJ166" s="50" t="s">
        <v>11008</v>
      </c>
      <c r="CK166" s="50" t="s">
        <v>21070</v>
      </c>
      <c r="CL166" s="50" t="s">
        <v>10993</v>
      </c>
      <c r="CM166" s="50" t="s">
        <v>320</v>
      </c>
      <c r="CN166" s="50" t="s">
        <v>11008</v>
      </c>
      <c r="CO166" s="50" t="s">
        <v>11009</v>
      </c>
      <c r="CP166" s="50" t="s">
        <v>11007</v>
      </c>
      <c r="CQ166" s="50" t="s">
        <v>11007</v>
      </c>
    </row>
    <row r="167" spans="1:96">
      <c r="A167" s="50" t="s">
        <v>337</v>
      </c>
      <c r="B167" s="50">
        <v>5023577</v>
      </c>
      <c r="C167" s="50" t="s">
        <v>3562</v>
      </c>
      <c r="D167" s="50" t="s">
        <v>20129</v>
      </c>
      <c r="E167" s="50" t="e">
        <f>VLOOKUP(B167,aa!B:F,5,0)</f>
        <v>#N/A</v>
      </c>
      <c r="F167" s="50" t="e">
        <f>VLOOKUP(B167,aa!B:J,9,0)</f>
        <v>#N/A</v>
      </c>
      <c r="G167" s="50" t="e">
        <f>VLOOKUP(B167,aa!B:L,11,0)</f>
        <v>#N/A</v>
      </c>
      <c r="H167" s="50" t="e">
        <f>VLOOKUP(B167,aa!B:O,14,0)</f>
        <v>#N/A</v>
      </c>
      <c r="I167" s="50" t="e">
        <f>VLOOKUP(B167,aa!B:R,17,0)</f>
        <v>#N/A</v>
      </c>
      <c r="K167" s="50" t="s">
        <v>152</v>
      </c>
      <c r="L167" s="50">
        <v>465062</v>
      </c>
      <c r="M167" s="50">
        <v>465062</v>
      </c>
      <c r="N167" s="50">
        <v>0</v>
      </c>
      <c r="O167" s="50">
        <v>0</v>
      </c>
      <c r="Q167" s="50">
        <v>465062</v>
      </c>
      <c r="R167" s="50">
        <v>310</v>
      </c>
      <c r="S167" s="50" t="s">
        <v>6441</v>
      </c>
      <c r="T167" s="50">
        <v>0</v>
      </c>
      <c r="U167" s="50">
        <v>0</v>
      </c>
      <c r="W167" s="50" t="s">
        <v>102</v>
      </c>
      <c r="X167" s="50" t="s">
        <v>103</v>
      </c>
      <c r="Y167" s="50" t="s">
        <v>104</v>
      </c>
      <c r="AA167" s="50" t="s">
        <v>7719</v>
      </c>
      <c r="AB167" s="50" t="s">
        <v>20130</v>
      </c>
      <c r="AC167" s="50" t="s">
        <v>9814</v>
      </c>
      <c r="AD167" s="50" t="s">
        <v>20130</v>
      </c>
      <c r="AE167" s="50" t="s">
        <v>109</v>
      </c>
      <c r="AF167" s="50" t="s">
        <v>102</v>
      </c>
      <c r="AG167" s="50" t="s">
        <v>109</v>
      </c>
      <c r="AH167" s="50" t="s">
        <v>102</v>
      </c>
      <c r="AI167" s="50" t="s">
        <v>4425</v>
      </c>
      <c r="AJ167" s="50" t="s">
        <v>857</v>
      </c>
      <c r="AK167" s="50" t="s">
        <v>13344</v>
      </c>
      <c r="AL167" s="50" t="s">
        <v>20131</v>
      </c>
      <c r="AM167" s="50" t="s">
        <v>20132</v>
      </c>
      <c r="AN167" s="50" t="s">
        <v>20133</v>
      </c>
      <c r="AO167" s="50" t="s">
        <v>6447</v>
      </c>
      <c r="AP167" s="50" t="s">
        <v>6447</v>
      </c>
      <c r="AU167" s="50" t="s">
        <v>102</v>
      </c>
      <c r="AW167" s="50" t="s">
        <v>155</v>
      </c>
      <c r="AX167" s="50" t="s">
        <v>119</v>
      </c>
      <c r="AY167" s="50" t="s">
        <v>170</v>
      </c>
      <c r="AZ167" s="50" t="s">
        <v>118</v>
      </c>
      <c r="BB167" s="50" t="s">
        <v>10399</v>
      </c>
      <c r="BC167" s="50" t="s">
        <v>20134</v>
      </c>
      <c r="BD167" s="50" t="s">
        <v>730</v>
      </c>
      <c r="BE167" s="50" t="s">
        <v>622</v>
      </c>
      <c r="BF167" s="50" t="s">
        <v>730</v>
      </c>
      <c r="BG167" s="50" t="s">
        <v>124</v>
      </c>
      <c r="BH167" s="50" t="s">
        <v>12023</v>
      </c>
      <c r="BI167" s="50" t="s">
        <v>11889</v>
      </c>
      <c r="BJ167" s="50" t="s">
        <v>127</v>
      </c>
      <c r="BK167" s="50" t="s">
        <v>20135</v>
      </c>
      <c r="BL167" s="50" t="s">
        <v>20136</v>
      </c>
      <c r="BM167" s="50" t="s">
        <v>20137</v>
      </c>
      <c r="BN167" s="50" t="s">
        <v>8128</v>
      </c>
      <c r="BO167" s="50" t="s">
        <v>5197</v>
      </c>
      <c r="BP167" s="50" t="s">
        <v>350</v>
      </c>
      <c r="BQ167" s="50" t="s">
        <v>5198</v>
      </c>
      <c r="BR167" s="50" t="s">
        <v>5199</v>
      </c>
      <c r="BS167" s="50" t="s">
        <v>2331</v>
      </c>
      <c r="BU167" s="50" t="s">
        <v>20138</v>
      </c>
      <c r="BV167" s="50" t="s">
        <v>20139</v>
      </c>
      <c r="BW167" s="50" t="s">
        <v>138</v>
      </c>
      <c r="BX167" s="50" t="s">
        <v>20140</v>
      </c>
      <c r="BY167" s="50" t="s">
        <v>20141</v>
      </c>
      <c r="BZ167" s="50" t="s">
        <v>20140</v>
      </c>
      <c r="CA167" s="50" t="s">
        <v>20142</v>
      </c>
      <c r="CB167" s="50" t="s">
        <v>20143</v>
      </c>
      <c r="CC167" s="50" t="s">
        <v>20144</v>
      </c>
      <c r="CD167" s="50" t="s">
        <v>20145</v>
      </c>
      <c r="CE167" s="50" t="s">
        <v>20143</v>
      </c>
      <c r="CF167" s="50" t="s">
        <v>20146</v>
      </c>
      <c r="CG167" s="50" t="s">
        <v>8459</v>
      </c>
      <c r="CH167" s="50" t="s">
        <v>20147</v>
      </c>
      <c r="CJ167" s="50" t="s">
        <v>20148</v>
      </c>
      <c r="CL167" s="50" t="s">
        <v>20134</v>
      </c>
      <c r="CM167" s="50" t="s">
        <v>730</v>
      </c>
      <c r="CN167" s="50" t="s">
        <v>20148</v>
      </c>
      <c r="CO167" s="50" t="s">
        <v>20149</v>
      </c>
      <c r="CP167" s="50" t="s">
        <v>20150</v>
      </c>
      <c r="CQ167" s="50" t="s">
        <v>20150</v>
      </c>
    </row>
    <row r="168" spans="1:96">
      <c r="A168" s="50" t="s">
        <v>337</v>
      </c>
      <c r="B168" s="50">
        <v>5037382</v>
      </c>
      <c r="C168" s="50" t="s">
        <v>12030</v>
      </c>
      <c r="D168" s="50" t="s">
        <v>20232</v>
      </c>
      <c r="E168" s="50" t="e">
        <f>VLOOKUP(B168,aa!B:F,5,0)</f>
        <v>#N/A</v>
      </c>
      <c r="F168" s="50" t="e">
        <f>VLOOKUP(B168,aa!B:J,9,0)</f>
        <v>#N/A</v>
      </c>
      <c r="G168" s="50" t="e">
        <f>VLOOKUP(B168,aa!B:L,11,0)</f>
        <v>#N/A</v>
      </c>
      <c r="H168" s="50" t="e">
        <f>VLOOKUP(B168,aa!B:O,14,0)</f>
        <v>#N/A</v>
      </c>
      <c r="I168" s="50" t="e">
        <f>VLOOKUP(B168,aa!B:R,17,0)</f>
        <v>#N/A</v>
      </c>
      <c r="K168" s="50" t="s">
        <v>152</v>
      </c>
      <c r="L168" s="50">
        <v>353567</v>
      </c>
      <c r="M168" s="50">
        <v>353567</v>
      </c>
      <c r="N168" s="50">
        <v>0</v>
      </c>
      <c r="O168" s="50">
        <v>0</v>
      </c>
      <c r="Q168" s="50">
        <v>353567</v>
      </c>
      <c r="R168" s="50">
        <v>221</v>
      </c>
      <c r="S168" s="50" t="s">
        <v>678</v>
      </c>
      <c r="T168" s="50">
        <v>0</v>
      </c>
      <c r="U168" s="50">
        <v>0</v>
      </c>
      <c r="W168" s="50" t="s">
        <v>102</v>
      </c>
      <c r="X168" s="50" t="s">
        <v>103</v>
      </c>
      <c r="Y168" s="50" t="s">
        <v>155</v>
      </c>
      <c r="AA168" s="50" t="s">
        <v>3993</v>
      </c>
      <c r="AB168" s="50" t="s">
        <v>20233</v>
      </c>
      <c r="AC168" s="50" t="s">
        <v>12480</v>
      </c>
      <c r="AD168" s="50" t="s">
        <v>20233</v>
      </c>
      <c r="AE168" s="50" t="s">
        <v>20234</v>
      </c>
      <c r="AF168" s="50" t="s">
        <v>20233</v>
      </c>
      <c r="AG168" s="50" t="s">
        <v>11886</v>
      </c>
      <c r="AH168" s="50" t="s">
        <v>20233</v>
      </c>
      <c r="AI168" s="50" t="s">
        <v>102</v>
      </c>
      <c r="AJ168" s="50" t="s">
        <v>3993</v>
      </c>
      <c r="AK168" s="50" t="s">
        <v>15141</v>
      </c>
      <c r="AL168" s="50" t="s">
        <v>20235</v>
      </c>
      <c r="AM168" s="50" t="s">
        <v>20236</v>
      </c>
      <c r="AN168" s="50" t="s">
        <v>20237</v>
      </c>
      <c r="AO168" s="50" t="s">
        <v>17462</v>
      </c>
      <c r="AP168" s="50" t="s">
        <v>17462</v>
      </c>
      <c r="AU168" s="50" t="s">
        <v>102</v>
      </c>
      <c r="AW168" s="50" t="s">
        <v>155</v>
      </c>
      <c r="AX168" s="50" t="s">
        <v>447</v>
      </c>
      <c r="AY168" s="50" t="s">
        <v>170</v>
      </c>
      <c r="AZ168" s="50" t="s">
        <v>118</v>
      </c>
      <c r="BB168" s="50" t="s">
        <v>120</v>
      </c>
      <c r="BC168" s="50" t="s">
        <v>20238</v>
      </c>
      <c r="BD168" s="50" t="s">
        <v>2800</v>
      </c>
      <c r="BE168" s="50" t="s">
        <v>122</v>
      </c>
      <c r="BF168" s="50" t="s">
        <v>346</v>
      </c>
      <c r="BG168" s="50" t="s">
        <v>124</v>
      </c>
      <c r="BH168" s="50" t="s">
        <v>12023</v>
      </c>
      <c r="BI168" s="50" t="s">
        <v>11889</v>
      </c>
      <c r="BJ168" s="50" t="s">
        <v>127</v>
      </c>
      <c r="BK168" s="50" t="s">
        <v>20239</v>
      </c>
      <c r="BL168" s="50" t="s">
        <v>20240</v>
      </c>
      <c r="BM168" s="50" t="s">
        <v>20241</v>
      </c>
      <c r="BN168" s="50" t="s">
        <v>8128</v>
      </c>
      <c r="BO168" s="50" t="s">
        <v>12226</v>
      </c>
      <c r="BP168" s="50" t="s">
        <v>258</v>
      </c>
      <c r="BQ168" s="50" t="s">
        <v>12228</v>
      </c>
      <c r="BR168" s="50" t="s">
        <v>12229</v>
      </c>
      <c r="BS168" s="50" t="s">
        <v>328</v>
      </c>
      <c r="BU168" s="50" t="s">
        <v>20242</v>
      </c>
      <c r="BV168" s="50" t="s">
        <v>20243</v>
      </c>
      <c r="BW168" s="50" t="s">
        <v>354</v>
      </c>
      <c r="BX168" s="50" t="s">
        <v>20244</v>
      </c>
      <c r="BY168" s="50" t="s">
        <v>20245</v>
      </c>
      <c r="BZ168" s="50" t="s">
        <v>20244</v>
      </c>
      <c r="CA168" s="50" t="s">
        <v>20246</v>
      </c>
      <c r="CB168" s="50" t="s">
        <v>20244</v>
      </c>
      <c r="CC168" s="50" t="s">
        <v>20247</v>
      </c>
      <c r="CD168" s="50" t="s">
        <v>20246</v>
      </c>
      <c r="CE168" s="50" t="s">
        <v>20244</v>
      </c>
      <c r="CF168" s="50" t="s">
        <v>20247</v>
      </c>
      <c r="CG168" s="50" t="s">
        <v>20248</v>
      </c>
      <c r="CH168" s="50" t="s">
        <v>20249</v>
      </c>
      <c r="CJ168" s="50" t="s">
        <v>20250</v>
      </c>
      <c r="CK168" s="50" t="s">
        <v>20249</v>
      </c>
      <c r="CL168" s="50" t="s">
        <v>20238</v>
      </c>
      <c r="CM168" s="50" t="s">
        <v>2800</v>
      </c>
      <c r="CN168" s="50" t="s">
        <v>20250</v>
      </c>
      <c r="CP168" s="50" t="s">
        <v>20251</v>
      </c>
      <c r="CQ168" s="50" t="s">
        <v>20251</v>
      </c>
    </row>
    <row r="169" spans="1:96">
      <c r="A169" s="50" t="s">
        <v>93</v>
      </c>
      <c r="B169" s="50">
        <v>5017936</v>
      </c>
      <c r="C169" s="50" t="s">
        <v>14664</v>
      </c>
      <c r="D169" s="50" t="s">
        <v>10322</v>
      </c>
      <c r="E169" s="50" t="e">
        <f>VLOOKUP(B169,aa!B:F,5,0)</f>
        <v>#N/A</v>
      </c>
      <c r="F169" s="50" t="e">
        <f>VLOOKUP(B169,aa!B:J,9,0)</f>
        <v>#N/A</v>
      </c>
      <c r="G169" s="50" t="e">
        <f>VLOOKUP(B169,aa!B:L,11,0)</f>
        <v>#N/A</v>
      </c>
      <c r="H169" s="50" t="e">
        <f>VLOOKUP(B169,aa!B:O,14,0)</f>
        <v>#N/A</v>
      </c>
      <c r="I169" s="50" t="e">
        <f>VLOOKUP(B169,aa!B:R,17,0)</f>
        <v>#N/A</v>
      </c>
      <c r="K169" s="50" t="s">
        <v>152</v>
      </c>
      <c r="L169" s="50">
        <v>1306678</v>
      </c>
      <c r="M169" s="50">
        <v>1306678</v>
      </c>
      <c r="N169" s="50">
        <v>0</v>
      </c>
      <c r="O169" s="50">
        <v>0</v>
      </c>
      <c r="Q169" s="50">
        <v>1306678</v>
      </c>
      <c r="R169" s="50">
        <v>1510</v>
      </c>
      <c r="S169" s="50" t="s">
        <v>19281</v>
      </c>
      <c r="T169" s="50">
        <v>0</v>
      </c>
      <c r="U169" s="50">
        <v>0</v>
      </c>
      <c r="W169" s="50" t="s">
        <v>102</v>
      </c>
      <c r="X169" s="50" t="s">
        <v>679</v>
      </c>
      <c r="Y169" s="50" t="s">
        <v>104</v>
      </c>
      <c r="Z169" s="50" t="s">
        <v>11888</v>
      </c>
      <c r="AA169" s="50" t="s">
        <v>19282</v>
      </c>
      <c r="AB169" s="50" t="s">
        <v>19283</v>
      </c>
      <c r="AC169" s="50" t="s">
        <v>19284</v>
      </c>
      <c r="AD169" s="50" t="s">
        <v>19283</v>
      </c>
      <c r="AE169" s="50" t="s">
        <v>109</v>
      </c>
      <c r="AF169" s="50" t="s">
        <v>102</v>
      </c>
      <c r="AG169" s="50" t="s">
        <v>109</v>
      </c>
      <c r="AH169" s="50" t="s">
        <v>102</v>
      </c>
      <c r="AI169" s="50" t="s">
        <v>19285</v>
      </c>
      <c r="AJ169" s="50" t="s">
        <v>4813</v>
      </c>
      <c r="AK169" s="50" t="s">
        <v>11888</v>
      </c>
      <c r="AL169" s="50" t="s">
        <v>19286</v>
      </c>
      <c r="AM169" s="50" t="s">
        <v>19287</v>
      </c>
      <c r="AN169" s="50" t="s">
        <v>19288</v>
      </c>
      <c r="AO169" s="50" t="s">
        <v>19289</v>
      </c>
      <c r="AP169" s="50" t="s">
        <v>19289</v>
      </c>
      <c r="AU169" s="50" t="s">
        <v>102</v>
      </c>
      <c r="AW169" s="50" t="s">
        <v>19290</v>
      </c>
      <c r="AX169" s="50" t="s">
        <v>119</v>
      </c>
      <c r="AY169" s="50" t="s">
        <v>170</v>
      </c>
      <c r="AZ169" s="50" t="s">
        <v>118</v>
      </c>
      <c r="BB169" s="50" t="s">
        <v>1964</v>
      </c>
      <c r="BC169" s="50" t="s">
        <v>623</v>
      </c>
      <c r="BD169" s="50" t="s">
        <v>621</v>
      </c>
      <c r="BE169" s="50" t="s">
        <v>622</v>
      </c>
      <c r="BF169" s="50" t="s">
        <v>623</v>
      </c>
      <c r="BG169" s="50" t="s">
        <v>124</v>
      </c>
      <c r="BH169" s="50" t="s">
        <v>6918</v>
      </c>
      <c r="BI169" s="50" t="s">
        <v>19291</v>
      </c>
      <c r="BJ169" s="50" t="s">
        <v>127</v>
      </c>
      <c r="BK169" s="50" t="s">
        <v>19292</v>
      </c>
      <c r="BL169" s="50" t="s">
        <v>10334</v>
      </c>
      <c r="BM169" s="50" t="s">
        <v>19293</v>
      </c>
      <c r="BN169" s="50" t="s">
        <v>19280</v>
      </c>
      <c r="BO169" s="50" t="s">
        <v>1670</v>
      </c>
      <c r="BP169" s="50" t="s">
        <v>13875</v>
      </c>
      <c r="BQ169" s="50" t="s">
        <v>1671</v>
      </c>
      <c r="BR169" s="50" t="s">
        <v>1672</v>
      </c>
      <c r="BS169" s="50" t="s">
        <v>507</v>
      </c>
      <c r="BU169" s="50" t="s">
        <v>19294</v>
      </c>
      <c r="BV169" s="50" t="s">
        <v>19295</v>
      </c>
      <c r="BW169" s="50" t="s">
        <v>138</v>
      </c>
      <c r="BX169" s="50" t="s">
        <v>10338</v>
      </c>
      <c r="BY169" s="50" t="s">
        <v>10343</v>
      </c>
      <c r="BZ169" s="50" t="s">
        <v>10340</v>
      </c>
      <c r="CA169" s="50" t="s">
        <v>19295</v>
      </c>
      <c r="CB169" s="50" t="s">
        <v>19296</v>
      </c>
      <c r="CC169" s="50" t="s">
        <v>19297</v>
      </c>
      <c r="CD169" s="50" t="s">
        <v>19298</v>
      </c>
      <c r="CE169" s="50" t="s">
        <v>19299</v>
      </c>
      <c r="CF169" s="50" t="s">
        <v>19297</v>
      </c>
      <c r="CG169" s="50" t="s">
        <v>10344</v>
      </c>
      <c r="CH169" s="50" t="s">
        <v>10345</v>
      </c>
      <c r="CJ169" s="50" t="s">
        <v>3177</v>
      </c>
      <c r="CK169" s="50" t="s">
        <v>10345</v>
      </c>
      <c r="CL169" s="50" t="s">
        <v>623</v>
      </c>
      <c r="CM169" s="50" t="s">
        <v>621</v>
      </c>
      <c r="CN169" s="50" t="s">
        <v>3177</v>
      </c>
      <c r="CO169" s="50" t="s">
        <v>3178</v>
      </c>
      <c r="CP169" s="50" t="s">
        <v>10345</v>
      </c>
      <c r="CQ169" s="50" t="s">
        <v>10345</v>
      </c>
      <c r="CR169" s="50" t="s">
        <v>26042</v>
      </c>
    </row>
    <row r="170" spans="1:96">
      <c r="A170" s="50" t="s">
        <v>93</v>
      </c>
      <c r="B170" s="50">
        <v>177663</v>
      </c>
      <c r="C170" s="50" t="s">
        <v>12096</v>
      </c>
      <c r="D170" s="50" t="s">
        <v>1813</v>
      </c>
      <c r="E170" s="50" t="str">
        <f>VLOOKUP(B170,aa!B:F,5,0)</f>
        <v>Ei ASSET</v>
      </c>
      <c r="F170" s="50">
        <f>VLOOKUP(B170,aa!B:J,9,0)</f>
        <v>565587</v>
      </c>
      <c r="G170" s="50">
        <f>VLOOKUP(B170,aa!B:L,11,0)</f>
        <v>565587</v>
      </c>
      <c r="H170" s="50">
        <f>VLOOKUP(B170,aa!B:O,14,0)</f>
        <v>0</v>
      </c>
      <c r="I170" s="50">
        <f>VLOOKUP(B170,aa!B:R,17,0)</f>
        <v>0</v>
      </c>
      <c r="K170" s="50" t="s">
        <v>97</v>
      </c>
      <c r="L170" s="50">
        <v>424500</v>
      </c>
      <c r="M170" s="50">
        <v>424500</v>
      </c>
      <c r="N170" s="50">
        <v>424500</v>
      </c>
      <c r="O170" s="50">
        <v>566</v>
      </c>
      <c r="P170" s="50" t="s">
        <v>101</v>
      </c>
      <c r="Q170" s="50">
        <v>0</v>
      </c>
      <c r="R170" s="50">
        <v>0</v>
      </c>
      <c r="T170" s="50">
        <v>0</v>
      </c>
      <c r="U170" s="50">
        <v>0</v>
      </c>
      <c r="W170" s="50" t="s">
        <v>102</v>
      </c>
      <c r="X170" s="50" t="s">
        <v>103</v>
      </c>
      <c r="Y170" s="50" t="s">
        <v>398</v>
      </c>
      <c r="AA170" s="50" t="s">
        <v>6341</v>
      </c>
      <c r="AB170" s="50" t="s">
        <v>12922</v>
      </c>
      <c r="AC170" s="50" t="s">
        <v>12923</v>
      </c>
      <c r="AD170" s="50" t="s">
        <v>12922</v>
      </c>
      <c r="AE170" s="50" t="s">
        <v>12467</v>
      </c>
      <c r="AF170" s="50" t="s">
        <v>12924</v>
      </c>
      <c r="AG170" s="50" t="s">
        <v>109</v>
      </c>
      <c r="AH170" s="50" t="s">
        <v>102</v>
      </c>
      <c r="AI170" s="50" t="s">
        <v>12925</v>
      </c>
      <c r="AJ170" s="50" t="s">
        <v>12926</v>
      </c>
      <c r="AK170" s="50" t="s">
        <v>12927</v>
      </c>
      <c r="AL170" s="50" t="s">
        <v>12928</v>
      </c>
      <c r="AM170" s="50" t="s">
        <v>12929</v>
      </c>
      <c r="AN170" s="50" t="s">
        <v>12930</v>
      </c>
      <c r="AO170" s="50" t="s">
        <v>116</v>
      </c>
      <c r="AP170" s="50" t="s">
        <v>116</v>
      </c>
      <c r="AU170" s="50" t="s">
        <v>318</v>
      </c>
      <c r="AV170" s="50" t="s">
        <v>118</v>
      </c>
      <c r="AW170" s="50" t="s">
        <v>102</v>
      </c>
      <c r="AX170" s="50" t="s">
        <v>119</v>
      </c>
      <c r="BB170" s="50" t="s">
        <v>171</v>
      </c>
      <c r="BC170" s="50" t="s">
        <v>375</v>
      </c>
      <c r="BD170" s="50" t="s">
        <v>376</v>
      </c>
      <c r="BE170" s="50" t="s">
        <v>174</v>
      </c>
      <c r="BF170" s="50" t="s">
        <v>376</v>
      </c>
      <c r="BG170" s="50" t="s">
        <v>124</v>
      </c>
      <c r="BH170" s="50" t="s">
        <v>11959</v>
      </c>
      <c r="BI170" s="50" t="s">
        <v>12931</v>
      </c>
      <c r="BJ170" s="50" t="s">
        <v>127</v>
      </c>
      <c r="BK170" s="50" t="s">
        <v>12932</v>
      </c>
      <c r="BL170" s="50" t="s">
        <v>1829</v>
      </c>
      <c r="BM170" s="50" t="s">
        <v>12933</v>
      </c>
      <c r="BN170" s="50" t="s">
        <v>4665</v>
      </c>
      <c r="BO170" s="50" t="s">
        <v>12934</v>
      </c>
      <c r="BP170" s="50" t="s">
        <v>180</v>
      </c>
      <c r="BQ170" s="50" t="s">
        <v>12935</v>
      </c>
      <c r="BR170" s="50" t="s">
        <v>12936</v>
      </c>
      <c r="BS170" s="50" t="s">
        <v>1834</v>
      </c>
      <c r="BU170" s="50" t="s">
        <v>12937</v>
      </c>
      <c r="BV170" s="50" t="s">
        <v>12938</v>
      </c>
      <c r="BW170" s="50" t="s">
        <v>138</v>
      </c>
      <c r="BX170" s="50" t="s">
        <v>1839</v>
      </c>
      <c r="BY170" s="50" t="s">
        <v>1838</v>
      </c>
      <c r="BZ170" s="50" t="s">
        <v>1839</v>
      </c>
      <c r="CA170" s="50" t="s">
        <v>12939</v>
      </c>
      <c r="CB170" s="50" t="s">
        <v>1839</v>
      </c>
      <c r="CC170" s="50" t="s">
        <v>1838</v>
      </c>
      <c r="CD170" s="50" t="s">
        <v>12940</v>
      </c>
      <c r="CE170" s="50" t="s">
        <v>1839</v>
      </c>
      <c r="CF170" s="50" t="s">
        <v>12941</v>
      </c>
      <c r="CG170" s="50" t="s">
        <v>334</v>
      </c>
      <c r="CH170" s="50" t="s">
        <v>1841</v>
      </c>
      <c r="CJ170" s="50" t="s">
        <v>1842</v>
      </c>
      <c r="CK170" s="50" t="s">
        <v>1841</v>
      </c>
      <c r="CL170" s="50" t="s">
        <v>375</v>
      </c>
      <c r="CM170" s="50" t="s">
        <v>376</v>
      </c>
      <c r="CN170" s="50" t="s">
        <v>1842</v>
      </c>
      <c r="CO170" s="50" t="s">
        <v>1843</v>
      </c>
      <c r="CP170" s="50" t="s">
        <v>1841</v>
      </c>
      <c r="CQ170" s="50" t="s">
        <v>1841</v>
      </c>
    </row>
    <row r="171" spans="1:96">
      <c r="A171" s="50" t="s">
        <v>337</v>
      </c>
      <c r="B171" s="50">
        <v>188264</v>
      </c>
      <c r="C171" s="50" t="s">
        <v>418</v>
      </c>
      <c r="D171" s="50" t="s">
        <v>13124</v>
      </c>
      <c r="E171" s="50" t="e">
        <f>VLOOKUP(B171,aa!B:F,5,0)</f>
        <v>#N/A</v>
      </c>
      <c r="F171" s="50" t="e">
        <f>VLOOKUP(B171,aa!B:J,9,0)</f>
        <v>#N/A</v>
      </c>
      <c r="G171" s="50" t="e">
        <f>VLOOKUP(B171,aa!B:L,11,0)</f>
        <v>#N/A</v>
      </c>
      <c r="H171" s="50" t="e">
        <f>VLOOKUP(B171,aa!B:O,14,0)</f>
        <v>#N/A</v>
      </c>
      <c r="I171" s="50" t="e">
        <f>VLOOKUP(B171,aa!B:R,17,0)</f>
        <v>#N/A</v>
      </c>
      <c r="K171" s="50" t="s">
        <v>97</v>
      </c>
      <c r="L171" s="50">
        <v>428534</v>
      </c>
      <c r="M171" s="50">
        <v>428534</v>
      </c>
      <c r="N171" s="50">
        <v>428534</v>
      </c>
      <c r="O171" s="50">
        <v>857</v>
      </c>
      <c r="P171" s="50" t="s">
        <v>364</v>
      </c>
      <c r="Q171" s="50">
        <v>0</v>
      </c>
      <c r="R171" s="50">
        <v>0</v>
      </c>
      <c r="T171" s="50">
        <v>0</v>
      </c>
      <c r="U171" s="50">
        <v>0</v>
      </c>
      <c r="W171" s="50" t="s">
        <v>102</v>
      </c>
      <c r="X171" s="50" t="s">
        <v>103</v>
      </c>
      <c r="Y171" s="50" t="s">
        <v>104</v>
      </c>
      <c r="AA171" s="50" t="s">
        <v>6341</v>
      </c>
      <c r="AB171" s="50" t="s">
        <v>13125</v>
      </c>
      <c r="AC171" s="50" t="s">
        <v>411</v>
      </c>
      <c r="AD171" s="50" t="s">
        <v>13126</v>
      </c>
      <c r="AE171" s="50" t="s">
        <v>109</v>
      </c>
      <c r="AF171" s="50" t="s">
        <v>102</v>
      </c>
      <c r="AG171" s="50" t="s">
        <v>109</v>
      </c>
      <c r="AH171" s="50" t="s">
        <v>102</v>
      </c>
      <c r="AI171" s="50" t="s">
        <v>13127</v>
      </c>
      <c r="AJ171" s="50" t="s">
        <v>6341</v>
      </c>
      <c r="AK171" s="50" t="s">
        <v>6341</v>
      </c>
      <c r="AL171" s="50" t="s">
        <v>13128</v>
      </c>
      <c r="AM171" s="50" t="s">
        <v>13129</v>
      </c>
      <c r="AN171" s="50" t="s">
        <v>13130</v>
      </c>
      <c r="AO171" s="50" t="s">
        <v>1785</v>
      </c>
      <c r="AP171" s="50" t="s">
        <v>1785</v>
      </c>
      <c r="AU171" s="50" t="s">
        <v>318</v>
      </c>
      <c r="AV171" s="50" t="s">
        <v>250</v>
      </c>
      <c r="AW171" s="50" t="s">
        <v>102</v>
      </c>
      <c r="AX171" s="50" t="s">
        <v>119</v>
      </c>
      <c r="BB171" s="50" t="s">
        <v>120</v>
      </c>
      <c r="BC171" s="50" t="s">
        <v>409</v>
      </c>
      <c r="BD171" s="50" t="s">
        <v>410</v>
      </c>
      <c r="BE171" s="50" t="s">
        <v>212</v>
      </c>
      <c r="BF171" s="50" t="s">
        <v>410</v>
      </c>
      <c r="BG171" s="50" t="s">
        <v>124</v>
      </c>
      <c r="BH171" s="50" t="s">
        <v>6918</v>
      </c>
      <c r="BI171" s="50" t="s">
        <v>13131</v>
      </c>
      <c r="BJ171" s="50" t="s">
        <v>127</v>
      </c>
      <c r="BK171" s="50" t="s">
        <v>13132</v>
      </c>
      <c r="BL171" s="50" t="s">
        <v>13133</v>
      </c>
      <c r="BM171" s="50" t="s">
        <v>13134</v>
      </c>
      <c r="BN171" s="50" t="s">
        <v>4665</v>
      </c>
      <c r="BO171" s="50" t="s">
        <v>1699</v>
      </c>
      <c r="BP171" s="50" t="s">
        <v>132</v>
      </c>
      <c r="BQ171" s="50" t="s">
        <v>1700</v>
      </c>
      <c r="BR171" s="50" t="s">
        <v>1701</v>
      </c>
      <c r="BS171" s="50" t="s">
        <v>1702</v>
      </c>
      <c r="BU171" s="50" t="s">
        <v>13135</v>
      </c>
      <c r="BV171" s="50" t="s">
        <v>13136</v>
      </c>
      <c r="BW171" s="50" t="s">
        <v>598</v>
      </c>
      <c r="BX171" s="50" t="s">
        <v>13137</v>
      </c>
      <c r="BY171" s="50" t="s">
        <v>13138</v>
      </c>
      <c r="BZ171" s="50" t="s">
        <v>13137</v>
      </c>
      <c r="CA171" s="50" t="s">
        <v>13139</v>
      </c>
      <c r="CB171" s="50" t="s">
        <v>13137</v>
      </c>
      <c r="CC171" s="50" t="s">
        <v>13140</v>
      </c>
      <c r="CD171" s="50" t="s">
        <v>13141</v>
      </c>
      <c r="CE171" s="50" t="s">
        <v>13137</v>
      </c>
      <c r="CF171" s="50" t="s">
        <v>13138</v>
      </c>
      <c r="CG171" s="50" t="s">
        <v>4937</v>
      </c>
      <c r="CH171" s="50" t="s">
        <v>13142</v>
      </c>
      <c r="CJ171" s="50" t="s">
        <v>428</v>
      </c>
      <c r="CK171" s="50" t="s">
        <v>13142</v>
      </c>
      <c r="CL171" s="50" t="s">
        <v>409</v>
      </c>
      <c r="CM171" s="50" t="s">
        <v>410</v>
      </c>
      <c r="CN171" s="50" t="s">
        <v>428</v>
      </c>
      <c r="CP171" s="50" t="s">
        <v>13142</v>
      </c>
      <c r="CQ171" s="50" t="s">
        <v>13142</v>
      </c>
      <c r="CR171" s="50" t="s">
        <v>26044</v>
      </c>
    </row>
    <row r="172" spans="1:96">
      <c r="A172" s="50" t="s">
        <v>337</v>
      </c>
      <c r="B172" s="50">
        <v>3795896</v>
      </c>
      <c r="C172" s="50" t="s">
        <v>12423</v>
      </c>
      <c r="D172" s="50" t="s">
        <v>16999</v>
      </c>
      <c r="E172" s="50" t="e">
        <f>VLOOKUP(B172,aa!B:F,5,0)</f>
        <v>#N/A</v>
      </c>
      <c r="F172" s="50" t="e">
        <f>VLOOKUP(B172,aa!B:J,9,0)</f>
        <v>#N/A</v>
      </c>
      <c r="G172" s="50" t="e">
        <f>VLOOKUP(B172,aa!B:L,11,0)</f>
        <v>#N/A</v>
      </c>
      <c r="H172" s="50" t="e">
        <f>VLOOKUP(B172,aa!B:O,14,0)</f>
        <v>#N/A</v>
      </c>
      <c r="I172" s="50" t="e">
        <f>VLOOKUP(B172,aa!B:R,17,0)</f>
        <v>#N/A</v>
      </c>
      <c r="K172" s="50" t="s">
        <v>848</v>
      </c>
      <c r="L172" s="50">
        <v>697592</v>
      </c>
      <c r="M172" s="50">
        <v>823159</v>
      </c>
      <c r="N172" s="50">
        <v>0</v>
      </c>
      <c r="O172" s="50">
        <v>0</v>
      </c>
      <c r="Q172" s="50">
        <v>0</v>
      </c>
      <c r="R172" s="50">
        <v>0</v>
      </c>
      <c r="T172" s="50">
        <v>697592</v>
      </c>
      <c r="U172" s="50">
        <v>686</v>
      </c>
      <c r="V172" s="50" t="s">
        <v>3924</v>
      </c>
      <c r="W172" s="50" t="s">
        <v>102</v>
      </c>
      <c r="X172" s="50" t="s">
        <v>103</v>
      </c>
      <c r="Y172" s="50" t="s">
        <v>155</v>
      </c>
      <c r="AA172" s="50" t="s">
        <v>4665</v>
      </c>
      <c r="AB172" s="50" t="s">
        <v>17000</v>
      </c>
      <c r="AC172" s="50" t="s">
        <v>8708</v>
      </c>
      <c r="AD172" s="50" t="s">
        <v>17000</v>
      </c>
      <c r="AE172" s="50" t="s">
        <v>12427</v>
      </c>
      <c r="AF172" s="50" t="s">
        <v>17000</v>
      </c>
      <c r="AG172" s="50" t="s">
        <v>11886</v>
      </c>
      <c r="AH172" s="50" t="s">
        <v>17000</v>
      </c>
      <c r="AI172" s="50" t="s">
        <v>102</v>
      </c>
      <c r="AJ172" s="50" t="s">
        <v>8128</v>
      </c>
      <c r="AK172" s="50" t="s">
        <v>12859</v>
      </c>
      <c r="AL172" s="50" t="s">
        <v>17001</v>
      </c>
      <c r="AM172" s="50" t="s">
        <v>17002</v>
      </c>
      <c r="AN172" s="50" t="s">
        <v>17003</v>
      </c>
      <c r="AO172" s="50" t="s">
        <v>2307</v>
      </c>
      <c r="AP172" s="50" t="s">
        <v>2307</v>
      </c>
      <c r="AU172" s="50" t="s">
        <v>102</v>
      </c>
      <c r="AW172" s="50" t="s">
        <v>102</v>
      </c>
      <c r="AX172" s="50" t="s">
        <v>119</v>
      </c>
      <c r="BA172" s="50" t="s">
        <v>250</v>
      </c>
      <c r="BB172" s="50" t="s">
        <v>120</v>
      </c>
      <c r="BC172" s="50" t="s">
        <v>8240</v>
      </c>
      <c r="BD172" s="50" t="s">
        <v>410</v>
      </c>
      <c r="BE172" s="50" t="s">
        <v>212</v>
      </c>
      <c r="BF172" s="50" t="s">
        <v>410</v>
      </c>
      <c r="BG172" s="50" t="s">
        <v>124</v>
      </c>
      <c r="BH172" s="50" t="s">
        <v>2950</v>
      </c>
      <c r="BI172" s="50" t="s">
        <v>11960</v>
      </c>
      <c r="BJ172" s="50" t="s">
        <v>127</v>
      </c>
      <c r="BK172" s="50" t="s">
        <v>17004</v>
      </c>
      <c r="BL172" s="50" t="s">
        <v>17005</v>
      </c>
      <c r="BM172" s="50" t="s">
        <v>17006</v>
      </c>
      <c r="BN172" s="50" t="s">
        <v>4665</v>
      </c>
      <c r="BO172" s="50" t="s">
        <v>896</v>
      </c>
      <c r="BP172" s="50" t="s">
        <v>132</v>
      </c>
      <c r="BQ172" s="50" t="s">
        <v>897</v>
      </c>
      <c r="BR172" s="50" t="s">
        <v>898</v>
      </c>
      <c r="BS172" s="50" t="s">
        <v>899</v>
      </c>
      <c r="BU172" s="50" t="s">
        <v>17007</v>
      </c>
      <c r="BV172" s="50" t="s">
        <v>17008</v>
      </c>
      <c r="BW172" s="50" t="s">
        <v>354</v>
      </c>
      <c r="BX172" s="50" t="s">
        <v>17009</v>
      </c>
      <c r="BY172" s="50" t="s">
        <v>17010</v>
      </c>
      <c r="BZ172" s="50" t="s">
        <v>17011</v>
      </c>
      <c r="CA172" s="50" t="s">
        <v>17012</v>
      </c>
      <c r="CB172" s="50" t="s">
        <v>17009</v>
      </c>
      <c r="CC172" s="50" t="s">
        <v>17010</v>
      </c>
      <c r="CD172" s="50" t="s">
        <v>17013</v>
      </c>
      <c r="CE172" s="50" t="s">
        <v>17009</v>
      </c>
      <c r="CF172" s="50" t="s">
        <v>17010</v>
      </c>
      <c r="CG172" s="50" t="s">
        <v>907</v>
      </c>
      <c r="CH172" s="50" t="s">
        <v>17014</v>
      </c>
      <c r="CJ172" s="50" t="s">
        <v>17015</v>
      </c>
      <c r="CK172" s="50" t="s">
        <v>17016</v>
      </c>
      <c r="CL172" s="50" t="s">
        <v>8240</v>
      </c>
      <c r="CM172" s="50" t="s">
        <v>410</v>
      </c>
      <c r="CN172" s="50" t="s">
        <v>17015</v>
      </c>
      <c r="CP172" s="50" t="s">
        <v>17017</v>
      </c>
      <c r="CQ172" s="50" t="s">
        <v>17016</v>
      </c>
      <c r="CR172" s="50" t="s">
        <v>26044</v>
      </c>
    </row>
    <row r="173" spans="1:96">
      <c r="A173" s="50" t="s">
        <v>93</v>
      </c>
      <c r="B173" s="50">
        <v>437634</v>
      </c>
      <c r="C173" s="50" t="s">
        <v>3562</v>
      </c>
      <c r="D173" s="50" t="s">
        <v>8946</v>
      </c>
      <c r="E173" s="50" t="str">
        <f>VLOOKUP(B173,aa!B:F,5,0)</f>
        <v>Ei CARES</v>
      </c>
      <c r="F173" s="50">
        <f>VLOOKUP(B173,aa!B:J,9,0)</f>
        <v>1000288</v>
      </c>
      <c r="G173" s="50">
        <f>VLOOKUP(B173,aa!B:L,11,0)</f>
        <v>0</v>
      </c>
      <c r="H173" s="50">
        <f>VLOOKUP(B173,aa!B:O,14,0)</f>
        <v>1000288</v>
      </c>
      <c r="I173" s="50">
        <f>VLOOKUP(B173,aa!B:R,17,0)</f>
        <v>0</v>
      </c>
      <c r="K173" s="50" t="s">
        <v>152</v>
      </c>
      <c r="L173" s="50">
        <v>1002047</v>
      </c>
      <c r="M173" s="50">
        <v>1002047</v>
      </c>
      <c r="N173" s="50">
        <v>0</v>
      </c>
      <c r="O173" s="50">
        <v>0</v>
      </c>
      <c r="Q173" s="50">
        <v>1002047</v>
      </c>
      <c r="R173" s="50">
        <v>2419</v>
      </c>
      <c r="S173" s="50" t="s">
        <v>18324</v>
      </c>
      <c r="T173" s="50">
        <v>0</v>
      </c>
      <c r="U173" s="50">
        <v>0</v>
      </c>
      <c r="W173" s="50" t="s">
        <v>102</v>
      </c>
      <c r="X173" s="50" t="s">
        <v>103</v>
      </c>
      <c r="Y173" s="50" t="s">
        <v>104</v>
      </c>
      <c r="AA173" s="50" t="s">
        <v>1941</v>
      </c>
      <c r="AB173" s="50" t="s">
        <v>18325</v>
      </c>
      <c r="AC173" s="50" t="s">
        <v>12800</v>
      </c>
      <c r="AD173" s="50" t="s">
        <v>18326</v>
      </c>
      <c r="AE173" s="50" t="s">
        <v>109</v>
      </c>
      <c r="AF173" s="50" t="s">
        <v>102</v>
      </c>
      <c r="AG173" s="50" t="s">
        <v>109</v>
      </c>
      <c r="AH173" s="50" t="s">
        <v>102</v>
      </c>
      <c r="AI173" s="50" t="s">
        <v>907</v>
      </c>
      <c r="AJ173" s="50" t="s">
        <v>13036</v>
      </c>
      <c r="AK173" s="50" t="s">
        <v>13340</v>
      </c>
      <c r="AL173" s="50" t="s">
        <v>18327</v>
      </c>
      <c r="AM173" s="50" t="s">
        <v>8952</v>
      </c>
      <c r="AN173" s="50" t="s">
        <v>18328</v>
      </c>
      <c r="AO173" s="50" t="s">
        <v>18329</v>
      </c>
      <c r="AP173" s="50" t="s">
        <v>18329</v>
      </c>
      <c r="AU173" s="50" t="s">
        <v>102</v>
      </c>
      <c r="AW173" s="50" t="s">
        <v>155</v>
      </c>
      <c r="AX173" s="50" t="s">
        <v>119</v>
      </c>
      <c r="AY173" s="50" t="s">
        <v>1138</v>
      </c>
      <c r="AZ173" s="50" t="s">
        <v>250</v>
      </c>
      <c r="BB173" s="50" t="s">
        <v>120</v>
      </c>
      <c r="BC173" s="50" t="s">
        <v>3714</v>
      </c>
      <c r="BD173" s="50" t="s">
        <v>730</v>
      </c>
      <c r="BE173" s="50" t="s">
        <v>622</v>
      </c>
      <c r="BF173" s="50" t="s">
        <v>730</v>
      </c>
      <c r="BG173" s="50" t="s">
        <v>124</v>
      </c>
      <c r="BH173" s="50" t="s">
        <v>12023</v>
      </c>
      <c r="BI173" s="50" t="s">
        <v>11889</v>
      </c>
      <c r="BJ173" s="50" t="s">
        <v>127</v>
      </c>
      <c r="BK173" s="50" t="s">
        <v>18330</v>
      </c>
      <c r="BL173" s="50" t="s">
        <v>8956</v>
      </c>
      <c r="BM173" s="50" t="s">
        <v>18331</v>
      </c>
      <c r="BN173" s="50" t="s">
        <v>857</v>
      </c>
      <c r="BO173" s="50" t="s">
        <v>3910</v>
      </c>
      <c r="BP173" s="50" t="s">
        <v>505</v>
      </c>
      <c r="BQ173" s="50" t="s">
        <v>3911</v>
      </c>
      <c r="BR173" s="50" t="s">
        <v>3912</v>
      </c>
      <c r="BS173" s="50" t="s">
        <v>2569</v>
      </c>
      <c r="BU173" s="50" t="s">
        <v>18332</v>
      </c>
      <c r="BV173" s="50" t="s">
        <v>8959</v>
      </c>
      <c r="BW173" s="50" t="s">
        <v>138</v>
      </c>
      <c r="BX173" s="50" t="s">
        <v>8960</v>
      </c>
      <c r="BY173" s="50" t="s">
        <v>10288</v>
      </c>
      <c r="BZ173" s="50" t="s">
        <v>8962</v>
      </c>
      <c r="CA173" s="50" t="s">
        <v>8959</v>
      </c>
      <c r="CB173" s="50" t="s">
        <v>18333</v>
      </c>
      <c r="CC173" s="50" t="s">
        <v>18334</v>
      </c>
      <c r="CD173" s="50" t="s">
        <v>8959</v>
      </c>
      <c r="CE173" s="50" t="s">
        <v>18333</v>
      </c>
      <c r="CF173" s="50" t="s">
        <v>18334</v>
      </c>
      <c r="CG173" s="50" t="s">
        <v>8963</v>
      </c>
      <c r="CH173" s="50" t="s">
        <v>8964</v>
      </c>
      <c r="CJ173" s="50" t="s">
        <v>8965</v>
      </c>
      <c r="CK173" s="50" t="s">
        <v>8964</v>
      </c>
      <c r="CL173" s="50" t="s">
        <v>3714</v>
      </c>
      <c r="CM173" s="50" t="s">
        <v>730</v>
      </c>
      <c r="CN173" s="50" t="s">
        <v>8965</v>
      </c>
      <c r="CO173" s="50" t="s">
        <v>8966</v>
      </c>
      <c r="CP173" s="50" t="s">
        <v>8964</v>
      </c>
      <c r="CQ173" s="50" t="s">
        <v>8964</v>
      </c>
    </row>
    <row r="174" spans="1:96">
      <c r="A174" s="50" t="s">
        <v>149</v>
      </c>
      <c r="B174" s="50">
        <v>5016213</v>
      </c>
      <c r="C174" s="50" t="s">
        <v>11882</v>
      </c>
      <c r="D174" s="50" t="s">
        <v>9611</v>
      </c>
      <c r="E174" s="50" t="str">
        <f>VLOOKUP(B174,aa!B:F,5,0)</f>
        <v>Ei ASSET, Ei CARES</v>
      </c>
      <c r="F174" s="50">
        <f>VLOOKUP(B174,aa!B:J,9,0)</f>
        <v>747000</v>
      </c>
      <c r="G174" s="50">
        <f>VLOOKUP(B174,aa!B:L,11,0)</f>
        <v>171000</v>
      </c>
      <c r="H174" s="50">
        <f>VLOOKUP(B174,aa!B:O,14,0)</f>
        <v>576000</v>
      </c>
      <c r="I174" s="50">
        <f>VLOOKUP(B174,aa!B:R,17,0)</f>
        <v>0</v>
      </c>
      <c r="K174" s="50" t="s">
        <v>675</v>
      </c>
      <c r="L174" s="50">
        <v>655200</v>
      </c>
      <c r="M174" s="50">
        <v>655200</v>
      </c>
      <c r="N174" s="50">
        <v>187200</v>
      </c>
      <c r="O174" s="50">
        <v>380</v>
      </c>
      <c r="P174" s="50" t="s">
        <v>18821</v>
      </c>
      <c r="Q174" s="50">
        <v>468000</v>
      </c>
      <c r="R174" s="50">
        <v>195</v>
      </c>
      <c r="S174" s="50" t="s">
        <v>4372</v>
      </c>
      <c r="T174" s="50">
        <v>0</v>
      </c>
      <c r="U174" s="50">
        <v>0</v>
      </c>
      <c r="W174" s="50" t="s">
        <v>102</v>
      </c>
      <c r="X174" s="50" t="s">
        <v>103</v>
      </c>
      <c r="Y174" s="50" t="s">
        <v>155</v>
      </c>
      <c r="AA174" s="50" t="s">
        <v>12023</v>
      </c>
      <c r="AB174" s="50" t="s">
        <v>18822</v>
      </c>
      <c r="AC174" s="50" t="s">
        <v>11976</v>
      </c>
      <c r="AD174" s="50" t="s">
        <v>18823</v>
      </c>
      <c r="AE174" s="50" t="s">
        <v>11888</v>
      </c>
      <c r="AF174" s="50" t="s">
        <v>18823</v>
      </c>
      <c r="AG174" s="50" t="s">
        <v>12084</v>
      </c>
      <c r="AH174" s="50" t="s">
        <v>18823</v>
      </c>
      <c r="AI174" s="50" t="s">
        <v>18824</v>
      </c>
      <c r="AJ174" s="50" t="s">
        <v>11976</v>
      </c>
      <c r="AK174" s="50" t="s">
        <v>18825</v>
      </c>
      <c r="AL174" s="50" t="s">
        <v>18826</v>
      </c>
      <c r="AM174" s="50" t="s">
        <v>18827</v>
      </c>
      <c r="AN174" s="50" t="s">
        <v>18828</v>
      </c>
      <c r="AO174" s="50" t="s">
        <v>18829</v>
      </c>
      <c r="AP174" s="50" t="s">
        <v>18829</v>
      </c>
      <c r="AU174" s="50" t="s">
        <v>207</v>
      </c>
      <c r="AV174" s="50" t="s">
        <v>118</v>
      </c>
      <c r="AW174" s="50" t="s">
        <v>3536</v>
      </c>
      <c r="AX174" s="50" t="s">
        <v>249</v>
      </c>
      <c r="AY174" s="50" t="s">
        <v>170</v>
      </c>
      <c r="AZ174" s="50" t="s">
        <v>118</v>
      </c>
      <c r="BB174" s="50" t="s">
        <v>120</v>
      </c>
      <c r="BC174" s="50" t="s">
        <v>9082</v>
      </c>
      <c r="BD174" s="50" t="s">
        <v>1244</v>
      </c>
      <c r="BE174" s="50" t="s">
        <v>122</v>
      </c>
      <c r="BF174" s="50" t="s">
        <v>1244</v>
      </c>
      <c r="BG174" s="50" t="s">
        <v>124</v>
      </c>
      <c r="BH174" s="50" t="s">
        <v>12023</v>
      </c>
      <c r="BI174" s="50" t="s">
        <v>11889</v>
      </c>
      <c r="BJ174" s="50" t="s">
        <v>127</v>
      </c>
      <c r="BK174" s="50" t="s">
        <v>18830</v>
      </c>
      <c r="BL174" s="50" t="s">
        <v>9625</v>
      </c>
      <c r="BM174" s="50" t="s">
        <v>18831</v>
      </c>
      <c r="BN174" s="50" t="s">
        <v>857</v>
      </c>
      <c r="BO174" s="50" t="s">
        <v>3267</v>
      </c>
      <c r="BP174" s="50" t="s">
        <v>350</v>
      </c>
      <c r="BQ174" s="50" t="s">
        <v>3268</v>
      </c>
      <c r="BR174" s="50" t="s">
        <v>3269</v>
      </c>
      <c r="BS174" s="50" t="s">
        <v>261</v>
      </c>
      <c r="BU174" s="50" t="s">
        <v>18832</v>
      </c>
      <c r="BV174" s="50" t="s">
        <v>9631</v>
      </c>
      <c r="BW174" s="50" t="s">
        <v>354</v>
      </c>
      <c r="BX174" s="50" t="s">
        <v>9632</v>
      </c>
      <c r="BY174" s="50" t="s">
        <v>9633</v>
      </c>
      <c r="BZ174" s="50" t="s">
        <v>9632</v>
      </c>
      <c r="CA174" s="50" t="s">
        <v>18833</v>
      </c>
      <c r="CB174" s="50" t="s">
        <v>18834</v>
      </c>
      <c r="CC174" s="50" t="s">
        <v>18835</v>
      </c>
      <c r="CD174" s="50" t="s">
        <v>18836</v>
      </c>
      <c r="CE174" s="50" t="s">
        <v>18837</v>
      </c>
      <c r="CF174" s="50" t="s">
        <v>18838</v>
      </c>
      <c r="CG174" s="50" t="s">
        <v>9634</v>
      </c>
      <c r="CH174" s="50" t="s">
        <v>18839</v>
      </c>
      <c r="CJ174" s="50" t="s">
        <v>9636</v>
      </c>
      <c r="CK174" s="50" t="s">
        <v>18840</v>
      </c>
      <c r="CL174" s="50" t="s">
        <v>9082</v>
      </c>
      <c r="CM174" s="50" t="s">
        <v>1244</v>
      </c>
      <c r="CN174" s="50" t="s">
        <v>9636</v>
      </c>
      <c r="CO174" s="50" t="s">
        <v>9637</v>
      </c>
      <c r="CP174" s="50" t="s">
        <v>9635</v>
      </c>
      <c r="CQ174" s="50" t="s">
        <v>9635</v>
      </c>
    </row>
    <row r="175" spans="1:96">
      <c r="A175" s="50" t="s">
        <v>337</v>
      </c>
      <c r="B175" s="50">
        <v>5016478</v>
      </c>
      <c r="C175" s="50" t="s">
        <v>12096</v>
      </c>
      <c r="D175" s="50" t="s">
        <v>18883</v>
      </c>
      <c r="E175" s="50" t="str">
        <f>VLOOKUP(B175,aa!B:F,5,0)</f>
        <v>Ei Mindspark</v>
      </c>
      <c r="F175" s="50">
        <f>VLOOKUP(B175,aa!B:J,9,0)</f>
        <v>402414</v>
      </c>
      <c r="G175" s="50">
        <f>VLOOKUP(B175,aa!B:L,11,0)</f>
        <v>0</v>
      </c>
      <c r="H175" s="50">
        <f>VLOOKUP(B175,aa!B:O,14,0)</f>
        <v>0</v>
      </c>
      <c r="I175" s="50">
        <f>VLOOKUP(B175,aa!B:R,17,0)</f>
        <v>402414</v>
      </c>
      <c r="K175" s="50" t="s">
        <v>848</v>
      </c>
      <c r="L175" s="50">
        <v>268488</v>
      </c>
      <c r="M175" s="50">
        <v>316816</v>
      </c>
      <c r="N175" s="50">
        <v>0</v>
      </c>
      <c r="O175" s="50">
        <v>0</v>
      </c>
      <c r="Q175" s="50">
        <v>0</v>
      </c>
      <c r="R175" s="50">
        <v>0</v>
      </c>
      <c r="T175" s="50">
        <v>268488</v>
      </c>
      <c r="U175" s="50">
        <v>88</v>
      </c>
      <c r="V175" s="50" t="s">
        <v>1652</v>
      </c>
      <c r="W175" s="50" t="s">
        <v>102</v>
      </c>
      <c r="X175" s="50" t="s">
        <v>103</v>
      </c>
      <c r="Y175" s="50" t="s">
        <v>398</v>
      </c>
      <c r="AA175" s="50" t="s">
        <v>6341</v>
      </c>
      <c r="AB175" s="50" t="s">
        <v>18884</v>
      </c>
      <c r="AC175" s="50" t="s">
        <v>12429</v>
      </c>
      <c r="AD175" s="50" t="s">
        <v>18885</v>
      </c>
      <c r="AE175" s="50" t="s">
        <v>12123</v>
      </c>
      <c r="AF175" s="50" t="s">
        <v>18885</v>
      </c>
      <c r="AG175" s="50" t="s">
        <v>109</v>
      </c>
      <c r="AH175" s="50" t="s">
        <v>102</v>
      </c>
      <c r="AI175" s="50" t="s">
        <v>18886</v>
      </c>
      <c r="AJ175" s="50" t="s">
        <v>6341</v>
      </c>
      <c r="AK175" s="50" t="s">
        <v>14003</v>
      </c>
      <c r="AL175" s="50" t="s">
        <v>18887</v>
      </c>
      <c r="AM175" s="50" t="s">
        <v>18888</v>
      </c>
      <c r="AN175" s="50" t="s">
        <v>18889</v>
      </c>
      <c r="AO175" s="50" t="s">
        <v>554</v>
      </c>
      <c r="AP175" s="50" t="s">
        <v>554</v>
      </c>
      <c r="AU175" s="50" t="s">
        <v>102</v>
      </c>
      <c r="AW175" s="50" t="s">
        <v>102</v>
      </c>
      <c r="AX175" s="50" t="s">
        <v>119</v>
      </c>
      <c r="BA175" s="50" t="s">
        <v>250</v>
      </c>
      <c r="BB175" s="50" t="s">
        <v>1964</v>
      </c>
      <c r="BC175" s="50" t="s">
        <v>375</v>
      </c>
      <c r="BD175" s="50" t="s">
        <v>376</v>
      </c>
      <c r="BE175" s="50" t="s">
        <v>174</v>
      </c>
      <c r="BF175" s="50" t="s">
        <v>376</v>
      </c>
      <c r="BG175" s="50" t="s">
        <v>124</v>
      </c>
      <c r="BH175" s="50" t="s">
        <v>8186</v>
      </c>
      <c r="BI175" s="50" t="s">
        <v>11889</v>
      </c>
      <c r="BJ175" s="50" t="s">
        <v>127</v>
      </c>
      <c r="BK175" s="50" t="s">
        <v>18890</v>
      </c>
      <c r="BL175" s="50" t="s">
        <v>18891</v>
      </c>
      <c r="BM175" s="50" t="s">
        <v>18892</v>
      </c>
      <c r="BN175" s="50" t="s">
        <v>857</v>
      </c>
      <c r="BO175" s="50" t="s">
        <v>12934</v>
      </c>
      <c r="BP175" s="50" t="s">
        <v>350</v>
      </c>
      <c r="BQ175" s="50" t="s">
        <v>12935</v>
      </c>
      <c r="BR175" s="50" t="s">
        <v>12936</v>
      </c>
      <c r="BS175" s="50" t="s">
        <v>1834</v>
      </c>
      <c r="BU175" s="50" t="s">
        <v>18893</v>
      </c>
      <c r="BV175" s="50" t="s">
        <v>18894</v>
      </c>
      <c r="BW175" s="50" t="s">
        <v>138</v>
      </c>
      <c r="BX175" s="50" t="s">
        <v>18895</v>
      </c>
      <c r="BY175" s="50" t="s">
        <v>18896</v>
      </c>
      <c r="BZ175" s="50" t="s">
        <v>18897</v>
      </c>
      <c r="CA175" s="50" t="s">
        <v>18894</v>
      </c>
      <c r="CB175" s="50" t="s">
        <v>18895</v>
      </c>
      <c r="CC175" s="50" t="s">
        <v>18896</v>
      </c>
      <c r="CD175" s="50" t="s">
        <v>18894</v>
      </c>
      <c r="CE175" s="50" t="s">
        <v>18895</v>
      </c>
      <c r="CF175" s="50" t="s">
        <v>18896</v>
      </c>
      <c r="CG175" s="50" t="s">
        <v>6401</v>
      </c>
      <c r="CH175" s="50" t="s">
        <v>18898</v>
      </c>
      <c r="CJ175" s="50" t="s">
        <v>10260</v>
      </c>
      <c r="CK175" s="50" t="s">
        <v>18898</v>
      </c>
      <c r="CL175" s="50" t="s">
        <v>375</v>
      </c>
      <c r="CM175" s="50" t="s">
        <v>376</v>
      </c>
      <c r="CN175" s="50" t="s">
        <v>10260</v>
      </c>
      <c r="CO175" s="50" t="s">
        <v>18899</v>
      </c>
      <c r="CP175" s="50" t="s">
        <v>18898</v>
      </c>
      <c r="CQ175" s="50" t="s">
        <v>18898</v>
      </c>
    </row>
    <row r="176" spans="1:96">
      <c r="A176" s="50" t="s">
        <v>149</v>
      </c>
      <c r="B176" s="50">
        <v>3188843</v>
      </c>
      <c r="C176" s="50" t="s">
        <v>3562</v>
      </c>
      <c r="D176" s="50" t="s">
        <v>4965</v>
      </c>
      <c r="E176" s="50" t="e">
        <f>VLOOKUP(B176,aa!B:F,5,0)</f>
        <v>#N/A</v>
      </c>
      <c r="F176" s="50" t="e">
        <f>VLOOKUP(B176,aa!B:J,9,0)</f>
        <v>#N/A</v>
      </c>
      <c r="G176" s="50" t="e">
        <f>VLOOKUP(B176,aa!B:L,11,0)</f>
        <v>#N/A</v>
      </c>
      <c r="H176" s="50" t="e">
        <f>VLOOKUP(B176,aa!B:O,14,0)</f>
        <v>#N/A</v>
      </c>
      <c r="I176" s="50" t="e">
        <f>VLOOKUP(B176,aa!B:R,17,0)</f>
        <v>#N/A</v>
      </c>
      <c r="K176" s="50" t="s">
        <v>97</v>
      </c>
      <c r="L176" s="50">
        <v>307042</v>
      </c>
      <c r="M176" s="50">
        <v>307042</v>
      </c>
      <c r="N176" s="50">
        <v>307042</v>
      </c>
      <c r="O176" s="50">
        <v>476</v>
      </c>
      <c r="P176" s="50" t="s">
        <v>15191</v>
      </c>
      <c r="Q176" s="50">
        <v>0</v>
      </c>
      <c r="R176" s="50">
        <v>0</v>
      </c>
      <c r="T176" s="50">
        <v>0</v>
      </c>
      <c r="U176" s="50">
        <v>0</v>
      </c>
      <c r="W176" s="50" t="s">
        <v>102</v>
      </c>
      <c r="X176" s="50" t="s">
        <v>103</v>
      </c>
      <c r="Y176" s="50" t="s">
        <v>104</v>
      </c>
      <c r="AA176" s="50" t="s">
        <v>12289</v>
      </c>
      <c r="AB176" s="50" t="s">
        <v>15192</v>
      </c>
      <c r="AC176" s="50" t="s">
        <v>11886</v>
      </c>
      <c r="AD176" s="50" t="s">
        <v>15193</v>
      </c>
      <c r="AE176" s="50" t="s">
        <v>109</v>
      </c>
      <c r="AF176" s="50" t="s">
        <v>102</v>
      </c>
      <c r="AG176" s="50" t="s">
        <v>109</v>
      </c>
      <c r="AH176" s="50" t="s">
        <v>102</v>
      </c>
      <c r="AI176" s="50" t="s">
        <v>15194</v>
      </c>
      <c r="AJ176" s="50" t="s">
        <v>13833</v>
      </c>
      <c r="AK176" s="50" t="s">
        <v>15195</v>
      </c>
      <c r="AL176" s="50" t="s">
        <v>15196</v>
      </c>
      <c r="AM176" s="50" t="s">
        <v>15197</v>
      </c>
      <c r="AN176" s="50" t="s">
        <v>15198</v>
      </c>
      <c r="AO176" s="50" t="s">
        <v>15199</v>
      </c>
      <c r="AP176" s="50" t="s">
        <v>15200</v>
      </c>
      <c r="AT176" s="50" t="s">
        <v>169</v>
      </c>
      <c r="AU176" s="50" t="s">
        <v>117</v>
      </c>
      <c r="AV176" s="50" t="s">
        <v>250</v>
      </c>
      <c r="AW176" s="50" t="s">
        <v>102</v>
      </c>
      <c r="AX176" s="50" t="s">
        <v>119</v>
      </c>
      <c r="BB176" s="50" t="s">
        <v>171</v>
      </c>
      <c r="BC176" s="50" t="s">
        <v>2327</v>
      </c>
      <c r="BD176" s="50" t="s">
        <v>730</v>
      </c>
      <c r="BE176" s="50" t="s">
        <v>622</v>
      </c>
      <c r="BF176" s="50" t="s">
        <v>730</v>
      </c>
      <c r="BG176" s="50" t="s">
        <v>124</v>
      </c>
      <c r="BH176" s="50" t="s">
        <v>12023</v>
      </c>
      <c r="BI176" s="50" t="s">
        <v>11889</v>
      </c>
      <c r="BJ176" s="50" t="s">
        <v>127</v>
      </c>
      <c r="BK176" s="50" t="s">
        <v>15201</v>
      </c>
      <c r="BL176" s="50" t="s">
        <v>4977</v>
      </c>
      <c r="BM176" s="50" t="s">
        <v>15202</v>
      </c>
      <c r="BN176" s="50" t="s">
        <v>7719</v>
      </c>
      <c r="BO176" s="50" t="s">
        <v>7559</v>
      </c>
      <c r="BP176" s="50" t="s">
        <v>350</v>
      </c>
      <c r="BQ176" s="50" t="s">
        <v>7560</v>
      </c>
      <c r="BR176" s="50" t="s">
        <v>7561</v>
      </c>
      <c r="BS176" s="50" t="s">
        <v>3562</v>
      </c>
      <c r="BU176" s="50" t="s">
        <v>15203</v>
      </c>
      <c r="BV176" s="50" t="s">
        <v>4980</v>
      </c>
      <c r="BW176" s="50" t="s">
        <v>598</v>
      </c>
      <c r="BX176" s="50" t="s">
        <v>4981</v>
      </c>
      <c r="BY176" s="50" t="s">
        <v>15204</v>
      </c>
      <c r="BZ176" s="50" t="s">
        <v>4983</v>
      </c>
      <c r="CA176" s="50" t="s">
        <v>4980</v>
      </c>
      <c r="CB176" s="50" t="s">
        <v>4981</v>
      </c>
      <c r="CC176" s="50" t="s">
        <v>15204</v>
      </c>
      <c r="CD176" s="50" t="s">
        <v>4980</v>
      </c>
      <c r="CE176" s="50" t="s">
        <v>4981</v>
      </c>
      <c r="CF176" s="50" t="s">
        <v>15204</v>
      </c>
      <c r="CG176" s="50" t="s">
        <v>102</v>
      </c>
      <c r="CH176" s="50" t="s">
        <v>4984</v>
      </c>
      <c r="CJ176" s="50" t="s">
        <v>4985</v>
      </c>
      <c r="CL176" s="50" t="s">
        <v>2327</v>
      </c>
      <c r="CM176" s="50" t="s">
        <v>730</v>
      </c>
      <c r="CN176" s="50" t="s">
        <v>4985</v>
      </c>
      <c r="CO176" s="50" t="s">
        <v>4986</v>
      </c>
      <c r="CP176" s="50" t="s">
        <v>4984</v>
      </c>
      <c r="CQ176" s="50" t="s">
        <v>4984</v>
      </c>
      <c r="CR176" s="50" t="s">
        <v>26040</v>
      </c>
    </row>
    <row r="177" spans="1:96">
      <c r="A177" s="50" t="s">
        <v>337</v>
      </c>
      <c r="B177" s="50">
        <v>3386433</v>
      </c>
      <c r="C177" s="50" t="s">
        <v>3562</v>
      </c>
      <c r="D177" s="50" t="s">
        <v>15753</v>
      </c>
      <c r="E177" s="50" t="str">
        <f>VLOOKUP(B177,aa!B:F,5,0)</f>
        <v>Ei CARES</v>
      </c>
      <c r="F177" s="50">
        <f>VLOOKUP(B177,aa!B:J,9,0)</f>
        <v>735098</v>
      </c>
      <c r="G177" s="50">
        <f>VLOOKUP(B177,aa!B:L,11,0)</f>
        <v>0</v>
      </c>
      <c r="H177" s="50">
        <f>VLOOKUP(B177,aa!B:O,14,0)</f>
        <v>735098</v>
      </c>
      <c r="I177" s="50">
        <f>VLOOKUP(B177,aa!B:R,17,0)</f>
        <v>0</v>
      </c>
      <c r="K177" s="50" t="s">
        <v>152</v>
      </c>
      <c r="L177" s="50">
        <v>480064</v>
      </c>
      <c r="M177" s="50">
        <v>480064</v>
      </c>
      <c r="N177" s="50">
        <v>0</v>
      </c>
      <c r="O177" s="50">
        <v>0</v>
      </c>
      <c r="Q177" s="50">
        <v>480064</v>
      </c>
      <c r="R177" s="50">
        <v>320</v>
      </c>
      <c r="S177" s="50" t="s">
        <v>6441</v>
      </c>
      <c r="T177" s="50">
        <v>0</v>
      </c>
      <c r="U177" s="50">
        <v>0</v>
      </c>
      <c r="W177" s="50" t="s">
        <v>102</v>
      </c>
      <c r="X177" s="50" t="s">
        <v>103</v>
      </c>
      <c r="Y177" s="50" t="s">
        <v>155</v>
      </c>
      <c r="AA177" s="50" t="s">
        <v>7719</v>
      </c>
      <c r="AB177" s="50" t="s">
        <v>15754</v>
      </c>
      <c r="AC177" s="50" t="s">
        <v>12040</v>
      </c>
      <c r="AD177" s="50" t="s">
        <v>15754</v>
      </c>
      <c r="AE177" s="50" t="s">
        <v>12427</v>
      </c>
      <c r="AF177" s="50" t="s">
        <v>15754</v>
      </c>
      <c r="AG177" s="50" t="s">
        <v>12713</v>
      </c>
      <c r="AH177" s="50" t="s">
        <v>15754</v>
      </c>
      <c r="AI177" s="50" t="s">
        <v>102</v>
      </c>
      <c r="AJ177" s="50" t="s">
        <v>2392</v>
      </c>
      <c r="AK177" s="50" t="s">
        <v>15755</v>
      </c>
      <c r="AL177" s="50" t="s">
        <v>15756</v>
      </c>
      <c r="AM177" s="50" t="s">
        <v>15757</v>
      </c>
      <c r="AN177" s="50" t="s">
        <v>15758</v>
      </c>
      <c r="AO177" s="50" t="s">
        <v>6447</v>
      </c>
      <c r="AP177" s="50" t="s">
        <v>6447</v>
      </c>
      <c r="AU177" s="50" t="s">
        <v>102</v>
      </c>
      <c r="AW177" s="50" t="s">
        <v>155</v>
      </c>
      <c r="AX177" s="50" t="s">
        <v>119</v>
      </c>
      <c r="AY177" s="50" t="s">
        <v>170</v>
      </c>
      <c r="AZ177" s="50" t="s">
        <v>118</v>
      </c>
      <c r="BB177" s="50" t="s">
        <v>120</v>
      </c>
      <c r="BC177" s="50" t="s">
        <v>15759</v>
      </c>
      <c r="BD177" s="50" t="s">
        <v>730</v>
      </c>
      <c r="BE177" s="50" t="s">
        <v>622</v>
      </c>
      <c r="BF177" s="50" t="s">
        <v>730</v>
      </c>
      <c r="BG177" s="50" t="s">
        <v>124</v>
      </c>
      <c r="BH177" s="50" t="s">
        <v>12023</v>
      </c>
      <c r="BI177" s="50" t="s">
        <v>11889</v>
      </c>
      <c r="BJ177" s="50" t="s">
        <v>127</v>
      </c>
      <c r="BK177" s="50" t="s">
        <v>15760</v>
      </c>
      <c r="BL177" s="50" t="s">
        <v>15761</v>
      </c>
      <c r="BM177" s="50" t="s">
        <v>15762</v>
      </c>
      <c r="BN177" s="50" t="s">
        <v>7719</v>
      </c>
      <c r="BO177" s="50" t="s">
        <v>5197</v>
      </c>
      <c r="BP177" s="50" t="s">
        <v>350</v>
      </c>
      <c r="BQ177" s="50" t="s">
        <v>5198</v>
      </c>
      <c r="BR177" s="50" t="s">
        <v>5199</v>
      </c>
      <c r="BS177" s="50" t="s">
        <v>2331</v>
      </c>
      <c r="BU177" s="50" t="s">
        <v>15763</v>
      </c>
      <c r="BV177" s="50" t="s">
        <v>15764</v>
      </c>
      <c r="BW177" s="50" t="s">
        <v>138</v>
      </c>
      <c r="BX177" s="50" t="s">
        <v>15765</v>
      </c>
      <c r="BY177" s="50" t="s">
        <v>15766</v>
      </c>
      <c r="BZ177" s="50" t="s">
        <v>15765</v>
      </c>
      <c r="CA177" s="50" t="s">
        <v>15767</v>
      </c>
      <c r="CB177" s="50" t="s">
        <v>15765</v>
      </c>
      <c r="CC177" s="50" t="s">
        <v>15766</v>
      </c>
      <c r="CD177" s="50" t="s">
        <v>15768</v>
      </c>
      <c r="CE177" s="50" t="s">
        <v>15765</v>
      </c>
      <c r="CF177" s="50" t="s">
        <v>15769</v>
      </c>
      <c r="CG177" s="50" t="s">
        <v>11006</v>
      </c>
      <c r="CH177" s="50" t="s">
        <v>15770</v>
      </c>
      <c r="CJ177" s="50" t="s">
        <v>15771</v>
      </c>
      <c r="CK177" s="50" t="s">
        <v>15772</v>
      </c>
      <c r="CL177" s="50" t="s">
        <v>15759</v>
      </c>
      <c r="CM177" s="50" t="s">
        <v>730</v>
      </c>
      <c r="CN177" s="50" t="s">
        <v>15771</v>
      </c>
      <c r="CP177" s="50" t="s">
        <v>15773</v>
      </c>
      <c r="CQ177" s="50" t="s">
        <v>15773</v>
      </c>
    </row>
    <row r="178" spans="1:96">
      <c r="A178" s="50" t="s">
        <v>337</v>
      </c>
      <c r="B178" s="50">
        <v>5038577</v>
      </c>
      <c r="C178" s="50" t="s">
        <v>20272</v>
      </c>
      <c r="D178" s="50" t="s">
        <v>20271</v>
      </c>
      <c r="E178" s="50" t="str">
        <f>VLOOKUP(B178,aa!B:F,5,0)</f>
        <v>Ei CARES</v>
      </c>
      <c r="F178" s="50">
        <f>VLOOKUP(B178,aa!B:J,9,0)</f>
        <v>105002</v>
      </c>
      <c r="G178" s="50">
        <f>VLOOKUP(B178,aa!B:L,11,0)</f>
        <v>0</v>
      </c>
      <c r="H178" s="50">
        <f>VLOOKUP(B178,aa!B:O,14,0)</f>
        <v>105002</v>
      </c>
      <c r="I178" s="50">
        <f>VLOOKUP(B178,aa!B:R,17,0)</f>
        <v>0</v>
      </c>
      <c r="K178" s="50" t="s">
        <v>152</v>
      </c>
      <c r="L178" s="50">
        <v>87003</v>
      </c>
      <c r="M178" s="50">
        <v>87003</v>
      </c>
      <c r="N178" s="50">
        <v>0</v>
      </c>
      <c r="O178" s="50">
        <v>0</v>
      </c>
      <c r="Q178" s="50">
        <v>87003</v>
      </c>
      <c r="R178" s="50">
        <v>87</v>
      </c>
      <c r="S178" s="50" t="s">
        <v>5042</v>
      </c>
      <c r="T178" s="50">
        <v>0</v>
      </c>
      <c r="U178" s="50">
        <v>0</v>
      </c>
      <c r="W178" s="50" t="s">
        <v>102</v>
      </c>
      <c r="X178" s="50" t="s">
        <v>103</v>
      </c>
      <c r="Y178" s="50" t="s">
        <v>398</v>
      </c>
      <c r="AA178" s="50" t="s">
        <v>6341</v>
      </c>
      <c r="AB178" s="50" t="s">
        <v>20273</v>
      </c>
      <c r="AC178" s="50" t="s">
        <v>12082</v>
      </c>
      <c r="AD178" s="50" t="s">
        <v>20274</v>
      </c>
      <c r="AE178" s="50" t="s">
        <v>12327</v>
      </c>
      <c r="AF178" s="50" t="s">
        <v>20275</v>
      </c>
      <c r="AG178" s="50" t="s">
        <v>109</v>
      </c>
      <c r="AH178" s="50" t="s">
        <v>102</v>
      </c>
      <c r="AI178" s="50" t="s">
        <v>102</v>
      </c>
      <c r="AJ178" s="50" t="s">
        <v>12023</v>
      </c>
      <c r="AK178" s="50" t="s">
        <v>12713</v>
      </c>
      <c r="AL178" s="50" t="s">
        <v>20276</v>
      </c>
      <c r="AM178" s="50" t="s">
        <v>20277</v>
      </c>
      <c r="AN178" s="50" t="s">
        <v>20278</v>
      </c>
      <c r="AO178" s="50" t="s">
        <v>20279</v>
      </c>
      <c r="AP178" s="50" t="s">
        <v>20279</v>
      </c>
      <c r="AU178" s="50" t="s">
        <v>102</v>
      </c>
      <c r="AW178" s="50" t="s">
        <v>104</v>
      </c>
      <c r="AX178" s="50" t="s">
        <v>447</v>
      </c>
      <c r="AY178" s="50" t="s">
        <v>170</v>
      </c>
      <c r="AZ178" s="50" t="s">
        <v>118</v>
      </c>
      <c r="BB178" s="50" t="s">
        <v>120</v>
      </c>
      <c r="BC178" s="50" t="s">
        <v>12104</v>
      </c>
      <c r="BD178" s="50" t="s">
        <v>1208</v>
      </c>
      <c r="BE178" s="50" t="s">
        <v>174</v>
      </c>
      <c r="BF178" s="50" t="s">
        <v>1172</v>
      </c>
      <c r="BG178" s="50" t="s">
        <v>124</v>
      </c>
      <c r="BH178" s="50" t="s">
        <v>12023</v>
      </c>
      <c r="BI178" s="50" t="s">
        <v>11889</v>
      </c>
      <c r="BJ178" s="50" t="s">
        <v>127</v>
      </c>
      <c r="BK178" s="50" t="s">
        <v>20280</v>
      </c>
      <c r="BL178" s="50" t="s">
        <v>20281</v>
      </c>
      <c r="BM178" s="50" t="s">
        <v>20282</v>
      </c>
      <c r="BN178" s="50" t="s">
        <v>7719</v>
      </c>
      <c r="BO178" s="50" t="s">
        <v>1212</v>
      </c>
      <c r="BP178" s="50" t="s">
        <v>350</v>
      </c>
      <c r="BQ178" s="50" t="s">
        <v>1213</v>
      </c>
      <c r="BR178" s="50" t="s">
        <v>1214</v>
      </c>
      <c r="BS178" s="50" t="s">
        <v>1215</v>
      </c>
      <c r="BU178" s="50" t="s">
        <v>20283</v>
      </c>
      <c r="BV178" s="50" t="s">
        <v>20284</v>
      </c>
      <c r="BW178" s="50" t="s">
        <v>138</v>
      </c>
      <c r="BX178" s="50" t="s">
        <v>20285</v>
      </c>
      <c r="BY178" s="50" t="s">
        <v>20286</v>
      </c>
      <c r="BZ178" s="50" t="s">
        <v>20285</v>
      </c>
      <c r="CA178" s="50" t="s">
        <v>20284</v>
      </c>
      <c r="CB178" s="50" t="s">
        <v>20285</v>
      </c>
      <c r="CC178" s="50" t="s">
        <v>20286</v>
      </c>
      <c r="CD178" s="50" t="s">
        <v>20284</v>
      </c>
      <c r="CE178" s="50" t="s">
        <v>20285</v>
      </c>
      <c r="CF178" s="50" t="s">
        <v>20286</v>
      </c>
      <c r="CG178" s="50" t="s">
        <v>4425</v>
      </c>
      <c r="CH178" s="50" t="s">
        <v>20287</v>
      </c>
      <c r="CJ178" s="50" t="s">
        <v>20288</v>
      </c>
      <c r="CK178" s="50" t="s">
        <v>20287</v>
      </c>
      <c r="CL178" s="50" t="s">
        <v>12104</v>
      </c>
      <c r="CM178" s="50" t="s">
        <v>1208</v>
      </c>
      <c r="CN178" s="50" t="s">
        <v>20288</v>
      </c>
      <c r="CP178" s="50" t="s">
        <v>20289</v>
      </c>
      <c r="CQ178" s="50" t="s">
        <v>20289</v>
      </c>
    </row>
    <row r="179" spans="1:96">
      <c r="A179" s="50" t="s">
        <v>149</v>
      </c>
      <c r="B179" s="50">
        <v>865626</v>
      </c>
      <c r="C179" s="50" t="s">
        <v>183</v>
      </c>
      <c r="D179" s="50" t="s">
        <v>11220</v>
      </c>
      <c r="E179" s="50" t="str">
        <f>VLOOKUP(B179,aa!B:F,5,0)</f>
        <v>Ei ASSET, Ei Mindspark</v>
      </c>
      <c r="F179" s="50">
        <f>VLOOKUP(B179,aa!B:J,9,0)</f>
        <v>2776735</v>
      </c>
      <c r="G179" s="50">
        <f>VLOOKUP(B179,aa!B:L,11,0)</f>
        <v>192538</v>
      </c>
      <c r="H179" s="50">
        <f>VLOOKUP(B179,aa!B:O,14,0)</f>
        <v>0</v>
      </c>
      <c r="I179" s="50">
        <f>VLOOKUP(B179,aa!B:R,17,0)</f>
        <v>2584197</v>
      </c>
      <c r="K179" s="50" t="s">
        <v>193</v>
      </c>
      <c r="L179" s="50">
        <v>2754425</v>
      </c>
      <c r="M179" s="50">
        <v>3215159</v>
      </c>
      <c r="N179" s="50">
        <v>194789</v>
      </c>
      <c r="O179" s="50">
        <v>779</v>
      </c>
      <c r="P179" s="50" t="s">
        <v>21572</v>
      </c>
      <c r="Q179" s="50">
        <v>0</v>
      </c>
      <c r="R179" s="50">
        <v>0</v>
      </c>
      <c r="T179" s="50">
        <v>2559636</v>
      </c>
      <c r="U179" s="50">
        <v>2397</v>
      </c>
      <c r="V179" s="50" t="s">
        <v>11747</v>
      </c>
      <c r="W179" s="50" t="s">
        <v>102</v>
      </c>
      <c r="X179" s="50" t="s">
        <v>679</v>
      </c>
      <c r="Y179" s="50" t="s">
        <v>155</v>
      </c>
      <c r="Z179" s="50" t="s">
        <v>12312</v>
      </c>
      <c r="AA179" s="50" t="s">
        <v>12568</v>
      </c>
      <c r="AB179" s="50" t="s">
        <v>21573</v>
      </c>
      <c r="AC179" s="50" t="s">
        <v>19477</v>
      </c>
      <c r="AD179" s="50" t="s">
        <v>21573</v>
      </c>
      <c r="AE179" s="50" t="s">
        <v>20108</v>
      </c>
      <c r="AF179" s="50" t="s">
        <v>21573</v>
      </c>
      <c r="AG179" s="50" t="s">
        <v>12216</v>
      </c>
      <c r="AH179" s="50" t="s">
        <v>21573</v>
      </c>
      <c r="AI179" s="50" t="s">
        <v>102</v>
      </c>
      <c r="AJ179" s="50" t="s">
        <v>12158</v>
      </c>
      <c r="AK179" s="50" t="s">
        <v>21574</v>
      </c>
      <c r="AL179" s="50" t="s">
        <v>21575</v>
      </c>
      <c r="AM179" s="50" t="s">
        <v>21576</v>
      </c>
      <c r="AN179" s="50" t="s">
        <v>21577</v>
      </c>
      <c r="AO179" s="50" t="s">
        <v>21578</v>
      </c>
      <c r="AP179" s="50" t="s">
        <v>21578</v>
      </c>
      <c r="AU179" s="50" t="s">
        <v>207</v>
      </c>
      <c r="AV179" s="50" t="s">
        <v>118</v>
      </c>
      <c r="AW179" s="50" t="s">
        <v>102</v>
      </c>
      <c r="AX179" s="50" t="s">
        <v>119</v>
      </c>
      <c r="BA179" s="50" t="s">
        <v>250</v>
      </c>
      <c r="BB179" s="50" t="s">
        <v>120</v>
      </c>
      <c r="BC179" s="50" t="s">
        <v>375</v>
      </c>
      <c r="BD179" s="50" t="s">
        <v>376</v>
      </c>
      <c r="BE179" s="50" t="s">
        <v>174</v>
      </c>
      <c r="BF179" s="50" t="s">
        <v>376</v>
      </c>
      <c r="BG179" s="50" t="s">
        <v>124</v>
      </c>
      <c r="BH179" s="50" t="s">
        <v>17133</v>
      </c>
      <c r="BI179" s="50" t="s">
        <v>11889</v>
      </c>
      <c r="BJ179" s="50" t="s">
        <v>127</v>
      </c>
      <c r="BK179" s="50" t="s">
        <v>21579</v>
      </c>
      <c r="BL179" s="50" t="s">
        <v>11758</v>
      </c>
      <c r="BM179" s="50" t="s">
        <v>21580</v>
      </c>
      <c r="BN179" s="50" t="s">
        <v>21571</v>
      </c>
      <c r="BO179" s="50" t="s">
        <v>179</v>
      </c>
      <c r="BP179" s="50" t="s">
        <v>180</v>
      </c>
      <c r="BQ179" s="50" t="s">
        <v>181</v>
      </c>
      <c r="BR179" s="50" t="s">
        <v>182</v>
      </c>
      <c r="BS179" s="50" t="s">
        <v>183</v>
      </c>
      <c r="BU179" s="50" t="s">
        <v>21581</v>
      </c>
      <c r="BV179" s="50" t="s">
        <v>11761</v>
      </c>
      <c r="BW179" s="50" t="s">
        <v>138</v>
      </c>
      <c r="BX179" s="50" t="s">
        <v>11762</v>
      </c>
      <c r="BY179" s="50" t="s">
        <v>11763</v>
      </c>
      <c r="BZ179" s="50" t="s">
        <v>11764</v>
      </c>
      <c r="CA179" s="50" t="s">
        <v>11761</v>
      </c>
      <c r="CB179" s="50" t="s">
        <v>21582</v>
      </c>
      <c r="CC179" s="50" t="s">
        <v>11763</v>
      </c>
      <c r="CD179" s="50" t="s">
        <v>21583</v>
      </c>
      <c r="CE179" s="50" t="s">
        <v>11766</v>
      </c>
      <c r="CF179" s="50" t="s">
        <v>11767</v>
      </c>
      <c r="CG179" s="50" t="s">
        <v>102</v>
      </c>
      <c r="CH179" s="50" t="s">
        <v>11220</v>
      </c>
      <c r="CJ179" s="50" t="s">
        <v>1644</v>
      </c>
      <c r="CL179" s="50" t="s">
        <v>375</v>
      </c>
      <c r="CM179" s="50" t="s">
        <v>376</v>
      </c>
      <c r="CN179" s="50" t="s">
        <v>1644</v>
      </c>
      <c r="CO179" s="50" t="s">
        <v>11769</v>
      </c>
      <c r="CP179" s="50" t="s">
        <v>11768</v>
      </c>
      <c r="CQ179" s="50" t="s">
        <v>11768</v>
      </c>
    </row>
    <row r="180" spans="1:96">
      <c r="A180" s="50" t="s">
        <v>149</v>
      </c>
      <c r="B180" s="50">
        <v>9582</v>
      </c>
      <c r="C180" s="50" t="s">
        <v>12096</v>
      </c>
      <c r="D180" s="50" t="s">
        <v>11792</v>
      </c>
      <c r="E180" s="50" t="str">
        <f>VLOOKUP(B180,aa!B:F,5,0)</f>
        <v>Ei Mindspark</v>
      </c>
      <c r="F180" s="50">
        <f>VLOOKUP(B180,aa!B:J,9,0)</f>
        <v>135424</v>
      </c>
      <c r="G180" s="50">
        <f>VLOOKUP(B180,aa!B:L,11,0)</f>
        <v>0</v>
      </c>
      <c r="H180" s="50">
        <f>VLOOKUP(B180,aa!B:O,14,0)</f>
        <v>0</v>
      </c>
      <c r="I180" s="50">
        <f>VLOOKUP(B180,aa!B:R,17,0)</f>
        <v>135424</v>
      </c>
      <c r="K180" s="50" t="s">
        <v>848</v>
      </c>
      <c r="L180" s="50">
        <v>181776</v>
      </c>
      <c r="M180" s="50">
        <v>214496</v>
      </c>
      <c r="N180" s="50">
        <v>0</v>
      </c>
      <c r="O180" s="50">
        <v>0</v>
      </c>
      <c r="Q180" s="50">
        <v>0</v>
      </c>
      <c r="R180" s="50">
        <v>0</v>
      </c>
      <c r="T180" s="50">
        <v>181776</v>
      </c>
      <c r="U180" s="50">
        <v>71</v>
      </c>
      <c r="V180" s="50" t="s">
        <v>21598</v>
      </c>
      <c r="W180" s="50" t="s">
        <v>102</v>
      </c>
      <c r="X180" s="50" t="s">
        <v>679</v>
      </c>
      <c r="Y180" s="50" t="s">
        <v>155</v>
      </c>
      <c r="Z180" s="50" t="s">
        <v>13769</v>
      </c>
      <c r="AA180" s="50" t="s">
        <v>21599</v>
      </c>
      <c r="AB180" s="50" t="s">
        <v>21600</v>
      </c>
      <c r="AC180" s="50" t="s">
        <v>20106</v>
      </c>
      <c r="AD180" s="50" t="s">
        <v>21600</v>
      </c>
      <c r="AE180" s="50" t="s">
        <v>15990</v>
      </c>
      <c r="AF180" s="50" t="s">
        <v>21600</v>
      </c>
      <c r="AG180" s="50" t="s">
        <v>12216</v>
      </c>
      <c r="AH180" s="50" t="s">
        <v>21600</v>
      </c>
      <c r="AI180" s="50" t="s">
        <v>21601</v>
      </c>
      <c r="AJ180" s="50" t="s">
        <v>1403</v>
      </c>
      <c r="AK180" s="50" t="s">
        <v>14003</v>
      </c>
      <c r="AL180" s="50" t="s">
        <v>21602</v>
      </c>
      <c r="AM180" s="50" t="s">
        <v>21603</v>
      </c>
      <c r="AN180" s="50" t="s">
        <v>21604</v>
      </c>
      <c r="AO180" s="50" t="s">
        <v>21605</v>
      </c>
      <c r="AP180" s="50" t="s">
        <v>21605</v>
      </c>
      <c r="AU180" s="50" t="s">
        <v>102</v>
      </c>
      <c r="AW180" s="50" t="s">
        <v>102</v>
      </c>
      <c r="AX180" s="50" t="s">
        <v>119</v>
      </c>
      <c r="BA180" s="50" t="s">
        <v>250</v>
      </c>
      <c r="BB180" s="50" t="s">
        <v>1964</v>
      </c>
      <c r="BC180" s="50" t="s">
        <v>375</v>
      </c>
      <c r="BD180" s="50" t="s">
        <v>376</v>
      </c>
      <c r="BE180" s="50" t="s">
        <v>174</v>
      </c>
      <c r="BF180" s="50" t="s">
        <v>376</v>
      </c>
      <c r="BG180" s="50" t="s">
        <v>124</v>
      </c>
      <c r="BH180" s="50" t="s">
        <v>8186</v>
      </c>
      <c r="BI180" s="50" t="s">
        <v>15028</v>
      </c>
      <c r="BJ180" s="50" t="s">
        <v>127</v>
      </c>
      <c r="BK180" s="50" t="s">
        <v>21606</v>
      </c>
      <c r="BL180" s="50" t="s">
        <v>11808</v>
      </c>
      <c r="BM180" s="50" t="s">
        <v>21607</v>
      </c>
      <c r="BN180" s="50" t="s">
        <v>21597</v>
      </c>
      <c r="BO180" s="50" t="s">
        <v>12071</v>
      </c>
      <c r="BP180" s="50" t="s">
        <v>350</v>
      </c>
      <c r="BQ180" s="50" t="s">
        <v>12072</v>
      </c>
      <c r="BR180" s="50" t="s">
        <v>12073</v>
      </c>
      <c r="BS180" s="50" t="s">
        <v>183</v>
      </c>
      <c r="BU180" s="50" t="s">
        <v>21608</v>
      </c>
      <c r="BV180" s="50" t="s">
        <v>11811</v>
      </c>
      <c r="BW180" s="50" t="s">
        <v>138</v>
      </c>
      <c r="BX180" s="50" t="s">
        <v>11812</v>
      </c>
      <c r="BY180" s="50" t="s">
        <v>11813</v>
      </c>
      <c r="CA180" s="50" t="s">
        <v>21609</v>
      </c>
      <c r="CB180" s="50" t="s">
        <v>11812</v>
      </c>
      <c r="CC180" s="50" t="s">
        <v>21610</v>
      </c>
      <c r="CD180" s="50" t="s">
        <v>11814</v>
      </c>
      <c r="CE180" s="50" t="s">
        <v>21611</v>
      </c>
      <c r="CF180" s="50" t="s">
        <v>11816</v>
      </c>
      <c r="CG180" s="50" t="s">
        <v>102</v>
      </c>
      <c r="CH180" s="50" t="s">
        <v>11817</v>
      </c>
      <c r="CJ180" s="50" t="s">
        <v>11818</v>
      </c>
      <c r="CL180" s="50" t="s">
        <v>375</v>
      </c>
      <c r="CM180" s="50" t="s">
        <v>376</v>
      </c>
      <c r="CN180" s="50" t="s">
        <v>11818</v>
      </c>
      <c r="CO180" s="50" t="s">
        <v>11819</v>
      </c>
      <c r="CP180" s="50" t="s">
        <v>11817</v>
      </c>
      <c r="CQ180" s="50" t="s">
        <v>11817</v>
      </c>
    </row>
    <row r="181" spans="1:96">
      <c r="A181" s="50" t="s">
        <v>93</v>
      </c>
      <c r="B181" s="50">
        <v>174867</v>
      </c>
      <c r="C181" s="50" t="s">
        <v>418</v>
      </c>
      <c r="D181" s="50" t="s">
        <v>1686</v>
      </c>
      <c r="E181" s="50" t="str">
        <f>VLOOKUP(B181,aa!B:F,5,0)</f>
        <v>Ei ASSET</v>
      </c>
      <c r="F181" s="50">
        <f>VLOOKUP(B181,aa!B:J,9,0)</f>
        <v>834390</v>
      </c>
      <c r="G181" s="50">
        <f>VLOOKUP(B181,aa!B:L,11,0)</f>
        <v>834390</v>
      </c>
      <c r="H181" s="50">
        <f>VLOOKUP(B181,aa!B:O,14,0)</f>
        <v>0</v>
      </c>
      <c r="I181" s="50">
        <f>VLOOKUP(B181,aa!B:R,17,0)</f>
        <v>0</v>
      </c>
      <c r="K181" s="50" t="s">
        <v>97</v>
      </c>
      <c r="L181" s="50">
        <v>832200</v>
      </c>
      <c r="M181" s="50">
        <v>832200</v>
      </c>
      <c r="N181" s="50">
        <v>832200</v>
      </c>
      <c r="O181" s="50">
        <v>760</v>
      </c>
      <c r="P181" s="50" t="s">
        <v>1689</v>
      </c>
      <c r="Q181" s="50">
        <v>0</v>
      </c>
      <c r="R181" s="50">
        <v>0</v>
      </c>
      <c r="T181" s="50">
        <v>0</v>
      </c>
      <c r="U181" s="50">
        <v>0</v>
      </c>
      <c r="W181" s="50" t="s">
        <v>102</v>
      </c>
      <c r="X181" s="50" t="s">
        <v>103</v>
      </c>
      <c r="Y181" s="50" t="s">
        <v>104</v>
      </c>
      <c r="AA181" s="50" t="s">
        <v>12887</v>
      </c>
      <c r="AB181" s="50" t="s">
        <v>1690</v>
      </c>
      <c r="AC181" s="50" t="s">
        <v>12888</v>
      </c>
      <c r="AD181" s="50" t="s">
        <v>1690</v>
      </c>
      <c r="AE181" s="50" t="s">
        <v>109</v>
      </c>
      <c r="AF181" s="50" t="s">
        <v>102</v>
      </c>
      <c r="AG181" s="50" t="s">
        <v>109</v>
      </c>
      <c r="AH181" s="50" t="s">
        <v>102</v>
      </c>
      <c r="AI181" s="50" t="s">
        <v>12889</v>
      </c>
      <c r="AJ181" s="50" t="s">
        <v>12890</v>
      </c>
      <c r="AK181" s="50" t="s">
        <v>8060</v>
      </c>
      <c r="AL181" s="50" t="s">
        <v>1693</v>
      </c>
      <c r="AM181" s="50" t="s">
        <v>12891</v>
      </c>
      <c r="AN181" s="50" t="s">
        <v>12892</v>
      </c>
      <c r="AO181" s="50" t="s">
        <v>1695</v>
      </c>
      <c r="AP181" s="50" t="s">
        <v>1695</v>
      </c>
      <c r="AU181" s="50" t="s">
        <v>318</v>
      </c>
      <c r="AV181" s="50" t="s">
        <v>118</v>
      </c>
      <c r="AW181" s="50" t="s">
        <v>102</v>
      </c>
      <c r="AX181" s="50" t="s">
        <v>119</v>
      </c>
      <c r="BB181" s="50" t="s">
        <v>120</v>
      </c>
      <c r="BC181" s="50" t="s">
        <v>409</v>
      </c>
      <c r="BD181" s="50" t="s">
        <v>410</v>
      </c>
      <c r="BE181" s="50" t="s">
        <v>212</v>
      </c>
      <c r="BF181" s="50" t="s">
        <v>410</v>
      </c>
      <c r="BG181" s="50" t="s">
        <v>124</v>
      </c>
      <c r="BH181" s="50" t="s">
        <v>12023</v>
      </c>
      <c r="BI181" s="50" t="s">
        <v>11889</v>
      </c>
      <c r="BJ181" s="50" t="s">
        <v>127</v>
      </c>
      <c r="BK181" s="50" t="s">
        <v>12893</v>
      </c>
      <c r="BL181" s="50" t="s">
        <v>1697</v>
      </c>
      <c r="BM181" s="50" t="s">
        <v>12894</v>
      </c>
      <c r="BN181" s="50" t="s">
        <v>2392</v>
      </c>
      <c r="BO181" s="50" t="s">
        <v>1699</v>
      </c>
      <c r="BP181" s="50" t="s">
        <v>132</v>
      </c>
      <c r="BQ181" s="50" t="s">
        <v>1700</v>
      </c>
      <c r="BR181" s="50" t="s">
        <v>1701</v>
      </c>
      <c r="BS181" s="50" t="s">
        <v>1702</v>
      </c>
      <c r="BU181" s="50" t="s">
        <v>12895</v>
      </c>
      <c r="BV181" s="50" t="s">
        <v>1708</v>
      </c>
      <c r="BW181" s="50" t="s">
        <v>138</v>
      </c>
      <c r="BX181" s="50" t="s">
        <v>1705</v>
      </c>
      <c r="BY181" s="50" t="s">
        <v>1706</v>
      </c>
      <c r="BZ181" s="50" t="s">
        <v>1705</v>
      </c>
      <c r="CA181" s="50" t="s">
        <v>1708</v>
      </c>
      <c r="CB181" s="50" t="s">
        <v>1705</v>
      </c>
      <c r="CC181" s="50" t="s">
        <v>1706</v>
      </c>
      <c r="CD181" s="50" t="s">
        <v>1708</v>
      </c>
      <c r="CE181" s="50" t="s">
        <v>1705</v>
      </c>
      <c r="CF181" s="50" t="s">
        <v>1706</v>
      </c>
      <c r="CG181" s="50" t="s">
        <v>1709</v>
      </c>
      <c r="CH181" s="50" t="s">
        <v>1710</v>
      </c>
      <c r="CJ181" s="50" t="s">
        <v>428</v>
      </c>
      <c r="CK181" s="50" t="s">
        <v>12896</v>
      </c>
      <c r="CL181" s="50" t="s">
        <v>409</v>
      </c>
      <c r="CM181" s="50" t="s">
        <v>1711</v>
      </c>
      <c r="CN181" s="50" t="s">
        <v>428</v>
      </c>
      <c r="CO181" s="50" t="s">
        <v>1712</v>
      </c>
      <c r="CP181" s="50" t="s">
        <v>1710</v>
      </c>
      <c r="CQ181" s="50" t="s">
        <v>1710</v>
      </c>
    </row>
    <row r="182" spans="1:96">
      <c r="A182" s="50" t="s">
        <v>149</v>
      </c>
      <c r="B182" s="50">
        <v>63421</v>
      </c>
      <c r="C182" s="50" t="s">
        <v>3562</v>
      </c>
      <c r="D182" s="50" t="s">
        <v>11475</v>
      </c>
      <c r="E182" s="50" t="e">
        <f>VLOOKUP(B182,aa!B:F,5,0)</f>
        <v>#N/A</v>
      </c>
      <c r="F182" s="50" t="e">
        <f>VLOOKUP(B182,aa!B:J,9,0)</f>
        <v>#N/A</v>
      </c>
      <c r="G182" s="50" t="e">
        <f>VLOOKUP(B182,aa!B:L,11,0)</f>
        <v>#N/A</v>
      </c>
      <c r="H182" s="50" t="e">
        <f>VLOOKUP(B182,aa!B:O,14,0)</f>
        <v>#N/A</v>
      </c>
      <c r="I182" s="50" t="e">
        <f>VLOOKUP(B182,aa!B:R,17,0)</f>
        <v>#N/A</v>
      </c>
      <c r="K182" s="50" t="s">
        <v>152</v>
      </c>
      <c r="L182" s="50">
        <v>461177</v>
      </c>
      <c r="M182" s="50">
        <v>461177</v>
      </c>
      <c r="N182" s="50">
        <v>0</v>
      </c>
      <c r="O182" s="50">
        <v>0</v>
      </c>
      <c r="Q182" s="50">
        <v>461177</v>
      </c>
      <c r="R182" s="50">
        <v>427</v>
      </c>
      <c r="S182" s="50" t="s">
        <v>1651</v>
      </c>
      <c r="T182" s="50">
        <v>0</v>
      </c>
      <c r="U182" s="50">
        <v>0</v>
      </c>
      <c r="W182" s="50" t="s">
        <v>102</v>
      </c>
      <c r="X182" s="50" t="s">
        <v>103</v>
      </c>
      <c r="Y182" s="50" t="s">
        <v>104</v>
      </c>
      <c r="AA182" s="50" t="s">
        <v>12887</v>
      </c>
      <c r="AB182" s="50" t="s">
        <v>21367</v>
      </c>
      <c r="AC182" s="50" t="s">
        <v>12427</v>
      </c>
      <c r="AD182" s="50" t="s">
        <v>21367</v>
      </c>
      <c r="AE182" s="50" t="s">
        <v>109</v>
      </c>
      <c r="AF182" s="50" t="s">
        <v>102</v>
      </c>
      <c r="AG182" s="50" t="s">
        <v>109</v>
      </c>
      <c r="AH182" s="50" t="s">
        <v>102</v>
      </c>
      <c r="AI182" s="50" t="s">
        <v>21368</v>
      </c>
      <c r="AJ182" s="50" t="s">
        <v>14292</v>
      </c>
      <c r="AK182" s="50" t="s">
        <v>14292</v>
      </c>
      <c r="AL182" s="50" t="s">
        <v>21369</v>
      </c>
      <c r="AM182" s="50" t="s">
        <v>21370</v>
      </c>
      <c r="AN182" s="50" t="s">
        <v>21371</v>
      </c>
      <c r="AO182" s="50" t="s">
        <v>21372</v>
      </c>
      <c r="AP182" s="50" t="s">
        <v>21373</v>
      </c>
      <c r="AT182" s="50" t="s">
        <v>169</v>
      </c>
      <c r="AU182" s="50" t="s">
        <v>102</v>
      </c>
      <c r="AW182" s="50" t="s">
        <v>155</v>
      </c>
      <c r="AX182" s="50" t="s">
        <v>447</v>
      </c>
      <c r="AY182" s="50" t="s">
        <v>1138</v>
      </c>
      <c r="AZ182" s="50" t="s">
        <v>118</v>
      </c>
      <c r="BB182" s="50" t="s">
        <v>209</v>
      </c>
      <c r="BC182" s="50" t="s">
        <v>11483</v>
      </c>
      <c r="BD182" s="50" t="s">
        <v>730</v>
      </c>
      <c r="BE182" s="50" t="s">
        <v>622</v>
      </c>
      <c r="BF182" s="50" t="s">
        <v>730</v>
      </c>
      <c r="BG182" s="50" t="s">
        <v>124</v>
      </c>
      <c r="BH182" s="50" t="s">
        <v>12023</v>
      </c>
      <c r="BI182" s="50" t="s">
        <v>11889</v>
      </c>
      <c r="BJ182" s="50" t="s">
        <v>127</v>
      </c>
      <c r="BK182" s="50" t="s">
        <v>21374</v>
      </c>
      <c r="BL182" s="50" t="s">
        <v>11485</v>
      </c>
      <c r="BM182" s="50" t="s">
        <v>21375</v>
      </c>
      <c r="BN182" s="50" t="s">
        <v>2392</v>
      </c>
      <c r="BO182" s="50" t="s">
        <v>3606</v>
      </c>
      <c r="BP182" s="50" t="s">
        <v>350</v>
      </c>
      <c r="BQ182" s="50" t="s">
        <v>3607</v>
      </c>
      <c r="BR182" s="50" t="s">
        <v>3608</v>
      </c>
      <c r="BS182" s="50" t="s">
        <v>3562</v>
      </c>
      <c r="BU182" s="50" t="s">
        <v>21376</v>
      </c>
      <c r="BV182" s="50" t="s">
        <v>11488</v>
      </c>
      <c r="BW182" s="50" t="s">
        <v>138</v>
      </c>
      <c r="BX182" s="50" t="s">
        <v>11489</v>
      </c>
      <c r="BY182" s="50" t="s">
        <v>11490</v>
      </c>
      <c r="BZ182" s="50" t="s">
        <v>11491</v>
      </c>
      <c r="CA182" s="50" t="s">
        <v>11488</v>
      </c>
      <c r="CB182" s="50" t="s">
        <v>11489</v>
      </c>
      <c r="CC182" s="50" t="s">
        <v>11490</v>
      </c>
      <c r="CD182" s="50" t="s">
        <v>21377</v>
      </c>
      <c r="CE182" s="50" t="s">
        <v>21378</v>
      </c>
      <c r="CF182" s="50" t="s">
        <v>21379</v>
      </c>
      <c r="CG182" s="50" t="s">
        <v>1538</v>
      </c>
      <c r="CH182" s="50" t="s">
        <v>11492</v>
      </c>
      <c r="CJ182" s="50" t="s">
        <v>11493</v>
      </c>
      <c r="CK182" s="50" t="s">
        <v>21380</v>
      </c>
      <c r="CL182" s="50" t="s">
        <v>11483</v>
      </c>
      <c r="CM182" s="50" t="s">
        <v>730</v>
      </c>
      <c r="CN182" s="50" t="s">
        <v>11493</v>
      </c>
      <c r="CO182" s="50" t="s">
        <v>11494</v>
      </c>
      <c r="CP182" s="50" t="s">
        <v>11495</v>
      </c>
      <c r="CQ182" s="50" t="s">
        <v>11492</v>
      </c>
      <c r="CR182" s="50" t="s">
        <v>26046</v>
      </c>
    </row>
    <row r="183" spans="1:96">
      <c r="A183" s="50" t="s">
        <v>149</v>
      </c>
      <c r="B183" s="50">
        <v>5014914</v>
      </c>
      <c r="C183" s="50" t="s">
        <v>2525</v>
      </c>
      <c r="D183" s="50" t="s">
        <v>9369</v>
      </c>
      <c r="E183" s="50" t="str">
        <f>VLOOKUP(B183,aa!B:F,5,0)</f>
        <v>Ei ASSET</v>
      </c>
      <c r="F183" s="50">
        <f>VLOOKUP(B183,aa!B:J,9,0)</f>
        <v>554090</v>
      </c>
      <c r="G183" s="50">
        <f>VLOOKUP(B183,aa!B:L,11,0)</f>
        <v>554090</v>
      </c>
      <c r="H183" s="50">
        <f>VLOOKUP(B183,aa!B:O,14,0)</f>
        <v>0</v>
      </c>
      <c r="I183" s="50">
        <f>VLOOKUP(B183,aa!B:R,17,0)</f>
        <v>0</v>
      </c>
      <c r="K183" s="50" t="s">
        <v>193</v>
      </c>
      <c r="L183" s="50">
        <v>852241</v>
      </c>
      <c r="M183" s="50">
        <v>927017</v>
      </c>
      <c r="N183" s="50">
        <v>436817</v>
      </c>
      <c r="O183" s="50">
        <v>480</v>
      </c>
      <c r="P183" s="50" t="s">
        <v>1798</v>
      </c>
      <c r="Q183" s="50">
        <v>0</v>
      </c>
      <c r="R183" s="50">
        <v>0</v>
      </c>
      <c r="T183" s="50">
        <v>415424</v>
      </c>
      <c r="U183" s="50">
        <v>185</v>
      </c>
      <c r="V183" s="50" t="s">
        <v>18653</v>
      </c>
      <c r="W183" s="50" t="s">
        <v>102</v>
      </c>
      <c r="X183" s="50" t="s">
        <v>679</v>
      </c>
      <c r="Y183" s="50" t="s">
        <v>155</v>
      </c>
      <c r="Z183" s="50" t="s">
        <v>126</v>
      </c>
      <c r="AA183" s="50" t="s">
        <v>18654</v>
      </c>
      <c r="AB183" s="50" t="s">
        <v>18655</v>
      </c>
      <c r="AC183" s="50" t="s">
        <v>12571</v>
      </c>
      <c r="AD183" s="50" t="s">
        <v>18655</v>
      </c>
      <c r="AE183" s="50" t="s">
        <v>18656</v>
      </c>
      <c r="AF183" s="50" t="s">
        <v>18655</v>
      </c>
      <c r="AG183" s="50" t="s">
        <v>18657</v>
      </c>
      <c r="AH183" s="50" t="s">
        <v>18655</v>
      </c>
      <c r="AI183" s="50" t="s">
        <v>18658</v>
      </c>
      <c r="AJ183" s="50" t="s">
        <v>18659</v>
      </c>
      <c r="AK183" s="50" t="s">
        <v>18660</v>
      </c>
      <c r="AL183" s="50" t="s">
        <v>18661</v>
      </c>
      <c r="AM183" s="50" t="s">
        <v>18662</v>
      </c>
      <c r="AN183" s="50" t="s">
        <v>18663</v>
      </c>
      <c r="AO183" s="50" t="s">
        <v>18664</v>
      </c>
      <c r="AP183" s="50" t="s">
        <v>18665</v>
      </c>
      <c r="AQ183" s="50" t="s">
        <v>343</v>
      </c>
      <c r="AT183" s="50" t="s">
        <v>169</v>
      </c>
      <c r="AU183" s="50" t="s">
        <v>247</v>
      </c>
      <c r="AV183" s="50" t="s">
        <v>250</v>
      </c>
      <c r="AW183" s="50" t="s">
        <v>102</v>
      </c>
      <c r="AX183" s="50" t="s">
        <v>119</v>
      </c>
      <c r="BA183" s="50" t="s">
        <v>250</v>
      </c>
      <c r="BB183" s="50" t="s">
        <v>120</v>
      </c>
      <c r="BC183" s="50" t="s">
        <v>5071</v>
      </c>
      <c r="BD183" s="50" t="s">
        <v>730</v>
      </c>
      <c r="BE183" s="50" t="s">
        <v>622</v>
      </c>
      <c r="BF183" s="50" t="s">
        <v>730</v>
      </c>
      <c r="BG183" s="50" t="s">
        <v>124</v>
      </c>
      <c r="BH183" s="50" t="s">
        <v>18666</v>
      </c>
      <c r="BI183" s="50" t="s">
        <v>18667</v>
      </c>
      <c r="BJ183" s="50" t="s">
        <v>127</v>
      </c>
      <c r="BK183" s="50" t="s">
        <v>18668</v>
      </c>
      <c r="BL183" s="50" t="s">
        <v>9377</v>
      </c>
      <c r="BM183" s="50" t="s">
        <v>18669</v>
      </c>
      <c r="BN183" s="50" t="s">
        <v>18652</v>
      </c>
      <c r="BO183" s="50" t="s">
        <v>3606</v>
      </c>
      <c r="BP183" s="50" t="s">
        <v>350</v>
      </c>
      <c r="BQ183" s="50" t="s">
        <v>3607</v>
      </c>
      <c r="BR183" s="50" t="s">
        <v>3608</v>
      </c>
      <c r="BS183" s="50" t="s">
        <v>2525</v>
      </c>
      <c r="BU183" s="50" t="s">
        <v>18670</v>
      </c>
      <c r="BV183" s="50" t="s">
        <v>9380</v>
      </c>
      <c r="BW183" s="50" t="s">
        <v>598</v>
      </c>
      <c r="BX183" s="50" t="s">
        <v>9381</v>
      </c>
      <c r="BY183" s="50" t="s">
        <v>9382</v>
      </c>
      <c r="BZ183" s="50" t="s">
        <v>9383</v>
      </c>
      <c r="CA183" s="50" t="s">
        <v>9380</v>
      </c>
      <c r="CB183" s="50" t="s">
        <v>9381</v>
      </c>
      <c r="CC183" s="50" t="s">
        <v>9382</v>
      </c>
      <c r="CD183" s="50" t="s">
        <v>9380</v>
      </c>
      <c r="CE183" s="50" t="s">
        <v>9381</v>
      </c>
      <c r="CF183" s="50" t="s">
        <v>9382</v>
      </c>
      <c r="CG183" s="50" t="s">
        <v>102</v>
      </c>
      <c r="CH183" s="50" t="s">
        <v>9384</v>
      </c>
      <c r="CJ183" s="50" t="s">
        <v>9385</v>
      </c>
      <c r="CL183" s="50" t="s">
        <v>5071</v>
      </c>
      <c r="CM183" s="50" t="s">
        <v>730</v>
      </c>
      <c r="CN183" s="50" t="s">
        <v>9385</v>
      </c>
      <c r="CO183" s="50" t="s">
        <v>9386</v>
      </c>
      <c r="CP183" s="50" t="s">
        <v>9384</v>
      </c>
      <c r="CQ183" s="50" t="s">
        <v>9384</v>
      </c>
    </row>
    <row r="184" spans="1:96">
      <c r="A184" s="50" t="s">
        <v>149</v>
      </c>
      <c r="B184" s="50">
        <v>2385289</v>
      </c>
      <c r="C184" s="50" t="s">
        <v>384</v>
      </c>
      <c r="D184" s="50" t="s">
        <v>3131</v>
      </c>
      <c r="E184" s="50" t="str">
        <f>VLOOKUP(B184,aa!B:F,5,0)</f>
        <v>Ei Mindspark</v>
      </c>
      <c r="F184" s="50">
        <f>VLOOKUP(B184,aa!B:J,9,0)</f>
        <v>1208556</v>
      </c>
      <c r="G184" s="50">
        <f>VLOOKUP(B184,aa!B:L,11,0)</f>
        <v>0</v>
      </c>
      <c r="H184" s="50">
        <f>VLOOKUP(B184,aa!B:O,14,0)</f>
        <v>0</v>
      </c>
      <c r="I184" s="50">
        <f>VLOOKUP(B184,aa!B:R,17,0)</f>
        <v>1208556</v>
      </c>
      <c r="K184" s="50" t="s">
        <v>848</v>
      </c>
      <c r="L184" s="50">
        <v>1235653</v>
      </c>
      <c r="M184" s="50">
        <v>1458071</v>
      </c>
      <c r="N184" s="50">
        <v>0</v>
      </c>
      <c r="O184" s="50">
        <v>0</v>
      </c>
      <c r="Q184" s="50">
        <v>0</v>
      </c>
      <c r="R184" s="50">
        <v>0</v>
      </c>
      <c r="T184" s="50">
        <v>1235653</v>
      </c>
      <c r="U184" s="50">
        <v>634</v>
      </c>
      <c r="V184" s="50" t="s">
        <v>13830</v>
      </c>
      <c r="W184" s="50" t="s">
        <v>102</v>
      </c>
      <c r="X184" s="50" t="s">
        <v>103</v>
      </c>
      <c r="Y184" s="50" t="s">
        <v>155</v>
      </c>
      <c r="AA184" s="50" t="s">
        <v>6341</v>
      </c>
      <c r="AB184" s="50" t="s">
        <v>13831</v>
      </c>
      <c r="AC184" s="50" t="s">
        <v>13832</v>
      </c>
      <c r="AD184" s="50" t="s">
        <v>13831</v>
      </c>
      <c r="AE184" s="50" t="s">
        <v>13833</v>
      </c>
      <c r="AF184" s="50" t="s">
        <v>13831</v>
      </c>
      <c r="AG184" s="50" t="s">
        <v>11886</v>
      </c>
      <c r="AH184" s="50" t="s">
        <v>13831</v>
      </c>
      <c r="AI184" s="50" t="s">
        <v>13834</v>
      </c>
      <c r="AJ184" s="50" t="s">
        <v>1097</v>
      </c>
      <c r="AK184" s="50" t="s">
        <v>13245</v>
      </c>
      <c r="AL184" s="50" t="s">
        <v>13835</v>
      </c>
      <c r="AM184" s="50" t="s">
        <v>13836</v>
      </c>
      <c r="AN184" s="50" t="s">
        <v>13837</v>
      </c>
      <c r="AO184" s="50" t="s">
        <v>13838</v>
      </c>
      <c r="AP184" s="50" t="s">
        <v>13838</v>
      </c>
      <c r="AU184" s="50" t="s">
        <v>102</v>
      </c>
      <c r="AW184" s="50" t="s">
        <v>102</v>
      </c>
      <c r="AX184" s="50" t="s">
        <v>119</v>
      </c>
      <c r="BA184" s="50" t="s">
        <v>250</v>
      </c>
      <c r="BB184" s="50" t="s">
        <v>171</v>
      </c>
      <c r="BC184" s="50" t="s">
        <v>375</v>
      </c>
      <c r="BD184" s="50" t="s">
        <v>376</v>
      </c>
      <c r="BE184" s="50" t="s">
        <v>174</v>
      </c>
      <c r="BF184" s="50" t="s">
        <v>376</v>
      </c>
      <c r="BG184" s="50" t="s">
        <v>124</v>
      </c>
      <c r="BH184" s="50" t="s">
        <v>12023</v>
      </c>
      <c r="BI184" s="50" t="s">
        <v>11889</v>
      </c>
      <c r="BJ184" s="50" t="s">
        <v>127</v>
      </c>
      <c r="BK184" s="50" t="s">
        <v>13839</v>
      </c>
      <c r="BL184" s="50" t="s">
        <v>3142</v>
      </c>
      <c r="BM184" s="50" t="s">
        <v>13840</v>
      </c>
      <c r="BN184" s="50" t="s">
        <v>1202</v>
      </c>
      <c r="BO184" s="50" t="s">
        <v>1917</v>
      </c>
      <c r="BP184" s="50" t="s">
        <v>350</v>
      </c>
      <c r="BQ184" s="50" t="s">
        <v>1918</v>
      </c>
      <c r="BR184" s="50" t="s">
        <v>1919</v>
      </c>
      <c r="BS184" s="50" t="s">
        <v>183</v>
      </c>
      <c r="BU184" s="50" t="s">
        <v>13841</v>
      </c>
      <c r="BV184" s="50" t="s">
        <v>3145</v>
      </c>
      <c r="BW184" s="50" t="s">
        <v>138</v>
      </c>
      <c r="BX184" s="50" t="s">
        <v>3146</v>
      </c>
      <c r="BY184" s="50" t="s">
        <v>3147</v>
      </c>
      <c r="BZ184" s="50" t="s">
        <v>3146</v>
      </c>
      <c r="CA184" s="50" t="s">
        <v>3145</v>
      </c>
      <c r="CB184" s="50" t="s">
        <v>3146</v>
      </c>
      <c r="CC184" s="50" t="s">
        <v>3147</v>
      </c>
      <c r="CD184" s="50" t="s">
        <v>13842</v>
      </c>
      <c r="CE184" s="50" t="s">
        <v>13843</v>
      </c>
      <c r="CF184" s="50" t="s">
        <v>13844</v>
      </c>
      <c r="CG184" s="50" t="s">
        <v>102</v>
      </c>
      <c r="CH184" s="50" t="s">
        <v>3131</v>
      </c>
      <c r="CJ184" s="50" t="s">
        <v>3152</v>
      </c>
      <c r="CL184" s="50" t="s">
        <v>375</v>
      </c>
      <c r="CM184" s="50" t="s">
        <v>376</v>
      </c>
      <c r="CN184" s="50" t="s">
        <v>3152</v>
      </c>
      <c r="CO184" s="50" t="s">
        <v>3153</v>
      </c>
      <c r="CP184" s="50" t="s">
        <v>3151</v>
      </c>
      <c r="CQ184" s="50" t="s">
        <v>3151</v>
      </c>
    </row>
    <row r="185" spans="1:96">
      <c r="A185" s="50" t="s">
        <v>149</v>
      </c>
      <c r="B185" s="50">
        <v>3443832</v>
      </c>
      <c r="C185" s="50" t="s">
        <v>12491</v>
      </c>
      <c r="D185" s="50" t="s">
        <v>6075</v>
      </c>
      <c r="E185" s="50" t="e">
        <f>VLOOKUP(B185,aa!B:F,5,0)</f>
        <v>#N/A</v>
      </c>
      <c r="F185" s="50" t="e">
        <f>VLOOKUP(B185,aa!B:J,9,0)</f>
        <v>#N/A</v>
      </c>
      <c r="G185" s="50" t="e">
        <f>VLOOKUP(B185,aa!B:L,11,0)</f>
        <v>#N/A</v>
      </c>
      <c r="H185" s="50" t="e">
        <f>VLOOKUP(B185,aa!B:O,14,0)</f>
        <v>#N/A</v>
      </c>
      <c r="I185" s="50" t="e">
        <f>VLOOKUP(B185,aa!B:R,17,0)</f>
        <v>#N/A</v>
      </c>
      <c r="K185" s="50" t="s">
        <v>848</v>
      </c>
      <c r="L185" s="50">
        <v>1661233</v>
      </c>
      <c r="M185" s="50">
        <v>1960255</v>
      </c>
      <c r="N185" s="50">
        <v>0</v>
      </c>
      <c r="O185" s="50">
        <v>0</v>
      </c>
      <c r="Q185" s="50">
        <v>0</v>
      </c>
      <c r="R185" s="50">
        <v>0</v>
      </c>
      <c r="T185" s="50">
        <v>1661233</v>
      </c>
      <c r="U185" s="50">
        <v>784</v>
      </c>
      <c r="V185" s="50" t="s">
        <v>2166</v>
      </c>
      <c r="W185" s="50" t="s">
        <v>102</v>
      </c>
      <c r="X185" s="50" t="s">
        <v>103</v>
      </c>
      <c r="Y185" s="50" t="s">
        <v>155</v>
      </c>
      <c r="AA185" s="50" t="s">
        <v>1941</v>
      </c>
      <c r="AB185" s="50" t="s">
        <v>16027</v>
      </c>
      <c r="AC185" s="50" t="s">
        <v>12082</v>
      </c>
      <c r="AD185" s="50" t="s">
        <v>16027</v>
      </c>
      <c r="AE185" s="50" t="s">
        <v>12327</v>
      </c>
      <c r="AF185" s="50" t="s">
        <v>16027</v>
      </c>
      <c r="AG185" s="50" t="s">
        <v>14024</v>
      </c>
      <c r="AH185" s="50" t="s">
        <v>16027</v>
      </c>
      <c r="AI185" s="50" t="s">
        <v>16028</v>
      </c>
      <c r="AJ185" s="50" t="s">
        <v>15939</v>
      </c>
      <c r="AK185" s="50" t="s">
        <v>14080</v>
      </c>
      <c r="AL185" s="50" t="s">
        <v>16029</v>
      </c>
      <c r="AM185" s="50" t="s">
        <v>16030</v>
      </c>
      <c r="AN185" s="50" t="s">
        <v>16031</v>
      </c>
      <c r="AO185" s="50" t="s">
        <v>6083</v>
      </c>
      <c r="AP185" s="50" t="s">
        <v>6083</v>
      </c>
      <c r="AU185" s="50" t="s">
        <v>102</v>
      </c>
      <c r="AW185" s="50" t="s">
        <v>102</v>
      </c>
      <c r="AX185" s="50" t="s">
        <v>119</v>
      </c>
      <c r="BA185" s="50" t="s">
        <v>250</v>
      </c>
      <c r="BB185" s="50" t="s">
        <v>120</v>
      </c>
      <c r="BC185" s="50" t="s">
        <v>3854</v>
      </c>
      <c r="BD185" s="50" t="s">
        <v>449</v>
      </c>
      <c r="BE185" s="50" t="s">
        <v>122</v>
      </c>
      <c r="BF185" s="50" t="s">
        <v>450</v>
      </c>
      <c r="BG185" s="50" t="s">
        <v>124</v>
      </c>
      <c r="BH185" s="50" t="s">
        <v>12023</v>
      </c>
      <c r="BI185" s="50" t="s">
        <v>11889</v>
      </c>
      <c r="BJ185" s="50" t="s">
        <v>127</v>
      </c>
      <c r="BK185" s="50" t="s">
        <v>16032</v>
      </c>
      <c r="BL185" s="50" t="s">
        <v>6085</v>
      </c>
      <c r="BM185" s="50" t="s">
        <v>16033</v>
      </c>
      <c r="BN185" s="50" t="s">
        <v>1202</v>
      </c>
      <c r="BO185" s="50" t="s">
        <v>8788</v>
      </c>
      <c r="BP185" s="50" t="s">
        <v>350</v>
      </c>
      <c r="BQ185" s="50" t="s">
        <v>8789</v>
      </c>
      <c r="BR185" s="50" t="s">
        <v>8790</v>
      </c>
      <c r="BS185" s="50" t="s">
        <v>1006</v>
      </c>
      <c r="BU185" s="50" t="s">
        <v>16034</v>
      </c>
      <c r="BV185" s="50" t="s">
        <v>16035</v>
      </c>
      <c r="BW185" s="50" t="s">
        <v>138</v>
      </c>
      <c r="BX185" s="50" t="s">
        <v>6089</v>
      </c>
      <c r="BY185" s="50" t="s">
        <v>6090</v>
      </c>
      <c r="BZ185" s="50" t="s">
        <v>6091</v>
      </c>
      <c r="CA185" s="50" t="s">
        <v>16035</v>
      </c>
      <c r="CB185" s="50" t="s">
        <v>6089</v>
      </c>
      <c r="CC185" s="50" t="s">
        <v>6090</v>
      </c>
      <c r="CD185" s="50" t="s">
        <v>16035</v>
      </c>
      <c r="CE185" s="50" t="s">
        <v>6089</v>
      </c>
      <c r="CF185" s="50" t="s">
        <v>6090</v>
      </c>
      <c r="CG185" s="50" t="s">
        <v>5768</v>
      </c>
      <c r="CH185" s="50" t="s">
        <v>6095</v>
      </c>
      <c r="CJ185" s="50" t="s">
        <v>6096</v>
      </c>
      <c r="CK185" s="50" t="s">
        <v>6095</v>
      </c>
      <c r="CL185" s="50" t="s">
        <v>3854</v>
      </c>
      <c r="CM185" s="50" t="s">
        <v>449</v>
      </c>
      <c r="CN185" s="50" t="s">
        <v>6096</v>
      </c>
      <c r="CO185" s="50" t="s">
        <v>6097</v>
      </c>
      <c r="CP185" s="50" t="s">
        <v>6095</v>
      </c>
      <c r="CQ185" s="50" t="s">
        <v>6095</v>
      </c>
    </row>
    <row r="186" spans="1:96">
      <c r="A186" s="50" t="s">
        <v>149</v>
      </c>
      <c r="B186" s="50">
        <v>3990168</v>
      </c>
      <c r="C186" s="50" t="s">
        <v>384</v>
      </c>
      <c r="D186" s="50" t="s">
        <v>8073</v>
      </c>
      <c r="E186" s="50" t="e">
        <f>VLOOKUP(B186,aa!B:F,5,0)</f>
        <v>#N/A</v>
      </c>
      <c r="F186" s="50" t="e">
        <f>VLOOKUP(B186,aa!B:J,9,0)</f>
        <v>#N/A</v>
      </c>
      <c r="G186" s="50" t="e">
        <f>VLOOKUP(B186,aa!B:L,11,0)</f>
        <v>#N/A</v>
      </c>
      <c r="H186" s="50" t="e">
        <f>VLOOKUP(B186,aa!B:O,14,0)</f>
        <v>#N/A</v>
      </c>
      <c r="I186" s="50" t="e">
        <f>VLOOKUP(B186,aa!B:R,17,0)</f>
        <v>#N/A</v>
      </c>
      <c r="K186" s="50" t="s">
        <v>675</v>
      </c>
      <c r="L186" s="50">
        <v>1365745</v>
      </c>
      <c r="M186" s="50">
        <v>1365745</v>
      </c>
      <c r="N186" s="50">
        <v>71760</v>
      </c>
      <c r="O186" s="50">
        <v>104</v>
      </c>
      <c r="P186" s="50" t="s">
        <v>17475</v>
      </c>
      <c r="Q186" s="50">
        <v>1293985</v>
      </c>
      <c r="R186" s="50">
        <v>768</v>
      </c>
      <c r="S186" s="50" t="s">
        <v>17476</v>
      </c>
      <c r="T186" s="50">
        <v>0</v>
      </c>
      <c r="U186" s="50">
        <v>0</v>
      </c>
      <c r="W186" s="50" t="s">
        <v>102</v>
      </c>
      <c r="X186" s="50" t="s">
        <v>103</v>
      </c>
      <c r="Y186" s="50" t="s">
        <v>938</v>
      </c>
      <c r="AA186" s="50" t="s">
        <v>17477</v>
      </c>
      <c r="AB186" s="50" t="s">
        <v>17478</v>
      </c>
      <c r="AC186" s="50" t="s">
        <v>17479</v>
      </c>
      <c r="AD186" s="50" t="s">
        <v>17480</v>
      </c>
      <c r="AE186" s="50" t="s">
        <v>17481</v>
      </c>
      <c r="AF186" s="50" t="s">
        <v>17480</v>
      </c>
      <c r="AG186" s="50" t="s">
        <v>17482</v>
      </c>
      <c r="AH186" s="50" t="s">
        <v>17483</v>
      </c>
      <c r="AI186" s="50" t="s">
        <v>17484</v>
      </c>
      <c r="AJ186" s="50" t="s">
        <v>1408</v>
      </c>
      <c r="AK186" s="50" t="s">
        <v>16162</v>
      </c>
      <c r="AL186" s="50" t="s">
        <v>17485</v>
      </c>
      <c r="AM186" s="50" t="s">
        <v>17486</v>
      </c>
      <c r="AN186" s="50" t="s">
        <v>17487</v>
      </c>
      <c r="AO186" s="50" t="s">
        <v>17488</v>
      </c>
      <c r="AP186" s="50" t="s">
        <v>17488</v>
      </c>
      <c r="AU186" s="50" t="s">
        <v>247</v>
      </c>
      <c r="AV186" s="50" t="s">
        <v>118</v>
      </c>
      <c r="AW186" s="50" t="s">
        <v>951</v>
      </c>
      <c r="AX186" s="50" t="s">
        <v>119</v>
      </c>
      <c r="AY186" s="50" t="s">
        <v>170</v>
      </c>
      <c r="AZ186" s="50" t="s">
        <v>118</v>
      </c>
      <c r="BB186" s="50" t="s">
        <v>1964</v>
      </c>
      <c r="BC186" s="50" t="s">
        <v>8090</v>
      </c>
      <c r="BD186" s="50" t="s">
        <v>376</v>
      </c>
      <c r="BE186" s="50" t="s">
        <v>174</v>
      </c>
      <c r="BF186" s="50" t="s">
        <v>376</v>
      </c>
      <c r="BG186" s="50" t="s">
        <v>124</v>
      </c>
      <c r="BH186" s="50" t="s">
        <v>17489</v>
      </c>
      <c r="BI186" s="50" t="s">
        <v>11889</v>
      </c>
      <c r="BJ186" s="50" t="s">
        <v>127</v>
      </c>
      <c r="BK186" s="50" t="s">
        <v>17490</v>
      </c>
      <c r="BL186" s="50" t="s">
        <v>8093</v>
      </c>
      <c r="BM186" s="50" t="s">
        <v>17491</v>
      </c>
      <c r="BN186" s="50" t="s">
        <v>1202</v>
      </c>
      <c r="BO186" s="50" t="s">
        <v>1917</v>
      </c>
      <c r="BP186" s="50" t="s">
        <v>180</v>
      </c>
      <c r="BQ186" s="50" t="s">
        <v>1918</v>
      </c>
      <c r="BR186" s="50" t="s">
        <v>1919</v>
      </c>
      <c r="BS186" s="50" t="s">
        <v>1858</v>
      </c>
      <c r="BU186" s="50" t="s">
        <v>17492</v>
      </c>
      <c r="BV186" s="50" t="s">
        <v>17493</v>
      </c>
      <c r="BW186" s="50" t="s">
        <v>138</v>
      </c>
      <c r="BX186" s="50" t="s">
        <v>8097</v>
      </c>
      <c r="BY186" s="50" t="s">
        <v>8098</v>
      </c>
      <c r="CA186" s="50" t="s">
        <v>17493</v>
      </c>
      <c r="CB186" s="50" t="s">
        <v>8097</v>
      </c>
      <c r="CC186" s="50" t="s">
        <v>8098</v>
      </c>
      <c r="CD186" s="50" t="s">
        <v>17493</v>
      </c>
      <c r="CE186" s="50" t="s">
        <v>8097</v>
      </c>
      <c r="CF186" s="50" t="s">
        <v>8098</v>
      </c>
      <c r="CG186" s="50" t="s">
        <v>102</v>
      </c>
      <c r="CH186" s="50" t="s">
        <v>8073</v>
      </c>
      <c r="CJ186" s="50" t="s">
        <v>8102</v>
      </c>
      <c r="CL186" s="50" t="s">
        <v>8090</v>
      </c>
      <c r="CM186" s="50" t="s">
        <v>376</v>
      </c>
      <c r="CN186" s="50" t="s">
        <v>8102</v>
      </c>
      <c r="CO186" s="50" t="s">
        <v>8103</v>
      </c>
      <c r="CP186" s="50" t="s">
        <v>8101</v>
      </c>
      <c r="CQ186" s="50" t="s">
        <v>8101</v>
      </c>
      <c r="CR186" s="50" t="s">
        <v>26046</v>
      </c>
    </row>
    <row r="187" spans="1:96">
      <c r="A187" s="50" t="s">
        <v>149</v>
      </c>
      <c r="B187" s="50">
        <v>5017199</v>
      </c>
      <c r="C187" s="50" t="s">
        <v>384</v>
      </c>
      <c r="D187" s="50" t="s">
        <v>9862</v>
      </c>
      <c r="E187" s="50" t="e">
        <f>VLOOKUP(B187,aa!B:F,5,0)</f>
        <v>#N/A</v>
      </c>
      <c r="F187" s="50" t="e">
        <f>VLOOKUP(B187,aa!B:J,9,0)</f>
        <v>#N/A</v>
      </c>
      <c r="G187" s="50" t="e">
        <f>VLOOKUP(B187,aa!B:L,11,0)</f>
        <v>#N/A</v>
      </c>
      <c r="H187" s="50" t="e">
        <f>VLOOKUP(B187,aa!B:O,14,0)</f>
        <v>#N/A</v>
      </c>
      <c r="I187" s="50" t="e">
        <f>VLOOKUP(B187,aa!B:R,17,0)</f>
        <v>#N/A</v>
      </c>
      <c r="K187" s="50" t="s">
        <v>152</v>
      </c>
      <c r="L187" s="50">
        <v>695965</v>
      </c>
      <c r="M187" s="50">
        <v>695965</v>
      </c>
      <c r="N187" s="50">
        <v>0</v>
      </c>
      <c r="O187" s="50">
        <v>0</v>
      </c>
      <c r="Q187" s="50">
        <v>695965</v>
      </c>
      <c r="R187" s="50">
        <v>348</v>
      </c>
      <c r="S187" s="50" t="s">
        <v>7192</v>
      </c>
      <c r="T187" s="50">
        <v>0</v>
      </c>
      <c r="U187" s="50">
        <v>0</v>
      </c>
      <c r="W187" s="50" t="s">
        <v>102</v>
      </c>
      <c r="X187" s="50" t="s">
        <v>103</v>
      </c>
      <c r="Y187" s="50" t="s">
        <v>155</v>
      </c>
      <c r="AA187" s="50" t="s">
        <v>6341</v>
      </c>
      <c r="AB187" s="50" t="s">
        <v>19001</v>
      </c>
      <c r="AC187" s="50" t="s">
        <v>11976</v>
      </c>
      <c r="AD187" s="50" t="s">
        <v>19001</v>
      </c>
      <c r="AE187" s="50" t="s">
        <v>11888</v>
      </c>
      <c r="AF187" s="50" t="s">
        <v>19001</v>
      </c>
      <c r="AG187" s="50" t="s">
        <v>11886</v>
      </c>
      <c r="AH187" s="50" t="s">
        <v>19001</v>
      </c>
      <c r="AI187" s="50" t="s">
        <v>102</v>
      </c>
      <c r="AJ187" s="50" t="s">
        <v>8258</v>
      </c>
      <c r="AK187" s="50" t="s">
        <v>15733</v>
      </c>
      <c r="AL187" s="50" t="s">
        <v>19002</v>
      </c>
      <c r="AM187" s="50" t="s">
        <v>19003</v>
      </c>
      <c r="AN187" s="50" t="s">
        <v>19004</v>
      </c>
      <c r="AO187" s="50" t="s">
        <v>16091</v>
      </c>
      <c r="AP187" s="50" t="s">
        <v>16091</v>
      </c>
      <c r="AU187" s="50" t="s">
        <v>102</v>
      </c>
      <c r="AW187" s="50" t="s">
        <v>155</v>
      </c>
      <c r="AX187" s="50" t="s">
        <v>119</v>
      </c>
      <c r="AY187" s="50" t="s">
        <v>170</v>
      </c>
      <c r="AZ187" s="50" t="s">
        <v>118</v>
      </c>
      <c r="BB187" s="50" t="s">
        <v>120</v>
      </c>
      <c r="BC187" s="50" t="s">
        <v>1170</v>
      </c>
      <c r="BD187" s="50" t="s">
        <v>1171</v>
      </c>
      <c r="BE187" s="50" t="s">
        <v>174</v>
      </c>
      <c r="BF187" s="50" t="s">
        <v>1172</v>
      </c>
      <c r="BG187" s="50" t="s">
        <v>124</v>
      </c>
      <c r="BH187" s="50" t="s">
        <v>12023</v>
      </c>
      <c r="BI187" s="50" t="s">
        <v>11889</v>
      </c>
      <c r="BJ187" s="50" t="s">
        <v>127</v>
      </c>
      <c r="BK187" s="50" t="s">
        <v>19005</v>
      </c>
      <c r="BL187" s="50" t="s">
        <v>9872</v>
      </c>
      <c r="BM187" s="50" t="s">
        <v>19006</v>
      </c>
      <c r="BN187" s="50" t="s">
        <v>1202</v>
      </c>
      <c r="BO187" s="50" t="s">
        <v>1917</v>
      </c>
      <c r="BP187" s="50" t="s">
        <v>180</v>
      </c>
      <c r="BQ187" s="50" t="s">
        <v>1918</v>
      </c>
      <c r="BR187" s="50" t="s">
        <v>1919</v>
      </c>
      <c r="BS187" s="50" t="s">
        <v>5560</v>
      </c>
      <c r="BU187" s="50" t="s">
        <v>19007</v>
      </c>
      <c r="BV187" s="50" t="s">
        <v>9875</v>
      </c>
      <c r="BW187" s="50" t="s">
        <v>138</v>
      </c>
      <c r="BX187" s="50" t="s">
        <v>9876</v>
      </c>
      <c r="BY187" s="50" t="s">
        <v>9877</v>
      </c>
      <c r="BZ187" s="50" t="s">
        <v>9878</v>
      </c>
      <c r="CA187" s="50" t="s">
        <v>9875</v>
      </c>
      <c r="CB187" s="50" t="s">
        <v>9876</v>
      </c>
      <c r="CC187" s="50" t="s">
        <v>9877</v>
      </c>
      <c r="CD187" s="50" t="s">
        <v>9875</v>
      </c>
      <c r="CE187" s="50" t="s">
        <v>9876</v>
      </c>
      <c r="CF187" s="50" t="s">
        <v>9877</v>
      </c>
      <c r="CG187" s="50" t="s">
        <v>9880</v>
      </c>
      <c r="CH187" s="50" t="s">
        <v>9862</v>
      </c>
      <c r="CJ187" s="50" t="s">
        <v>9882</v>
      </c>
      <c r="CK187" s="50" t="s">
        <v>9881</v>
      </c>
      <c r="CL187" s="50" t="s">
        <v>1170</v>
      </c>
      <c r="CM187" s="50" t="s">
        <v>1171</v>
      </c>
      <c r="CN187" s="50" t="s">
        <v>9882</v>
      </c>
      <c r="CP187" s="50" t="s">
        <v>9881</v>
      </c>
      <c r="CQ187" s="50" t="s">
        <v>9881</v>
      </c>
      <c r="CR187" s="50" t="s">
        <v>26047</v>
      </c>
    </row>
    <row r="188" spans="1:96">
      <c r="A188" s="50" t="s">
        <v>93</v>
      </c>
      <c r="B188" s="50">
        <v>2503335</v>
      </c>
      <c r="C188" s="50" t="s">
        <v>12423</v>
      </c>
      <c r="D188" s="50" t="s">
        <v>3788</v>
      </c>
      <c r="E188" s="50" t="e">
        <f>VLOOKUP(B188,aa!B:F,5,0)</f>
        <v>#N/A</v>
      </c>
      <c r="F188" s="50" t="e">
        <f>VLOOKUP(B188,aa!B:J,9,0)</f>
        <v>#N/A</v>
      </c>
      <c r="G188" s="50" t="e">
        <f>VLOOKUP(B188,aa!B:L,11,0)</f>
        <v>#N/A</v>
      </c>
      <c r="H188" s="50" t="e">
        <f>VLOOKUP(B188,aa!B:O,14,0)</f>
        <v>#N/A</v>
      </c>
      <c r="I188" s="50" t="e">
        <f>VLOOKUP(B188,aa!B:R,17,0)</f>
        <v>#N/A</v>
      </c>
      <c r="K188" s="50" t="s">
        <v>848</v>
      </c>
      <c r="L188" s="50">
        <v>355960</v>
      </c>
      <c r="M188" s="50">
        <v>420033</v>
      </c>
      <c r="N188" s="50">
        <v>0</v>
      </c>
      <c r="O188" s="50">
        <v>0</v>
      </c>
      <c r="Q188" s="50">
        <v>0</v>
      </c>
      <c r="R188" s="50">
        <v>0</v>
      </c>
      <c r="T188" s="50">
        <v>355960</v>
      </c>
      <c r="U188" s="50">
        <v>150</v>
      </c>
      <c r="V188" s="50" t="s">
        <v>11158</v>
      </c>
      <c r="W188" s="50" t="s">
        <v>102</v>
      </c>
      <c r="X188" s="50" t="s">
        <v>103</v>
      </c>
      <c r="Y188" s="50" t="s">
        <v>155</v>
      </c>
      <c r="AA188" s="50" t="s">
        <v>126</v>
      </c>
      <c r="AB188" s="50" t="s">
        <v>14279</v>
      </c>
      <c r="AC188" s="50" t="s">
        <v>12040</v>
      </c>
      <c r="AD188" s="50" t="s">
        <v>14279</v>
      </c>
      <c r="AE188" s="50" t="s">
        <v>12099</v>
      </c>
      <c r="AF188" s="50" t="s">
        <v>14279</v>
      </c>
      <c r="AG188" s="50" t="s">
        <v>12713</v>
      </c>
      <c r="AH188" s="50" t="s">
        <v>14279</v>
      </c>
      <c r="AI188" s="50" t="s">
        <v>14280</v>
      </c>
      <c r="AJ188" s="50" t="s">
        <v>12425</v>
      </c>
      <c r="AK188" s="50" t="s">
        <v>13034</v>
      </c>
      <c r="AL188" s="50" t="s">
        <v>14281</v>
      </c>
      <c r="AM188" s="50" t="s">
        <v>14282</v>
      </c>
      <c r="AN188" s="50" t="s">
        <v>14283</v>
      </c>
      <c r="AO188" s="50" t="s">
        <v>6116</v>
      </c>
      <c r="AP188" s="50" t="s">
        <v>6116</v>
      </c>
      <c r="AU188" s="50" t="s">
        <v>102</v>
      </c>
      <c r="AW188" s="50" t="s">
        <v>102</v>
      </c>
      <c r="AX188" s="50" t="s">
        <v>119</v>
      </c>
      <c r="BA188" s="50" t="s">
        <v>250</v>
      </c>
      <c r="BB188" s="50" t="s">
        <v>120</v>
      </c>
      <c r="BC188" s="50" t="s">
        <v>3735</v>
      </c>
      <c r="BD188" s="50" t="s">
        <v>410</v>
      </c>
      <c r="BE188" s="50" t="s">
        <v>212</v>
      </c>
      <c r="BF188" s="50" t="s">
        <v>410</v>
      </c>
      <c r="BG188" s="50" t="s">
        <v>124</v>
      </c>
      <c r="BH188" s="50" t="s">
        <v>12023</v>
      </c>
      <c r="BI188" s="50" t="s">
        <v>11889</v>
      </c>
      <c r="BJ188" s="50" t="s">
        <v>127</v>
      </c>
      <c r="BK188" s="50" t="s">
        <v>14284</v>
      </c>
      <c r="BL188" s="50" t="s">
        <v>3798</v>
      </c>
      <c r="BM188" s="50" t="s">
        <v>14285</v>
      </c>
      <c r="BN188" s="50" t="s">
        <v>3258</v>
      </c>
      <c r="BO188" s="50" t="s">
        <v>896</v>
      </c>
      <c r="BP188" s="50" t="s">
        <v>132</v>
      </c>
      <c r="BQ188" s="50" t="s">
        <v>897</v>
      </c>
      <c r="BR188" s="50" t="s">
        <v>898</v>
      </c>
      <c r="BS188" s="50" t="s">
        <v>899</v>
      </c>
      <c r="BU188" s="50" t="s">
        <v>14286</v>
      </c>
      <c r="BV188" s="50" t="s">
        <v>14287</v>
      </c>
      <c r="BW188" s="50" t="s">
        <v>138</v>
      </c>
      <c r="BX188" s="50" t="s">
        <v>3802</v>
      </c>
      <c r="BY188" s="50" t="s">
        <v>3803</v>
      </c>
      <c r="BZ188" s="50" t="s">
        <v>3804</v>
      </c>
      <c r="CA188" s="50" t="s">
        <v>14288</v>
      </c>
      <c r="CB188" s="50" t="s">
        <v>3802</v>
      </c>
      <c r="CC188" s="50" t="s">
        <v>3803</v>
      </c>
      <c r="CD188" s="50" t="s">
        <v>14288</v>
      </c>
      <c r="CE188" s="50" t="s">
        <v>3802</v>
      </c>
      <c r="CF188" s="50" t="s">
        <v>3803</v>
      </c>
      <c r="CG188" s="50" t="s">
        <v>3805</v>
      </c>
      <c r="CH188" s="50" t="s">
        <v>14289</v>
      </c>
      <c r="CJ188" s="50" t="s">
        <v>3807</v>
      </c>
      <c r="CK188" s="50" t="s">
        <v>14290</v>
      </c>
      <c r="CL188" s="50" t="s">
        <v>3735</v>
      </c>
      <c r="CM188" s="50" t="s">
        <v>410</v>
      </c>
      <c r="CN188" s="50" t="s">
        <v>3807</v>
      </c>
      <c r="CO188" s="50" t="s">
        <v>3808</v>
      </c>
      <c r="CP188" s="50" t="s">
        <v>3806</v>
      </c>
      <c r="CQ188" s="50" t="s">
        <v>3806</v>
      </c>
      <c r="CR188" s="50" t="s">
        <v>26046</v>
      </c>
    </row>
    <row r="189" spans="1:96">
      <c r="A189" s="50" t="s">
        <v>337</v>
      </c>
      <c r="B189" s="50">
        <v>3253126</v>
      </c>
      <c r="C189" s="50" t="s">
        <v>11898</v>
      </c>
      <c r="D189" s="50" t="s">
        <v>15262</v>
      </c>
      <c r="E189" s="50" t="str">
        <f>VLOOKUP(B189,aa!B:F,5,0)</f>
        <v>Ei ASSET</v>
      </c>
      <c r="F189" s="50">
        <f>VLOOKUP(B189,aa!B:J,9,0)</f>
        <v>297000</v>
      </c>
      <c r="G189" s="50">
        <f>VLOOKUP(B189,aa!B:L,11,0)</f>
        <v>297000</v>
      </c>
      <c r="H189" s="50">
        <f>VLOOKUP(B189,aa!B:O,14,0)</f>
        <v>0</v>
      </c>
      <c r="I189" s="50">
        <f>VLOOKUP(B189,aa!B:R,17,0)</f>
        <v>0</v>
      </c>
      <c r="K189" s="50" t="s">
        <v>97</v>
      </c>
      <c r="L189" s="50">
        <v>313200</v>
      </c>
      <c r="M189" s="50">
        <v>313200</v>
      </c>
      <c r="N189" s="50">
        <v>313200</v>
      </c>
      <c r="O189" s="50">
        <v>348</v>
      </c>
      <c r="P189" s="50" t="s">
        <v>2451</v>
      </c>
      <c r="Q189" s="50">
        <v>0</v>
      </c>
      <c r="R189" s="50">
        <v>0</v>
      </c>
      <c r="T189" s="50">
        <v>0</v>
      </c>
      <c r="U189" s="50">
        <v>0</v>
      </c>
      <c r="W189" s="50" t="s">
        <v>102</v>
      </c>
      <c r="X189" s="50" t="s">
        <v>103</v>
      </c>
      <c r="Y189" s="50" t="s">
        <v>104</v>
      </c>
      <c r="AA189" s="50" t="s">
        <v>2950</v>
      </c>
      <c r="AB189" s="50" t="s">
        <v>15263</v>
      </c>
      <c r="AC189" s="50" t="s">
        <v>11976</v>
      </c>
      <c r="AD189" s="50" t="s">
        <v>15264</v>
      </c>
      <c r="AE189" s="50" t="s">
        <v>109</v>
      </c>
      <c r="AF189" s="50" t="s">
        <v>102</v>
      </c>
      <c r="AG189" s="50" t="s">
        <v>109</v>
      </c>
      <c r="AH189" s="50" t="s">
        <v>102</v>
      </c>
      <c r="AI189" s="50" t="s">
        <v>15265</v>
      </c>
      <c r="AJ189" s="50" t="s">
        <v>4045</v>
      </c>
      <c r="AK189" s="50" t="s">
        <v>11952</v>
      </c>
      <c r="AL189" s="50" t="s">
        <v>15266</v>
      </c>
      <c r="AM189" s="50" t="s">
        <v>15267</v>
      </c>
      <c r="AN189" s="50" t="s">
        <v>15268</v>
      </c>
      <c r="AO189" s="50" t="s">
        <v>554</v>
      </c>
      <c r="AP189" s="50" t="s">
        <v>554</v>
      </c>
      <c r="AU189" s="50" t="s">
        <v>318</v>
      </c>
      <c r="AV189" s="50" t="s">
        <v>118</v>
      </c>
      <c r="AW189" s="50" t="s">
        <v>102</v>
      </c>
      <c r="AX189" s="50" t="s">
        <v>119</v>
      </c>
      <c r="BB189" s="50" t="s">
        <v>120</v>
      </c>
      <c r="BC189" s="50" t="s">
        <v>3058</v>
      </c>
      <c r="BD189" s="50" t="s">
        <v>320</v>
      </c>
      <c r="BE189" s="50" t="s">
        <v>122</v>
      </c>
      <c r="BF189" s="50" t="s">
        <v>123</v>
      </c>
      <c r="BG189" s="50" t="s">
        <v>124</v>
      </c>
      <c r="BH189" s="50" t="s">
        <v>12023</v>
      </c>
      <c r="BI189" s="50" t="s">
        <v>11889</v>
      </c>
      <c r="BJ189" s="50" t="s">
        <v>127</v>
      </c>
      <c r="BK189" s="50" t="s">
        <v>15269</v>
      </c>
      <c r="BL189" s="50" t="s">
        <v>15270</v>
      </c>
      <c r="BM189" s="50" t="s">
        <v>15271</v>
      </c>
      <c r="BN189" s="50" t="s">
        <v>3258</v>
      </c>
      <c r="BO189" s="50" t="s">
        <v>131</v>
      </c>
      <c r="BP189" s="50" t="s">
        <v>350</v>
      </c>
      <c r="BQ189" s="50" t="s">
        <v>133</v>
      </c>
      <c r="BR189" s="50" t="s">
        <v>134</v>
      </c>
      <c r="BS189" s="50" t="s">
        <v>455</v>
      </c>
      <c r="BU189" s="50" t="s">
        <v>15272</v>
      </c>
      <c r="BV189" s="50" t="s">
        <v>15273</v>
      </c>
      <c r="BW189" s="50" t="s">
        <v>598</v>
      </c>
      <c r="BX189" s="50" t="s">
        <v>15274</v>
      </c>
      <c r="BY189" s="50" t="s">
        <v>15275</v>
      </c>
      <c r="BZ189" s="50" t="s">
        <v>15276</v>
      </c>
      <c r="CA189" s="50" t="s">
        <v>15277</v>
      </c>
      <c r="CB189" s="50" t="s">
        <v>15276</v>
      </c>
      <c r="CC189" s="50" t="s">
        <v>15278</v>
      </c>
      <c r="CD189" s="50" t="s">
        <v>15279</v>
      </c>
      <c r="CE189" s="50" t="s">
        <v>15280</v>
      </c>
      <c r="CF189" s="50" t="s">
        <v>15281</v>
      </c>
      <c r="CG189" s="50" t="s">
        <v>5650</v>
      </c>
      <c r="CH189" s="50" t="s">
        <v>15282</v>
      </c>
      <c r="CJ189" s="50" t="s">
        <v>15283</v>
      </c>
      <c r="CK189" s="50" t="s">
        <v>15282</v>
      </c>
      <c r="CL189" s="50" t="s">
        <v>3058</v>
      </c>
      <c r="CM189" s="50" t="s">
        <v>320</v>
      </c>
      <c r="CN189" s="50" t="s">
        <v>15283</v>
      </c>
      <c r="CP189" s="50" t="s">
        <v>15284</v>
      </c>
      <c r="CQ189" s="50" t="s">
        <v>15284</v>
      </c>
    </row>
    <row r="190" spans="1:96">
      <c r="A190" s="50" t="s">
        <v>337</v>
      </c>
      <c r="B190" s="50">
        <v>3583679</v>
      </c>
      <c r="C190" s="50" t="s">
        <v>12121</v>
      </c>
      <c r="D190" s="50" t="s">
        <v>16519</v>
      </c>
      <c r="E190" s="50" t="e">
        <f>VLOOKUP(B190,aa!B:F,5,0)</f>
        <v>#N/A</v>
      </c>
      <c r="F190" s="50" t="e">
        <f>VLOOKUP(B190,aa!B:J,9,0)</f>
        <v>#N/A</v>
      </c>
      <c r="G190" s="50" t="e">
        <f>VLOOKUP(B190,aa!B:L,11,0)</f>
        <v>#N/A</v>
      </c>
      <c r="H190" s="50" t="e">
        <f>VLOOKUP(B190,aa!B:O,14,0)</f>
        <v>#N/A</v>
      </c>
      <c r="I190" s="50" t="e">
        <f>VLOOKUP(B190,aa!B:R,17,0)</f>
        <v>#N/A</v>
      </c>
      <c r="K190" s="50" t="s">
        <v>848</v>
      </c>
      <c r="L190" s="50">
        <v>237286</v>
      </c>
      <c r="M190" s="50">
        <v>279997</v>
      </c>
      <c r="N190" s="50">
        <v>0</v>
      </c>
      <c r="O190" s="50">
        <v>0</v>
      </c>
      <c r="Q190" s="50">
        <v>0</v>
      </c>
      <c r="R190" s="50">
        <v>0</v>
      </c>
      <c r="T190" s="50">
        <v>237286</v>
      </c>
      <c r="U190" s="50">
        <v>80</v>
      </c>
      <c r="V190" s="50" t="s">
        <v>16520</v>
      </c>
      <c r="W190" s="50" t="s">
        <v>102</v>
      </c>
      <c r="X190" s="50" t="s">
        <v>103</v>
      </c>
      <c r="Y190" s="50" t="s">
        <v>104</v>
      </c>
      <c r="AA190" s="50" t="s">
        <v>3258</v>
      </c>
      <c r="AB190" s="50" t="s">
        <v>16521</v>
      </c>
      <c r="AC190" s="50" t="s">
        <v>12123</v>
      </c>
      <c r="AD190" s="50" t="s">
        <v>16521</v>
      </c>
      <c r="AE190" s="50" t="s">
        <v>109</v>
      </c>
      <c r="AF190" s="50" t="s">
        <v>102</v>
      </c>
      <c r="AG190" s="50" t="s">
        <v>109</v>
      </c>
      <c r="AH190" s="50" t="s">
        <v>102</v>
      </c>
      <c r="AI190" s="50" t="s">
        <v>102</v>
      </c>
      <c r="AJ190" s="50" t="s">
        <v>12926</v>
      </c>
      <c r="AK190" s="50" t="s">
        <v>13344</v>
      </c>
      <c r="AL190" s="50" t="s">
        <v>16522</v>
      </c>
      <c r="AM190" s="50" t="s">
        <v>16522</v>
      </c>
      <c r="AN190" s="50" t="s">
        <v>102</v>
      </c>
      <c r="AO190" s="50" t="s">
        <v>3645</v>
      </c>
      <c r="AP190" s="50" t="s">
        <v>3645</v>
      </c>
      <c r="AU190" s="50" t="s">
        <v>102</v>
      </c>
      <c r="AW190" s="50" t="s">
        <v>102</v>
      </c>
      <c r="AX190" s="50" t="s">
        <v>119</v>
      </c>
      <c r="BA190" s="50" t="s">
        <v>250</v>
      </c>
      <c r="BB190" s="50" t="s">
        <v>120</v>
      </c>
      <c r="BC190" s="50" t="s">
        <v>555</v>
      </c>
      <c r="BD190" s="50" t="s">
        <v>556</v>
      </c>
      <c r="BE190" s="50" t="s">
        <v>122</v>
      </c>
      <c r="BF190" s="50" t="s">
        <v>557</v>
      </c>
      <c r="BG190" s="50" t="s">
        <v>124</v>
      </c>
      <c r="BH190" s="50" t="s">
        <v>12023</v>
      </c>
      <c r="BI190" s="50" t="s">
        <v>11889</v>
      </c>
      <c r="BJ190" s="50" t="s">
        <v>127</v>
      </c>
      <c r="BK190" s="50" t="s">
        <v>16523</v>
      </c>
      <c r="BL190" s="50" t="s">
        <v>16524</v>
      </c>
      <c r="BM190" s="50" t="s">
        <v>16525</v>
      </c>
      <c r="BN190" s="50" t="s">
        <v>3258</v>
      </c>
      <c r="BO190" s="50" t="s">
        <v>16526</v>
      </c>
      <c r="BP190" s="50" t="s">
        <v>350</v>
      </c>
      <c r="BQ190" s="50" t="s">
        <v>16527</v>
      </c>
      <c r="BR190" s="50" t="s">
        <v>16528</v>
      </c>
      <c r="BS190" s="50" t="s">
        <v>16529</v>
      </c>
      <c r="BU190" s="50" t="s">
        <v>16530</v>
      </c>
      <c r="BV190" s="50" t="s">
        <v>16531</v>
      </c>
      <c r="BW190" s="50" t="s">
        <v>138</v>
      </c>
      <c r="BX190" s="50" t="s">
        <v>16532</v>
      </c>
      <c r="BY190" s="50" t="s">
        <v>16533</v>
      </c>
      <c r="BZ190" s="50" t="s">
        <v>16534</v>
      </c>
      <c r="CA190" s="50" t="s">
        <v>16531</v>
      </c>
      <c r="CB190" s="50" t="s">
        <v>16532</v>
      </c>
      <c r="CC190" s="50" t="s">
        <v>16533</v>
      </c>
      <c r="CD190" s="50" t="s">
        <v>16535</v>
      </c>
      <c r="CE190" s="50" t="s">
        <v>16536</v>
      </c>
      <c r="CF190" s="50" t="s">
        <v>16537</v>
      </c>
      <c r="CG190" s="50" t="s">
        <v>907</v>
      </c>
      <c r="CH190" s="50" t="s">
        <v>16538</v>
      </c>
      <c r="CJ190" s="50" t="s">
        <v>16539</v>
      </c>
      <c r="CK190" s="50" t="s">
        <v>16540</v>
      </c>
      <c r="CL190" s="50" t="s">
        <v>555</v>
      </c>
      <c r="CM190" s="50" t="s">
        <v>556</v>
      </c>
      <c r="CN190" s="50" t="s">
        <v>16539</v>
      </c>
      <c r="CP190" s="50" t="s">
        <v>16541</v>
      </c>
      <c r="CQ190" s="50" t="s">
        <v>16541</v>
      </c>
    </row>
    <row r="191" spans="1:96">
      <c r="A191" s="50" t="s">
        <v>149</v>
      </c>
      <c r="B191" s="50">
        <v>3705528</v>
      </c>
      <c r="C191" s="50" t="s">
        <v>11995</v>
      </c>
      <c r="D191" s="50" t="s">
        <v>7188</v>
      </c>
      <c r="E191" s="50" t="str">
        <f>VLOOKUP(B191,aa!B:F,5,0)</f>
        <v>Ei ASSET,Ei CARES</v>
      </c>
      <c r="F191" s="50">
        <f>VLOOKUP(B191,aa!B:J,9,0)</f>
        <v>1364191</v>
      </c>
      <c r="G191" s="50">
        <f>VLOOKUP(B191,aa!B:L,11,0)</f>
        <v>643558</v>
      </c>
      <c r="H191" s="50">
        <f>VLOOKUP(B191,aa!B:O,14,0)</f>
        <v>720633</v>
      </c>
      <c r="I191" s="50">
        <f>VLOOKUP(B191,aa!B:R,17,0)</f>
        <v>0</v>
      </c>
      <c r="K191" s="50" t="s">
        <v>675</v>
      </c>
      <c r="L191" s="50">
        <v>1151533</v>
      </c>
      <c r="M191" s="50">
        <v>1151533</v>
      </c>
      <c r="N191" s="50">
        <v>407563</v>
      </c>
      <c r="O191" s="50">
        <v>586</v>
      </c>
      <c r="P191" s="50" t="s">
        <v>7191</v>
      </c>
      <c r="Q191" s="50">
        <v>743970</v>
      </c>
      <c r="R191" s="50">
        <v>372</v>
      </c>
      <c r="S191" s="50" t="s">
        <v>7192</v>
      </c>
      <c r="T191" s="50">
        <v>0</v>
      </c>
      <c r="U191" s="50">
        <v>0</v>
      </c>
      <c r="W191" s="50" t="s">
        <v>102</v>
      </c>
      <c r="X191" s="50" t="s">
        <v>103</v>
      </c>
      <c r="Y191" s="50" t="s">
        <v>801</v>
      </c>
      <c r="AA191" s="50" t="s">
        <v>16770</v>
      </c>
      <c r="AB191" s="50" t="s">
        <v>16771</v>
      </c>
      <c r="AC191" s="50" t="s">
        <v>16772</v>
      </c>
      <c r="AD191" s="50" t="s">
        <v>16771</v>
      </c>
      <c r="AE191" s="50" t="s">
        <v>14349</v>
      </c>
      <c r="AF191" s="50" t="s">
        <v>16773</v>
      </c>
      <c r="AG191" s="50" t="s">
        <v>13263</v>
      </c>
      <c r="AH191" s="50" t="s">
        <v>16773</v>
      </c>
      <c r="AI191" s="50" t="s">
        <v>16774</v>
      </c>
      <c r="AJ191" s="50" t="s">
        <v>16775</v>
      </c>
      <c r="AK191" s="50" t="s">
        <v>11952</v>
      </c>
      <c r="AL191" s="50" t="s">
        <v>16776</v>
      </c>
      <c r="AM191" s="50" t="s">
        <v>16777</v>
      </c>
      <c r="AN191" s="50" t="s">
        <v>16778</v>
      </c>
      <c r="AO191" s="50" t="s">
        <v>16779</v>
      </c>
      <c r="AP191" s="50" t="s">
        <v>16779</v>
      </c>
      <c r="AU191" s="50" t="s">
        <v>207</v>
      </c>
      <c r="AV191" s="50" t="s">
        <v>118</v>
      </c>
      <c r="AW191" s="50" t="s">
        <v>655</v>
      </c>
      <c r="AX191" s="50" t="s">
        <v>119</v>
      </c>
      <c r="AY191" s="50" t="s">
        <v>170</v>
      </c>
      <c r="AZ191" s="50" t="s">
        <v>118</v>
      </c>
      <c r="BB191" s="50" t="s">
        <v>120</v>
      </c>
      <c r="BC191" s="50" t="s">
        <v>284</v>
      </c>
      <c r="BD191" s="50" t="s">
        <v>285</v>
      </c>
      <c r="BE191" s="50" t="s">
        <v>212</v>
      </c>
      <c r="BF191" s="50" t="s">
        <v>286</v>
      </c>
      <c r="BG191" s="50" t="s">
        <v>124</v>
      </c>
      <c r="BH191" s="50" t="s">
        <v>12023</v>
      </c>
      <c r="BI191" s="50" t="s">
        <v>16780</v>
      </c>
      <c r="BJ191" s="50" t="s">
        <v>127</v>
      </c>
      <c r="BK191" s="50" t="s">
        <v>16781</v>
      </c>
      <c r="BL191" s="50" t="s">
        <v>7204</v>
      </c>
      <c r="BM191" s="50" t="s">
        <v>16782</v>
      </c>
      <c r="BN191" s="50" t="s">
        <v>3258</v>
      </c>
      <c r="BO191" s="50" t="s">
        <v>290</v>
      </c>
      <c r="BP191" s="50" t="s">
        <v>132</v>
      </c>
      <c r="BQ191" s="50" t="s">
        <v>291</v>
      </c>
      <c r="BR191" s="50" t="s">
        <v>292</v>
      </c>
      <c r="BS191" s="50" t="s">
        <v>293</v>
      </c>
      <c r="BU191" s="50" t="s">
        <v>16783</v>
      </c>
      <c r="BV191" s="50" t="s">
        <v>16784</v>
      </c>
      <c r="BW191" s="50" t="s">
        <v>354</v>
      </c>
      <c r="BX191" s="50" t="s">
        <v>7208</v>
      </c>
      <c r="BY191" s="50" t="s">
        <v>7209</v>
      </c>
      <c r="BZ191" s="50" t="s">
        <v>7210</v>
      </c>
      <c r="CA191" s="50" t="s">
        <v>16785</v>
      </c>
      <c r="CB191" s="50" t="s">
        <v>16786</v>
      </c>
      <c r="CC191" s="50" t="s">
        <v>16787</v>
      </c>
      <c r="CD191" s="50" t="s">
        <v>16788</v>
      </c>
      <c r="CE191" s="50" t="s">
        <v>7212</v>
      </c>
      <c r="CF191" s="50" t="s">
        <v>7213</v>
      </c>
      <c r="CG191" s="50" t="s">
        <v>102</v>
      </c>
      <c r="CH191" s="50" t="s">
        <v>16789</v>
      </c>
      <c r="CJ191" s="50" t="s">
        <v>6729</v>
      </c>
      <c r="CL191" s="50" t="s">
        <v>284</v>
      </c>
      <c r="CM191" s="50" t="s">
        <v>285</v>
      </c>
      <c r="CN191" s="50" t="s">
        <v>6729</v>
      </c>
      <c r="CO191" s="50" t="s">
        <v>7215</v>
      </c>
      <c r="CP191" s="50" t="s">
        <v>7216</v>
      </c>
      <c r="CQ191" s="50" t="s">
        <v>7216</v>
      </c>
    </row>
    <row r="192" spans="1:96">
      <c r="A192" s="50" t="s">
        <v>337</v>
      </c>
      <c r="B192" s="50">
        <v>3989841</v>
      </c>
      <c r="C192" s="50" t="s">
        <v>12155</v>
      </c>
      <c r="D192" s="50" t="s">
        <v>17456</v>
      </c>
      <c r="E192" s="50" t="e">
        <f>VLOOKUP(B192,aa!B:F,5,0)</f>
        <v>#N/A</v>
      </c>
      <c r="F192" s="50" t="e">
        <f>VLOOKUP(B192,aa!B:J,9,0)</f>
        <v>#N/A</v>
      </c>
      <c r="G192" s="50" t="e">
        <f>VLOOKUP(B192,aa!B:L,11,0)</f>
        <v>#N/A</v>
      </c>
      <c r="H192" s="50" t="e">
        <f>VLOOKUP(B192,aa!B:O,14,0)</f>
        <v>#N/A</v>
      </c>
      <c r="I192" s="50" t="e">
        <f>VLOOKUP(B192,aa!B:R,17,0)</f>
        <v>#N/A</v>
      </c>
      <c r="K192" s="50" t="s">
        <v>152</v>
      </c>
      <c r="L192" s="50">
        <v>910315</v>
      </c>
      <c r="M192" s="50">
        <v>910315</v>
      </c>
      <c r="N192" s="50">
        <v>0</v>
      </c>
      <c r="O192" s="50">
        <v>0</v>
      </c>
      <c r="Q192" s="50">
        <v>910315</v>
      </c>
      <c r="R192" s="50">
        <v>569</v>
      </c>
      <c r="S192" s="50" t="s">
        <v>678</v>
      </c>
      <c r="T192" s="50">
        <v>0</v>
      </c>
      <c r="U192" s="50">
        <v>0</v>
      </c>
      <c r="W192" s="50" t="s">
        <v>102</v>
      </c>
      <c r="X192" s="50" t="s">
        <v>103</v>
      </c>
      <c r="Y192" s="50" t="s">
        <v>155</v>
      </c>
      <c r="AA192" s="50" t="s">
        <v>6341</v>
      </c>
      <c r="AB192" s="50" t="s">
        <v>17457</v>
      </c>
      <c r="AC192" s="50" t="s">
        <v>12923</v>
      </c>
      <c r="AD192" s="50" t="s">
        <v>17457</v>
      </c>
      <c r="AE192" s="50" t="s">
        <v>11888</v>
      </c>
      <c r="AF192" s="50" t="s">
        <v>17457</v>
      </c>
      <c r="AG192" s="50" t="s">
        <v>12084</v>
      </c>
      <c r="AH192" s="50" t="s">
        <v>17457</v>
      </c>
      <c r="AI192" s="50" t="s">
        <v>17458</v>
      </c>
      <c r="AJ192" s="50" t="s">
        <v>12494</v>
      </c>
      <c r="AK192" s="50" t="s">
        <v>17126</v>
      </c>
      <c r="AL192" s="50" t="s">
        <v>17459</v>
      </c>
      <c r="AM192" s="50" t="s">
        <v>17460</v>
      </c>
      <c r="AN192" s="50" t="s">
        <v>17461</v>
      </c>
      <c r="AO192" s="50" t="s">
        <v>17462</v>
      </c>
      <c r="AP192" s="50" t="s">
        <v>17462</v>
      </c>
      <c r="AU192" s="50" t="s">
        <v>102</v>
      </c>
      <c r="AW192" s="50" t="s">
        <v>155</v>
      </c>
      <c r="AX192" s="50" t="s">
        <v>447</v>
      </c>
      <c r="AY192" s="50" t="s">
        <v>170</v>
      </c>
      <c r="AZ192" s="50" t="s">
        <v>118</v>
      </c>
      <c r="BB192" s="50" t="s">
        <v>120</v>
      </c>
      <c r="BC192" s="50" t="s">
        <v>17463</v>
      </c>
      <c r="BD192" s="50" t="s">
        <v>173</v>
      </c>
      <c r="BE192" s="50" t="s">
        <v>174</v>
      </c>
      <c r="BF192" s="50" t="s">
        <v>173</v>
      </c>
      <c r="BG192" s="50" t="s">
        <v>124</v>
      </c>
      <c r="BH192" s="50" t="s">
        <v>12023</v>
      </c>
      <c r="BI192" s="50" t="s">
        <v>11889</v>
      </c>
      <c r="BJ192" s="50" t="s">
        <v>127</v>
      </c>
      <c r="BK192" s="50" t="s">
        <v>17464</v>
      </c>
      <c r="BL192" s="50" t="s">
        <v>17465</v>
      </c>
      <c r="BM192" s="50" t="s">
        <v>17466</v>
      </c>
      <c r="BN192" s="50" t="s">
        <v>3258</v>
      </c>
      <c r="BO192" s="50" t="s">
        <v>9823</v>
      </c>
      <c r="BP192" s="50" t="s">
        <v>180</v>
      </c>
      <c r="BQ192" s="50" t="s">
        <v>9824</v>
      </c>
      <c r="BR192" s="50" t="s">
        <v>9825</v>
      </c>
      <c r="BS192" s="50" t="s">
        <v>1176</v>
      </c>
      <c r="BU192" s="50" t="s">
        <v>17467</v>
      </c>
      <c r="BV192" s="50" t="s">
        <v>17468</v>
      </c>
      <c r="BW192" s="50" t="s">
        <v>138</v>
      </c>
      <c r="BX192" s="50" t="s">
        <v>17469</v>
      </c>
      <c r="BY192" s="50" t="s">
        <v>17470</v>
      </c>
      <c r="BZ192" s="50" t="s">
        <v>17469</v>
      </c>
      <c r="CA192" s="50" t="s">
        <v>17468</v>
      </c>
      <c r="CB192" s="50" t="s">
        <v>17469</v>
      </c>
      <c r="CC192" s="50" t="s">
        <v>17470</v>
      </c>
      <c r="CD192" s="50" t="s">
        <v>17468</v>
      </c>
      <c r="CE192" s="50" t="s">
        <v>17469</v>
      </c>
      <c r="CF192" s="50" t="s">
        <v>17470</v>
      </c>
      <c r="CG192" s="50" t="s">
        <v>15787</v>
      </c>
      <c r="CH192" s="50" t="s">
        <v>17471</v>
      </c>
      <c r="CJ192" s="50" t="s">
        <v>17472</v>
      </c>
      <c r="CK192" s="50" t="s">
        <v>17473</v>
      </c>
      <c r="CL192" s="50" t="s">
        <v>17463</v>
      </c>
      <c r="CM192" s="50" t="s">
        <v>173</v>
      </c>
      <c r="CN192" s="50" t="s">
        <v>17472</v>
      </c>
      <c r="CO192" s="50" t="s">
        <v>17474</v>
      </c>
      <c r="CP192" s="50" t="s">
        <v>17471</v>
      </c>
      <c r="CQ192" s="50" t="s">
        <v>17471</v>
      </c>
      <c r="CR192" s="50" t="s">
        <v>26042</v>
      </c>
    </row>
    <row r="193" spans="1:96">
      <c r="A193" s="50" t="s">
        <v>337</v>
      </c>
      <c r="B193" s="50">
        <v>5039845</v>
      </c>
      <c r="C193" s="50" t="s">
        <v>12030</v>
      </c>
      <c r="D193" s="50" t="s">
        <v>20290</v>
      </c>
      <c r="E193" s="50" t="e">
        <f>VLOOKUP(B193,aa!B:F,5,0)</f>
        <v>#N/A</v>
      </c>
      <c r="F193" s="50" t="e">
        <f>VLOOKUP(B193,aa!B:J,9,0)</f>
        <v>#N/A</v>
      </c>
      <c r="G193" s="50" t="e">
        <f>VLOOKUP(B193,aa!B:L,11,0)</f>
        <v>#N/A</v>
      </c>
      <c r="H193" s="50" t="e">
        <f>VLOOKUP(B193,aa!B:O,14,0)</f>
        <v>#N/A</v>
      </c>
      <c r="I193" s="50" t="e">
        <f>VLOOKUP(B193,aa!B:R,17,0)</f>
        <v>#N/A</v>
      </c>
      <c r="K193" s="50" t="s">
        <v>193</v>
      </c>
      <c r="L193" s="50">
        <v>408314</v>
      </c>
      <c r="M193" s="50">
        <v>465067</v>
      </c>
      <c r="N193" s="50">
        <v>93019</v>
      </c>
      <c r="O193" s="50">
        <v>186</v>
      </c>
      <c r="P193" s="50" t="s">
        <v>364</v>
      </c>
      <c r="Q193" s="50">
        <v>0</v>
      </c>
      <c r="R193" s="50">
        <v>0</v>
      </c>
      <c r="T193" s="50">
        <v>315295</v>
      </c>
      <c r="U193" s="50">
        <v>186</v>
      </c>
      <c r="V193" s="50" t="s">
        <v>2007</v>
      </c>
      <c r="W193" s="50" t="s">
        <v>102</v>
      </c>
      <c r="X193" s="50" t="s">
        <v>103</v>
      </c>
      <c r="Y193" s="50" t="s">
        <v>104</v>
      </c>
      <c r="AA193" s="50" t="s">
        <v>3258</v>
      </c>
      <c r="AB193" s="50" t="s">
        <v>20291</v>
      </c>
      <c r="AC193" s="50" t="s">
        <v>14020</v>
      </c>
      <c r="AD193" s="50" t="s">
        <v>20292</v>
      </c>
      <c r="AE193" s="50" t="s">
        <v>109</v>
      </c>
      <c r="AF193" s="50" t="s">
        <v>102</v>
      </c>
      <c r="AG193" s="50" t="s">
        <v>109</v>
      </c>
      <c r="AH193" s="50" t="s">
        <v>102</v>
      </c>
      <c r="AI193" s="50" t="s">
        <v>20293</v>
      </c>
      <c r="AJ193" s="50" t="s">
        <v>3258</v>
      </c>
      <c r="AK193" s="50" t="s">
        <v>20294</v>
      </c>
      <c r="AL193" s="50" t="s">
        <v>20295</v>
      </c>
      <c r="AM193" s="50" t="s">
        <v>20296</v>
      </c>
      <c r="AN193" s="50" t="s">
        <v>20297</v>
      </c>
      <c r="AO193" s="50" t="s">
        <v>20298</v>
      </c>
      <c r="AP193" s="50" t="s">
        <v>20298</v>
      </c>
      <c r="AU193" s="50" t="s">
        <v>247</v>
      </c>
      <c r="AV193" s="50" t="s">
        <v>118</v>
      </c>
      <c r="AW193" s="50" t="s">
        <v>102</v>
      </c>
      <c r="AX193" s="50" t="s">
        <v>119</v>
      </c>
      <c r="BA193" s="50" t="s">
        <v>250</v>
      </c>
      <c r="BB193" s="50" t="s">
        <v>120</v>
      </c>
      <c r="BC193" s="50" t="s">
        <v>8930</v>
      </c>
      <c r="BD193" s="50" t="s">
        <v>8930</v>
      </c>
      <c r="BE193" s="50" t="s">
        <v>122</v>
      </c>
      <c r="BF193" s="50" t="s">
        <v>346</v>
      </c>
      <c r="BG193" s="50" t="s">
        <v>124</v>
      </c>
      <c r="BH193" s="50" t="s">
        <v>12023</v>
      </c>
      <c r="BI193" s="50" t="s">
        <v>11889</v>
      </c>
      <c r="BJ193" s="50" t="s">
        <v>127</v>
      </c>
      <c r="BK193" s="50" t="s">
        <v>20299</v>
      </c>
      <c r="BL193" s="50" t="s">
        <v>20300</v>
      </c>
      <c r="BM193" s="50" t="s">
        <v>20301</v>
      </c>
      <c r="BN193" s="50" t="s">
        <v>3258</v>
      </c>
      <c r="BO193" s="50" t="s">
        <v>349</v>
      </c>
      <c r="BP193" s="50" t="s">
        <v>350</v>
      </c>
      <c r="BQ193" s="50" t="s">
        <v>351</v>
      </c>
      <c r="BR193" s="50" t="s">
        <v>352</v>
      </c>
      <c r="BS193" s="50" t="s">
        <v>328</v>
      </c>
      <c r="BU193" s="50" t="s">
        <v>20302</v>
      </c>
      <c r="BV193" s="50" t="s">
        <v>20303</v>
      </c>
      <c r="BW193" s="50" t="s">
        <v>354</v>
      </c>
      <c r="BX193" s="50" t="s">
        <v>20304</v>
      </c>
      <c r="BY193" s="50" t="s">
        <v>20305</v>
      </c>
      <c r="BZ193" s="50" t="s">
        <v>20304</v>
      </c>
      <c r="CA193" s="50" t="s">
        <v>20306</v>
      </c>
      <c r="CB193" s="50" t="s">
        <v>20304</v>
      </c>
      <c r="CC193" s="50" t="s">
        <v>20305</v>
      </c>
      <c r="CD193" s="50" t="s">
        <v>20307</v>
      </c>
      <c r="CE193" s="50" t="s">
        <v>20304</v>
      </c>
      <c r="CF193" s="50" t="s">
        <v>20308</v>
      </c>
      <c r="CG193" s="50" t="s">
        <v>12171</v>
      </c>
      <c r="CH193" s="50" t="s">
        <v>20290</v>
      </c>
      <c r="CJ193" s="50" t="s">
        <v>20309</v>
      </c>
      <c r="CK193" s="50" t="s">
        <v>20290</v>
      </c>
      <c r="CL193" s="50" t="s">
        <v>8930</v>
      </c>
      <c r="CM193" s="50" t="s">
        <v>8930</v>
      </c>
      <c r="CN193" s="50" t="s">
        <v>20309</v>
      </c>
      <c r="CO193" s="50" t="s">
        <v>20310</v>
      </c>
      <c r="CP193" s="50" t="s">
        <v>20311</v>
      </c>
      <c r="CQ193" s="50" t="s">
        <v>20311</v>
      </c>
    </row>
    <row r="194" spans="1:96">
      <c r="A194" s="50" t="s">
        <v>149</v>
      </c>
      <c r="B194" s="50">
        <v>153271</v>
      </c>
      <c r="C194" s="50" t="s">
        <v>12121</v>
      </c>
      <c r="D194" s="50" t="s">
        <v>1084</v>
      </c>
      <c r="E194" s="50" t="str">
        <f>VLOOKUP(B194,aa!B:F,5,0)</f>
        <v>Ei ASSET,Ei CARES,Ei Mindspark</v>
      </c>
      <c r="F194" s="50">
        <f>VLOOKUP(B194,aa!B:J,9,0)</f>
        <v>4044450</v>
      </c>
      <c r="G194" s="50">
        <f>VLOOKUP(B194,aa!B:L,11,0)</f>
        <v>706660</v>
      </c>
      <c r="H194" s="50">
        <f>VLOOKUP(B194,aa!B:O,14,0)</f>
        <v>942213</v>
      </c>
      <c r="I194" s="50">
        <f>VLOOKUP(B194,aa!B:R,17,0)</f>
        <v>2395577</v>
      </c>
      <c r="K194" s="50" t="s">
        <v>1086</v>
      </c>
      <c r="L194" s="50">
        <v>4010007</v>
      </c>
      <c r="M194" s="50">
        <v>4437816</v>
      </c>
      <c r="N194" s="50">
        <v>698499</v>
      </c>
      <c r="O194" s="50">
        <v>1883</v>
      </c>
      <c r="P194" s="50" t="s">
        <v>12565</v>
      </c>
      <c r="Q194" s="50">
        <v>934794</v>
      </c>
      <c r="R194" s="50">
        <v>1890</v>
      </c>
      <c r="S194" s="50" t="s">
        <v>12566</v>
      </c>
      <c r="T194" s="50">
        <v>2376714</v>
      </c>
      <c r="U194" s="50">
        <v>2062</v>
      </c>
      <c r="V194" s="50" t="s">
        <v>12567</v>
      </c>
      <c r="W194" s="50" t="s">
        <v>102</v>
      </c>
      <c r="X194" s="50" t="s">
        <v>679</v>
      </c>
      <c r="Y194" s="50" t="s">
        <v>155</v>
      </c>
      <c r="Z194" s="50" t="s">
        <v>12023</v>
      </c>
      <c r="AA194" s="50" t="s">
        <v>12568</v>
      </c>
      <c r="AB194" s="50" t="s">
        <v>12569</v>
      </c>
      <c r="AC194" s="50" t="s">
        <v>12570</v>
      </c>
      <c r="AD194" s="50" t="s">
        <v>12569</v>
      </c>
      <c r="AE194" s="50" t="s">
        <v>12571</v>
      </c>
      <c r="AF194" s="50" t="s">
        <v>12569</v>
      </c>
      <c r="AG194" s="50" t="s">
        <v>12216</v>
      </c>
      <c r="AH194" s="50" t="s">
        <v>12569</v>
      </c>
      <c r="AI194" s="50" t="s">
        <v>12572</v>
      </c>
      <c r="AJ194" s="50" t="s">
        <v>8537</v>
      </c>
      <c r="AK194" s="50" t="s">
        <v>12573</v>
      </c>
      <c r="AL194" s="50" t="s">
        <v>12574</v>
      </c>
      <c r="AM194" s="50" t="s">
        <v>12575</v>
      </c>
      <c r="AN194" s="50" t="s">
        <v>12576</v>
      </c>
      <c r="AO194" s="50" t="s">
        <v>12577</v>
      </c>
      <c r="AP194" s="50" t="s">
        <v>12578</v>
      </c>
      <c r="AR194" s="50" t="s">
        <v>169</v>
      </c>
      <c r="AS194" s="50" t="s">
        <v>169</v>
      </c>
      <c r="AT194" s="50" t="s">
        <v>169</v>
      </c>
      <c r="AU194" s="50" t="s">
        <v>207</v>
      </c>
      <c r="AV194" s="50" t="s">
        <v>118</v>
      </c>
      <c r="AW194" s="50" t="s">
        <v>1103</v>
      </c>
      <c r="AX194" s="50" t="s">
        <v>119</v>
      </c>
      <c r="AZ194" s="50" t="s">
        <v>250</v>
      </c>
      <c r="BA194" s="50" t="s">
        <v>250</v>
      </c>
      <c r="BB194" s="50" t="s">
        <v>171</v>
      </c>
      <c r="BC194" s="50" t="s">
        <v>1104</v>
      </c>
      <c r="BD194" s="50" t="s">
        <v>449</v>
      </c>
      <c r="BE194" s="50" t="s">
        <v>122</v>
      </c>
      <c r="BF194" s="50" t="s">
        <v>253</v>
      </c>
      <c r="BG194" s="50" t="s">
        <v>124</v>
      </c>
      <c r="BH194" s="50" t="s">
        <v>12579</v>
      </c>
      <c r="BI194" s="50" t="s">
        <v>11979</v>
      </c>
      <c r="BJ194" s="50" t="s">
        <v>127</v>
      </c>
      <c r="BK194" s="50" t="s">
        <v>12580</v>
      </c>
      <c r="BL194" s="50" t="s">
        <v>1106</v>
      </c>
      <c r="BM194" s="50" t="s">
        <v>12581</v>
      </c>
      <c r="BN194" s="50" t="s">
        <v>12564</v>
      </c>
      <c r="BO194" s="50" t="s">
        <v>1108</v>
      </c>
      <c r="BP194" s="50" t="s">
        <v>350</v>
      </c>
      <c r="BQ194" s="50" t="s">
        <v>1109</v>
      </c>
      <c r="BR194" s="50" t="s">
        <v>1110</v>
      </c>
      <c r="BS194" s="50" t="s">
        <v>1111</v>
      </c>
      <c r="BU194" s="50" t="s">
        <v>12582</v>
      </c>
      <c r="BV194" s="50" t="s">
        <v>1113</v>
      </c>
      <c r="BW194" s="50" t="s">
        <v>138</v>
      </c>
      <c r="BX194" s="50" t="s">
        <v>1114</v>
      </c>
      <c r="BY194" s="50" t="s">
        <v>1115</v>
      </c>
      <c r="BZ194" s="50" t="s">
        <v>1114</v>
      </c>
      <c r="CA194" s="50" t="s">
        <v>12583</v>
      </c>
      <c r="CB194" s="50" t="s">
        <v>12584</v>
      </c>
      <c r="CC194" s="50" t="s">
        <v>12585</v>
      </c>
      <c r="CD194" s="50" t="s">
        <v>12586</v>
      </c>
      <c r="CE194" s="50" t="s">
        <v>12587</v>
      </c>
      <c r="CF194" s="50" t="s">
        <v>12588</v>
      </c>
      <c r="CG194" s="50" t="s">
        <v>102</v>
      </c>
      <c r="CH194" s="50" t="s">
        <v>12589</v>
      </c>
      <c r="CJ194" s="50" t="s">
        <v>1117</v>
      </c>
      <c r="CL194" s="50" t="s">
        <v>1104</v>
      </c>
      <c r="CM194" s="50" t="s">
        <v>449</v>
      </c>
      <c r="CN194" s="50" t="s">
        <v>1117</v>
      </c>
      <c r="CO194" s="50" t="s">
        <v>1118</v>
      </c>
      <c r="CP194" s="50" t="s">
        <v>1116</v>
      </c>
      <c r="CQ194" s="50" t="s">
        <v>1116</v>
      </c>
    </row>
    <row r="195" spans="1:96">
      <c r="A195" s="50" t="s">
        <v>93</v>
      </c>
      <c r="B195" s="50">
        <v>4156961</v>
      </c>
      <c r="C195" s="50" t="s">
        <v>12491</v>
      </c>
      <c r="D195" s="50" t="s">
        <v>8782</v>
      </c>
      <c r="E195" s="50" t="e">
        <f>VLOOKUP(B195,aa!B:F,5,0)</f>
        <v>#N/A</v>
      </c>
      <c r="F195" s="50" t="e">
        <f>VLOOKUP(B195,aa!B:J,9,0)</f>
        <v>#N/A</v>
      </c>
      <c r="G195" s="50" t="e">
        <f>VLOOKUP(B195,aa!B:L,11,0)</f>
        <v>#N/A</v>
      </c>
      <c r="H195" s="50" t="e">
        <f>VLOOKUP(B195,aa!B:O,14,0)</f>
        <v>#N/A</v>
      </c>
      <c r="I195" s="50" t="e">
        <f>VLOOKUP(B195,aa!B:R,17,0)</f>
        <v>#N/A</v>
      </c>
      <c r="K195" s="50" t="s">
        <v>193</v>
      </c>
      <c r="L195" s="50">
        <v>0</v>
      </c>
      <c r="M195" s="50">
        <v>0</v>
      </c>
      <c r="N195" s="50">
        <v>0</v>
      </c>
      <c r="O195" s="50">
        <v>83</v>
      </c>
      <c r="P195" s="50" t="s">
        <v>102</v>
      </c>
      <c r="Q195" s="50">
        <v>0</v>
      </c>
      <c r="R195" s="50">
        <v>0</v>
      </c>
      <c r="T195" s="50">
        <v>0</v>
      </c>
      <c r="U195" s="50">
        <v>37</v>
      </c>
      <c r="V195" s="50" t="s">
        <v>102</v>
      </c>
      <c r="W195" s="50" t="s">
        <v>102</v>
      </c>
      <c r="X195" s="50" t="s">
        <v>275</v>
      </c>
      <c r="Z195" s="50" t="s">
        <v>18207</v>
      </c>
      <c r="AA195" s="50" t="s">
        <v>109</v>
      </c>
      <c r="AB195" s="50" t="s">
        <v>102</v>
      </c>
      <c r="AC195" s="50" t="s">
        <v>109</v>
      </c>
      <c r="AD195" s="50" t="s">
        <v>102</v>
      </c>
      <c r="AE195" s="50" t="s">
        <v>109</v>
      </c>
      <c r="AF195" s="50" t="s">
        <v>102</v>
      </c>
      <c r="AG195" s="50" t="s">
        <v>109</v>
      </c>
      <c r="AH195" s="50" t="s">
        <v>102</v>
      </c>
      <c r="AI195" s="50" t="s">
        <v>102</v>
      </c>
      <c r="AL195" s="50" t="s">
        <v>102</v>
      </c>
      <c r="AM195" s="50" t="s">
        <v>102</v>
      </c>
      <c r="AN195" s="50" t="s">
        <v>102</v>
      </c>
      <c r="AO195" s="50" t="s">
        <v>115</v>
      </c>
      <c r="AP195" s="50" t="s">
        <v>115</v>
      </c>
      <c r="AU195" s="50" t="s">
        <v>588</v>
      </c>
      <c r="AV195" s="50" t="s">
        <v>2203</v>
      </c>
      <c r="AW195" s="50" t="s">
        <v>102</v>
      </c>
      <c r="AX195" s="50" t="s">
        <v>119</v>
      </c>
      <c r="BA195" s="50" t="s">
        <v>250</v>
      </c>
      <c r="BB195" s="50" t="s">
        <v>120</v>
      </c>
      <c r="BC195" s="50" t="s">
        <v>814</v>
      </c>
      <c r="BD195" s="50" t="s">
        <v>320</v>
      </c>
      <c r="BE195" s="50" t="s">
        <v>122</v>
      </c>
      <c r="BF195" s="50" t="s">
        <v>123</v>
      </c>
      <c r="BG195" s="50" t="s">
        <v>124</v>
      </c>
      <c r="BH195" s="50" t="s">
        <v>15312</v>
      </c>
      <c r="BI195" s="50" t="s">
        <v>11889</v>
      </c>
      <c r="BJ195" s="50" t="s">
        <v>127</v>
      </c>
      <c r="BK195" s="50" t="s">
        <v>18208</v>
      </c>
      <c r="BL195" s="50" t="s">
        <v>8786</v>
      </c>
      <c r="BM195" s="50" t="s">
        <v>18209</v>
      </c>
      <c r="BN195" s="50" t="s">
        <v>18206</v>
      </c>
      <c r="BO195" s="50" t="s">
        <v>8788</v>
      </c>
      <c r="BP195" s="50" t="s">
        <v>696</v>
      </c>
      <c r="BQ195" s="50" t="s">
        <v>8789</v>
      </c>
      <c r="BR195" s="50" t="s">
        <v>8790</v>
      </c>
      <c r="BS195" s="50" t="s">
        <v>1006</v>
      </c>
      <c r="BU195" s="50" t="s">
        <v>18210</v>
      </c>
      <c r="BV195" s="50" t="s">
        <v>18211</v>
      </c>
      <c r="BW195" s="50" t="s">
        <v>354</v>
      </c>
      <c r="BX195" s="50" t="s">
        <v>8792</v>
      </c>
      <c r="BY195" s="50" t="s">
        <v>18212</v>
      </c>
      <c r="BZ195" s="50" t="s">
        <v>8792</v>
      </c>
      <c r="CA195" s="50" t="s">
        <v>18211</v>
      </c>
      <c r="CB195" s="50" t="s">
        <v>8792</v>
      </c>
      <c r="CC195" s="50" t="s">
        <v>18212</v>
      </c>
      <c r="CD195" s="50" t="s">
        <v>18211</v>
      </c>
      <c r="CE195" s="50" t="s">
        <v>8792</v>
      </c>
      <c r="CF195" s="50" t="s">
        <v>18212</v>
      </c>
      <c r="CG195" s="50" t="s">
        <v>8793</v>
      </c>
      <c r="CH195" s="50" t="s">
        <v>8794</v>
      </c>
      <c r="CJ195" s="50" t="s">
        <v>8795</v>
      </c>
      <c r="CK195" s="50" t="s">
        <v>8794</v>
      </c>
      <c r="CL195" s="50" t="s">
        <v>814</v>
      </c>
      <c r="CM195" s="50" t="s">
        <v>320</v>
      </c>
      <c r="CN195" s="50" t="s">
        <v>8795</v>
      </c>
      <c r="CP195" s="50" t="s">
        <v>8794</v>
      </c>
      <c r="CQ195" s="50" t="s">
        <v>8794</v>
      </c>
    </row>
    <row r="196" spans="1:96">
      <c r="A196" s="50" t="s">
        <v>149</v>
      </c>
      <c r="B196" s="50">
        <v>393696</v>
      </c>
      <c r="C196" s="50" t="s">
        <v>1111</v>
      </c>
      <c r="D196" s="50" t="s">
        <v>7890</v>
      </c>
      <c r="E196" s="50" t="str">
        <f>VLOOKUP(B196,aa!B:F,5,0)</f>
        <v>Ei CARES</v>
      </c>
      <c r="F196" s="50">
        <f>VLOOKUP(B196,aa!B:J,9,0)</f>
        <v>2419290</v>
      </c>
      <c r="G196" s="50">
        <f>VLOOKUP(B196,aa!B:L,11,0)</f>
        <v>0</v>
      </c>
      <c r="H196" s="50">
        <f>VLOOKUP(B196,aa!B:O,14,0)</f>
        <v>2419290</v>
      </c>
      <c r="I196" s="50">
        <f>VLOOKUP(B196,aa!B:R,17,0)</f>
        <v>0</v>
      </c>
      <c r="K196" s="50" t="s">
        <v>152</v>
      </c>
      <c r="L196" s="50">
        <v>2358825</v>
      </c>
      <c r="M196" s="50">
        <v>2358825</v>
      </c>
      <c r="N196" s="50">
        <v>0</v>
      </c>
      <c r="O196" s="50">
        <v>0</v>
      </c>
      <c r="Q196" s="50">
        <v>2358825</v>
      </c>
      <c r="R196" s="50">
        <v>1545</v>
      </c>
      <c r="S196" s="50" t="s">
        <v>17341</v>
      </c>
      <c r="T196" s="50">
        <v>0</v>
      </c>
      <c r="U196" s="50">
        <v>0</v>
      </c>
      <c r="W196" s="50" t="s">
        <v>102</v>
      </c>
      <c r="X196" s="50" t="s">
        <v>679</v>
      </c>
      <c r="Y196" s="50" t="s">
        <v>155</v>
      </c>
      <c r="Z196" s="50" t="s">
        <v>8783</v>
      </c>
      <c r="AA196" s="50" t="s">
        <v>16659</v>
      </c>
      <c r="AB196" s="50" t="s">
        <v>17342</v>
      </c>
      <c r="AC196" s="50" t="s">
        <v>17343</v>
      </c>
      <c r="AD196" s="50" t="s">
        <v>17342</v>
      </c>
      <c r="AE196" s="50" t="s">
        <v>17344</v>
      </c>
      <c r="AF196" s="50" t="s">
        <v>17342</v>
      </c>
      <c r="AG196" s="50" t="s">
        <v>12216</v>
      </c>
      <c r="AH196" s="50" t="s">
        <v>17342</v>
      </c>
      <c r="AI196" s="50" t="s">
        <v>17345</v>
      </c>
      <c r="AJ196" s="50" t="s">
        <v>13511</v>
      </c>
      <c r="AK196" s="50" t="s">
        <v>15195</v>
      </c>
      <c r="AL196" s="50" t="s">
        <v>17346</v>
      </c>
      <c r="AM196" s="50" t="s">
        <v>17347</v>
      </c>
      <c r="AN196" s="50" t="s">
        <v>17348</v>
      </c>
      <c r="AO196" s="50" t="s">
        <v>17349</v>
      </c>
      <c r="AP196" s="50" t="s">
        <v>17349</v>
      </c>
      <c r="AU196" s="50" t="s">
        <v>102</v>
      </c>
      <c r="AW196" s="50" t="s">
        <v>801</v>
      </c>
      <c r="AX196" s="50" t="s">
        <v>249</v>
      </c>
      <c r="AY196" s="50" t="s">
        <v>170</v>
      </c>
      <c r="AZ196" s="50" t="s">
        <v>118</v>
      </c>
      <c r="BB196" s="50" t="s">
        <v>209</v>
      </c>
      <c r="BC196" s="50" t="s">
        <v>7901</v>
      </c>
      <c r="BD196" s="50" t="s">
        <v>4404</v>
      </c>
      <c r="BE196" s="50" t="s">
        <v>174</v>
      </c>
      <c r="BF196" s="50" t="s">
        <v>4405</v>
      </c>
      <c r="BG196" s="50" t="s">
        <v>124</v>
      </c>
      <c r="BH196" s="50" t="s">
        <v>6177</v>
      </c>
      <c r="BI196" s="50" t="s">
        <v>11979</v>
      </c>
      <c r="BJ196" s="50" t="s">
        <v>127</v>
      </c>
      <c r="BK196" s="50" t="s">
        <v>17350</v>
      </c>
      <c r="BL196" s="50" t="s">
        <v>7903</v>
      </c>
      <c r="BM196" s="50" t="s">
        <v>17351</v>
      </c>
      <c r="BN196" s="50" t="s">
        <v>17340</v>
      </c>
      <c r="BO196" s="50" t="s">
        <v>1108</v>
      </c>
      <c r="BP196" s="50" t="s">
        <v>13741</v>
      </c>
      <c r="BQ196" s="50" t="s">
        <v>1109</v>
      </c>
      <c r="BR196" s="50" t="s">
        <v>1110</v>
      </c>
      <c r="BS196" s="50" t="s">
        <v>4413</v>
      </c>
      <c r="BU196" s="50" t="s">
        <v>17352</v>
      </c>
      <c r="BV196" s="50" t="s">
        <v>17353</v>
      </c>
      <c r="BW196" s="50" t="s">
        <v>138</v>
      </c>
      <c r="BX196" s="50" t="s">
        <v>7907</v>
      </c>
      <c r="BY196" s="50" t="s">
        <v>7908</v>
      </c>
      <c r="BZ196" s="50" t="s">
        <v>7907</v>
      </c>
      <c r="CA196" s="50" t="s">
        <v>17354</v>
      </c>
      <c r="CB196" s="50" t="s">
        <v>7907</v>
      </c>
      <c r="CC196" s="50" t="s">
        <v>7908</v>
      </c>
      <c r="CD196" s="50" t="s">
        <v>17355</v>
      </c>
      <c r="CE196" s="50" t="s">
        <v>7907</v>
      </c>
      <c r="CF196" s="50" t="s">
        <v>17356</v>
      </c>
      <c r="CG196" s="50" t="s">
        <v>102</v>
      </c>
      <c r="CH196" s="50" t="s">
        <v>7912</v>
      </c>
      <c r="CJ196" s="50" t="s">
        <v>7913</v>
      </c>
      <c r="CL196" s="50" t="s">
        <v>7901</v>
      </c>
      <c r="CM196" s="50" t="s">
        <v>4404</v>
      </c>
      <c r="CN196" s="50" t="s">
        <v>7913</v>
      </c>
      <c r="CO196" s="50" t="s">
        <v>7915</v>
      </c>
      <c r="CP196" s="50" t="s">
        <v>7912</v>
      </c>
      <c r="CQ196" s="50" t="s">
        <v>7914</v>
      </c>
    </row>
    <row r="197" spans="1:96">
      <c r="A197" s="50" t="s">
        <v>149</v>
      </c>
      <c r="B197" s="50">
        <v>3886389</v>
      </c>
      <c r="C197" s="50" t="s">
        <v>11882</v>
      </c>
      <c r="D197" s="50" t="s">
        <v>7827</v>
      </c>
      <c r="E197" s="50" t="e">
        <f>VLOOKUP(B197,aa!B:F,5,0)</f>
        <v>#N/A</v>
      </c>
      <c r="F197" s="50" t="e">
        <f>VLOOKUP(B197,aa!B:J,9,0)</f>
        <v>#N/A</v>
      </c>
      <c r="G197" s="50" t="e">
        <f>VLOOKUP(B197,aa!B:L,11,0)</f>
        <v>#N/A</v>
      </c>
      <c r="H197" s="50" t="e">
        <f>VLOOKUP(B197,aa!B:O,14,0)</f>
        <v>#N/A</v>
      </c>
      <c r="I197" s="50" t="e">
        <f>VLOOKUP(B197,aa!B:R,17,0)</f>
        <v>#N/A</v>
      </c>
      <c r="K197" s="50" t="s">
        <v>2163</v>
      </c>
      <c r="L197" s="50">
        <v>483135</v>
      </c>
      <c r="M197" s="50">
        <v>530435</v>
      </c>
      <c r="N197" s="50">
        <v>66600</v>
      </c>
      <c r="O197" s="50">
        <v>111</v>
      </c>
      <c r="P197" s="50" t="s">
        <v>310</v>
      </c>
      <c r="Q197" s="50">
        <v>153759</v>
      </c>
      <c r="R197" s="50">
        <v>111</v>
      </c>
      <c r="S197" s="50" t="s">
        <v>17262</v>
      </c>
      <c r="T197" s="50">
        <v>262776</v>
      </c>
      <c r="U197" s="50">
        <v>112</v>
      </c>
      <c r="V197" s="50" t="s">
        <v>17263</v>
      </c>
      <c r="W197" s="50" t="s">
        <v>102</v>
      </c>
      <c r="X197" s="50" t="s">
        <v>679</v>
      </c>
      <c r="Y197" s="50" t="s">
        <v>155</v>
      </c>
      <c r="Z197" s="50" t="s">
        <v>8199</v>
      </c>
      <c r="AA197" s="50" t="s">
        <v>16037</v>
      </c>
      <c r="AB197" s="50" t="s">
        <v>17264</v>
      </c>
      <c r="AC197" s="50" t="s">
        <v>17265</v>
      </c>
      <c r="AD197" s="50" t="s">
        <v>17264</v>
      </c>
      <c r="AE197" s="50" t="s">
        <v>15488</v>
      </c>
      <c r="AF197" s="50" t="s">
        <v>17264</v>
      </c>
      <c r="AG197" s="50" t="s">
        <v>13263</v>
      </c>
      <c r="AH197" s="50" t="s">
        <v>17264</v>
      </c>
      <c r="AI197" s="50" t="s">
        <v>102</v>
      </c>
      <c r="AL197" s="50" t="s">
        <v>17266</v>
      </c>
      <c r="AM197" s="50" t="s">
        <v>102</v>
      </c>
      <c r="AN197" s="50" t="s">
        <v>17266</v>
      </c>
      <c r="AO197" s="50" t="s">
        <v>17267</v>
      </c>
      <c r="AP197" s="50" t="s">
        <v>17268</v>
      </c>
      <c r="AT197" s="50" t="s">
        <v>169</v>
      </c>
      <c r="AU197" s="50" t="s">
        <v>207</v>
      </c>
      <c r="AV197" s="50" t="s">
        <v>118</v>
      </c>
      <c r="AW197" s="50" t="s">
        <v>655</v>
      </c>
      <c r="AX197" s="50" t="s">
        <v>119</v>
      </c>
      <c r="AZ197" s="50" t="s">
        <v>250</v>
      </c>
      <c r="BA197" s="50" t="s">
        <v>250</v>
      </c>
      <c r="BB197" s="50" t="s">
        <v>1242</v>
      </c>
      <c r="BC197" s="50" t="s">
        <v>1407</v>
      </c>
      <c r="BD197" s="50" t="s">
        <v>449</v>
      </c>
      <c r="BE197" s="50" t="s">
        <v>122</v>
      </c>
      <c r="BF197" s="50" t="s">
        <v>450</v>
      </c>
      <c r="BG197" s="50" t="s">
        <v>124</v>
      </c>
      <c r="BH197" s="50" t="s">
        <v>17269</v>
      </c>
      <c r="BI197" s="50" t="s">
        <v>12963</v>
      </c>
      <c r="BJ197" s="50" t="s">
        <v>127</v>
      </c>
      <c r="BK197" s="50" t="s">
        <v>17270</v>
      </c>
      <c r="BL197" s="50" t="s">
        <v>7839</v>
      </c>
      <c r="BM197" s="50" t="s">
        <v>17271</v>
      </c>
      <c r="BN197" s="50" t="s">
        <v>17261</v>
      </c>
      <c r="BO197" s="50" t="s">
        <v>3267</v>
      </c>
      <c r="BP197" s="50" t="s">
        <v>350</v>
      </c>
      <c r="BQ197" s="50" t="s">
        <v>3268</v>
      </c>
      <c r="BR197" s="50" t="s">
        <v>3269</v>
      </c>
      <c r="BS197" s="50" t="s">
        <v>135</v>
      </c>
      <c r="BU197" s="50" t="s">
        <v>17272</v>
      </c>
      <c r="BV197" s="50" t="s">
        <v>17273</v>
      </c>
      <c r="BW197" s="50" t="s">
        <v>3121</v>
      </c>
      <c r="BX197" s="50" t="s">
        <v>7843</v>
      </c>
      <c r="BY197" s="50" t="s">
        <v>7844</v>
      </c>
      <c r="BZ197" s="50" t="s">
        <v>7845</v>
      </c>
      <c r="CA197" s="50" t="s">
        <v>17273</v>
      </c>
      <c r="CB197" s="50" t="s">
        <v>7843</v>
      </c>
      <c r="CC197" s="50" t="s">
        <v>7844</v>
      </c>
      <c r="CD197" s="50" t="s">
        <v>17273</v>
      </c>
      <c r="CE197" s="50" t="s">
        <v>7843</v>
      </c>
      <c r="CF197" s="50" t="s">
        <v>7844</v>
      </c>
      <c r="CG197" s="50" t="s">
        <v>102</v>
      </c>
      <c r="CH197" s="50" t="s">
        <v>17274</v>
      </c>
      <c r="CJ197" s="50" t="s">
        <v>1419</v>
      </c>
      <c r="CL197" s="50" t="s">
        <v>1407</v>
      </c>
      <c r="CM197" s="50" t="s">
        <v>449</v>
      </c>
      <c r="CN197" s="50" t="s">
        <v>1419</v>
      </c>
      <c r="CP197" s="50" t="s">
        <v>7846</v>
      </c>
      <c r="CQ197" s="50" t="s">
        <v>7846</v>
      </c>
    </row>
    <row r="198" spans="1:96">
      <c r="A198" s="50" t="s">
        <v>337</v>
      </c>
      <c r="B198" s="50">
        <v>2470230</v>
      </c>
      <c r="C198" s="50" t="s">
        <v>2151</v>
      </c>
      <c r="D198" s="50" t="s">
        <v>14077</v>
      </c>
      <c r="E198" s="50" t="str">
        <f>VLOOKUP(B198,aa!B:F,5,0)</f>
        <v>Ei Mindspark</v>
      </c>
      <c r="F198" s="50">
        <f>VLOOKUP(B198,aa!B:J,9,0)</f>
        <v>0</v>
      </c>
      <c r="G198" s="50">
        <f>VLOOKUP(B198,aa!B:L,11,0)</f>
        <v>0</v>
      </c>
      <c r="H198" s="50">
        <f>VLOOKUP(B198,aa!B:O,14,0)</f>
        <v>0</v>
      </c>
      <c r="I198" s="50">
        <f>VLOOKUP(B198,aa!B:R,17,0)</f>
        <v>0</v>
      </c>
      <c r="K198" s="50" t="s">
        <v>848</v>
      </c>
      <c r="L198" s="50">
        <v>1630650</v>
      </c>
      <c r="M198" s="50">
        <v>1924167</v>
      </c>
      <c r="N198" s="50">
        <v>0</v>
      </c>
      <c r="O198" s="50">
        <v>0</v>
      </c>
      <c r="Q198" s="50">
        <v>0</v>
      </c>
      <c r="R198" s="50">
        <v>0</v>
      </c>
      <c r="T198" s="50">
        <v>1630650</v>
      </c>
      <c r="U198" s="50">
        <v>590</v>
      </c>
      <c r="V198" s="50" t="s">
        <v>14079</v>
      </c>
      <c r="W198" s="50" t="s">
        <v>102</v>
      </c>
      <c r="X198" s="50" t="s">
        <v>679</v>
      </c>
      <c r="Y198" s="50" t="s">
        <v>155</v>
      </c>
      <c r="Z198" s="50" t="s">
        <v>14080</v>
      </c>
      <c r="AA198" s="50" t="s">
        <v>14081</v>
      </c>
      <c r="AB198" s="50" t="s">
        <v>14082</v>
      </c>
      <c r="AC198" s="50" t="s">
        <v>14083</v>
      </c>
      <c r="AD198" s="50" t="s">
        <v>14082</v>
      </c>
      <c r="AE198" s="50" t="s">
        <v>12628</v>
      </c>
      <c r="AF198" s="50" t="s">
        <v>14082</v>
      </c>
      <c r="AG198" s="50" t="s">
        <v>14084</v>
      </c>
      <c r="AH198" s="50" t="s">
        <v>14082</v>
      </c>
      <c r="AI198" s="50" t="s">
        <v>14085</v>
      </c>
      <c r="AJ198" s="50" t="s">
        <v>559</v>
      </c>
      <c r="AK198" s="50" t="s">
        <v>13964</v>
      </c>
      <c r="AL198" s="50" t="s">
        <v>14086</v>
      </c>
      <c r="AM198" s="50" t="s">
        <v>14087</v>
      </c>
      <c r="AN198" s="50" t="s">
        <v>14088</v>
      </c>
      <c r="AO198" s="50" t="s">
        <v>14089</v>
      </c>
      <c r="AP198" s="50" t="s">
        <v>14089</v>
      </c>
      <c r="AU198" s="50" t="s">
        <v>102</v>
      </c>
      <c r="AW198" s="50" t="s">
        <v>102</v>
      </c>
      <c r="AX198" s="50" t="s">
        <v>119</v>
      </c>
      <c r="BA198" s="50" t="s">
        <v>250</v>
      </c>
      <c r="BB198" s="50" t="s">
        <v>120</v>
      </c>
      <c r="BC198" s="50" t="s">
        <v>7718</v>
      </c>
      <c r="BD198" s="50" t="s">
        <v>211</v>
      </c>
      <c r="BE198" s="50" t="s">
        <v>212</v>
      </c>
      <c r="BF198" s="50" t="s">
        <v>213</v>
      </c>
      <c r="BG198" s="50" t="s">
        <v>124</v>
      </c>
      <c r="BH198" s="50" t="s">
        <v>14090</v>
      </c>
      <c r="BI198" s="50" t="s">
        <v>14091</v>
      </c>
      <c r="BJ198" s="50" t="s">
        <v>127</v>
      </c>
      <c r="BK198" s="50" t="s">
        <v>14092</v>
      </c>
      <c r="BL198" s="50" t="s">
        <v>14093</v>
      </c>
      <c r="BM198" s="50" t="s">
        <v>14094</v>
      </c>
      <c r="BN198" s="50" t="s">
        <v>14078</v>
      </c>
      <c r="BO198" s="50" t="s">
        <v>13874</v>
      </c>
      <c r="BP198" s="50" t="s">
        <v>180</v>
      </c>
      <c r="BQ198" s="50" t="s">
        <v>13876</v>
      </c>
      <c r="BR198" s="50" t="s">
        <v>13877</v>
      </c>
      <c r="BS198" s="50" t="s">
        <v>2463</v>
      </c>
      <c r="BU198" s="50" t="s">
        <v>14095</v>
      </c>
      <c r="BV198" s="50" t="s">
        <v>14096</v>
      </c>
      <c r="BW198" s="50" t="s">
        <v>1282</v>
      </c>
      <c r="BX198" s="50" t="s">
        <v>14097</v>
      </c>
      <c r="BY198" s="50" t="s">
        <v>14098</v>
      </c>
      <c r="BZ198" s="50" t="s">
        <v>14099</v>
      </c>
      <c r="CA198" s="50" t="s">
        <v>14096</v>
      </c>
      <c r="CB198" s="50" t="s">
        <v>14097</v>
      </c>
      <c r="CC198" s="50" t="s">
        <v>14098</v>
      </c>
      <c r="CD198" s="50" t="s">
        <v>14100</v>
      </c>
      <c r="CE198" s="50" t="s">
        <v>14101</v>
      </c>
      <c r="CF198" s="50" t="s">
        <v>14102</v>
      </c>
      <c r="CG198" s="50" t="s">
        <v>14103</v>
      </c>
      <c r="CH198" s="50" t="s">
        <v>14104</v>
      </c>
      <c r="CJ198" s="50" t="s">
        <v>5844</v>
      </c>
      <c r="CL198" s="50" t="s">
        <v>7718</v>
      </c>
      <c r="CM198" s="50" t="s">
        <v>2474</v>
      </c>
      <c r="CN198" s="50" t="s">
        <v>5844</v>
      </c>
      <c r="CO198" s="50" t="s">
        <v>14105</v>
      </c>
      <c r="CP198" s="50" t="s">
        <v>14106</v>
      </c>
      <c r="CQ198" s="50" t="s">
        <v>14106</v>
      </c>
      <c r="CR198" s="50" t="s">
        <v>26045</v>
      </c>
    </row>
    <row r="199" spans="1:96">
      <c r="A199" s="50" t="s">
        <v>149</v>
      </c>
      <c r="B199" s="50">
        <v>3072629</v>
      </c>
      <c r="C199" s="50" t="s">
        <v>11882</v>
      </c>
      <c r="D199" s="50" t="s">
        <v>4605</v>
      </c>
      <c r="E199" s="50" t="e">
        <f>VLOOKUP(B199,aa!B:F,5,0)</f>
        <v>#N/A</v>
      </c>
      <c r="F199" s="50" t="e">
        <f>VLOOKUP(B199,aa!B:J,9,0)</f>
        <v>#N/A</v>
      </c>
      <c r="G199" s="50" t="e">
        <f>VLOOKUP(B199,aa!B:L,11,0)</f>
        <v>#N/A</v>
      </c>
      <c r="H199" s="50" t="e">
        <f>VLOOKUP(B199,aa!B:O,14,0)</f>
        <v>#N/A</v>
      </c>
      <c r="I199" s="50" t="e">
        <f>VLOOKUP(B199,aa!B:R,17,0)</f>
        <v>#N/A</v>
      </c>
      <c r="K199" s="50" t="s">
        <v>848</v>
      </c>
      <c r="L199" s="50">
        <v>1514631</v>
      </c>
      <c r="M199" s="50">
        <v>1787265</v>
      </c>
      <c r="N199" s="50">
        <v>0</v>
      </c>
      <c r="O199" s="50">
        <v>0</v>
      </c>
      <c r="Q199" s="50">
        <v>0</v>
      </c>
      <c r="R199" s="50">
        <v>0</v>
      </c>
      <c r="T199" s="50">
        <v>1514631</v>
      </c>
      <c r="U199" s="50">
        <v>1625</v>
      </c>
      <c r="V199" s="50" t="s">
        <v>14881</v>
      </c>
      <c r="W199" s="50" t="s">
        <v>102</v>
      </c>
      <c r="X199" s="50" t="s">
        <v>103</v>
      </c>
      <c r="Y199" s="50" t="s">
        <v>155</v>
      </c>
      <c r="AA199" s="50" t="s">
        <v>12023</v>
      </c>
      <c r="AB199" s="50" t="s">
        <v>14882</v>
      </c>
      <c r="AC199" s="50" t="s">
        <v>11976</v>
      </c>
      <c r="AD199" s="50" t="s">
        <v>14882</v>
      </c>
      <c r="AE199" s="50" t="s">
        <v>11888</v>
      </c>
      <c r="AF199" s="50" t="s">
        <v>14882</v>
      </c>
      <c r="AG199" s="50" t="s">
        <v>11886</v>
      </c>
      <c r="AH199" s="50" t="s">
        <v>14882</v>
      </c>
      <c r="AI199" s="50" t="s">
        <v>14883</v>
      </c>
      <c r="AJ199" s="50" t="s">
        <v>12494</v>
      </c>
      <c r="AK199" s="50" t="s">
        <v>14040</v>
      </c>
      <c r="AL199" s="50" t="s">
        <v>14884</v>
      </c>
      <c r="AM199" s="50" t="s">
        <v>14885</v>
      </c>
      <c r="AN199" s="50" t="s">
        <v>14886</v>
      </c>
      <c r="AO199" s="50" t="s">
        <v>14887</v>
      </c>
      <c r="AP199" s="50" t="s">
        <v>14887</v>
      </c>
      <c r="AU199" s="50" t="s">
        <v>102</v>
      </c>
      <c r="AW199" s="50" t="s">
        <v>102</v>
      </c>
      <c r="AX199" s="50" t="s">
        <v>119</v>
      </c>
      <c r="BA199" s="50" t="s">
        <v>250</v>
      </c>
      <c r="BB199" s="50" t="s">
        <v>120</v>
      </c>
      <c r="BC199" s="50" t="s">
        <v>2204</v>
      </c>
      <c r="BD199" s="50" t="s">
        <v>121</v>
      </c>
      <c r="BE199" s="50" t="s">
        <v>122</v>
      </c>
      <c r="BF199" s="50" t="s">
        <v>123</v>
      </c>
      <c r="BG199" s="50" t="s">
        <v>124</v>
      </c>
      <c r="BH199" s="50" t="s">
        <v>12023</v>
      </c>
      <c r="BI199" s="50" t="s">
        <v>11889</v>
      </c>
      <c r="BJ199" s="50" t="s">
        <v>127</v>
      </c>
      <c r="BK199" s="50" t="s">
        <v>14888</v>
      </c>
      <c r="BL199" s="50" t="s">
        <v>4622</v>
      </c>
      <c r="BM199" s="50" t="s">
        <v>14889</v>
      </c>
      <c r="BN199" s="50" t="s">
        <v>2950</v>
      </c>
      <c r="BO199" s="50" t="s">
        <v>1108</v>
      </c>
      <c r="BP199" s="50" t="s">
        <v>350</v>
      </c>
      <c r="BQ199" s="50" t="s">
        <v>1109</v>
      </c>
      <c r="BR199" s="50" t="s">
        <v>1110</v>
      </c>
      <c r="BS199" s="50" t="s">
        <v>1111</v>
      </c>
      <c r="BU199" s="50" t="s">
        <v>14890</v>
      </c>
      <c r="BV199" s="50" t="s">
        <v>4625</v>
      </c>
      <c r="BW199" s="50" t="s">
        <v>138</v>
      </c>
      <c r="BX199" s="50" t="s">
        <v>4628</v>
      </c>
      <c r="BY199" s="50" t="s">
        <v>4627</v>
      </c>
      <c r="BZ199" s="50" t="s">
        <v>4626</v>
      </c>
      <c r="CA199" s="50" t="s">
        <v>4625</v>
      </c>
      <c r="CB199" s="50" t="s">
        <v>4628</v>
      </c>
      <c r="CC199" s="50" t="s">
        <v>4627</v>
      </c>
      <c r="CD199" s="50" t="s">
        <v>14891</v>
      </c>
      <c r="CE199" s="50" t="s">
        <v>4626</v>
      </c>
      <c r="CF199" s="50" t="s">
        <v>4631</v>
      </c>
      <c r="CG199" s="50" t="s">
        <v>102</v>
      </c>
      <c r="CH199" s="50" t="s">
        <v>14892</v>
      </c>
      <c r="CJ199" s="50" t="s">
        <v>4633</v>
      </c>
      <c r="CL199" s="50" t="s">
        <v>2204</v>
      </c>
      <c r="CM199" s="50" t="s">
        <v>121</v>
      </c>
      <c r="CN199" s="50" t="s">
        <v>4633</v>
      </c>
      <c r="CO199" s="50" t="s">
        <v>4634</v>
      </c>
      <c r="CP199" s="50" t="s">
        <v>4632</v>
      </c>
      <c r="CQ199" s="50" t="s">
        <v>4632</v>
      </c>
    </row>
    <row r="200" spans="1:96">
      <c r="A200" s="50" t="s">
        <v>149</v>
      </c>
      <c r="B200" s="50">
        <v>3286324</v>
      </c>
      <c r="C200" s="50" t="s">
        <v>418</v>
      </c>
      <c r="D200" s="50" t="s">
        <v>5313</v>
      </c>
      <c r="E200" s="50" t="str">
        <f>VLOOKUP(B200,aa!B:F,5,0)</f>
        <v>Ei ASSET,Ei Mindspark</v>
      </c>
      <c r="F200" s="50">
        <f>VLOOKUP(B200,aa!B:J,9,0)</f>
        <v>2020993</v>
      </c>
      <c r="G200" s="50">
        <f>VLOOKUP(B200,aa!B:L,11,0)</f>
        <v>753663</v>
      </c>
      <c r="H200" s="50">
        <f>VLOOKUP(B200,aa!B:O,14,0)</f>
        <v>0</v>
      </c>
      <c r="I200" s="50">
        <f>VLOOKUP(B200,aa!B:R,17,0)</f>
        <v>1267330</v>
      </c>
      <c r="K200" s="50" t="s">
        <v>3549</v>
      </c>
      <c r="L200" s="50">
        <v>1876071</v>
      </c>
      <c r="M200" s="50">
        <v>2086630</v>
      </c>
      <c r="N200" s="50">
        <v>706301</v>
      </c>
      <c r="O200" s="50">
        <v>1044</v>
      </c>
      <c r="P200" s="50" t="s">
        <v>15388</v>
      </c>
      <c r="Q200" s="50">
        <v>0</v>
      </c>
      <c r="R200" s="50">
        <v>0</v>
      </c>
      <c r="T200" s="50">
        <v>1169770</v>
      </c>
      <c r="U200" s="50">
        <v>882</v>
      </c>
      <c r="V200" s="50" t="s">
        <v>15389</v>
      </c>
      <c r="W200" s="50" t="s">
        <v>102</v>
      </c>
      <c r="X200" s="50" t="s">
        <v>103</v>
      </c>
      <c r="Y200" s="50" t="s">
        <v>398</v>
      </c>
      <c r="AA200" s="50" t="s">
        <v>1305</v>
      </c>
      <c r="AB200" s="50" t="s">
        <v>15390</v>
      </c>
      <c r="AC200" s="50" t="s">
        <v>12467</v>
      </c>
      <c r="AD200" s="50" t="s">
        <v>15390</v>
      </c>
      <c r="AE200" s="50" t="s">
        <v>11952</v>
      </c>
      <c r="AF200" s="50" t="s">
        <v>15391</v>
      </c>
      <c r="AG200" s="50" t="s">
        <v>109</v>
      </c>
      <c r="AH200" s="50" t="s">
        <v>102</v>
      </c>
      <c r="AI200" s="50" t="s">
        <v>15392</v>
      </c>
      <c r="AJ200" s="50" t="s">
        <v>13216</v>
      </c>
      <c r="AK200" s="50" t="s">
        <v>13064</v>
      </c>
      <c r="AL200" s="50" t="s">
        <v>15393</v>
      </c>
      <c r="AM200" s="50" t="s">
        <v>15394</v>
      </c>
      <c r="AN200" s="50" t="s">
        <v>15395</v>
      </c>
      <c r="AO200" s="50" t="s">
        <v>15396</v>
      </c>
      <c r="AP200" s="50" t="s">
        <v>15396</v>
      </c>
      <c r="AU200" s="50" t="s">
        <v>318</v>
      </c>
      <c r="AV200" s="50" t="s">
        <v>118</v>
      </c>
      <c r="AW200" s="50" t="s">
        <v>102</v>
      </c>
      <c r="AX200" s="50" t="s">
        <v>119</v>
      </c>
      <c r="BA200" s="50" t="s">
        <v>250</v>
      </c>
      <c r="BB200" s="50" t="s">
        <v>120</v>
      </c>
      <c r="BC200" s="50" t="s">
        <v>920</v>
      </c>
      <c r="BD200" s="50" t="s">
        <v>211</v>
      </c>
      <c r="BE200" s="50" t="s">
        <v>212</v>
      </c>
      <c r="BF200" s="50" t="s">
        <v>213</v>
      </c>
      <c r="BG200" s="50" t="s">
        <v>124</v>
      </c>
      <c r="BH200" s="50" t="s">
        <v>8537</v>
      </c>
      <c r="BI200" s="50" t="s">
        <v>11960</v>
      </c>
      <c r="BJ200" s="50" t="s">
        <v>127</v>
      </c>
      <c r="BK200" s="50" t="s">
        <v>15397</v>
      </c>
      <c r="BL200" s="50" t="s">
        <v>5332</v>
      </c>
      <c r="BM200" s="50" t="s">
        <v>15398</v>
      </c>
      <c r="BN200" s="50" t="s">
        <v>2950</v>
      </c>
      <c r="BO200" s="50" t="s">
        <v>7108</v>
      </c>
      <c r="BP200" s="50" t="s">
        <v>180</v>
      </c>
      <c r="BQ200" s="50" t="s">
        <v>7109</v>
      </c>
      <c r="BR200" s="50" t="s">
        <v>2151</v>
      </c>
      <c r="BS200" s="50" t="s">
        <v>2151</v>
      </c>
      <c r="BU200" s="50" t="s">
        <v>15399</v>
      </c>
      <c r="BV200" s="50" t="s">
        <v>15400</v>
      </c>
      <c r="BW200" s="50" t="s">
        <v>138</v>
      </c>
      <c r="BX200" s="50" t="s">
        <v>5338</v>
      </c>
      <c r="BY200" s="50" t="s">
        <v>11527</v>
      </c>
      <c r="BZ200" s="50" t="s">
        <v>5338</v>
      </c>
      <c r="CA200" s="50" t="s">
        <v>15400</v>
      </c>
      <c r="CB200" s="50" t="s">
        <v>5338</v>
      </c>
      <c r="CC200" s="50" t="s">
        <v>11527</v>
      </c>
      <c r="CD200" s="50" t="s">
        <v>15400</v>
      </c>
      <c r="CE200" s="50" t="s">
        <v>5338</v>
      </c>
      <c r="CF200" s="50" t="s">
        <v>11527</v>
      </c>
      <c r="CG200" s="50" t="s">
        <v>102</v>
      </c>
      <c r="CH200" s="50" t="s">
        <v>5344</v>
      </c>
      <c r="CJ200" s="50" t="s">
        <v>5345</v>
      </c>
      <c r="CL200" s="50" t="s">
        <v>920</v>
      </c>
      <c r="CM200" s="50" t="s">
        <v>211</v>
      </c>
      <c r="CN200" s="50" t="s">
        <v>5345</v>
      </c>
      <c r="CO200" s="50" t="s">
        <v>5346</v>
      </c>
      <c r="CP200" s="50" t="s">
        <v>5344</v>
      </c>
      <c r="CQ200" s="50" t="s">
        <v>5344</v>
      </c>
      <c r="CR200" s="50" t="s">
        <v>26040</v>
      </c>
    </row>
    <row r="201" spans="1:96">
      <c r="A201" s="50" t="s">
        <v>337</v>
      </c>
      <c r="B201" s="50">
        <v>3301477</v>
      </c>
      <c r="C201" s="50" t="s">
        <v>11898</v>
      </c>
      <c r="D201" s="50" t="s">
        <v>15433</v>
      </c>
      <c r="E201" s="50" t="e">
        <f>VLOOKUP(B201,aa!B:F,5,0)</f>
        <v>#N/A</v>
      </c>
      <c r="F201" s="50" t="e">
        <f>VLOOKUP(B201,aa!B:J,9,0)</f>
        <v>#N/A</v>
      </c>
      <c r="G201" s="50" t="e">
        <f>VLOOKUP(B201,aa!B:L,11,0)</f>
        <v>#N/A</v>
      </c>
      <c r="H201" s="50" t="e">
        <f>VLOOKUP(B201,aa!B:O,14,0)</f>
        <v>#N/A</v>
      </c>
      <c r="I201" s="50" t="e">
        <f>VLOOKUP(B201,aa!B:R,17,0)</f>
        <v>#N/A</v>
      </c>
      <c r="K201" s="50" t="s">
        <v>152</v>
      </c>
      <c r="L201" s="50">
        <v>532928</v>
      </c>
      <c r="M201" s="50">
        <v>532928</v>
      </c>
      <c r="N201" s="50">
        <v>0</v>
      </c>
      <c r="O201" s="50">
        <v>0</v>
      </c>
      <c r="Q201" s="50">
        <v>532928</v>
      </c>
      <c r="R201" s="50">
        <v>731</v>
      </c>
      <c r="S201" s="50" t="s">
        <v>15434</v>
      </c>
      <c r="T201" s="50">
        <v>0</v>
      </c>
      <c r="U201" s="50">
        <v>0</v>
      </c>
      <c r="W201" s="50" t="s">
        <v>102</v>
      </c>
      <c r="X201" s="50" t="s">
        <v>103</v>
      </c>
      <c r="Y201" s="50" t="s">
        <v>155</v>
      </c>
      <c r="AA201" s="50" t="s">
        <v>2950</v>
      </c>
      <c r="AB201" s="50" t="s">
        <v>15435</v>
      </c>
      <c r="AC201" s="50" t="s">
        <v>1408</v>
      </c>
      <c r="AD201" s="50" t="s">
        <v>15435</v>
      </c>
      <c r="AE201" s="50" t="s">
        <v>12289</v>
      </c>
      <c r="AF201" s="50" t="s">
        <v>15435</v>
      </c>
      <c r="AG201" s="50" t="s">
        <v>11886</v>
      </c>
      <c r="AH201" s="50" t="s">
        <v>15435</v>
      </c>
      <c r="AI201" s="50" t="s">
        <v>102</v>
      </c>
      <c r="AJ201" s="50" t="s">
        <v>559</v>
      </c>
      <c r="AK201" s="50" t="s">
        <v>14267</v>
      </c>
      <c r="AL201" s="50" t="s">
        <v>15436</v>
      </c>
      <c r="AM201" s="50" t="s">
        <v>15437</v>
      </c>
      <c r="AN201" s="50" t="s">
        <v>15438</v>
      </c>
      <c r="AO201" s="50" t="s">
        <v>15439</v>
      </c>
      <c r="AP201" s="50" t="s">
        <v>15439</v>
      </c>
      <c r="AU201" s="50" t="s">
        <v>102</v>
      </c>
      <c r="AW201" s="50" t="s">
        <v>155</v>
      </c>
      <c r="AX201" s="50" t="s">
        <v>119</v>
      </c>
      <c r="AY201" s="50" t="s">
        <v>170</v>
      </c>
      <c r="AZ201" s="50" t="s">
        <v>118</v>
      </c>
      <c r="BB201" s="50" t="s">
        <v>120</v>
      </c>
      <c r="BC201" s="50" t="s">
        <v>251</v>
      </c>
      <c r="BD201" s="50" t="s">
        <v>252</v>
      </c>
      <c r="BE201" s="50" t="s">
        <v>122</v>
      </c>
      <c r="BF201" s="50" t="s">
        <v>253</v>
      </c>
      <c r="BG201" s="50" t="s">
        <v>124</v>
      </c>
      <c r="BH201" s="50" t="s">
        <v>2950</v>
      </c>
      <c r="BI201" s="50" t="s">
        <v>14400</v>
      </c>
      <c r="BJ201" s="50" t="s">
        <v>127</v>
      </c>
      <c r="BK201" s="50" t="s">
        <v>15440</v>
      </c>
      <c r="BL201" s="50" t="s">
        <v>15441</v>
      </c>
      <c r="BM201" s="50" t="s">
        <v>15442</v>
      </c>
      <c r="BN201" s="50" t="s">
        <v>2950</v>
      </c>
      <c r="BO201" s="50" t="s">
        <v>12453</v>
      </c>
      <c r="BP201" s="50" t="s">
        <v>180</v>
      </c>
      <c r="BQ201" s="50" t="s">
        <v>12454</v>
      </c>
      <c r="BR201" s="50" t="s">
        <v>12455</v>
      </c>
      <c r="BS201" s="50" t="s">
        <v>1995</v>
      </c>
      <c r="BT201" s="50" t="s">
        <v>1111</v>
      </c>
      <c r="BU201" s="50" t="s">
        <v>15443</v>
      </c>
      <c r="BV201" s="50" t="s">
        <v>15444</v>
      </c>
      <c r="BW201" s="50" t="s">
        <v>354</v>
      </c>
      <c r="BX201" s="50" t="s">
        <v>15445</v>
      </c>
      <c r="BY201" s="50" t="s">
        <v>15446</v>
      </c>
      <c r="BZ201" s="50" t="s">
        <v>15445</v>
      </c>
      <c r="CA201" s="50" t="s">
        <v>15447</v>
      </c>
      <c r="CB201" s="50" t="s">
        <v>15445</v>
      </c>
      <c r="CC201" s="50" t="s">
        <v>15448</v>
      </c>
      <c r="CD201" s="50" t="s">
        <v>15447</v>
      </c>
      <c r="CE201" s="50" t="s">
        <v>15445</v>
      </c>
      <c r="CF201" s="50" t="s">
        <v>15448</v>
      </c>
      <c r="CG201" s="50" t="s">
        <v>5811</v>
      </c>
      <c r="CH201" s="50" t="s">
        <v>15449</v>
      </c>
      <c r="CJ201" s="50" t="s">
        <v>270</v>
      </c>
      <c r="CK201" s="50" t="s">
        <v>15450</v>
      </c>
      <c r="CL201" s="50" t="s">
        <v>251</v>
      </c>
      <c r="CM201" s="50" t="s">
        <v>252</v>
      </c>
      <c r="CN201" s="50" t="s">
        <v>270</v>
      </c>
      <c r="CP201" s="50" t="s">
        <v>15451</v>
      </c>
      <c r="CQ201" s="50" t="s">
        <v>15451</v>
      </c>
    </row>
    <row r="202" spans="1:96">
      <c r="A202" s="50" t="s">
        <v>149</v>
      </c>
      <c r="B202" s="50">
        <v>650967</v>
      </c>
      <c r="C202" s="50" t="s">
        <v>418</v>
      </c>
      <c r="D202" s="50" t="s">
        <v>11512</v>
      </c>
      <c r="E202" s="50" t="str">
        <f>VLOOKUP(B202,aa!B:F,5,0)</f>
        <v>Ei ASSET,Ei Mindspark</v>
      </c>
      <c r="F202" s="50">
        <f>VLOOKUP(B202,aa!B:J,9,0)</f>
        <v>2110253</v>
      </c>
      <c r="G202" s="50">
        <f>VLOOKUP(B202,aa!B:L,11,0)</f>
        <v>782574</v>
      </c>
      <c r="H202" s="50">
        <f>VLOOKUP(B202,aa!B:O,14,0)</f>
        <v>0</v>
      </c>
      <c r="I202" s="50">
        <f>VLOOKUP(B202,aa!B:R,17,0)</f>
        <v>1327679</v>
      </c>
      <c r="K202" s="50" t="s">
        <v>3549</v>
      </c>
      <c r="L202" s="50">
        <v>1895266</v>
      </c>
      <c r="M202" s="50">
        <v>2109307</v>
      </c>
      <c r="N202" s="50">
        <v>706149</v>
      </c>
      <c r="O202" s="50">
        <v>1044</v>
      </c>
      <c r="P202" s="50" t="s">
        <v>21402</v>
      </c>
      <c r="Q202" s="50">
        <v>0</v>
      </c>
      <c r="R202" s="50">
        <v>0</v>
      </c>
      <c r="T202" s="50">
        <v>1189117</v>
      </c>
      <c r="U202" s="50">
        <v>897</v>
      </c>
      <c r="V202" s="50" t="s">
        <v>15389</v>
      </c>
      <c r="W202" s="50" t="s">
        <v>102</v>
      </c>
      <c r="X202" s="50" t="s">
        <v>103</v>
      </c>
      <c r="Y202" s="50" t="s">
        <v>398</v>
      </c>
      <c r="AA202" s="50" t="s">
        <v>1305</v>
      </c>
      <c r="AB202" s="50" t="s">
        <v>21403</v>
      </c>
      <c r="AC202" s="50" t="s">
        <v>12467</v>
      </c>
      <c r="AD202" s="50" t="s">
        <v>21403</v>
      </c>
      <c r="AE202" s="50" t="s">
        <v>11952</v>
      </c>
      <c r="AF202" s="50" t="s">
        <v>21404</v>
      </c>
      <c r="AG202" s="50" t="s">
        <v>109</v>
      </c>
      <c r="AH202" s="50" t="s">
        <v>102</v>
      </c>
      <c r="AI202" s="50" t="s">
        <v>21405</v>
      </c>
      <c r="AJ202" s="50" t="s">
        <v>13216</v>
      </c>
      <c r="AK202" s="50" t="s">
        <v>13064</v>
      </c>
      <c r="AL202" s="50" t="s">
        <v>21406</v>
      </c>
      <c r="AM202" s="50" t="s">
        <v>21407</v>
      </c>
      <c r="AN202" s="50" t="s">
        <v>21408</v>
      </c>
      <c r="AO202" s="50" t="s">
        <v>21409</v>
      </c>
      <c r="AP202" s="50" t="s">
        <v>21409</v>
      </c>
      <c r="AU202" s="50" t="s">
        <v>318</v>
      </c>
      <c r="AV202" s="50" t="s">
        <v>118</v>
      </c>
      <c r="AW202" s="50" t="s">
        <v>102</v>
      </c>
      <c r="AX202" s="50" t="s">
        <v>119</v>
      </c>
      <c r="BA202" s="50" t="s">
        <v>250</v>
      </c>
      <c r="BB202" s="50" t="s">
        <v>120</v>
      </c>
      <c r="BC202" s="50" t="s">
        <v>920</v>
      </c>
      <c r="BD202" s="50" t="s">
        <v>211</v>
      </c>
      <c r="BE202" s="50" t="s">
        <v>212</v>
      </c>
      <c r="BF202" s="50" t="s">
        <v>213</v>
      </c>
      <c r="BG202" s="50" t="s">
        <v>124</v>
      </c>
      <c r="BH202" s="50" t="s">
        <v>8537</v>
      </c>
      <c r="BI202" s="50" t="s">
        <v>11960</v>
      </c>
      <c r="BJ202" s="50" t="s">
        <v>127</v>
      </c>
      <c r="BK202" s="50" t="s">
        <v>21410</v>
      </c>
      <c r="BL202" s="50" t="s">
        <v>11523</v>
      </c>
      <c r="BM202" s="50" t="s">
        <v>21411</v>
      </c>
      <c r="BN202" s="50" t="s">
        <v>2950</v>
      </c>
      <c r="BO202" s="50" t="s">
        <v>7108</v>
      </c>
      <c r="BP202" s="50" t="s">
        <v>180</v>
      </c>
      <c r="BQ202" s="50" t="s">
        <v>7109</v>
      </c>
      <c r="BR202" s="50" t="s">
        <v>2151</v>
      </c>
      <c r="BS202" s="50" t="s">
        <v>2151</v>
      </c>
      <c r="BU202" s="50" t="s">
        <v>21412</v>
      </c>
      <c r="BV202" s="50" t="s">
        <v>21413</v>
      </c>
      <c r="BW202" s="50" t="s">
        <v>138</v>
      </c>
      <c r="BX202" s="50" t="s">
        <v>5338</v>
      </c>
      <c r="BY202" s="50" t="s">
        <v>11527</v>
      </c>
      <c r="BZ202" s="50" t="s">
        <v>5338</v>
      </c>
      <c r="CA202" s="50" t="s">
        <v>21413</v>
      </c>
      <c r="CB202" s="50" t="s">
        <v>5338</v>
      </c>
      <c r="CC202" s="50" t="s">
        <v>11527</v>
      </c>
      <c r="CD202" s="50" t="s">
        <v>21413</v>
      </c>
      <c r="CE202" s="50" t="s">
        <v>5338</v>
      </c>
      <c r="CF202" s="50" t="s">
        <v>11527</v>
      </c>
      <c r="CG202" s="50" t="s">
        <v>102</v>
      </c>
      <c r="CH202" s="50" t="s">
        <v>11531</v>
      </c>
      <c r="CJ202" s="50" t="s">
        <v>9938</v>
      </c>
      <c r="CL202" s="50" t="s">
        <v>920</v>
      </c>
      <c r="CM202" s="50" t="s">
        <v>211</v>
      </c>
      <c r="CN202" s="50" t="s">
        <v>9938</v>
      </c>
      <c r="CO202" s="50" t="s">
        <v>5346</v>
      </c>
      <c r="CP202" s="50" t="s">
        <v>11531</v>
      </c>
      <c r="CQ202" s="50" t="s">
        <v>11531</v>
      </c>
      <c r="CR202" s="50" t="s">
        <v>26040</v>
      </c>
    </row>
    <row r="203" spans="1:96">
      <c r="A203" s="50" t="s">
        <v>337</v>
      </c>
      <c r="B203" s="50">
        <v>5018499</v>
      </c>
      <c r="C203" s="50" t="s">
        <v>11898</v>
      </c>
      <c r="D203" s="50" t="s">
        <v>19919</v>
      </c>
      <c r="E203" s="50" t="str">
        <f>VLOOKUP(B203,aa!B:F,5,0)</f>
        <v>Ei ASSET</v>
      </c>
      <c r="F203" s="50">
        <f>VLOOKUP(B203,aa!B:J,9,0)</f>
        <v>438375</v>
      </c>
      <c r="G203" s="50">
        <f>VLOOKUP(B203,aa!B:L,11,0)</f>
        <v>438375</v>
      </c>
      <c r="H203" s="50">
        <f>VLOOKUP(B203,aa!B:O,14,0)</f>
        <v>0</v>
      </c>
      <c r="I203" s="50">
        <f>VLOOKUP(B203,aa!B:R,17,0)</f>
        <v>0</v>
      </c>
      <c r="K203" s="50" t="s">
        <v>675</v>
      </c>
      <c r="L203" s="50">
        <v>777687</v>
      </c>
      <c r="M203" s="50">
        <v>777687</v>
      </c>
      <c r="N203" s="50">
        <v>419958</v>
      </c>
      <c r="O203" s="50">
        <v>840</v>
      </c>
      <c r="P203" s="50" t="s">
        <v>364</v>
      </c>
      <c r="Q203" s="50">
        <v>357729</v>
      </c>
      <c r="R203" s="50">
        <v>265</v>
      </c>
      <c r="S203" s="50" t="s">
        <v>397</v>
      </c>
      <c r="T203" s="50">
        <v>0</v>
      </c>
      <c r="U203" s="50">
        <v>0</v>
      </c>
      <c r="W203" s="50" t="s">
        <v>102</v>
      </c>
      <c r="X203" s="50" t="s">
        <v>103</v>
      </c>
      <c r="Y203" s="50" t="s">
        <v>938</v>
      </c>
      <c r="AA203" s="50" t="s">
        <v>19920</v>
      </c>
      <c r="AB203" s="50" t="s">
        <v>19921</v>
      </c>
      <c r="AC203" s="50" t="s">
        <v>19922</v>
      </c>
      <c r="AD203" s="50" t="s">
        <v>19923</v>
      </c>
      <c r="AE203" s="50" t="s">
        <v>19924</v>
      </c>
      <c r="AF203" s="50" t="s">
        <v>19921</v>
      </c>
      <c r="AG203" s="50" t="s">
        <v>12216</v>
      </c>
      <c r="AH203" s="50" t="s">
        <v>19925</v>
      </c>
      <c r="AI203" s="50" t="s">
        <v>19926</v>
      </c>
      <c r="AJ203" s="50" t="s">
        <v>559</v>
      </c>
      <c r="AK203" s="50" t="s">
        <v>19927</v>
      </c>
      <c r="AL203" s="50" t="s">
        <v>19928</v>
      </c>
      <c r="AM203" s="50" t="s">
        <v>19929</v>
      </c>
      <c r="AN203" s="50" t="s">
        <v>19930</v>
      </c>
      <c r="AO203" s="50" t="s">
        <v>19931</v>
      </c>
      <c r="AP203" s="50" t="s">
        <v>19931</v>
      </c>
      <c r="AU203" s="50" t="s">
        <v>247</v>
      </c>
      <c r="AV203" s="50" t="s">
        <v>118</v>
      </c>
      <c r="AW203" s="50" t="s">
        <v>655</v>
      </c>
      <c r="AX203" s="50" t="s">
        <v>249</v>
      </c>
      <c r="AY203" s="50" t="s">
        <v>170</v>
      </c>
      <c r="AZ203" s="50" t="s">
        <v>118</v>
      </c>
      <c r="BB203" s="50" t="s">
        <v>120</v>
      </c>
      <c r="BC203" s="50" t="s">
        <v>8930</v>
      </c>
      <c r="BD203" s="50" t="s">
        <v>8930</v>
      </c>
      <c r="BE203" s="50" t="s">
        <v>122</v>
      </c>
      <c r="BF203" s="50" t="s">
        <v>346</v>
      </c>
      <c r="BG203" s="50" t="s">
        <v>124</v>
      </c>
      <c r="BH203" s="50" t="s">
        <v>12023</v>
      </c>
      <c r="BI203" s="50" t="s">
        <v>11889</v>
      </c>
      <c r="BJ203" s="50" t="s">
        <v>127</v>
      </c>
      <c r="BK203" s="50" t="s">
        <v>19932</v>
      </c>
      <c r="BL203" s="50" t="s">
        <v>19933</v>
      </c>
      <c r="BM203" s="50" t="s">
        <v>19934</v>
      </c>
      <c r="BN203" s="50" t="s">
        <v>19920</v>
      </c>
      <c r="BO203" s="50" t="s">
        <v>349</v>
      </c>
      <c r="BP203" s="50" t="s">
        <v>2928</v>
      </c>
      <c r="BQ203" s="50" t="s">
        <v>351</v>
      </c>
      <c r="BR203" s="50" t="s">
        <v>352</v>
      </c>
      <c r="BS203" s="50" t="s">
        <v>6249</v>
      </c>
      <c r="BU203" s="50" t="s">
        <v>19935</v>
      </c>
      <c r="BV203" s="50" t="s">
        <v>19936</v>
      </c>
      <c r="BW203" s="50" t="s">
        <v>138</v>
      </c>
      <c r="BX203" s="50" t="s">
        <v>19937</v>
      </c>
      <c r="BY203" s="50" t="s">
        <v>19938</v>
      </c>
      <c r="BZ203" s="50" t="s">
        <v>19939</v>
      </c>
      <c r="CA203" s="50" t="s">
        <v>19940</v>
      </c>
      <c r="CB203" s="50" t="s">
        <v>19941</v>
      </c>
      <c r="CC203" s="50" t="s">
        <v>19942</v>
      </c>
      <c r="CD203" s="50" t="s">
        <v>19940</v>
      </c>
      <c r="CE203" s="50" t="s">
        <v>19941</v>
      </c>
      <c r="CF203" s="50" t="s">
        <v>19942</v>
      </c>
      <c r="CG203" s="50" t="s">
        <v>19943</v>
      </c>
      <c r="CH203" s="50" t="s">
        <v>19944</v>
      </c>
      <c r="CJ203" s="50" t="s">
        <v>19945</v>
      </c>
      <c r="CK203" s="50" t="s">
        <v>19946</v>
      </c>
      <c r="CL203" s="50" t="s">
        <v>8930</v>
      </c>
      <c r="CM203" s="50" t="s">
        <v>8930</v>
      </c>
      <c r="CN203" s="50" t="s">
        <v>19945</v>
      </c>
      <c r="CP203" s="50" t="s">
        <v>19947</v>
      </c>
      <c r="CQ203" s="50" t="s">
        <v>19947</v>
      </c>
    </row>
    <row r="204" spans="1:96">
      <c r="A204" s="50" t="s">
        <v>149</v>
      </c>
      <c r="B204" s="50">
        <v>1873384</v>
      </c>
      <c r="C204" s="50" t="s">
        <v>985</v>
      </c>
      <c r="D204" s="50" t="s">
        <v>2122</v>
      </c>
      <c r="E204" s="50" t="e">
        <f>VLOOKUP(B204,aa!B:F,5,0)</f>
        <v>#N/A</v>
      </c>
      <c r="F204" s="50" t="e">
        <f>VLOOKUP(B204,aa!B:J,9,0)</f>
        <v>#N/A</v>
      </c>
      <c r="G204" s="50" t="e">
        <f>VLOOKUP(B204,aa!B:L,11,0)</f>
        <v>#N/A</v>
      </c>
      <c r="H204" s="50" t="e">
        <f>VLOOKUP(B204,aa!B:O,14,0)</f>
        <v>#N/A</v>
      </c>
      <c r="I204" s="50" t="e">
        <f>VLOOKUP(B204,aa!B:R,17,0)</f>
        <v>#N/A</v>
      </c>
      <c r="K204" s="50" t="s">
        <v>97</v>
      </c>
      <c r="L204" s="50">
        <v>715065</v>
      </c>
      <c r="M204" s="50">
        <v>715065</v>
      </c>
      <c r="N204" s="50">
        <v>715065</v>
      </c>
      <c r="O204" s="50">
        <v>1300</v>
      </c>
      <c r="P204" s="50" t="s">
        <v>3431</v>
      </c>
      <c r="Q204" s="50">
        <v>0</v>
      </c>
      <c r="R204" s="50">
        <v>0</v>
      </c>
      <c r="T204" s="50">
        <v>0</v>
      </c>
      <c r="U204" s="50">
        <v>0</v>
      </c>
      <c r="W204" s="50" t="s">
        <v>102</v>
      </c>
      <c r="X204" s="50" t="s">
        <v>275</v>
      </c>
      <c r="Z204" s="50" t="s">
        <v>559</v>
      </c>
      <c r="AA204" s="50" t="s">
        <v>109</v>
      </c>
      <c r="AB204" s="50" t="s">
        <v>102</v>
      </c>
      <c r="AC204" s="50" t="s">
        <v>109</v>
      </c>
      <c r="AD204" s="50" t="s">
        <v>102</v>
      </c>
      <c r="AE204" s="50" t="s">
        <v>109</v>
      </c>
      <c r="AF204" s="50" t="s">
        <v>102</v>
      </c>
      <c r="AG204" s="50" t="s">
        <v>109</v>
      </c>
      <c r="AH204" s="50" t="s">
        <v>102</v>
      </c>
      <c r="AI204" s="50" t="s">
        <v>102</v>
      </c>
      <c r="AJ204" s="50" t="s">
        <v>12887</v>
      </c>
      <c r="AK204" s="50" t="s">
        <v>13075</v>
      </c>
      <c r="AL204" s="50" t="s">
        <v>13076</v>
      </c>
      <c r="AM204" s="50" t="s">
        <v>13077</v>
      </c>
      <c r="AN204" s="50" t="s">
        <v>13078</v>
      </c>
      <c r="AO204" s="50" t="s">
        <v>3438</v>
      </c>
      <c r="AP204" s="50" t="s">
        <v>3438</v>
      </c>
      <c r="AU204" s="50" t="s">
        <v>318</v>
      </c>
      <c r="AV204" s="50" t="s">
        <v>118</v>
      </c>
      <c r="AW204" s="50" t="s">
        <v>102</v>
      </c>
      <c r="AX204" s="50" t="s">
        <v>119</v>
      </c>
      <c r="BB204" s="50" t="s">
        <v>120</v>
      </c>
      <c r="BC204" s="50" t="s">
        <v>2127</v>
      </c>
      <c r="BD204" s="50" t="s">
        <v>621</v>
      </c>
      <c r="BE204" s="50" t="s">
        <v>622</v>
      </c>
      <c r="BF204" s="50" t="s">
        <v>976</v>
      </c>
      <c r="BG204" s="50" t="s">
        <v>124</v>
      </c>
      <c r="BH204" s="50" t="s">
        <v>12023</v>
      </c>
      <c r="BI204" s="50" t="s">
        <v>11889</v>
      </c>
      <c r="BJ204" s="50" t="s">
        <v>127</v>
      </c>
      <c r="BK204" s="50" t="s">
        <v>13079</v>
      </c>
      <c r="BL204" s="50" t="s">
        <v>2129</v>
      </c>
      <c r="BM204" s="50" t="s">
        <v>13080</v>
      </c>
      <c r="BN204" s="50" t="s">
        <v>3485</v>
      </c>
      <c r="BO204" s="50" t="s">
        <v>981</v>
      </c>
      <c r="BP204" s="50" t="s">
        <v>132</v>
      </c>
      <c r="BQ204" s="50" t="s">
        <v>982</v>
      </c>
      <c r="BR204" s="50" t="s">
        <v>983</v>
      </c>
      <c r="BS204" s="50" t="s">
        <v>984</v>
      </c>
      <c r="BU204" s="50" t="s">
        <v>13081</v>
      </c>
      <c r="BV204" s="50" t="s">
        <v>13082</v>
      </c>
      <c r="BX204" s="50" t="s">
        <v>13083</v>
      </c>
      <c r="BY204" s="50" t="s">
        <v>13084</v>
      </c>
      <c r="BZ204" s="50" t="s">
        <v>2135</v>
      </c>
      <c r="CA204" s="50" t="s">
        <v>13085</v>
      </c>
      <c r="CB204" s="50" t="s">
        <v>2133</v>
      </c>
      <c r="CC204" s="50" t="s">
        <v>13084</v>
      </c>
      <c r="CD204" s="50" t="s">
        <v>13086</v>
      </c>
      <c r="CE204" s="50" t="s">
        <v>13087</v>
      </c>
      <c r="CF204" s="50" t="s">
        <v>13088</v>
      </c>
      <c r="CG204" s="50" t="s">
        <v>102</v>
      </c>
      <c r="CH204" s="50" t="s">
        <v>13089</v>
      </c>
      <c r="CJ204" s="50" t="s">
        <v>2137</v>
      </c>
      <c r="CL204" s="50" t="s">
        <v>2127</v>
      </c>
      <c r="CM204" s="50" t="s">
        <v>621</v>
      </c>
      <c r="CN204" s="50" t="s">
        <v>2137</v>
      </c>
      <c r="CP204" s="50" t="s">
        <v>2136</v>
      </c>
      <c r="CQ204" s="50" t="s">
        <v>2136</v>
      </c>
      <c r="CR204" s="50" t="s">
        <v>26040</v>
      </c>
    </row>
    <row r="205" spans="1:96">
      <c r="A205" s="50" t="s">
        <v>337</v>
      </c>
      <c r="B205" s="50">
        <v>241346</v>
      </c>
      <c r="C205" s="50" t="s">
        <v>2525</v>
      </c>
      <c r="D205" s="50" t="s">
        <v>4754</v>
      </c>
      <c r="E205" s="50" t="e">
        <f>VLOOKUP(B205,aa!B:F,5,0)</f>
        <v>#N/A</v>
      </c>
      <c r="F205" s="50" t="e">
        <f>VLOOKUP(B205,aa!B:J,9,0)</f>
        <v>#N/A</v>
      </c>
      <c r="G205" s="50" t="e">
        <f>VLOOKUP(B205,aa!B:L,11,0)</f>
        <v>#N/A</v>
      </c>
      <c r="H205" s="50" t="e">
        <f>VLOOKUP(B205,aa!B:O,14,0)</f>
        <v>#N/A</v>
      </c>
      <c r="I205" s="50" t="e">
        <f>VLOOKUP(B205,aa!B:R,17,0)</f>
        <v>#N/A</v>
      </c>
      <c r="K205" s="50" t="s">
        <v>848</v>
      </c>
      <c r="L205" s="50">
        <v>434422</v>
      </c>
      <c r="M205" s="50">
        <v>512618</v>
      </c>
      <c r="N205" s="50">
        <v>0</v>
      </c>
      <c r="O205" s="50">
        <v>0</v>
      </c>
      <c r="Q205" s="50">
        <v>0</v>
      </c>
      <c r="R205" s="50">
        <v>0</v>
      </c>
      <c r="T205" s="50">
        <v>434422</v>
      </c>
      <c r="U205" s="50">
        <v>181</v>
      </c>
      <c r="V205" s="50" t="s">
        <v>4372</v>
      </c>
      <c r="W205" s="50" t="s">
        <v>102</v>
      </c>
      <c r="X205" s="50" t="s">
        <v>103</v>
      </c>
      <c r="Y205" s="50" t="s">
        <v>155</v>
      </c>
      <c r="AA205" s="50" t="s">
        <v>12023</v>
      </c>
      <c r="AB205" s="50" t="s">
        <v>13923</v>
      </c>
      <c r="AC205" s="50" t="s">
        <v>11976</v>
      </c>
      <c r="AD205" s="50" t="s">
        <v>13923</v>
      </c>
      <c r="AE205" s="50" t="s">
        <v>11888</v>
      </c>
      <c r="AF205" s="50" t="s">
        <v>13923</v>
      </c>
      <c r="AG205" s="50" t="s">
        <v>11886</v>
      </c>
      <c r="AH205" s="50" t="s">
        <v>13923</v>
      </c>
      <c r="AI205" s="50" t="s">
        <v>102</v>
      </c>
      <c r="AL205" s="50" t="s">
        <v>13924</v>
      </c>
      <c r="AM205" s="50" t="s">
        <v>102</v>
      </c>
      <c r="AN205" s="50" t="s">
        <v>13924</v>
      </c>
      <c r="AO205" s="50" t="s">
        <v>7699</v>
      </c>
      <c r="AP205" s="50" t="s">
        <v>7699</v>
      </c>
      <c r="AU205" s="50" t="s">
        <v>102</v>
      </c>
      <c r="AW205" s="50" t="s">
        <v>102</v>
      </c>
      <c r="AX205" s="50" t="s">
        <v>119</v>
      </c>
      <c r="BA205" s="50" t="s">
        <v>250</v>
      </c>
      <c r="BB205" s="50" t="s">
        <v>120</v>
      </c>
      <c r="BC205" s="50" t="s">
        <v>2258</v>
      </c>
      <c r="BD205" s="50" t="s">
        <v>730</v>
      </c>
      <c r="BE205" s="50" t="s">
        <v>622</v>
      </c>
      <c r="BF205" s="50" t="s">
        <v>730</v>
      </c>
      <c r="BG205" s="50" t="s">
        <v>124</v>
      </c>
      <c r="BH205" s="50" t="s">
        <v>12023</v>
      </c>
      <c r="BI205" s="50" t="s">
        <v>11889</v>
      </c>
      <c r="BJ205" s="50" t="s">
        <v>127</v>
      </c>
      <c r="BK205" s="50" t="s">
        <v>13925</v>
      </c>
      <c r="BL205" s="50" t="s">
        <v>13926</v>
      </c>
      <c r="BM205" s="50" t="s">
        <v>13927</v>
      </c>
      <c r="BN205" s="50" t="s">
        <v>3485</v>
      </c>
      <c r="BO205" s="50" t="s">
        <v>2262</v>
      </c>
      <c r="BP205" s="50" t="s">
        <v>350</v>
      </c>
      <c r="BQ205" s="50" t="s">
        <v>2263</v>
      </c>
      <c r="BR205" s="50" t="s">
        <v>2264</v>
      </c>
      <c r="BS205" s="50" t="s">
        <v>2331</v>
      </c>
      <c r="BU205" s="50" t="s">
        <v>13928</v>
      </c>
      <c r="BV205" s="50" t="s">
        <v>13929</v>
      </c>
      <c r="BW205" s="50" t="s">
        <v>138</v>
      </c>
      <c r="BX205" s="50" t="s">
        <v>13930</v>
      </c>
      <c r="BY205" s="50" t="s">
        <v>13931</v>
      </c>
      <c r="BZ205" s="50" t="s">
        <v>13932</v>
      </c>
      <c r="CA205" s="50" t="s">
        <v>13933</v>
      </c>
      <c r="CB205" s="50" t="s">
        <v>13932</v>
      </c>
      <c r="CC205" s="50" t="s">
        <v>13931</v>
      </c>
      <c r="CD205" s="50" t="s">
        <v>13933</v>
      </c>
      <c r="CE205" s="50" t="s">
        <v>13932</v>
      </c>
      <c r="CF205" s="50" t="s">
        <v>13931</v>
      </c>
      <c r="CG205" s="50" t="s">
        <v>13934</v>
      </c>
      <c r="CH205" s="50" t="s">
        <v>13935</v>
      </c>
      <c r="CJ205" s="50" t="s">
        <v>2532</v>
      </c>
      <c r="CK205" s="50" t="s">
        <v>13935</v>
      </c>
      <c r="CL205" s="50" t="s">
        <v>2258</v>
      </c>
      <c r="CM205" s="50" t="s">
        <v>2273</v>
      </c>
      <c r="CN205" s="50" t="s">
        <v>2532</v>
      </c>
      <c r="CP205" s="50" t="s">
        <v>13936</v>
      </c>
      <c r="CQ205" s="50" t="s">
        <v>13936</v>
      </c>
      <c r="CR205" s="50" t="s">
        <v>26042</v>
      </c>
    </row>
    <row r="206" spans="1:96">
      <c r="A206" s="50" t="s">
        <v>149</v>
      </c>
      <c r="B206" s="50">
        <v>3270957</v>
      </c>
      <c r="C206" s="50" t="s">
        <v>384</v>
      </c>
      <c r="D206" s="50" t="s">
        <v>5163</v>
      </c>
      <c r="E206" s="50" t="str">
        <f>VLOOKUP(B206,aa!B:F,5,0)</f>
        <v>Ei ASSET,Ei CARES</v>
      </c>
      <c r="F206" s="50">
        <f>VLOOKUP(B206,aa!B:J,9,0)</f>
        <v>1496782</v>
      </c>
      <c r="G206" s="50">
        <f>VLOOKUP(B206,aa!B:L,11,0)</f>
        <v>607869</v>
      </c>
      <c r="H206" s="50">
        <f>VLOOKUP(B206,aa!B:O,14,0)</f>
        <v>888913</v>
      </c>
      <c r="I206" s="50">
        <f>VLOOKUP(B206,aa!B:R,17,0)</f>
        <v>0</v>
      </c>
      <c r="K206" s="50" t="s">
        <v>675</v>
      </c>
      <c r="L206" s="50">
        <v>1681317</v>
      </c>
      <c r="M206" s="50">
        <v>1681317</v>
      </c>
      <c r="N206" s="50">
        <v>638176</v>
      </c>
      <c r="O206" s="50">
        <v>1021</v>
      </c>
      <c r="P206" s="50" t="s">
        <v>15308</v>
      </c>
      <c r="Q206" s="50">
        <v>1043141</v>
      </c>
      <c r="R206" s="50">
        <v>638</v>
      </c>
      <c r="S206" s="50" t="s">
        <v>15309</v>
      </c>
      <c r="T206" s="50">
        <v>0</v>
      </c>
      <c r="U206" s="50">
        <v>0</v>
      </c>
      <c r="W206" s="50" t="s">
        <v>102</v>
      </c>
      <c r="X206" s="50" t="s">
        <v>275</v>
      </c>
      <c r="Z206" s="50" t="s">
        <v>559</v>
      </c>
      <c r="AA206" s="50" t="s">
        <v>109</v>
      </c>
      <c r="AB206" s="50" t="s">
        <v>102</v>
      </c>
      <c r="AC206" s="50" t="s">
        <v>109</v>
      </c>
      <c r="AD206" s="50" t="s">
        <v>102</v>
      </c>
      <c r="AE206" s="50" t="s">
        <v>109</v>
      </c>
      <c r="AF206" s="50" t="s">
        <v>102</v>
      </c>
      <c r="AG206" s="50" t="s">
        <v>109</v>
      </c>
      <c r="AH206" s="50" t="s">
        <v>102</v>
      </c>
      <c r="AI206" s="50" t="s">
        <v>102</v>
      </c>
      <c r="AJ206" s="50" t="s">
        <v>559</v>
      </c>
      <c r="AK206" s="50" t="s">
        <v>559</v>
      </c>
      <c r="AL206" s="50" t="s">
        <v>15310</v>
      </c>
      <c r="AM206" s="50" t="s">
        <v>15310</v>
      </c>
      <c r="AN206" s="50" t="s">
        <v>102</v>
      </c>
      <c r="AO206" s="50" t="s">
        <v>15311</v>
      </c>
      <c r="AP206" s="50" t="s">
        <v>15311</v>
      </c>
      <c r="AU206" s="50" t="s">
        <v>247</v>
      </c>
      <c r="AV206" s="50" t="s">
        <v>118</v>
      </c>
      <c r="AW206" s="50" t="s">
        <v>3536</v>
      </c>
      <c r="AX206" s="50" t="s">
        <v>249</v>
      </c>
      <c r="AY206" s="50" t="s">
        <v>170</v>
      </c>
      <c r="AZ206" s="50" t="s">
        <v>118</v>
      </c>
      <c r="BB206" s="50" t="s">
        <v>120</v>
      </c>
      <c r="BC206" s="50" t="s">
        <v>5173</v>
      </c>
      <c r="BD206" s="50" t="s">
        <v>1171</v>
      </c>
      <c r="BE206" s="50" t="s">
        <v>174</v>
      </c>
      <c r="BF206" s="50" t="s">
        <v>1172</v>
      </c>
      <c r="BG206" s="50" t="s">
        <v>124</v>
      </c>
      <c r="BH206" s="50" t="s">
        <v>15312</v>
      </c>
      <c r="BI206" s="50" t="s">
        <v>11889</v>
      </c>
      <c r="BJ206" s="50" t="s">
        <v>127</v>
      </c>
      <c r="BK206" s="50" t="s">
        <v>15313</v>
      </c>
      <c r="BL206" s="50" t="s">
        <v>5175</v>
      </c>
      <c r="BM206" s="50" t="s">
        <v>15314</v>
      </c>
      <c r="BN206" s="50" t="s">
        <v>3485</v>
      </c>
      <c r="BO206" s="50" t="s">
        <v>1917</v>
      </c>
      <c r="BP206" s="50" t="s">
        <v>7992</v>
      </c>
      <c r="BQ206" s="50" t="s">
        <v>1918</v>
      </c>
      <c r="BR206" s="50" t="s">
        <v>1919</v>
      </c>
      <c r="BS206" s="50" t="s">
        <v>5177</v>
      </c>
      <c r="BU206" s="50" t="s">
        <v>15315</v>
      </c>
      <c r="BV206" s="50" t="s">
        <v>15316</v>
      </c>
      <c r="BW206" s="50" t="s">
        <v>138</v>
      </c>
      <c r="BX206" s="50" t="s">
        <v>5184</v>
      </c>
      <c r="BY206" s="50" t="s">
        <v>15317</v>
      </c>
      <c r="BZ206" s="50" t="s">
        <v>5182</v>
      </c>
      <c r="CA206" s="50" t="s">
        <v>15316</v>
      </c>
      <c r="CB206" s="50" t="s">
        <v>5184</v>
      </c>
      <c r="CC206" s="50" t="s">
        <v>15317</v>
      </c>
      <c r="CD206" s="50" t="s">
        <v>15316</v>
      </c>
      <c r="CE206" s="50" t="s">
        <v>5184</v>
      </c>
      <c r="CF206" s="50" t="s">
        <v>15317</v>
      </c>
      <c r="CG206" s="50" t="s">
        <v>358</v>
      </c>
      <c r="CH206" s="50" t="s">
        <v>15318</v>
      </c>
      <c r="CJ206" s="50" t="s">
        <v>5186</v>
      </c>
      <c r="CK206" s="50" t="s">
        <v>5185</v>
      </c>
      <c r="CL206" s="50" t="s">
        <v>5173</v>
      </c>
      <c r="CM206" s="50" t="s">
        <v>1171</v>
      </c>
      <c r="CN206" s="50" t="s">
        <v>5186</v>
      </c>
      <c r="CP206" s="50" t="s">
        <v>5187</v>
      </c>
      <c r="CQ206" s="50" t="s">
        <v>5185</v>
      </c>
    </row>
    <row r="207" spans="1:96">
      <c r="A207" s="50" t="s">
        <v>337</v>
      </c>
      <c r="B207" s="50">
        <v>3791464</v>
      </c>
      <c r="C207" s="50" t="s">
        <v>12121</v>
      </c>
      <c r="D207" s="50" t="s">
        <v>16982</v>
      </c>
      <c r="E207" s="50" t="e">
        <f>VLOOKUP(B207,aa!B:F,5,0)</f>
        <v>#N/A</v>
      </c>
      <c r="F207" s="50" t="e">
        <f>VLOOKUP(B207,aa!B:J,9,0)</f>
        <v>#N/A</v>
      </c>
      <c r="G207" s="50" t="e">
        <f>VLOOKUP(B207,aa!B:L,11,0)</f>
        <v>#N/A</v>
      </c>
      <c r="H207" s="50" t="e">
        <f>VLOOKUP(B207,aa!B:O,14,0)</f>
        <v>#N/A</v>
      </c>
      <c r="I207" s="50" t="e">
        <f>VLOOKUP(B207,aa!B:R,17,0)</f>
        <v>#N/A</v>
      </c>
      <c r="K207" s="50" t="s">
        <v>152</v>
      </c>
      <c r="L207" s="50">
        <v>300144</v>
      </c>
      <c r="M207" s="50">
        <v>300144</v>
      </c>
      <c r="N207" s="50">
        <v>0</v>
      </c>
      <c r="O207" s="50">
        <v>0</v>
      </c>
      <c r="Q207" s="50">
        <v>300144</v>
      </c>
      <c r="R207" s="50">
        <v>240</v>
      </c>
      <c r="S207" s="50" t="s">
        <v>6611</v>
      </c>
      <c r="T207" s="50">
        <v>0</v>
      </c>
      <c r="U207" s="50">
        <v>0</v>
      </c>
      <c r="W207" s="50" t="s">
        <v>102</v>
      </c>
      <c r="X207" s="50" t="s">
        <v>103</v>
      </c>
      <c r="Y207" s="50" t="s">
        <v>155</v>
      </c>
      <c r="AA207" s="50" t="s">
        <v>7020</v>
      </c>
      <c r="AB207" s="50" t="s">
        <v>16983</v>
      </c>
      <c r="AC207" s="50" t="s">
        <v>8708</v>
      </c>
      <c r="AD207" s="50" t="s">
        <v>16983</v>
      </c>
      <c r="AE207" s="50" t="s">
        <v>12427</v>
      </c>
      <c r="AF207" s="50" t="s">
        <v>16983</v>
      </c>
      <c r="AG207" s="50" t="s">
        <v>12713</v>
      </c>
      <c r="AH207" s="50" t="s">
        <v>16983</v>
      </c>
      <c r="AI207" s="50" t="s">
        <v>102</v>
      </c>
      <c r="AJ207" s="50" t="s">
        <v>3485</v>
      </c>
      <c r="AK207" s="50" t="s">
        <v>14026</v>
      </c>
      <c r="AL207" s="50" t="s">
        <v>16984</v>
      </c>
      <c r="AM207" s="50" t="s">
        <v>16985</v>
      </c>
      <c r="AN207" s="50" t="s">
        <v>16986</v>
      </c>
      <c r="AO207" s="50" t="s">
        <v>16987</v>
      </c>
      <c r="AP207" s="50" t="s">
        <v>16987</v>
      </c>
      <c r="AU207" s="50" t="s">
        <v>102</v>
      </c>
      <c r="AW207" s="50" t="s">
        <v>155</v>
      </c>
      <c r="AX207" s="50" t="s">
        <v>119</v>
      </c>
      <c r="AY207" s="50" t="s">
        <v>170</v>
      </c>
      <c r="AZ207" s="50" t="s">
        <v>118</v>
      </c>
      <c r="BB207" s="50" t="s">
        <v>120</v>
      </c>
      <c r="BC207" s="50" t="s">
        <v>5504</v>
      </c>
      <c r="BD207" s="50" t="s">
        <v>449</v>
      </c>
      <c r="BE207" s="50" t="s">
        <v>122</v>
      </c>
      <c r="BF207" s="50" t="s">
        <v>253</v>
      </c>
      <c r="BG207" s="50" t="s">
        <v>124</v>
      </c>
      <c r="BH207" s="50" t="s">
        <v>12023</v>
      </c>
      <c r="BI207" s="50" t="s">
        <v>11889</v>
      </c>
      <c r="BJ207" s="50" t="s">
        <v>127</v>
      </c>
      <c r="BK207" s="50" t="s">
        <v>16988</v>
      </c>
      <c r="BL207" s="50" t="s">
        <v>16989</v>
      </c>
      <c r="BM207" s="50" t="s">
        <v>16990</v>
      </c>
      <c r="BN207" s="50" t="s">
        <v>3485</v>
      </c>
      <c r="BO207" s="50" t="s">
        <v>3243</v>
      </c>
      <c r="BP207" s="50" t="s">
        <v>180</v>
      </c>
      <c r="BQ207" s="50" t="s">
        <v>3244</v>
      </c>
      <c r="BR207" s="50" t="s">
        <v>3245</v>
      </c>
      <c r="BS207" s="50" t="s">
        <v>3246</v>
      </c>
      <c r="BU207" s="50" t="s">
        <v>16991</v>
      </c>
      <c r="BV207" s="50" t="s">
        <v>16992</v>
      </c>
      <c r="BW207" s="50" t="s">
        <v>354</v>
      </c>
      <c r="BX207" s="50" t="s">
        <v>16993</v>
      </c>
      <c r="BY207" s="50" t="s">
        <v>16994</v>
      </c>
      <c r="BZ207" s="50" t="s">
        <v>16995</v>
      </c>
      <c r="CA207" s="50" t="s">
        <v>224</v>
      </c>
      <c r="CB207" s="50" t="s">
        <v>225</v>
      </c>
      <c r="CC207" s="50" t="s">
        <v>226</v>
      </c>
      <c r="CD207" s="50" t="s">
        <v>224</v>
      </c>
      <c r="CE207" s="50" t="s">
        <v>225</v>
      </c>
      <c r="CF207" s="50" t="s">
        <v>226</v>
      </c>
      <c r="CG207" s="50" t="s">
        <v>16996</v>
      </c>
      <c r="CH207" s="50" t="s">
        <v>16997</v>
      </c>
      <c r="CJ207" s="50" t="s">
        <v>5517</v>
      </c>
      <c r="CK207" s="50" t="s">
        <v>16997</v>
      </c>
      <c r="CL207" s="50" t="s">
        <v>5504</v>
      </c>
      <c r="CM207" s="50" t="s">
        <v>449</v>
      </c>
      <c r="CN207" s="50" t="s">
        <v>5517</v>
      </c>
      <c r="CP207" s="50" t="s">
        <v>16998</v>
      </c>
      <c r="CQ207" s="50" t="s">
        <v>16998</v>
      </c>
    </row>
    <row r="208" spans="1:96">
      <c r="A208" s="50" t="s">
        <v>149</v>
      </c>
      <c r="B208" s="50">
        <v>3999269</v>
      </c>
      <c r="C208" s="50" t="s">
        <v>12155</v>
      </c>
      <c r="D208" s="50" t="s">
        <v>8431</v>
      </c>
      <c r="E208" s="50" t="e">
        <f>VLOOKUP(B208,aa!B:F,5,0)</f>
        <v>#N/A</v>
      </c>
      <c r="F208" s="50" t="e">
        <f>VLOOKUP(B208,aa!B:J,9,0)</f>
        <v>#N/A</v>
      </c>
      <c r="G208" s="50" t="e">
        <f>VLOOKUP(B208,aa!B:L,11,0)</f>
        <v>#N/A</v>
      </c>
      <c r="H208" s="50" t="e">
        <f>VLOOKUP(B208,aa!B:O,14,0)</f>
        <v>#N/A</v>
      </c>
      <c r="I208" s="50" t="e">
        <f>VLOOKUP(B208,aa!B:R,17,0)</f>
        <v>#N/A</v>
      </c>
      <c r="K208" s="50" t="s">
        <v>152</v>
      </c>
      <c r="L208" s="50">
        <v>113850</v>
      </c>
      <c r="M208" s="50">
        <v>113850</v>
      </c>
      <c r="N208" s="50">
        <v>0</v>
      </c>
      <c r="O208" s="50">
        <v>0</v>
      </c>
      <c r="Q208" s="50">
        <v>113850</v>
      </c>
      <c r="R208" s="50">
        <v>69</v>
      </c>
      <c r="S208" s="50" t="s">
        <v>9865</v>
      </c>
      <c r="T208" s="50">
        <v>0</v>
      </c>
      <c r="U208" s="50">
        <v>0</v>
      </c>
      <c r="W208" s="50" t="s">
        <v>102</v>
      </c>
      <c r="X208" s="50" t="s">
        <v>103</v>
      </c>
      <c r="Y208" s="50" t="s">
        <v>155</v>
      </c>
      <c r="AA208" s="50" t="s">
        <v>4813</v>
      </c>
      <c r="AB208" s="50" t="s">
        <v>17829</v>
      </c>
      <c r="AC208" s="50" t="s">
        <v>11929</v>
      </c>
      <c r="AD208" s="50" t="s">
        <v>17829</v>
      </c>
      <c r="AE208" s="50" t="s">
        <v>11930</v>
      </c>
      <c r="AF208" s="50" t="s">
        <v>17829</v>
      </c>
      <c r="AG208" s="50" t="s">
        <v>11886</v>
      </c>
      <c r="AH208" s="50" t="s">
        <v>17829</v>
      </c>
      <c r="AI208" s="50" t="s">
        <v>102</v>
      </c>
      <c r="AJ208" s="50" t="s">
        <v>12043</v>
      </c>
      <c r="AK208" s="50" t="s">
        <v>12043</v>
      </c>
      <c r="AL208" s="50" t="s">
        <v>17830</v>
      </c>
      <c r="AM208" s="50" t="s">
        <v>11377</v>
      </c>
      <c r="AN208" s="50" t="s">
        <v>17831</v>
      </c>
      <c r="AO208" s="50" t="s">
        <v>15155</v>
      </c>
      <c r="AP208" s="50" t="s">
        <v>15155</v>
      </c>
      <c r="AU208" s="50" t="s">
        <v>102</v>
      </c>
      <c r="AW208" s="50" t="s">
        <v>155</v>
      </c>
      <c r="AX208" s="50" t="s">
        <v>447</v>
      </c>
      <c r="AY208" s="50" t="s">
        <v>170</v>
      </c>
      <c r="AZ208" s="50" t="s">
        <v>118</v>
      </c>
      <c r="BB208" s="50" t="s">
        <v>120</v>
      </c>
      <c r="BC208" s="50" t="s">
        <v>8443</v>
      </c>
      <c r="BD208" s="50" t="s">
        <v>173</v>
      </c>
      <c r="BE208" s="50" t="s">
        <v>174</v>
      </c>
      <c r="BF208" s="50" t="s">
        <v>173</v>
      </c>
      <c r="BG208" s="50" t="s">
        <v>124</v>
      </c>
      <c r="BH208" s="50" t="s">
        <v>12023</v>
      </c>
      <c r="BI208" s="50" t="s">
        <v>11889</v>
      </c>
      <c r="BJ208" s="50" t="s">
        <v>127</v>
      </c>
      <c r="BK208" s="50" t="s">
        <v>17832</v>
      </c>
      <c r="BL208" s="50" t="s">
        <v>8445</v>
      </c>
      <c r="BM208" s="50" t="s">
        <v>17833</v>
      </c>
      <c r="BN208" s="50" t="s">
        <v>3485</v>
      </c>
      <c r="BO208" s="50" t="s">
        <v>12557</v>
      </c>
      <c r="BP208" s="50" t="s">
        <v>180</v>
      </c>
      <c r="BQ208" s="50" t="s">
        <v>12558</v>
      </c>
      <c r="BR208" s="50" t="s">
        <v>12559</v>
      </c>
      <c r="BS208" s="50" t="s">
        <v>8450</v>
      </c>
      <c r="BU208" s="50" t="s">
        <v>17834</v>
      </c>
      <c r="BV208" s="50" t="s">
        <v>17835</v>
      </c>
      <c r="BW208" s="50" t="s">
        <v>354</v>
      </c>
      <c r="BX208" s="50" t="s">
        <v>8455</v>
      </c>
      <c r="BY208" s="50" t="s">
        <v>17836</v>
      </c>
      <c r="BZ208" s="50" t="s">
        <v>8455</v>
      </c>
      <c r="CA208" s="50" t="s">
        <v>17837</v>
      </c>
      <c r="CB208" s="50" t="s">
        <v>8455</v>
      </c>
      <c r="CC208" s="50" t="s">
        <v>17836</v>
      </c>
      <c r="CD208" s="50" t="s">
        <v>17838</v>
      </c>
      <c r="CE208" s="50" t="s">
        <v>17839</v>
      </c>
      <c r="CF208" s="50" t="s">
        <v>17840</v>
      </c>
      <c r="CG208" s="50" t="s">
        <v>8459</v>
      </c>
      <c r="CH208" s="50" t="s">
        <v>17841</v>
      </c>
      <c r="CJ208" s="50" t="s">
        <v>8461</v>
      </c>
      <c r="CK208" s="50" t="s">
        <v>17842</v>
      </c>
      <c r="CL208" s="50" t="s">
        <v>8443</v>
      </c>
      <c r="CM208" s="50" t="s">
        <v>173</v>
      </c>
      <c r="CN208" s="50" t="s">
        <v>8461</v>
      </c>
      <c r="CP208" s="50" t="s">
        <v>8463</v>
      </c>
      <c r="CQ208" s="50" t="s">
        <v>8464</v>
      </c>
      <c r="CR208" s="50" t="s">
        <v>26042</v>
      </c>
    </row>
    <row r="209" spans="1:96">
      <c r="A209" s="50" t="s">
        <v>337</v>
      </c>
      <c r="B209" s="50">
        <v>5040517</v>
      </c>
      <c r="C209" s="50" t="s">
        <v>2525</v>
      </c>
      <c r="D209" s="50" t="s">
        <v>20312</v>
      </c>
      <c r="E209" s="50" t="e">
        <f>VLOOKUP(B209,aa!B:F,5,0)</f>
        <v>#N/A</v>
      </c>
      <c r="F209" s="50" t="e">
        <f>VLOOKUP(B209,aa!B:J,9,0)</f>
        <v>#N/A</v>
      </c>
      <c r="G209" s="50" t="e">
        <f>VLOOKUP(B209,aa!B:L,11,0)</f>
        <v>#N/A</v>
      </c>
      <c r="H209" s="50" t="e">
        <f>VLOOKUP(B209,aa!B:O,14,0)</f>
        <v>#N/A</v>
      </c>
      <c r="I209" s="50" t="e">
        <f>VLOOKUP(B209,aa!B:R,17,0)</f>
        <v>#N/A</v>
      </c>
      <c r="K209" s="50" t="s">
        <v>848</v>
      </c>
      <c r="L209" s="50">
        <v>252013</v>
      </c>
      <c r="M209" s="50">
        <v>297375</v>
      </c>
      <c r="N209" s="50">
        <v>0</v>
      </c>
      <c r="O209" s="50">
        <v>0</v>
      </c>
      <c r="Q209" s="50">
        <v>0</v>
      </c>
      <c r="R209" s="50">
        <v>0</v>
      </c>
      <c r="T209" s="50">
        <v>252013</v>
      </c>
      <c r="U209" s="50">
        <v>105</v>
      </c>
      <c r="V209" s="50" t="s">
        <v>4372</v>
      </c>
      <c r="W209" s="50" t="s">
        <v>102</v>
      </c>
      <c r="X209" s="50" t="s">
        <v>103</v>
      </c>
      <c r="Y209" s="50" t="s">
        <v>104</v>
      </c>
      <c r="AA209" s="50" t="s">
        <v>12023</v>
      </c>
      <c r="AB209" s="50" t="s">
        <v>20313</v>
      </c>
      <c r="AC209" s="50" t="s">
        <v>5651</v>
      </c>
      <c r="AD209" s="50" t="s">
        <v>20313</v>
      </c>
      <c r="AE209" s="50" t="s">
        <v>109</v>
      </c>
      <c r="AF209" s="50" t="s">
        <v>102</v>
      </c>
      <c r="AG209" s="50" t="s">
        <v>109</v>
      </c>
      <c r="AH209" s="50" t="s">
        <v>102</v>
      </c>
      <c r="AI209" s="50" t="s">
        <v>102</v>
      </c>
      <c r="AJ209" s="50" t="s">
        <v>14373</v>
      </c>
      <c r="AK209" s="50" t="s">
        <v>14373</v>
      </c>
      <c r="AL209" s="50" t="s">
        <v>20314</v>
      </c>
      <c r="AM209" s="50" t="s">
        <v>20315</v>
      </c>
      <c r="AN209" s="50" t="s">
        <v>20316</v>
      </c>
      <c r="AO209" s="50" t="s">
        <v>7699</v>
      </c>
      <c r="AP209" s="50" t="s">
        <v>7699</v>
      </c>
      <c r="AU209" s="50" t="s">
        <v>102</v>
      </c>
      <c r="AW209" s="50" t="s">
        <v>102</v>
      </c>
      <c r="AX209" s="50" t="s">
        <v>119</v>
      </c>
      <c r="BA209" s="50" t="s">
        <v>250</v>
      </c>
      <c r="BB209" s="50" t="s">
        <v>120</v>
      </c>
      <c r="BC209" s="50" t="s">
        <v>20317</v>
      </c>
      <c r="BD209" s="50" t="s">
        <v>730</v>
      </c>
      <c r="BE209" s="50" t="s">
        <v>622</v>
      </c>
      <c r="BF209" s="50" t="s">
        <v>730</v>
      </c>
      <c r="BG209" s="50" t="s">
        <v>124</v>
      </c>
      <c r="BH209" s="50" t="s">
        <v>12023</v>
      </c>
      <c r="BI209" s="50" t="s">
        <v>11889</v>
      </c>
      <c r="BJ209" s="50" t="s">
        <v>127</v>
      </c>
      <c r="BK209" s="50" t="s">
        <v>20318</v>
      </c>
      <c r="BL209" s="50" t="s">
        <v>20319</v>
      </c>
      <c r="BM209" s="50" t="s">
        <v>20320</v>
      </c>
      <c r="BN209" s="50" t="s">
        <v>3485</v>
      </c>
      <c r="BO209" s="50" t="s">
        <v>3910</v>
      </c>
      <c r="BP209" s="50" t="s">
        <v>180</v>
      </c>
      <c r="BQ209" s="50" t="s">
        <v>3911</v>
      </c>
      <c r="BR209" s="50" t="s">
        <v>3912</v>
      </c>
      <c r="BS209" s="50" t="s">
        <v>2331</v>
      </c>
      <c r="BU209" s="50" t="s">
        <v>20321</v>
      </c>
      <c r="BV209" s="50" t="s">
        <v>20322</v>
      </c>
      <c r="BW209" s="50" t="s">
        <v>138</v>
      </c>
      <c r="BX209" s="50" t="s">
        <v>20323</v>
      </c>
      <c r="BY209" s="50" t="s">
        <v>8961</v>
      </c>
      <c r="BZ209" s="50" t="s">
        <v>20324</v>
      </c>
      <c r="CA209" s="50" t="s">
        <v>20322</v>
      </c>
      <c r="CB209" s="50" t="s">
        <v>20324</v>
      </c>
      <c r="CC209" s="50" t="s">
        <v>20325</v>
      </c>
      <c r="CD209" s="50" t="s">
        <v>20322</v>
      </c>
      <c r="CE209" s="50" t="s">
        <v>20324</v>
      </c>
      <c r="CF209" s="50" t="s">
        <v>20325</v>
      </c>
      <c r="CG209" s="50" t="s">
        <v>10583</v>
      </c>
      <c r="CH209" s="50" t="s">
        <v>20317</v>
      </c>
      <c r="CJ209" s="50" t="s">
        <v>20326</v>
      </c>
      <c r="CK209" s="50" t="s">
        <v>20317</v>
      </c>
      <c r="CL209" s="50" t="s">
        <v>20317</v>
      </c>
      <c r="CM209" s="50" t="s">
        <v>2273</v>
      </c>
      <c r="CN209" s="50" t="s">
        <v>20326</v>
      </c>
      <c r="CP209" s="50" t="s">
        <v>20327</v>
      </c>
      <c r="CQ209" s="50" t="s">
        <v>20327</v>
      </c>
      <c r="CR209" s="50" t="s">
        <v>26042</v>
      </c>
    </row>
    <row r="210" spans="1:96">
      <c r="A210" s="50" t="s">
        <v>337</v>
      </c>
      <c r="B210" s="50">
        <v>5040879</v>
      </c>
      <c r="C210" s="50" t="s">
        <v>12155</v>
      </c>
      <c r="D210" s="50" t="s">
        <v>20328</v>
      </c>
      <c r="E210" s="50" t="str">
        <f>VLOOKUP(B210,aa!B:F,5,0)</f>
        <v>Ei CARES</v>
      </c>
      <c r="F210" s="50">
        <f>VLOOKUP(B210,aa!B:J,9,0)</f>
        <v>390765</v>
      </c>
      <c r="G210" s="50">
        <f>VLOOKUP(B210,aa!B:L,11,0)</f>
        <v>0</v>
      </c>
      <c r="H210" s="50">
        <f>VLOOKUP(B210,aa!B:O,14,0)</f>
        <v>390765</v>
      </c>
      <c r="I210" s="50">
        <f>VLOOKUP(B210,aa!B:R,17,0)</f>
        <v>0</v>
      </c>
      <c r="K210" s="50" t="s">
        <v>152</v>
      </c>
      <c r="L210" s="50">
        <v>220064</v>
      </c>
      <c r="M210" s="50">
        <v>220064</v>
      </c>
      <c r="N210" s="50">
        <v>0</v>
      </c>
      <c r="O210" s="50">
        <v>0</v>
      </c>
      <c r="Q210" s="50">
        <v>220064</v>
      </c>
      <c r="R210" s="50">
        <v>200</v>
      </c>
      <c r="S210" s="50" t="s">
        <v>466</v>
      </c>
      <c r="T210" s="50">
        <v>0</v>
      </c>
      <c r="U210" s="50">
        <v>0</v>
      </c>
      <c r="W210" s="50" t="s">
        <v>102</v>
      </c>
      <c r="X210" s="50" t="s">
        <v>103</v>
      </c>
      <c r="Y210" s="50" t="s">
        <v>398</v>
      </c>
      <c r="AA210" s="50" t="s">
        <v>3485</v>
      </c>
      <c r="AB210" s="50" t="s">
        <v>20329</v>
      </c>
      <c r="AC210" s="50" t="s">
        <v>12082</v>
      </c>
      <c r="AD210" s="50" t="s">
        <v>20330</v>
      </c>
      <c r="AE210" s="50" t="s">
        <v>12084</v>
      </c>
      <c r="AF210" s="50" t="s">
        <v>20331</v>
      </c>
      <c r="AG210" s="50" t="s">
        <v>109</v>
      </c>
      <c r="AH210" s="50" t="s">
        <v>102</v>
      </c>
      <c r="AI210" s="50" t="s">
        <v>102</v>
      </c>
      <c r="AJ210" s="50" t="s">
        <v>3485</v>
      </c>
      <c r="AK210" s="50" t="s">
        <v>12123</v>
      </c>
      <c r="AL210" s="50" t="s">
        <v>20332</v>
      </c>
      <c r="AM210" s="50" t="s">
        <v>20333</v>
      </c>
      <c r="AN210" s="50" t="s">
        <v>20334</v>
      </c>
      <c r="AO210" s="50" t="s">
        <v>20335</v>
      </c>
      <c r="AP210" s="50" t="s">
        <v>20335</v>
      </c>
      <c r="AU210" s="50" t="s">
        <v>102</v>
      </c>
      <c r="AW210" s="50" t="s">
        <v>104</v>
      </c>
      <c r="AX210" s="50" t="s">
        <v>447</v>
      </c>
      <c r="AY210" s="50" t="s">
        <v>170</v>
      </c>
      <c r="AZ210" s="50" t="s">
        <v>118</v>
      </c>
      <c r="BB210" s="50" t="s">
        <v>120</v>
      </c>
      <c r="BC210" s="50" t="s">
        <v>20336</v>
      </c>
      <c r="BD210" s="50" t="s">
        <v>1208</v>
      </c>
      <c r="BE210" s="50" t="s">
        <v>174</v>
      </c>
      <c r="BF210" s="50" t="s">
        <v>1172</v>
      </c>
      <c r="BG210" s="50" t="s">
        <v>124</v>
      </c>
      <c r="BH210" s="50" t="s">
        <v>12023</v>
      </c>
      <c r="BI210" s="50" t="s">
        <v>11889</v>
      </c>
      <c r="BJ210" s="50" t="s">
        <v>127</v>
      </c>
      <c r="BK210" s="50" t="s">
        <v>20337</v>
      </c>
      <c r="BL210" s="50" t="s">
        <v>20338</v>
      </c>
      <c r="BM210" s="50" t="s">
        <v>20339</v>
      </c>
      <c r="BN210" s="50" t="s">
        <v>3485</v>
      </c>
      <c r="BO210" s="50" t="s">
        <v>1212</v>
      </c>
      <c r="BP210" s="50" t="s">
        <v>350</v>
      </c>
      <c r="BQ210" s="50" t="s">
        <v>1213</v>
      </c>
      <c r="BR210" s="50" t="s">
        <v>1214</v>
      </c>
      <c r="BS210" s="50" t="s">
        <v>1215</v>
      </c>
      <c r="BU210" s="50" t="s">
        <v>20340</v>
      </c>
      <c r="BV210" s="50" t="s">
        <v>20341</v>
      </c>
      <c r="BW210" s="50" t="s">
        <v>354</v>
      </c>
      <c r="BX210" s="50" t="s">
        <v>20342</v>
      </c>
      <c r="BY210" s="50" t="s">
        <v>20343</v>
      </c>
      <c r="BZ210" s="50" t="s">
        <v>20342</v>
      </c>
      <c r="CA210" s="50" t="s">
        <v>20344</v>
      </c>
      <c r="CB210" s="50" t="s">
        <v>20345</v>
      </c>
      <c r="CC210" s="50" t="s">
        <v>20346</v>
      </c>
      <c r="CD210" s="50" t="s">
        <v>20347</v>
      </c>
      <c r="CE210" s="50" t="s">
        <v>20348</v>
      </c>
      <c r="CF210" s="50" t="s">
        <v>20349</v>
      </c>
      <c r="CG210" s="50" t="s">
        <v>6370</v>
      </c>
      <c r="CH210" s="50" t="s">
        <v>20350</v>
      </c>
      <c r="CJ210" s="50" t="s">
        <v>20351</v>
      </c>
      <c r="CL210" s="50" t="s">
        <v>20336</v>
      </c>
      <c r="CM210" s="50" t="s">
        <v>1208</v>
      </c>
      <c r="CN210" s="50" t="s">
        <v>20351</v>
      </c>
      <c r="CP210" s="50" t="s">
        <v>20352</v>
      </c>
      <c r="CQ210" s="50" t="s">
        <v>20352</v>
      </c>
    </row>
    <row r="211" spans="1:96">
      <c r="A211" s="50" t="s">
        <v>93</v>
      </c>
      <c r="B211" s="50">
        <v>999141</v>
      </c>
      <c r="C211" s="50" t="s">
        <v>11898</v>
      </c>
      <c r="D211" s="50" t="s">
        <v>11863</v>
      </c>
      <c r="E211" s="50" t="str">
        <f>VLOOKUP(B211,aa!B:F,5,0)</f>
        <v>Ei CARES</v>
      </c>
      <c r="F211" s="50">
        <f>VLOOKUP(B211,aa!B:J,9,0)</f>
        <v>802734</v>
      </c>
      <c r="G211" s="50">
        <f>VLOOKUP(B211,aa!B:L,11,0)</f>
        <v>0</v>
      </c>
      <c r="H211" s="50">
        <f>VLOOKUP(B211,aa!B:O,14,0)</f>
        <v>802734</v>
      </c>
      <c r="I211" s="50">
        <f>VLOOKUP(B211,aa!B:R,17,0)</f>
        <v>0</v>
      </c>
      <c r="K211" s="50" t="s">
        <v>152</v>
      </c>
      <c r="L211" s="50">
        <v>838086</v>
      </c>
      <c r="M211" s="50">
        <v>838086</v>
      </c>
      <c r="N211" s="50">
        <v>0</v>
      </c>
      <c r="O211" s="50">
        <v>0</v>
      </c>
      <c r="Q211" s="50">
        <v>838086</v>
      </c>
      <c r="R211" s="50">
        <v>1185</v>
      </c>
      <c r="S211" s="50" t="s">
        <v>21644</v>
      </c>
      <c r="T211" s="50">
        <v>0</v>
      </c>
      <c r="U211" s="50">
        <v>0</v>
      </c>
      <c r="W211" s="50" t="s">
        <v>102</v>
      </c>
      <c r="X211" s="50" t="s">
        <v>103</v>
      </c>
      <c r="Y211" s="50" t="s">
        <v>104</v>
      </c>
      <c r="AA211" s="50" t="s">
        <v>21645</v>
      </c>
      <c r="AB211" s="50" t="s">
        <v>21646</v>
      </c>
      <c r="AC211" s="50" t="s">
        <v>12327</v>
      </c>
      <c r="AD211" s="50" t="s">
        <v>21646</v>
      </c>
      <c r="AE211" s="50" t="s">
        <v>109</v>
      </c>
      <c r="AF211" s="50" t="s">
        <v>102</v>
      </c>
      <c r="AG211" s="50" t="s">
        <v>109</v>
      </c>
      <c r="AH211" s="50" t="s">
        <v>102</v>
      </c>
      <c r="AI211" s="50" t="s">
        <v>21647</v>
      </c>
      <c r="AJ211" s="50" t="s">
        <v>6443</v>
      </c>
      <c r="AK211" s="50" t="s">
        <v>12696</v>
      </c>
      <c r="AL211" s="50" t="s">
        <v>21648</v>
      </c>
      <c r="AM211" s="50" t="s">
        <v>21649</v>
      </c>
      <c r="AN211" s="50" t="s">
        <v>21650</v>
      </c>
      <c r="AO211" s="50" t="s">
        <v>21651</v>
      </c>
      <c r="AP211" s="50" t="s">
        <v>21652</v>
      </c>
      <c r="AR211" s="50" t="s">
        <v>169</v>
      </c>
      <c r="AT211" s="50" t="s">
        <v>169</v>
      </c>
      <c r="AU211" s="50" t="s">
        <v>102</v>
      </c>
      <c r="AW211" s="50" t="s">
        <v>104</v>
      </c>
      <c r="AX211" s="50" t="s">
        <v>447</v>
      </c>
      <c r="AY211" s="50" t="s">
        <v>170</v>
      </c>
      <c r="AZ211" s="50" t="s">
        <v>118</v>
      </c>
      <c r="BB211" s="50" t="s">
        <v>1964</v>
      </c>
      <c r="BC211" s="50" t="s">
        <v>448</v>
      </c>
      <c r="BD211" s="50" t="s">
        <v>449</v>
      </c>
      <c r="BE211" s="50" t="s">
        <v>122</v>
      </c>
      <c r="BF211" s="50" t="s">
        <v>450</v>
      </c>
      <c r="BG211" s="50" t="s">
        <v>124</v>
      </c>
      <c r="BH211" s="50" t="s">
        <v>21653</v>
      </c>
      <c r="BI211" s="50" t="s">
        <v>11889</v>
      </c>
      <c r="BJ211" s="50" t="s">
        <v>127</v>
      </c>
      <c r="BK211" s="50" t="s">
        <v>21654</v>
      </c>
      <c r="BL211" s="50" t="s">
        <v>11874</v>
      </c>
      <c r="BM211" s="50" t="s">
        <v>21655</v>
      </c>
      <c r="BN211" s="50" t="s">
        <v>21643</v>
      </c>
      <c r="BO211" s="50" t="s">
        <v>131</v>
      </c>
      <c r="BP211" s="50" t="s">
        <v>350</v>
      </c>
      <c r="BQ211" s="50" t="s">
        <v>133</v>
      </c>
      <c r="BR211" s="50" t="s">
        <v>134</v>
      </c>
      <c r="BS211" s="50" t="s">
        <v>455</v>
      </c>
      <c r="BU211" s="50" t="s">
        <v>21656</v>
      </c>
      <c r="BV211" s="50" t="s">
        <v>21657</v>
      </c>
      <c r="BW211" s="50" t="s">
        <v>138</v>
      </c>
      <c r="BX211" s="50" t="s">
        <v>11878</v>
      </c>
      <c r="BY211" s="50" t="s">
        <v>11879</v>
      </c>
      <c r="BZ211" s="50" t="s">
        <v>11878</v>
      </c>
      <c r="CA211" s="50" t="s">
        <v>21658</v>
      </c>
      <c r="CB211" s="50" t="s">
        <v>11878</v>
      </c>
      <c r="CC211" s="50" t="s">
        <v>11879</v>
      </c>
      <c r="CD211" s="50" t="s">
        <v>21658</v>
      </c>
      <c r="CE211" s="50" t="s">
        <v>11878</v>
      </c>
      <c r="CF211" s="50" t="s">
        <v>11879</v>
      </c>
      <c r="CG211" s="50" t="s">
        <v>4937</v>
      </c>
      <c r="CH211" s="50" t="s">
        <v>448</v>
      </c>
      <c r="CJ211" s="50" t="s">
        <v>8000</v>
      </c>
      <c r="CK211" s="50" t="s">
        <v>21659</v>
      </c>
      <c r="CL211" s="50" t="s">
        <v>448</v>
      </c>
      <c r="CM211" s="50" t="s">
        <v>449</v>
      </c>
      <c r="CN211" s="50" t="s">
        <v>8000</v>
      </c>
      <c r="CO211" s="50" t="s">
        <v>1979</v>
      </c>
      <c r="CP211" s="50" t="s">
        <v>11880</v>
      </c>
      <c r="CQ211" s="50" t="s">
        <v>11880</v>
      </c>
    </row>
    <row r="212" spans="1:96">
      <c r="A212" s="50" t="s">
        <v>93</v>
      </c>
      <c r="B212" s="50">
        <v>3152932</v>
      </c>
      <c r="C212" s="50" t="s">
        <v>12491</v>
      </c>
      <c r="D212" s="50" t="s">
        <v>4775</v>
      </c>
      <c r="E212" s="50" t="str">
        <f>VLOOKUP(B212,aa!B:F,5,0)</f>
        <v>Ei Mindspark</v>
      </c>
      <c r="F212" s="50">
        <f>VLOOKUP(B212,aa!B:J,9,0)</f>
        <v>1942333</v>
      </c>
      <c r="G212" s="50">
        <f>VLOOKUP(B212,aa!B:L,11,0)</f>
        <v>0</v>
      </c>
      <c r="H212" s="50">
        <f>VLOOKUP(B212,aa!B:O,14,0)</f>
        <v>0</v>
      </c>
      <c r="I212" s="50">
        <f>VLOOKUP(B212,aa!B:R,17,0)</f>
        <v>1942333</v>
      </c>
      <c r="K212" s="50" t="s">
        <v>848</v>
      </c>
      <c r="L212" s="50">
        <v>2134907</v>
      </c>
      <c r="M212" s="50">
        <v>2519190</v>
      </c>
      <c r="N212" s="50">
        <v>0</v>
      </c>
      <c r="O212" s="50">
        <v>0</v>
      </c>
      <c r="Q212" s="50">
        <v>0</v>
      </c>
      <c r="R212" s="50">
        <v>0</v>
      </c>
      <c r="T212" s="50">
        <v>2134907</v>
      </c>
      <c r="U212" s="50">
        <v>1186</v>
      </c>
      <c r="V212" s="50" t="s">
        <v>3005</v>
      </c>
      <c r="W212" s="50" t="s">
        <v>102</v>
      </c>
      <c r="X212" s="50" t="s">
        <v>103</v>
      </c>
      <c r="Y212" s="50" t="s">
        <v>155</v>
      </c>
      <c r="AA212" s="50" t="s">
        <v>126</v>
      </c>
      <c r="AB212" s="50" t="s">
        <v>15022</v>
      </c>
      <c r="AC212" s="50" t="s">
        <v>11976</v>
      </c>
      <c r="AD212" s="50" t="s">
        <v>15022</v>
      </c>
      <c r="AE212" s="50" t="s">
        <v>11888</v>
      </c>
      <c r="AF212" s="50" t="s">
        <v>15022</v>
      </c>
      <c r="AG212" s="50" t="s">
        <v>12713</v>
      </c>
      <c r="AH212" s="50" t="s">
        <v>15022</v>
      </c>
      <c r="AI212" s="50" t="s">
        <v>15023</v>
      </c>
      <c r="AJ212" s="50" t="s">
        <v>8186</v>
      </c>
      <c r="AK212" s="50" t="s">
        <v>13725</v>
      </c>
      <c r="AL212" s="50" t="s">
        <v>15024</v>
      </c>
      <c r="AM212" s="50" t="s">
        <v>15025</v>
      </c>
      <c r="AN212" s="50" t="s">
        <v>15026</v>
      </c>
      <c r="AO212" s="50" t="s">
        <v>4786</v>
      </c>
      <c r="AP212" s="50" t="s">
        <v>15027</v>
      </c>
      <c r="AR212" s="50" t="s">
        <v>169</v>
      </c>
      <c r="AT212" s="50" t="s">
        <v>169</v>
      </c>
      <c r="AU212" s="50" t="s">
        <v>102</v>
      </c>
      <c r="AW212" s="50" t="s">
        <v>102</v>
      </c>
      <c r="AX212" s="50" t="s">
        <v>119</v>
      </c>
      <c r="BA212" s="50" t="s">
        <v>250</v>
      </c>
      <c r="BB212" s="50" t="s">
        <v>120</v>
      </c>
      <c r="BC212" s="50" t="s">
        <v>3854</v>
      </c>
      <c r="BD212" s="50" t="s">
        <v>449</v>
      </c>
      <c r="BE212" s="50" t="s">
        <v>122</v>
      </c>
      <c r="BF212" s="50" t="s">
        <v>450</v>
      </c>
      <c r="BG212" s="50" t="s">
        <v>124</v>
      </c>
      <c r="BH212" s="50" t="s">
        <v>4045</v>
      </c>
      <c r="BI212" s="50" t="s">
        <v>15028</v>
      </c>
      <c r="BJ212" s="50" t="s">
        <v>127</v>
      </c>
      <c r="BK212" s="50" t="s">
        <v>15029</v>
      </c>
      <c r="BL212" s="50" t="s">
        <v>4789</v>
      </c>
      <c r="BM212" s="50" t="s">
        <v>15030</v>
      </c>
      <c r="BN212" s="50" t="s">
        <v>559</v>
      </c>
      <c r="BO212" s="50" t="s">
        <v>131</v>
      </c>
      <c r="BP212" s="50" t="s">
        <v>350</v>
      </c>
      <c r="BQ212" s="50" t="s">
        <v>133</v>
      </c>
      <c r="BR212" s="50" t="s">
        <v>134</v>
      </c>
      <c r="BS212" s="50" t="s">
        <v>455</v>
      </c>
      <c r="BU212" s="50" t="s">
        <v>15031</v>
      </c>
      <c r="BV212" s="50" t="s">
        <v>4792</v>
      </c>
      <c r="BW212" s="50" t="s">
        <v>354</v>
      </c>
      <c r="BX212" s="50" t="s">
        <v>4793</v>
      </c>
      <c r="BY212" s="50" t="s">
        <v>4794</v>
      </c>
      <c r="BZ212" s="50" t="s">
        <v>4795</v>
      </c>
      <c r="CA212" s="50" t="s">
        <v>15032</v>
      </c>
      <c r="CB212" s="50" t="s">
        <v>4797</v>
      </c>
      <c r="CC212" s="50" t="s">
        <v>4798</v>
      </c>
      <c r="CD212" s="50" t="s">
        <v>4799</v>
      </c>
      <c r="CE212" s="50" t="s">
        <v>4800</v>
      </c>
      <c r="CF212" s="50" t="s">
        <v>4801</v>
      </c>
      <c r="CG212" s="50" t="s">
        <v>4802</v>
      </c>
      <c r="CH212" s="50" t="s">
        <v>15033</v>
      </c>
      <c r="CJ212" s="50" t="s">
        <v>4271</v>
      </c>
      <c r="CK212" s="50" t="s">
        <v>15034</v>
      </c>
      <c r="CL212" s="50" t="s">
        <v>3854</v>
      </c>
      <c r="CM212" s="50" t="s">
        <v>449</v>
      </c>
      <c r="CN212" s="50" t="s">
        <v>4271</v>
      </c>
      <c r="CO212" s="50" t="s">
        <v>4804</v>
      </c>
      <c r="CP212" s="50" t="s">
        <v>4803</v>
      </c>
      <c r="CQ212" s="50" t="s">
        <v>4803</v>
      </c>
    </row>
    <row r="213" spans="1:96">
      <c r="A213" s="50" t="s">
        <v>337</v>
      </c>
      <c r="B213" s="50">
        <v>3992708</v>
      </c>
      <c r="C213" s="50" t="s">
        <v>12155</v>
      </c>
      <c r="D213" s="50" t="s">
        <v>17550</v>
      </c>
      <c r="E213" s="50" t="str">
        <f>VLOOKUP(B213,aa!B:F,5,0)</f>
        <v>Ei CARES</v>
      </c>
      <c r="F213" s="50">
        <f>VLOOKUP(B213,aa!B:J,9,0)</f>
        <v>166310</v>
      </c>
      <c r="G213" s="50">
        <f>VLOOKUP(B213,aa!B:L,11,0)</f>
        <v>0</v>
      </c>
      <c r="H213" s="50">
        <f>VLOOKUP(B213,aa!B:O,14,0)</f>
        <v>166310</v>
      </c>
      <c r="I213" s="50">
        <f>VLOOKUP(B213,aa!B:R,17,0)</f>
        <v>0</v>
      </c>
      <c r="K213" s="50" t="s">
        <v>152</v>
      </c>
      <c r="L213" s="50">
        <v>173548</v>
      </c>
      <c r="M213" s="50">
        <v>173548</v>
      </c>
      <c r="N213" s="50">
        <v>0</v>
      </c>
      <c r="O213" s="50">
        <v>0</v>
      </c>
      <c r="Q213" s="50">
        <v>173548</v>
      </c>
      <c r="R213" s="50">
        <v>263</v>
      </c>
      <c r="S213" s="50" t="s">
        <v>4273</v>
      </c>
      <c r="T213" s="50">
        <v>0</v>
      </c>
      <c r="U213" s="50">
        <v>0</v>
      </c>
      <c r="W213" s="50" t="s">
        <v>102</v>
      </c>
      <c r="X213" s="50" t="s">
        <v>103</v>
      </c>
      <c r="Y213" s="50" t="s">
        <v>155</v>
      </c>
      <c r="AA213" s="50" t="s">
        <v>1941</v>
      </c>
      <c r="AB213" s="50" t="s">
        <v>17551</v>
      </c>
      <c r="AC213" s="50" t="s">
        <v>11976</v>
      </c>
      <c r="AD213" s="50" t="s">
        <v>17551</v>
      </c>
      <c r="AE213" s="50" t="s">
        <v>12217</v>
      </c>
      <c r="AF213" s="50" t="s">
        <v>17551</v>
      </c>
      <c r="AG213" s="50" t="s">
        <v>12728</v>
      </c>
      <c r="AH213" s="50" t="s">
        <v>17551</v>
      </c>
      <c r="AI213" s="50" t="s">
        <v>102</v>
      </c>
      <c r="AJ213" s="50" t="s">
        <v>12492</v>
      </c>
      <c r="AK213" s="50" t="s">
        <v>13302</v>
      </c>
      <c r="AL213" s="50" t="s">
        <v>17552</v>
      </c>
      <c r="AM213" s="50" t="s">
        <v>17553</v>
      </c>
      <c r="AN213" s="50" t="s">
        <v>17554</v>
      </c>
      <c r="AO213" s="50" t="s">
        <v>10959</v>
      </c>
      <c r="AP213" s="50" t="s">
        <v>10959</v>
      </c>
      <c r="AU213" s="50" t="s">
        <v>102</v>
      </c>
      <c r="AW213" s="50" t="s">
        <v>104</v>
      </c>
      <c r="AX213" s="50" t="s">
        <v>447</v>
      </c>
      <c r="AY213" s="50" t="s">
        <v>170</v>
      </c>
      <c r="AZ213" s="50" t="s">
        <v>118</v>
      </c>
      <c r="BB213" s="50" t="s">
        <v>120</v>
      </c>
      <c r="BC213" s="50" t="s">
        <v>17555</v>
      </c>
      <c r="BD213" s="50" t="s">
        <v>173</v>
      </c>
      <c r="BE213" s="50" t="s">
        <v>174</v>
      </c>
      <c r="BF213" s="50" t="s">
        <v>173</v>
      </c>
      <c r="BG213" s="50" t="s">
        <v>124</v>
      </c>
      <c r="BH213" s="50" t="s">
        <v>6341</v>
      </c>
      <c r="BI213" s="50" t="s">
        <v>11889</v>
      </c>
      <c r="BJ213" s="50" t="s">
        <v>127</v>
      </c>
      <c r="BK213" s="50" t="s">
        <v>17556</v>
      </c>
      <c r="BL213" s="50" t="s">
        <v>17557</v>
      </c>
      <c r="BM213" s="50" t="s">
        <v>17558</v>
      </c>
      <c r="BN213" s="50" t="s">
        <v>559</v>
      </c>
      <c r="BO213" s="50" t="s">
        <v>8447</v>
      </c>
      <c r="BP213" s="50" t="s">
        <v>180</v>
      </c>
      <c r="BQ213" s="50" t="s">
        <v>8448</v>
      </c>
      <c r="BR213" s="50" t="s">
        <v>8449</v>
      </c>
      <c r="BS213" s="50" t="s">
        <v>8450</v>
      </c>
      <c r="BT213" s="50" t="s">
        <v>17559</v>
      </c>
      <c r="BU213" s="50" t="s">
        <v>17560</v>
      </c>
      <c r="BV213" s="50" t="s">
        <v>17561</v>
      </c>
      <c r="BW213" s="50" t="s">
        <v>354</v>
      </c>
      <c r="BX213" s="50" t="s">
        <v>17562</v>
      </c>
      <c r="BY213" s="50" t="s">
        <v>17563</v>
      </c>
      <c r="BZ213" s="50" t="s">
        <v>17562</v>
      </c>
      <c r="CA213" s="50" t="s">
        <v>17564</v>
      </c>
      <c r="CB213" s="50" t="s">
        <v>17562</v>
      </c>
      <c r="CC213" s="50" t="s">
        <v>17565</v>
      </c>
      <c r="CD213" s="50" t="s">
        <v>17564</v>
      </c>
      <c r="CE213" s="50" t="s">
        <v>17562</v>
      </c>
      <c r="CF213" s="50" t="s">
        <v>17565</v>
      </c>
      <c r="CG213" s="50" t="s">
        <v>17566</v>
      </c>
      <c r="CH213" s="50" t="s">
        <v>17567</v>
      </c>
      <c r="CJ213" s="50" t="s">
        <v>17568</v>
      </c>
      <c r="CK213" s="50" t="s">
        <v>17569</v>
      </c>
      <c r="CL213" s="50" t="s">
        <v>17570</v>
      </c>
      <c r="CM213" s="50" t="s">
        <v>173</v>
      </c>
      <c r="CN213" s="50" t="s">
        <v>17568</v>
      </c>
      <c r="CP213" s="50" t="s">
        <v>17567</v>
      </c>
      <c r="CQ213" s="50" t="s">
        <v>17567</v>
      </c>
    </row>
    <row r="214" spans="1:96">
      <c r="A214" s="50" t="s">
        <v>93</v>
      </c>
      <c r="B214" s="50">
        <v>5015049</v>
      </c>
      <c r="C214" s="50" t="s">
        <v>293</v>
      </c>
      <c r="D214" s="50" t="s">
        <v>9407</v>
      </c>
      <c r="E214" s="50" t="e">
        <f>VLOOKUP(B214,aa!B:F,5,0)</f>
        <v>#N/A</v>
      </c>
      <c r="F214" s="50" t="e">
        <f>VLOOKUP(B214,aa!B:J,9,0)</f>
        <v>#N/A</v>
      </c>
      <c r="G214" s="50" t="e">
        <f>VLOOKUP(B214,aa!B:L,11,0)</f>
        <v>#N/A</v>
      </c>
      <c r="H214" s="50" t="e">
        <f>VLOOKUP(B214,aa!B:O,14,0)</f>
        <v>#N/A</v>
      </c>
      <c r="I214" s="50" t="e">
        <f>VLOOKUP(B214,aa!B:R,17,0)</f>
        <v>#N/A</v>
      </c>
      <c r="K214" s="50" t="s">
        <v>3549</v>
      </c>
      <c r="L214" s="50">
        <v>1051198</v>
      </c>
      <c r="M214" s="50">
        <v>1178794</v>
      </c>
      <c r="N214" s="50">
        <v>342332</v>
      </c>
      <c r="O214" s="50">
        <v>388</v>
      </c>
      <c r="P214" s="50" t="s">
        <v>9410</v>
      </c>
      <c r="Q214" s="50">
        <v>0</v>
      </c>
      <c r="R214" s="50">
        <v>0</v>
      </c>
      <c r="T214" s="50">
        <v>708866</v>
      </c>
      <c r="U214" s="50">
        <v>395</v>
      </c>
      <c r="V214" s="50" t="s">
        <v>9411</v>
      </c>
      <c r="W214" s="50" t="s">
        <v>102</v>
      </c>
      <c r="X214" s="50" t="s">
        <v>103</v>
      </c>
      <c r="Y214" s="50" t="s">
        <v>398</v>
      </c>
      <c r="AA214" s="50" t="s">
        <v>15564</v>
      </c>
      <c r="AB214" s="50" t="s">
        <v>18683</v>
      </c>
      <c r="AC214" s="50" t="s">
        <v>13242</v>
      </c>
      <c r="AD214" s="50" t="s">
        <v>18684</v>
      </c>
      <c r="AE214" s="50" t="s">
        <v>11886</v>
      </c>
      <c r="AF214" s="50" t="s">
        <v>18684</v>
      </c>
      <c r="AG214" s="50" t="s">
        <v>109</v>
      </c>
      <c r="AH214" s="50" t="s">
        <v>102</v>
      </c>
      <c r="AI214" s="50" t="s">
        <v>102</v>
      </c>
      <c r="AJ214" s="50" t="s">
        <v>1165</v>
      </c>
      <c r="AK214" s="50" t="s">
        <v>12875</v>
      </c>
      <c r="AL214" s="50" t="s">
        <v>18685</v>
      </c>
      <c r="AM214" s="50" t="s">
        <v>18686</v>
      </c>
      <c r="AN214" s="50" t="s">
        <v>18687</v>
      </c>
      <c r="AO214" s="50" t="s">
        <v>18688</v>
      </c>
      <c r="AP214" s="50" t="s">
        <v>18689</v>
      </c>
      <c r="AS214" s="50" t="s">
        <v>169</v>
      </c>
      <c r="AU214" s="50" t="s">
        <v>117</v>
      </c>
      <c r="AV214" s="50" t="s">
        <v>118</v>
      </c>
      <c r="AW214" s="50" t="s">
        <v>102</v>
      </c>
      <c r="AX214" s="50" t="s">
        <v>119</v>
      </c>
      <c r="BA214" s="50" t="s">
        <v>250</v>
      </c>
      <c r="BB214" s="50" t="s">
        <v>120</v>
      </c>
      <c r="BC214" s="50" t="s">
        <v>920</v>
      </c>
      <c r="BD214" s="50" t="s">
        <v>211</v>
      </c>
      <c r="BE214" s="50" t="s">
        <v>212</v>
      </c>
      <c r="BF214" s="50" t="s">
        <v>213</v>
      </c>
      <c r="BG214" s="50" t="s">
        <v>124</v>
      </c>
      <c r="BH214" s="50" t="s">
        <v>11927</v>
      </c>
      <c r="BI214" s="50" t="s">
        <v>18690</v>
      </c>
      <c r="BJ214" s="50" t="s">
        <v>127</v>
      </c>
      <c r="BK214" s="50" t="s">
        <v>18691</v>
      </c>
      <c r="BL214" s="50" t="s">
        <v>9427</v>
      </c>
      <c r="BM214" s="50" t="s">
        <v>18692</v>
      </c>
      <c r="BN214" s="50" t="s">
        <v>126</v>
      </c>
      <c r="BO214" s="50" t="s">
        <v>15574</v>
      </c>
      <c r="BP214" s="50" t="s">
        <v>180</v>
      </c>
      <c r="BQ214" s="50" t="s">
        <v>15575</v>
      </c>
      <c r="BR214" s="50" t="s">
        <v>15576</v>
      </c>
      <c r="BS214" s="50" t="s">
        <v>7225</v>
      </c>
      <c r="BU214" s="50" t="s">
        <v>18693</v>
      </c>
      <c r="BV214" s="50" t="s">
        <v>18694</v>
      </c>
      <c r="BW214" s="50" t="s">
        <v>138</v>
      </c>
      <c r="BX214" s="50" t="s">
        <v>18695</v>
      </c>
      <c r="BY214" s="50" t="s">
        <v>9432</v>
      </c>
      <c r="BZ214" s="50" t="s">
        <v>9433</v>
      </c>
      <c r="CA214" s="50" t="s">
        <v>18696</v>
      </c>
      <c r="CB214" s="50" t="s">
        <v>18695</v>
      </c>
      <c r="CC214" s="50" t="s">
        <v>9432</v>
      </c>
      <c r="CD214" s="50" t="s">
        <v>18697</v>
      </c>
      <c r="CE214" s="50" t="s">
        <v>18695</v>
      </c>
      <c r="CF214" s="50" t="s">
        <v>9437</v>
      </c>
      <c r="CG214" s="50" t="s">
        <v>4802</v>
      </c>
      <c r="CH214" s="50" t="s">
        <v>18698</v>
      </c>
      <c r="CJ214" s="50" t="s">
        <v>9439</v>
      </c>
      <c r="CK214" s="50" t="s">
        <v>9438</v>
      </c>
      <c r="CL214" s="50" t="s">
        <v>920</v>
      </c>
      <c r="CM214" s="50" t="s">
        <v>211</v>
      </c>
      <c r="CN214" s="50" t="s">
        <v>9439</v>
      </c>
      <c r="CP214" s="50" t="s">
        <v>9438</v>
      </c>
      <c r="CQ214" s="50" t="s">
        <v>9438</v>
      </c>
      <c r="CR214" s="50" t="s">
        <v>26047</v>
      </c>
    </row>
    <row r="215" spans="1:96">
      <c r="A215" s="50" t="s">
        <v>149</v>
      </c>
      <c r="B215" s="50">
        <v>5015890</v>
      </c>
      <c r="C215" s="50" t="s">
        <v>985</v>
      </c>
      <c r="D215" s="50" t="s">
        <v>9531</v>
      </c>
      <c r="E215" s="50" t="e">
        <f>VLOOKUP(B215,aa!B:F,5,0)</f>
        <v>#N/A</v>
      </c>
      <c r="F215" s="50" t="e">
        <f>VLOOKUP(B215,aa!B:J,9,0)</f>
        <v>#N/A</v>
      </c>
      <c r="G215" s="50" t="e">
        <f>VLOOKUP(B215,aa!B:L,11,0)</f>
        <v>#N/A</v>
      </c>
      <c r="H215" s="50" t="e">
        <f>VLOOKUP(B215,aa!B:O,14,0)</f>
        <v>#N/A</v>
      </c>
      <c r="I215" s="50" t="e">
        <f>VLOOKUP(B215,aa!B:R,17,0)</f>
        <v>#N/A</v>
      </c>
      <c r="K215" s="50" t="s">
        <v>97</v>
      </c>
      <c r="L215" s="50">
        <v>128162</v>
      </c>
      <c r="M215" s="50">
        <v>128162</v>
      </c>
      <c r="N215" s="50">
        <v>128162</v>
      </c>
      <c r="O215" s="50">
        <v>233</v>
      </c>
      <c r="P215" s="50" t="s">
        <v>3431</v>
      </c>
      <c r="Q215" s="50">
        <v>0</v>
      </c>
      <c r="R215" s="50">
        <v>0</v>
      </c>
      <c r="T215" s="50">
        <v>0</v>
      </c>
      <c r="U215" s="50">
        <v>0</v>
      </c>
      <c r="W215" s="50" t="s">
        <v>102</v>
      </c>
      <c r="X215" s="50" t="s">
        <v>275</v>
      </c>
      <c r="Z215" s="50" t="s">
        <v>12023</v>
      </c>
      <c r="AA215" s="50" t="s">
        <v>109</v>
      </c>
      <c r="AB215" s="50" t="s">
        <v>102</v>
      </c>
      <c r="AC215" s="50" t="s">
        <v>109</v>
      </c>
      <c r="AD215" s="50" t="s">
        <v>102</v>
      </c>
      <c r="AE215" s="50" t="s">
        <v>109</v>
      </c>
      <c r="AF215" s="50" t="s">
        <v>102</v>
      </c>
      <c r="AG215" s="50" t="s">
        <v>109</v>
      </c>
      <c r="AH215" s="50" t="s">
        <v>102</v>
      </c>
      <c r="AI215" s="50" t="s">
        <v>102</v>
      </c>
      <c r="AL215" s="50" t="s">
        <v>18767</v>
      </c>
      <c r="AM215" s="50" t="s">
        <v>102</v>
      </c>
      <c r="AN215" s="50" t="s">
        <v>18767</v>
      </c>
      <c r="AO215" s="50" t="s">
        <v>3438</v>
      </c>
      <c r="AP215" s="50" t="s">
        <v>3438</v>
      </c>
      <c r="AU215" s="50" t="s">
        <v>318</v>
      </c>
      <c r="AV215" s="50" t="s">
        <v>118</v>
      </c>
      <c r="AW215" s="50" t="s">
        <v>102</v>
      </c>
      <c r="AX215" s="50" t="s">
        <v>119</v>
      </c>
      <c r="BB215" s="50" t="s">
        <v>120</v>
      </c>
      <c r="BC215" s="50" t="s">
        <v>2127</v>
      </c>
      <c r="BD215" s="50" t="s">
        <v>621</v>
      </c>
      <c r="BE215" s="50" t="s">
        <v>622</v>
      </c>
      <c r="BF215" s="50" t="s">
        <v>976</v>
      </c>
      <c r="BG215" s="50" t="s">
        <v>124</v>
      </c>
      <c r="BH215" s="50" t="s">
        <v>5694</v>
      </c>
      <c r="BI215" s="50" t="s">
        <v>11889</v>
      </c>
      <c r="BJ215" s="50" t="s">
        <v>127</v>
      </c>
      <c r="BK215" s="50" t="s">
        <v>18768</v>
      </c>
      <c r="BL215" s="50" t="s">
        <v>9537</v>
      </c>
      <c r="BM215" s="50" t="s">
        <v>18769</v>
      </c>
      <c r="BN215" s="50" t="s">
        <v>126</v>
      </c>
      <c r="BO215" s="50" t="s">
        <v>981</v>
      </c>
      <c r="BP215" s="50" t="s">
        <v>132</v>
      </c>
      <c r="BQ215" s="50" t="s">
        <v>982</v>
      </c>
      <c r="BR215" s="50" t="s">
        <v>983</v>
      </c>
      <c r="BS215" s="50" t="s">
        <v>984</v>
      </c>
      <c r="BU215" s="50" t="s">
        <v>18770</v>
      </c>
      <c r="BV215" s="50" t="s">
        <v>9540</v>
      </c>
      <c r="BW215" s="50" t="s">
        <v>138</v>
      </c>
      <c r="BX215" s="50" t="s">
        <v>9541</v>
      </c>
      <c r="BY215" s="50" t="s">
        <v>9542</v>
      </c>
      <c r="BZ215" s="50" t="s">
        <v>9541</v>
      </c>
      <c r="CA215" s="50" t="s">
        <v>9540</v>
      </c>
      <c r="CB215" s="50" t="s">
        <v>9541</v>
      </c>
      <c r="CC215" s="50" t="s">
        <v>9542</v>
      </c>
      <c r="CD215" s="50" t="s">
        <v>18771</v>
      </c>
      <c r="CE215" s="50" t="s">
        <v>18772</v>
      </c>
      <c r="CF215" s="50" t="s">
        <v>18773</v>
      </c>
      <c r="CG215" s="50" t="s">
        <v>102</v>
      </c>
      <c r="CH215" s="50" t="s">
        <v>18774</v>
      </c>
      <c r="CJ215" s="50" t="s">
        <v>9544</v>
      </c>
      <c r="CL215" s="50" t="s">
        <v>2127</v>
      </c>
      <c r="CM215" s="50" t="s">
        <v>621</v>
      </c>
      <c r="CN215" s="50" t="s">
        <v>9544</v>
      </c>
      <c r="CP215" s="50" t="s">
        <v>9543</v>
      </c>
      <c r="CQ215" s="50" t="s">
        <v>9543</v>
      </c>
      <c r="CR215" s="50" t="s">
        <v>26040</v>
      </c>
    </row>
    <row r="216" spans="1:96">
      <c r="A216" s="50" t="s">
        <v>149</v>
      </c>
      <c r="B216" s="50">
        <v>504488</v>
      </c>
      <c r="C216" s="50" t="s">
        <v>12507</v>
      </c>
      <c r="D216" s="50" t="s">
        <v>10789</v>
      </c>
      <c r="E216" s="50" t="str">
        <f>VLOOKUP(B216,aa!B:F,5,0)</f>
        <v>Ei Mindspark</v>
      </c>
      <c r="F216" s="50">
        <f>VLOOKUP(B216,aa!B:J,9,0)</f>
        <v>2112229</v>
      </c>
      <c r="G216" s="50">
        <f>VLOOKUP(B216,aa!B:L,11,0)</f>
        <v>0</v>
      </c>
      <c r="H216" s="50">
        <f>VLOOKUP(B216,aa!B:O,14,0)</f>
        <v>0</v>
      </c>
      <c r="I216" s="50">
        <f>VLOOKUP(B216,aa!B:R,17,0)</f>
        <v>2112229</v>
      </c>
      <c r="K216" s="50" t="s">
        <v>848</v>
      </c>
      <c r="L216" s="50">
        <v>2150159</v>
      </c>
      <c r="M216" s="50">
        <v>2537188</v>
      </c>
      <c r="N216" s="50">
        <v>0</v>
      </c>
      <c r="O216" s="50">
        <v>0</v>
      </c>
      <c r="Q216" s="50">
        <v>0</v>
      </c>
      <c r="R216" s="50">
        <v>0</v>
      </c>
      <c r="T216" s="50">
        <v>2150159</v>
      </c>
      <c r="U216" s="50">
        <v>1440</v>
      </c>
      <c r="V216" s="50" t="s">
        <v>20424</v>
      </c>
      <c r="W216" s="50" t="s">
        <v>102</v>
      </c>
      <c r="X216" s="50" t="s">
        <v>103</v>
      </c>
      <c r="Y216" s="50" t="s">
        <v>155</v>
      </c>
      <c r="AA216" s="50" t="s">
        <v>4813</v>
      </c>
      <c r="AB216" s="50" t="s">
        <v>20425</v>
      </c>
      <c r="AC216" s="50" t="s">
        <v>11929</v>
      </c>
      <c r="AD216" s="50" t="s">
        <v>20425</v>
      </c>
      <c r="AE216" s="50" t="s">
        <v>20426</v>
      </c>
      <c r="AF216" s="50" t="s">
        <v>20425</v>
      </c>
      <c r="AG216" s="50" t="s">
        <v>16007</v>
      </c>
      <c r="AH216" s="50" t="s">
        <v>20425</v>
      </c>
      <c r="AI216" s="50" t="s">
        <v>14971</v>
      </c>
      <c r="AJ216" s="50" t="s">
        <v>7439</v>
      </c>
      <c r="AK216" s="50" t="s">
        <v>13344</v>
      </c>
      <c r="AL216" s="50" t="s">
        <v>20427</v>
      </c>
      <c r="AM216" s="50" t="s">
        <v>20428</v>
      </c>
      <c r="AN216" s="50" t="s">
        <v>20429</v>
      </c>
      <c r="AO216" s="50" t="s">
        <v>10798</v>
      </c>
      <c r="AP216" s="50" t="s">
        <v>10799</v>
      </c>
      <c r="AR216" s="50" t="s">
        <v>169</v>
      </c>
      <c r="AT216" s="50" t="s">
        <v>169</v>
      </c>
      <c r="AU216" s="50" t="s">
        <v>102</v>
      </c>
      <c r="AW216" s="50" t="s">
        <v>102</v>
      </c>
      <c r="AX216" s="50" t="s">
        <v>119</v>
      </c>
      <c r="BA216" s="50" t="s">
        <v>250</v>
      </c>
      <c r="BB216" s="50" t="s">
        <v>171</v>
      </c>
      <c r="BC216" s="50" t="s">
        <v>4216</v>
      </c>
      <c r="BD216" s="50" t="s">
        <v>556</v>
      </c>
      <c r="BE216" s="50" t="s">
        <v>122</v>
      </c>
      <c r="BF216" s="50" t="s">
        <v>557</v>
      </c>
      <c r="BG216" s="50" t="s">
        <v>124</v>
      </c>
      <c r="BH216" s="50" t="s">
        <v>12023</v>
      </c>
      <c r="BI216" s="50" t="s">
        <v>11889</v>
      </c>
      <c r="BJ216" s="50" t="s">
        <v>127</v>
      </c>
      <c r="BK216" s="50" t="s">
        <v>20430</v>
      </c>
      <c r="BL216" s="50" t="s">
        <v>10801</v>
      </c>
      <c r="BM216" s="50" t="s">
        <v>20431</v>
      </c>
      <c r="BN216" s="50" t="s">
        <v>126</v>
      </c>
      <c r="BO216" s="50" t="s">
        <v>12743</v>
      </c>
      <c r="BP216" s="50" t="s">
        <v>350</v>
      </c>
      <c r="BQ216" s="50" t="s">
        <v>12744</v>
      </c>
      <c r="BR216" s="50" t="s">
        <v>12745</v>
      </c>
      <c r="BS216" s="50" t="s">
        <v>1075</v>
      </c>
      <c r="BU216" s="50" t="s">
        <v>20432</v>
      </c>
      <c r="BV216" s="50" t="s">
        <v>10804</v>
      </c>
      <c r="BW216" s="50" t="s">
        <v>138</v>
      </c>
      <c r="BX216" s="50" t="s">
        <v>20433</v>
      </c>
      <c r="BY216" s="50" t="s">
        <v>10806</v>
      </c>
      <c r="BZ216" s="50" t="s">
        <v>10807</v>
      </c>
      <c r="CA216" s="50" t="s">
        <v>10804</v>
      </c>
      <c r="CB216" s="50" t="s">
        <v>20433</v>
      </c>
      <c r="CC216" s="50" t="s">
        <v>20434</v>
      </c>
      <c r="CD216" s="50" t="s">
        <v>20435</v>
      </c>
      <c r="CE216" s="50" t="s">
        <v>20436</v>
      </c>
      <c r="CF216" s="50" t="s">
        <v>20437</v>
      </c>
      <c r="CG216" s="50" t="s">
        <v>102</v>
      </c>
      <c r="CH216" s="50" t="s">
        <v>20438</v>
      </c>
      <c r="CJ216" s="50" t="s">
        <v>10809</v>
      </c>
      <c r="CL216" s="50" t="s">
        <v>4216</v>
      </c>
      <c r="CM216" s="50" t="s">
        <v>556</v>
      </c>
      <c r="CN216" s="50" t="s">
        <v>10809</v>
      </c>
      <c r="CO216" s="50" t="s">
        <v>10810</v>
      </c>
      <c r="CP216" s="50" t="s">
        <v>10808</v>
      </c>
      <c r="CQ216" s="50" t="s">
        <v>10808</v>
      </c>
    </row>
    <row r="217" spans="1:96">
      <c r="A217" s="50" t="s">
        <v>149</v>
      </c>
      <c r="B217" s="50">
        <v>2171347</v>
      </c>
      <c r="C217" s="50" t="s">
        <v>12018</v>
      </c>
      <c r="D217" s="50" t="s">
        <v>2791</v>
      </c>
      <c r="E217" s="50" t="e">
        <f>VLOOKUP(B217,aa!B:F,5,0)</f>
        <v>#N/A</v>
      </c>
      <c r="F217" s="50" t="e">
        <f>VLOOKUP(B217,aa!B:J,9,0)</f>
        <v>#N/A</v>
      </c>
      <c r="G217" s="50" t="e">
        <f>VLOOKUP(B217,aa!B:L,11,0)</f>
        <v>#N/A</v>
      </c>
      <c r="H217" s="50" t="e">
        <f>VLOOKUP(B217,aa!B:O,14,0)</f>
        <v>#N/A</v>
      </c>
      <c r="I217" s="50" t="e">
        <f>VLOOKUP(B217,aa!B:R,17,0)</f>
        <v>#N/A</v>
      </c>
      <c r="K217" s="50" t="s">
        <v>152</v>
      </c>
      <c r="L217" s="50">
        <v>1728118</v>
      </c>
      <c r="M217" s="50">
        <v>1728118</v>
      </c>
      <c r="N217" s="50">
        <v>0</v>
      </c>
      <c r="O217" s="50">
        <v>0</v>
      </c>
      <c r="Q217" s="50">
        <v>1728118</v>
      </c>
      <c r="R217" s="50">
        <v>1008</v>
      </c>
      <c r="S217" s="50" t="s">
        <v>2794</v>
      </c>
      <c r="T217" s="50">
        <v>0</v>
      </c>
      <c r="U217" s="50">
        <v>0</v>
      </c>
      <c r="W217" s="50" t="s">
        <v>102</v>
      </c>
      <c r="X217" s="50" t="s">
        <v>275</v>
      </c>
      <c r="Z217" s="50" t="s">
        <v>8186</v>
      </c>
      <c r="AA217" s="50" t="s">
        <v>109</v>
      </c>
      <c r="AB217" s="50" t="s">
        <v>102</v>
      </c>
      <c r="AC217" s="50" t="s">
        <v>109</v>
      </c>
      <c r="AD217" s="50" t="s">
        <v>102</v>
      </c>
      <c r="AE217" s="50" t="s">
        <v>109</v>
      </c>
      <c r="AF217" s="50" t="s">
        <v>102</v>
      </c>
      <c r="AG217" s="50" t="s">
        <v>109</v>
      </c>
      <c r="AH217" s="50" t="s">
        <v>102</v>
      </c>
      <c r="AI217" s="50" t="s">
        <v>102</v>
      </c>
      <c r="AJ217" s="50" t="s">
        <v>6177</v>
      </c>
      <c r="AK217" s="50" t="s">
        <v>6177</v>
      </c>
      <c r="AL217" s="50" t="s">
        <v>2795</v>
      </c>
      <c r="AM217" s="50" t="s">
        <v>13622</v>
      </c>
      <c r="AN217" s="50" t="s">
        <v>13623</v>
      </c>
      <c r="AO217" s="50" t="s">
        <v>2798</v>
      </c>
      <c r="AP217" s="50" t="s">
        <v>2798</v>
      </c>
      <c r="AU217" s="50" t="s">
        <v>102</v>
      </c>
      <c r="AW217" s="50" t="s">
        <v>155</v>
      </c>
      <c r="AX217" s="50" t="s">
        <v>447</v>
      </c>
      <c r="AY217" s="50" t="s">
        <v>170</v>
      </c>
      <c r="AZ217" s="50" t="s">
        <v>118</v>
      </c>
      <c r="BB217" s="50" t="s">
        <v>209</v>
      </c>
      <c r="BC217" s="50" t="s">
        <v>2799</v>
      </c>
      <c r="BD217" s="50" t="s">
        <v>2800</v>
      </c>
      <c r="BE217" s="50" t="s">
        <v>122</v>
      </c>
      <c r="BF217" s="50" t="s">
        <v>346</v>
      </c>
      <c r="BG217" s="50" t="s">
        <v>124</v>
      </c>
      <c r="BH217" s="50" t="s">
        <v>12023</v>
      </c>
      <c r="BI217" s="50" t="s">
        <v>11889</v>
      </c>
      <c r="BJ217" s="50" t="s">
        <v>127</v>
      </c>
      <c r="BK217" s="50" t="s">
        <v>13624</v>
      </c>
      <c r="BL217" s="50" t="s">
        <v>2802</v>
      </c>
      <c r="BM217" s="50" t="s">
        <v>13625</v>
      </c>
      <c r="BN217" s="50" t="s">
        <v>12023</v>
      </c>
      <c r="BO217" s="50" t="s">
        <v>593</v>
      </c>
      <c r="BP217" s="50" t="s">
        <v>3941</v>
      </c>
      <c r="BQ217" s="50" t="s">
        <v>594</v>
      </c>
      <c r="BR217" s="50" t="s">
        <v>595</v>
      </c>
      <c r="BS217" s="50" t="s">
        <v>328</v>
      </c>
      <c r="BU217" s="50" t="s">
        <v>13626</v>
      </c>
      <c r="BV217" s="50" t="s">
        <v>2805</v>
      </c>
      <c r="BW217" s="50" t="s">
        <v>354</v>
      </c>
      <c r="BX217" s="50" t="s">
        <v>2806</v>
      </c>
      <c r="BY217" s="50" t="s">
        <v>2807</v>
      </c>
      <c r="BZ217" s="50" t="s">
        <v>2808</v>
      </c>
      <c r="CA217" s="50" t="s">
        <v>13627</v>
      </c>
      <c r="CB217" s="50" t="s">
        <v>2808</v>
      </c>
      <c r="CC217" s="50" t="s">
        <v>13628</v>
      </c>
      <c r="CD217" s="50" t="s">
        <v>13629</v>
      </c>
      <c r="CE217" s="50" t="s">
        <v>13630</v>
      </c>
      <c r="CF217" s="50" t="s">
        <v>13631</v>
      </c>
      <c r="CG217" s="50" t="s">
        <v>102</v>
      </c>
      <c r="CH217" s="50" t="s">
        <v>2809</v>
      </c>
      <c r="CJ217" s="50" t="s">
        <v>2810</v>
      </c>
      <c r="CL217" s="50" t="s">
        <v>2799</v>
      </c>
      <c r="CM217" s="50" t="s">
        <v>2800</v>
      </c>
      <c r="CN217" s="50" t="s">
        <v>2810</v>
      </c>
      <c r="CP217" s="50" t="s">
        <v>2809</v>
      </c>
      <c r="CQ217" s="50" t="s">
        <v>2809</v>
      </c>
    </row>
    <row r="218" spans="1:96">
      <c r="A218" s="50" t="s">
        <v>149</v>
      </c>
      <c r="B218" s="50">
        <v>2472169</v>
      </c>
      <c r="C218" s="50" t="s">
        <v>418</v>
      </c>
      <c r="D218" s="50" t="s">
        <v>14135</v>
      </c>
      <c r="E218" s="50" t="e">
        <f>VLOOKUP(B218,aa!B:F,5,0)</f>
        <v>#N/A</v>
      </c>
      <c r="F218" s="50" t="e">
        <f>VLOOKUP(B218,aa!B:J,9,0)</f>
        <v>#N/A</v>
      </c>
      <c r="G218" s="50" t="e">
        <f>VLOOKUP(B218,aa!B:L,11,0)</f>
        <v>#N/A</v>
      </c>
      <c r="H218" s="50" t="e">
        <f>VLOOKUP(B218,aa!B:O,14,0)</f>
        <v>#N/A</v>
      </c>
      <c r="I218" s="50" t="e">
        <f>VLOOKUP(B218,aa!B:R,17,0)</f>
        <v>#N/A</v>
      </c>
      <c r="K218" s="50" t="s">
        <v>97</v>
      </c>
      <c r="L218" s="50">
        <v>989169</v>
      </c>
      <c r="M218" s="50">
        <v>989169</v>
      </c>
      <c r="N218" s="50">
        <v>989169</v>
      </c>
      <c r="O218" s="50">
        <v>1161</v>
      </c>
      <c r="P218" s="50" t="s">
        <v>14136</v>
      </c>
      <c r="Q218" s="50">
        <v>0</v>
      </c>
      <c r="R218" s="50">
        <v>0</v>
      </c>
      <c r="T218" s="50">
        <v>0</v>
      </c>
      <c r="U218" s="50">
        <v>0</v>
      </c>
      <c r="W218" s="50" t="s">
        <v>102</v>
      </c>
      <c r="X218" s="50" t="s">
        <v>103</v>
      </c>
      <c r="Y218" s="50" t="s">
        <v>104</v>
      </c>
      <c r="AA218" s="50" t="s">
        <v>1165</v>
      </c>
      <c r="AB218" s="50" t="s">
        <v>14137</v>
      </c>
      <c r="AC218" s="50" t="s">
        <v>12888</v>
      </c>
      <c r="AD218" s="50" t="s">
        <v>14138</v>
      </c>
      <c r="AE218" s="50" t="s">
        <v>109</v>
      </c>
      <c r="AF218" s="50" t="s">
        <v>102</v>
      </c>
      <c r="AG218" s="50" t="s">
        <v>109</v>
      </c>
      <c r="AH218" s="50" t="s">
        <v>102</v>
      </c>
      <c r="AI218" s="50" t="s">
        <v>14139</v>
      </c>
      <c r="AJ218" s="50" t="s">
        <v>12783</v>
      </c>
      <c r="AK218" s="50" t="s">
        <v>12873</v>
      </c>
      <c r="AL218" s="50" t="s">
        <v>14140</v>
      </c>
      <c r="AM218" s="50" t="s">
        <v>14141</v>
      </c>
      <c r="AN218" s="50" t="s">
        <v>115</v>
      </c>
      <c r="AO218" s="50" t="s">
        <v>14142</v>
      </c>
      <c r="AP218" s="50" t="s">
        <v>14142</v>
      </c>
      <c r="AU218" s="50" t="s">
        <v>318</v>
      </c>
      <c r="AV218" s="50" t="s">
        <v>118</v>
      </c>
      <c r="AW218" s="50" t="s">
        <v>102</v>
      </c>
      <c r="AX218" s="50" t="s">
        <v>119</v>
      </c>
      <c r="BB218" s="50" t="s">
        <v>120</v>
      </c>
      <c r="BC218" s="50" t="s">
        <v>409</v>
      </c>
      <c r="BD218" s="50" t="s">
        <v>410</v>
      </c>
      <c r="BE218" s="50" t="s">
        <v>212</v>
      </c>
      <c r="BF218" s="50" t="s">
        <v>410</v>
      </c>
      <c r="BG218" s="50" t="s">
        <v>124</v>
      </c>
      <c r="BH218" s="50" t="s">
        <v>12082</v>
      </c>
      <c r="BI218" s="50" t="s">
        <v>11889</v>
      </c>
      <c r="BJ218" s="50" t="s">
        <v>127</v>
      </c>
      <c r="BK218" s="50" t="s">
        <v>14143</v>
      </c>
      <c r="BL218" s="50" t="s">
        <v>3582</v>
      </c>
      <c r="BM218" s="50" t="s">
        <v>14144</v>
      </c>
      <c r="BN218" s="50" t="s">
        <v>12023</v>
      </c>
      <c r="BO218" s="50" t="s">
        <v>866</v>
      </c>
      <c r="BP218" s="50" t="s">
        <v>132</v>
      </c>
      <c r="BQ218" s="50" t="s">
        <v>867</v>
      </c>
      <c r="BR218" s="50" t="s">
        <v>868</v>
      </c>
      <c r="BS218" s="50" t="s">
        <v>418</v>
      </c>
      <c r="BU218" s="50" t="s">
        <v>14145</v>
      </c>
      <c r="BV218" s="50" t="s">
        <v>3585</v>
      </c>
      <c r="BW218" s="50" t="s">
        <v>598</v>
      </c>
      <c r="BX218" s="50" t="s">
        <v>225</v>
      </c>
      <c r="BY218" s="50" t="s">
        <v>226</v>
      </c>
      <c r="BZ218" s="50" t="s">
        <v>3586</v>
      </c>
      <c r="CA218" s="50" t="s">
        <v>14146</v>
      </c>
      <c r="CB218" s="50" t="s">
        <v>14147</v>
      </c>
      <c r="CC218" s="50" t="s">
        <v>14148</v>
      </c>
      <c r="CD218" s="50" t="s">
        <v>14149</v>
      </c>
      <c r="CE218" s="50" t="s">
        <v>14150</v>
      </c>
      <c r="CF218" s="50" t="s">
        <v>14151</v>
      </c>
      <c r="CG218" s="50" t="s">
        <v>102</v>
      </c>
      <c r="CH218" s="50" t="s">
        <v>3587</v>
      </c>
      <c r="CJ218" s="50" t="s">
        <v>3588</v>
      </c>
      <c r="CL218" s="50" t="s">
        <v>409</v>
      </c>
      <c r="CM218" s="50" t="s">
        <v>410</v>
      </c>
      <c r="CN218" s="50" t="s">
        <v>3588</v>
      </c>
      <c r="CO218" s="50" t="s">
        <v>3589</v>
      </c>
      <c r="CP218" s="50" t="s">
        <v>3587</v>
      </c>
      <c r="CQ218" s="50" t="s">
        <v>3587</v>
      </c>
      <c r="CR218" s="50" t="s">
        <v>26040</v>
      </c>
    </row>
    <row r="219" spans="1:96">
      <c r="A219" s="50" t="s">
        <v>149</v>
      </c>
      <c r="B219" s="50">
        <v>2473015</v>
      </c>
      <c r="C219" s="50" t="s">
        <v>11882</v>
      </c>
      <c r="D219" s="50" t="s">
        <v>3617</v>
      </c>
      <c r="E219" s="50" t="str">
        <f>VLOOKUP(B219,aa!B:F,5,0)</f>
        <v>Ei Mindspark</v>
      </c>
      <c r="F219" s="50">
        <f>VLOOKUP(B219,aa!B:J,9,0)</f>
        <v>907672</v>
      </c>
      <c r="G219" s="50">
        <f>VLOOKUP(B219,aa!B:L,11,0)</f>
        <v>0</v>
      </c>
      <c r="H219" s="50">
        <f>VLOOKUP(B219,aa!B:O,14,0)</f>
        <v>0</v>
      </c>
      <c r="I219" s="50">
        <f>VLOOKUP(B219,aa!B:R,17,0)</f>
        <v>907672</v>
      </c>
      <c r="K219" s="50" t="s">
        <v>848</v>
      </c>
      <c r="L219" s="50">
        <v>935254</v>
      </c>
      <c r="M219" s="50">
        <v>1103600</v>
      </c>
      <c r="N219" s="50">
        <v>0</v>
      </c>
      <c r="O219" s="50">
        <v>0</v>
      </c>
      <c r="Q219" s="50">
        <v>0</v>
      </c>
      <c r="R219" s="50">
        <v>0</v>
      </c>
      <c r="T219" s="50">
        <v>935254</v>
      </c>
      <c r="U219" s="50">
        <v>390</v>
      </c>
      <c r="V219" s="50" t="s">
        <v>14168</v>
      </c>
      <c r="W219" s="50" t="s">
        <v>102</v>
      </c>
      <c r="X219" s="50" t="s">
        <v>103</v>
      </c>
      <c r="Y219" s="50" t="s">
        <v>155</v>
      </c>
      <c r="AA219" s="50" t="s">
        <v>6341</v>
      </c>
      <c r="AB219" s="50" t="s">
        <v>14169</v>
      </c>
      <c r="AC219" s="50" t="s">
        <v>11976</v>
      </c>
      <c r="AD219" s="50" t="s">
        <v>14169</v>
      </c>
      <c r="AE219" s="50" t="s">
        <v>11888</v>
      </c>
      <c r="AF219" s="50" t="s">
        <v>14169</v>
      </c>
      <c r="AG219" s="50" t="s">
        <v>12084</v>
      </c>
      <c r="AH219" s="50" t="s">
        <v>14169</v>
      </c>
      <c r="AI219" s="50" t="s">
        <v>14170</v>
      </c>
      <c r="AJ219" s="50" t="s">
        <v>13496</v>
      </c>
      <c r="AK219" s="50" t="s">
        <v>6895</v>
      </c>
      <c r="AL219" s="50" t="s">
        <v>14171</v>
      </c>
      <c r="AM219" s="50" t="s">
        <v>14172</v>
      </c>
      <c r="AN219" s="50" t="s">
        <v>14173</v>
      </c>
      <c r="AO219" s="50" t="s">
        <v>14174</v>
      </c>
      <c r="AP219" s="50" t="s">
        <v>14175</v>
      </c>
      <c r="AT219" s="50" t="s">
        <v>169</v>
      </c>
      <c r="AU219" s="50" t="s">
        <v>102</v>
      </c>
      <c r="AW219" s="50" t="s">
        <v>102</v>
      </c>
      <c r="AX219" s="50" t="s">
        <v>119</v>
      </c>
      <c r="BA219" s="50" t="s">
        <v>250</v>
      </c>
      <c r="BB219" s="50" t="s">
        <v>120</v>
      </c>
      <c r="BC219" s="50" t="s">
        <v>2840</v>
      </c>
      <c r="BD219" s="50" t="s">
        <v>449</v>
      </c>
      <c r="BE219" s="50" t="s">
        <v>122</v>
      </c>
      <c r="BF219" s="50" t="s">
        <v>253</v>
      </c>
      <c r="BG219" s="50" t="s">
        <v>124</v>
      </c>
      <c r="BH219" s="50" t="s">
        <v>12023</v>
      </c>
      <c r="BI219" s="50" t="s">
        <v>11889</v>
      </c>
      <c r="BJ219" s="50" t="s">
        <v>127</v>
      </c>
      <c r="BK219" s="50" t="s">
        <v>14176</v>
      </c>
      <c r="BL219" s="50" t="s">
        <v>3628</v>
      </c>
      <c r="BM219" s="50" t="s">
        <v>14177</v>
      </c>
      <c r="BN219" s="50" t="s">
        <v>12023</v>
      </c>
      <c r="BO219" s="50" t="s">
        <v>3267</v>
      </c>
      <c r="BP219" s="50" t="s">
        <v>350</v>
      </c>
      <c r="BQ219" s="50" t="s">
        <v>3268</v>
      </c>
      <c r="BR219" s="50" t="s">
        <v>3269</v>
      </c>
      <c r="BS219" s="50" t="s">
        <v>135</v>
      </c>
      <c r="BU219" s="50" t="s">
        <v>14178</v>
      </c>
      <c r="BV219" s="50" t="s">
        <v>14179</v>
      </c>
      <c r="BW219" s="50" t="s">
        <v>598</v>
      </c>
      <c r="BX219" s="50" t="s">
        <v>14180</v>
      </c>
      <c r="BY219" s="50" t="s">
        <v>3633</v>
      </c>
      <c r="BZ219" s="50" t="s">
        <v>3634</v>
      </c>
      <c r="CA219" s="50" t="s">
        <v>14181</v>
      </c>
      <c r="CB219" s="50" t="s">
        <v>3634</v>
      </c>
      <c r="CC219" s="50" t="s">
        <v>3633</v>
      </c>
      <c r="CD219" s="50" t="s">
        <v>14181</v>
      </c>
      <c r="CE219" s="50" t="s">
        <v>3634</v>
      </c>
      <c r="CF219" s="50" t="s">
        <v>3633</v>
      </c>
      <c r="CG219" s="50" t="s">
        <v>102</v>
      </c>
      <c r="CH219" s="50" t="s">
        <v>14182</v>
      </c>
      <c r="CJ219" s="50" t="s">
        <v>2855</v>
      </c>
      <c r="CL219" s="50" t="s">
        <v>2840</v>
      </c>
      <c r="CM219" s="50" t="s">
        <v>449</v>
      </c>
      <c r="CN219" s="50" t="s">
        <v>2855</v>
      </c>
      <c r="CO219" s="50" t="s">
        <v>3637</v>
      </c>
      <c r="CP219" s="50" t="s">
        <v>3638</v>
      </c>
      <c r="CQ219" s="50" t="s">
        <v>3636</v>
      </c>
    </row>
    <row r="220" spans="1:96">
      <c r="A220" s="50" t="s">
        <v>149</v>
      </c>
      <c r="B220" s="50">
        <v>2618631</v>
      </c>
      <c r="C220" s="50" t="s">
        <v>12423</v>
      </c>
      <c r="D220" s="50" t="s">
        <v>4232</v>
      </c>
      <c r="E220" s="50" t="e">
        <f>VLOOKUP(B220,aa!B:F,5,0)</f>
        <v>#N/A</v>
      </c>
      <c r="F220" s="50" t="e">
        <f>VLOOKUP(B220,aa!B:J,9,0)</f>
        <v>#N/A</v>
      </c>
      <c r="G220" s="50" t="e">
        <f>VLOOKUP(B220,aa!B:L,11,0)</f>
        <v>#N/A</v>
      </c>
      <c r="H220" s="50" t="e">
        <f>VLOOKUP(B220,aa!B:O,14,0)</f>
        <v>#N/A</v>
      </c>
      <c r="I220" s="50" t="e">
        <f>VLOOKUP(B220,aa!B:R,17,0)</f>
        <v>#N/A</v>
      </c>
      <c r="K220" s="50" t="s">
        <v>97</v>
      </c>
      <c r="L220" s="50">
        <v>187617</v>
      </c>
      <c r="M220" s="50">
        <v>187617</v>
      </c>
      <c r="N220" s="50">
        <v>187617</v>
      </c>
      <c r="O220" s="50">
        <v>220</v>
      </c>
      <c r="P220" s="50" t="s">
        <v>12381</v>
      </c>
      <c r="Q220" s="50">
        <v>0</v>
      </c>
      <c r="R220" s="50">
        <v>0</v>
      </c>
      <c r="T220" s="50">
        <v>0</v>
      </c>
      <c r="U220" s="50">
        <v>0</v>
      </c>
      <c r="W220" s="50" t="s">
        <v>102</v>
      </c>
      <c r="X220" s="50" t="s">
        <v>103</v>
      </c>
      <c r="Y220" s="50" t="s">
        <v>104</v>
      </c>
      <c r="AA220" s="50" t="s">
        <v>1165</v>
      </c>
      <c r="AB220" s="50" t="s">
        <v>14631</v>
      </c>
      <c r="AC220" s="50" t="s">
        <v>12888</v>
      </c>
      <c r="AD220" s="50" t="s">
        <v>14632</v>
      </c>
      <c r="AE220" s="50" t="s">
        <v>109</v>
      </c>
      <c r="AF220" s="50" t="s">
        <v>102</v>
      </c>
      <c r="AG220" s="50" t="s">
        <v>109</v>
      </c>
      <c r="AH220" s="50" t="s">
        <v>102</v>
      </c>
      <c r="AI220" s="50" t="s">
        <v>14633</v>
      </c>
      <c r="AJ220" s="50" t="s">
        <v>14210</v>
      </c>
      <c r="AK220" s="50" t="s">
        <v>14210</v>
      </c>
      <c r="AL220" s="50" t="s">
        <v>14634</v>
      </c>
      <c r="AM220" s="50" t="s">
        <v>14635</v>
      </c>
      <c r="AN220" s="50" t="s">
        <v>102</v>
      </c>
      <c r="AO220" s="50" t="s">
        <v>14636</v>
      </c>
      <c r="AP220" s="50" t="s">
        <v>14636</v>
      </c>
      <c r="AU220" s="50" t="s">
        <v>318</v>
      </c>
      <c r="AV220" s="50" t="s">
        <v>118</v>
      </c>
      <c r="AW220" s="50" t="s">
        <v>102</v>
      </c>
      <c r="AX220" s="50" t="s">
        <v>119</v>
      </c>
      <c r="BB220" s="50" t="s">
        <v>120</v>
      </c>
      <c r="BC220" s="50" t="s">
        <v>3830</v>
      </c>
      <c r="BD220" s="50" t="s">
        <v>410</v>
      </c>
      <c r="BE220" s="50" t="s">
        <v>212</v>
      </c>
      <c r="BF220" s="50" t="s">
        <v>410</v>
      </c>
      <c r="BG220" s="50" t="s">
        <v>124</v>
      </c>
      <c r="BH220" s="50" t="s">
        <v>12082</v>
      </c>
      <c r="BI220" s="50" t="s">
        <v>11889</v>
      </c>
      <c r="BJ220" s="50" t="s">
        <v>127</v>
      </c>
      <c r="BK220" s="50" t="s">
        <v>14637</v>
      </c>
      <c r="BL220" s="50" t="s">
        <v>4242</v>
      </c>
      <c r="BM220" s="50" t="s">
        <v>14638</v>
      </c>
      <c r="BN220" s="50" t="s">
        <v>12023</v>
      </c>
      <c r="BO220" s="50" t="s">
        <v>866</v>
      </c>
      <c r="BP220" s="50" t="s">
        <v>132</v>
      </c>
      <c r="BQ220" s="50" t="s">
        <v>867</v>
      </c>
      <c r="BR220" s="50" t="s">
        <v>868</v>
      </c>
      <c r="BS220" s="50" t="s">
        <v>418</v>
      </c>
      <c r="BU220" s="50" t="s">
        <v>14639</v>
      </c>
      <c r="BV220" s="50" t="s">
        <v>3585</v>
      </c>
      <c r="BW220" s="50" t="s">
        <v>598</v>
      </c>
      <c r="BX220" s="50" t="s">
        <v>225</v>
      </c>
      <c r="BY220" s="50" t="s">
        <v>226</v>
      </c>
      <c r="BZ220" s="50" t="s">
        <v>4245</v>
      </c>
      <c r="CA220" s="50" t="s">
        <v>14640</v>
      </c>
      <c r="CB220" s="50" t="s">
        <v>14641</v>
      </c>
      <c r="CC220" s="50" t="s">
        <v>14642</v>
      </c>
      <c r="CD220" s="50" t="s">
        <v>14643</v>
      </c>
      <c r="CE220" s="50" t="s">
        <v>14644</v>
      </c>
      <c r="CF220" s="50" t="s">
        <v>14645</v>
      </c>
      <c r="CG220" s="50" t="s">
        <v>102</v>
      </c>
      <c r="CH220" s="50" t="s">
        <v>4246</v>
      </c>
      <c r="CJ220" s="50" t="s">
        <v>4247</v>
      </c>
      <c r="CL220" s="50" t="s">
        <v>3830</v>
      </c>
      <c r="CM220" s="50" t="s">
        <v>410</v>
      </c>
      <c r="CN220" s="50" t="s">
        <v>4247</v>
      </c>
      <c r="CO220" s="50" t="s">
        <v>3589</v>
      </c>
      <c r="CP220" s="50" t="s">
        <v>4246</v>
      </c>
      <c r="CQ220" s="50" t="s">
        <v>4246</v>
      </c>
      <c r="CR220" s="50" t="s">
        <v>26040</v>
      </c>
    </row>
    <row r="221" spans="1:96">
      <c r="A221" s="50" t="s">
        <v>149</v>
      </c>
      <c r="B221" s="50">
        <v>3472426</v>
      </c>
      <c r="C221" s="50" t="s">
        <v>418</v>
      </c>
      <c r="D221" s="50" t="s">
        <v>6209</v>
      </c>
      <c r="E221" s="50" t="e">
        <f>VLOOKUP(B221,aa!B:F,5,0)</f>
        <v>#N/A</v>
      </c>
      <c r="F221" s="50" t="e">
        <f>VLOOKUP(B221,aa!B:J,9,0)</f>
        <v>#N/A</v>
      </c>
      <c r="G221" s="50" t="e">
        <f>VLOOKUP(B221,aa!B:L,11,0)</f>
        <v>#N/A</v>
      </c>
      <c r="H221" s="50" t="e">
        <f>VLOOKUP(B221,aa!B:O,14,0)</f>
        <v>#N/A</v>
      </c>
      <c r="I221" s="50" t="e">
        <f>VLOOKUP(B221,aa!B:R,17,0)</f>
        <v>#N/A</v>
      </c>
      <c r="K221" s="50" t="s">
        <v>97</v>
      </c>
      <c r="L221" s="50">
        <v>185236</v>
      </c>
      <c r="M221" s="50">
        <v>185236</v>
      </c>
      <c r="N221" s="50">
        <v>185236</v>
      </c>
      <c r="O221" s="50">
        <v>285</v>
      </c>
      <c r="P221" s="50" t="s">
        <v>1122</v>
      </c>
      <c r="Q221" s="50">
        <v>0</v>
      </c>
      <c r="R221" s="50">
        <v>0</v>
      </c>
      <c r="T221" s="50">
        <v>0</v>
      </c>
      <c r="U221" s="50">
        <v>0</v>
      </c>
      <c r="W221" s="50" t="s">
        <v>102</v>
      </c>
      <c r="X221" s="50" t="s">
        <v>103</v>
      </c>
      <c r="Y221" s="50" t="s">
        <v>104</v>
      </c>
      <c r="AA221" s="50" t="s">
        <v>1165</v>
      </c>
      <c r="AB221" s="50" t="s">
        <v>16132</v>
      </c>
      <c r="AC221" s="50" t="s">
        <v>12888</v>
      </c>
      <c r="AD221" s="50" t="s">
        <v>16133</v>
      </c>
      <c r="AE221" s="50" t="s">
        <v>109</v>
      </c>
      <c r="AF221" s="50" t="s">
        <v>102</v>
      </c>
      <c r="AG221" s="50" t="s">
        <v>109</v>
      </c>
      <c r="AH221" s="50" t="s">
        <v>102</v>
      </c>
      <c r="AI221" s="50" t="s">
        <v>102</v>
      </c>
      <c r="AJ221" s="50" t="s">
        <v>12838</v>
      </c>
      <c r="AK221" s="50" t="s">
        <v>12838</v>
      </c>
      <c r="AL221" s="50" t="s">
        <v>5349</v>
      </c>
      <c r="AM221" s="50" t="s">
        <v>16134</v>
      </c>
      <c r="AN221" s="50" t="s">
        <v>16135</v>
      </c>
      <c r="AO221" s="50" t="s">
        <v>5355</v>
      </c>
      <c r="AP221" s="50" t="s">
        <v>5355</v>
      </c>
      <c r="AU221" s="50" t="s">
        <v>318</v>
      </c>
      <c r="AV221" s="50" t="s">
        <v>118</v>
      </c>
      <c r="AW221" s="50" t="s">
        <v>102</v>
      </c>
      <c r="AX221" s="50" t="s">
        <v>119</v>
      </c>
      <c r="BB221" s="50" t="s">
        <v>1242</v>
      </c>
      <c r="BC221" s="50" t="s">
        <v>409</v>
      </c>
      <c r="BD221" s="50" t="s">
        <v>410</v>
      </c>
      <c r="BE221" s="50" t="s">
        <v>212</v>
      </c>
      <c r="BF221" s="50" t="s">
        <v>410</v>
      </c>
      <c r="BG221" s="50" t="s">
        <v>124</v>
      </c>
      <c r="BH221" s="50" t="s">
        <v>12082</v>
      </c>
      <c r="BI221" s="50" t="s">
        <v>11889</v>
      </c>
      <c r="BJ221" s="50" t="s">
        <v>127</v>
      </c>
      <c r="BK221" s="50" t="s">
        <v>16136</v>
      </c>
      <c r="BL221" s="50" t="s">
        <v>6218</v>
      </c>
      <c r="BM221" s="50" t="s">
        <v>16137</v>
      </c>
      <c r="BN221" s="50" t="s">
        <v>12023</v>
      </c>
      <c r="BO221" s="50" t="s">
        <v>866</v>
      </c>
      <c r="BP221" s="50" t="s">
        <v>132</v>
      </c>
      <c r="BQ221" s="50" t="s">
        <v>867</v>
      </c>
      <c r="BR221" s="50" t="s">
        <v>868</v>
      </c>
      <c r="BS221" s="50" t="s">
        <v>418</v>
      </c>
      <c r="BU221" s="50" t="s">
        <v>16138</v>
      </c>
      <c r="BV221" s="50" t="s">
        <v>3585</v>
      </c>
      <c r="BW221" s="50" t="s">
        <v>598</v>
      </c>
      <c r="BX221" s="50" t="s">
        <v>225</v>
      </c>
      <c r="BY221" s="50" t="s">
        <v>226</v>
      </c>
      <c r="BZ221" s="50" t="s">
        <v>6221</v>
      </c>
      <c r="CA221" s="50" t="s">
        <v>16139</v>
      </c>
      <c r="CB221" s="50" t="s">
        <v>16140</v>
      </c>
      <c r="CC221" s="50" t="s">
        <v>16141</v>
      </c>
      <c r="CD221" s="50" t="s">
        <v>16142</v>
      </c>
      <c r="CE221" s="50" t="s">
        <v>16143</v>
      </c>
      <c r="CF221" s="50" t="s">
        <v>16144</v>
      </c>
      <c r="CG221" s="50" t="s">
        <v>102</v>
      </c>
      <c r="CH221" s="50" t="s">
        <v>6222</v>
      </c>
      <c r="CJ221" s="50" t="s">
        <v>6223</v>
      </c>
      <c r="CL221" s="50" t="s">
        <v>409</v>
      </c>
      <c r="CM221" s="50" t="s">
        <v>410</v>
      </c>
      <c r="CN221" s="50" t="s">
        <v>6223</v>
      </c>
      <c r="CO221" s="50" t="s">
        <v>3589</v>
      </c>
      <c r="CP221" s="50" t="s">
        <v>6222</v>
      </c>
      <c r="CQ221" s="50" t="s">
        <v>6222</v>
      </c>
      <c r="CR221" s="50" t="s">
        <v>26040</v>
      </c>
    </row>
    <row r="222" spans="1:96">
      <c r="A222" s="50" t="s">
        <v>149</v>
      </c>
      <c r="B222" s="50">
        <v>810125</v>
      </c>
      <c r="C222" s="50" t="s">
        <v>11882</v>
      </c>
      <c r="D222" s="50" t="s">
        <v>11683</v>
      </c>
      <c r="E222" s="50" t="str">
        <f>VLOOKUP(B222,aa!B:F,5,0)</f>
        <v>Ei Mindspark</v>
      </c>
      <c r="F222" s="50">
        <f>VLOOKUP(B222,aa!B:J,9,0)</f>
        <v>324169</v>
      </c>
      <c r="G222" s="50">
        <f>VLOOKUP(B222,aa!B:L,11,0)</f>
        <v>0</v>
      </c>
      <c r="H222" s="50">
        <f>VLOOKUP(B222,aa!B:O,14,0)</f>
        <v>0</v>
      </c>
      <c r="I222" s="50">
        <f>VLOOKUP(B222,aa!B:R,17,0)</f>
        <v>324169</v>
      </c>
      <c r="K222" s="50" t="s">
        <v>848</v>
      </c>
      <c r="L222" s="50">
        <v>326140</v>
      </c>
      <c r="M222" s="50">
        <v>384845</v>
      </c>
      <c r="N222" s="50">
        <v>0</v>
      </c>
      <c r="O222" s="50">
        <v>0</v>
      </c>
      <c r="Q222" s="50">
        <v>0</v>
      </c>
      <c r="R222" s="50">
        <v>0</v>
      </c>
      <c r="T222" s="50">
        <v>326140</v>
      </c>
      <c r="U222" s="50">
        <v>136</v>
      </c>
      <c r="V222" s="50" t="s">
        <v>14168</v>
      </c>
      <c r="W222" s="50" t="s">
        <v>102</v>
      </c>
      <c r="X222" s="50" t="s">
        <v>103</v>
      </c>
      <c r="Y222" s="50" t="s">
        <v>155</v>
      </c>
      <c r="AA222" s="50" t="s">
        <v>6341</v>
      </c>
      <c r="AB222" s="50" t="s">
        <v>21504</v>
      </c>
      <c r="AC222" s="50" t="s">
        <v>11976</v>
      </c>
      <c r="AD222" s="50" t="s">
        <v>21504</v>
      </c>
      <c r="AE222" s="50" t="s">
        <v>11888</v>
      </c>
      <c r="AF222" s="50" t="s">
        <v>21504</v>
      </c>
      <c r="AG222" s="50" t="s">
        <v>12084</v>
      </c>
      <c r="AH222" s="50" t="s">
        <v>21504</v>
      </c>
      <c r="AI222" s="50" t="s">
        <v>21505</v>
      </c>
      <c r="AJ222" s="50" t="s">
        <v>13496</v>
      </c>
      <c r="AK222" s="50" t="s">
        <v>6895</v>
      </c>
      <c r="AL222" s="50" t="s">
        <v>21506</v>
      </c>
      <c r="AM222" s="50" t="s">
        <v>21507</v>
      </c>
      <c r="AN222" s="50" t="s">
        <v>21508</v>
      </c>
      <c r="AO222" s="50" t="s">
        <v>14174</v>
      </c>
      <c r="AP222" s="50" t="s">
        <v>14175</v>
      </c>
      <c r="AT222" s="50" t="s">
        <v>169</v>
      </c>
      <c r="AU222" s="50" t="s">
        <v>102</v>
      </c>
      <c r="AW222" s="50" t="s">
        <v>102</v>
      </c>
      <c r="AX222" s="50" t="s">
        <v>119</v>
      </c>
      <c r="BA222" s="50" t="s">
        <v>250</v>
      </c>
      <c r="BB222" s="50" t="s">
        <v>120</v>
      </c>
      <c r="BC222" s="50" t="s">
        <v>2840</v>
      </c>
      <c r="BD222" s="50" t="s">
        <v>449</v>
      </c>
      <c r="BE222" s="50" t="s">
        <v>122</v>
      </c>
      <c r="BF222" s="50" t="s">
        <v>253</v>
      </c>
      <c r="BG222" s="50" t="s">
        <v>124</v>
      </c>
      <c r="BH222" s="50" t="s">
        <v>12023</v>
      </c>
      <c r="BI222" s="50" t="s">
        <v>11889</v>
      </c>
      <c r="BJ222" s="50" t="s">
        <v>127</v>
      </c>
      <c r="BK222" s="50" t="s">
        <v>21509</v>
      </c>
      <c r="BL222" s="50" t="s">
        <v>11691</v>
      </c>
      <c r="BM222" s="50" t="s">
        <v>21510</v>
      </c>
      <c r="BN222" s="50" t="s">
        <v>12023</v>
      </c>
      <c r="BO222" s="50" t="s">
        <v>3267</v>
      </c>
      <c r="BP222" s="50" t="s">
        <v>350</v>
      </c>
      <c r="BQ222" s="50" t="s">
        <v>3268</v>
      </c>
      <c r="BR222" s="50" t="s">
        <v>3269</v>
      </c>
      <c r="BS222" s="50" t="s">
        <v>135</v>
      </c>
      <c r="BU222" s="50" t="s">
        <v>21511</v>
      </c>
      <c r="BV222" s="50" t="s">
        <v>14179</v>
      </c>
      <c r="BW222" s="50" t="s">
        <v>598</v>
      </c>
      <c r="BX222" s="50" t="s">
        <v>14180</v>
      </c>
      <c r="BY222" s="50" t="s">
        <v>3633</v>
      </c>
      <c r="BZ222" s="50" t="s">
        <v>11697</v>
      </c>
      <c r="CA222" s="50" t="s">
        <v>21512</v>
      </c>
      <c r="CB222" s="50" t="s">
        <v>11697</v>
      </c>
      <c r="CC222" s="50" t="s">
        <v>3633</v>
      </c>
      <c r="CD222" s="50" t="s">
        <v>21512</v>
      </c>
      <c r="CE222" s="50" t="s">
        <v>11697</v>
      </c>
      <c r="CF222" s="50" t="s">
        <v>3633</v>
      </c>
      <c r="CG222" s="50" t="s">
        <v>102</v>
      </c>
      <c r="CH222" s="50" t="s">
        <v>21513</v>
      </c>
      <c r="CJ222" s="50" t="s">
        <v>5951</v>
      </c>
      <c r="CL222" s="50" t="s">
        <v>2840</v>
      </c>
      <c r="CM222" s="50" t="s">
        <v>449</v>
      </c>
      <c r="CN222" s="50" t="s">
        <v>5951</v>
      </c>
      <c r="CO222" s="50" t="s">
        <v>3637</v>
      </c>
      <c r="CP222" s="50" t="s">
        <v>11698</v>
      </c>
      <c r="CQ222" s="50" t="s">
        <v>11698</v>
      </c>
    </row>
    <row r="223" spans="1:96">
      <c r="A223" s="50" t="s">
        <v>149</v>
      </c>
      <c r="B223" s="50">
        <v>6334</v>
      </c>
      <c r="C223" s="50" t="s">
        <v>1279</v>
      </c>
      <c r="D223" s="50" t="s">
        <v>5060</v>
      </c>
      <c r="E223" s="50" t="e">
        <f>VLOOKUP(B223,aa!B:F,5,0)</f>
        <v>#N/A</v>
      </c>
      <c r="F223" s="50" t="e">
        <f>VLOOKUP(B223,aa!B:J,9,0)</f>
        <v>#N/A</v>
      </c>
      <c r="G223" s="50" t="e">
        <f>VLOOKUP(B223,aa!B:L,11,0)</f>
        <v>#N/A</v>
      </c>
      <c r="H223" s="50" t="e">
        <f>VLOOKUP(B223,aa!B:O,14,0)</f>
        <v>#N/A</v>
      </c>
      <c r="I223" s="50" t="e">
        <f>VLOOKUP(B223,aa!B:R,17,0)</f>
        <v>#N/A</v>
      </c>
      <c r="K223" s="50" t="s">
        <v>675</v>
      </c>
      <c r="L223" s="50">
        <v>2987225</v>
      </c>
      <c r="M223" s="50">
        <v>2987225</v>
      </c>
      <c r="N223" s="50">
        <v>1042752</v>
      </c>
      <c r="O223" s="50">
        <v>3644</v>
      </c>
      <c r="P223" s="50" t="s">
        <v>14347</v>
      </c>
      <c r="Q223" s="50">
        <v>1944473</v>
      </c>
      <c r="R223" s="50">
        <v>1586</v>
      </c>
      <c r="S223" s="50" t="s">
        <v>21347</v>
      </c>
      <c r="T223" s="50">
        <v>0</v>
      </c>
      <c r="U223" s="50">
        <v>0</v>
      </c>
      <c r="W223" s="50" t="s">
        <v>102</v>
      </c>
      <c r="X223" s="50" t="s">
        <v>679</v>
      </c>
      <c r="Y223" s="50" t="s">
        <v>104</v>
      </c>
      <c r="Z223" s="50" t="s">
        <v>13242</v>
      </c>
      <c r="AA223" s="50" t="s">
        <v>12764</v>
      </c>
      <c r="AB223" s="50" t="s">
        <v>21348</v>
      </c>
      <c r="AC223" s="50" t="s">
        <v>12767</v>
      </c>
      <c r="AD223" s="50" t="s">
        <v>21349</v>
      </c>
      <c r="AE223" s="50" t="s">
        <v>109</v>
      </c>
      <c r="AF223" s="50" t="s">
        <v>102</v>
      </c>
      <c r="AG223" s="50" t="s">
        <v>109</v>
      </c>
      <c r="AH223" s="50" t="s">
        <v>102</v>
      </c>
      <c r="AI223" s="50" t="s">
        <v>21350</v>
      </c>
      <c r="AJ223" s="50" t="s">
        <v>21351</v>
      </c>
      <c r="AK223" s="50" t="s">
        <v>21352</v>
      </c>
      <c r="AL223" s="50" t="s">
        <v>21353</v>
      </c>
      <c r="AM223" s="50" t="s">
        <v>21354</v>
      </c>
      <c r="AN223" s="50" t="s">
        <v>21355</v>
      </c>
      <c r="AO223" s="50" t="s">
        <v>21356</v>
      </c>
      <c r="AP223" s="50" t="s">
        <v>21356</v>
      </c>
      <c r="AU223" s="50" t="s">
        <v>207</v>
      </c>
      <c r="AV223" s="50" t="s">
        <v>118</v>
      </c>
      <c r="AW223" s="50" t="s">
        <v>655</v>
      </c>
      <c r="AX223" s="50" t="s">
        <v>119</v>
      </c>
      <c r="AY223" s="50" t="s">
        <v>170</v>
      </c>
      <c r="AZ223" s="50" t="s">
        <v>118</v>
      </c>
      <c r="BB223" s="50" t="s">
        <v>171</v>
      </c>
      <c r="BC223" s="50" t="s">
        <v>623</v>
      </c>
      <c r="BD223" s="50" t="s">
        <v>621</v>
      </c>
      <c r="BE223" s="50" t="s">
        <v>622</v>
      </c>
      <c r="BF223" s="50" t="s">
        <v>623</v>
      </c>
      <c r="BG223" s="50" t="s">
        <v>124</v>
      </c>
      <c r="BH223" s="50" t="s">
        <v>21357</v>
      </c>
      <c r="BI223" s="50" t="s">
        <v>12963</v>
      </c>
      <c r="BJ223" s="50" t="s">
        <v>127</v>
      </c>
      <c r="BK223" s="50" t="s">
        <v>21358</v>
      </c>
      <c r="BL223" s="50" t="s">
        <v>11460</v>
      </c>
      <c r="BM223" s="50" t="s">
        <v>21359</v>
      </c>
      <c r="BN223" s="50" t="s">
        <v>21346</v>
      </c>
      <c r="BO223" s="50" t="s">
        <v>629</v>
      </c>
      <c r="BP223" s="50" t="s">
        <v>132</v>
      </c>
      <c r="BQ223" s="50" t="s">
        <v>630</v>
      </c>
      <c r="BR223" s="50" t="s">
        <v>631</v>
      </c>
      <c r="BS223" s="50" t="s">
        <v>1279</v>
      </c>
      <c r="BU223" s="50" t="s">
        <v>21360</v>
      </c>
      <c r="BV223" s="50" t="s">
        <v>21361</v>
      </c>
      <c r="BW223" s="50" t="s">
        <v>138</v>
      </c>
      <c r="BX223" s="50" t="s">
        <v>11467</v>
      </c>
      <c r="BY223" s="50" t="s">
        <v>21362</v>
      </c>
      <c r="BZ223" s="50" t="s">
        <v>4548</v>
      </c>
      <c r="CA223" s="50" t="s">
        <v>21363</v>
      </c>
      <c r="CB223" s="50" t="s">
        <v>11467</v>
      </c>
      <c r="CC223" s="50" t="s">
        <v>21362</v>
      </c>
      <c r="CD223" s="50" t="s">
        <v>21364</v>
      </c>
      <c r="CE223" s="50" t="s">
        <v>21365</v>
      </c>
      <c r="CF223" s="50" t="s">
        <v>21366</v>
      </c>
      <c r="CG223" s="50" t="s">
        <v>102</v>
      </c>
      <c r="CH223" s="50" t="s">
        <v>11474</v>
      </c>
      <c r="CJ223" s="50" t="s">
        <v>4550</v>
      </c>
      <c r="CL223" s="50" t="s">
        <v>623</v>
      </c>
      <c r="CM223" s="50" t="s">
        <v>621</v>
      </c>
      <c r="CN223" s="50" t="s">
        <v>4550</v>
      </c>
      <c r="CO223" s="50" t="s">
        <v>4551</v>
      </c>
      <c r="CP223" s="50" t="s">
        <v>11474</v>
      </c>
      <c r="CQ223" s="50" t="s">
        <v>11474</v>
      </c>
      <c r="CR223" s="50" t="s">
        <v>26040</v>
      </c>
    </row>
    <row r="224" spans="1:96">
      <c r="A224" s="50" t="s">
        <v>337</v>
      </c>
      <c r="B224" s="50">
        <v>1512812</v>
      </c>
      <c r="C224" s="50" t="s">
        <v>12507</v>
      </c>
      <c r="D224" s="50" t="s">
        <v>12506</v>
      </c>
      <c r="E224" s="50" t="e">
        <f>VLOOKUP(B224,aa!B:F,5,0)</f>
        <v>#N/A</v>
      </c>
      <c r="F224" s="50" t="e">
        <f>VLOOKUP(B224,aa!B:J,9,0)</f>
        <v>#N/A</v>
      </c>
      <c r="G224" s="50" t="e">
        <f>VLOOKUP(B224,aa!B:L,11,0)</f>
        <v>#N/A</v>
      </c>
      <c r="H224" s="50" t="e">
        <f>VLOOKUP(B224,aa!B:O,14,0)</f>
        <v>#N/A</v>
      </c>
      <c r="I224" s="50" t="e">
        <f>VLOOKUP(B224,aa!B:R,17,0)</f>
        <v>#N/A</v>
      </c>
      <c r="K224" s="50" t="s">
        <v>643</v>
      </c>
      <c r="L224" s="50">
        <v>831710</v>
      </c>
      <c r="M224" s="50">
        <v>919750</v>
      </c>
      <c r="N224" s="50">
        <v>0</v>
      </c>
      <c r="O224" s="50">
        <v>0</v>
      </c>
      <c r="Q224" s="50">
        <v>342597</v>
      </c>
      <c r="R224" s="50">
        <v>520</v>
      </c>
      <c r="S224" s="50" t="s">
        <v>12509</v>
      </c>
      <c r="T224" s="50">
        <v>489113</v>
      </c>
      <c r="U224" s="50">
        <v>475</v>
      </c>
      <c r="V224" s="50" t="s">
        <v>12510</v>
      </c>
      <c r="W224" s="50" t="s">
        <v>102</v>
      </c>
      <c r="X224" s="50" t="s">
        <v>103</v>
      </c>
      <c r="Y224" s="50" t="s">
        <v>938</v>
      </c>
      <c r="AA224" s="50" t="s">
        <v>12511</v>
      </c>
      <c r="AB224" s="50" t="s">
        <v>12512</v>
      </c>
      <c r="AC224" s="50" t="s">
        <v>12513</v>
      </c>
      <c r="AD224" s="50" t="s">
        <v>12514</v>
      </c>
      <c r="AE224" s="50" t="s">
        <v>12515</v>
      </c>
      <c r="AF224" s="50" t="s">
        <v>12514</v>
      </c>
      <c r="AG224" s="50" t="s">
        <v>12516</v>
      </c>
      <c r="AH224" s="50" t="s">
        <v>12517</v>
      </c>
      <c r="AI224" s="50" t="s">
        <v>12518</v>
      </c>
      <c r="AJ224" s="50" t="s">
        <v>1604</v>
      </c>
      <c r="AK224" s="50" t="s">
        <v>12519</v>
      </c>
      <c r="AL224" s="50" t="s">
        <v>12520</v>
      </c>
      <c r="AM224" s="50" t="s">
        <v>12521</v>
      </c>
      <c r="AN224" s="50" t="s">
        <v>12522</v>
      </c>
      <c r="AO224" s="50" t="s">
        <v>12523</v>
      </c>
      <c r="AP224" s="50" t="s">
        <v>12523</v>
      </c>
      <c r="AU224" s="50" t="s">
        <v>102</v>
      </c>
      <c r="AW224" s="50" t="s">
        <v>1103</v>
      </c>
      <c r="AX224" s="50" t="s">
        <v>119</v>
      </c>
      <c r="AY224" s="50" t="s">
        <v>170</v>
      </c>
      <c r="AZ224" s="50" t="s">
        <v>118</v>
      </c>
      <c r="BA224" s="50" t="s">
        <v>250</v>
      </c>
      <c r="BB224" s="50" t="s">
        <v>120</v>
      </c>
      <c r="BC224" s="50" t="s">
        <v>4216</v>
      </c>
      <c r="BD224" s="50" t="s">
        <v>556</v>
      </c>
      <c r="BE224" s="50" t="s">
        <v>122</v>
      </c>
      <c r="BF224" s="50" t="s">
        <v>557</v>
      </c>
      <c r="BG224" s="50" t="s">
        <v>124</v>
      </c>
      <c r="BH224" s="50" t="s">
        <v>11932</v>
      </c>
      <c r="BI224" s="50" t="s">
        <v>12524</v>
      </c>
      <c r="BJ224" s="50" t="s">
        <v>127</v>
      </c>
      <c r="BK224" s="50" t="s">
        <v>12525</v>
      </c>
      <c r="BL224" s="50" t="s">
        <v>12526</v>
      </c>
      <c r="BM224" s="50" t="s">
        <v>12527</v>
      </c>
      <c r="BN224" s="50" t="s">
        <v>12508</v>
      </c>
      <c r="BO224" s="50" t="s">
        <v>1071</v>
      </c>
      <c r="BP224" s="50" t="s">
        <v>350</v>
      </c>
      <c r="BQ224" s="50" t="s">
        <v>1072</v>
      </c>
      <c r="BR224" s="50" t="s">
        <v>1073</v>
      </c>
      <c r="BS224" s="50" t="s">
        <v>1074</v>
      </c>
      <c r="BU224" s="50" t="s">
        <v>12528</v>
      </c>
      <c r="BV224" s="50" t="s">
        <v>12529</v>
      </c>
      <c r="BW224" s="50" t="s">
        <v>138</v>
      </c>
      <c r="BX224" s="50" t="s">
        <v>12530</v>
      </c>
      <c r="BY224" s="50" t="s">
        <v>12531</v>
      </c>
      <c r="BZ224" s="50" t="s">
        <v>12532</v>
      </c>
      <c r="CA224" s="50" t="s">
        <v>12533</v>
      </c>
      <c r="CB224" s="50" t="s">
        <v>12530</v>
      </c>
      <c r="CC224" s="50" t="s">
        <v>12531</v>
      </c>
      <c r="CD224" s="50" t="s">
        <v>12533</v>
      </c>
      <c r="CE224" s="50" t="s">
        <v>12530</v>
      </c>
      <c r="CF224" s="50" t="s">
        <v>12531</v>
      </c>
      <c r="CG224" s="50" t="s">
        <v>12534</v>
      </c>
      <c r="CH224" s="50" t="s">
        <v>12535</v>
      </c>
      <c r="CJ224" s="50" t="s">
        <v>12536</v>
      </c>
      <c r="CK224" s="50" t="s">
        <v>12535</v>
      </c>
      <c r="CL224" s="50" t="s">
        <v>4216</v>
      </c>
      <c r="CM224" s="50" t="s">
        <v>556</v>
      </c>
      <c r="CN224" s="50" t="s">
        <v>12536</v>
      </c>
      <c r="CO224" s="50" t="s">
        <v>12537</v>
      </c>
      <c r="CP224" s="50" t="s">
        <v>12538</v>
      </c>
      <c r="CQ224" s="50" t="s">
        <v>12538</v>
      </c>
    </row>
    <row r="225" spans="1:96">
      <c r="A225" s="50" t="s">
        <v>93</v>
      </c>
      <c r="B225" s="50">
        <v>19028</v>
      </c>
      <c r="C225" s="50" t="s">
        <v>13158</v>
      </c>
      <c r="D225" s="50" t="s">
        <v>2191</v>
      </c>
      <c r="E225" s="50" t="e">
        <f>VLOOKUP(B225,aa!B:F,5,0)</f>
        <v>#N/A</v>
      </c>
      <c r="F225" s="50" t="e">
        <f>VLOOKUP(B225,aa!B:J,9,0)</f>
        <v>#N/A</v>
      </c>
      <c r="G225" s="50" t="e">
        <f>VLOOKUP(B225,aa!B:L,11,0)</f>
        <v>#N/A</v>
      </c>
      <c r="H225" s="50" t="e">
        <f>VLOOKUP(B225,aa!B:O,14,0)</f>
        <v>#N/A</v>
      </c>
      <c r="I225" s="50" t="e">
        <f>VLOOKUP(B225,aa!B:R,17,0)</f>
        <v>#N/A</v>
      </c>
      <c r="K225" s="50" t="s">
        <v>2193</v>
      </c>
      <c r="L225" s="50">
        <v>400000</v>
      </c>
      <c r="M225" s="50">
        <v>472000</v>
      </c>
      <c r="N225" s="50">
        <v>0</v>
      </c>
      <c r="O225" s="50">
        <v>1740</v>
      </c>
      <c r="P225" s="50" t="s">
        <v>102</v>
      </c>
      <c r="Q225" s="50">
        <v>0</v>
      </c>
      <c r="R225" s="50">
        <v>0</v>
      </c>
      <c r="S225" s="50" t="s">
        <v>102</v>
      </c>
      <c r="T225" s="50">
        <v>0</v>
      </c>
      <c r="U225" s="50">
        <v>0</v>
      </c>
      <c r="V225" s="50" t="s">
        <v>102</v>
      </c>
      <c r="W225" s="50" t="s">
        <v>2195</v>
      </c>
      <c r="X225" s="50" t="s">
        <v>103</v>
      </c>
      <c r="Y225" s="50" t="s">
        <v>2196</v>
      </c>
      <c r="Z225" s="50" t="s">
        <v>12023</v>
      </c>
      <c r="AA225" s="50" t="s">
        <v>13159</v>
      </c>
      <c r="AB225" s="50" t="s">
        <v>102</v>
      </c>
      <c r="AC225" s="50" t="s">
        <v>13160</v>
      </c>
      <c r="AD225" s="50" t="s">
        <v>102</v>
      </c>
      <c r="AE225" s="50" t="s">
        <v>13161</v>
      </c>
      <c r="AF225" s="50" t="s">
        <v>102</v>
      </c>
      <c r="AG225" s="50" t="s">
        <v>12764</v>
      </c>
      <c r="AH225" s="50" t="s">
        <v>102</v>
      </c>
      <c r="AI225" s="50" t="s">
        <v>102</v>
      </c>
      <c r="AJ225" s="50" t="s">
        <v>12023</v>
      </c>
      <c r="AK225" s="50" t="s">
        <v>12023</v>
      </c>
      <c r="AL225" s="50" t="s">
        <v>2195</v>
      </c>
      <c r="AM225" s="50" t="s">
        <v>102</v>
      </c>
      <c r="AN225" s="50" t="s">
        <v>2195</v>
      </c>
      <c r="AO225" s="50" t="s">
        <v>2202</v>
      </c>
      <c r="AP225" s="50" t="s">
        <v>2202</v>
      </c>
      <c r="AQ225" s="50" t="s">
        <v>102</v>
      </c>
      <c r="AR225" s="50" t="s">
        <v>102</v>
      </c>
      <c r="AS225" s="50" t="s">
        <v>102</v>
      </c>
      <c r="AT225" s="50" t="s">
        <v>102</v>
      </c>
      <c r="AU225" s="50" t="s">
        <v>247</v>
      </c>
      <c r="AV225" s="50" t="s">
        <v>118</v>
      </c>
      <c r="AW225" s="50" t="s">
        <v>102</v>
      </c>
      <c r="AX225" s="50" t="s">
        <v>119</v>
      </c>
      <c r="BB225" s="50" t="s">
        <v>120</v>
      </c>
      <c r="BC225" s="50" t="s">
        <v>2204</v>
      </c>
      <c r="BD225" s="50" t="s">
        <v>121</v>
      </c>
      <c r="BE225" s="50" t="s">
        <v>122</v>
      </c>
      <c r="BF225" s="50" t="s">
        <v>123</v>
      </c>
      <c r="BG225" s="50" t="s">
        <v>124</v>
      </c>
      <c r="BH225" s="50" t="s">
        <v>12023</v>
      </c>
      <c r="BI225" s="50" t="s">
        <v>13162</v>
      </c>
      <c r="BJ225" s="50" t="s">
        <v>2207</v>
      </c>
      <c r="BK225" s="50" t="s">
        <v>13163</v>
      </c>
      <c r="BL225" s="50" t="s">
        <v>2209</v>
      </c>
      <c r="BM225" s="50" t="s">
        <v>13164</v>
      </c>
      <c r="BN225" s="50" t="s">
        <v>13159</v>
      </c>
      <c r="BO225" s="50" t="s">
        <v>2766</v>
      </c>
      <c r="BP225" s="50" t="s">
        <v>3064</v>
      </c>
      <c r="BQ225" s="50" t="s">
        <v>2213</v>
      </c>
      <c r="BR225" s="50" t="s">
        <v>2214</v>
      </c>
      <c r="BS225" s="50" t="s">
        <v>2215</v>
      </c>
      <c r="BT225" s="50" t="s">
        <v>2216</v>
      </c>
      <c r="BU225" s="50" t="s">
        <v>13165</v>
      </c>
      <c r="BV225" s="50" t="s">
        <v>13166</v>
      </c>
      <c r="BW225" s="50" t="s">
        <v>138</v>
      </c>
      <c r="BX225" s="50" t="s">
        <v>225</v>
      </c>
      <c r="BY225" s="50" t="s">
        <v>2222</v>
      </c>
      <c r="BZ225" s="50" t="s">
        <v>2220</v>
      </c>
      <c r="CA225" s="50" t="s">
        <v>3066</v>
      </c>
      <c r="CB225" s="50" t="s">
        <v>2220</v>
      </c>
      <c r="CC225" s="50" t="s">
        <v>2222</v>
      </c>
      <c r="CD225" s="50" t="s">
        <v>13167</v>
      </c>
      <c r="CE225" s="50" t="s">
        <v>2220</v>
      </c>
      <c r="CF225" s="50" t="s">
        <v>13168</v>
      </c>
      <c r="CG225" s="50" t="s">
        <v>2223</v>
      </c>
      <c r="CH225" s="50" t="s">
        <v>13169</v>
      </c>
      <c r="CJ225" s="50" t="s">
        <v>2225</v>
      </c>
      <c r="CK225" s="50" t="s">
        <v>2224</v>
      </c>
      <c r="CL225" s="50" t="s">
        <v>2204</v>
      </c>
      <c r="CM225" s="50" t="s">
        <v>2226</v>
      </c>
      <c r="CN225" s="50" t="s">
        <v>2225</v>
      </c>
      <c r="CP225" s="50" t="s">
        <v>2224</v>
      </c>
      <c r="CQ225" s="50" t="s">
        <v>2224</v>
      </c>
    </row>
    <row r="226" spans="1:96">
      <c r="A226" s="50" t="s">
        <v>93</v>
      </c>
      <c r="B226" s="50">
        <v>212432</v>
      </c>
      <c r="C226" s="50" t="s">
        <v>13158</v>
      </c>
      <c r="D226" s="50" t="s">
        <v>13569</v>
      </c>
      <c r="E226" s="50" t="e">
        <f>VLOOKUP(B226,aa!B:F,5,0)</f>
        <v>#N/A</v>
      </c>
      <c r="F226" s="50" t="e">
        <f>VLOOKUP(B226,aa!B:J,9,0)</f>
        <v>#N/A</v>
      </c>
      <c r="G226" s="50" t="e">
        <f>VLOOKUP(B226,aa!B:L,11,0)</f>
        <v>#N/A</v>
      </c>
      <c r="H226" s="50" t="e">
        <f>VLOOKUP(B226,aa!B:O,14,0)</f>
        <v>#N/A</v>
      </c>
      <c r="I226" s="50" t="e">
        <f>VLOOKUP(B226,aa!B:R,17,0)</f>
        <v>#N/A</v>
      </c>
      <c r="K226" s="50" t="s">
        <v>2193</v>
      </c>
      <c r="L226" s="50">
        <v>400000</v>
      </c>
      <c r="M226" s="50">
        <v>472000</v>
      </c>
      <c r="N226" s="50">
        <v>0</v>
      </c>
      <c r="O226" s="50">
        <v>1124</v>
      </c>
      <c r="P226" s="50" t="s">
        <v>102</v>
      </c>
      <c r="Q226" s="50">
        <v>0</v>
      </c>
      <c r="R226" s="50">
        <v>0</v>
      </c>
      <c r="S226" s="50" t="s">
        <v>102</v>
      </c>
      <c r="T226" s="50">
        <v>0</v>
      </c>
      <c r="U226" s="50">
        <v>0</v>
      </c>
      <c r="V226" s="50" t="s">
        <v>102</v>
      </c>
      <c r="W226" s="50" t="s">
        <v>2195</v>
      </c>
      <c r="X226" s="50" t="s">
        <v>103</v>
      </c>
      <c r="Y226" s="50" t="s">
        <v>2196</v>
      </c>
      <c r="Z226" s="50" t="s">
        <v>12023</v>
      </c>
      <c r="AA226" s="50" t="s">
        <v>13159</v>
      </c>
      <c r="AB226" s="50" t="s">
        <v>102</v>
      </c>
      <c r="AC226" s="50" t="s">
        <v>13160</v>
      </c>
      <c r="AD226" s="50" t="s">
        <v>102</v>
      </c>
      <c r="AE226" s="50" t="s">
        <v>13161</v>
      </c>
      <c r="AF226" s="50" t="s">
        <v>102</v>
      </c>
      <c r="AG226" s="50" t="s">
        <v>12764</v>
      </c>
      <c r="AH226" s="50" t="s">
        <v>102</v>
      </c>
      <c r="AI226" s="50" t="s">
        <v>102</v>
      </c>
      <c r="AJ226" s="50" t="s">
        <v>12023</v>
      </c>
      <c r="AK226" s="50" t="s">
        <v>12023</v>
      </c>
      <c r="AL226" s="50" t="s">
        <v>2195</v>
      </c>
      <c r="AM226" s="50" t="s">
        <v>102</v>
      </c>
      <c r="AN226" s="50" t="s">
        <v>2195</v>
      </c>
      <c r="AO226" s="50" t="s">
        <v>2202</v>
      </c>
      <c r="AP226" s="50" t="s">
        <v>2202</v>
      </c>
      <c r="AQ226" s="50" t="s">
        <v>102</v>
      </c>
      <c r="AR226" s="50" t="s">
        <v>102</v>
      </c>
      <c r="AS226" s="50" t="s">
        <v>102</v>
      </c>
      <c r="AT226" s="50" t="s">
        <v>102</v>
      </c>
      <c r="AU226" s="50" t="s">
        <v>247</v>
      </c>
      <c r="AV226" s="50" t="s">
        <v>118</v>
      </c>
      <c r="AW226" s="50" t="s">
        <v>102</v>
      </c>
      <c r="AX226" s="50" t="s">
        <v>119</v>
      </c>
      <c r="BB226" s="50" t="s">
        <v>120</v>
      </c>
      <c r="BC226" s="50" t="s">
        <v>2204</v>
      </c>
      <c r="BD226" s="50" t="s">
        <v>121</v>
      </c>
      <c r="BE226" s="50" t="s">
        <v>122</v>
      </c>
      <c r="BF226" s="50" t="s">
        <v>123</v>
      </c>
      <c r="BG226" s="50" t="s">
        <v>124</v>
      </c>
      <c r="BH226" s="50" t="s">
        <v>12023</v>
      </c>
      <c r="BI226" s="50" t="s">
        <v>13162</v>
      </c>
      <c r="BJ226" s="50" t="s">
        <v>2207</v>
      </c>
      <c r="BK226" s="50" t="s">
        <v>13570</v>
      </c>
      <c r="BL226" s="50" t="s">
        <v>2764</v>
      </c>
      <c r="BM226" s="50" t="s">
        <v>13571</v>
      </c>
      <c r="BN226" s="50" t="s">
        <v>13159</v>
      </c>
      <c r="BO226" s="50" t="s">
        <v>2766</v>
      </c>
      <c r="BP226" s="50" t="s">
        <v>3064</v>
      </c>
      <c r="BQ226" s="50" t="s">
        <v>2213</v>
      </c>
      <c r="BR226" s="50" t="s">
        <v>2214</v>
      </c>
      <c r="BS226" s="50" t="s">
        <v>2215</v>
      </c>
      <c r="BT226" s="50" t="s">
        <v>2216</v>
      </c>
      <c r="BU226" s="50" t="s">
        <v>13572</v>
      </c>
      <c r="BV226" s="50" t="s">
        <v>13573</v>
      </c>
      <c r="BW226" s="50" t="s">
        <v>138</v>
      </c>
      <c r="BX226" s="50" t="s">
        <v>225</v>
      </c>
      <c r="BY226" s="50" t="s">
        <v>13574</v>
      </c>
      <c r="BZ226" s="50" t="s">
        <v>2772</v>
      </c>
      <c r="CA226" s="50" t="s">
        <v>13573</v>
      </c>
      <c r="CB226" s="50" t="s">
        <v>2772</v>
      </c>
      <c r="CC226" s="50" t="s">
        <v>13574</v>
      </c>
      <c r="CD226" s="50" t="s">
        <v>13575</v>
      </c>
      <c r="CE226" s="50" t="s">
        <v>2772</v>
      </c>
      <c r="CF226" s="50" t="s">
        <v>13574</v>
      </c>
      <c r="CG226" s="50" t="s">
        <v>2773</v>
      </c>
      <c r="CH226" s="50" t="s">
        <v>13576</v>
      </c>
      <c r="CJ226" s="50" t="s">
        <v>2775</v>
      </c>
      <c r="CK226" s="50" t="s">
        <v>2774</v>
      </c>
      <c r="CL226" s="50" t="s">
        <v>2204</v>
      </c>
      <c r="CM226" s="50" t="s">
        <v>2226</v>
      </c>
      <c r="CN226" s="50" t="s">
        <v>2775</v>
      </c>
      <c r="CO226" s="50" t="s">
        <v>2776</v>
      </c>
      <c r="CP226" s="50" t="s">
        <v>2774</v>
      </c>
      <c r="CQ226" s="50" t="s">
        <v>2774</v>
      </c>
    </row>
    <row r="227" spans="1:96">
      <c r="A227" s="50" t="s">
        <v>93</v>
      </c>
      <c r="B227" s="50">
        <v>234775</v>
      </c>
      <c r="C227" s="50" t="s">
        <v>13158</v>
      </c>
      <c r="D227" s="50" t="s">
        <v>13749</v>
      </c>
      <c r="E227" s="50" t="e">
        <f>VLOOKUP(B227,aa!B:F,5,0)</f>
        <v>#N/A</v>
      </c>
      <c r="F227" s="50" t="e">
        <f>VLOOKUP(B227,aa!B:J,9,0)</f>
        <v>#N/A</v>
      </c>
      <c r="G227" s="50" t="e">
        <f>VLOOKUP(B227,aa!B:L,11,0)</f>
        <v>#N/A</v>
      </c>
      <c r="H227" s="50" t="e">
        <f>VLOOKUP(B227,aa!B:O,14,0)</f>
        <v>#N/A</v>
      </c>
      <c r="I227" s="50" t="e">
        <f>VLOOKUP(B227,aa!B:R,17,0)</f>
        <v>#N/A</v>
      </c>
      <c r="K227" s="50" t="s">
        <v>2193</v>
      </c>
      <c r="L227" s="50">
        <v>400000</v>
      </c>
      <c r="M227" s="50">
        <v>472000</v>
      </c>
      <c r="N227" s="50">
        <v>0</v>
      </c>
      <c r="O227" s="50">
        <v>1345</v>
      </c>
      <c r="P227" s="50" t="s">
        <v>102</v>
      </c>
      <c r="Q227" s="50">
        <v>0</v>
      </c>
      <c r="R227" s="50">
        <v>0</v>
      </c>
      <c r="S227" s="50" t="s">
        <v>102</v>
      </c>
      <c r="T227" s="50">
        <v>0</v>
      </c>
      <c r="U227" s="50">
        <v>0</v>
      </c>
      <c r="V227" s="50" t="s">
        <v>102</v>
      </c>
      <c r="W227" s="50" t="s">
        <v>2195</v>
      </c>
      <c r="X227" s="50" t="s">
        <v>103</v>
      </c>
      <c r="Y227" s="50" t="s">
        <v>2196</v>
      </c>
      <c r="Z227" s="50" t="s">
        <v>12023</v>
      </c>
      <c r="AA227" s="50" t="s">
        <v>13159</v>
      </c>
      <c r="AB227" s="50" t="s">
        <v>102</v>
      </c>
      <c r="AC227" s="50" t="s">
        <v>13160</v>
      </c>
      <c r="AD227" s="50" t="s">
        <v>102</v>
      </c>
      <c r="AE227" s="50" t="s">
        <v>13161</v>
      </c>
      <c r="AF227" s="50" t="s">
        <v>102</v>
      </c>
      <c r="AG227" s="50" t="s">
        <v>12764</v>
      </c>
      <c r="AH227" s="50" t="s">
        <v>102</v>
      </c>
      <c r="AI227" s="50" t="s">
        <v>102</v>
      </c>
      <c r="AJ227" s="50" t="s">
        <v>12023</v>
      </c>
      <c r="AK227" s="50" t="s">
        <v>12023</v>
      </c>
      <c r="AL227" s="50" t="s">
        <v>2195</v>
      </c>
      <c r="AM227" s="50" t="s">
        <v>102</v>
      </c>
      <c r="AN227" s="50" t="s">
        <v>2195</v>
      </c>
      <c r="AO227" s="50" t="s">
        <v>2202</v>
      </c>
      <c r="AP227" s="50" t="s">
        <v>2202</v>
      </c>
      <c r="AQ227" s="50" t="s">
        <v>102</v>
      </c>
      <c r="AR227" s="50" t="s">
        <v>102</v>
      </c>
      <c r="AS227" s="50" t="s">
        <v>102</v>
      </c>
      <c r="AT227" s="50" t="s">
        <v>102</v>
      </c>
      <c r="AU227" s="50" t="s">
        <v>247</v>
      </c>
      <c r="AV227" s="50" t="s">
        <v>118</v>
      </c>
      <c r="AW227" s="50" t="s">
        <v>102</v>
      </c>
      <c r="AX227" s="50" t="s">
        <v>119</v>
      </c>
      <c r="BB227" s="50" t="s">
        <v>120</v>
      </c>
      <c r="BC227" s="50" t="s">
        <v>3058</v>
      </c>
      <c r="BD227" s="50" t="s">
        <v>320</v>
      </c>
      <c r="BE227" s="50" t="s">
        <v>122</v>
      </c>
      <c r="BF227" s="50" t="s">
        <v>123</v>
      </c>
      <c r="BG227" s="50" t="s">
        <v>124</v>
      </c>
      <c r="BH227" s="50" t="s">
        <v>12023</v>
      </c>
      <c r="BI227" s="50" t="s">
        <v>13162</v>
      </c>
      <c r="BJ227" s="50" t="s">
        <v>2207</v>
      </c>
      <c r="BK227" s="50" t="s">
        <v>13750</v>
      </c>
      <c r="BL227" s="50" t="s">
        <v>3062</v>
      </c>
      <c r="BM227" s="50" t="s">
        <v>13751</v>
      </c>
      <c r="BN227" s="50" t="s">
        <v>13159</v>
      </c>
      <c r="BO227" s="50" t="s">
        <v>2766</v>
      </c>
      <c r="BP227" s="50" t="s">
        <v>3064</v>
      </c>
      <c r="BQ227" s="50" t="s">
        <v>2213</v>
      </c>
      <c r="BR227" s="50" t="s">
        <v>2214</v>
      </c>
      <c r="BS227" s="50" t="s">
        <v>2215</v>
      </c>
      <c r="BT227" s="50" t="s">
        <v>2216</v>
      </c>
      <c r="BU227" s="50" t="s">
        <v>13752</v>
      </c>
      <c r="BV227" s="50" t="s">
        <v>13753</v>
      </c>
      <c r="BW227" s="50" t="s">
        <v>138</v>
      </c>
      <c r="BX227" s="50" t="s">
        <v>225</v>
      </c>
      <c r="BY227" s="50" t="s">
        <v>13754</v>
      </c>
      <c r="BZ227" s="50" t="s">
        <v>3067</v>
      </c>
      <c r="CA227" s="50" t="s">
        <v>13753</v>
      </c>
      <c r="CB227" s="50" t="s">
        <v>13755</v>
      </c>
      <c r="CC227" s="50" t="s">
        <v>13754</v>
      </c>
      <c r="CD227" s="50" t="s">
        <v>13756</v>
      </c>
      <c r="CE227" s="50" t="s">
        <v>3067</v>
      </c>
      <c r="CF227" s="50" t="s">
        <v>13757</v>
      </c>
      <c r="CG227" s="50" t="s">
        <v>3068</v>
      </c>
      <c r="CH227" s="50" t="s">
        <v>3069</v>
      </c>
      <c r="CJ227" s="50" t="s">
        <v>3070</v>
      </c>
      <c r="CK227" s="50" t="s">
        <v>3069</v>
      </c>
      <c r="CL227" s="50" t="s">
        <v>3058</v>
      </c>
      <c r="CM227" s="50" t="s">
        <v>320</v>
      </c>
      <c r="CN227" s="50" t="s">
        <v>3070</v>
      </c>
      <c r="CP227" s="50" t="s">
        <v>3069</v>
      </c>
      <c r="CQ227" s="50" t="s">
        <v>3069</v>
      </c>
    </row>
    <row r="228" spans="1:96">
      <c r="A228" s="50" t="s">
        <v>93</v>
      </c>
      <c r="B228" s="50">
        <v>2449</v>
      </c>
      <c r="C228" s="50" t="s">
        <v>13158</v>
      </c>
      <c r="D228" s="50" t="s">
        <v>3395</v>
      </c>
      <c r="E228" s="50" t="e">
        <f>VLOOKUP(B228,aa!B:F,5,0)</f>
        <v>#N/A</v>
      </c>
      <c r="F228" s="50" t="e">
        <f>VLOOKUP(B228,aa!B:J,9,0)</f>
        <v>#N/A</v>
      </c>
      <c r="G228" s="50" t="e">
        <f>VLOOKUP(B228,aa!B:L,11,0)</f>
        <v>#N/A</v>
      </c>
      <c r="H228" s="50" t="e">
        <f>VLOOKUP(B228,aa!B:O,14,0)</f>
        <v>#N/A</v>
      </c>
      <c r="I228" s="50" t="e">
        <f>VLOOKUP(B228,aa!B:R,17,0)</f>
        <v>#N/A</v>
      </c>
      <c r="K228" s="50" t="s">
        <v>2193</v>
      </c>
      <c r="L228" s="50">
        <v>400000</v>
      </c>
      <c r="M228" s="50">
        <v>472000</v>
      </c>
      <c r="N228" s="50">
        <v>0</v>
      </c>
      <c r="O228" s="50">
        <v>1296</v>
      </c>
      <c r="P228" s="50" t="s">
        <v>102</v>
      </c>
      <c r="Q228" s="50">
        <v>0</v>
      </c>
      <c r="R228" s="50">
        <v>0</v>
      </c>
      <c r="S228" s="50" t="s">
        <v>102</v>
      </c>
      <c r="T228" s="50">
        <v>0</v>
      </c>
      <c r="U228" s="50">
        <v>0</v>
      </c>
      <c r="V228" s="50" t="s">
        <v>102</v>
      </c>
      <c r="W228" s="50" t="s">
        <v>2195</v>
      </c>
      <c r="X228" s="50" t="s">
        <v>103</v>
      </c>
      <c r="Y228" s="50" t="s">
        <v>2196</v>
      </c>
      <c r="Z228" s="50" t="s">
        <v>12023</v>
      </c>
      <c r="AA228" s="50" t="s">
        <v>13159</v>
      </c>
      <c r="AB228" s="50" t="s">
        <v>102</v>
      </c>
      <c r="AC228" s="50" t="s">
        <v>13160</v>
      </c>
      <c r="AD228" s="50" t="s">
        <v>102</v>
      </c>
      <c r="AE228" s="50" t="s">
        <v>13161</v>
      </c>
      <c r="AF228" s="50" t="s">
        <v>102</v>
      </c>
      <c r="AG228" s="50" t="s">
        <v>12764</v>
      </c>
      <c r="AH228" s="50" t="s">
        <v>102</v>
      </c>
      <c r="AI228" s="50" t="s">
        <v>102</v>
      </c>
      <c r="AJ228" s="50" t="s">
        <v>12023</v>
      </c>
      <c r="AK228" s="50" t="s">
        <v>12023</v>
      </c>
      <c r="AL228" s="50" t="s">
        <v>2195</v>
      </c>
      <c r="AM228" s="50" t="s">
        <v>102</v>
      </c>
      <c r="AN228" s="50" t="s">
        <v>2195</v>
      </c>
      <c r="AO228" s="50" t="s">
        <v>2202</v>
      </c>
      <c r="AP228" s="50" t="s">
        <v>2202</v>
      </c>
      <c r="AQ228" s="50" t="s">
        <v>102</v>
      </c>
      <c r="AR228" s="50" t="s">
        <v>102</v>
      </c>
      <c r="AS228" s="50" t="s">
        <v>102</v>
      </c>
      <c r="AT228" s="50" t="s">
        <v>102</v>
      </c>
      <c r="AU228" s="50" t="s">
        <v>247</v>
      </c>
      <c r="AV228" s="50" t="s">
        <v>118</v>
      </c>
      <c r="AW228" s="50" t="s">
        <v>102</v>
      </c>
      <c r="AX228" s="50" t="s">
        <v>119</v>
      </c>
      <c r="BB228" s="50" t="s">
        <v>120</v>
      </c>
      <c r="BC228" s="50" t="s">
        <v>2204</v>
      </c>
      <c r="BD228" s="50" t="s">
        <v>121</v>
      </c>
      <c r="BE228" s="50" t="s">
        <v>122</v>
      </c>
      <c r="BF228" s="50" t="s">
        <v>123</v>
      </c>
      <c r="BG228" s="50" t="s">
        <v>124</v>
      </c>
      <c r="BH228" s="50" t="s">
        <v>12023</v>
      </c>
      <c r="BI228" s="50" t="s">
        <v>13162</v>
      </c>
      <c r="BJ228" s="50" t="s">
        <v>2207</v>
      </c>
      <c r="BK228" s="50" t="s">
        <v>13975</v>
      </c>
      <c r="BL228" s="50" t="s">
        <v>3403</v>
      </c>
      <c r="BM228" s="50" t="s">
        <v>13976</v>
      </c>
      <c r="BN228" s="50" t="s">
        <v>13159</v>
      </c>
      <c r="BO228" s="50" t="s">
        <v>2766</v>
      </c>
      <c r="BP228" s="50" t="s">
        <v>3064</v>
      </c>
      <c r="BQ228" s="50" t="s">
        <v>2213</v>
      </c>
      <c r="BR228" s="50" t="s">
        <v>2214</v>
      </c>
      <c r="BS228" s="50" t="s">
        <v>2215</v>
      </c>
      <c r="BT228" s="50" t="s">
        <v>3405</v>
      </c>
      <c r="BU228" s="50" t="s">
        <v>13977</v>
      </c>
      <c r="BV228" s="50" t="s">
        <v>13978</v>
      </c>
      <c r="BW228" s="50" t="s">
        <v>138</v>
      </c>
      <c r="BX228" s="50" t="s">
        <v>225</v>
      </c>
      <c r="BZ228" s="50" t="s">
        <v>3408</v>
      </c>
      <c r="CA228" s="50" t="s">
        <v>13979</v>
      </c>
      <c r="CB228" s="50" t="s">
        <v>13980</v>
      </c>
      <c r="CC228" s="50" t="s">
        <v>13981</v>
      </c>
      <c r="CD228" s="50" t="s">
        <v>13982</v>
      </c>
      <c r="CE228" s="50" t="s">
        <v>13980</v>
      </c>
      <c r="CF228" s="50" t="s">
        <v>13981</v>
      </c>
      <c r="CG228" s="50" t="s">
        <v>3409</v>
      </c>
      <c r="CH228" s="50" t="s">
        <v>13983</v>
      </c>
      <c r="CJ228" s="50" t="s">
        <v>3411</v>
      </c>
      <c r="CK228" s="50" t="s">
        <v>13983</v>
      </c>
      <c r="CL228" s="50" t="s">
        <v>2204</v>
      </c>
      <c r="CM228" s="50" t="s">
        <v>121</v>
      </c>
      <c r="CN228" s="50" t="s">
        <v>3411</v>
      </c>
      <c r="CP228" s="50" t="s">
        <v>3410</v>
      </c>
      <c r="CQ228" s="50" t="s">
        <v>3410</v>
      </c>
    </row>
    <row r="229" spans="1:96">
      <c r="A229" s="50" t="s">
        <v>93</v>
      </c>
      <c r="B229" s="50">
        <v>265162</v>
      </c>
      <c r="C229" s="50" t="s">
        <v>13158</v>
      </c>
      <c r="D229" s="50" t="s">
        <v>14646</v>
      </c>
      <c r="E229" s="50" t="e">
        <f>VLOOKUP(B229,aa!B:F,5,0)</f>
        <v>#N/A</v>
      </c>
      <c r="F229" s="50" t="e">
        <f>VLOOKUP(B229,aa!B:J,9,0)</f>
        <v>#N/A</v>
      </c>
      <c r="G229" s="50" t="e">
        <f>VLOOKUP(B229,aa!B:L,11,0)</f>
        <v>#N/A</v>
      </c>
      <c r="H229" s="50" t="e">
        <f>VLOOKUP(B229,aa!B:O,14,0)</f>
        <v>#N/A</v>
      </c>
      <c r="I229" s="50" t="e">
        <f>VLOOKUP(B229,aa!B:R,17,0)</f>
        <v>#N/A</v>
      </c>
      <c r="K229" s="50" t="s">
        <v>2193</v>
      </c>
      <c r="L229" s="50">
        <v>400000</v>
      </c>
      <c r="M229" s="50">
        <v>472000</v>
      </c>
      <c r="N229" s="50">
        <v>0</v>
      </c>
      <c r="O229" s="50">
        <v>1610</v>
      </c>
      <c r="P229" s="50" t="s">
        <v>102</v>
      </c>
      <c r="Q229" s="50">
        <v>0</v>
      </c>
      <c r="R229" s="50">
        <v>0</v>
      </c>
      <c r="S229" s="50" t="s">
        <v>102</v>
      </c>
      <c r="T229" s="50">
        <v>0</v>
      </c>
      <c r="U229" s="50">
        <v>0</v>
      </c>
      <c r="V229" s="50" t="s">
        <v>102</v>
      </c>
      <c r="W229" s="50" t="s">
        <v>2195</v>
      </c>
      <c r="X229" s="50" t="s">
        <v>103</v>
      </c>
      <c r="Y229" s="50" t="s">
        <v>2196</v>
      </c>
      <c r="Z229" s="50" t="s">
        <v>12023</v>
      </c>
      <c r="AA229" s="50" t="s">
        <v>13159</v>
      </c>
      <c r="AB229" s="50" t="s">
        <v>102</v>
      </c>
      <c r="AC229" s="50" t="s">
        <v>13160</v>
      </c>
      <c r="AD229" s="50" t="s">
        <v>102</v>
      </c>
      <c r="AE229" s="50" t="s">
        <v>13161</v>
      </c>
      <c r="AF229" s="50" t="s">
        <v>102</v>
      </c>
      <c r="AG229" s="50" t="s">
        <v>12764</v>
      </c>
      <c r="AH229" s="50" t="s">
        <v>102</v>
      </c>
      <c r="AI229" s="50" t="s">
        <v>102</v>
      </c>
      <c r="AJ229" s="50" t="s">
        <v>12023</v>
      </c>
      <c r="AK229" s="50" t="s">
        <v>12023</v>
      </c>
      <c r="AL229" s="50" t="s">
        <v>2195</v>
      </c>
      <c r="AM229" s="50" t="s">
        <v>102</v>
      </c>
      <c r="AN229" s="50" t="s">
        <v>2195</v>
      </c>
      <c r="AO229" s="50" t="s">
        <v>2202</v>
      </c>
      <c r="AP229" s="50" t="s">
        <v>2202</v>
      </c>
      <c r="AQ229" s="50" t="s">
        <v>102</v>
      </c>
      <c r="AR229" s="50" t="s">
        <v>102</v>
      </c>
      <c r="AS229" s="50" t="s">
        <v>102</v>
      </c>
      <c r="AT229" s="50" t="s">
        <v>102</v>
      </c>
      <c r="AU229" s="50" t="s">
        <v>247</v>
      </c>
      <c r="AV229" s="50" t="s">
        <v>118</v>
      </c>
      <c r="AW229" s="50" t="s">
        <v>102</v>
      </c>
      <c r="AX229" s="50" t="s">
        <v>119</v>
      </c>
      <c r="BB229" s="50" t="s">
        <v>120</v>
      </c>
      <c r="BC229" s="50" t="s">
        <v>3854</v>
      </c>
      <c r="BD229" s="50" t="s">
        <v>449</v>
      </c>
      <c r="BE229" s="50" t="s">
        <v>122</v>
      </c>
      <c r="BF229" s="50" t="s">
        <v>4256</v>
      </c>
      <c r="BG229" s="50" t="s">
        <v>124</v>
      </c>
      <c r="BH229" s="50" t="s">
        <v>12023</v>
      </c>
      <c r="BI229" s="50" t="s">
        <v>13162</v>
      </c>
      <c r="BJ229" s="50" t="s">
        <v>2207</v>
      </c>
      <c r="BK229" s="50" t="s">
        <v>14647</v>
      </c>
      <c r="BL229" s="50" t="s">
        <v>4260</v>
      </c>
      <c r="BM229" s="50" t="s">
        <v>14648</v>
      </c>
      <c r="BN229" s="50" t="s">
        <v>13159</v>
      </c>
      <c r="BO229" s="50" t="s">
        <v>2766</v>
      </c>
      <c r="BP229" s="50" t="s">
        <v>3064</v>
      </c>
      <c r="BQ229" s="50" t="s">
        <v>2213</v>
      </c>
      <c r="BR229" s="50" t="s">
        <v>2214</v>
      </c>
      <c r="BS229" s="50" t="s">
        <v>2215</v>
      </c>
      <c r="BT229" s="50" t="s">
        <v>2216</v>
      </c>
      <c r="BU229" s="50" t="s">
        <v>14649</v>
      </c>
      <c r="BV229" s="50" t="s">
        <v>14650</v>
      </c>
      <c r="BW229" s="50" t="s">
        <v>138</v>
      </c>
      <c r="BX229" s="50" t="s">
        <v>225</v>
      </c>
      <c r="BY229" s="50" t="s">
        <v>4267</v>
      </c>
      <c r="BZ229" s="50" t="s">
        <v>4265</v>
      </c>
      <c r="CA229" s="50" t="s">
        <v>14651</v>
      </c>
      <c r="CB229" s="50" t="s">
        <v>14652</v>
      </c>
      <c r="CC229" s="50" t="s">
        <v>4267</v>
      </c>
      <c r="CD229" s="50" t="s">
        <v>14651</v>
      </c>
      <c r="CE229" s="50" t="s">
        <v>4265</v>
      </c>
      <c r="CF229" s="50" t="s">
        <v>4267</v>
      </c>
      <c r="CG229" s="50" t="s">
        <v>4269</v>
      </c>
      <c r="CH229" s="50" t="s">
        <v>14653</v>
      </c>
      <c r="CJ229" s="50" t="s">
        <v>4271</v>
      </c>
      <c r="CK229" s="50" t="s">
        <v>4270</v>
      </c>
      <c r="CL229" s="50" t="s">
        <v>3854</v>
      </c>
      <c r="CM229" s="50" t="s">
        <v>449</v>
      </c>
      <c r="CN229" s="50" t="s">
        <v>4271</v>
      </c>
      <c r="CP229" s="50" t="s">
        <v>4270</v>
      </c>
      <c r="CQ229" s="50" t="s">
        <v>4270</v>
      </c>
    </row>
    <row r="230" spans="1:96">
      <c r="A230" s="50" t="s">
        <v>93</v>
      </c>
      <c r="B230" s="50">
        <v>3254316</v>
      </c>
      <c r="C230" s="50" t="s">
        <v>13158</v>
      </c>
      <c r="D230" s="50" t="s">
        <v>15285</v>
      </c>
      <c r="E230" s="50" t="e">
        <f>VLOOKUP(B230,aa!B:F,5,0)</f>
        <v>#N/A</v>
      </c>
      <c r="F230" s="50" t="e">
        <f>VLOOKUP(B230,aa!B:J,9,0)</f>
        <v>#N/A</v>
      </c>
      <c r="G230" s="50" t="e">
        <f>VLOOKUP(B230,aa!B:L,11,0)</f>
        <v>#N/A</v>
      </c>
      <c r="H230" s="50" t="e">
        <f>VLOOKUP(B230,aa!B:O,14,0)</f>
        <v>#N/A</v>
      </c>
      <c r="I230" s="50" t="e">
        <f>VLOOKUP(B230,aa!B:R,17,0)</f>
        <v>#N/A</v>
      </c>
      <c r="K230" s="50" t="s">
        <v>2193</v>
      </c>
      <c r="L230" s="50">
        <v>400000</v>
      </c>
      <c r="M230" s="50">
        <v>472000</v>
      </c>
      <c r="N230" s="50">
        <v>0</v>
      </c>
      <c r="O230" s="50">
        <v>1249</v>
      </c>
      <c r="P230" s="50" t="s">
        <v>102</v>
      </c>
      <c r="Q230" s="50">
        <v>0</v>
      </c>
      <c r="R230" s="50">
        <v>0</v>
      </c>
      <c r="S230" s="50" t="s">
        <v>102</v>
      </c>
      <c r="T230" s="50">
        <v>0</v>
      </c>
      <c r="U230" s="50">
        <v>0</v>
      </c>
      <c r="V230" s="50" t="s">
        <v>102</v>
      </c>
      <c r="W230" s="50" t="s">
        <v>2195</v>
      </c>
      <c r="X230" s="50" t="s">
        <v>103</v>
      </c>
      <c r="Y230" s="50" t="s">
        <v>2196</v>
      </c>
      <c r="Z230" s="50" t="s">
        <v>12023</v>
      </c>
      <c r="AA230" s="50" t="s">
        <v>13159</v>
      </c>
      <c r="AB230" s="50" t="s">
        <v>102</v>
      </c>
      <c r="AC230" s="50" t="s">
        <v>13160</v>
      </c>
      <c r="AD230" s="50" t="s">
        <v>102</v>
      </c>
      <c r="AE230" s="50" t="s">
        <v>13161</v>
      </c>
      <c r="AF230" s="50" t="s">
        <v>102</v>
      </c>
      <c r="AG230" s="50" t="s">
        <v>12764</v>
      </c>
      <c r="AH230" s="50" t="s">
        <v>102</v>
      </c>
      <c r="AI230" s="50" t="s">
        <v>102</v>
      </c>
      <c r="AJ230" s="50" t="s">
        <v>12023</v>
      </c>
      <c r="AK230" s="50" t="s">
        <v>12023</v>
      </c>
      <c r="AL230" s="50" t="s">
        <v>2195</v>
      </c>
      <c r="AM230" s="50" t="s">
        <v>102</v>
      </c>
      <c r="AN230" s="50" t="s">
        <v>2195</v>
      </c>
      <c r="AO230" s="50" t="s">
        <v>2202</v>
      </c>
      <c r="AP230" s="50" t="s">
        <v>2202</v>
      </c>
      <c r="AQ230" s="50" t="s">
        <v>102</v>
      </c>
      <c r="AR230" s="50" t="s">
        <v>102</v>
      </c>
      <c r="AS230" s="50" t="s">
        <v>102</v>
      </c>
      <c r="AT230" s="50" t="s">
        <v>102</v>
      </c>
      <c r="AU230" s="50" t="s">
        <v>247</v>
      </c>
      <c r="AV230" s="50" t="s">
        <v>118</v>
      </c>
      <c r="AW230" s="50" t="s">
        <v>102</v>
      </c>
      <c r="AX230" s="50" t="s">
        <v>119</v>
      </c>
      <c r="BB230" s="50" t="s">
        <v>5092</v>
      </c>
      <c r="BC230" s="50" t="s">
        <v>5093</v>
      </c>
      <c r="BD230" s="50" t="s">
        <v>449</v>
      </c>
      <c r="BE230" s="50" t="s">
        <v>122</v>
      </c>
      <c r="BF230" s="50" t="s">
        <v>5094</v>
      </c>
      <c r="BG230" s="50" t="s">
        <v>124</v>
      </c>
      <c r="BH230" s="50" t="s">
        <v>12023</v>
      </c>
      <c r="BI230" s="50" t="s">
        <v>13162</v>
      </c>
      <c r="BJ230" s="50" t="s">
        <v>2207</v>
      </c>
      <c r="BK230" s="50" t="s">
        <v>15286</v>
      </c>
      <c r="BL230" s="50" t="s">
        <v>5098</v>
      </c>
      <c r="BM230" s="50" t="s">
        <v>15287</v>
      </c>
      <c r="BN230" s="50" t="s">
        <v>13159</v>
      </c>
      <c r="BO230" s="50" t="s">
        <v>2766</v>
      </c>
      <c r="BP230" s="50" t="s">
        <v>3064</v>
      </c>
      <c r="BQ230" s="50" t="s">
        <v>2213</v>
      </c>
      <c r="BR230" s="50" t="s">
        <v>2214</v>
      </c>
      <c r="BS230" s="50" t="s">
        <v>2215</v>
      </c>
      <c r="BT230" s="50" t="s">
        <v>2216</v>
      </c>
      <c r="BU230" s="50" t="s">
        <v>15288</v>
      </c>
      <c r="BV230" s="50" t="s">
        <v>15289</v>
      </c>
      <c r="BW230" s="50" t="s">
        <v>138</v>
      </c>
      <c r="BX230" s="50" t="s">
        <v>225</v>
      </c>
      <c r="BY230" s="50" t="s">
        <v>15290</v>
      </c>
      <c r="BZ230" s="50" t="s">
        <v>5102</v>
      </c>
      <c r="CA230" s="50" t="s">
        <v>15289</v>
      </c>
      <c r="CB230" s="50" t="s">
        <v>15291</v>
      </c>
      <c r="CC230" s="50" t="s">
        <v>15290</v>
      </c>
      <c r="CD230" s="50" t="s">
        <v>15292</v>
      </c>
      <c r="CE230" s="50" t="s">
        <v>15291</v>
      </c>
      <c r="CF230" s="50" t="s">
        <v>15290</v>
      </c>
      <c r="CG230" s="50" t="s">
        <v>5103</v>
      </c>
      <c r="CH230" s="50" t="s">
        <v>15293</v>
      </c>
      <c r="CJ230" s="50" t="s">
        <v>5105</v>
      </c>
      <c r="CK230" s="50" t="s">
        <v>15294</v>
      </c>
      <c r="CL230" s="50" t="s">
        <v>5093</v>
      </c>
      <c r="CM230" s="50" t="s">
        <v>449</v>
      </c>
      <c r="CN230" s="50" t="s">
        <v>5105</v>
      </c>
      <c r="CP230" s="50" t="s">
        <v>5104</v>
      </c>
      <c r="CQ230" s="50" t="s">
        <v>5104</v>
      </c>
    </row>
    <row r="231" spans="1:96">
      <c r="A231" s="50" t="s">
        <v>93</v>
      </c>
      <c r="B231" s="50">
        <v>353776</v>
      </c>
      <c r="C231" s="50" t="s">
        <v>13158</v>
      </c>
      <c r="D231" s="50" t="s">
        <v>6571</v>
      </c>
      <c r="E231" s="50" t="e">
        <f>VLOOKUP(B231,aa!B:F,5,0)</f>
        <v>#N/A</v>
      </c>
      <c r="F231" s="50" t="e">
        <f>VLOOKUP(B231,aa!B:J,9,0)</f>
        <v>#N/A</v>
      </c>
      <c r="G231" s="50" t="e">
        <f>VLOOKUP(B231,aa!B:L,11,0)</f>
        <v>#N/A</v>
      </c>
      <c r="H231" s="50" t="e">
        <f>VLOOKUP(B231,aa!B:O,14,0)</f>
        <v>#N/A</v>
      </c>
      <c r="I231" s="50" t="e">
        <f>VLOOKUP(B231,aa!B:R,17,0)</f>
        <v>#N/A</v>
      </c>
      <c r="K231" s="50" t="s">
        <v>2193</v>
      </c>
      <c r="L231" s="50">
        <v>400000</v>
      </c>
      <c r="M231" s="50">
        <v>472000</v>
      </c>
      <c r="N231" s="50">
        <v>0</v>
      </c>
      <c r="O231" s="50">
        <v>1174</v>
      </c>
      <c r="P231" s="50" t="s">
        <v>102</v>
      </c>
      <c r="Q231" s="50">
        <v>0</v>
      </c>
      <c r="R231" s="50">
        <v>0</v>
      </c>
      <c r="S231" s="50" t="s">
        <v>102</v>
      </c>
      <c r="T231" s="50">
        <v>0</v>
      </c>
      <c r="U231" s="50">
        <v>0</v>
      </c>
      <c r="V231" s="50" t="s">
        <v>102</v>
      </c>
      <c r="W231" s="50" t="s">
        <v>2195</v>
      </c>
      <c r="X231" s="50" t="s">
        <v>103</v>
      </c>
      <c r="Y231" s="50" t="s">
        <v>2196</v>
      </c>
      <c r="Z231" s="50" t="s">
        <v>12023</v>
      </c>
      <c r="AA231" s="50" t="s">
        <v>13159</v>
      </c>
      <c r="AB231" s="50" t="s">
        <v>102</v>
      </c>
      <c r="AC231" s="50" t="s">
        <v>13160</v>
      </c>
      <c r="AD231" s="50" t="s">
        <v>102</v>
      </c>
      <c r="AE231" s="50" t="s">
        <v>13161</v>
      </c>
      <c r="AF231" s="50" t="s">
        <v>102</v>
      </c>
      <c r="AG231" s="50" t="s">
        <v>12764</v>
      </c>
      <c r="AH231" s="50" t="s">
        <v>102</v>
      </c>
      <c r="AI231" s="50" t="s">
        <v>102</v>
      </c>
      <c r="AJ231" s="50" t="s">
        <v>12023</v>
      </c>
      <c r="AK231" s="50" t="s">
        <v>12023</v>
      </c>
      <c r="AL231" s="50" t="s">
        <v>2195</v>
      </c>
      <c r="AM231" s="50" t="s">
        <v>102</v>
      </c>
      <c r="AN231" s="50" t="s">
        <v>2195</v>
      </c>
      <c r="AO231" s="50" t="s">
        <v>2202</v>
      </c>
      <c r="AP231" s="50" t="s">
        <v>2202</v>
      </c>
      <c r="AQ231" s="50" t="s">
        <v>102</v>
      </c>
      <c r="AR231" s="50" t="s">
        <v>102</v>
      </c>
      <c r="AS231" s="50" t="s">
        <v>102</v>
      </c>
      <c r="AT231" s="50" t="s">
        <v>102</v>
      </c>
      <c r="AU231" s="50" t="s">
        <v>247</v>
      </c>
      <c r="AV231" s="50" t="s">
        <v>118</v>
      </c>
      <c r="AW231" s="50" t="s">
        <v>102</v>
      </c>
      <c r="AX231" s="50" t="s">
        <v>119</v>
      </c>
      <c r="BB231" s="50" t="s">
        <v>120</v>
      </c>
      <c r="BC231" s="50" t="s">
        <v>121</v>
      </c>
      <c r="BD231" s="50" t="s">
        <v>121</v>
      </c>
      <c r="BE231" s="50" t="s">
        <v>122</v>
      </c>
      <c r="BF231" s="50" t="s">
        <v>123</v>
      </c>
      <c r="BG231" s="50" t="s">
        <v>124</v>
      </c>
      <c r="BH231" s="50" t="s">
        <v>12023</v>
      </c>
      <c r="BI231" s="50" t="s">
        <v>13162</v>
      </c>
      <c r="BJ231" s="50" t="s">
        <v>2207</v>
      </c>
      <c r="BK231" s="50" t="s">
        <v>16411</v>
      </c>
      <c r="BL231" s="50" t="s">
        <v>6581</v>
      </c>
      <c r="BM231" s="50" t="s">
        <v>16412</v>
      </c>
      <c r="BN231" s="50" t="s">
        <v>13159</v>
      </c>
      <c r="BO231" s="50" t="s">
        <v>2766</v>
      </c>
      <c r="BP231" s="50" t="s">
        <v>3064</v>
      </c>
      <c r="BQ231" s="50" t="s">
        <v>2213</v>
      </c>
      <c r="BR231" s="50" t="s">
        <v>2214</v>
      </c>
      <c r="BS231" s="50" t="s">
        <v>2215</v>
      </c>
      <c r="BT231" s="50" t="s">
        <v>2216</v>
      </c>
      <c r="BU231" s="50" t="s">
        <v>16413</v>
      </c>
      <c r="BV231" s="50" t="s">
        <v>16414</v>
      </c>
      <c r="BW231" s="50" t="s">
        <v>138</v>
      </c>
      <c r="BX231" s="50" t="s">
        <v>225</v>
      </c>
      <c r="BY231" s="50" t="s">
        <v>226</v>
      </c>
      <c r="BZ231" s="50" t="s">
        <v>6585</v>
      </c>
      <c r="CA231" s="50" t="s">
        <v>16414</v>
      </c>
      <c r="CB231" s="50" t="s">
        <v>6585</v>
      </c>
      <c r="CC231" s="50" t="s">
        <v>226</v>
      </c>
      <c r="CD231" s="50" t="s">
        <v>16415</v>
      </c>
      <c r="CE231" s="50" t="s">
        <v>6585</v>
      </c>
      <c r="CF231" s="50" t="s">
        <v>16416</v>
      </c>
      <c r="CG231" s="50" t="s">
        <v>2773</v>
      </c>
      <c r="CH231" s="50" t="s">
        <v>16417</v>
      </c>
      <c r="CJ231" s="50" t="s">
        <v>4735</v>
      </c>
      <c r="CK231" s="50" t="s">
        <v>16417</v>
      </c>
      <c r="CL231" s="50" t="s">
        <v>121</v>
      </c>
      <c r="CM231" s="50" t="s">
        <v>121</v>
      </c>
      <c r="CN231" s="50" t="s">
        <v>4735</v>
      </c>
      <c r="CP231" s="50" t="s">
        <v>6586</v>
      </c>
      <c r="CQ231" s="50" t="s">
        <v>6586</v>
      </c>
    </row>
    <row r="232" spans="1:96">
      <c r="A232" s="50" t="s">
        <v>93</v>
      </c>
      <c r="B232" s="50">
        <v>5014895</v>
      </c>
      <c r="C232" s="50" t="s">
        <v>13158</v>
      </c>
      <c r="D232" s="50" t="s">
        <v>9350</v>
      </c>
      <c r="E232" s="50" t="e">
        <f>VLOOKUP(B232,aa!B:F,5,0)</f>
        <v>#N/A</v>
      </c>
      <c r="F232" s="50" t="e">
        <f>VLOOKUP(B232,aa!B:J,9,0)</f>
        <v>#N/A</v>
      </c>
      <c r="G232" s="50" t="e">
        <f>VLOOKUP(B232,aa!B:L,11,0)</f>
        <v>#N/A</v>
      </c>
      <c r="H232" s="50" t="e">
        <f>VLOOKUP(B232,aa!B:O,14,0)</f>
        <v>#N/A</v>
      </c>
      <c r="I232" s="50" t="e">
        <f>VLOOKUP(B232,aa!B:R,17,0)</f>
        <v>#N/A</v>
      </c>
      <c r="K232" s="50" t="s">
        <v>2193</v>
      </c>
      <c r="L232" s="50">
        <v>400000</v>
      </c>
      <c r="M232" s="50">
        <v>472000</v>
      </c>
      <c r="N232" s="50">
        <v>0</v>
      </c>
      <c r="O232" s="50">
        <v>786</v>
      </c>
      <c r="P232" s="50" t="s">
        <v>102</v>
      </c>
      <c r="Q232" s="50">
        <v>0</v>
      </c>
      <c r="R232" s="50">
        <v>0</v>
      </c>
      <c r="S232" s="50" t="s">
        <v>102</v>
      </c>
      <c r="T232" s="50">
        <v>0</v>
      </c>
      <c r="U232" s="50">
        <v>0</v>
      </c>
      <c r="V232" s="50" t="s">
        <v>102</v>
      </c>
      <c r="W232" s="50" t="s">
        <v>2195</v>
      </c>
      <c r="X232" s="50" t="s">
        <v>103</v>
      </c>
      <c r="Y232" s="50" t="s">
        <v>2196</v>
      </c>
      <c r="Z232" s="50" t="s">
        <v>12023</v>
      </c>
      <c r="AA232" s="50" t="s">
        <v>13159</v>
      </c>
      <c r="AB232" s="50" t="s">
        <v>102</v>
      </c>
      <c r="AC232" s="50" t="s">
        <v>13160</v>
      </c>
      <c r="AD232" s="50" t="s">
        <v>102</v>
      </c>
      <c r="AE232" s="50" t="s">
        <v>13161</v>
      </c>
      <c r="AF232" s="50" t="s">
        <v>102</v>
      </c>
      <c r="AG232" s="50" t="s">
        <v>12764</v>
      </c>
      <c r="AH232" s="50" t="s">
        <v>102</v>
      </c>
      <c r="AI232" s="50" t="s">
        <v>102</v>
      </c>
      <c r="AJ232" s="50" t="s">
        <v>12023</v>
      </c>
      <c r="AK232" s="50" t="s">
        <v>12023</v>
      </c>
      <c r="AL232" s="50" t="s">
        <v>2195</v>
      </c>
      <c r="AM232" s="50" t="s">
        <v>102</v>
      </c>
      <c r="AN232" s="50" t="s">
        <v>2195</v>
      </c>
      <c r="AO232" s="50" t="s">
        <v>2202</v>
      </c>
      <c r="AP232" s="50" t="s">
        <v>2202</v>
      </c>
      <c r="AQ232" s="50" t="s">
        <v>102</v>
      </c>
      <c r="AR232" s="50" t="s">
        <v>102</v>
      </c>
      <c r="AS232" s="50" t="s">
        <v>102</v>
      </c>
      <c r="AT232" s="50" t="s">
        <v>102</v>
      </c>
      <c r="AU232" s="50" t="s">
        <v>247</v>
      </c>
      <c r="AV232" s="50" t="s">
        <v>118</v>
      </c>
      <c r="AW232" s="50" t="s">
        <v>102</v>
      </c>
      <c r="AX232" s="50" t="s">
        <v>119</v>
      </c>
      <c r="BB232" s="50" t="s">
        <v>120</v>
      </c>
      <c r="BC232" s="50" t="s">
        <v>121</v>
      </c>
      <c r="BD232" s="50" t="s">
        <v>121</v>
      </c>
      <c r="BE232" s="50" t="s">
        <v>122</v>
      </c>
      <c r="BF232" s="50" t="s">
        <v>123</v>
      </c>
      <c r="BG232" s="50" t="s">
        <v>124</v>
      </c>
      <c r="BH232" s="50" t="s">
        <v>12023</v>
      </c>
      <c r="BI232" s="50" t="s">
        <v>13162</v>
      </c>
      <c r="BJ232" s="50" t="s">
        <v>2207</v>
      </c>
      <c r="BK232" s="50" t="s">
        <v>18645</v>
      </c>
      <c r="BL232" s="50" t="s">
        <v>9359</v>
      </c>
      <c r="BM232" s="50" t="s">
        <v>18646</v>
      </c>
      <c r="BN232" s="50" t="s">
        <v>13159</v>
      </c>
      <c r="BO232" s="50" t="s">
        <v>2766</v>
      </c>
      <c r="BP232" s="50" t="s">
        <v>3064</v>
      </c>
      <c r="BQ232" s="50" t="s">
        <v>2213</v>
      </c>
      <c r="BR232" s="50" t="s">
        <v>2214</v>
      </c>
      <c r="BS232" s="50" t="s">
        <v>2215</v>
      </c>
      <c r="BT232" s="50" t="s">
        <v>2216</v>
      </c>
      <c r="BU232" s="50" t="s">
        <v>18647</v>
      </c>
      <c r="BV232" s="50" t="s">
        <v>18648</v>
      </c>
      <c r="BW232" s="50" t="s">
        <v>138</v>
      </c>
      <c r="BX232" s="50" t="s">
        <v>225</v>
      </c>
      <c r="BY232" s="50" t="s">
        <v>9363</v>
      </c>
      <c r="BZ232" s="50" t="s">
        <v>9364</v>
      </c>
      <c r="CA232" s="50" t="s">
        <v>18648</v>
      </c>
      <c r="CB232" s="50" t="s">
        <v>9364</v>
      </c>
      <c r="CC232" s="50" t="s">
        <v>9363</v>
      </c>
      <c r="CD232" s="50" t="s">
        <v>18649</v>
      </c>
      <c r="CE232" s="50" t="s">
        <v>9364</v>
      </c>
      <c r="CF232" s="50" t="s">
        <v>18650</v>
      </c>
      <c r="CG232" s="50" t="s">
        <v>9365</v>
      </c>
      <c r="CH232" s="50" t="s">
        <v>18651</v>
      </c>
      <c r="CJ232" s="50" t="s">
        <v>9367</v>
      </c>
      <c r="CK232" s="50" t="s">
        <v>9366</v>
      </c>
      <c r="CL232" s="50" t="s">
        <v>121</v>
      </c>
      <c r="CM232" s="50" t="s">
        <v>121</v>
      </c>
      <c r="CN232" s="50" t="s">
        <v>9367</v>
      </c>
      <c r="CP232" s="50" t="s">
        <v>9366</v>
      </c>
      <c r="CQ232" s="50" t="s">
        <v>9368</v>
      </c>
    </row>
    <row r="233" spans="1:96">
      <c r="A233" s="50" t="s">
        <v>93</v>
      </c>
      <c r="B233" s="50">
        <v>5016187</v>
      </c>
      <c r="C233" s="50" t="s">
        <v>13158</v>
      </c>
      <c r="D233" s="50" t="s">
        <v>9579</v>
      </c>
      <c r="E233" s="50" t="e">
        <f>VLOOKUP(B233,aa!B:F,5,0)</f>
        <v>#N/A</v>
      </c>
      <c r="F233" s="50" t="e">
        <f>VLOOKUP(B233,aa!B:J,9,0)</f>
        <v>#N/A</v>
      </c>
      <c r="G233" s="50" t="e">
        <f>VLOOKUP(B233,aa!B:L,11,0)</f>
        <v>#N/A</v>
      </c>
      <c r="H233" s="50" t="e">
        <f>VLOOKUP(B233,aa!B:O,14,0)</f>
        <v>#N/A</v>
      </c>
      <c r="I233" s="50" t="e">
        <f>VLOOKUP(B233,aa!B:R,17,0)</f>
        <v>#N/A</v>
      </c>
      <c r="K233" s="50" t="s">
        <v>2193</v>
      </c>
      <c r="L233" s="50">
        <v>400000</v>
      </c>
      <c r="M233" s="50">
        <v>472000</v>
      </c>
      <c r="N233" s="50">
        <v>0</v>
      </c>
      <c r="O233" s="50">
        <v>1200</v>
      </c>
      <c r="P233" s="50" t="s">
        <v>102</v>
      </c>
      <c r="Q233" s="50">
        <v>0</v>
      </c>
      <c r="R233" s="50">
        <v>0</v>
      </c>
      <c r="S233" s="50" t="s">
        <v>102</v>
      </c>
      <c r="T233" s="50">
        <v>0</v>
      </c>
      <c r="U233" s="50">
        <v>0</v>
      </c>
      <c r="V233" s="50" t="s">
        <v>102</v>
      </c>
      <c r="W233" s="50" t="s">
        <v>2195</v>
      </c>
      <c r="X233" s="50" t="s">
        <v>103</v>
      </c>
      <c r="Y233" s="50" t="s">
        <v>2196</v>
      </c>
      <c r="Z233" s="50" t="s">
        <v>12023</v>
      </c>
      <c r="AA233" s="50" t="s">
        <v>13159</v>
      </c>
      <c r="AB233" s="50" t="s">
        <v>102</v>
      </c>
      <c r="AC233" s="50" t="s">
        <v>13160</v>
      </c>
      <c r="AD233" s="50" t="s">
        <v>102</v>
      </c>
      <c r="AE233" s="50" t="s">
        <v>13161</v>
      </c>
      <c r="AF233" s="50" t="s">
        <v>102</v>
      </c>
      <c r="AG233" s="50" t="s">
        <v>12764</v>
      </c>
      <c r="AH233" s="50" t="s">
        <v>102</v>
      </c>
      <c r="AI233" s="50" t="s">
        <v>102</v>
      </c>
      <c r="AJ233" s="50" t="s">
        <v>12023</v>
      </c>
      <c r="AK233" s="50" t="s">
        <v>12023</v>
      </c>
      <c r="AL233" s="50" t="s">
        <v>2195</v>
      </c>
      <c r="AM233" s="50" t="s">
        <v>102</v>
      </c>
      <c r="AN233" s="50" t="s">
        <v>2195</v>
      </c>
      <c r="AO233" s="50" t="s">
        <v>2202</v>
      </c>
      <c r="AP233" s="50" t="s">
        <v>2202</v>
      </c>
      <c r="AQ233" s="50" t="s">
        <v>102</v>
      </c>
      <c r="AR233" s="50" t="s">
        <v>102</v>
      </c>
      <c r="AS233" s="50" t="s">
        <v>102</v>
      </c>
      <c r="AT233" s="50" t="s">
        <v>102</v>
      </c>
      <c r="AU233" s="50" t="s">
        <v>247</v>
      </c>
      <c r="AV233" s="50" t="s">
        <v>118</v>
      </c>
      <c r="AW233" s="50" t="s">
        <v>102</v>
      </c>
      <c r="AX233" s="50" t="s">
        <v>119</v>
      </c>
      <c r="BB233" s="50" t="s">
        <v>120</v>
      </c>
      <c r="BC233" s="50" t="s">
        <v>3854</v>
      </c>
      <c r="BD233" s="50" t="s">
        <v>449</v>
      </c>
      <c r="BE233" s="50" t="s">
        <v>122</v>
      </c>
      <c r="BF233" s="50" t="s">
        <v>4256</v>
      </c>
      <c r="BG233" s="50" t="s">
        <v>124</v>
      </c>
      <c r="BH233" s="50" t="s">
        <v>12023</v>
      </c>
      <c r="BI233" s="50" t="s">
        <v>13162</v>
      </c>
      <c r="BJ233" s="50" t="s">
        <v>2207</v>
      </c>
      <c r="BK233" s="50" t="s">
        <v>18787</v>
      </c>
      <c r="BL233" s="50" t="s">
        <v>9586</v>
      </c>
      <c r="BM233" s="50" t="s">
        <v>18788</v>
      </c>
      <c r="BN233" s="50" t="s">
        <v>13159</v>
      </c>
      <c r="BO233" s="50" t="s">
        <v>2766</v>
      </c>
      <c r="BP233" s="50" t="s">
        <v>3064</v>
      </c>
      <c r="BQ233" s="50" t="s">
        <v>2213</v>
      </c>
      <c r="BR233" s="50" t="s">
        <v>2214</v>
      </c>
      <c r="BS233" s="50" t="s">
        <v>2215</v>
      </c>
      <c r="BT233" s="50" t="s">
        <v>2216</v>
      </c>
      <c r="BU233" s="50" t="s">
        <v>18789</v>
      </c>
      <c r="BV233" s="50" t="s">
        <v>18790</v>
      </c>
      <c r="BW233" s="50" t="s">
        <v>138</v>
      </c>
      <c r="BX233" s="50" t="s">
        <v>225</v>
      </c>
      <c r="BY233" s="50" t="s">
        <v>18791</v>
      </c>
      <c r="BZ233" s="50" t="s">
        <v>9590</v>
      </c>
      <c r="CA233" s="50" t="s">
        <v>18792</v>
      </c>
      <c r="CB233" s="50" t="s">
        <v>14652</v>
      </c>
      <c r="CC233" s="50" t="s">
        <v>18793</v>
      </c>
      <c r="CD233" s="50" t="s">
        <v>18792</v>
      </c>
      <c r="CE233" s="50" t="s">
        <v>14652</v>
      </c>
      <c r="CF233" s="50" t="s">
        <v>18793</v>
      </c>
      <c r="CG233" s="50" t="s">
        <v>4269</v>
      </c>
      <c r="CH233" s="50" t="s">
        <v>18794</v>
      </c>
      <c r="CJ233" s="50" t="s">
        <v>7472</v>
      </c>
      <c r="CK233" s="50" t="s">
        <v>9591</v>
      </c>
      <c r="CL233" s="50" t="s">
        <v>3854</v>
      </c>
      <c r="CM233" s="50" t="s">
        <v>449</v>
      </c>
      <c r="CN233" s="50" t="s">
        <v>7472</v>
      </c>
      <c r="CP233" s="50" t="s">
        <v>9591</v>
      </c>
      <c r="CQ233" s="50" t="s">
        <v>9591</v>
      </c>
    </row>
    <row r="234" spans="1:96">
      <c r="A234" s="50" t="s">
        <v>93</v>
      </c>
      <c r="B234" s="50">
        <v>5017383</v>
      </c>
      <c r="C234" s="50" t="s">
        <v>13158</v>
      </c>
      <c r="D234" s="50" t="s">
        <v>9939</v>
      </c>
      <c r="E234" s="50" t="e">
        <f>VLOOKUP(B234,aa!B:F,5,0)</f>
        <v>#N/A</v>
      </c>
      <c r="F234" s="50" t="e">
        <f>VLOOKUP(B234,aa!B:J,9,0)</f>
        <v>#N/A</v>
      </c>
      <c r="G234" s="50" t="e">
        <f>VLOOKUP(B234,aa!B:L,11,0)</f>
        <v>#N/A</v>
      </c>
      <c r="H234" s="50" t="e">
        <f>VLOOKUP(B234,aa!B:O,14,0)</f>
        <v>#N/A</v>
      </c>
      <c r="I234" s="50" t="e">
        <f>VLOOKUP(B234,aa!B:R,17,0)</f>
        <v>#N/A</v>
      </c>
      <c r="K234" s="50" t="s">
        <v>2193</v>
      </c>
      <c r="L234" s="50">
        <v>400000</v>
      </c>
      <c r="M234" s="50">
        <v>472000</v>
      </c>
      <c r="N234" s="50">
        <v>0</v>
      </c>
      <c r="O234" s="50">
        <v>466</v>
      </c>
      <c r="P234" s="50" t="s">
        <v>102</v>
      </c>
      <c r="Q234" s="50">
        <v>0</v>
      </c>
      <c r="R234" s="50">
        <v>0</v>
      </c>
      <c r="S234" s="50" t="s">
        <v>102</v>
      </c>
      <c r="T234" s="50">
        <v>0</v>
      </c>
      <c r="U234" s="50">
        <v>0</v>
      </c>
      <c r="V234" s="50" t="s">
        <v>102</v>
      </c>
      <c r="W234" s="50" t="s">
        <v>2195</v>
      </c>
      <c r="X234" s="50" t="s">
        <v>103</v>
      </c>
      <c r="Y234" s="50" t="s">
        <v>2196</v>
      </c>
      <c r="Z234" s="50" t="s">
        <v>12023</v>
      </c>
      <c r="AA234" s="50" t="s">
        <v>13159</v>
      </c>
      <c r="AB234" s="50" t="s">
        <v>102</v>
      </c>
      <c r="AC234" s="50" t="s">
        <v>13160</v>
      </c>
      <c r="AD234" s="50" t="s">
        <v>102</v>
      </c>
      <c r="AE234" s="50" t="s">
        <v>13161</v>
      </c>
      <c r="AF234" s="50" t="s">
        <v>102</v>
      </c>
      <c r="AG234" s="50" t="s">
        <v>12764</v>
      </c>
      <c r="AH234" s="50" t="s">
        <v>102</v>
      </c>
      <c r="AI234" s="50" t="s">
        <v>102</v>
      </c>
      <c r="AJ234" s="50" t="s">
        <v>12023</v>
      </c>
      <c r="AK234" s="50" t="s">
        <v>12023</v>
      </c>
      <c r="AL234" s="50" t="s">
        <v>2195</v>
      </c>
      <c r="AM234" s="50" t="s">
        <v>102</v>
      </c>
      <c r="AN234" s="50" t="s">
        <v>2195</v>
      </c>
      <c r="AO234" s="50" t="s">
        <v>2202</v>
      </c>
      <c r="AP234" s="50" t="s">
        <v>2202</v>
      </c>
      <c r="AQ234" s="50" t="s">
        <v>102</v>
      </c>
      <c r="AR234" s="50" t="s">
        <v>102</v>
      </c>
      <c r="AS234" s="50" t="s">
        <v>102</v>
      </c>
      <c r="AT234" s="50" t="s">
        <v>102</v>
      </c>
      <c r="AU234" s="50" t="s">
        <v>247</v>
      </c>
      <c r="AV234" s="50" t="s">
        <v>118</v>
      </c>
      <c r="AW234" s="50" t="s">
        <v>102</v>
      </c>
      <c r="AX234" s="50" t="s">
        <v>119</v>
      </c>
      <c r="BB234" s="50" t="s">
        <v>120</v>
      </c>
      <c r="BC234" s="50" t="s">
        <v>1407</v>
      </c>
      <c r="BD234" s="50" t="s">
        <v>449</v>
      </c>
      <c r="BE234" s="50" t="s">
        <v>122</v>
      </c>
      <c r="BF234" s="50" t="s">
        <v>4256</v>
      </c>
      <c r="BG234" s="50" t="s">
        <v>124</v>
      </c>
      <c r="BH234" s="50" t="s">
        <v>12023</v>
      </c>
      <c r="BI234" s="50" t="s">
        <v>13162</v>
      </c>
      <c r="BJ234" s="50" t="s">
        <v>2207</v>
      </c>
      <c r="BK234" s="50" t="s">
        <v>19028</v>
      </c>
      <c r="BL234" s="50" t="s">
        <v>9948</v>
      </c>
      <c r="BM234" s="50" t="s">
        <v>19029</v>
      </c>
      <c r="BN234" s="50" t="s">
        <v>13159</v>
      </c>
      <c r="BO234" s="50" t="s">
        <v>2766</v>
      </c>
      <c r="BP234" s="50" t="s">
        <v>3064</v>
      </c>
      <c r="BQ234" s="50" t="s">
        <v>2213</v>
      </c>
      <c r="BR234" s="50" t="s">
        <v>2214</v>
      </c>
      <c r="BS234" s="50" t="s">
        <v>2215</v>
      </c>
      <c r="BT234" s="50" t="s">
        <v>2216</v>
      </c>
      <c r="BU234" s="50" t="s">
        <v>19030</v>
      </c>
      <c r="BV234" s="50" t="s">
        <v>19031</v>
      </c>
      <c r="BW234" s="50" t="s">
        <v>138</v>
      </c>
      <c r="BX234" s="50" t="s">
        <v>225</v>
      </c>
      <c r="BY234" s="50" t="s">
        <v>19032</v>
      </c>
      <c r="BZ234" s="50" t="s">
        <v>9952</v>
      </c>
      <c r="CA234" s="50" t="s">
        <v>19031</v>
      </c>
      <c r="CB234" s="50" t="s">
        <v>19033</v>
      </c>
      <c r="CC234" s="50" t="s">
        <v>19032</v>
      </c>
      <c r="CD234" s="50" t="s">
        <v>19034</v>
      </c>
      <c r="CE234" s="50" t="s">
        <v>19033</v>
      </c>
      <c r="CF234" s="50" t="s">
        <v>19035</v>
      </c>
      <c r="CG234" s="50" t="s">
        <v>3068</v>
      </c>
      <c r="CH234" s="50" t="s">
        <v>9953</v>
      </c>
      <c r="CJ234" s="50" t="s">
        <v>7810</v>
      </c>
      <c r="CK234" s="50" t="s">
        <v>9953</v>
      </c>
      <c r="CL234" s="50" t="s">
        <v>1407</v>
      </c>
      <c r="CM234" s="50" t="s">
        <v>449</v>
      </c>
      <c r="CN234" s="50" t="s">
        <v>7810</v>
      </c>
      <c r="CP234" s="50" t="s">
        <v>9953</v>
      </c>
      <c r="CQ234" s="50" t="s">
        <v>9953</v>
      </c>
    </row>
    <row r="235" spans="1:96">
      <c r="A235" s="50" t="s">
        <v>93</v>
      </c>
      <c r="B235" s="50">
        <v>5018233</v>
      </c>
      <c r="C235" s="50" t="s">
        <v>13158</v>
      </c>
      <c r="D235" s="50" t="s">
        <v>10630</v>
      </c>
      <c r="E235" s="50" t="e">
        <f>VLOOKUP(B235,aa!B:F,5,0)</f>
        <v>#N/A</v>
      </c>
      <c r="F235" s="50" t="e">
        <f>VLOOKUP(B235,aa!B:J,9,0)</f>
        <v>#N/A</v>
      </c>
      <c r="G235" s="50" t="e">
        <f>VLOOKUP(B235,aa!B:L,11,0)</f>
        <v>#N/A</v>
      </c>
      <c r="H235" s="50" t="e">
        <f>VLOOKUP(B235,aa!B:O,14,0)</f>
        <v>#N/A</v>
      </c>
      <c r="I235" s="50" t="e">
        <f>VLOOKUP(B235,aa!B:R,17,0)</f>
        <v>#N/A</v>
      </c>
      <c r="K235" s="50" t="s">
        <v>2193</v>
      </c>
      <c r="L235" s="50">
        <v>400000</v>
      </c>
      <c r="M235" s="50">
        <v>472000</v>
      </c>
      <c r="N235" s="50">
        <v>0</v>
      </c>
      <c r="O235" s="50">
        <v>1500</v>
      </c>
      <c r="P235" s="50" t="s">
        <v>102</v>
      </c>
      <c r="Q235" s="50">
        <v>0</v>
      </c>
      <c r="R235" s="50">
        <v>0</v>
      </c>
      <c r="S235" s="50" t="s">
        <v>102</v>
      </c>
      <c r="T235" s="50">
        <v>0</v>
      </c>
      <c r="U235" s="50">
        <v>0</v>
      </c>
      <c r="V235" s="50" t="s">
        <v>102</v>
      </c>
      <c r="W235" s="50" t="s">
        <v>2195</v>
      </c>
      <c r="X235" s="50" t="s">
        <v>103</v>
      </c>
      <c r="Y235" s="50" t="s">
        <v>2196</v>
      </c>
      <c r="Z235" s="50" t="s">
        <v>12023</v>
      </c>
      <c r="AA235" s="50" t="s">
        <v>13159</v>
      </c>
      <c r="AB235" s="50" t="s">
        <v>102</v>
      </c>
      <c r="AC235" s="50" t="s">
        <v>13160</v>
      </c>
      <c r="AD235" s="50" t="s">
        <v>102</v>
      </c>
      <c r="AE235" s="50" t="s">
        <v>13161</v>
      </c>
      <c r="AF235" s="50" t="s">
        <v>102</v>
      </c>
      <c r="AG235" s="50" t="s">
        <v>12764</v>
      </c>
      <c r="AH235" s="50" t="s">
        <v>102</v>
      </c>
      <c r="AI235" s="50" t="s">
        <v>102</v>
      </c>
      <c r="AJ235" s="50" t="s">
        <v>12023</v>
      </c>
      <c r="AK235" s="50" t="s">
        <v>12023</v>
      </c>
      <c r="AL235" s="50" t="s">
        <v>2195</v>
      </c>
      <c r="AM235" s="50" t="s">
        <v>102</v>
      </c>
      <c r="AN235" s="50" t="s">
        <v>2195</v>
      </c>
      <c r="AO235" s="50" t="s">
        <v>2202</v>
      </c>
      <c r="AP235" s="50" t="s">
        <v>2202</v>
      </c>
      <c r="AQ235" s="50" t="s">
        <v>102</v>
      </c>
      <c r="AR235" s="50" t="s">
        <v>102</v>
      </c>
      <c r="AS235" s="50" t="s">
        <v>102</v>
      </c>
      <c r="AT235" s="50" t="s">
        <v>102</v>
      </c>
      <c r="AU235" s="50" t="s">
        <v>247</v>
      </c>
      <c r="AV235" s="50" t="s">
        <v>118</v>
      </c>
      <c r="AW235" s="50" t="s">
        <v>102</v>
      </c>
      <c r="AX235" s="50" t="s">
        <v>119</v>
      </c>
      <c r="BB235" s="50" t="s">
        <v>120</v>
      </c>
      <c r="BC235" s="50" t="s">
        <v>1407</v>
      </c>
      <c r="BD235" s="50" t="s">
        <v>449</v>
      </c>
      <c r="BE235" s="50" t="s">
        <v>122</v>
      </c>
      <c r="BF235" s="50" t="s">
        <v>4256</v>
      </c>
      <c r="BG235" s="50" t="s">
        <v>124</v>
      </c>
      <c r="BH235" s="50" t="s">
        <v>12023</v>
      </c>
      <c r="BI235" s="50" t="s">
        <v>13162</v>
      </c>
      <c r="BJ235" s="50" t="s">
        <v>2207</v>
      </c>
      <c r="BK235" s="50" t="s">
        <v>19538</v>
      </c>
      <c r="BL235" s="50" t="s">
        <v>10639</v>
      </c>
      <c r="BM235" s="50" t="s">
        <v>19539</v>
      </c>
      <c r="BN235" s="50" t="s">
        <v>13159</v>
      </c>
      <c r="BO235" s="50" t="s">
        <v>2766</v>
      </c>
      <c r="BP235" s="50" t="s">
        <v>3064</v>
      </c>
      <c r="BQ235" s="50" t="s">
        <v>2213</v>
      </c>
      <c r="BR235" s="50" t="s">
        <v>2214</v>
      </c>
      <c r="BS235" s="50" t="s">
        <v>2215</v>
      </c>
      <c r="BT235" s="50" t="s">
        <v>2216</v>
      </c>
      <c r="BU235" s="50" t="s">
        <v>19540</v>
      </c>
      <c r="BV235" s="50" t="s">
        <v>10642</v>
      </c>
      <c r="BW235" s="50" t="s">
        <v>138</v>
      </c>
      <c r="BX235" s="50" t="s">
        <v>225</v>
      </c>
      <c r="BY235" s="50" t="s">
        <v>19541</v>
      </c>
      <c r="BZ235" s="50" t="s">
        <v>10643</v>
      </c>
      <c r="CA235" s="50" t="s">
        <v>10642</v>
      </c>
      <c r="CB235" s="50" t="s">
        <v>19542</v>
      </c>
      <c r="CC235" s="50" t="s">
        <v>19541</v>
      </c>
      <c r="CD235" s="50" t="s">
        <v>19543</v>
      </c>
      <c r="CE235" s="50" t="s">
        <v>19542</v>
      </c>
      <c r="CF235" s="50" t="s">
        <v>19541</v>
      </c>
      <c r="CG235" s="50" t="s">
        <v>9365</v>
      </c>
      <c r="CH235" s="50" t="s">
        <v>10644</v>
      </c>
      <c r="CJ235" s="50" t="s">
        <v>3786</v>
      </c>
      <c r="CK235" s="50" t="s">
        <v>10644</v>
      </c>
      <c r="CL235" s="50" t="s">
        <v>1407</v>
      </c>
      <c r="CM235" s="50" t="s">
        <v>449</v>
      </c>
      <c r="CN235" s="50" t="s">
        <v>3786</v>
      </c>
      <c r="CP235" s="50" t="s">
        <v>10644</v>
      </c>
      <c r="CQ235" s="50" t="s">
        <v>10644</v>
      </c>
    </row>
    <row r="236" spans="1:96">
      <c r="A236" s="50" t="s">
        <v>93</v>
      </c>
      <c r="B236" s="50">
        <v>5018234</v>
      </c>
      <c r="C236" s="50" t="s">
        <v>13158</v>
      </c>
      <c r="D236" s="50" t="s">
        <v>10645</v>
      </c>
      <c r="E236" s="50" t="e">
        <f>VLOOKUP(B236,aa!B:F,5,0)</f>
        <v>#N/A</v>
      </c>
      <c r="F236" s="50" t="e">
        <f>VLOOKUP(B236,aa!B:J,9,0)</f>
        <v>#N/A</v>
      </c>
      <c r="G236" s="50" t="e">
        <f>VLOOKUP(B236,aa!B:L,11,0)</f>
        <v>#N/A</v>
      </c>
      <c r="H236" s="50" t="e">
        <f>VLOOKUP(B236,aa!B:O,14,0)</f>
        <v>#N/A</v>
      </c>
      <c r="I236" s="50" t="e">
        <f>VLOOKUP(B236,aa!B:R,17,0)</f>
        <v>#N/A</v>
      </c>
      <c r="K236" s="50" t="s">
        <v>2193</v>
      </c>
      <c r="L236" s="50">
        <v>400000</v>
      </c>
      <c r="M236" s="50">
        <v>472000</v>
      </c>
      <c r="N236" s="50">
        <v>0</v>
      </c>
      <c r="O236" s="50">
        <v>1273</v>
      </c>
      <c r="P236" s="50" t="s">
        <v>102</v>
      </c>
      <c r="Q236" s="50">
        <v>0</v>
      </c>
      <c r="R236" s="50">
        <v>0</v>
      </c>
      <c r="S236" s="50" t="s">
        <v>102</v>
      </c>
      <c r="T236" s="50">
        <v>0</v>
      </c>
      <c r="U236" s="50">
        <v>0</v>
      </c>
      <c r="V236" s="50" t="s">
        <v>102</v>
      </c>
      <c r="W236" s="50" t="s">
        <v>2195</v>
      </c>
      <c r="X236" s="50" t="s">
        <v>103</v>
      </c>
      <c r="Y236" s="50" t="s">
        <v>2196</v>
      </c>
      <c r="Z236" s="50" t="s">
        <v>12023</v>
      </c>
      <c r="AA236" s="50" t="s">
        <v>13159</v>
      </c>
      <c r="AB236" s="50" t="s">
        <v>102</v>
      </c>
      <c r="AC236" s="50" t="s">
        <v>13160</v>
      </c>
      <c r="AD236" s="50" t="s">
        <v>102</v>
      </c>
      <c r="AE236" s="50" t="s">
        <v>13161</v>
      </c>
      <c r="AF236" s="50" t="s">
        <v>102</v>
      </c>
      <c r="AG236" s="50" t="s">
        <v>12764</v>
      </c>
      <c r="AH236" s="50" t="s">
        <v>102</v>
      </c>
      <c r="AI236" s="50" t="s">
        <v>102</v>
      </c>
      <c r="AJ236" s="50" t="s">
        <v>12023</v>
      </c>
      <c r="AK236" s="50" t="s">
        <v>12023</v>
      </c>
      <c r="AL236" s="50" t="s">
        <v>2195</v>
      </c>
      <c r="AM236" s="50" t="s">
        <v>102</v>
      </c>
      <c r="AN236" s="50" t="s">
        <v>2195</v>
      </c>
      <c r="AO236" s="50" t="s">
        <v>2202</v>
      </c>
      <c r="AP236" s="50" t="s">
        <v>2202</v>
      </c>
      <c r="AQ236" s="50" t="s">
        <v>102</v>
      </c>
      <c r="AR236" s="50" t="s">
        <v>102</v>
      </c>
      <c r="AS236" s="50" t="s">
        <v>102</v>
      </c>
      <c r="AT236" s="50" t="s">
        <v>102</v>
      </c>
      <c r="AU236" s="50" t="s">
        <v>247</v>
      </c>
      <c r="AV236" s="50" t="s">
        <v>118</v>
      </c>
      <c r="AW236" s="50" t="s">
        <v>102</v>
      </c>
      <c r="AX236" s="50" t="s">
        <v>119</v>
      </c>
      <c r="BB236" s="50" t="s">
        <v>120</v>
      </c>
      <c r="BC236" s="50" t="s">
        <v>4864</v>
      </c>
      <c r="BD236" s="50" t="s">
        <v>621</v>
      </c>
      <c r="BE236" s="50" t="s">
        <v>10651</v>
      </c>
      <c r="BF236" s="50" t="s">
        <v>10652</v>
      </c>
      <c r="BG236" s="50" t="s">
        <v>124</v>
      </c>
      <c r="BH236" s="50" t="s">
        <v>12023</v>
      </c>
      <c r="BI236" s="50" t="s">
        <v>13162</v>
      </c>
      <c r="BJ236" s="50" t="s">
        <v>2207</v>
      </c>
      <c r="BK236" s="50" t="s">
        <v>19544</v>
      </c>
      <c r="BL236" s="50" t="s">
        <v>10656</v>
      </c>
      <c r="BM236" s="50" t="s">
        <v>19545</v>
      </c>
      <c r="BN236" s="50" t="s">
        <v>13159</v>
      </c>
      <c r="BO236" s="50" t="s">
        <v>2766</v>
      </c>
      <c r="BP236" s="50" t="s">
        <v>3064</v>
      </c>
      <c r="BQ236" s="50" t="s">
        <v>2213</v>
      </c>
      <c r="BR236" s="50" t="s">
        <v>2214</v>
      </c>
      <c r="BS236" s="50" t="s">
        <v>2215</v>
      </c>
      <c r="BT236" s="50" t="s">
        <v>2216</v>
      </c>
      <c r="BU236" s="50" t="s">
        <v>19546</v>
      </c>
      <c r="BV236" s="50" t="s">
        <v>19547</v>
      </c>
      <c r="BW236" s="50" t="s">
        <v>138</v>
      </c>
      <c r="BX236" s="50" t="s">
        <v>225</v>
      </c>
      <c r="BY236" s="50" t="s">
        <v>19548</v>
      </c>
      <c r="BZ236" s="50" t="s">
        <v>10660</v>
      </c>
      <c r="CA236" s="50" t="s">
        <v>19547</v>
      </c>
      <c r="CB236" s="50" t="s">
        <v>10660</v>
      </c>
      <c r="CC236" s="50" t="s">
        <v>19548</v>
      </c>
      <c r="CD236" s="50" t="s">
        <v>19549</v>
      </c>
      <c r="CE236" s="50" t="s">
        <v>10660</v>
      </c>
      <c r="CF236" s="50" t="s">
        <v>19548</v>
      </c>
      <c r="CG236" s="50" t="s">
        <v>10661</v>
      </c>
      <c r="CH236" s="50" t="s">
        <v>19550</v>
      </c>
      <c r="CJ236" s="50" t="s">
        <v>5937</v>
      </c>
      <c r="CK236" s="50" t="s">
        <v>19551</v>
      </c>
      <c r="CL236" s="50" t="s">
        <v>4864</v>
      </c>
      <c r="CM236" s="50" t="s">
        <v>621</v>
      </c>
      <c r="CN236" s="50" t="s">
        <v>5937</v>
      </c>
      <c r="CP236" s="50" t="s">
        <v>10662</v>
      </c>
      <c r="CQ236" s="50" t="s">
        <v>10663</v>
      </c>
    </row>
    <row r="237" spans="1:96">
      <c r="A237" s="50" t="s">
        <v>149</v>
      </c>
      <c r="B237" s="50">
        <v>810367</v>
      </c>
      <c r="C237" s="50" t="s">
        <v>11882</v>
      </c>
      <c r="D237" s="50" t="s">
        <v>11699</v>
      </c>
      <c r="E237" s="50" t="str">
        <f>VLOOKUP(B237,aa!B:F,5,0)</f>
        <v>Ei Mindspark</v>
      </c>
      <c r="F237" s="50">
        <f>VLOOKUP(B237,aa!B:J,9,0)</f>
        <v>223028</v>
      </c>
      <c r="G237" s="50">
        <f>VLOOKUP(B237,aa!B:L,11,0)</f>
        <v>0</v>
      </c>
      <c r="H237" s="50">
        <f>VLOOKUP(B237,aa!B:O,14,0)</f>
        <v>0</v>
      </c>
      <c r="I237" s="50">
        <f>VLOOKUP(B237,aa!B:R,17,0)</f>
        <v>223028</v>
      </c>
      <c r="K237" s="50" t="s">
        <v>848</v>
      </c>
      <c r="L237" s="50">
        <v>184652</v>
      </c>
      <c r="M237" s="50">
        <v>217889</v>
      </c>
      <c r="N237" s="50">
        <v>0</v>
      </c>
      <c r="O237" s="50">
        <v>0</v>
      </c>
      <c r="Q237" s="50">
        <v>0</v>
      </c>
      <c r="R237" s="50">
        <v>0</v>
      </c>
      <c r="T237" s="50">
        <v>184652</v>
      </c>
      <c r="U237" s="50">
        <v>77</v>
      </c>
      <c r="V237" s="50" t="s">
        <v>14168</v>
      </c>
      <c r="W237" s="50" t="s">
        <v>102</v>
      </c>
      <c r="X237" s="50" t="s">
        <v>679</v>
      </c>
      <c r="Y237" s="50" t="s">
        <v>155</v>
      </c>
      <c r="Z237" s="50" t="s">
        <v>21515</v>
      </c>
      <c r="AA237" s="50" t="s">
        <v>21516</v>
      </c>
      <c r="AB237" s="50" t="s">
        <v>21517</v>
      </c>
      <c r="AC237" s="50" t="s">
        <v>12570</v>
      </c>
      <c r="AD237" s="50" t="s">
        <v>21517</v>
      </c>
      <c r="AE237" s="50" t="s">
        <v>12571</v>
      </c>
      <c r="AF237" s="50" t="s">
        <v>21517</v>
      </c>
      <c r="AG237" s="50" t="s">
        <v>12595</v>
      </c>
      <c r="AH237" s="50" t="s">
        <v>21517</v>
      </c>
      <c r="AI237" s="50" t="s">
        <v>21518</v>
      </c>
      <c r="AJ237" s="50" t="s">
        <v>13496</v>
      </c>
      <c r="AK237" s="50" t="s">
        <v>6895</v>
      </c>
      <c r="AL237" s="50" t="s">
        <v>21519</v>
      </c>
      <c r="AM237" s="50" t="s">
        <v>21520</v>
      </c>
      <c r="AN237" s="50" t="s">
        <v>21521</v>
      </c>
      <c r="AO237" s="50" t="s">
        <v>14174</v>
      </c>
      <c r="AP237" s="50" t="s">
        <v>14175</v>
      </c>
      <c r="AT237" s="50" t="s">
        <v>169</v>
      </c>
      <c r="AU237" s="50" t="s">
        <v>102</v>
      </c>
      <c r="AW237" s="50" t="s">
        <v>102</v>
      </c>
      <c r="AX237" s="50" t="s">
        <v>119</v>
      </c>
      <c r="BA237" s="50" t="s">
        <v>250</v>
      </c>
      <c r="BB237" s="50" t="s">
        <v>120</v>
      </c>
      <c r="BC237" s="50" t="s">
        <v>2840</v>
      </c>
      <c r="BD237" s="50" t="s">
        <v>449</v>
      </c>
      <c r="BE237" s="50" t="s">
        <v>122</v>
      </c>
      <c r="BF237" s="50" t="s">
        <v>253</v>
      </c>
      <c r="BG237" s="50" t="s">
        <v>124</v>
      </c>
      <c r="BH237" s="50" t="s">
        <v>21514</v>
      </c>
      <c r="BI237" s="50" t="s">
        <v>11889</v>
      </c>
      <c r="BJ237" s="50" t="s">
        <v>127</v>
      </c>
      <c r="BK237" s="50" t="s">
        <v>21522</v>
      </c>
      <c r="BL237" s="50" t="s">
        <v>11706</v>
      </c>
      <c r="BM237" s="50" t="s">
        <v>21523</v>
      </c>
      <c r="BN237" s="50" t="s">
        <v>21514</v>
      </c>
      <c r="BO237" s="50" t="s">
        <v>3267</v>
      </c>
      <c r="BP237" s="50" t="s">
        <v>350</v>
      </c>
      <c r="BQ237" s="50" t="s">
        <v>3268</v>
      </c>
      <c r="BR237" s="50" t="s">
        <v>3269</v>
      </c>
      <c r="BS237" s="50" t="s">
        <v>135</v>
      </c>
      <c r="BU237" s="50" t="s">
        <v>21524</v>
      </c>
      <c r="BV237" s="50" t="s">
        <v>14179</v>
      </c>
      <c r="BW237" s="50" t="s">
        <v>9092</v>
      </c>
      <c r="BX237" s="50" t="s">
        <v>14180</v>
      </c>
      <c r="BY237" s="50" t="s">
        <v>3633</v>
      </c>
      <c r="BZ237" s="50" t="s">
        <v>11709</v>
      </c>
      <c r="CA237" s="50" t="s">
        <v>21525</v>
      </c>
      <c r="CB237" s="50" t="s">
        <v>21526</v>
      </c>
      <c r="CC237" s="50" t="s">
        <v>21527</v>
      </c>
      <c r="CD237" s="50" t="s">
        <v>21525</v>
      </c>
      <c r="CE237" s="50" t="s">
        <v>21526</v>
      </c>
      <c r="CF237" s="50" t="s">
        <v>21527</v>
      </c>
      <c r="CG237" s="50" t="s">
        <v>102</v>
      </c>
      <c r="CH237" s="50" t="s">
        <v>21528</v>
      </c>
      <c r="CJ237" s="50" t="s">
        <v>5951</v>
      </c>
      <c r="CL237" s="50" t="s">
        <v>2840</v>
      </c>
      <c r="CM237" s="50" t="s">
        <v>449</v>
      </c>
      <c r="CN237" s="50" t="s">
        <v>5951</v>
      </c>
      <c r="CO237" s="50" t="s">
        <v>3637</v>
      </c>
      <c r="CP237" s="50" t="s">
        <v>11710</v>
      </c>
      <c r="CQ237" s="50" t="s">
        <v>11710</v>
      </c>
    </row>
    <row r="238" spans="1:96">
      <c r="A238" s="50" t="s">
        <v>93</v>
      </c>
      <c r="B238" s="50">
        <v>158773</v>
      </c>
      <c r="C238" s="50" t="s">
        <v>293</v>
      </c>
      <c r="D238" s="50" t="s">
        <v>12657</v>
      </c>
      <c r="E238" s="50" t="e">
        <f>VLOOKUP(B238,aa!B:F,5,0)</f>
        <v>#N/A</v>
      </c>
      <c r="F238" s="50" t="e">
        <f>VLOOKUP(B238,aa!B:J,9,0)</f>
        <v>#N/A</v>
      </c>
      <c r="G238" s="50" t="e">
        <f>VLOOKUP(B238,aa!B:L,11,0)</f>
        <v>#N/A</v>
      </c>
      <c r="H238" s="50" t="e">
        <f>VLOOKUP(B238,aa!B:O,14,0)</f>
        <v>#N/A</v>
      </c>
      <c r="I238" s="50" t="e">
        <f>VLOOKUP(B238,aa!B:R,17,0)</f>
        <v>#N/A</v>
      </c>
      <c r="K238" s="50" t="s">
        <v>97</v>
      </c>
      <c r="L238" s="50">
        <v>241372</v>
      </c>
      <c r="M238" s="50">
        <v>241372</v>
      </c>
      <c r="N238" s="50">
        <v>241372</v>
      </c>
      <c r="O238" s="50">
        <v>284</v>
      </c>
      <c r="P238" s="50" t="s">
        <v>2105</v>
      </c>
      <c r="Q238" s="50">
        <v>0</v>
      </c>
      <c r="R238" s="50">
        <v>0</v>
      </c>
      <c r="T238" s="50">
        <v>0</v>
      </c>
      <c r="U238" s="50">
        <v>0</v>
      </c>
      <c r="W238" s="50" t="s">
        <v>102</v>
      </c>
      <c r="X238" s="50" t="s">
        <v>103</v>
      </c>
      <c r="Y238" s="50" t="s">
        <v>104</v>
      </c>
      <c r="AA238" s="50" t="s">
        <v>12128</v>
      </c>
      <c r="AB238" s="50" t="s">
        <v>12658</v>
      </c>
      <c r="AC238" s="50" t="s">
        <v>12082</v>
      </c>
      <c r="AD238" s="50" t="s">
        <v>12658</v>
      </c>
      <c r="AE238" s="50" t="s">
        <v>109</v>
      </c>
      <c r="AF238" s="50" t="s">
        <v>102</v>
      </c>
      <c r="AG238" s="50" t="s">
        <v>109</v>
      </c>
      <c r="AH238" s="50" t="s">
        <v>102</v>
      </c>
      <c r="AI238" s="50" t="s">
        <v>102</v>
      </c>
      <c r="AJ238" s="50" t="s">
        <v>12659</v>
      </c>
      <c r="AK238" s="50" t="s">
        <v>12427</v>
      </c>
      <c r="AL238" s="50" t="s">
        <v>12660</v>
      </c>
      <c r="AM238" s="50" t="s">
        <v>12661</v>
      </c>
      <c r="AN238" s="50" t="s">
        <v>12662</v>
      </c>
      <c r="AO238" s="50" t="s">
        <v>2111</v>
      </c>
      <c r="AP238" s="50" t="s">
        <v>12663</v>
      </c>
      <c r="AT238" s="50" t="s">
        <v>169</v>
      </c>
      <c r="AU238" s="50" t="s">
        <v>318</v>
      </c>
      <c r="AV238" s="50" t="s">
        <v>118</v>
      </c>
      <c r="AW238" s="50" t="s">
        <v>102</v>
      </c>
      <c r="AX238" s="50" t="s">
        <v>119</v>
      </c>
      <c r="BB238" s="50" t="s">
        <v>171</v>
      </c>
      <c r="BC238" s="50" t="s">
        <v>920</v>
      </c>
      <c r="BD238" s="50" t="s">
        <v>211</v>
      </c>
      <c r="BE238" s="50" t="s">
        <v>212</v>
      </c>
      <c r="BF238" s="50" t="s">
        <v>213</v>
      </c>
      <c r="BG238" s="50" t="s">
        <v>124</v>
      </c>
      <c r="BH238" s="50" t="s">
        <v>12128</v>
      </c>
      <c r="BI238" s="50" t="s">
        <v>12435</v>
      </c>
      <c r="BJ238" s="50" t="s">
        <v>127</v>
      </c>
      <c r="BK238" s="50" t="s">
        <v>12664</v>
      </c>
      <c r="BL238" s="50" t="s">
        <v>1307</v>
      </c>
      <c r="BM238" s="50" t="s">
        <v>12665</v>
      </c>
      <c r="BN238" s="50" t="s">
        <v>6341</v>
      </c>
      <c r="BO238" s="50" t="s">
        <v>1309</v>
      </c>
      <c r="BP238" s="50" t="s">
        <v>180</v>
      </c>
      <c r="BQ238" s="50" t="s">
        <v>1310</v>
      </c>
      <c r="BR238" s="50" t="s">
        <v>1311</v>
      </c>
      <c r="BS238" s="50" t="s">
        <v>1312</v>
      </c>
      <c r="BU238" s="50" t="s">
        <v>12666</v>
      </c>
      <c r="BV238" s="50" t="s">
        <v>1314</v>
      </c>
      <c r="BW238" s="50" t="s">
        <v>138</v>
      </c>
      <c r="BX238" s="50" t="s">
        <v>12667</v>
      </c>
      <c r="BY238" s="50" t="s">
        <v>1316</v>
      </c>
      <c r="BZ238" s="50" t="s">
        <v>1315</v>
      </c>
      <c r="CA238" s="50" t="s">
        <v>1314</v>
      </c>
      <c r="CB238" s="50" t="s">
        <v>12667</v>
      </c>
      <c r="CC238" s="50" t="s">
        <v>1316</v>
      </c>
      <c r="CD238" s="50" t="s">
        <v>12668</v>
      </c>
      <c r="CE238" s="50" t="s">
        <v>12669</v>
      </c>
      <c r="CF238" s="50" t="s">
        <v>12670</v>
      </c>
      <c r="CG238" s="50" t="s">
        <v>1317</v>
      </c>
      <c r="CH238" s="50" t="s">
        <v>12671</v>
      </c>
      <c r="CJ238" s="50" t="s">
        <v>1319</v>
      </c>
      <c r="CK238" s="50" t="s">
        <v>1318</v>
      </c>
      <c r="CL238" s="50" t="s">
        <v>920</v>
      </c>
      <c r="CM238" s="50" t="s">
        <v>211</v>
      </c>
      <c r="CN238" s="50" t="s">
        <v>1319</v>
      </c>
      <c r="CP238" s="50" t="s">
        <v>1318</v>
      </c>
      <c r="CQ238" s="50" t="s">
        <v>1318</v>
      </c>
      <c r="CR238" s="50" t="s">
        <v>26042</v>
      </c>
    </row>
    <row r="239" spans="1:96">
      <c r="A239" s="50" t="s">
        <v>149</v>
      </c>
      <c r="B239" s="50">
        <v>2496983</v>
      </c>
      <c r="C239" s="50" t="s">
        <v>12423</v>
      </c>
      <c r="D239" s="50" t="s">
        <v>3725</v>
      </c>
      <c r="E239" s="50" t="e">
        <f>VLOOKUP(B239,aa!B:F,5,0)</f>
        <v>#N/A</v>
      </c>
      <c r="F239" s="50" t="e">
        <f>VLOOKUP(B239,aa!B:J,9,0)</f>
        <v>#N/A</v>
      </c>
      <c r="G239" s="50" t="e">
        <f>VLOOKUP(B239,aa!B:L,11,0)</f>
        <v>#N/A</v>
      </c>
      <c r="H239" s="50" t="e">
        <f>VLOOKUP(B239,aa!B:O,14,0)</f>
        <v>#N/A</v>
      </c>
      <c r="I239" s="50" t="e">
        <f>VLOOKUP(B239,aa!B:R,17,0)</f>
        <v>#N/A</v>
      </c>
      <c r="K239" s="50" t="s">
        <v>97</v>
      </c>
      <c r="L239" s="50">
        <v>412704</v>
      </c>
      <c r="M239" s="50">
        <v>412704</v>
      </c>
      <c r="N239" s="50">
        <v>412704</v>
      </c>
      <c r="O239" s="50">
        <v>483</v>
      </c>
      <c r="P239" s="50" t="s">
        <v>14234</v>
      </c>
      <c r="Q239" s="50">
        <v>0</v>
      </c>
      <c r="R239" s="50">
        <v>0</v>
      </c>
      <c r="T239" s="50">
        <v>0</v>
      </c>
      <c r="U239" s="50">
        <v>0</v>
      </c>
      <c r="W239" s="50" t="s">
        <v>102</v>
      </c>
      <c r="X239" s="50" t="s">
        <v>103</v>
      </c>
      <c r="Y239" s="50" t="s">
        <v>104</v>
      </c>
      <c r="AA239" s="50" t="s">
        <v>1165</v>
      </c>
      <c r="AB239" s="50" t="s">
        <v>14235</v>
      </c>
      <c r="AC239" s="50" t="s">
        <v>12888</v>
      </c>
      <c r="AD239" s="50" t="s">
        <v>14236</v>
      </c>
      <c r="AE239" s="50" t="s">
        <v>109</v>
      </c>
      <c r="AF239" s="50" t="s">
        <v>102</v>
      </c>
      <c r="AG239" s="50" t="s">
        <v>109</v>
      </c>
      <c r="AH239" s="50" t="s">
        <v>102</v>
      </c>
      <c r="AI239" s="50" t="s">
        <v>14237</v>
      </c>
      <c r="AJ239" s="50" t="s">
        <v>12020</v>
      </c>
      <c r="AK239" s="50" t="s">
        <v>14238</v>
      </c>
      <c r="AL239" s="50" t="s">
        <v>14239</v>
      </c>
      <c r="AM239" s="50" t="s">
        <v>14240</v>
      </c>
      <c r="AN239" s="50" t="s">
        <v>3579</v>
      </c>
      <c r="AO239" s="50" t="s">
        <v>14241</v>
      </c>
      <c r="AP239" s="50" t="s">
        <v>14241</v>
      </c>
      <c r="AU239" s="50" t="s">
        <v>318</v>
      </c>
      <c r="AV239" s="50" t="s">
        <v>118</v>
      </c>
      <c r="AW239" s="50" t="s">
        <v>102</v>
      </c>
      <c r="AX239" s="50" t="s">
        <v>119</v>
      </c>
      <c r="BB239" s="50" t="s">
        <v>120</v>
      </c>
      <c r="BC239" s="50" t="s">
        <v>3735</v>
      </c>
      <c r="BD239" s="50" t="s">
        <v>410</v>
      </c>
      <c r="BE239" s="50" t="s">
        <v>212</v>
      </c>
      <c r="BF239" s="50" t="s">
        <v>410</v>
      </c>
      <c r="BG239" s="50" t="s">
        <v>124</v>
      </c>
      <c r="BH239" s="50" t="s">
        <v>12082</v>
      </c>
      <c r="BI239" s="50" t="s">
        <v>11889</v>
      </c>
      <c r="BJ239" s="50" t="s">
        <v>127</v>
      </c>
      <c r="BK239" s="50" t="s">
        <v>14242</v>
      </c>
      <c r="BL239" s="50" t="s">
        <v>3737</v>
      </c>
      <c r="BM239" s="50" t="s">
        <v>14243</v>
      </c>
      <c r="BN239" s="50" t="s">
        <v>6341</v>
      </c>
      <c r="BO239" s="50" t="s">
        <v>866</v>
      </c>
      <c r="BP239" s="50" t="s">
        <v>132</v>
      </c>
      <c r="BQ239" s="50" t="s">
        <v>867</v>
      </c>
      <c r="BR239" s="50" t="s">
        <v>868</v>
      </c>
      <c r="BS239" s="50" t="s">
        <v>418</v>
      </c>
      <c r="BU239" s="50" t="s">
        <v>14244</v>
      </c>
      <c r="BV239" s="50" t="s">
        <v>3585</v>
      </c>
      <c r="BW239" s="50" t="s">
        <v>598</v>
      </c>
      <c r="BX239" s="50" t="s">
        <v>225</v>
      </c>
      <c r="BY239" s="50" t="s">
        <v>226</v>
      </c>
      <c r="BZ239" s="50" t="s">
        <v>3740</v>
      </c>
      <c r="CA239" s="50" t="s">
        <v>14245</v>
      </c>
      <c r="CB239" s="50" t="s">
        <v>3740</v>
      </c>
      <c r="CC239" s="50" t="s">
        <v>14246</v>
      </c>
      <c r="CD239" s="50" t="s">
        <v>14247</v>
      </c>
      <c r="CE239" s="50" t="s">
        <v>14248</v>
      </c>
      <c r="CF239" s="50" t="s">
        <v>14249</v>
      </c>
      <c r="CG239" s="50" t="s">
        <v>102</v>
      </c>
      <c r="CH239" s="50" t="s">
        <v>3741</v>
      </c>
      <c r="CJ239" s="50" t="s">
        <v>3742</v>
      </c>
      <c r="CL239" s="50" t="s">
        <v>3735</v>
      </c>
      <c r="CM239" s="50" t="s">
        <v>410</v>
      </c>
      <c r="CN239" s="50" t="s">
        <v>3742</v>
      </c>
      <c r="CO239" s="50" t="s">
        <v>3589</v>
      </c>
      <c r="CP239" s="50" t="s">
        <v>3741</v>
      </c>
      <c r="CQ239" s="50" t="s">
        <v>3741</v>
      </c>
      <c r="CR239" s="50" t="s">
        <v>26040</v>
      </c>
    </row>
    <row r="240" spans="1:96">
      <c r="A240" s="50" t="s">
        <v>149</v>
      </c>
      <c r="B240" s="50">
        <v>399475</v>
      </c>
      <c r="C240" s="50" t="s">
        <v>1111</v>
      </c>
      <c r="D240" s="50" t="s">
        <v>8271</v>
      </c>
      <c r="E240" s="50" t="str">
        <f>VLOOKUP(B240,aa!B:F,5,0)</f>
        <v>Ei CARES, Ei Mindspark</v>
      </c>
      <c r="F240" s="50">
        <f>VLOOKUP(B240,aa!B:J,9,0)</f>
        <v>3672288</v>
      </c>
      <c r="G240" s="50">
        <f>VLOOKUP(B240,aa!B:L,11,0)</f>
        <v>0</v>
      </c>
      <c r="H240" s="50">
        <f>VLOOKUP(B240,aa!B:O,14,0)</f>
        <v>1643002</v>
      </c>
      <c r="I240" s="50">
        <f>VLOOKUP(B240,aa!B:R,17,0)</f>
        <v>2029286</v>
      </c>
      <c r="K240" s="50" t="s">
        <v>643</v>
      </c>
      <c r="L240" s="50">
        <v>3557929</v>
      </c>
      <c r="M240" s="50">
        <v>3879508</v>
      </c>
      <c r="N240" s="50">
        <v>0</v>
      </c>
      <c r="O240" s="50">
        <v>0</v>
      </c>
      <c r="Q240" s="50">
        <v>1771381</v>
      </c>
      <c r="R240" s="50">
        <v>1684</v>
      </c>
      <c r="S240" s="50" t="s">
        <v>17645</v>
      </c>
      <c r="T240" s="50">
        <v>1786548</v>
      </c>
      <c r="U240" s="50">
        <v>1656</v>
      </c>
      <c r="V240" s="50" t="s">
        <v>14894</v>
      </c>
      <c r="W240" s="50" t="s">
        <v>102</v>
      </c>
      <c r="X240" s="50" t="s">
        <v>103</v>
      </c>
      <c r="Y240" s="50" t="s">
        <v>155</v>
      </c>
      <c r="AA240" s="50" t="s">
        <v>411</v>
      </c>
      <c r="AB240" s="50" t="s">
        <v>17646</v>
      </c>
      <c r="AC240" s="50" t="s">
        <v>11976</v>
      </c>
      <c r="AD240" s="50" t="s">
        <v>17646</v>
      </c>
      <c r="AE240" s="50" t="s">
        <v>11888</v>
      </c>
      <c r="AF240" s="50" t="s">
        <v>17646</v>
      </c>
      <c r="AG240" s="50" t="s">
        <v>11886</v>
      </c>
      <c r="AH240" s="50" t="s">
        <v>17646</v>
      </c>
      <c r="AI240" s="50" t="s">
        <v>17647</v>
      </c>
      <c r="AJ240" s="50" t="s">
        <v>17648</v>
      </c>
      <c r="AK240" s="50" t="s">
        <v>11902</v>
      </c>
      <c r="AL240" s="50" t="s">
        <v>17649</v>
      </c>
      <c r="AM240" s="50" t="s">
        <v>17650</v>
      </c>
      <c r="AN240" s="50" t="s">
        <v>17651</v>
      </c>
      <c r="AO240" s="50" t="s">
        <v>17652</v>
      </c>
      <c r="AP240" s="50" t="s">
        <v>17652</v>
      </c>
      <c r="AU240" s="50" t="s">
        <v>102</v>
      </c>
      <c r="AW240" s="50" t="s">
        <v>951</v>
      </c>
      <c r="AX240" s="50" t="s">
        <v>119</v>
      </c>
      <c r="AY240" s="50" t="s">
        <v>170</v>
      </c>
      <c r="AZ240" s="50" t="s">
        <v>118</v>
      </c>
      <c r="BA240" s="50" t="s">
        <v>250</v>
      </c>
      <c r="BB240" s="50" t="s">
        <v>120</v>
      </c>
      <c r="BC240" s="50" t="s">
        <v>4403</v>
      </c>
      <c r="BD240" s="50" t="s">
        <v>4404</v>
      </c>
      <c r="BE240" s="50" t="s">
        <v>174</v>
      </c>
      <c r="BF240" s="50" t="s">
        <v>4405</v>
      </c>
      <c r="BG240" s="50" t="s">
        <v>124</v>
      </c>
      <c r="BH240" s="50" t="s">
        <v>6341</v>
      </c>
      <c r="BI240" s="50" t="s">
        <v>12250</v>
      </c>
      <c r="BJ240" s="50" t="s">
        <v>127</v>
      </c>
      <c r="BK240" s="50" t="s">
        <v>17653</v>
      </c>
      <c r="BL240" s="50" t="s">
        <v>8284</v>
      </c>
      <c r="BM240" s="50" t="s">
        <v>17654</v>
      </c>
      <c r="BN240" s="50" t="s">
        <v>6341</v>
      </c>
      <c r="BO240" s="50" t="s">
        <v>1108</v>
      </c>
      <c r="BP240" s="50" t="s">
        <v>180</v>
      </c>
      <c r="BQ240" s="50" t="s">
        <v>1109</v>
      </c>
      <c r="BR240" s="50" t="s">
        <v>1110</v>
      </c>
      <c r="BS240" s="50" t="s">
        <v>1111</v>
      </c>
      <c r="BU240" s="50" t="s">
        <v>17655</v>
      </c>
      <c r="BV240" s="50" t="s">
        <v>17656</v>
      </c>
      <c r="BX240" s="50" t="s">
        <v>8290</v>
      </c>
      <c r="BY240" s="50" t="s">
        <v>8289</v>
      </c>
      <c r="BZ240" s="50" t="s">
        <v>8288</v>
      </c>
      <c r="CA240" s="50" t="s">
        <v>8287</v>
      </c>
      <c r="CB240" s="50" t="s">
        <v>8290</v>
      </c>
      <c r="CC240" s="50" t="s">
        <v>8289</v>
      </c>
      <c r="CD240" s="50" t="s">
        <v>17657</v>
      </c>
      <c r="CE240" s="50" t="s">
        <v>17658</v>
      </c>
      <c r="CF240" s="50" t="s">
        <v>17659</v>
      </c>
      <c r="CG240" s="50" t="s">
        <v>102</v>
      </c>
      <c r="CH240" s="50" t="s">
        <v>17660</v>
      </c>
      <c r="CJ240" s="50" t="s">
        <v>8295</v>
      </c>
      <c r="CL240" s="50" t="s">
        <v>4403</v>
      </c>
      <c r="CM240" s="50" t="s">
        <v>4404</v>
      </c>
      <c r="CN240" s="50" t="s">
        <v>8295</v>
      </c>
      <c r="CO240" s="50" t="s">
        <v>8296</v>
      </c>
      <c r="CP240" s="50" t="s">
        <v>8294</v>
      </c>
      <c r="CQ240" s="50" t="s">
        <v>8294</v>
      </c>
    </row>
    <row r="241" spans="1:96">
      <c r="A241" s="50" t="s">
        <v>149</v>
      </c>
      <c r="B241" s="50">
        <v>4166956</v>
      </c>
      <c r="C241" s="50" t="s">
        <v>12096</v>
      </c>
      <c r="D241" s="50" t="s">
        <v>8853</v>
      </c>
      <c r="E241" s="50" t="e">
        <f>VLOOKUP(B241,aa!B:F,5,0)</f>
        <v>#N/A</v>
      </c>
      <c r="F241" s="50" t="e">
        <f>VLOOKUP(B241,aa!B:J,9,0)</f>
        <v>#N/A</v>
      </c>
      <c r="G241" s="50" t="e">
        <f>VLOOKUP(B241,aa!B:L,11,0)</f>
        <v>#N/A</v>
      </c>
      <c r="H241" s="50" t="e">
        <f>VLOOKUP(B241,aa!B:O,14,0)</f>
        <v>#N/A</v>
      </c>
      <c r="I241" s="50" t="e">
        <f>VLOOKUP(B241,aa!B:R,17,0)</f>
        <v>#N/A</v>
      </c>
      <c r="K241" s="50" t="s">
        <v>848</v>
      </c>
      <c r="L241" s="50">
        <v>391291</v>
      </c>
      <c r="M241" s="50">
        <v>461723</v>
      </c>
      <c r="N241" s="50">
        <v>0</v>
      </c>
      <c r="O241" s="50">
        <v>0</v>
      </c>
      <c r="Q241" s="50">
        <v>0</v>
      </c>
      <c r="R241" s="50">
        <v>0</v>
      </c>
      <c r="T241" s="50">
        <v>391291</v>
      </c>
      <c r="U241" s="50">
        <v>171</v>
      </c>
      <c r="V241" s="50" t="s">
        <v>8855</v>
      </c>
      <c r="W241" s="50" t="s">
        <v>102</v>
      </c>
      <c r="X241" s="50" t="s">
        <v>103</v>
      </c>
      <c r="Y241" s="50" t="s">
        <v>155</v>
      </c>
      <c r="AA241" s="50" t="s">
        <v>1305</v>
      </c>
      <c r="AB241" s="50" t="s">
        <v>18262</v>
      </c>
      <c r="AC241" s="50" t="s">
        <v>13033</v>
      </c>
      <c r="AD241" s="50" t="s">
        <v>18262</v>
      </c>
      <c r="AE241" s="50" t="s">
        <v>13034</v>
      </c>
      <c r="AF241" s="50" t="s">
        <v>18262</v>
      </c>
      <c r="AG241" s="50" t="s">
        <v>11886</v>
      </c>
      <c r="AH241" s="50" t="s">
        <v>18262</v>
      </c>
      <c r="AI241" s="50" t="s">
        <v>102</v>
      </c>
      <c r="AJ241" s="50" t="s">
        <v>14272</v>
      </c>
      <c r="AK241" s="50" t="s">
        <v>17783</v>
      </c>
      <c r="AL241" s="50" t="s">
        <v>18263</v>
      </c>
      <c r="AM241" s="50" t="s">
        <v>18264</v>
      </c>
      <c r="AN241" s="50" t="s">
        <v>18265</v>
      </c>
      <c r="AO241" s="50" t="s">
        <v>15155</v>
      </c>
      <c r="AP241" s="50" t="s">
        <v>15155</v>
      </c>
      <c r="AU241" s="50" t="s">
        <v>102</v>
      </c>
      <c r="AW241" s="50" t="s">
        <v>102</v>
      </c>
      <c r="AX241" s="50" t="s">
        <v>119</v>
      </c>
      <c r="BA241" s="50" t="s">
        <v>250</v>
      </c>
      <c r="BB241" s="50" t="s">
        <v>120</v>
      </c>
      <c r="BC241" s="50" t="s">
        <v>8859</v>
      </c>
      <c r="BD241" s="50" t="s">
        <v>376</v>
      </c>
      <c r="BE241" s="50" t="s">
        <v>174</v>
      </c>
      <c r="BF241" s="50" t="s">
        <v>376</v>
      </c>
      <c r="BG241" s="50" t="s">
        <v>124</v>
      </c>
      <c r="BH241" s="50" t="s">
        <v>6177</v>
      </c>
      <c r="BI241" s="50" t="s">
        <v>12068</v>
      </c>
      <c r="BJ241" s="50" t="s">
        <v>127</v>
      </c>
      <c r="BK241" s="50" t="s">
        <v>18266</v>
      </c>
      <c r="BL241" s="50" t="s">
        <v>8861</v>
      </c>
      <c r="BM241" s="50" t="s">
        <v>18267</v>
      </c>
      <c r="BN241" s="50" t="s">
        <v>4836</v>
      </c>
      <c r="BO241" s="50" t="s">
        <v>12071</v>
      </c>
      <c r="BP241" s="50" t="s">
        <v>180</v>
      </c>
      <c r="BQ241" s="50" t="s">
        <v>12072</v>
      </c>
      <c r="BR241" s="50" t="s">
        <v>12073</v>
      </c>
      <c r="BS241" s="50" t="s">
        <v>5177</v>
      </c>
      <c r="BU241" s="50" t="s">
        <v>18268</v>
      </c>
      <c r="BV241" s="50" t="s">
        <v>18269</v>
      </c>
      <c r="BW241" s="50" t="s">
        <v>138</v>
      </c>
      <c r="BX241" s="50" t="s">
        <v>8867</v>
      </c>
      <c r="BY241" s="50" t="s">
        <v>18270</v>
      </c>
      <c r="BZ241" s="50" t="s">
        <v>8865</v>
      </c>
      <c r="CA241" s="50" t="s">
        <v>18269</v>
      </c>
      <c r="CB241" s="50" t="s">
        <v>8867</v>
      </c>
      <c r="CC241" s="50" t="s">
        <v>18270</v>
      </c>
      <c r="CD241" s="50" t="s">
        <v>18269</v>
      </c>
      <c r="CE241" s="50" t="s">
        <v>8867</v>
      </c>
      <c r="CF241" s="50" t="s">
        <v>18270</v>
      </c>
      <c r="CG241" s="50" t="s">
        <v>334</v>
      </c>
      <c r="CH241" s="50" t="s">
        <v>18271</v>
      </c>
      <c r="CJ241" s="50" t="s">
        <v>8869</v>
      </c>
      <c r="CK241" s="50" t="s">
        <v>8868</v>
      </c>
      <c r="CL241" s="50" t="s">
        <v>8859</v>
      </c>
      <c r="CM241" s="50" t="s">
        <v>376</v>
      </c>
      <c r="CN241" s="50" t="s">
        <v>8869</v>
      </c>
      <c r="CP241" s="50" t="s">
        <v>8868</v>
      </c>
      <c r="CQ241" s="50" t="s">
        <v>8868</v>
      </c>
      <c r="CR241" s="50" t="s">
        <v>26042</v>
      </c>
    </row>
    <row r="242" spans="1:96">
      <c r="A242" s="50" t="s">
        <v>337</v>
      </c>
      <c r="B242" s="50">
        <v>5032729</v>
      </c>
      <c r="C242" s="50" t="s">
        <v>418</v>
      </c>
      <c r="D242" s="50" t="s">
        <v>20199</v>
      </c>
      <c r="E242" s="50" t="str">
        <f>VLOOKUP(B242,aa!B:F,5,0)</f>
        <v>Ei CARES</v>
      </c>
      <c r="F242" s="50">
        <f>VLOOKUP(B242,aa!B:J,9,0)</f>
        <v>147618</v>
      </c>
      <c r="G242" s="50">
        <f>VLOOKUP(B242,aa!B:L,11,0)</f>
        <v>0</v>
      </c>
      <c r="H242" s="50">
        <f>VLOOKUP(B242,aa!B:O,14,0)</f>
        <v>147618</v>
      </c>
      <c r="I242" s="50">
        <f>VLOOKUP(B242,aa!B:R,17,0)</f>
        <v>0</v>
      </c>
      <c r="K242" s="50" t="s">
        <v>152</v>
      </c>
      <c r="L242" s="50">
        <v>161620</v>
      </c>
      <c r="M242" s="50">
        <v>161620</v>
      </c>
      <c r="N242" s="50">
        <v>0</v>
      </c>
      <c r="O242" s="50">
        <v>0</v>
      </c>
      <c r="Q242" s="50">
        <v>161620</v>
      </c>
      <c r="R242" s="50">
        <v>404</v>
      </c>
      <c r="S242" s="50" t="s">
        <v>6051</v>
      </c>
      <c r="T242" s="50">
        <v>0</v>
      </c>
      <c r="U242" s="50">
        <v>0</v>
      </c>
      <c r="W242" s="50" t="s">
        <v>102</v>
      </c>
      <c r="X242" s="50" t="s">
        <v>103</v>
      </c>
      <c r="Y242" s="50" t="s">
        <v>104</v>
      </c>
      <c r="AA242" s="50" t="s">
        <v>1305</v>
      </c>
      <c r="AB242" s="50" t="s">
        <v>20200</v>
      </c>
      <c r="AC242" s="50" t="s">
        <v>1408</v>
      </c>
      <c r="AD242" s="50" t="s">
        <v>20200</v>
      </c>
      <c r="AE242" s="50" t="s">
        <v>109</v>
      </c>
      <c r="AF242" s="50" t="s">
        <v>102</v>
      </c>
      <c r="AG242" s="50" t="s">
        <v>109</v>
      </c>
      <c r="AH242" s="50" t="s">
        <v>102</v>
      </c>
      <c r="AI242" s="50" t="s">
        <v>102</v>
      </c>
      <c r="AJ242" s="50" t="s">
        <v>4813</v>
      </c>
      <c r="AK242" s="50" t="s">
        <v>4813</v>
      </c>
      <c r="AL242" s="50" t="s">
        <v>20201</v>
      </c>
      <c r="AM242" s="50" t="s">
        <v>20202</v>
      </c>
      <c r="AN242" s="50" t="s">
        <v>20203</v>
      </c>
      <c r="AO242" s="50" t="s">
        <v>13347</v>
      </c>
      <c r="AP242" s="50" t="s">
        <v>13347</v>
      </c>
      <c r="AU242" s="50" t="s">
        <v>102</v>
      </c>
      <c r="AW242" s="50" t="s">
        <v>104</v>
      </c>
      <c r="AX242" s="50" t="s">
        <v>119</v>
      </c>
      <c r="AY242" s="50" t="s">
        <v>170</v>
      </c>
      <c r="AZ242" s="50" t="s">
        <v>118</v>
      </c>
      <c r="BB242" s="50" t="s">
        <v>120</v>
      </c>
      <c r="BC242" s="50" t="s">
        <v>409</v>
      </c>
      <c r="BD242" s="50" t="s">
        <v>410</v>
      </c>
      <c r="BE242" s="50" t="s">
        <v>212</v>
      </c>
      <c r="BF242" s="50" t="s">
        <v>410</v>
      </c>
      <c r="BG242" s="50" t="s">
        <v>124</v>
      </c>
      <c r="BH242" s="50" t="s">
        <v>12023</v>
      </c>
      <c r="BI242" s="50" t="s">
        <v>11889</v>
      </c>
      <c r="BJ242" s="50" t="s">
        <v>127</v>
      </c>
      <c r="BK242" s="50" t="s">
        <v>20204</v>
      </c>
      <c r="BL242" s="50" t="s">
        <v>20205</v>
      </c>
      <c r="BM242" s="50" t="s">
        <v>20206</v>
      </c>
      <c r="BN242" s="50" t="s">
        <v>4836</v>
      </c>
      <c r="BO242" s="50" t="s">
        <v>1699</v>
      </c>
      <c r="BP242" s="50" t="s">
        <v>132</v>
      </c>
      <c r="BQ242" s="50" t="s">
        <v>1700</v>
      </c>
      <c r="BR242" s="50" t="s">
        <v>1701</v>
      </c>
      <c r="BS242" s="50" t="s">
        <v>1702</v>
      </c>
      <c r="BU242" s="50" t="s">
        <v>20207</v>
      </c>
      <c r="BV242" s="50" t="s">
        <v>20208</v>
      </c>
      <c r="BW242" s="50" t="s">
        <v>138</v>
      </c>
      <c r="BX242" s="50" t="s">
        <v>20209</v>
      </c>
      <c r="BY242" s="50" t="s">
        <v>20210</v>
      </c>
      <c r="BZ242" s="50" t="s">
        <v>20209</v>
      </c>
      <c r="CA242" s="50" t="s">
        <v>20208</v>
      </c>
      <c r="CB242" s="50" t="s">
        <v>20209</v>
      </c>
      <c r="CC242" s="50" t="s">
        <v>20210</v>
      </c>
      <c r="CD242" s="50" t="s">
        <v>20211</v>
      </c>
      <c r="CE242" s="50" t="s">
        <v>20209</v>
      </c>
      <c r="CF242" s="50" t="s">
        <v>20212</v>
      </c>
      <c r="CG242" s="50" t="s">
        <v>6457</v>
      </c>
      <c r="CH242" s="50" t="s">
        <v>20213</v>
      </c>
      <c r="CJ242" s="50" t="s">
        <v>20214</v>
      </c>
      <c r="CK242" s="50" t="s">
        <v>20213</v>
      </c>
      <c r="CL242" s="50" t="s">
        <v>409</v>
      </c>
      <c r="CM242" s="50" t="s">
        <v>410</v>
      </c>
      <c r="CN242" s="50" t="s">
        <v>20214</v>
      </c>
      <c r="CP242" s="50" t="s">
        <v>20215</v>
      </c>
      <c r="CQ242" s="50" t="s">
        <v>20215</v>
      </c>
    </row>
    <row r="243" spans="1:96">
      <c r="A243" s="50" t="s">
        <v>149</v>
      </c>
      <c r="B243" s="50">
        <v>5018344</v>
      </c>
      <c r="C243" s="50" t="s">
        <v>18464</v>
      </c>
      <c r="D243" s="50" t="s">
        <v>10689</v>
      </c>
      <c r="E243" s="50" t="e">
        <f>VLOOKUP(B243,aa!B:F,5,0)</f>
        <v>#N/A</v>
      </c>
      <c r="F243" s="50" t="e">
        <f>VLOOKUP(B243,aa!B:J,9,0)</f>
        <v>#N/A</v>
      </c>
      <c r="G243" s="50" t="e">
        <f>VLOOKUP(B243,aa!B:L,11,0)</f>
        <v>#N/A</v>
      </c>
      <c r="H243" s="50" t="e">
        <f>VLOOKUP(B243,aa!B:O,14,0)</f>
        <v>#N/A</v>
      </c>
      <c r="I243" s="50" t="e">
        <f>VLOOKUP(B243,aa!B:R,17,0)</f>
        <v>#N/A</v>
      </c>
      <c r="K243" s="50" t="s">
        <v>97</v>
      </c>
      <c r="L243" s="50">
        <v>0</v>
      </c>
      <c r="M243" s="50">
        <v>0</v>
      </c>
      <c r="N243" s="50">
        <v>0</v>
      </c>
      <c r="O243" s="50">
        <v>18</v>
      </c>
      <c r="P243" s="50" t="s">
        <v>102</v>
      </c>
      <c r="Q243" s="50">
        <v>0</v>
      </c>
      <c r="R243" s="50">
        <v>0</v>
      </c>
      <c r="T243" s="50">
        <v>0</v>
      </c>
      <c r="U243" s="50">
        <v>0</v>
      </c>
      <c r="W243" s="50" t="s">
        <v>102</v>
      </c>
      <c r="X243" s="50" t="s">
        <v>275</v>
      </c>
      <c r="Z243" s="50" t="s">
        <v>4045</v>
      </c>
      <c r="AA243" s="50" t="s">
        <v>109</v>
      </c>
      <c r="AB243" s="50" t="s">
        <v>102</v>
      </c>
      <c r="AC243" s="50" t="s">
        <v>109</v>
      </c>
      <c r="AD243" s="50" t="s">
        <v>102</v>
      </c>
      <c r="AE243" s="50" t="s">
        <v>109</v>
      </c>
      <c r="AF243" s="50" t="s">
        <v>102</v>
      </c>
      <c r="AG243" s="50" t="s">
        <v>109</v>
      </c>
      <c r="AH243" s="50" t="s">
        <v>102</v>
      </c>
      <c r="AI243" s="50" t="s">
        <v>102</v>
      </c>
      <c r="AL243" s="50" t="s">
        <v>102</v>
      </c>
      <c r="AM243" s="50" t="s">
        <v>102</v>
      </c>
      <c r="AN243" s="50" t="s">
        <v>102</v>
      </c>
      <c r="AO243" s="50" t="s">
        <v>115</v>
      </c>
      <c r="AP243" s="50" t="s">
        <v>115</v>
      </c>
      <c r="AU243" s="50" t="s">
        <v>117</v>
      </c>
      <c r="AV243" s="50" t="s">
        <v>250</v>
      </c>
      <c r="AW243" s="50" t="s">
        <v>102</v>
      </c>
      <c r="AX243" s="50" t="s">
        <v>119</v>
      </c>
      <c r="BB243" s="50" t="s">
        <v>9282</v>
      </c>
      <c r="BC243" s="50" t="s">
        <v>9082</v>
      </c>
      <c r="BD243" s="50" t="s">
        <v>10691</v>
      </c>
      <c r="BE243" s="50" t="s">
        <v>122</v>
      </c>
      <c r="BF243" s="50" t="s">
        <v>253</v>
      </c>
      <c r="BG243" s="50" t="s">
        <v>124</v>
      </c>
      <c r="BH243" s="50" t="s">
        <v>232</v>
      </c>
      <c r="BI243" s="50" t="s">
        <v>16918</v>
      </c>
      <c r="BJ243" s="50" t="s">
        <v>127</v>
      </c>
      <c r="BK243" s="50" t="s">
        <v>19646</v>
      </c>
      <c r="BL243" s="50" t="s">
        <v>10693</v>
      </c>
      <c r="BM243" s="50" t="s">
        <v>19647</v>
      </c>
      <c r="BN243" s="50" t="s">
        <v>8186</v>
      </c>
      <c r="BO243" s="50" t="s">
        <v>3267</v>
      </c>
      <c r="BP243" s="50" t="s">
        <v>258</v>
      </c>
      <c r="BQ243" s="50" t="s">
        <v>3268</v>
      </c>
      <c r="BR243" s="50" t="s">
        <v>3269</v>
      </c>
      <c r="BS243" s="50" t="s">
        <v>135</v>
      </c>
      <c r="BU243" s="50" t="s">
        <v>19648</v>
      </c>
      <c r="BV243" s="50" t="s">
        <v>18607</v>
      </c>
      <c r="BW243" s="50" t="s">
        <v>354</v>
      </c>
      <c r="BX243" s="50" t="s">
        <v>18608</v>
      </c>
      <c r="BY243" s="50" t="s">
        <v>18609</v>
      </c>
      <c r="BZ243" s="50" t="s">
        <v>9287</v>
      </c>
      <c r="CA243" s="50" t="s">
        <v>18607</v>
      </c>
      <c r="CB243" s="50" t="s">
        <v>18608</v>
      </c>
      <c r="CC243" s="50" t="s">
        <v>18609</v>
      </c>
      <c r="CD243" s="50" t="s">
        <v>18607</v>
      </c>
      <c r="CE243" s="50" t="s">
        <v>18608</v>
      </c>
      <c r="CF243" s="50" t="s">
        <v>18609</v>
      </c>
      <c r="CG243" s="50" t="s">
        <v>102</v>
      </c>
      <c r="CH243" s="50" t="s">
        <v>19649</v>
      </c>
      <c r="CJ243" s="50" t="s">
        <v>9102</v>
      </c>
      <c r="CL243" s="50" t="s">
        <v>10704</v>
      </c>
      <c r="CM243" s="50" t="s">
        <v>10691</v>
      </c>
      <c r="CN243" s="50" t="s">
        <v>9291</v>
      </c>
      <c r="CP243" s="50" t="s">
        <v>10702</v>
      </c>
      <c r="CQ243" s="50" t="s">
        <v>10703</v>
      </c>
    </row>
    <row r="244" spans="1:96">
      <c r="A244" s="50" t="s">
        <v>149</v>
      </c>
      <c r="B244" s="50">
        <v>1021816</v>
      </c>
      <c r="C244" s="50" t="s">
        <v>11898</v>
      </c>
      <c r="D244" s="50" t="s">
        <v>231</v>
      </c>
      <c r="E244" s="50" t="e">
        <f>VLOOKUP(B244,aa!B:F,5,0)</f>
        <v>#N/A</v>
      </c>
      <c r="F244" s="50" t="e">
        <f>VLOOKUP(B244,aa!B:J,9,0)</f>
        <v>#N/A</v>
      </c>
      <c r="G244" s="50" t="e">
        <f>VLOOKUP(B244,aa!B:L,11,0)</f>
        <v>#N/A</v>
      </c>
      <c r="H244" s="50" t="e">
        <f>VLOOKUP(B244,aa!B:O,14,0)</f>
        <v>#N/A</v>
      </c>
      <c r="I244" s="50" t="e">
        <f>VLOOKUP(B244,aa!B:R,17,0)</f>
        <v>#N/A</v>
      </c>
      <c r="K244" s="50" t="s">
        <v>11971</v>
      </c>
      <c r="L244" s="50">
        <v>297106</v>
      </c>
      <c r="M244" s="50">
        <v>321465</v>
      </c>
      <c r="N244" s="50">
        <v>36847</v>
      </c>
      <c r="O244" s="50">
        <v>61</v>
      </c>
      <c r="P244" s="50" t="s">
        <v>11972</v>
      </c>
      <c r="Q244" s="50">
        <v>124932</v>
      </c>
      <c r="R244" s="50">
        <v>66</v>
      </c>
      <c r="S244" s="50" t="s">
        <v>11973</v>
      </c>
      <c r="T244" s="50">
        <v>135327</v>
      </c>
      <c r="U244" s="50">
        <v>66</v>
      </c>
      <c r="V244" s="50" t="s">
        <v>11974</v>
      </c>
      <c r="W244" s="50" t="s">
        <v>102</v>
      </c>
      <c r="X244" s="50" t="s">
        <v>103</v>
      </c>
      <c r="Y244" s="50" t="s">
        <v>155</v>
      </c>
      <c r="AA244" s="50" t="s">
        <v>1941</v>
      </c>
      <c r="AB244" s="50" t="s">
        <v>11975</v>
      </c>
      <c r="AC244" s="50" t="s">
        <v>11976</v>
      </c>
      <c r="AD244" s="50" t="s">
        <v>11975</v>
      </c>
      <c r="AE244" s="50" t="s">
        <v>11888</v>
      </c>
      <c r="AF244" s="50" t="s">
        <v>11975</v>
      </c>
      <c r="AG244" s="50" t="s">
        <v>11886</v>
      </c>
      <c r="AH244" s="50" t="s">
        <v>11975</v>
      </c>
      <c r="AI244" s="50" t="s">
        <v>102</v>
      </c>
      <c r="AL244" s="50" t="s">
        <v>11977</v>
      </c>
      <c r="AM244" s="50" t="s">
        <v>102</v>
      </c>
      <c r="AN244" s="50" t="s">
        <v>11977</v>
      </c>
      <c r="AO244" s="50" t="s">
        <v>11978</v>
      </c>
      <c r="AP244" s="50" t="s">
        <v>11978</v>
      </c>
      <c r="AU244" s="50" t="s">
        <v>247</v>
      </c>
      <c r="AV244" s="50" t="s">
        <v>118</v>
      </c>
      <c r="AW244" s="50" t="s">
        <v>248</v>
      </c>
      <c r="AX244" s="50" t="s">
        <v>119</v>
      </c>
      <c r="AZ244" s="50" t="s">
        <v>250</v>
      </c>
      <c r="BA244" s="50" t="s">
        <v>250</v>
      </c>
      <c r="BB244" s="50" t="s">
        <v>171</v>
      </c>
      <c r="BC244" s="50" t="s">
        <v>251</v>
      </c>
      <c r="BD244" s="50" t="s">
        <v>252</v>
      </c>
      <c r="BE244" s="50" t="s">
        <v>122</v>
      </c>
      <c r="BF244" s="50" t="s">
        <v>253</v>
      </c>
      <c r="BG244" s="50" t="s">
        <v>124</v>
      </c>
      <c r="BH244" s="50" t="s">
        <v>11970</v>
      </c>
      <c r="BI244" s="50" t="s">
        <v>11979</v>
      </c>
      <c r="BJ244" s="50" t="s">
        <v>127</v>
      </c>
      <c r="BK244" s="50" t="s">
        <v>11980</v>
      </c>
      <c r="BL244" s="50" t="s">
        <v>255</v>
      </c>
      <c r="BM244" s="50" t="s">
        <v>11981</v>
      </c>
      <c r="BN244" s="50" t="s">
        <v>11970</v>
      </c>
      <c r="BO244" s="50" t="s">
        <v>11982</v>
      </c>
      <c r="BP244" s="50" t="s">
        <v>696</v>
      </c>
      <c r="BQ244" s="50" t="s">
        <v>11983</v>
      </c>
      <c r="BR244" s="50" t="s">
        <v>11984</v>
      </c>
      <c r="BS244" s="50" t="s">
        <v>261</v>
      </c>
      <c r="BU244" s="50" t="s">
        <v>11985</v>
      </c>
      <c r="BV244" s="50" t="s">
        <v>11986</v>
      </c>
      <c r="BW244" s="50" t="s">
        <v>3121</v>
      </c>
      <c r="BX244" s="50" t="s">
        <v>11987</v>
      </c>
      <c r="BY244" s="50" t="s">
        <v>265</v>
      </c>
      <c r="BZ244" s="50" t="s">
        <v>264</v>
      </c>
      <c r="CA244" s="50" t="s">
        <v>11988</v>
      </c>
      <c r="CB244" s="50" t="s">
        <v>11989</v>
      </c>
      <c r="CC244" s="50" t="s">
        <v>11990</v>
      </c>
      <c r="CD244" s="50" t="s">
        <v>11991</v>
      </c>
      <c r="CE244" s="50" t="s">
        <v>11992</v>
      </c>
      <c r="CF244" s="50" t="s">
        <v>11993</v>
      </c>
      <c r="CG244" s="50" t="s">
        <v>102</v>
      </c>
      <c r="CH244" s="50" t="s">
        <v>11994</v>
      </c>
      <c r="CJ244" s="50" t="s">
        <v>270</v>
      </c>
      <c r="CL244" s="50" t="s">
        <v>251</v>
      </c>
      <c r="CM244" s="50" t="s">
        <v>252</v>
      </c>
      <c r="CN244" s="50" t="s">
        <v>270</v>
      </c>
      <c r="CP244" s="50" t="s">
        <v>269</v>
      </c>
      <c r="CQ244" s="50" t="s">
        <v>269</v>
      </c>
    </row>
    <row r="245" spans="1:96">
      <c r="A245" s="50" t="s">
        <v>149</v>
      </c>
      <c r="B245" s="50">
        <v>5018142</v>
      </c>
      <c r="C245" s="50" t="s">
        <v>11995</v>
      </c>
      <c r="D245" s="50" t="s">
        <v>10469</v>
      </c>
      <c r="E245" s="50" t="e">
        <f>VLOOKUP(B245,aa!B:F,5,0)</f>
        <v>#N/A</v>
      </c>
      <c r="F245" s="50" t="e">
        <f>VLOOKUP(B245,aa!B:J,9,0)</f>
        <v>#N/A</v>
      </c>
      <c r="G245" s="50" t="e">
        <f>VLOOKUP(B245,aa!B:L,11,0)</f>
        <v>#N/A</v>
      </c>
      <c r="H245" s="50" t="e">
        <f>VLOOKUP(B245,aa!B:O,14,0)</f>
        <v>#N/A</v>
      </c>
      <c r="I245" s="50" t="e">
        <f>VLOOKUP(B245,aa!B:R,17,0)</f>
        <v>#N/A</v>
      </c>
      <c r="K245" s="50" t="s">
        <v>97</v>
      </c>
      <c r="L245" s="50">
        <v>0</v>
      </c>
      <c r="M245" s="50">
        <v>0</v>
      </c>
      <c r="N245" s="50">
        <v>0</v>
      </c>
      <c r="O245" s="50">
        <v>4</v>
      </c>
      <c r="P245" s="50" t="s">
        <v>102</v>
      </c>
      <c r="Q245" s="50">
        <v>0</v>
      </c>
      <c r="R245" s="50">
        <v>0</v>
      </c>
      <c r="T245" s="50">
        <v>0</v>
      </c>
      <c r="U245" s="50">
        <v>0</v>
      </c>
      <c r="W245" s="50" t="s">
        <v>102</v>
      </c>
      <c r="X245" s="50" t="s">
        <v>275</v>
      </c>
      <c r="Z245" s="50" t="s">
        <v>4045</v>
      </c>
      <c r="AA245" s="50" t="s">
        <v>109</v>
      </c>
      <c r="AB245" s="50" t="s">
        <v>102</v>
      </c>
      <c r="AC245" s="50" t="s">
        <v>109</v>
      </c>
      <c r="AD245" s="50" t="s">
        <v>102</v>
      </c>
      <c r="AE245" s="50" t="s">
        <v>109</v>
      </c>
      <c r="AF245" s="50" t="s">
        <v>102</v>
      </c>
      <c r="AG245" s="50" t="s">
        <v>109</v>
      </c>
      <c r="AH245" s="50" t="s">
        <v>102</v>
      </c>
      <c r="AI245" s="50" t="s">
        <v>102</v>
      </c>
      <c r="AL245" s="50" t="s">
        <v>102</v>
      </c>
      <c r="AM245" s="50" t="s">
        <v>102</v>
      </c>
      <c r="AN245" s="50" t="s">
        <v>102</v>
      </c>
      <c r="AO245" s="50" t="s">
        <v>115</v>
      </c>
      <c r="AP245" s="50" t="s">
        <v>115</v>
      </c>
      <c r="AU245" s="50" t="s">
        <v>117</v>
      </c>
      <c r="AV245" s="50" t="s">
        <v>250</v>
      </c>
      <c r="AW245" s="50" t="s">
        <v>102</v>
      </c>
      <c r="AX245" s="50" t="s">
        <v>119</v>
      </c>
      <c r="BB245" s="50" t="s">
        <v>209</v>
      </c>
      <c r="BC245" s="50" t="s">
        <v>284</v>
      </c>
      <c r="BD245" s="50" t="s">
        <v>285</v>
      </c>
      <c r="BE245" s="50" t="s">
        <v>212</v>
      </c>
      <c r="BF245" s="50" t="s">
        <v>286</v>
      </c>
      <c r="BG245" s="50" t="s">
        <v>124</v>
      </c>
      <c r="BH245" s="50" t="s">
        <v>12023</v>
      </c>
      <c r="BI245" s="50" t="s">
        <v>11889</v>
      </c>
      <c r="BJ245" s="50" t="s">
        <v>127</v>
      </c>
      <c r="BK245" s="50" t="s">
        <v>19391</v>
      </c>
      <c r="BL245" s="50" t="s">
        <v>10472</v>
      </c>
      <c r="BM245" s="50" t="s">
        <v>19392</v>
      </c>
      <c r="BN245" s="50" t="s">
        <v>4045</v>
      </c>
      <c r="BO245" s="50" t="s">
        <v>956</v>
      </c>
      <c r="BP245" s="50" t="s">
        <v>258</v>
      </c>
      <c r="BQ245" s="50" t="s">
        <v>958</v>
      </c>
      <c r="BR245" s="50" t="s">
        <v>959</v>
      </c>
      <c r="BS245" s="50" t="s">
        <v>4765</v>
      </c>
      <c r="BU245" s="50" t="s">
        <v>19393</v>
      </c>
      <c r="BV245" s="50" t="s">
        <v>3585</v>
      </c>
      <c r="BW245" s="50" t="s">
        <v>598</v>
      </c>
      <c r="BX245" s="50" t="s">
        <v>6400</v>
      </c>
      <c r="BY245" s="50" t="s">
        <v>226</v>
      </c>
      <c r="CA245" s="50" t="s">
        <v>19394</v>
      </c>
      <c r="CB245" s="50" t="s">
        <v>19395</v>
      </c>
      <c r="CC245" s="50" t="s">
        <v>10477</v>
      </c>
      <c r="CD245" s="50" t="s">
        <v>19394</v>
      </c>
      <c r="CE245" s="50" t="s">
        <v>19395</v>
      </c>
      <c r="CF245" s="50" t="s">
        <v>10477</v>
      </c>
      <c r="CG245" s="50" t="s">
        <v>102</v>
      </c>
      <c r="CH245" s="50" t="s">
        <v>19396</v>
      </c>
      <c r="CJ245" s="50" t="s">
        <v>10479</v>
      </c>
      <c r="CL245" s="50" t="s">
        <v>284</v>
      </c>
      <c r="CM245" s="50" t="s">
        <v>285</v>
      </c>
      <c r="CN245" s="50" t="s">
        <v>10479</v>
      </c>
      <c r="CP245" s="50" t="s">
        <v>10480</v>
      </c>
      <c r="CQ245" s="50" t="s">
        <v>10480</v>
      </c>
      <c r="CR245" s="50" t="s">
        <v>26048</v>
      </c>
    </row>
    <row r="246" spans="1:96">
      <c r="A246" s="50" t="s">
        <v>337</v>
      </c>
      <c r="B246" s="50">
        <v>621568</v>
      </c>
      <c r="C246" s="50" t="s">
        <v>12030</v>
      </c>
      <c r="D246" s="50" t="s">
        <v>21281</v>
      </c>
      <c r="E246" s="50" t="e">
        <f>VLOOKUP(B246,aa!B:F,5,0)</f>
        <v>#N/A</v>
      </c>
      <c r="F246" s="50" t="e">
        <f>VLOOKUP(B246,aa!B:J,9,0)</f>
        <v>#N/A</v>
      </c>
      <c r="G246" s="50" t="e">
        <f>VLOOKUP(B246,aa!B:L,11,0)</f>
        <v>#N/A</v>
      </c>
      <c r="H246" s="50" t="e">
        <f>VLOOKUP(B246,aa!B:O,14,0)</f>
        <v>#N/A</v>
      </c>
      <c r="I246" s="50" t="e">
        <f>VLOOKUP(B246,aa!B:R,17,0)</f>
        <v>#N/A</v>
      </c>
      <c r="K246" s="50" t="s">
        <v>152</v>
      </c>
      <c r="L246" s="50">
        <v>871184</v>
      </c>
      <c r="M246" s="50">
        <v>871184</v>
      </c>
      <c r="N246" s="50">
        <v>0</v>
      </c>
      <c r="O246" s="50">
        <v>0</v>
      </c>
      <c r="Q246" s="50">
        <v>871184</v>
      </c>
      <c r="R246" s="50">
        <v>672</v>
      </c>
      <c r="S246" s="50" t="s">
        <v>21282</v>
      </c>
      <c r="T246" s="50">
        <v>0</v>
      </c>
      <c r="U246" s="50">
        <v>0</v>
      </c>
      <c r="W246" s="50" t="s">
        <v>102</v>
      </c>
      <c r="X246" s="50" t="s">
        <v>103</v>
      </c>
      <c r="Y246" s="50" t="s">
        <v>155</v>
      </c>
      <c r="AA246" s="50" t="s">
        <v>3258</v>
      </c>
      <c r="AB246" s="50" t="s">
        <v>21283</v>
      </c>
      <c r="AC246" s="50" t="s">
        <v>1408</v>
      </c>
      <c r="AD246" s="50" t="s">
        <v>21283</v>
      </c>
      <c r="AE246" s="50" t="s">
        <v>12289</v>
      </c>
      <c r="AF246" s="50" t="s">
        <v>21283</v>
      </c>
      <c r="AG246" s="50" t="s">
        <v>12393</v>
      </c>
      <c r="AH246" s="50" t="s">
        <v>21283</v>
      </c>
      <c r="AI246" s="50" t="s">
        <v>21284</v>
      </c>
      <c r="AJ246" s="50" t="s">
        <v>2950</v>
      </c>
      <c r="AK246" s="50" t="s">
        <v>11911</v>
      </c>
      <c r="AL246" s="50" t="s">
        <v>21285</v>
      </c>
      <c r="AM246" s="50" t="s">
        <v>21286</v>
      </c>
      <c r="AN246" s="50" t="s">
        <v>21287</v>
      </c>
      <c r="AO246" s="50" t="s">
        <v>21288</v>
      </c>
      <c r="AP246" s="50" t="s">
        <v>21288</v>
      </c>
      <c r="AU246" s="50" t="s">
        <v>102</v>
      </c>
      <c r="AW246" s="50" t="s">
        <v>155</v>
      </c>
      <c r="AX246" s="50" t="s">
        <v>447</v>
      </c>
      <c r="AY246" s="50" t="s">
        <v>170</v>
      </c>
      <c r="AZ246" s="50" t="s">
        <v>118</v>
      </c>
      <c r="BB246" s="50" t="s">
        <v>171</v>
      </c>
      <c r="BC246" s="50" t="s">
        <v>3490</v>
      </c>
      <c r="BD246" s="50" t="s">
        <v>345</v>
      </c>
      <c r="BE246" s="50" t="s">
        <v>122</v>
      </c>
      <c r="BF246" s="50" t="s">
        <v>346</v>
      </c>
      <c r="BG246" s="50" t="s">
        <v>124</v>
      </c>
      <c r="BH246" s="50" t="s">
        <v>12023</v>
      </c>
      <c r="BI246" s="50" t="s">
        <v>11889</v>
      </c>
      <c r="BJ246" s="50" t="s">
        <v>127</v>
      </c>
      <c r="BK246" s="50" t="s">
        <v>21289</v>
      </c>
      <c r="BL246" s="50" t="s">
        <v>21290</v>
      </c>
      <c r="BM246" s="50" t="s">
        <v>21291</v>
      </c>
      <c r="BN246" s="50" t="s">
        <v>4045</v>
      </c>
      <c r="BO246" s="50" t="s">
        <v>12226</v>
      </c>
      <c r="BP246" s="50" t="s">
        <v>350</v>
      </c>
      <c r="BQ246" s="50" t="s">
        <v>12228</v>
      </c>
      <c r="BR246" s="50" t="s">
        <v>12229</v>
      </c>
      <c r="BS246" s="50" t="s">
        <v>328</v>
      </c>
      <c r="BU246" s="50" t="s">
        <v>21292</v>
      </c>
      <c r="BV246" s="50" t="s">
        <v>21293</v>
      </c>
      <c r="BW246" s="50" t="s">
        <v>138</v>
      </c>
      <c r="BX246" s="50" t="s">
        <v>21294</v>
      </c>
      <c r="BY246" s="50" t="s">
        <v>21295</v>
      </c>
      <c r="BZ246" s="50" t="s">
        <v>21296</v>
      </c>
      <c r="CA246" s="50" t="s">
        <v>21297</v>
      </c>
      <c r="CB246" s="50" t="s">
        <v>21294</v>
      </c>
      <c r="CC246" s="50" t="s">
        <v>21295</v>
      </c>
      <c r="CD246" s="50" t="s">
        <v>21297</v>
      </c>
      <c r="CE246" s="50" t="s">
        <v>21294</v>
      </c>
      <c r="CF246" s="50" t="s">
        <v>21295</v>
      </c>
      <c r="CG246" s="50" t="s">
        <v>3968</v>
      </c>
      <c r="CH246" s="50" t="s">
        <v>21298</v>
      </c>
      <c r="CJ246" s="50" t="s">
        <v>12240</v>
      </c>
      <c r="CK246" s="50" t="s">
        <v>21299</v>
      </c>
      <c r="CL246" s="50" t="s">
        <v>3490</v>
      </c>
      <c r="CM246" s="50" t="s">
        <v>345</v>
      </c>
      <c r="CN246" s="50" t="s">
        <v>12240</v>
      </c>
      <c r="CO246" s="50" t="s">
        <v>21300</v>
      </c>
      <c r="CP246" s="50" t="s">
        <v>21301</v>
      </c>
      <c r="CQ246" s="50" t="s">
        <v>21301</v>
      </c>
    </row>
    <row r="247" spans="1:96">
      <c r="A247" s="50" t="s">
        <v>149</v>
      </c>
      <c r="B247" s="50">
        <v>18460</v>
      </c>
      <c r="C247" s="50" t="s">
        <v>384</v>
      </c>
      <c r="D247" s="50" t="s">
        <v>2073</v>
      </c>
      <c r="E247" s="50" t="str">
        <f>VLOOKUP(B247,aa!B:F,5,0)</f>
        <v>Ei CARES, Ei Mindspark</v>
      </c>
      <c r="F247" s="50">
        <f>VLOOKUP(B247,aa!B:J,9,0)</f>
        <v>707761</v>
      </c>
      <c r="G247" s="50">
        <f>VLOOKUP(B247,aa!B:L,11,0)</f>
        <v>0</v>
      </c>
      <c r="H247" s="50">
        <f>VLOOKUP(B247,aa!B:O,14,0)</f>
        <v>0</v>
      </c>
      <c r="I247" s="50">
        <f>VLOOKUP(B247,aa!B:R,17,0)</f>
        <v>707761</v>
      </c>
      <c r="K247" s="50" t="s">
        <v>848</v>
      </c>
      <c r="L247" s="50">
        <v>664421</v>
      </c>
      <c r="M247" s="50">
        <v>784017</v>
      </c>
      <c r="N247" s="50">
        <v>0</v>
      </c>
      <c r="O247" s="50">
        <v>0</v>
      </c>
      <c r="Q247" s="50">
        <v>0</v>
      </c>
      <c r="R247" s="50">
        <v>0</v>
      </c>
      <c r="T247" s="50">
        <v>664421</v>
      </c>
      <c r="U247" s="50">
        <v>358</v>
      </c>
      <c r="V247" s="50" t="s">
        <v>13031</v>
      </c>
      <c r="W247" s="50" t="s">
        <v>102</v>
      </c>
      <c r="X247" s="50" t="s">
        <v>103</v>
      </c>
      <c r="Y247" s="50" t="s">
        <v>155</v>
      </c>
      <c r="AA247" s="50" t="s">
        <v>1305</v>
      </c>
      <c r="AB247" s="50" t="s">
        <v>13032</v>
      </c>
      <c r="AC247" s="50" t="s">
        <v>13033</v>
      </c>
      <c r="AD247" s="50" t="s">
        <v>13032</v>
      </c>
      <c r="AE247" s="50" t="s">
        <v>13034</v>
      </c>
      <c r="AF247" s="50" t="s">
        <v>13032</v>
      </c>
      <c r="AG247" s="50" t="s">
        <v>11886</v>
      </c>
      <c r="AH247" s="50" t="s">
        <v>13032</v>
      </c>
      <c r="AI247" s="50" t="s">
        <v>13035</v>
      </c>
      <c r="AJ247" s="50" t="s">
        <v>13036</v>
      </c>
      <c r="AK247" s="50" t="s">
        <v>12680</v>
      </c>
      <c r="AL247" s="50" t="s">
        <v>13037</v>
      </c>
      <c r="AM247" s="50" t="s">
        <v>13038</v>
      </c>
      <c r="AN247" s="50" t="s">
        <v>13039</v>
      </c>
      <c r="AO247" s="50" t="s">
        <v>13040</v>
      </c>
      <c r="AP247" s="50" t="s">
        <v>13040</v>
      </c>
      <c r="AU247" s="50" t="s">
        <v>102</v>
      </c>
      <c r="AW247" s="50" t="s">
        <v>102</v>
      </c>
      <c r="AX247" s="50" t="s">
        <v>119</v>
      </c>
      <c r="BA247" s="50" t="s">
        <v>250</v>
      </c>
      <c r="BB247" s="50" t="s">
        <v>120</v>
      </c>
      <c r="BC247" s="50" t="s">
        <v>375</v>
      </c>
      <c r="BD247" s="50" t="s">
        <v>376</v>
      </c>
      <c r="BE247" s="50" t="s">
        <v>174</v>
      </c>
      <c r="BF247" s="50" t="s">
        <v>376</v>
      </c>
      <c r="BG247" s="50" t="s">
        <v>124</v>
      </c>
      <c r="BH247" s="50" t="s">
        <v>12926</v>
      </c>
      <c r="BI247" s="50" t="s">
        <v>11889</v>
      </c>
      <c r="BJ247" s="50" t="s">
        <v>127</v>
      </c>
      <c r="BK247" s="50" t="s">
        <v>13041</v>
      </c>
      <c r="BL247" s="50" t="s">
        <v>2089</v>
      </c>
      <c r="BM247" s="50" t="s">
        <v>13042</v>
      </c>
      <c r="BN247" s="50" t="s">
        <v>6177</v>
      </c>
      <c r="BO247" s="50" t="s">
        <v>1917</v>
      </c>
      <c r="BP247" s="50" t="s">
        <v>180</v>
      </c>
      <c r="BQ247" s="50" t="s">
        <v>1918</v>
      </c>
      <c r="BR247" s="50" t="s">
        <v>1919</v>
      </c>
      <c r="BS247" s="50" t="s">
        <v>183</v>
      </c>
      <c r="BU247" s="50" t="s">
        <v>13043</v>
      </c>
      <c r="BV247" s="50" t="s">
        <v>13044</v>
      </c>
      <c r="BW247" s="50" t="s">
        <v>598</v>
      </c>
      <c r="BX247" s="50" t="s">
        <v>2093</v>
      </c>
      <c r="BY247" s="50" t="s">
        <v>2097</v>
      </c>
      <c r="BZ247" s="50" t="s">
        <v>2095</v>
      </c>
      <c r="CA247" s="50" t="s">
        <v>13044</v>
      </c>
      <c r="CB247" s="50" t="s">
        <v>2093</v>
      </c>
      <c r="CC247" s="50" t="s">
        <v>2097</v>
      </c>
      <c r="CD247" s="50" t="s">
        <v>13044</v>
      </c>
      <c r="CE247" s="50" t="s">
        <v>2093</v>
      </c>
      <c r="CF247" s="50" t="s">
        <v>2097</v>
      </c>
      <c r="CG247" s="50" t="s">
        <v>102</v>
      </c>
      <c r="CH247" s="50" t="s">
        <v>2101</v>
      </c>
      <c r="CJ247" s="50" t="s">
        <v>392</v>
      </c>
      <c r="CL247" s="50" t="s">
        <v>375</v>
      </c>
      <c r="CM247" s="50" t="s">
        <v>376</v>
      </c>
      <c r="CN247" s="50" t="s">
        <v>392</v>
      </c>
      <c r="CO247" s="50" t="s">
        <v>2102</v>
      </c>
      <c r="CP247" s="50" t="s">
        <v>2101</v>
      </c>
      <c r="CQ247" s="50" t="s">
        <v>2101</v>
      </c>
    </row>
    <row r="248" spans="1:96">
      <c r="A248" s="50" t="s">
        <v>149</v>
      </c>
      <c r="B248" s="50">
        <v>205449</v>
      </c>
      <c r="C248" s="50" t="s">
        <v>2525</v>
      </c>
      <c r="D248" s="50" t="s">
        <v>2502</v>
      </c>
      <c r="E248" s="50" t="str">
        <f>VLOOKUP(B248,aa!B:F,5,0)</f>
        <v>Ei ASSET,Ei Mindspark</v>
      </c>
      <c r="F248" s="50">
        <f>VLOOKUP(B248,aa!B:J,9,0)</f>
        <v>465577</v>
      </c>
      <c r="G248" s="50">
        <f>VLOOKUP(B248,aa!B:L,11,0)</f>
        <v>211966</v>
      </c>
      <c r="H248" s="50">
        <f>VLOOKUP(B248,aa!B:O,14,0)</f>
        <v>0</v>
      </c>
      <c r="I248" s="50">
        <f>VLOOKUP(B248,aa!B:R,17,0)</f>
        <v>253611</v>
      </c>
      <c r="K248" s="50" t="s">
        <v>3549</v>
      </c>
      <c r="L248" s="50">
        <v>466383</v>
      </c>
      <c r="M248" s="50">
        <v>510346</v>
      </c>
      <c r="N248" s="50">
        <v>222144</v>
      </c>
      <c r="O248" s="50">
        <v>240</v>
      </c>
      <c r="P248" s="50" t="s">
        <v>13417</v>
      </c>
      <c r="Q248" s="50">
        <v>0</v>
      </c>
      <c r="R248" s="50">
        <v>0</v>
      </c>
      <c r="T248" s="50">
        <v>244239</v>
      </c>
      <c r="U248" s="50">
        <v>120</v>
      </c>
      <c r="V248" s="50" t="s">
        <v>13418</v>
      </c>
      <c r="W248" s="50" t="s">
        <v>102</v>
      </c>
      <c r="X248" s="50" t="s">
        <v>103</v>
      </c>
      <c r="Y248" s="50" t="s">
        <v>155</v>
      </c>
      <c r="AA248" s="50" t="s">
        <v>1305</v>
      </c>
      <c r="AB248" s="50" t="s">
        <v>13419</v>
      </c>
      <c r="AC248" s="50" t="s">
        <v>1408</v>
      </c>
      <c r="AD248" s="50" t="s">
        <v>13419</v>
      </c>
      <c r="AE248" s="50" t="s">
        <v>13420</v>
      </c>
      <c r="AF248" s="50" t="s">
        <v>13419</v>
      </c>
      <c r="AG248" s="50" t="s">
        <v>11884</v>
      </c>
      <c r="AH248" s="50" t="s">
        <v>13419</v>
      </c>
      <c r="AI248" s="50" t="s">
        <v>13421</v>
      </c>
      <c r="AJ248" s="50" t="s">
        <v>1604</v>
      </c>
      <c r="AK248" s="50" t="s">
        <v>11884</v>
      </c>
      <c r="AL248" s="50" t="s">
        <v>13422</v>
      </c>
      <c r="AM248" s="50" t="s">
        <v>13423</v>
      </c>
      <c r="AN248" s="50" t="s">
        <v>13424</v>
      </c>
      <c r="AO248" s="50" t="s">
        <v>13425</v>
      </c>
      <c r="AP248" s="50" t="s">
        <v>13426</v>
      </c>
      <c r="AS248" s="50" t="s">
        <v>169</v>
      </c>
      <c r="AT248" s="50" t="s">
        <v>169</v>
      </c>
      <c r="AU248" s="50" t="s">
        <v>318</v>
      </c>
      <c r="AV248" s="50" t="s">
        <v>250</v>
      </c>
      <c r="AW248" s="50" t="s">
        <v>102</v>
      </c>
      <c r="AX248" s="50" t="s">
        <v>119</v>
      </c>
      <c r="BA248" s="50" t="s">
        <v>250</v>
      </c>
      <c r="BB248" s="50" t="s">
        <v>171</v>
      </c>
      <c r="BC248" s="50" t="s">
        <v>2327</v>
      </c>
      <c r="BD248" s="50" t="s">
        <v>730</v>
      </c>
      <c r="BE248" s="50" t="s">
        <v>622</v>
      </c>
      <c r="BF248" s="50" t="s">
        <v>730</v>
      </c>
      <c r="BG248" s="50" t="s">
        <v>124</v>
      </c>
      <c r="BH248" s="50" t="s">
        <v>12023</v>
      </c>
      <c r="BI248" s="50" t="s">
        <v>11889</v>
      </c>
      <c r="BJ248" s="50" t="s">
        <v>127</v>
      </c>
      <c r="BK248" s="50" t="s">
        <v>13427</v>
      </c>
      <c r="BL248" s="50" t="s">
        <v>2523</v>
      </c>
      <c r="BM248" s="50" t="s">
        <v>13428</v>
      </c>
      <c r="BN248" s="50" t="s">
        <v>6177</v>
      </c>
      <c r="BO248" s="50" t="s">
        <v>3606</v>
      </c>
      <c r="BP248" s="50" t="s">
        <v>350</v>
      </c>
      <c r="BQ248" s="50" t="s">
        <v>3607</v>
      </c>
      <c r="BR248" s="50" t="s">
        <v>3608</v>
      </c>
      <c r="BS248" s="50" t="s">
        <v>2525</v>
      </c>
      <c r="BU248" s="50" t="s">
        <v>13429</v>
      </c>
      <c r="BV248" s="50" t="s">
        <v>2527</v>
      </c>
      <c r="BW248" s="50" t="s">
        <v>569</v>
      </c>
      <c r="BX248" s="50" t="s">
        <v>2528</v>
      </c>
      <c r="BY248" s="50" t="s">
        <v>13430</v>
      </c>
      <c r="BZ248" s="50" t="s">
        <v>2530</v>
      </c>
      <c r="CA248" s="50" t="s">
        <v>13431</v>
      </c>
      <c r="CB248" s="50" t="s">
        <v>13432</v>
      </c>
      <c r="CC248" s="50" t="s">
        <v>13433</v>
      </c>
      <c r="CD248" s="50" t="s">
        <v>13434</v>
      </c>
      <c r="CE248" s="50" t="s">
        <v>2528</v>
      </c>
      <c r="CF248" s="50" t="s">
        <v>13430</v>
      </c>
      <c r="CG248" s="50" t="s">
        <v>102</v>
      </c>
      <c r="CH248" s="50" t="s">
        <v>2531</v>
      </c>
      <c r="CJ248" s="50" t="s">
        <v>2532</v>
      </c>
      <c r="CL248" s="50" t="s">
        <v>2327</v>
      </c>
      <c r="CM248" s="50" t="s">
        <v>730</v>
      </c>
      <c r="CN248" s="50" t="s">
        <v>2532</v>
      </c>
      <c r="CO248" s="50" t="s">
        <v>2533</v>
      </c>
      <c r="CP248" s="50" t="s">
        <v>2531</v>
      </c>
      <c r="CQ248" s="50" t="s">
        <v>2531</v>
      </c>
    </row>
    <row r="249" spans="1:96">
      <c r="A249" s="50" t="s">
        <v>495</v>
      </c>
      <c r="B249" s="50">
        <v>3992655</v>
      </c>
      <c r="C249" s="50" t="s">
        <v>11947</v>
      </c>
      <c r="D249" s="50" t="s">
        <v>8215</v>
      </c>
      <c r="E249" s="50" t="e">
        <f>VLOOKUP(B249,aa!B:F,5,0)</f>
        <v>#N/A</v>
      </c>
      <c r="F249" s="50" t="e">
        <f>VLOOKUP(B249,aa!B:J,9,0)</f>
        <v>#N/A</v>
      </c>
      <c r="G249" s="50" t="e">
        <f>VLOOKUP(B249,aa!B:L,11,0)</f>
        <v>#N/A</v>
      </c>
      <c r="H249" s="50" t="e">
        <f>VLOOKUP(B249,aa!B:O,14,0)</f>
        <v>#N/A</v>
      </c>
      <c r="I249" s="50" t="e">
        <f>VLOOKUP(B249,aa!B:R,17,0)</f>
        <v>#N/A</v>
      </c>
      <c r="K249" s="50" t="s">
        <v>152</v>
      </c>
      <c r="L249" s="50">
        <v>224049</v>
      </c>
      <c r="M249" s="50">
        <v>224049</v>
      </c>
      <c r="N249" s="50">
        <v>0</v>
      </c>
      <c r="O249" s="50">
        <v>0</v>
      </c>
      <c r="Q249" s="50">
        <v>224049</v>
      </c>
      <c r="R249" s="50">
        <v>224</v>
      </c>
      <c r="S249" s="50" t="s">
        <v>5042</v>
      </c>
      <c r="T249" s="50">
        <v>0</v>
      </c>
      <c r="U249" s="50">
        <v>0</v>
      </c>
      <c r="W249" s="50" t="s">
        <v>102</v>
      </c>
      <c r="X249" s="50" t="s">
        <v>103</v>
      </c>
      <c r="Y249" s="50" t="s">
        <v>104</v>
      </c>
      <c r="AA249" s="50" t="s">
        <v>11927</v>
      </c>
      <c r="AB249" s="50" t="s">
        <v>17542</v>
      </c>
      <c r="AC249" s="50" t="s">
        <v>12084</v>
      </c>
      <c r="AD249" s="50" t="s">
        <v>17542</v>
      </c>
      <c r="AE249" s="50" t="s">
        <v>109</v>
      </c>
      <c r="AF249" s="50" t="s">
        <v>102</v>
      </c>
      <c r="AG249" s="50" t="s">
        <v>109</v>
      </c>
      <c r="AH249" s="50" t="s">
        <v>102</v>
      </c>
      <c r="AI249" s="50" t="s">
        <v>102</v>
      </c>
      <c r="AJ249" s="50" t="s">
        <v>11932</v>
      </c>
      <c r="AK249" s="50" t="s">
        <v>11932</v>
      </c>
      <c r="AL249" s="50" t="s">
        <v>17543</v>
      </c>
      <c r="AM249" s="50" t="s">
        <v>6290</v>
      </c>
      <c r="AN249" s="50" t="s">
        <v>17544</v>
      </c>
      <c r="AO249" s="50" t="s">
        <v>5046</v>
      </c>
      <c r="AP249" s="50" t="s">
        <v>15396</v>
      </c>
      <c r="AT249" s="50" t="s">
        <v>169</v>
      </c>
      <c r="AU249" s="50" t="s">
        <v>102</v>
      </c>
      <c r="AW249" s="50" t="s">
        <v>155</v>
      </c>
      <c r="AX249" s="50" t="s">
        <v>119</v>
      </c>
      <c r="AY249" s="50" t="s">
        <v>170</v>
      </c>
      <c r="AZ249" s="50" t="s">
        <v>118</v>
      </c>
      <c r="BB249" s="50" t="s">
        <v>120</v>
      </c>
      <c r="BC249" s="50" t="s">
        <v>17545</v>
      </c>
      <c r="BD249" s="50" t="s">
        <v>211</v>
      </c>
      <c r="BE249" s="50" t="s">
        <v>212</v>
      </c>
      <c r="BF249" s="50" t="s">
        <v>213</v>
      </c>
      <c r="BG249" s="50" t="s">
        <v>124</v>
      </c>
      <c r="BH249" s="50" t="s">
        <v>12492</v>
      </c>
      <c r="BI249" s="50" t="s">
        <v>11889</v>
      </c>
      <c r="BJ249" s="50" t="s">
        <v>127</v>
      </c>
      <c r="BK249" s="50" t="s">
        <v>17546</v>
      </c>
      <c r="BL249" s="50" t="s">
        <v>8228</v>
      </c>
      <c r="BM249" s="50" t="s">
        <v>17547</v>
      </c>
      <c r="BN249" s="50" t="s">
        <v>6177</v>
      </c>
      <c r="BO249" s="50" t="s">
        <v>1309</v>
      </c>
      <c r="BP249" s="50" t="s">
        <v>180</v>
      </c>
      <c r="BQ249" s="50" t="s">
        <v>1310</v>
      </c>
      <c r="BR249" s="50" t="s">
        <v>1311</v>
      </c>
      <c r="BS249" s="50" t="s">
        <v>1312</v>
      </c>
      <c r="BT249" s="50" t="s">
        <v>2151</v>
      </c>
      <c r="BU249" s="50" t="s">
        <v>17548</v>
      </c>
      <c r="BV249" s="50" t="s">
        <v>8231</v>
      </c>
      <c r="BW249" s="50" t="s">
        <v>138</v>
      </c>
      <c r="BX249" s="50" t="s">
        <v>8232</v>
      </c>
      <c r="BY249" s="50" t="s">
        <v>8233</v>
      </c>
      <c r="BZ249" s="50" t="s">
        <v>8232</v>
      </c>
      <c r="CA249" s="50" t="s">
        <v>8231</v>
      </c>
      <c r="CB249" s="50" t="s">
        <v>8232</v>
      </c>
      <c r="CC249" s="50" t="s">
        <v>8233</v>
      </c>
      <c r="CD249" s="50" t="s">
        <v>8231</v>
      </c>
      <c r="CE249" s="50" t="s">
        <v>8232</v>
      </c>
      <c r="CF249" s="50" t="s">
        <v>8233</v>
      </c>
      <c r="CG249" s="50" t="s">
        <v>8234</v>
      </c>
      <c r="CH249" s="50" t="s">
        <v>8237</v>
      </c>
      <c r="CJ249" s="50" t="s">
        <v>8236</v>
      </c>
      <c r="CK249" s="50" t="s">
        <v>17549</v>
      </c>
      <c r="CL249" s="50" t="s">
        <v>17545</v>
      </c>
      <c r="CM249" s="50" t="s">
        <v>211</v>
      </c>
      <c r="CN249" s="50" t="s">
        <v>8236</v>
      </c>
      <c r="CP249" s="50" t="s">
        <v>8237</v>
      </c>
      <c r="CQ249" s="50" t="s">
        <v>8237</v>
      </c>
      <c r="CR249" s="50" t="s">
        <v>26042</v>
      </c>
    </row>
    <row r="250" spans="1:96">
      <c r="A250" s="50" t="s">
        <v>149</v>
      </c>
      <c r="B250" s="50">
        <v>4064726</v>
      </c>
      <c r="C250" s="50" t="s">
        <v>12018</v>
      </c>
      <c r="D250" s="50" t="s">
        <v>8658</v>
      </c>
      <c r="E250" s="50" t="e">
        <f>VLOOKUP(B250,aa!B:F,5,0)</f>
        <v>#N/A</v>
      </c>
      <c r="F250" s="50" t="e">
        <f>VLOOKUP(B250,aa!B:J,9,0)</f>
        <v>#N/A</v>
      </c>
      <c r="G250" s="50" t="e">
        <f>VLOOKUP(B250,aa!B:L,11,0)</f>
        <v>#N/A</v>
      </c>
      <c r="H250" s="50" t="e">
        <f>VLOOKUP(B250,aa!B:O,14,0)</f>
        <v>#N/A</v>
      </c>
      <c r="I250" s="50" t="e">
        <f>VLOOKUP(B250,aa!B:R,17,0)</f>
        <v>#N/A</v>
      </c>
      <c r="K250" s="50" t="s">
        <v>152</v>
      </c>
      <c r="L250" s="50">
        <v>709800</v>
      </c>
      <c r="M250" s="50">
        <v>709800</v>
      </c>
      <c r="N250" s="50">
        <v>0</v>
      </c>
      <c r="O250" s="50">
        <v>0</v>
      </c>
      <c r="Q250" s="50">
        <v>709800</v>
      </c>
      <c r="R250" s="50">
        <v>455</v>
      </c>
      <c r="S250" s="50" t="s">
        <v>544</v>
      </c>
      <c r="T250" s="50">
        <v>0</v>
      </c>
      <c r="U250" s="50">
        <v>0</v>
      </c>
      <c r="W250" s="50" t="s">
        <v>102</v>
      </c>
      <c r="X250" s="50" t="s">
        <v>103</v>
      </c>
      <c r="Y250" s="50" t="s">
        <v>155</v>
      </c>
      <c r="AA250" s="50" t="s">
        <v>16918</v>
      </c>
      <c r="AB250" s="50" t="s">
        <v>18031</v>
      </c>
      <c r="AC250" s="50" t="s">
        <v>1547</v>
      </c>
      <c r="AD250" s="50" t="s">
        <v>18031</v>
      </c>
      <c r="AE250" s="50" t="s">
        <v>13110</v>
      </c>
      <c r="AF250" s="50" t="s">
        <v>18031</v>
      </c>
      <c r="AG250" s="50" t="s">
        <v>11930</v>
      </c>
      <c r="AH250" s="50" t="s">
        <v>18031</v>
      </c>
      <c r="AI250" s="50" t="s">
        <v>102</v>
      </c>
      <c r="AJ250" s="50" t="s">
        <v>12838</v>
      </c>
      <c r="AK250" s="50" t="s">
        <v>12838</v>
      </c>
      <c r="AL250" s="50" t="s">
        <v>18032</v>
      </c>
      <c r="AM250" s="50" t="s">
        <v>18033</v>
      </c>
      <c r="AN250" s="50" t="s">
        <v>18034</v>
      </c>
      <c r="AO250" s="50" t="s">
        <v>554</v>
      </c>
      <c r="AP250" s="50" t="s">
        <v>554</v>
      </c>
      <c r="AU250" s="50" t="s">
        <v>102</v>
      </c>
      <c r="AW250" s="50" t="s">
        <v>155</v>
      </c>
      <c r="AX250" s="50" t="s">
        <v>447</v>
      </c>
      <c r="AY250" s="50" t="s">
        <v>170</v>
      </c>
      <c r="AZ250" s="50" t="s">
        <v>118</v>
      </c>
      <c r="BB250" s="50" t="s">
        <v>120</v>
      </c>
      <c r="BC250" s="50" t="s">
        <v>8667</v>
      </c>
      <c r="BD250" s="50" t="s">
        <v>345</v>
      </c>
      <c r="BE250" s="50" t="s">
        <v>122</v>
      </c>
      <c r="BF250" s="50" t="s">
        <v>346</v>
      </c>
      <c r="BG250" s="50" t="s">
        <v>124</v>
      </c>
      <c r="BH250" s="50" t="s">
        <v>12023</v>
      </c>
      <c r="BI250" s="50" t="s">
        <v>11889</v>
      </c>
      <c r="BJ250" s="50" t="s">
        <v>127</v>
      </c>
      <c r="BK250" s="50" t="s">
        <v>18035</v>
      </c>
      <c r="BL250" s="50" t="s">
        <v>8669</v>
      </c>
      <c r="BM250" s="50" t="s">
        <v>18036</v>
      </c>
      <c r="BN250" s="50" t="s">
        <v>5755</v>
      </c>
      <c r="BO250" s="50" t="s">
        <v>593</v>
      </c>
      <c r="BP250" s="50" t="s">
        <v>132</v>
      </c>
      <c r="BQ250" s="50" t="s">
        <v>594</v>
      </c>
      <c r="BR250" s="50" t="s">
        <v>595</v>
      </c>
      <c r="BS250" s="50" t="s">
        <v>328</v>
      </c>
      <c r="BU250" s="50" t="s">
        <v>18037</v>
      </c>
      <c r="BV250" s="50" t="s">
        <v>18038</v>
      </c>
      <c r="BW250" s="50" t="s">
        <v>354</v>
      </c>
      <c r="BX250" s="50" t="s">
        <v>18039</v>
      </c>
      <c r="BY250" s="50" t="s">
        <v>18040</v>
      </c>
      <c r="BZ250" s="50" t="s">
        <v>8673</v>
      </c>
      <c r="CA250" s="50" t="s">
        <v>18038</v>
      </c>
      <c r="CB250" s="50" t="s">
        <v>18039</v>
      </c>
      <c r="CC250" s="50" t="s">
        <v>18040</v>
      </c>
      <c r="CD250" s="50" t="s">
        <v>18041</v>
      </c>
      <c r="CE250" s="50" t="s">
        <v>18039</v>
      </c>
      <c r="CF250" s="50" t="s">
        <v>18042</v>
      </c>
      <c r="CG250" s="50" t="s">
        <v>102</v>
      </c>
      <c r="CH250" s="50" t="s">
        <v>8675</v>
      </c>
      <c r="CJ250" s="50" t="s">
        <v>8676</v>
      </c>
      <c r="CL250" s="50" t="s">
        <v>8667</v>
      </c>
      <c r="CM250" s="50" t="s">
        <v>345</v>
      </c>
      <c r="CN250" s="50" t="s">
        <v>8676</v>
      </c>
      <c r="CP250" s="50" t="s">
        <v>8675</v>
      </c>
      <c r="CQ250" s="50" t="s">
        <v>8675</v>
      </c>
    </row>
    <row r="251" spans="1:96">
      <c r="A251" s="50" t="s">
        <v>337</v>
      </c>
      <c r="B251" s="50">
        <v>4165785</v>
      </c>
      <c r="C251" s="50" t="s">
        <v>384</v>
      </c>
      <c r="D251" s="50" t="s">
        <v>18246</v>
      </c>
      <c r="E251" s="50" t="e">
        <f>VLOOKUP(B251,aa!B:F,5,0)</f>
        <v>#N/A</v>
      </c>
      <c r="F251" s="50" t="e">
        <f>VLOOKUP(B251,aa!B:J,9,0)</f>
        <v>#N/A</v>
      </c>
      <c r="G251" s="50" t="e">
        <f>VLOOKUP(B251,aa!B:L,11,0)</f>
        <v>#N/A</v>
      </c>
      <c r="H251" s="50" t="e">
        <f>VLOOKUP(B251,aa!B:O,14,0)</f>
        <v>#N/A</v>
      </c>
      <c r="I251" s="50" t="e">
        <f>VLOOKUP(B251,aa!B:R,17,0)</f>
        <v>#N/A</v>
      </c>
      <c r="K251" s="50" t="s">
        <v>152</v>
      </c>
      <c r="L251" s="50">
        <v>219765</v>
      </c>
      <c r="M251" s="50">
        <v>219765</v>
      </c>
      <c r="N251" s="50">
        <v>0</v>
      </c>
      <c r="O251" s="50">
        <v>0</v>
      </c>
      <c r="Q251" s="50">
        <v>219765</v>
      </c>
      <c r="R251" s="50">
        <v>157</v>
      </c>
      <c r="S251" s="50" t="s">
        <v>4289</v>
      </c>
      <c r="T251" s="50">
        <v>0</v>
      </c>
      <c r="U251" s="50">
        <v>0</v>
      </c>
      <c r="W251" s="50" t="s">
        <v>102</v>
      </c>
      <c r="X251" s="50" t="s">
        <v>103</v>
      </c>
      <c r="Y251" s="50" t="s">
        <v>155</v>
      </c>
      <c r="AA251" s="50" t="s">
        <v>13202</v>
      </c>
      <c r="AB251" s="50" t="s">
        <v>18247</v>
      </c>
      <c r="AC251" s="50" t="s">
        <v>12737</v>
      </c>
      <c r="AD251" s="50" t="s">
        <v>18247</v>
      </c>
      <c r="AE251" s="50" t="s">
        <v>12327</v>
      </c>
      <c r="AF251" s="50" t="s">
        <v>18247</v>
      </c>
      <c r="AG251" s="50" t="s">
        <v>11886</v>
      </c>
      <c r="AH251" s="50" t="s">
        <v>18247</v>
      </c>
      <c r="AI251" s="50" t="s">
        <v>102</v>
      </c>
      <c r="AJ251" s="50" t="s">
        <v>6443</v>
      </c>
      <c r="AK251" s="50" t="s">
        <v>13833</v>
      </c>
      <c r="AL251" s="50" t="s">
        <v>18248</v>
      </c>
      <c r="AM251" s="50" t="s">
        <v>18249</v>
      </c>
      <c r="AN251" s="50" t="s">
        <v>18250</v>
      </c>
      <c r="AO251" s="50" t="s">
        <v>3510</v>
      </c>
      <c r="AP251" s="50" t="s">
        <v>3510</v>
      </c>
      <c r="AU251" s="50" t="s">
        <v>102</v>
      </c>
      <c r="AW251" s="50" t="s">
        <v>104</v>
      </c>
      <c r="AX251" s="50" t="s">
        <v>447</v>
      </c>
      <c r="AY251" s="50" t="s">
        <v>170</v>
      </c>
      <c r="AZ251" s="50" t="s">
        <v>118</v>
      </c>
      <c r="BB251" s="50" t="s">
        <v>171</v>
      </c>
      <c r="BC251" s="50" t="s">
        <v>18251</v>
      </c>
      <c r="BD251" s="50" t="s">
        <v>376</v>
      </c>
      <c r="BE251" s="50" t="s">
        <v>174</v>
      </c>
      <c r="BF251" s="50" t="s">
        <v>376</v>
      </c>
      <c r="BG251" s="50" t="s">
        <v>124</v>
      </c>
      <c r="BH251" s="50" t="s">
        <v>12926</v>
      </c>
      <c r="BI251" s="50" t="s">
        <v>11889</v>
      </c>
      <c r="BJ251" s="50" t="s">
        <v>127</v>
      </c>
      <c r="BK251" s="50" t="s">
        <v>18252</v>
      </c>
      <c r="BL251" s="50" t="s">
        <v>18253</v>
      </c>
      <c r="BM251" s="50" t="s">
        <v>18254</v>
      </c>
      <c r="BN251" s="50" t="s">
        <v>5755</v>
      </c>
      <c r="BO251" s="50" t="s">
        <v>13780</v>
      </c>
      <c r="BP251" s="50" t="s">
        <v>180</v>
      </c>
      <c r="BQ251" s="50" t="s">
        <v>13781</v>
      </c>
      <c r="BR251" s="50" t="s">
        <v>13782</v>
      </c>
      <c r="BS251" s="50" t="s">
        <v>13783</v>
      </c>
      <c r="BU251" s="50" t="s">
        <v>18255</v>
      </c>
      <c r="BV251" s="50" t="s">
        <v>18256</v>
      </c>
      <c r="BW251" s="50" t="s">
        <v>138</v>
      </c>
      <c r="BX251" s="50" t="s">
        <v>18257</v>
      </c>
      <c r="BY251" s="50" t="s">
        <v>18258</v>
      </c>
      <c r="BZ251" s="50" t="s">
        <v>18257</v>
      </c>
      <c r="CA251" s="50" t="s">
        <v>18256</v>
      </c>
      <c r="CB251" s="50" t="s">
        <v>18257</v>
      </c>
      <c r="CC251" s="50" t="s">
        <v>18258</v>
      </c>
      <c r="CD251" s="50" t="s">
        <v>18256</v>
      </c>
      <c r="CE251" s="50" t="s">
        <v>18257</v>
      </c>
      <c r="CF251" s="50" t="s">
        <v>18258</v>
      </c>
      <c r="CG251" s="50" t="s">
        <v>358</v>
      </c>
      <c r="CH251" s="50" t="s">
        <v>18259</v>
      </c>
      <c r="CJ251" s="50" t="s">
        <v>18260</v>
      </c>
      <c r="CK251" s="50" t="s">
        <v>18259</v>
      </c>
      <c r="CL251" s="50" t="s">
        <v>18251</v>
      </c>
      <c r="CM251" s="50" t="s">
        <v>376</v>
      </c>
      <c r="CN251" s="50" t="s">
        <v>18260</v>
      </c>
      <c r="CP251" s="50" t="s">
        <v>18261</v>
      </c>
      <c r="CQ251" s="50" t="s">
        <v>18261</v>
      </c>
      <c r="CR251" s="50" t="s">
        <v>26046</v>
      </c>
    </row>
    <row r="252" spans="1:96">
      <c r="A252" s="50" t="s">
        <v>149</v>
      </c>
      <c r="B252" s="50">
        <v>971627</v>
      </c>
      <c r="C252" s="50" t="s">
        <v>1279</v>
      </c>
      <c r="D252" s="50" t="s">
        <v>11820</v>
      </c>
      <c r="E252" s="50" t="str">
        <f>VLOOKUP(B252,aa!B:F,5,0)</f>
        <v>Ei CARES, Ei Mindspark</v>
      </c>
      <c r="F252" s="50">
        <f>VLOOKUP(B252,aa!B:J,9,0)</f>
        <v>1328404</v>
      </c>
      <c r="G252" s="50">
        <f>VLOOKUP(B252,aa!B:L,11,0)</f>
        <v>0</v>
      </c>
      <c r="H252" s="50">
        <f>VLOOKUP(B252,aa!B:O,14,0)</f>
        <v>856826</v>
      </c>
      <c r="I252" s="50">
        <f>VLOOKUP(B252,aa!B:R,17,0)</f>
        <v>471578</v>
      </c>
      <c r="K252" s="50" t="s">
        <v>643</v>
      </c>
      <c r="L252" s="50">
        <v>1140040</v>
      </c>
      <c r="M252" s="50">
        <v>1214422</v>
      </c>
      <c r="N252" s="50">
        <v>0</v>
      </c>
      <c r="O252" s="50">
        <v>0</v>
      </c>
      <c r="Q252" s="50">
        <v>726808</v>
      </c>
      <c r="R252" s="50">
        <v>395</v>
      </c>
      <c r="S252" s="50" t="s">
        <v>21629</v>
      </c>
      <c r="T252" s="50">
        <v>413232</v>
      </c>
      <c r="U252" s="50">
        <v>265</v>
      </c>
      <c r="V252" s="50" t="s">
        <v>21630</v>
      </c>
      <c r="W252" s="50" t="s">
        <v>102</v>
      </c>
      <c r="X252" s="50" t="s">
        <v>103</v>
      </c>
      <c r="Y252" s="50" t="s">
        <v>104</v>
      </c>
      <c r="AA252" s="50" t="s">
        <v>13680</v>
      </c>
      <c r="AB252" s="50" t="s">
        <v>21631</v>
      </c>
      <c r="AC252" s="50" t="s">
        <v>12082</v>
      </c>
      <c r="AD252" s="50" t="s">
        <v>21632</v>
      </c>
      <c r="AE252" s="50" t="s">
        <v>109</v>
      </c>
      <c r="AF252" s="50" t="s">
        <v>102</v>
      </c>
      <c r="AG252" s="50" t="s">
        <v>109</v>
      </c>
      <c r="AH252" s="50" t="s">
        <v>102</v>
      </c>
      <c r="AI252" s="50" t="s">
        <v>102</v>
      </c>
      <c r="AJ252" s="50" t="s">
        <v>8537</v>
      </c>
      <c r="AK252" s="50" t="s">
        <v>12816</v>
      </c>
      <c r="AL252" s="50" t="s">
        <v>21633</v>
      </c>
      <c r="AM252" s="50" t="s">
        <v>21634</v>
      </c>
      <c r="AN252" s="50" t="s">
        <v>21635</v>
      </c>
      <c r="AO252" s="50" t="s">
        <v>21636</v>
      </c>
      <c r="AP252" s="50" t="s">
        <v>21636</v>
      </c>
      <c r="AU252" s="50" t="s">
        <v>102</v>
      </c>
      <c r="AW252" s="50" t="s">
        <v>655</v>
      </c>
      <c r="AX252" s="50" t="s">
        <v>119</v>
      </c>
      <c r="AY252" s="50" t="s">
        <v>1138</v>
      </c>
      <c r="AZ252" s="50" t="s">
        <v>118</v>
      </c>
      <c r="BA252" s="50" t="s">
        <v>250</v>
      </c>
      <c r="BB252" s="50" t="s">
        <v>209</v>
      </c>
      <c r="BC252" s="50" t="s">
        <v>623</v>
      </c>
      <c r="BD252" s="50" t="s">
        <v>621</v>
      </c>
      <c r="BE252" s="50" t="s">
        <v>622</v>
      </c>
      <c r="BF252" s="50" t="s">
        <v>623</v>
      </c>
      <c r="BG252" s="50" t="s">
        <v>124</v>
      </c>
      <c r="BH252" s="50" t="s">
        <v>12023</v>
      </c>
      <c r="BI252" s="50" t="s">
        <v>12963</v>
      </c>
      <c r="BJ252" s="50" t="s">
        <v>127</v>
      </c>
      <c r="BK252" s="50" t="s">
        <v>21637</v>
      </c>
      <c r="BL252" s="50" t="s">
        <v>11830</v>
      </c>
      <c r="BM252" s="50" t="s">
        <v>21638</v>
      </c>
      <c r="BN252" s="50" t="s">
        <v>21628</v>
      </c>
      <c r="BO252" s="50" t="s">
        <v>629</v>
      </c>
      <c r="BP252" s="50" t="s">
        <v>2901</v>
      </c>
      <c r="BQ252" s="50" t="s">
        <v>630</v>
      </c>
      <c r="BR252" s="50" t="s">
        <v>631</v>
      </c>
      <c r="BS252" s="50" t="s">
        <v>8262</v>
      </c>
      <c r="BU252" s="50" t="s">
        <v>21639</v>
      </c>
      <c r="BV252" s="50" t="s">
        <v>21640</v>
      </c>
      <c r="BX252" s="50" t="s">
        <v>11834</v>
      </c>
      <c r="BY252" s="50" t="s">
        <v>11835</v>
      </c>
      <c r="BZ252" s="50" t="s">
        <v>11834</v>
      </c>
      <c r="CA252" s="50" t="s">
        <v>21640</v>
      </c>
      <c r="CB252" s="50" t="s">
        <v>11834</v>
      </c>
      <c r="CC252" s="50" t="s">
        <v>11835</v>
      </c>
      <c r="CD252" s="50" t="s">
        <v>21641</v>
      </c>
      <c r="CE252" s="50" t="s">
        <v>21642</v>
      </c>
      <c r="CF252" s="50" t="s">
        <v>11841</v>
      </c>
      <c r="CG252" s="50" t="s">
        <v>11842</v>
      </c>
      <c r="CH252" s="50" t="s">
        <v>11843</v>
      </c>
      <c r="CJ252" s="50" t="s">
        <v>11844</v>
      </c>
      <c r="CL252" s="50" t="s">
        <v>623</v>
      </c>
      <c r="CM252" s="50" t="s">
        <v>621</v>
      </c>
      <c r="CN252" s="50" t="s">
        <v>11844</v>
      </c>
      <c r="CP252" s="50" t="s">
        <v>11843</v>
      </c>
      <c r="CQ252" s="50" t="s">
        <v>11843</v>
      </c>
    </row>
    <row r="253" spans="1:96">
      <c r="A253" s="50" t="s">
        <v>149</v>
      </c>
      <c r="B253" s="50">
        <v>1163014</v>
      </c>
      <c r="C253" s="50" t="s">
        <v>12030</v>
      </c>
      <c r="D253" s="50" t="s">
        <v>577</v>
      </c>
      <c r="E253" s="50" t="str">
        <f>VLOOKUP(B253,aa!B:F,5,0)</f>
        <v>Ei ASSET, Ei CARES, Ei Mindspark</v>
      </c>
      <c r="F253" s="50">
        <f>VLOOKUP(B253,aa!B:J,9,0)</f>
        <v>1319804</v>
      </c>
      <c r="G253" s="50">
        <f>VLOOKUP(B253,aa!B:L,11,0)</f>
        <v>422334</v>
      </c>
      <c r="H253" s="50">
        <f>VLOOKUP(B253,aa!B:O,14,0)</f>
        <v>571109</v>
      </c>
      <c r="I253" s="50">
        <f>VLOOKUP(B253,aa!B:R,17,0)</f>
        <v>326361</v>
      </c>
      <c r="K253" s="50" t="s">
        <v>193</v>
      </c>
      <c r="L253" s="50">
        <v>1785621</v>
      </c>
      <c r="M253" s="50">
        <v>1887997</v>
      </c>
      <c r="N253" s="50">
        <v>1216866</v>
      </c>
      <c r="O253" s="50">
        <v>887</v>
      </c>
      <c r="P253" s="50" t="s">
        <v>12193</v>
      </c>
      <c r="Q253" s="50">
        <v>0</v>
      </c>
      <c r="R253" s="50">
        <v>0</v>
      </c>
      <c r="T253" s="50">
        <v>568755</v>
      </c>
      <c r="U253" s="50">
        <v>244</v>
      </c>
      <c r="V253" s="50" t="s">
        <v>581</v>
      </c>
      <c r="W253" s="50" t="s">
        <v>102</v>
      </c>
      <c r="X253" s="50" t="s">
        <v>275</v>
      </c>
      <c r="Z253" s="50" t="s">
        <v>12194</v>
      </c>
      <c r="AA253" s="50" t="s">
        <v>109</v>
      </c>
      <c r="AB253" s="50" t="s">
        <v>102</v>
      </c>
      <c r="AC253" s="50" t="s">
        <v>109</v>
      </c>
      <c r="AD253" s="50" t="s">
        <v>102</v>
      </c>
      <c r="AE253" s="50" t="s">
        <v>109</v>
      </c>
      <c r="AF253" s="50" t="s">
        <v>102</v>
      </c>
      <c r="AG253" s="50" t="s">
        <v>109</v>
      </c>
      <c r="AH253" s="50" t="s">
        <v>102</v>
      </c>
      <c r="AI253" s="50" t="s">
        <v>12195</v>
      </c>
      <c r="AJ253" s="50" t="s">
        <v>6895</v>
      </c>
      <c r="AK253" s="50" t="s">
        <v>6895</v>
      </c>
      <c r="AL253" s="50" t="s">
        <v>12196</v>
      </c>
      <c r="AM253" s="50" t="s">
        <v>12197</v>
      </c>
      <c r="AN253" s="50" t="s">
        <v>12198</v>
      </c>
      <c r="AO253" s="50" t="s">
        <v>12199</v>
      </c>
      <c r="AP253" s="50" t="s">
        <v>12199</v>
      </c>
      <c r="AU253" s="50" t="s">
        <v>588</v>
      </c>
      <c r="AV253" s="50" t="s">
        <v>118</v>
      </c>
      <c r="AW253" s="50" t="s">
        <v>102</v>
      </c>
      <c r="AX253" s="50" t="s">
        <v>119</v>
      </c>
      <c r="BA253" s="50" t="s">
        <v>250</v>
      </c>
      <c r="BB253" s="50" t="s">
        <v>120</v>
      </c>
      <c r="BC253" s="50" t="s">
        <v>589</v>
      </c>
      <c r="BD253" s="50" t="s">
        <v>320</v>
      </c>
      <c r="BE253" s="50" t="s">
        <v>122</v>
      </c>
      <c r="BF253" s="50" t="s">
        <v>123</v>
      </c>
      <c r="BG253" s="50" t="s">
        <v>124</v>
      </c>
      <c r="BH253" s="50" t="s">
        <v>12023</v>
      </c>
      <c r="BI253" s="50" t="s">
        <v>11889</v>
      </c>
      <c r="BJ253" s="50" t="s">
        <v>127</v>
      </c>
      <c r="BK253" s="50" t="s">
        <v>12200</v>
      </c>
      <c r="BL253" s="50" t="s">
        <v>591</v>
      </c>
      <c r="BM253" s="50" t="s">
        <v>12201</v>
      </c>
      <c r="BN253" s="50" t="s">
        <v>12192</v>
      </c>
      <c r="BO253" s="50" t="s">
        <v>593</v>
      </c>
      <c r="BP253" s="50" t="s">
        <v>350</v>
      </c>
      <c r="BQ253" s="50" t="s">
        <v>594</v>
      </c>
      <c r="BR253" s="50" t="s">
        <v>595</v>
      </c>
      <c r="BS253" s="50" t="s">
        <v>328</v>
      </c>
      <c r="BU253" s="50" t="s">
        <v>12202</v>
      </c>
      <c r="BV253" s="50" t="s">
        <v>12203</v>
      </c>
      <c r="BW253" s="50" t="s">
        <v>9092</v>
      </c>
      <c r="BX253" s="50" t="s">
        <v>12204</v>
      </c>
      <c r="BY253" s="50" t="s">
        <v>12205</v>
      </c>
      <c r="BZ253" s="50" t="s">
        <v>601</v>
      </c>
      <c r="CA253" s="50" t="s">
        <v>12206</v>
      </c>
      <c r="CB253" s="50" t="s">
        <v>12207</v>
      </c>
      <c r="CC253" s="50" t="s">
        <v>12205</v>
      </c>
      <c r="CD253" s="50" t="s">
        <v>12203</v>
      </c>
      <c r="CE253" s="50" t="s">
        <v>12204</v>
      </c>
      <c r="CF253" s="50" t="s">
        <v>12205</v>
      </c>
      <c r="CG253" s="50" t="s">
        <v>102</v>
      </c>
      <c r="CH253" s="50" t="s">
        <v>602</v>
      </c>
      <c r="CJ253" s="50" t="s">
        <v>603</v>
      </c>
      <c r="CL253" s="50" t="s">
        <v>589</v>
      </c>
      <c r="CM253" s="50" t="s">
        <v>320</v>
      </c>
      <c r="CN253" s="50" t="s">
        <v>603</v>
      </c>
      <c r="CO253" s="50" t="s">
        <v>604</v>
      </c>
      <c r="CP253" s="50" t="s">
        <v>602</v>
      </c>
      <c r="CQ253" s="50" t="s">
        <v>602</v>
      </c>
    </row>
    <row r="254" spans="1:96">
      <c r="A254" s="50" t="s">
        <v>149</v>
      </c>
      <c r="B254" s="50">
        <v>10423</v>
      </c>
      <c r="C254" s="50" t="s">
        <v>12058</v>
      </c>
      <c r="D254" s="50" t="s">
        <v>361</v>
      </c>
      <c r="E254" s="50" t="e">
        <f>VLOOKUP(B254,aa!B:F,5,0)</f>
        <v>#N/A</v>
      </c>
      <c r="F254" s="50" t="e">
        <f>VLOOKUP(B254,aa!B:J,9,0)</f>
        <v>#N/A</v>
      </c>
      <c r="G254" s="50" t="e">
        <f>VLOOKUP(B254,aa!B:L,11,0)</f>
        <v>#N/A</v>
      </c>
      <c r="H254" s="50" t="e">
        <f>VLOOKUP(B254,aa!B:O,14,0)</f>
        <v>#N/A</v>
      </c>
      <c r="I254" s="50" t="e">
        <f>VLOOKUP(B254,aa!B:R,17,0)</f>
        <v>#N/A</v>
      </c>
      <c r="K254" s="50" t="s">
        <v>97</v>
      </c>
      <c r="L254" s="50">
        <v>628425</v>
      </c>
      <c r="M254" s="50">
        <v>628425</v>
      </c>
      <c r="N254" s="50">
        <v>628425</v>
      </c>
      <c r="O254" s="50">
        <v>1197</v>
      </c>
      <c r="P254" s="50" t="s">
        <v>4107</v>
      </c>
      <c r="Q254" s="50">
        <v>0</v>
      </c>
      <c r="R254" s="50">
        <v>0</v>
      </c>
      <c r="T254" s="50">
        <v>0</v>
      </c>
      <c r="U254" s="50">
        <v>0</v>
      </c>
      <c r="W254" s="50" t="s">
        <v>102</v>
      </c>
      <c r="X254" s="50" t="s">
        <v>103</v>
      </c>
      <c r="Y254" s="50" t="s">
        <v>104</v>
      </c>
      <c r="AA254" s="50" t="s">
        <v>1408</v>
      </c>
      <c r="AB254" s="50" t="s">
        <v>12059</v>
      </c>
      <c r="AC254" s="50" t="s">
        <v>1427</v>
      </c>
      <c r="AD254" s="50" t="s">
        <v>12060</v>
      </c>
      <c r="AE254" s="50" t="s">
        <v>109</v>
      </c>
      <c r="AF254" s="50" t="s">
        <v>102</v>
      </c>
      <c r="AG254" s="50" t="s">
        <v>109</v>
      </c>
      <c r="AH254" s="50" t="s">
        <v>102</v>
      </c>
      <c r="AI254" s="50" t="s">
        <v>12061</v>
      </c>
      <c r="AJ254" s="50" t="s">
        <v>12062</v>
      </c>
      <c r="AK254" s="50" t="s">
        <v>12063</v>
      </c>
      <c r="AL254" s="50" t="s">
        <v>12064</v>
      </c>
      <c r="AM254" s="50" t="s">
        <v>12065</v>
      </c>
      <c r="AN254" s="50" t="s">
        <v>12066</v>
      </c>
      <c r="AO254" s="50" t="s">
        <v>12067</v>
      </c>
      <c r="AP254" s="50" t="s">
        <v>12067</v>
      </c>
      <c r="AU254" s="50" t="s">
        <v>318</v>
      </c>
      <c r="AV254" s="50" t="s">
        <v>118</v>
      </c>
      <c r="AW254" s="50" t="s">
        <v>102</v>
      </c>
      <c r="AX254" s="50" t="s">
        <v>119</v>
      </c>
      <c r="BB254" s="50" t="s">
        <v>120</v>
      </c>
      <c r="BC254" s="50" t="s">
        <v>375</v>
      </c>
      <c r="BD254" s="50" t="s">
        <v>376</v>
      </c>
      <c r="BE254" s="50" t="s">
        <v>174</v>
      </c>
      <c r="BF254" s="50" t="s">
        <v>376</v>
      </c>
      <c r="BG254" s="50" t="s">
        <v>124</v>
      </c>
      <c r="BH254" s="50" t="s">
        <v>6177</v>
      </c>
      <c r="BI254" s="50" t="s">
        <v>12068</v>
      </c>
      <c r="BJ254" s="50" t="s">
        <v>127</v>
      </c>
      <c r="BK254" s="50" t="s">
        <v>12069</v>
      </c>
      <c r="BL254" s="50" t="s">
        <v>379</v>
      </c>
      <c r="BM254" s="50" t="s">
        <v>12070</v>
      </c>
      <c r="BN254" s="50" t="s">
        <v>6443</v>
      </c>
      <c r="BO254" s="50" t="s">
        <v>12071</v>
      </c>
      <c r="BP254" s="50" t="s">
        <v>180</v>
      </c>
      <c r="BQ254" s="50" t="s">
        <v>12072</v>
      </c>
      <c r="BR254" s="50" t="s">
        <v>12073</v>
      </c>
      <c r="BS254" s="50" t="s">
        <v>384</v>
      </c>
      <c r="BU254" s="50" t="s">
        <v>12074</v>
      </c>
      <c r="BV254" s="50" t="s">
        <v>386</v>
      </c>
      <c r="BW254" s="50" t="s">
        <v>138</v>
      </c>
      <c r="BX254" s="50" t="s">
        <v>387</v>
      </c>
      <c r="BY254" s="50" t="s">
        <v>388</v>
      </c>
      <c r="BZ254" s="50" t="s">
        <v>387</v>
      </c>
      <c r="CA254" s="50" t="s">
        <v>12075</v>
      </c>
      <c r="CB254" s="50" t="s">
        <v>387</v>
      </c>
      <c r="CC254" s="50" t="s">
        <v>388</v>
      </c>
      <c r="CD254" s="50" t="s">
        <v>12076</v>
      </c>
      <c r="CE254" s="50" t="s">
        <v>12077</v>
      </c>
      <c r="CF254" s="50" t="s">
        <v>12078</v>
      </c>
      <c r="CG254" s="50" t="s">
        <v>102</v>
      </c>
      <c r="CH254" s="50" t="s">
        <v>12079</v>
      </c>
      <c r="CJ254" s="50" t="s">
        <v>392</v>
      </c>
      <c r="CK254" s="50" t="s">
        <v>12080</v>
      </c>
      <c r="CL254" s="50" t="s">
        <v>375</v>
      </c>
      <c r="CM254" s="50" t="s">
        <v>376</v>
      </c>
      <c r="CN254" s="50" t="s">
        <v>392</v>
      </c>
      <c r="CO254" s="50" t="s">
        <v>393</v>
      </c>
      <c r="CP254" s="50" t="s">
        <v>391</v>
      </c>
      <c r="CQ254" s="50" t="s">
        <v>391</v>
      </c>
      <c r="CR254" s="50" t="s">
        <v>26042</v>
      </c>
    </row>
    <row r="255" spans="1:96">
      <c r="A255" s="50" t="s">
        <v>149</v>
      </c>
      <c r="B255" s="50">
        <v>2476940</v>
      </c>
      <c r="C255" s="50" t="s">
        <v>418</v>
      </c>
      <c r="D255" s="50" t="s">
        <v>3691</v>
      </c>
      <c r="E255" s="50" t="e">
        <f>VLOOKUP(B255,aa!B:F,5,0)</f>
        <v>#N/A</v>
      </c>
      <c r="F255" s="50" t="e">
        <f>VLOOKUP(B255,aa!B:J,9,0)</f>
        <v>#N/A</v>
      </c>
      <c r="G255" s="50" t="e">
        <f>VLOOKUP(B255,aa!B:L,11,0)</f>
        <v>#N/A</v>
      </c>
      <c r="H255" s="50" t="e">
        <f>VLOOKUP(B255,aa!B:O,14,0)</f>
        <v>#N/A</v>
      </c>
      <c r="I255" s="50" t="e">
        <f>VLOOKUP(B255,aa!B:R,17,0)</f>
        <v>#N/A</v>
      </c>
      <c r="K255" s="50" t="s">
        <v>97</v>
      </c>
      <c r="L255" s="50">
        <v>399860</v>
      </c>
      <c r="M255" s="50">
        <v>399860</v>
      </c>
      <c r="N255" s="50">
        <v>399860</v>
      </c>
      <c r="O255" s="50">
        <v>475</v>
      </c>
      <c r="P255" s="50" t="s">
        <v>14206</v>
      </c>
      <c r="Q255" s="50">
        <v>0</v>
      </c>
      <c r="R255" s="50">
        <v>0</v>
      </c>
      <c r="T255" s="50">
        <v>0</v>
      </c>
      <c r="U255" s="50">
        <v>0</v>
      </c>
      <c r="W255" s="50" t="s">
        <v>102</v>
      </c>
      <c r="X255" s="50" t="s">
        <v>103</v>
      </c>
      <c r="Y255" s="50" t="s">
        <v>104</v>
      </c>
      <c r="AA255" s="50" t="s">
        <v>1165</v>
      </c>
      <c r="AB255" s="50" t="s">
        <v>14207</v>
      </c>
      <c r="AC255" s="50" t="s">
        <v>12888</v>
      </c>
      <c r="AD255" s="50" t="s">
        <v>14208</v>
      </c>
      <c r="AE255" s="50" t="s">
        <v>109</v>
      </c>
      <c r="AF255" s="50" t="s">
        <v>102</v>
      </c>
      <c r="AG255" s="50" t="s">
        <v>109</v>
      </c>
      <c r="AH255" s="50" t="s">
        <v>102</v>
      </c>
      <c r="AI255" s="50" t="s">
        <v>14209</v>
      </c>
      <c r="AJ255" s="50" t="s">
        <v>14210</v>
      </c>
      <c r="AK255" s="50" t="s">
        <v>14210</v>
      </c>
      <c r="AL255" s="50" t="s">
        <v>14211</v>
      </c>
      <c r="AM255" s="50" t="s">
        <v>14212</v>
      </c>
      <c r="AN255" s="50" t="s">
        <v>14213</v>
      </c>
      <c r="AO255" s="50" t="s">
        <v>14214</v>
      </c>
      <c r="AP255" s="50" t="s">
        <v>14214</v>
      </c>
      <c r="AU255" s="50" t="s">
        <v>318</v>
      </c>
      <c r="AV255" s="50" t="s">
        <v>118</v>
      </c>
      <c r="AW255" s="50" t="s">
        <v>102</v>
      </c>
      <c r="AX255" s="50" t="s">
        <v>119</v>
      </c>
      <c r="BB255" s="50" t="s">
        <v>120</v>
      </c>
      <c r="BC255" s="50" t="s">
        <v>409</v>
      </c>
      <c r="BD255" s="50" t="s">
        <v>410</v>
      </c>
      <c r="BE255" s="50" t="s">
        <v>212</v>
      </c>
      <c r="BF255" s="50" t="s">
        <v>410</v>
      </c>
      <c r="BG255" s="50" t="s">
        <v>124</v>
      </c>
      <c r="BH255" s="50" t="s">
        <v>12082</v>
      </c>
      <c r="BI255" s="50" t="s">
        <v>11889</v>
      </c>
      <c r="BJ255" s="50" t="s">
        <v>127</v>
      </c>
      <c r="BK255" s="50" t="s">
        <v>14215</v>
      </c>
      <c r="BL255" s="50" t="s">
        <v>3702</v>
      </c>
      <c r="BM255" s="50" t="s">
        <v>14216</v>
      </c>
      <c r="BN255" s="50" t="s">
        <v>6443</v>
      </c>
      <c r="BO255" s="50" t="s">
        <v>866</v>
      </c>
      <c r="BP255" s="50" t="s">
        <v>132</v>
      </c>
      <c r="BQ255" s="50" t="s">
        <v>867</v>
      </c>
      <c r="BR255" s="50" t="s">
        <v>868</v>
      </c>
      <c r="BS255" s="50" t="s">
        <v>418</v>
      </c>
      <c r="BU255" s="50" t="s">
        <v>14217</v>
      </c>
      <c r="BV255" s="50" t="s">
        <v>3585</v>
      </c>
      <c r="BW255" s="50" t="s">
        <v>598</v>
      </c>
      <c r="BX255" s="50" t="s">
        <v>225</v>
      </c>
      <c r="BY255" s="50" t="s">
        <v>10475</v>
      </c>
      <c r="BZ255" s="50" t="s">
        <v>3705</v>
      </c>
      <c r="CA255" s="50" t="s">
        <v>14218</v>
      </c>
      <c r="CB255" s="50" t="s">
        <v>14219</v>
      </c>
      <c r="CC255" s="50" t="s">
        <v>14220</v>
      </c>
      <c r="CD255" s="50" t="s">
        <v>14221</v>
      </c>
      <c r="CE255" s="50" t="s">
        <v>14222</v>
      </c>
      <c r="CF255" s="50" t="s">
        <v>14223</v>
      </c>
      <c r="CG255" s="50" t="s">
        <v>102</v>
      </c>
      <c r="CH255" s="50" t="s">
        <v>3706</v>
      </c>
      <c r="CJ255" s="50" t="s">
        <v>3707</v>
      </c>
      <c r="CL255" s="50" t="s">
        <v>409</v>
      </c>
      <c r="CM255" s="50" t="s">
        <v>410</v>
      </c>
      <c r="CN255" s="50" t="s">
        <v>3707</v>
      </c>
      <c r="CO255" s="50" t="s">
        <v>3589</v>
      </c>
      <c r="CP255" s="50" t="s">
        <v>3706</v>
      </c>
      <c r="CQ255" s="50" t="s">
        <v>3706</v>
      </c>
      <c r="CR255" s="50" t="s">
        <v>26040</v>
      </c>
    </row>
    <row r="256" spans="1:96">
      <c r="A256" s="50" t="s">
        <v>93</v>
      </c>
      <c r="B256" s="50">
        <v>3155272</v>
      </c>
      <c r="C256" s="50" t="s">
        <v>2525</v>
      </c>
      <c r="D256" s="50" t="s">
        <v>15052</v>
      </c>
      <c r="E256" s="50" t="e">
        <f>VLOOKUP(B256,aa!B:F,5,0)</f>
        <v>#N/A</v>
      </c>
      <c r="F256" s="50" t="e">
        <f>VLOOKUP(B256,aa!B:J,9,0)</f>
        <v>#N/A</v>
      </c>
      <c r="G256" s="50" t="e">
        <f>VLOOKUP(B256,aa!B:L,11,0)</f>
        <v>#N/A</v>
      </c>
      <c r="H256" s="50" t="e">
        <f>VLOOKUP(B256,aa!B:O,14,0)</f>
        <v>#N/A</v>
      </c>
      <c r="I256" s="50" t="e">
        <f>VLOOKUP(B256,aa!B:R,17,0)</f>
        <v>#N/A</v>
      </c>
      <c r="K256" s="50" t="s">
        <v>8024</v>
      </c>
      <c r="L256" s="50">
        <v>1931311</v>
      </c>
      <c r="M256" s="50">
        <v>2119001</v>
      </c>
      <c r="N256" s="50">
        <v>0</v>
      </c>
      <c r="O256" s="50">
        <v>0</v>
      </c>
      <c r="Q256" s="50">
        <v>888588</v>
      </c>
      <c r="R256" s="50">
        <v>847</v>
      </c>
      <c r="S256" s="50" t="s">
        <v>8026</v>
      </c>
      <c r="T256" s="50">
        <v>1042723</v>
      </c>
      <c r="U256" s="50">
        <v>847</v>
      </c>
      <c r="V256" s="50" t="s">
        <v>9924</v>
      </c>
      <c r="W256" s="50" t="s">
        <v>102</v>
      </c>
      <c r="X256" s="50" t="s">
        <v>103</v>
      </c>
      <c r="Y256" s="50" t="s">
        <v>155</v>
      </c>
      <c r="AA256" s="50" t="s">
        <v>13680</v>
      </c>
      <c r="AB256" s="50" t="s">
        <v>15053</v>
      </c>
      <c r="AC256" s="50" t="s">
        <v>12082</v>
      </c>
      <c r="AD256" s="50" t="s">
        <v>15053</v>
      </c>
      <c r="AE256" s="50" t="s">
        <v>11888</v>
      </c>
      <c r="AF256" s="50" t="s">
        <v>15053</v>
      </c>
      <c r="AG256" s="50" t="s">
        <v>12084</v>
      </c>
      <c r="AH256" s="50" t="s">
        <v>15053</v>
      </c>
      <c r="AI256" s="50" t="s">
        <v>102</v>
      </c>
      <c r="AJ256" s="50" t="s">
        <v>13455</v>
      </c>
      <c r="AK256" s="50" t="s">
        <v>15054</v>
      </c>
      <c r="AL256" s="50" t="s">
        <v>15055</v>
      </c>
      <c r="AM256" s="50" t="s">
        <v>15056</v>
      </c>
      <c r="AN256" s="50" t="s">
        <v>15057</v>
      </c>
      <c r="AO256" s="50" t="s">
        <v>15058</v>
      </c>
      <c r="AP256" s="50" t="s">
        <v>15059</v>
      </c>
      <c r="AS256" s="50" t="s">
        <v>169</v>
      </c>
      <c r="AT256" s="50" t="s">
        <v>169</v>
      </c>
      <c r="AU256" s="50" t="s">
        <v>102</v>
      </c>
      <c r="AW256" s="50" t="s">
        <v>155</v>
      </c>
      <c r="AX256" s="50" t="s">
        <v>119</v>
      </c>
      <c r="AY256" s="50" t="s">
        <v>170</v>
      </c>
      <c r="AZ256" s="50" t="s">
        <v>118</v>
      </c>
      <c r="BA256" s="50" t="s">
        <v>250</v>
      </c>
      <c r="BB256" s="50" t="s">
        <v>120</v>
      </c>
      <c r="BC256" s="50" t="s">
        <v>729</v>
      </c>
      <c r="BD256" s="50" t="s">
        <v>730</v>
      </c>
      <c r="BE256" s="50" t="s">
        <v>622</v>
      </c>
      <c r="BF256" s="50" t="s">
        <v>730</v>
      </c>
      <c r="BG256" s="50" t="s">
        <v>124</v>
      </c>
      <c r="BH256" s="50" t="s">
        <v>12023</v>
      </c>
      <c r="BI256" s="50" t="s">
        <v>11889</v>
      </c>
      <c r="BJ256" s="50" t="s">
        <v>127</v>
      </c>
      <c r="BK256" s="50" t="s">
        <v>15060</v>
      </c>
      <c r="BL256" s="50" t="s">
        <v>4820</v>
      </c>
      <c r="BM256" s="50" t="s">
        <v>15061</v>
      </c>
      <c r="BN256" s="50" t="s">
        <v>6443</v>
      </c>
      <c r="BO256" s="50" t="s">
        <v>2262</v>
      </c>
      <c r="BP256" s="50" t="s">
        <v>350</v>
      </c>
      <c r="BQ256" s="50" t="s">
        <v>2263</v>
      </c>
      <c r="BR256" s="50" t="s">
        <v>2264</v>
      </c>
      <c r="BS256" s="50" t="s">
        <v>2569</v>
      </c>
      <c r="BU256" s="50" t="s">
        <v>15062</v>
      </c>
      <c r="BV256" s="50" t="s">
        <v>4823</v>
      </c>
      <c r="BW256" s="50" t="s">
        <v>354</v>
      </c>
      <c r="BX256" s="50" t="s">
        <v>4824</v>
      </c>
      <c r="BY256" s="50" t="s">
        <v>4825</v>
      </c>
      <c r="BZ256" s="50" t="s">
        <v>4824</v>
      </c>
      <c r="CA256" s="50" t="s">
        <v>15063</v>
      </c>
      <c r="CB256" s="50" t="s">
        <v>4827</v>
      </c>
      <c r="CC256" s="50" t="s">
        <v>4828</v>
      </c>
      <c r="CD256" s="50" t="s">
        <v>15064</v>
      </c>
      <c r="CE256" s="50" t="s">
        <v>4827</v>
      </c>
      <c r="CF256" s="50" t="s">
        <v>15065</v>
      </c>
      <c r="CG256" s="50" t="s">
        <v>4829</v>
      </c>
      <c r="CH256" s="50" t="s">
        <v>4830</v>
      </c>
      <c r="CJ256" s="50" t="s">
        <v>3970</v>
      </c>
      <c r="CK256" s="50" t="s">
        <v>15066</v>
      </c>
      <c r="CL256" s="50" t="s">
        <v>729</v>
      </c>
      <c r="CM256" s="50" t="s">
        <v>730</v>
      </c>
      <c r="CN256" s="50" t="s">
        <v>3970</v>
      </c>
      <c r="CO256" s="50" t="s">
        <v>4831</v>
      </c>
      <c r="CP256" s="50" t="s">
        <v>4830</v>
      </c>
      <c r="CQ256" s="50" t="s">
        <v>4830</v>
      </c>
      <c r="CR256" s="50" t="s">
        <v>26046</v>
      </c>
    </row>
    <row r="257" spans="1:96">
      <c r="A257" s="50" t="s">
        <v>149</v>
      </c>
      <c r="B257" s="50">
        <v>381519</v>
      </c>
      <c r="C257" s="50" t="s">
        <v>384</v>
      </c>
      <c r="D257" s="50" t="s">
        <v>7526</v>
      </c>
      <c r="E257" s="50" t="str">
        <f>VLOOKUP(B257,aa!B:F,5,0)</f>
        <v>Ei Mindspark</v>
      </c>
      <c r="F257" s="50">
        <f>VLOOKUP(B257,aa!B:J,9,0)</f>
        <v>1233873</v>
      </c>
      <c r="G257" s="50">
        <f>VLOOKUP(B257,aa!B:L,11,0)</f>
        <v>0</v>
      </c>
      <c r="H257" s="50">
        <f>VLOOKUP(B257,aa!B:O,14,0)</f>
        <v>0</v>
      </c>
      <c r="I257" s="50">
        <f>VLOOKUP(B257,aa!B:R,17,0)</f>
        <v>1233873</v>
      </c>
      <c r="K257" s="50" t="s">
        <v>848</v>
      </c>
      <c r="L257" s="50">
        <v>1360648</v>
      </c>
      <c r="M257" s="50">
        <v>1605565</v>
      </c>
      <c r="N257" s="50">
        <v>0</v>
      </c>
      <c r="O257" s="50">
        <v>0</v>
      </c>
      <c r="Q257" s="50">
        <v>0</v>
      </c>
      <c r="R257" s="50">
        <v>0</v>
      </c>
      <c r="T257" s="50">
        <v>1360648</v>
      </c>
      <c r="U257" s="50">
        <v>720</v>
      </c>
      <c r="V257" s="50" t="s">
        <v>7528</v>
      </c>
      <c r="W257" s="50" t="s">
        <v>102</v>
      </c>
      <c r="X257" s="50" t="s">
        <v>103</v>
      </c>
      <c r="Y257" s="50" t="s">
        <v>155</v>
      </c>
      <c r="AA257" s="50" t="s">
        <v>1941</v>
      </c>
      <c r="AB257" s="50" t="s">
        <v>17032</v>
      </c>
      <c r="AC257" s="50" t="s">
        <v>12040</v>
      </c>
      <c r="AD257" s="50" t="s">
        <v>17032</v>
      </c>
      <c r="AE257" s="50" t="s">
        <v>12099</v>
      </c>
      <c r="AF257" s="50" t="s">
        <v>17032</v>
      </c>
      <c r="AG257" s="50" t="s">
        <v>11886</v>
      </c>
      <c r="AH257" s="50" t="s">
        <v>17032</v>
      </c>
      <c r="AI257" s="50" t="s">
        <v>17033</v>
      </c>
      <c r="AJ257" s="50" t="s">
        <v>12711</v>
      </c>
      <c r="AK257" s="50" t="s">
        <v>16844</v>
      </c>
      <c r="AL257" s="50" t="s">
        <v>17034</v>
      </c>
      <c r="AM257" s="50" t="s">
        <v>17035</v>
      </c>
      <c r="AN257" s="50" t="s">
        <v>17036</v>
      </c>
      <c r="AO257" s="50" t="s">
        <v>7535</v>
      </c>
      <c r="AP257" s="50" t="s">
        <v>7535</v>
      </c>
      <c r="AU257" s="50" t="s">
        <v>102</v>
      </c>
      <c r="AW257" s="50" t="s">
        <v>102</v>
      </c>
      <c r="AX257" s="50" t="s">
        <v>119</v>
      </c>
      <c r="BA257" s="50" t="s">
        <v>250</v>
      </c>
      <c r="BB257" s="50" t="s">
        <v>120</v>
      </c>
      <c r="BC257" s="50" t="s">
        <v>375</v>
      </c>
      <c r="BD257" s="50" t="s">
        <v>376</v>
      </c>
      <c r="BE257" s="50" t="s">
        <v>174</v>
      </c>
      <c r="BF257" s="50" t="s">
        <v>376</v>
      </c>
      <c r="BG257" s="50" t="s">
        <v>124</v>
      </c>
      <c r="BH257" s="50" t="s">
        <v>12926</v>
      </c>
      <c r="BI257" s="50" t="s">
        <v>11889</v>
      </c>
      <c r="BJ257" s="50" t="s">
        <v>127</v>
      </c>
      <c r="BK257" s="50" t="s">
        <v>17037</v>
      </c>
      <c r="BL257" s="50" t="s">
        <v>7537</v>
      </c>
      <c r="BM257" s="50" t="s">
        <v>17038</v>
      </c>
      <c r="BN257" s="50" t="s">
        <v>6443</v>
      </c>
      <c r="BO257" s="50" t="s">
        <v>1917</v>
      </c>
      <c r="BP257" s="50" t="s">
        <v>180</v>
      </c>
      <c r="BQ257" s="50" t="s">
        <v>1918</v>
      </c>
      <c r="BR257" s="50" t="s">
        <v>1919</v>
      </c>
      <c r="BS257" s="50" t="s">
        <v>384</v>
      </c>
      <c r="BU257" s="50" t="s">
        <v>17039</v>
      </c>
      <c r="BV257" s="50" t="s">
        <v>17040</v>
      </c>
      <c r="BX257" s="50" t="s">
        <v>7545</v>
      </c>
      <c r="BY257" s="50" t="s">
        <v>7546</v>
      </c>
      <c r="BZ257" s="50" t="s">
        <v>7543</v>
      </c>
      <c r="CA257" s="50" t="s">
        <v>17040</v>
      </c>
      <c r="CB257" s="50" t="s">
        <v>7545</v>
      </c>
      <c r="CC257" s="50" t="s">
        <v>7546</v>
      </c>
      <c r="CD257" s="50" t="s">
        <v>17040</v>
      </c>
      <c r="CE257" s="50" t="s">
        <v>7545</v>
      </c>
      <c r="CF257" s="50" t="s">
        <v>7546</v>
      </c>
      <c r="CG257" s="50" t="s">
        <v>102</v>
      </c>
      <c r="CH257" s="50" t="s">
        <v>17041</v>
      </c>
      <c r="CJ257" s="50" t="s">
        <v>7551</v>
      </c>
      <c r="CL257" s="50" t="s">
        <v>375</v>
      </c>
      <c r="CM257" s="50" t="s">
        <v>376</v>
      </c>
      <c r="CN257" s="50" t="s">
        <v>7551</v>
      </c>
      <c r="CO257" s="50" t="s">
        <v>7552</v>
      </c>
      <c r="CP257" s="50" t="s">
        <v>7550</v>
      </c>
      <c r="CQ257" s="50" t="s">
        <v>7550</v>
      </c>
    </row>
    <row r="258" spans="1:96">
      <c r="A258" s="50" t="s">
        <v>149</v>
      </c>
      <c r="B258" s="50">
        <v>3992442</v>
      </c>
      <c r="C258" s="50" t="s">
        <v>12018</v>
      </c>
      <c r="D258" s="50" t="s">
        <v>8195</v>
      </c>
      <c r="E258" s="50" t="e">
        <f>VLOOKUP(B258,aa!B:F,5,0)</f>
        <v>#N/A</v>
      </c>
      <c r="F258" s="50" t="e">
        <f>VLOOKUP(B258,aa!B:J,9,0)</f>
        <v>#N/A</v>
      </c>
      <c r="G258" s="50" t="e">
        <f>VLOOKUP(B258,aa!B:L,11,0)</f>
        <v>#N/A</v>
      </c>
      <c r="H258" s="50" t="e">
        <f>VLOOKUP(B258,aa!B:O,14,0)</f>
        <v>#N/A</v>
      </c>
      <c r="I258" s="50" t="e">
        <f>VLOOKUP(B258,aa!B:R,17,0)</f>
        <v>#N/A</v>
      </c>
      <c r="K258" s="50" t="s">
        <v>848</v>
      </c>
      <c r="L258" s="50">
        <v>562413</v>
      </c>
      <c r="M258" s="50">
        <v>663647</v>
      </c>
      <c r="N258" s="50">
        <v>0</v>
      </c>
      <c r="O258" s="50">
        <v>0</v>
      </c>
      <c r="Q258" s="50">
        <v>0</v>
      </c>
      <c r="R258" s="50">
        <v>0</v>
      </c>
      <c r="T258" s="50">
        <v>562413</v>
      </c>
      <c r="U258" s="50">
        <v>261</v>
      </c>
      <c r="V258" s="50" t="s">
        <v>17512</v>
      </c>
      <c r="W258" s="50" t="s">
        <v>102</v>
      </c>
      <c r="X258" s="50" t="s">
        <v>103</v>
      </c>
      <c r="Y258" s="50" t="s">
        <v>155</v>
      </c>
      <c r="AA258" s="50" t="s">
        <v>625</v>
      </c>
      <c r="AB258" s="50" t="s">
        <v>17513</v>
      </c>
      <c r="AC258" s="50" t="s">
        <v>3679</v>
      </c>
      <c r="AD258" s="50" t="s">
        <v>17513</v>
      </c>
      <c r="AE258" s="50" t="s">
        <v>1427</v>
      </c>
      <c r="AF258" s="50" t="s">
        <v>17513</v>
      </c>
      <c r="AG258" s="50" t="s">
        <v>11886</v>
      </c>
      <c r="AH258" s="50" t="s">
        <v>17513</v>
      </c>
      <c r="AI258" s="50" t="s">
        <v>102</v>
      </c>
      <c r="AL258" s="50" t="s">
        <v>17514</v>
      </c>
      <c r="AM258" s="50" t="s">
        <v>102</v>
      </c>
      <c r="AN258" s="50" t="s">
        <v>17514</v>
      </c>
      <c r="AO258" s="50" t="s">
        <v>3959</v>
      </c>
      <c r="AP258" s="50" t="s">
        <v>3959</v>
      </c>
      <c r="AU258" s="50" t="s">
        <v>102</v>
      </c>
      <c r="AW258" s="50" t="s">
        <v>102</v>
      </c>
      <c r="AX258" s="50" t="s">
        <v>119</v>
      </c>
      <c r="BA258" s="50" t="s">
        <v>250</v>
      </c>
      <c r="BB258" s="50" t="s">
        <v>120</v>
      </c>
      <c r="BC258" s="50" t="s">
        <v>8204</v>
      </c>
      <c r="BD258" s="50" t="s">
        <v>2800</v>
      </c>
      <c r="BE258" s="50" t="s">
        <v>122</v>
      </c>
      <c r="BF258" s="50" t="s">
        <v>346</v>
      </c>
      <c r="BG258" s="50" t="s">
        <v>124</v>
      </c>
      <c r="BH258" s="50" t="s">
        <v>12023</v>
      </c>
      <c r="BI258" s="50" t="s">
        <v>11889</v>
      </c>
      <c r="BJ258" s="50" t="s">
        <v>127</v>
      </c>
      <c r="BK258" s="50" t="s">
        <v>17515</v>
      </c>
      <c r="BL258" s="50" t="s">
        <v>8206</v>
      </c>
      <c r="BM258" s="50" t="s">
        <v>17516</v>
      </c>
      <c r="BN258" s="50" t="s">
        <v>6443</v>
      </c>
      <c r="BO258" s="50" t="s">
        <v>593</v>
      </c>
      <c r="BP258" s="50" t="s">
        <v>350</v>
      </c>
      <c r="BQ258" s="50" t="s">
        <v>594</v>
      </c>
      <c r="BR258" s="50" t="s">
        <v>595</v>
      </c>
      <c r="BS258" s="50" t="s">
        <v>328</v>
      </c>
      <c r="BU258" s="50" t="s">
        <v>17517</v>
      </c>
      <c r="BV258" s="50" t="s">
        <v>8209</v>
      </c>
      <c r="BW258" s="50" t="s">
        <v>138</v>
      </c>
      <c r="BX258" s="50" t="s">
        <v>8210</v>
      </c>
      <c r="BY258" s="50" t="s">
        <v>8211</v>
      </c>
      <c r="BZ258" s="50" t="s">
        <v>8212</v>
      </c>
      <c r="CA258" s="50" t="s">
        <v>8209</v>
      </c>
      <c r="CB258" s="50" t="s">
        <v>8210</v>
      </c>
      <c r="CC258" s="50" t="s">
        <v>8211</v>
      </c>
      <c r="CD258" s="50" t="s">
        <v>17518</v>
      </c>
      <c r="CE258" s="50" t="s">
        <v>8210</v>
      </c>
      <c r="CF258" s="50" t="s">
        <v>17519</v>
      </c>
      <c r="CG258" s="50" t="s">
        <v>1538</v>
      </c>
      <c r="CH258" s="50" t="s">
        <v>8213</v>
      </c>
      <c r="CJ258" s="50" t="s">
        <v>8214</v>
      </c>
      <c r="CK258" s="50" t="s">
        <v>8213</v>
      </c>
      <c r="CL258" s="50" t="s">
        <v>8204</v>
      </c>
      <c r="CM258" s="50" t="s">
        <v>2800</v>
      </c>
      <c r="CN258" s="50" t="s">
        <v>8214</v>
      </c>
      <c r="CP258" s="50" t="s">
        <v>8213</v>
      </c>
      <c r="CQ258" s="50" t="s">
        <v>8213</v>
      </c>
    </row>
    <row r="259" spans="1:96">
      <c r="A259" s="50" t="s">
        <v>337</v>
      </c>
      <c r="B259" s="50">
        <v>950643</v>
      </c>
      <c r="C259" s="50" t="s">
        <v>11898</v>
      </c>
      <c r="D259" s="50" t="s">
        <v>21584</v>
      </c>
      <c r="E259" s="50" t="e">
        <f>VLOOKUP(B259,aa!B:F,5,0)</f>
        <v>#N/A</v>
      </c>
      <c r="F259" s="50" t="e">
        <f>VLOOKUP(B259,aa!B:J,9,0)</f>
        <v>#N/A</v>
      </c>
      <c r="G259" s="50" t="e">
        <f>VLOOKUP(B259,aa!B:L,11,0)</f>
        <v>#N/A</v>
      </c>
      <c r="H259" s="50" t="e">
        <f>VLOOKUP(B259,aa!B:O,14,0)</f>
        <v>#N/A</v>
      </c>
      <c r="I259" s="50" t="e">
        <f>VLOOKUP(B259,aa!B:R,17,0)</f>
        <v>#N/A</v>
      </c>
      <c r="K259" s="50" t="s">
        <v>152</v>
      </c>
      <c r="L259" s="50">
        <v>250016</v>
      </c>
      <c r="M259" s="50">
        <v>250016</v>
      </c>
      <c r="N259" s="50">
        <v>0</v>
      </c>
      <c r="O259" s="50">
        <v>0</v>
      </c>
      <c r="Q259" s="50">
        <v>250016</v>
      </c>
      <c r="R259" s="50">
        <v>490</v>
      </c>
      <c r="S259" s="50" t="s">
        <v>21585</v>
      </c>
      <c r="T259" s="50">
        <v>0</v>
      </c>
      <c r="U259" s="50">
        <v>0</v>
      </c>
      <c r="W259" s="50" t="s">
        <v>102</v>
      </c>
      <c r="X259" s="50" t="s">
        <v>275</v>
      </c>
      <c r="Z259" s="50" t="s">
        <v>126</v>
      </c>
      <c r="AA259" s="50" t="s">
        <v>109</v>
      </c>
      <c r="AB259" s="50" t="s">
        <v>102</v>
      </c>
      <c r="AC259" s="50" t="s">
        <v>109</v>
      </c>
      <c r="AD259" s="50" t="s">
        <v>102</v>
      </c>
      <c r="AE259" s="50" t="s">
        <v>109</v>
      </c>
      <c r="AF259" s="50" t="s">
        <v>102</v>
      </c>
      <c r="AG259" s="50" t="s">
        <v>109</v>
      </c>
      <c r="AH259" s="50" t="s">
        <v>102</v>
      </c>
      <c r="AI259" s="50" t="s">
        <v>102</v>
      </c>
      <c r="AJ259" s="50" t="s">
        <v>7145</v>
      </c>
      <c r="AK259" s="50" t="s">
        <v>7145</v>
      </c>
      <c r="AL259" s="50" t="s">
        <v>21586</v>
      </c>
      <c r="AM259" s="50" t="s">
        <v>21586</v>
      </c>
      <c r="AN259" s="50" t="s">
        <v>102</v>
      </c>
      <c r="AO259" s="50" t="s">
        <v>21587</v>
      </c>
      <c r="AP259" s="50" t="s">
        <v>21588</v>
      </c>
      <c r="AQ259" s="50" t="s">
        <v>343</v>
      </c>
      <c r="AU259" s="50" t="s">
        <v>102</v>
      </c>
      <c r="AW259" s="50" t="s">
        <v>104</v>
      </c>
      <c r="AX259" s="50" t="s">
        <v>447</v>
      </c>
      <c r="AY259" s="50" t="s">
        <v>1138</v>
      </c>
      <c r="AZ259" s="50" t="s">
        <v>118</v>
      </c>
      <c r="BB259" s="50" t="s">
        <v>120</v>
      </c>
      <c r="BC259" s="50" t="s">
        <v>121</v>
      </c>
      <c r="BD259" s="50" t="s">
        <v>121</v>
      </c>
      <c r="BE259" s="50" t="s">
        <v>122</v>
      </c>
      <c r="BF259" s="50" t="s">
        <v>123</v>
      </c>
      <c r="BG259" s="50" t="s">
        <v>124</v>
      </c>
      <c r="BH259" s="50" t="s">
        <v>12023</v>
      </c>
      <c r="BI259" s="50" t="s">
        <v>11889</v>
      </c>
      <c r="BJ259" s="50" t="s">
        <v>127</v>
      </c>
      <c r="BK259" s="50" t="s">
        <v>21589</v>
      </c>
      <c r="BL259" s="50" t="s">
        <v>21590</v>
      </c>
      <c r="BM259" s="50" t="s">
        <v>21591</v>
      </c>
      <c r="BN259" s="50" t="s">
        <v>6443</v>
      </c>
      <c r="BO259" s="50" t="s">
        <v>7005</v>
      </c>
      <c r="BP259" s="50" t="s">
        <v>350</v>
      </c>
      <c r="BQ259" s="50" t="s">
        <v>7006</v>
      </c>
      <c r="BR259" s="50" t="s">
        <v>7007</v>
      </c>
      <c r="BS259" s="50" t="s">
        <v>7008</v>
      </c>
      <c r="BU259" s="50" t="s">
        <v>21592</v>
      </c>
      <c r="BV259" s="50" t="s">
        <v>21593</v>
      </c>
      <c r="BW259" s="50" t="s">
        <v>138</v>
      </c>
      <c r="BX259" s="50" t="s">
        <v>21594</v>
      </c>
      <c r="BY259" s="50" t="s">
        <v>21595</v>
      </c>
      <c r="BZ259" s="50" t="s">
        <v>21594</v>
      </c>
      <c r="CA259" s="50" t="s">
        <v>21593</v>
      </c>
      <c r="CB259" s="50" t="s">
        <v>21594</v>
      </c>
      <c r="CC259" s="50" t="s">
        <v>21595</v>
      </c>
      <c r="CD259" s="50" t="s">
        <v>21593</v>
      </c>
      <c r="CE259" s="50" t="s">
        <v>21594</v>
      </c>
      <c r="CF259" s="50" t="s">
        <v>21595</v>
      </c>
      <c r="CG259" s="50" t="s">
        <v>9277</v>
      </c>
      <c r="CH259" s="50" t="s">
        <v>21584</v>
      </c>
      <c r="CJ259" s="50" t="s">
        <v>5311</v>
      </c>
      <c r="CK259" s="50" t="s">
        <v>21584</v>
      </c>
      <c r="CL259" s="50" t="s">
        <v>121</v>
      </c>
      <c r="CM259" s="50" t="s">
        <v>2226</v>
      </c>
      <c r="CN259" s="50" t="s">
        <v>5311</v>
      </c>
      <c r="CP259" s="50" t="s">
        <v>21596</v>
      </c>
      <c r="CQ259" s="50" t="s">
        <v>21596</v>
      </c>
    </row>
    <row r="260" spans="1:96">
      <c r="A260" s="50" t="s">
        <v>149</v>
      </c>
      <c r="B260" s="50">
        <v>4002148</v>
      </c>
      <c r="C260" s="50" t="s">
        <v>12155</v>
      </c>
      <c r="D260" s="50" t="s">
        <v>8549</v>
      </c>
      <c r="E260" s="50" t="str">
        <f>VLOOKUP(B260,aa!B:F,5,0)</f>
        <v>Ei ASSET, Ei CARES</v>
      </c>
      <c r="F260" s="50">
        <f>VLOOKUP(B260,aa!B:J,9,0)</f>
        <v>992909</v>
      </c>
      <c r="G260" s="50">
        <f>VLOOKUP(B260,aa!B:L,11,0)</f>
        <v>338052</v>
      </c>
      <c r="H260" s="50">
        <f>VLOOKUP(B260,aa!B:O,14,0)</f>
        <v>654857</v>
      </c>
      <c r="I260" s="50">
        <f>VLOOKUP(B260,aa!B:R,17,0)</f>
        <v>0</v>
      </c>
      <c r="K260" s="50" t="s">
        <v>675</v>
      </c>
      <c r="L260" s="50">
        <v>877471</v>
      </c>
      <c r="M260" s="50">
        <v>877471</v>
      </c>
      <c r="N260" s="50">
        <v>321799</v>
      </c>
      <c r="O260" s="50">
        <v>495</v>
      </c>
      <c r="P260" s="50" t="s">
        <v>1122</v>
      </c>
      <c r="Q260" s="50">
        <v>555672</v>
      </c>
      <c r="R260" s="50">
        <v>411</v>
      </c>
      <c r="S260" s="50" t="s">
        <v>17934</v>
      </c>
      <c r="T260" s="50">
        <v>0</v>
      </c>
      <c r="U260" s="50">
        <v>0</v>
      </c>
      <c r="W260" s="50" t="s">
        <v>102</v>
      </c>
      <c r="X260" s="50" t="s">
        <v>103</v>
      </c>
      <c r="Y260" s="50" t="s">
        <v>801</v>
      </c>
      <c r="AA260" s="50" t="s">
        <v>17935</v>
      </c>
      <c r="AB260" s="50" t="s">
        <v>17936</v>
      </c>
      <c r="AC260" s="50" t="s">
        <v>17937</v>
      </c>
      <c r="AD260" s="50" t="s">
        <v>17938</v>
      </c>
      <c r="AE260" s="50" t="s">
        <v>17939</v>
      </c>
      <c r="AF260" s="50" t="s">
        <v>17940</v>
      </c>
      <c r="AG260" s="50" t="s">
        <v>12216</v>
      </c>
      <c r="AH260" s="50" t="s">
        <v>17940</v>
      </c>
      <c r="AI260" s="50" t="s">
        <v>17941</v>
      </c>
      <c r="AJ260" s="50" t="s">
        <v>17942</v>
      </c>
      <c r="AK260" s="50" t="s">
        <v>17943</v>
      </c>
      <c r="AL260" s="50" t="s">
        <v>17944</v>
      </c>
      <c r="AM260" s="50" t="s">
        <v>17945</v>
      </c>
      <c r="AN260" s="50" t="s">
        <v>17946</v>
      </c>
      <c r="AO260" s="50" t="s">
        <v>17947</v>
      </c>
      <c r="AP260" s="50" t="s">
        <v>17947</v>
      </c>
      <c r="AU260" s="50" t="s">
        <v>207</v>
      </c>
      <c r="AV260" s="50" t="s">
        <v>118</v>
      </c>
      <c r="AW260" s="50" t="s">
        <v>655</v>
      </c>
      <c r="AX260" s="50" t="s">
        <v>119</v>
      </c>
      <c r="AY260" s="50" t="s">
        <v>170</v>
      </c>
      <c r="AZ260" s="50" t="s">
        <v>118</v>
      </c>
      <c r="BB260" s="50" t="s">
        <v>120</v>
      </c>
      <c r="BC260" s="50" t="s">
        <v>1036</v>
      </c>
      <c r="BD260" s="50" t="s">
        <v>173</v>
      </c>
      <c r="BE260" s="50" t="s">
        <v>174</v>
      </c>
      <c r="BF260" s="50" t="s">
        <v>173</v>
      </c>
      <c r="BG260" s="50" t="s">
        <v>124</v>
      </c>
      <c r="BH260" s="50" t="s">
        <v>6177</v>
      </c>
      <c r="BI260" s="50" t="s">
        <v>11889</v>
      </c>
      <c r="BJ260" s="50" t="s">
        <v>127</v>
      </c>
      <c r="BK260" s="50" t="s">
        <v>17948</v>
      </c>
      <c r="BL260" s="50" t="s">
        <v>8564</v>
      </c>
      <c r="BM260" s="50" t="s">
        <v>17949</v>
      </c>
      <c r="BN260" s="50" t="s">
        <v>17933</v>
      </c>
      <c r="BO260" s="50" t="s">
        <v>12557</v>
      </c>
      <c r="BP260" s="50" t="s">
        <v>180</v>
      </c>
      <c r="BQ260" s="50" t="s">
        <v>12558</v>
      </c>
      <c r="BR260" s="50" t="s">
        <v>12559</v>
      </c>
      <c r="BS260" s="50" t="s">
        <v>183</v>
      </c>
      <c r="BU260" s="50" t="s">
        <v>17950</v>
      </c>
      <c r="BV260" s="50" t="s">
        <v>17951</v>
      </c>
      <c r="BW260" s="50" t="s">
        <v>138</v>
      </c>
      <c r="BX260" s="50" t="s">
        <v>17952</v>
      </c>
      <c r="BY260" s="50" t="s">
        <v>17953</v>
      </c>
      <c r="BZ260" s="50" t="s">
        <v>8568</v>
      </c>
      <c r="CA260" s="50" t="s">
        <v>17951</v>
      </c>
      <c r="CB260" s="50" t="s">
        <v>17952</v>
      </c>
      <c r="CC260" s="50" t="s">
        <v>17953</v>
      </c>
      <c r="CD260" s="50" t="s">
        <v>17954</v>
      </c>
      <c r="CE260" s="50" t="s">
        <v>17952</v>
      </c>
      <c r="CF260" s="50" t="s">
        <v>17955</v>
      </c>
      <c r="CG260" s="50" t="s">
        <v>102</v>
      </c>
      <c r="CH260" s="50" t="s">
        <v>17956</v>
      </c>
      <c r="CJ260" s="50" t="s">
        <v>8571</v>
      </c>
      <c r="CK260" s="50" t="s">
        <v>17956</v>
      </c>
      <c r="CL260" s="50" t="s">
        <v>1036</v>
      </c>
      <c r="CM260" s="50" t="s">
        <v>173</v>
      </c>
      <c r="CN260" s="50" t="s">
        <v>8571</v>
      </c>
      <c r="CO260" s="50" t="s">
        <v>8572</v>
      </c>
      <c r="CP260" s="50" t="s">
        <v>8570</v>
      </c>
      <c r="CQ260" s="50" t="s">
        <v>8570</v>
      </c>
    </row>
    <row r="261" spans="1:96">
      <c r="A261" s="50" t="s">
        <v>149</v>
      </c>
      <c r="B261" s="50">
        <v>3249655</v>
      </c>
      <c r="C261" s="50" t="s">
        <v>3562</v>
      </c>
      <c r="D261" s="50" t="s">
        <v>5060</v>
      </c>
      <c r="E261" s="50" t="str">
        <f>VLOOKUP(B261,aa!B:F,5,0)</f>
        <v>Ei ASSET</v>
      </c>
      <c r="F261" s="50">
        <f>VLOOKUP(B261,aa!B:J,9,0)</f>
        <v>863977</v>
      </c>
      <c r="G261" s="50">
        <f>VLOOKUP(B261,aa!B:L,11,0)</f>
        <v>863977</v>
      </c>
      <c r="H261" s="50">
        <f>VLOOKUP(B261,aa!B:O,14,0)</f>
        <v>0</v>
      </c>
      <c r="I261" s="50">
        <f>VLOOKUP(B261,aa!B:R,17,0)</f>
        <v>0</v>
      </c>
      <c r="K261" s="50" t="s">
        <v>2044</v>
      </c>
      <c r="L261" s="50">
        <v>1660443</v>
      </c>
      <c r="M261" s="50">
        <v>1660443</v>
      </c>
      <c r="N261" s="50">
        <v>802179</v>
      </c>
      <c r="O261" s="50">
        <v>1190</v>
      </c>
      <c r="P261" s="50" t="s">
        <v>15249</v>
      </c>
      <c r="Q261" s="50">
        <v>858264</v>
      </c>
      <c r="R261" s="50">
        <v>1061</v>
      </c>
      <c r="S261" s="50" t="s">
        <v>15250</v>
      </c>
      <c r="T261" s="50">
        <v>0</v>
      </c>
      <c r="U261" s="50">
        <v>0</v>
      </c>
      <c r="W261" s="50" t="s">
        <v>102</v>
      </c>
      <c r="X261" s="50" t="s">
        <v>103</v>
      </c>
      <c r="Y261" s="50" t="s">
        <v>104</v>
      </c>
      <c r="AA261" s="50" t="s">
        <v>12023</v>
      </c>
      <c r="AB261" s="50" t="s">
        <v>15251</v>
      </c>
      <c r="AC261" s="50" t="s">
        <v>1427</v>
      </c>
      <c r="AD261" s="50" t="s">
        <v>15252</v>
      </c>
      <c r="AE261" s="50" t="s">
        <v>109</v>
      </c>
      <c r="AF261" s="50" t="s">
        <v>102</v>
      </c>
      <c r="AG261" s="50" t="s">
        <v>109</v>
      </c>
      <c r="AH261" s="50" t="s">
        <v>102</v>
      </c>
      <c r="AI261" s="50" t="s">
        <v>15253</v>
      </c>
      <c r="AJ261" s="50" t="s">
        <v>7145</v>
      </c>
      <c r="AK261" s="50" t="s">
        <v>12211</v>
      </c>
      <c r="AL261" s="50" t="s">
        <v>15254</v>
      </c>
      <c r="AM261" s="50" t="s">
        <v>15255</v>
      </c>
      <c r="AN261" s="50" t="s">
        <v>15256</v>
      </c>
      <c r="AO261" s="50" t="s">
        <v>15257</v>
      </c>
      <c r="AP261" s="50" t="s">
        <v>15258</v>
      </c>
      <c r="AR261" s="50" t="s">
        <v>169</v>
      </c>
      <c r="AS261" s="50" t="s">
        <v>169</v>
      </c>
      <c r="AT261" s="50" t="s">
        <v>169</v>
      </c>
      <c r="AU261" s="50" t="s">
        <v>318</v>
      </c>
      <c r="AV261" s="50" t="s">
        <v>118</v>
      </c>
      <c r="AW261" s="50" t="s">
        <v>155</v>
      </c>
      <c r="AX261" s="50" t="s">
        <v>119</v>
      </c>
      <c r="AY261" s="50" t="s">
        <v>170</v>
      </c>
      <c r="AZ261" s="50" t="s">
        <v>118</v>
      </c>
      <c r="BB261" s="50" t="s">
        <v>171</v>
      </c>
      <c r="BC261" s="50" t="s">
        <v>5071</v>
      </c>
      <c r="BD261" s="50" t="s">
        <v>730</v>
      </c>
      <c r="BE261" s="50" t="s">
        <v>622</v>
      </c>
      <c r="BF261" s="50" t="s">
        <v>730</v>
      </c>
      <c r="BG261" s="50" t="s">
        <v>124</v>
      </c>
      <c r="BH261" s="50" t="s">
        <v>12023</v>
      </c>
      <c r="BI261" s="50" t="s">
        <v>11889</v>
      </c>
      <c r="BJ261" s="50" t="s">
        <v>127</v>
      </c>
      <c r="BK261" s="50" t="s">
        <v>15259</v>
      </c>
      <c r="BL261" s="50" t="s">
        <v>5073</v>
      </c>
      <c r="BM261" s="50" t="s">
        <v>15260</v>
      </c>
      <c r="BN261" s="50" t="s">
        <v>1305</v>
      </c>
      <c r="BO261" s="50" t="s">
        <v>3606</v>
      </c>
      <c r="BP261" s="50" t="s">
        <v>350</v>
      </c>
      <c r="BQ261" s="50" t="s">
        <v>3607</v>
      </c>
      <c r="BR261" s="50" t="s">
        <v>3608</v>
      </c>
      <c r="BS261" s="50" t="s">
        <v>3562</v>
      </c>
      <c r="BU261" s="50" t="s">
        <v>15261</v>
      </c>
      <c r="BV261" s="50" t="s">
        <v>5076</v>
      </c>
      <c r="BW261" s="50" t="s">
        <v>138</v>
      </c>
      <c r="BX261" s="50" t="s">
        <v>5077</v>
      </c>
      <c r="BY261" s="50" t="s">
        <v>5078</v>
      </c>
      <c r="BZ261" s="50" t="s">
        <v>5079</v>
      </c>
      <c r="CA261" s="50" t="s">
        <v>5076</v>
      </c>
      <c r="CB261" s="50" t="s">
        <v>5077</v>
      </c>
      <c r="CC261" s="50" t="s">
        <v>5078</v>
      </c>
      <c r="CD261" s="50" t="s">
        <v>5080</v>
      </c>
      <c r="CE261" s="50" t="s">
        <v>5081</v>
      </c>
      <c r="CF261" s="50" t="s">
        <v>5082</v>
      </c>
      <c r="CG261" s="50" t="s">
        <v>102</v>
      </c>
      <c r="CH261" s="50" t="s">
        <v>5083</v>
      </c>
      <c r="CJ261" s="50" t="s">
        <v>5084</v>
      </c>
      <c r="CL261" s="50" t="s">
        <v>5071</v>
      </c>
      <c r="CM261" s="50" t="s">
        <v>730</v>
      </c>
      <c r="CN261" s="50" t="s">
        <v>5084</v>
      </c>
      <c r="CO261" s="50" t="s">
        <v>5085</v>
      </c>
      <c r="CP261" s="50" t="s">
        <v>5083</v>
      </c>
      <c r="CQ261" s="50" t="s">
        <v>5083</v>
      </c>
    </row>
    <row r="262" spans="1:96">
      <c r="A262" s="50" t="s">
        <v>149</v>
      </c>
      <c r="B262" s="50">
        <v>374785</v>
      </c>
      <c r="C262" s="50" t="s">
        <v>222</v>
      </c>
      <c r="D262" s="50" t="s">
        <v>7283</v>
      </c>
      <c r="E262" s="50" t="e">
        <f>VLOOKUP(B262,aa!B:F,5,0)</f>
        <v>#N/A</v>
      </c>
      <c r="F262" s="50" t="e">
        <f>VLOOKUP(B262,aa!B:J,9,0)</f>
        <v>#N/A</v>
      </c>
      <c r="G262" s="50" t="e">
        <f>VLOOKUP(B262,aa!B:L,11,0)</f>
        <v>#N/A</v>
      </c>
      <c r="H262" s="50" t="e">
        <f>VLOOKUP(B262,aa!B:O,14,0)</f>
        <v>#N/A</v>
      </c>
      <c r="I262" s="50" t="e">
        <f>VLOOKUP(B262,aa!B:R,17,0)</f>
        <v>#N/A</v>
      </c>
      <c r="K262" s="50" t="s">
        <v>3549</v>
      </c>
      <c r="L262" s="50">
        <v>1021314</v>
      </c>
      <c r="M262" s="50">
        <v>1162948</v>
      </c>
      <c r="N262" s="50">
        <v>234456</v>
      </c>
      <c r="O262" s="50">
        <v>160</v>
      </c>
      <c r="P262" s="50" t="s">
        <v>16829</v>
      </c>
      <c r="Q262" s="50">
        <v>0</v>
      </c>
      <c r="R262" s="50">
        <v>0</v>
      </c>
      <c r="T262" s="50">
        <v>786858</v>
      </c>
      <c r="U262" s="50">
        <v>264</v>
      </c>
      <c r="V262" s="50" t="s">
        <v>16830</v>
      </c>
      <c r="W262" s="50" t="s">
        <v>102</v>
      </c>
      <c r="X262" s="50" t="s">
        <v>103</v>
      </c>
      <c r="Y262" s="50" t="s">
        <v>398</v>
      </c>
      <c r="AA262" s="50" t="s">
        <v>625</v>
      </c>
      <c r="AB262" s="50" t="s">
        <v>16831</v>
      </c>
      <c r="AC262" s="50" t="s">
        <v>3679</v>
      </c>
      <c r="AD262" s="50" t="s">
        <v>16832</v>
      </c>
      <c r="AE262" s="50" t="s">
        <v>1427</v>
      </c>
      <c r="AF262" s="50" t="s">
        <v>16832</v>
      </c>
      <c r="AG262" s="50" t="s">
        <v>109</v>
      </c>
      <c r="AH262" s="50" t="s">
        <v>102</v>
      </c>
      <c r="AI262" s="50" t="s">
        <v>16833</v>
      </c>
      <c r="AJ262" s="50" t="s">
        <v>12923</v>
      </c>
      <c r="AK262" s="50" t="s">
        <v>13245</v>
      </c>
      <c r="AL262" s="50" t="s">
        <v>16834</v>
      </c>
      <c r="AM262" s="50" t="s">
        <v>16835</v>
      </c>
      <c r="AN262" s="50" t="s">
        <v>16836</v>
      </c>
      <c r="AO262" s="50" t="s">
        <v>16837</v>
      </c>
      <c r="AP262" s="50" t="s">
        <v>16837</v>
      </c>
      <c r="AU262" s="50" t="s">
        <v>117</v>
      </c>
      <c r="AV262" s="50" t="s">
        <v>118</v>
      </c>
      <c r="AW262" s="50" t="s">
        <v>102</v>
      </c>
      <c r="AX262" s="50" t="s">
        <v>119</v>
      </c>
      <c r="BA262" s="50" t="s">
        <v>250</v>
      </c>
      <c r="BB262" s="50" t="s">
        <v>171</v>
      </c>
      <c r="BC262" s="50" t="s">
        <v>920</v>
      </c>
      <c r="BD262" s="50" t="s">
        <v>211</v>
      </c>
      <c r="BE262" s="50" t="s">
        <v>212</v>
      </c>
      <c r="BF262" s="50" t="s">
        <v>213</v>
      </c>
      <c r="BG262" s="50" t="s">
        <v>124</v>
      </c>
      <c r="BH262" s="50" t="s">
        <v>11959</v>
      </c>
      <c r="BI262" s="50" t="s">
        <v>11889</v>
      </c>
      <c r="BJ262" s="50" t="s">
        <v>127</v>
      </c>
      <c r="BK262" s="50" t="s">
        <v>16838</v>
      </c>
      <c r="BL262" s="50" t="s">
        <v>7299</v>
      </c>
      <c r="BM262" s="50" t="s">
        <v>16839</v>
      </c>
      <c r="BN262" s="50" t="s">
        <v>1305</v>
      </c>
      <c r="BO262" s="50" t="s">
        <v>7108</v>
      </c>
      <c r="BP262" s="50" t="s">
        <v>132</v>
      </c>
      <c r="BQ262" s="50" t="s">
        <v>7109</v>
      </c>
      <c r="BR262" s="50" t="s">
        <v>2151</v>
      </c>
      <c r="BS262" s="50" t="s">
        <v>2151</v>
      </c>
      <c r="BU262" s="50" t="s">
        <v>16840</v>
      </c>
      <c r="BV262" s="50" t="s">
        <v>16841</v>
      </c>
      <c r="BW262" s="50" t="s">
        <v>598</v>
      </c>
      <c r="BX262" s="50" t="s">
        <v>7310</v>
      </c>
      <c r="BY262" s="50" t="s">
        <v>7311</v>
      </c>
      <c r="BZ262" s="50" t="s">
        <v>7308</v>
      </c>
      <c r="CA262" s="50" t="s">
        <v>16841</v>
      </c>
      <c r="CB262" s="50" t="s">
        <v>7310</v>
      </c>
      <c r="CC262" s="50" t="s">
        <v>7311</v>
      </c>
      <c r="CD262" s="50" t="s">
        <v>16841</v>
      </c>
      <c r="CE262" s="50" t="s">
        <v>7310</v>
      </c>
      <c r="CF262" s="50" t="s">
        <v>7311</v>
      </c>
      <c r="CG262" s="50" t="s">
        <v>102</v>
      </c>
      <c r="CH262" s="50" t="s">
        <v>7312</v>
      </c>
      <c r="CJ262" s="50" t="s">
        <v>7313</v>
      </c>
      <c r="CL262" s="50" t="s">
        <v>920</v>
      </c>
      <c r="CM262" s="50" t="s">
        <v>2474</v>
      </c>
      <c r="CN262" s="50" t="s">
        <v>7313</v>
      </c>
      <c r="CO262" s="50" t="s">
        <v>7314</v>
      </c>
      <c r="CP262" s="50" t="s">
        <v>7312</v>
      </c>
      <c r="CQ262" s="50" t="s">
        <v>7312</v>
      </c>
      <c r="CR262" s="50" t="s">
        <v>26043</v>
      </c>
    </row>
    <row r="263" spans="1:96">
      <c r="A263" s="50" t="s">
        <v>149</v>
      </c>
      <c r="B263" s="50">
        <v>5015734</v>
      </c>
      <c r="C263" s="50" t="s">
        <v>985</v>
      </c>
      <c r="D263" s="50" t="s">
        <v>9475</v>
      </c>
      <c r="E263" s="50" t="str">
        <f>VLOOKUP(B263,aa!B:F,5,0)</f>
        <v>Ei ASSET,Ei CARES,Ei Mindspark</v>
      </c>
      <c r="F263" s="50">
        <f>VLOOKUP(B263,aa!B:J,9,0)</f>
        <v>480522</v>
      </c>
      <c r="G263" s="50">
        <f>VLOOKUP(B263,aa!B:L,11,0)</f>
        <v>66393</v>
      </c>
      <c r="H263" s="50">
        <f>VLOOKUP(B263,aa!B:O,14,0)</f>
        <v>132787</v>
      </c>
      <c r="I263" s="50">
        <f>VLOOKUP(B263,aa!B:R,17,0)</f>
        <v>281342</v>
      </c>
      <c r="K263" s="50" t="s">
        <v>1746</v>
      </c>
      <c r="L263" s="50">
        <v>427858</v>
      </c>
      <c r="M263" s="50">
        <v>476296</v>
      </c>
      <c r="N263" s="50">
        <v>52920</v>
      </c>
      <c r="O263" s="50">
        <v>147</v>
      </c>
      <c r="P263" s="50" t="s">
        <v>16964</v>
      </c>
      <c r="Q263" s="50">
        <v>105840</v>
      </c>
      <c r="R263" s="50">
        <v>147</v>
      </c>
      <c r="S263" s="50" t="s">
        <v>995</v>
      </c>
      <c r="T263" s="50">
        <v>269098</v>
      </c>
      <c r="U263" s="50">
        <v>147</v>
      </c>
      <c r="V263" s="50" t="s">
        <v>18713</v>
      </c>
      <c r="W263" s="50" t="s">
        <v>102</v>
      </c>
      <c r="X263" s="50" t="s">
        <v>103</v>
      </c>
      <c r="Y263" s="50" t="s">
        <v>398</v>
      </c>
      <c r="AA263" s="50" t="s">
        <v>411</v>
      </c>
      <c r="AB263" s="50" t="s">
        <v>18714</v>
      </c>
      <c r="AC263" s="50" t="s">
        <v>12888</v>
      </c>
      <c r="AD263" s="50" t="s">
        <v>18715</v>
      </c>
      <c r="AE263" s="50" t="s">
        <v>11886</v>
      </c>
      <c r="AF263" s="50" t="s">
        <v>18715</v>
      </c>
      <c r="AG263" s="50" t="s">
        <v>109</v>
      </c>
      <c r="AH263" s="50" t="s">
        <v>102</v>
      </c>
      <c r="AI263" s="50" t="s">
        <v>102</v>
      </c>
      <c r="AJ263" s="50" t="s">
        <v>11599</v>
      </c>
      <c r="AK263" s="50" t="s">
        <v>8060</v>
      </c>
      <c r="AL263" s="50" t="s">
        <v>18716</v>
      </c>
      <c r="AM263" s="50" t="s">
        <v>18717</v>
      </c>
      <c r="AN263" s="50" t="s">
        <v>18718</v>
      </c>
      <c r="AO263" s="50" t="s">
        <v>17879</v>
      </c>
      <c r="AP263" s="50" t="s">
        <v>317</v>
      </c>
      <c r="AS263" s="50" t="s">
        <v>169</v>
      </c>
      <c r="AT263" s="50" t="s">
        <v>169</v>
      </c>
      <c r="AU263" s="50" t="s">
        <v>117</v>
      </c>
      <c r="AV263" s="50" t="s">
        <v>250</v>
      </c>
      <c r="AW263" s="50" t="s">
        <v>155</v>
      </c>
      <c r="AX263" s="50" t="s">
        <v>119</v>
      </c>
      <c r="AZ263" s="50" t="s">
        <v>250</v>
      </c>
      <c r="BA263" s="50" t="s">
        <v>250</v>
      </c>
      <c r="BB263" s="50" t="s">
        <v>1242</v>
      </c>
      <c r="BC263" s="50" t="s">
        <v>9483</v>
      </c>
      <c r="BD263" s="50" t="s">
        <v>621</v>
      </c>
      <c r="BE263" s="50" t="s">
        <v>622</v>
      </c>
      <c r="BF263" s="50" t="s">
        <v>976</v>
      </c>
      <c r="BG263" s="50" t="s">
        <v>124</v>
      </c>
      <c r="BH263" s="50" t="s">
        <v>12023</v>
      </c>
      <c r="BI263" s="50" t="s">
        <v>11889</v>
      </c>
      <c r="BJ263" s="50" t="s">
        <v>127</v>
      </c>
      <c r="BK263" s="50" t="s">
        <v>18719</v>
      </c>
      <c r="BL263" s="50" t="s">
        <v>9485</v>
      </c>
      <c r="BM263" s="50" t="s">
        <v>18720</v>
      </c>
      <c r="BN263" s="50" t="s">
        <v>1305</v>
      </c>
      <c r="BO263" s="50" t="s">
        <v>350</v>
      </c>
      <c r="BP263" s="50" t="s">
        <v>350</v>
      </c>
      <c r="BQ263" s="50" t="s">
        <v>2440</v>
      </c>
      <c r="BR263" s="50" t="s">
        <v>18721</v>
      </c>
      <c r="BS263" s="50" t="s">
        <v>984</v>
      </c>
      <c r="BU263" s="50" t="s">
        <v>18722</v>
      </c>
      <c r="BV263" s="50" t="s">
        <v>9488</v>
      </c>
      <c r="BW263" s="50" t="s">
        <v>138</v>
      </c>
      <c r="BX263" s="50" t="s">
        <v>2440</v>
      </c>
      <c r="BY263" s="50" t="s">
        <v>9490</v>
      </c>
      <c r="BZ263" s="50" t="s">
        <v>9491</v>
      </c>
      <c r="CA263" s="50" t="s">
        <v>9488</v>
      </c>
      <c r="CB263" s="50" t="s">
        <v>18723</v>
      </c>
      <c r="CC263" s="50" t="s">
        <v>18724</v>
      </c>
      <c r="CD263" s="50" t="s">
        <v>9492</v>
      </c>
      <c r="CE263" s="50" t="s">
        <v>18725</v>
      </c>
      <c r="CF263" s="50" t="s">
        <v>9494</v>
      </c>
      <c r="CG263" s="50" t="s">
        <v>102</v>
      </c>
      <c r="CH263" s="50" t="s">
        <v>18726</v>
      </c>
      <c r="CJ263" s="50" t="s">
        <v>9496</v>
      </c>
      <c r="CL263" s="50" t="s">
        <v>9483</v>
      </c>
      <c r="CM263" s="50" t="s">
        <v>621</v>
      </c>
      <c r="CN263" s="50" t="s">
        <v>9496</v>
      </c>
      <c r="CP263" s="50" t="s">
        <v>9495</v>
      </c>
      <c r="CQ263" s="50" t="s">
        <v>9495</v>
      </c>
    </row>
    <row r="264" spans="1:96">
      <c r="A264" s="50" t="s">
        <v>149</v>
      </c>
      <c r="B264" s="50">
        <v>19872</v>
      </c>
      <c r="C264" s="50" t="s">
        <v>418</v>
      </c>
      <c r="D264" s="50" t="s">
        <v>2297</v>
      </c>
      <c r="E264" s="50" t="e">
        <f>VLOOKUP(B264,aa!B:F,5,0)</f>
        <v>#N/A</v>
      </c>
      <c r="F264" s="50" t="e">
        <f>VLOOKUP(B264,aa!B:J,9,0)</f>
        <v>#N/A</v>
      </c>
      <c r="G264" s="50" t="e">
        <f>VLOOKUP(B264,aa!B:L,11,0)</f>
        <v>#N/A</v>
      </c>
      <c r="H264" s="50" t="e">
        <f>VLOOKUP(B264,aa!B:O,14,0)</f>
        <v>#N/A</v>
      </c>
      <c r="I264" s="50" t="e">
        <f>VLOOKUP(B264,aa!B:R,17,0)</f>
        <v>#N/A</v>
      </c>
      <c r="K264" s="50" t="s">
        <v>97</v>
      </c>
      <c r="L264" s="50">
        <v>1040396</v>
      </c>
      <c r="M264" s="50">
        <v>1040396</v>
      </c>
      <c r="N264" s="50">
        <v>1040396</v>
      </c>
      <c r="O264" s="50">
        <v>2081</v>
      </c>
      <c r="P264" s="50" t="s">
        <v>364</v>
      </c>
      <c r="Q264" s="50">
        <v>0</v>
      </c>
      <c r="R264" s="50">
        <v>0</v>
      </c>
      <c r="T264" s="50">
        <v>0</v>
      </c>
      <c r="U264" s="50">
        <v>0</v>
      </c>
      <c r="W264" s="50" t="s">
        <v>102</v>
      </c>
      <c r="X264" s="50" t="s">
        <v>103</v>
      </c>
      <c r="Y264" s="50" t="s">
        <v>104</v>
      </c>
      <c r="AA264" s="50" t="s">
        <v>8708</v>
      </c>
      <c r="AB264" s="50" t="s">
        <v>13217</v>
      </c>
      <c r="AC264" s="50" t="s">
        <v>5651</v>
      </c>
      <c r="AD264" s="50" t="s">
        <v>13218</v>
      </c>
      <c r="AE264" s="50" t="s">
        <v>109</v>
      </c>
      <c r="AF264" s="50" t="s">
        <v>102</v>
      </c>
      <c r="AG264" s="50" t="s">
        <v>109</v>
      </c>
      <c r="AH264" s="50" t="s">
        <v>102</v>
      </c>
      <c r="AI264" s="50" t="s">
        <v>13219</v>
      </c>
      <c r="AJ264" s="50" t="s">
        <v>12019</v>
      </c>
      <c r="AK264" s="50" t="s">
        <v>11899</v>
      </c>
      <c r="AL264" s="50" t="s">
        <v>13220</v>
      </c>
      <c r="AM264" s="50" t="s">
        <v>13221</v>
      </c>
      <c r="AN264" s="50" t="s">
        <v>13222</v>
      </c>
      <c r="AO264" s="50" t="s">
        <v>2307</v>
      </c>
      <c r="AP264" s="50" t="s">
        <v>2307</v>
      </c>
      <c r="AU264" s="50" t="s">
        <v>318</v>
      </c>
      <c r="AV264" s="50" t="s">
        <v>118</v>
      </c>
      <c r="AW264" s="50" t="s">
        <v>102</v>
      </c>
      <c r="AX264" s="50" t="s">
        <v>119</v>
      </c>
      <c r="BB264" s="50" t="s">
        <v>120</v>
      </c>
      <c r="BC264" s="50" t="s">
        <v>409</v>
      </c>
      <c r="BD264" s="50" t="s">
        <v>410</v>
      </c>
      <c r="BE264" s="50" t="s">
        <v>212</v>
      </c>
      <c r="BF264" s="50" t="s">
        <v>410</v>
      </c>
      <c r="BG264" s="50" t="s">
        <v>124</v>
      </c>
      <c r="BH264" s="50" t="s">
        <v>5351</v>
      </c>
      <c r="BI264" s="50" t="s">
        <v>12250</v>
      </c>
      <c r="BJ264" s="50" t="s">
        <v>127</v>
      </c>
      <c r="BK264" s="50" t="s">
        <v>13223</v>
      </c>
      <c r="BL264" s="50" t="s">
        <v>2309</v>
      </c>
      <c r="BM264" s="50" t="s">
        <v>13224</v>
      </c>
      <c r="BN264" s="50" t="s">
        <v>13216</v>
      </c>
      <c r="BO264" s="50" t="s">
        <v>866</v>
      </c>
      <c r="BP264" s="50" t="s">
        <v>132</v>
      </c>
      <c r="BQ264" s="50" t="s">
        <v>867</v>
      </c>
      <c r="BR264" s="50" t="s">
        <v>868</v>
      </c>
      <c r="BS264" s="50" t="s">
        <v>222</v>
      </c>
      <c r="BU264" s="50" t="s">
        <v>13225</v>
      </c>
      <c r="BV264" s="50" t="s">
        <v>2312</v>
      </c>
      <c r="BW264" s="50" t="s">
        <v>598</v>
      </c>
      <c r="BX264" s="50" t="s">
        <v>2313</v>
      </c>
      <c r="BY264" s="50" t="s">
        <v>2314</v>
      </c>
      <c r="BZ264" s="50" t="s">
        <v>2315</v>
      </c>
      <c r="CA264" s="50" t="s">
        <v>13226</v>
      </c>
      <c r="CB264" s="50" t="s">
        <v>2316</v>
      </c>
      <c r="CC264" s="50" t="s">
        <v>13227</v>
      </c>
      <c r="CD264" s="50" t="s">
        <v>13226</v>
      </c>
      <c r="CE264" s="50" t="s">
        <v>2316</v>
      </c>
      <c r="CF264" s="50" t="s">
        <v>13227</v>
      </c>
      <c r="CG264" s="50" t="s">
        <v>102</v>
      </c>
      <c r="CH264" s="50" t="s">
        <v>2317</v>
      </c>
      <c r="CJ264" s="50" t="s">
        <v>2318</v>
      </c>
      <c r="CL264" s="50" t="s">
        <v>409</v>
      </c>
      <c r="CM264" s="50" t="s">
        <v>410</v>
      </c>
      <c r="CN264" s="50" t="s">
        <v>2318</v>
      </c>
      <c r="CO264" s="50" t="s">
        <v>2319</v>
      </c>
      <c r="CP264" s="50" t="s">
        <v>2317</v>
      </c>
      <c r="CQ264" s="50" t="s">
        <v>2317</v>
      </c>
      <c r="CR264" s="50" t="s">
        <v>26040</v>
      </c>
    </row>
    <row r="265" spans="1:96">
      <c r="A265" s="50" t="s">
        <v>149</v>
      </c>
      <c r="B265" s="50">
        <v>19966</v>
      </c>
      <c r="C265" s="50" t="s">
        <v>418</v>
      </c>
      <c r="D265" s="50" t="s">
        <v>13228</v>
      </c>
      <c r="E265" s="50" t="e">
        <f>VLOOKUP(B265,aa!B:F,5,0)</f>
        <v>#N/A</v>
      </c>
      <c r="F265" s="50" t="e">
        <f>VLOOKUP(B265,aa!B:J,9,0)</f>
        <v>#N/A</v>
      </c>
      <c r="G265" s="50" t="e">
        <f>VLOOKUP(B265,aa!B:L,11,0)</f>
        <v>#N/A</v>
      </c>
      <c r="H265" s="50" t="e">
        <f>VLOOKUP(B265,aa!B:O,14,0)</f>
        <v>#N/A</v>
      </c>
      <c r="I265" s="50" t="e">
        <f>VLOOKUP(B265,aa!B:R,17,0)</f>
        <v>#N/A</v>
      </c>
      <c r="K265" s="50" t="s">
        <v>97</v>
      </c>
      <c r="L265" s="50">
        <v>61994</v>
      </c>
      <c r="M265" s="50">
        <v>61994</v>
      </c>
      <c r="N265" s="50">
        <v>61994</v>
      </c>
      <c r="O265" s="50">
        <v>124</v>
      </c>
      <c r="P265" s="50" t="s">
        <v>364</v>
      </c>
      <c r="Q265" s="50">
        <v>0</v>
      </c>
      <c r="R265" s="50">
        <v>0</v>
      </c>
      <c r="T265" s="50">
        <v>0</v>
      </c>
      <c r="U265" s="50">
        <v>0</v>
      </c>
      <c r="W265" s="50" t="s">
        <v>102</v>
      </c>
      <c r="X265" s="50" t="s">
        <v>103</v>
      </c>
      <c r="Y265" s="50" t="s">
        <v>104</v>
      </c>
      <c r="AA265" s="50" t="s">
        <v>8708</v>
      </c>
      <c r="AB265" s="50" t="s">
        <v>13229</v>
      </c>
      <c r="AC265" s="50" t="s">
        <v>5651</v>
      </c>
      <c r="AD265" s="50" t="s">
        <v>13230</v>
      </c>
      <c r="AE265" s="50" t="s">
        <v>109</v>
      </c>
      <c r="AF265" s="50" t="s">
        <v>102</v>
      </c>
      <c r="AG265" s="50" t="s">
        <v>109</v>
      </c>
      <c r="AH265" s="50" t="s">
        <v>102</v>
      </c>
      <c r="AI265" s="50" t="s">
        <v>13231</v>
      </c>
      <c r="AJ265" s="50" t="s">
        <v>12737</v>
      </c>
      <c r="AK265" s="50" t="s">
        <v>11911</v>
      </c>
      <c r="AL265" s="50" t="s">
        <v>13232</v>
      </c>
      <c r="AM265" s="50" t="s">
        <v>13233</v>
      </c>
      <c r="AN265" s="50" t="s">
        <v>102</v>
      </c>
      <c r="AO265" s="50" t="s">
        <v>2307</v>
      </c>
      <c r="AP265" s="50" t="s">
        <v>2307</v>
      </c>
      <c r="AU265" s="50" t="s">
        <v>318</v>
      </c>
      <c r="AV265" s="50" t="s">
        <v>118</v>
      </c>
      <c r="AW265" s="50" t="s">
        <v>102</v>
      </c>
      <c r="AX265" s="50" t="s">
        <v>119</v>
      </c>
      <c r="BB265" s="50" t="s">
        <v>120</v>
      </c>
      <c r="BC265" s="50" t="s">
        <v>409</v>
      </c>
      <c r="BD265" s="50" t="s">
        <v>410</v>
      </c>
      <c r="BE265" s="50" t="s">
        <v>212</v>
      </c>
      <c r="BF265" s="50" t="s">
        <v>410</v>
      </c>
      <c r="BG265" s="50" t="s">
        <v>124</v>
      </c>
      <c r="BH265" s="50" t="s">
        <v>11932</v>
      </c>
      <c r="BI265" s="50" t="s">
        <v>12047</v>
      </c>
      <c r="BJ265" s="50" t="s">
        <v>127</v>
      </c>
      <c r="BK265" s="50" t="s">
        <v>13234</v>
      </c>
      <c r="BL265" s="50" t="s">
        <v>2355</v>
      </c>
      <c r="BM265" s="50" t="s">
        <v>13235</v>
      </c>
      <c r="BN265" s="50" t="s">
        <v>13216</v>
      </c>
      <c r="BO265" s="50" t="s">
        <v>866</v>
      </c>
      <c r="BP265" s="50" t="s">
        <v>132</v>
      </c>
      <c r="BQ265" s="50" t="s">
        <v>867</v>
      </c>
      <c r="BR265" s="50" t="s">
        <v>868</v>
      </c>
      <c r="BS265" s="50" t="s">
        <v>222</v>
      </c>
      <c r="BU265" s="50" t="s">
        <v>13236</v>
      </c>
      <c r="BV265" s="50" t="s">
        <v>2312</v>
      </c>
      <c r="BW265" s="50" t="s">
        <v>598</v>
      </c>
      <c r="BX265" s="50" t="s">
        <v>2313</v>
      </c>
      <c r="BY265" s="50" t="s">
        <v>2314</v>
      </c>
      <c r="BZ265" s="50" t="s">
        <v>2358</v>
      </c>
      <c r="CA265" s="50" t="s">
        <v>13237</v>
      </c>
      <c r="CB265" s="50" t="s">
        <v>13238</v>
      </c>
      <c r="CC265" s="50" t="s">
        <v>13239</v>
      </c>
      <c r="CD265" s="50" t="s">
        <v>13237</v>
      </c>
      <c r="CE265" s="50" t="s">
        <v>13238</v>
      </c>
      <c r="CF265" s="50" t="s">
        <v>13239</v>
      </c>
      <c r="CG265" s="50" t="s">
        <v>102</v>
      </c>
      <c r="CH265" s="50" t="s">
        <v>2359</v>
      </c>
      <c r="CJ265" s="50" t="s">
        <v>2360</v>
      </c>
      <c r="CL265" s="50" t="s">
        <v>409</v>
      </c>
      <c r="CM265" s="50" t="s">
        <v>410</v>
      </c>
      <c r="CN265" s="50" t="s">
        <v>2360</v>
      </c>
      <c r="CO265" s="50" t="s">
        <v>2319</v>
      </c>
      <c r="CP265" s="50" t="s">
        <v>2359</v>
      </c>
      <c r="CQ265" s="50" t="s">
        <v>2359</v>
      </c>
      <c r="CR265" s="50" t="s">
        <v>26040</v>
      </c>
    </row>
    <row r="266" spans="1:96">
      <c r="A266" s="50" t="s">
        <v>149</v>
      </c>
      <c r="B266" s="50">
        <v>2509576</v>
      </c>
      <c r="C266" s="50" t="s">
        <v>12491</v>
      </c>
      <c r="D266" s="50" t="s">
        <v>3845</v>
      </c>
      <c r="E266" s="50" t="str">
        <f>VLOOKUP(B266,aa!B:F,5,0)</f>
        <v>Ei CARES</v>
      </c>
      <c r="F266" s="50">
        <f>VLOOKUP(B266,aa!B:J,9,0)</f>
        <v>668678</v>
      </c>
      <c r="G266" s="50">
        <f>VLOOKUP(B266,aa!B:L,11,0)</f>
        <v>0</v>
      </c>
      <c r="H266" s="50">
        <f>VLOOKUP(B266,aa!B:O,14,0)</f>
        <v>668678</v>
      </c>
      <c r="I266" s="50">
        <f>VLOOKUP(B266,aa!B:R,17,0)</f>
        <v>0</v>
      </c>
      <c r="K266" s="50" t="s">
        <v>152</v>
      </c>
      <c r="L266" s="50">
        <v>622634</v>
      </c>
      <c r="M266" s="50">
        <v>622634</v>
      </c>
      <c r="N266" s="50">
        <v>0</v>
      </c>
      <c r="O266" s="50">
        <v>0</v>
      </c>
      <c r="Q266" s="50">
        <v>622634</v>
      </c>
      <c r="R266" s="50">
        <v>566</v>
      </c>
      <c r="S266" s="50" t="s">
        <v>466</v>
      </c>
      <c r="T266" s="50">
        <v>0</v>
      </c>
      <c r="U266" s="50">
        <v>0</v>
      </c>
      <c r="W266" s="50" t="s">
        <v>102</v>
      </c>
      <c r="X266" s="50" t="s">
        <v>103</v>
      </c>
      <c r="Y266" s="50" t="s">
        <v>155</v>
      </c>
      <c r="AA266" s="50" t="s">
        <v>411</v>
      </c>
      <c r="AB266" s="50" t="s">
        <v>14316</v>
      </c>
      <c r="AC266" s="50" t="s">
        <v>11976</v>
      </c>
      <c r="AD266" s="50" t="s">
        <v>14316</v>
      </c>
      <c r="AE266" s="50" t="s">
        <v>11888</v>
      </c>
      <c r="AF266" s="50" t="s">
        <v>14316</v>
      </c>
      <c r="AG266" s="50" t="s">
        <v>6895</v>
      </c>
      <c r="AH266" s="50" t="s">
        <v>14316</v>
      </c>
      <c r="AI266" s="50" t="s">
        <v>102</v>
      </c>
      <c r="AL266" s="50" t="s">
        <v>14317</v>
      </c>
      <c r="AM266" s="50" t="s">
        <v>102</v>
      </c>
      <c r="AN266" s="50" t="s">
        <v>14317</v>
      </c>
      <c r="AO266" s="50" t="s">
        <v>3853</v>
      </c>
      <c r="AP266" s="50" t="s">
        <v>3853</v>
      </c>
      <c r="AU266" s="50" t="s">
        <v>102</v>
      </c>
      <c r="AW266" s="50" t="s">
        <v>155</v>
      </c>
      <c r="AX266" s="50" t="s">
        <v>447</v>
      </c>
      <c r="AY266" s="50" t="s">
        <v>1138</v>
      </c>
      <c r="AZ266" s="50" t="s">
        <v>118</v>
      </c>
      <c r="BB266" s="50" t="s">
        <v>120</v>
      </c>
      <c r="BC266" s="50" t="s">
        <v>3854</v>
      </c>
      <c r="BD266" s="50" t="s">
        <v>449</v>
      </c>
      <c r="BE266" s="50" t="s">
        <v>122</v>
      </c>
      <c r="BF266" s="50" t="s">
        <v>450</v>
      </c>
      <c r="BG266" s="50" t="s">
        <v>124</v>
      </c>
      <c r="BH266" s="50" t="s">
        <v>12023</v>
      </c>
      <c r="BI266" s="50" t="s">
        <v>11889</v>
      </c>
      <c r="BJ266" s="50" t="s">
        <v>127</v>
      </c>
      <c r="BK266" s="50" t="s">
        <v>14318</v>
      </c>
      <c r="BL266" s="50" t="s">
        <v>3856</v>
      </c>
      <c r="BM266" s="50" t="s">
        <v>14319</v>
      </c>
      <c r="BN266" s="50" t="s">
        <v>13216</v>
      </c>
      <c r="BO266" s="50" t="s">
        <v>8788</v>
      </c>
      <c r="BP266" s="50" t="s">
        <v>350</v>
      </c>
      <c r="BQ266" s="50" t="s">
        <v>8789</v>
      </c>
      <c r="BR266" s="50" t="s">
        <v>8790</v>
      </c>
      <c r="BS266" s="50" t="s">
        <v>1006</v>
      </c>
      <c r="BU266" s="50" t="s">
        <v>14320</v>
      </c>
      <c r="BV266" s="50" t="s">
        <v>3859</v>
      </c>
      <c r="BW266" s="50" t="s">
        <v>138</v>
      </c>
      <c r="BX266" s="50" t="s">
        <v>3860</v>
      </c>
      <c r="BY266" s="50" t="s">
        <v>3861</v>
      </c>
      <c r="BZ266" s="50" t="s">
        <v>3862</v>
      </c>
      <c r="CA266" s="50" t="s">
        <v>3859</v>
      </c>
      <c r="CB266" s="50" t="s">
        <v>3860</v>
      </c>
      <c r="CC266" s="50" t="s">
        <v>3861</v>
      </c>
      <c r="CD266" s="50" t="s">
        <v>3859</v>
      </c>
      <c r="CE266" s="50" t="s">
        <v>3860</v>
      </c>
      <c r="CF266" s="50" t="s">
        <v>3861</v>
      </c>
      <c r="CG266" s="50" t="s">
        <v>102</v>
      </c>
      <c r="CH266" s="50" t="s">
        <v>3863</v>
      </c>
      <c r="CJ266" s="50" t="s">
        <v>3864</v>
      </c>
      <c r="CL266" s="50" t="s">
        <v>3854</v>
      </c>
      <c r="CM266" s="50" t="s">
        <v>449</v>
      </c>
      <c r="CN266" s="50" t="s">
        <v>3864</v>
      </c>
      <c r="CO266" s="50" t="s">
        <v>3865</v>
      </c>
      <c r="CP266" s="50" t="s">
        <v>3863</v>
      </c>
      <c r="CQ266" s="50" t="s">
        <v>3863</v>
      </c>
    </row>
    <row r="267" spans="1:96">
      <c r="A267" s="50" t="s">
        <v>149</v>
      </c>
      <c r="B267" s="50">
        <v>2548143</v>
      </c>
      <c r="C267" s="50" t="s">
        <v>418</v>
      </c>
      <c r="D267" s="50" t="s">
        <v>4007</v>
      </c>
      <c r="E267" s="50" t="e">
        <f>VLOOKUP(B267,aa!B:F,5,0)</f>
        <v>#N/A</v>
      </c>
      <c r="F267" s="50" t="e">
        <f>VLOOKUP(B267,aa!B:J,9,0)</f>
        <v>#N/A</v>
      </c>
      <c r="G267" s="50" t="e">
        <f>VLOOKUP(B267,aa!B:L,11,0)</f>
        <v>#N/A</v>
      </c>
      <c r="H267" s="50" t="e">
        <f>VLOOKUP(B267,aa!B:O,14,0)</f>
        <v>#N/A</v>
      </c>
      <c r="I267" s="50" t="e">
        <f>VLOOKUP(B267,aa!B:R,17,0)</f>
        <v>#N/A</v>
      </c>
      <c r="K267" s="50" t="s">
        <v>97</v>
      </c>
      <c r="L267" s="50">
        <v>393461</v>
      </c>
      <c r="M267" s="50">
        <v>393461</v>
      </c>
      <c r="N267" s="50">
        <v>393461</v>
      </c>
      <c r="O267" s="50">
        <v>787</v>
      </c>
      <c r="P267" s="50" t="s">
        <v>364</v>
      </c>
      <c r="Q267" s="50">
        <v>0</v>
      </c>
      <c r="R267" s="50">
        <v>0</v>
      </c>
      <c r="T267" s="50">
        <v>0</v>
      </c>
      <c r="U267" s="50">
        <v>0</v>
      </c>
      <c r="W267" s="50" t="s">
        <v>102</v>
      </c>
      <c r="X267" s="50" t="s">
        <v>103</v>
      </c>
      <c r="Y267" s="50" t="s">
        <v>104</v>
      </c>
      <c r="AA267" s="50" t="s">
        <v>8708</v>
      </c>
      <c r="AB267" s="50" t="s">
        <v>14467</v>
      </c>
      <c r="AC267" s="50" t="s">
        <v>5651</v>
      </c>
      <c r="AD267" s="50" t="s">
        <v>14468</v>
      </c>
      <c r="AE267" s="50" t="s">
        <v>109</v>
      </c>
      <c r="AF267" s="50" t="s">
        <v>102</v>
      </c>
      <c r="AG267" s="50" t="s">
        <v>109</v>
      </c>
      <c r="AH267" s="50" t="s">
        <v>102</v>
      </c>
      <c r="AI267" s="50" t="s">
        <v>14469</v>
      </c>
      <c r="AJ267" s="50" t="s">
        <v>12019</v>
      </c>
      <c r="AK267" s="50" t="s">
        <v>12430</v>
      </c>
      <c r="AL267" s="50" t="s">
        <v>14470</v>
      </c>
      <c r="AM267" s="50" t="s">
        <v>14471</v>
      </c>
      <c r="AN267" s="50" t="s">
        <v>14472</v>
      </c>
      <c r="AO267" s="50" t="s">
        <v>2307</v>
      </c>
      <c r="AP267" s="50" t="s">
        <v>2307</v>
      </c>
      <c r="AU267" s="50" t="s">
        <v>318</v>
      </c>
      <c r="AV267" s="50" t="s">
        <v>118</v>
      </c>
      <c r="AW267" s="50" t="s">
        <v>102</v>
      </c>
      <c r="AX267" s="50" t="s">
        <v>119</v>
      </c>
      <c r="BB267" s="50" t="s">
        <v>120</v>
      </c>
      <c r="BC267" s="50" t="s">
        <v>409</v>
      </c>
      <c r="BD267" s="50" t="s">
        <v>410</v>
      </c>
      <c r="BE267" s="50" t="s">
        <v>212</v>
      </c>
      <c r="BF267" s="50" t="s">
        <v>410</v>
      </c>
      <c r="BG267" s="50" t="s">
        <v>124</v>
      </c>
      <c r="BH267" s="50" t="s">
        <v>5351</v>
      </c>
      <c r="BI267" s="50" t="s">
        <v>12250</v>
      </c>
      <c r="BJ267" s="50" t="s">
        <v>127</v>
      </c>
      <c r="BK267" s="50" t="s">
        <v>14473</v>
      </c>
      <c r="BL267" s="50" t="s">
        <v>4016</v>
      </c>
      <c r="BM267" s="50" t="s">
        <v>14474</v>
      </c>
      <c r="BN267" s="50" t="s">
        <v>13216</v>
      </c>
      <c r="BO267" s="50" t="s">
        <v>866</v>
      </c>
      <c r="BP267" s="50" t="s">
        <v>132</v>
      </c>
      <c r="BQ267" s="50" t="s">
        <v>867</v>
      </c>
      <c r="BR267" s="50" t="s">
        <v>868</v>
      </c>
      <c r="BS267" s="50" t="s">
        <v>222</v>
      </c>
      <c r="BU267" s="50" t="s">
        <v>14475</v>
      </c>
      <c r="BV267" s="50" t="s">
        <v>2312</v>
      </c>
      <c r="BW267" s="50" t="s">
        <v>598</v>
      </c>
      <c r="BX267" s="50" t="s">
        <v>2313</v>
      </c>
      <c r="BY267" s="50" t="s">
        <v>2314</v>
      </c>
      <c r="BZ267" s="50" t="s">
        <v>4019</v>
      </c>
      <c r="CA267" s="50" t="s">
        <v>14476</v>
      </c>
      <c r="CB267" s="50" t="s">
        <v>4020</v>
      </c>
      <c r="CC267" s="50" t="s">
        <v>14477</v>
      </c>
      <c r="CD267" s="50" t="s">
        <v>14476</v>
      </c>
      <c r="CE267" s="50" t="s">
        <v>4020</v>
      </c>
      <c r="CF267" s="50" t="s">
        <v>14477</v>
      </c>
      <c r="CG267" s="50" t="s">
        <v>102</v>
      </c>
      <c r="CH267" s="50" t="s">
        <v>4021</v>
      </c>
      <c r="CJ267" s="50" t="s">
        <v>4022</v>
      </c>
      <c r="CL267" s="50" t="s">
        <v>409</v>
      </c>
      <c r="CM267" s="50" t="s">
        <v>410</v>
      </c>
      <c r="CN267" s="50" t="s">
        <v>4022</v>
      </c>
      <c r="CO267" s="50" t="s">
        <v>2319</v>
      </c>
      <c r="CP267" s="50" t="s">
        <v>4021</v>
      </c>
      <c r="CQ267" s="50" t="s">
        <v>4021</v>
      </c>
      <c r="CR267" s="50" t="s">
        <v>26040</v>
      </c>
    </row>
    <row r="268" spans="1:96">
      <c r="A268" s="50" t="s">
        <v>149</v>
      </c>
      <c r="B268" s="50">
        <v>366777</v>
      </c>
      <c r="C268" s="50" t="s">
        <v>2525</v>
      </c>
      <c r="D268" s="50" t="s">
        <v>7048</v>
      </c>
      <c r="E268" s="50" t="str">
        <f>VLOOKUP(B268,aa!B:F,5,0)</f>
        <v>Ei ASSET,Ei CARES</v>
      </c>
      <c r="F268" s="50">
        <f>VLOOKUP(B268,aa!B:J,9,0)</f>
        <v>1030249</v>
      </c>
      <c r="G268" s="50">
        <f>VLOOKUP(B268,aa!B:L,11,0)</f>
        <v>423781</v>
      </c>
      <c r="H268" s="50">
        <f>VLOOKUP(B268,aa!B:O,14,0)</f>
        <v>606468</v>
      </c>
      <c r="I268" s="50">
        <f>VLOOKUP(B268,aa!B:R,17,0)</f>
        <v>0</v>
      </c>
      <c r="K268" s="50" t="s">
        <v>2044</v>
      </c>
      <c r="L268" s="50">
        <v>969368</v>
      </c>
      <c r="M268" s="50">
        <v>969368</v>
      </c>
      <c r="N268" s="50">
        <v>412296</v>
      </c>
      <c r="O268" s="50">
        <v>636</v>
      </c>
      <c r="P268" s="50" t="s">
        <v>16722</v>
      </c>
      <c r="Q268" s="50">
        <v>557072</v>
      </c>
      <c r="R268" s="50">
        <v>354</v>
      </c>
      <c r="S268" s="50" t="s">
        <v>16723</v>
      </c>
      <c r="T268" s="50">
        <v>0</v>
      </c>
      <c r="U268" s="50">
        <v>0</v>
      </c>
      <c r="W268" s="50" t="s">
        <v>102</v>
      </c>
      <c r="X268" s="50" t="s">
        <v>275</v>
      </c>
      <c r="Z268" s="50" t="s">
        <v>126</v>
      </c>
      <c r="AA268" s="50" t="s">
        <v>109</v>
      </c>
      <c r="AB268" s="50" t="s">
        <v>102</v>
      </c>
      <c r="AC268" s="50" t="s">
        <v>109</v>
      </c>
      <c r="AD268" s="50" t="s">
        <v>102</v>
      </c>
      <c r="AE268" s="50" t="s">
        <v>109</v>
      </c>
      <c r="AF268" s="50" t="s">
        <v>102</v>
      </c>
      <c r="AG268" s="50" t="s">
        <v>109</v>
      </c>
      <c r="AH268" s="50" t="s">
        <v>102</v>
      </c>
      <c r="AI268" s="50" t="s">
        <v>16724</v>
      </c>
      <c r="AJ268" s="50" t="s">
        <v>13202</v>
      </c>
      <c r="AK268" s="50" t="s">
        <v>13202</v>
      </c>
      <c r="AL268" s="50" t="s">
        <v>16725</v>
      </c>
      <c r="AM268" s="50" t="s">
        <v>16726</v>
      </c>
      <c r="AN268" s="50" t="s">
        <v>16727</v>
      </c>
      <c r="AO268" s="50" t="s">
        <v>16728</v>
      </c>
      <c r="AP268" s="50" t="s">
        <v>16729</v>
      </c>
      <c r="AQ268" s="50" t="s">
        <v>343</v>
      </c>
      <c r="AS268" s="50" t="s">
        <v>169</v>
      </c>
      <c r="AT268" s="50" t="s">
        <v>169</v>
      </c>
      <c r="AU268" s="50" t="s">
        <v>117</v>
      </c>
      <c r="AV268" s="50" t="s">
        <v>118</v>
      </c>
      <c r="AW268" s="50" t="s">
        <v>1384</v>
      </c>
      <c r="AX268" s="50" t="s">
        <v>119</v>
      </c>
      <c r="AY268" s="50" t="s">
        <v>1138</v>
      </c>
      <c r="AZ268" s="50" t="s">
        <v>118</v>
      </c>
      <c r="BB268" s="50" t="s">
        <v>120</v>
      </c>
      <c r="BC268" s="50" t="s">
        <v>2327</v>
      </c>
      <c r="BD268" s="50" t="s">
        <v>730</v>
      </c>
      <c r="BE268" s="50" t="s">
        <v>622</v>
      </c>
      <c r="BF268" s="50" t="s">
        <v>730</v>
      </c>
      <c r="BG268" s="50" t="s">
        <v>124</v>
      </c>
      <c r="BH268" s="50" t="s">
        <v>12023</v>
      </c>
      <c r="BI268" s="50" t="s">
        <v>11889</v>
      </c>
      <c r="BJ268" s="50" t="s">
        <v>127</v>
      </c>
      <c r="BK268" s="50" t="s">
        <v>16730</v>
      </c>
      <c r="BL268" s="50" t="s">
        <v>7057</v>
      </c>
      <c r="BM268" s="50" t="s">
        <v>16731</v>
      </c>
      <c r="BN268" s="50" t="s">
        <v>13216</v>
      </c>
      <c r="BO268" s="50" t="s">
        <v>3606</v>
      </c>
      <c r="BP268" s="50" t="s">
        <v>350</v>
      </c>
      <c r="BQ268" s="50" t="s">
        <v>3607</v>
      </c>
      <c r="BR268" s="50" t="s">
        <v>3608</v>
      </c>
      <c r="BS268" s="50" t="s">
        <v>2525</v>
      </c>
      <c r="BU268" s="50" t="s">
        <v>16732</v>
      </c>
      <c r="BV268" s="50" t="s">
        <v>7060</v>
      </c>
      <c r="BW268" s="50" t="s">
        <v>138</v>
      </c>
      <c r="BX268" s="50" t="s">
        <v>7061</v>
      </c>
      <c r="BY268" s="50" t="s">
        <v>16733</v>
      </c>
      <c r="BZ268" s="50" t="s">
        <v>7061</v>
      </c>
      <c r="CA268" s="50" t="s">
        <v>7060</v>
      </c>
      <c r="CB268" s="50" t="s">
        <v>7061</v>
      </c>
      <c r="CC268" s="50" t="s">
        <v>16733</v>
      </c>
      <c r="CD268" s="50" t="s">
        <v>16734</v>
      </c>
      <c r="CE268" s="50" t="s">
        <v>7061</v>
      </c>
      <c r="CF268" s="50" t="s">
        <v>16735</v>
      </c>
      <c r="CG268" s="50" t="s">
        <v>102</v>
      </c>
      <c r="CH268" s="50" t="s">
        <v>7062</v>
      </c>
      <c r="CJ268" s="50" t="s">
        <v>2532</v>
      </c>
      <c r="CL268" s="50" t="s">
        <v>2327</v>
      </c>
      <c r="CM268" s="50" t="s">
        <v>730</v>
      </c>
      <c r="CN268" s="50" t="s">
        <v>2532</v>
      </c>
      <c r="CO268" s="50" t="s">
        <v>7063</v>
      </c>
      <c r="CP268" s="50" t="s">
        <v>7062</v>
      </c>
      <c r="CQ268" s="50" t="s">
        <v>7062</v>
      </c>
    </row>
    <row r="269" spans="1:96">
      <c r="A269" s="50" t="s">
        <v>149</v>
      </c>
      <c r="B269" s="50">
        <v>47745</v>
      </c>
      <c r="C269" s="50" t="s">
        <v>12491</v>
      </c>
      <c r="D269" s="50" t="s">
        <v>8992</v>
      </c>
      <c r="E269" s="50" t="str">
        <f>VLOOKUP(B269,aa!B:F,5,0)</f>
        <v>Ei ASSET</v>
      </c>
      <c r="F269" s="50">
        <f>VLOOKUP(B269,aa!B:J,9,0)</f>
        <v>1039920</v>
      </c>
      <c r="G269" s="50">
        <f>VLOOKUP(B269,aa!B:L,11,0)</f>
        <v>1039920</v>
      </c>
      <c r="H269" s="50">
        <f>VLOOKUP(B269,aa!B:O,14,0)</f>
        <v>0</v>
      </c>
      <c r="I269" s="50">
        <f>VLOOKUP(B269,aa!B:R,17,0)</f>
        <v>0</v>
      </c>
      <c r="K269" s="50" t="s">
        <v>97</v>
      </c>
      <c r="L269" s="50">
        <v>1026271</v>
      </c>
      <c r="M269" s="50">
        <v>1026271</v>
      </c>
      <c r="N269" s="50">
        <v>1026271</v>
      </c>
      <c r="O269" s="50">
        <v>1579</v>
      </c>
      <c r="P269" s="50" t="s">
        <v>1122</v>
      </c>
      <c r="Q269" s="50">
        <v>0</v>
      </c>
      <c r="R269" s="50">
        <v>0</v>
      </c>
      <c r="T269" s="50">
        <v>0</v>
      </c>
      <c r="U269" s="50">
        <v>0</v>
      </c>
      <c r="W269" s="50" t="s">
        <v>102</v>
      </c>
      <c r="X269" s="50" t="s">
        <v>103</v>
      </c>
      <c r="Y269" s="50" t="s">
        <v>104</v>
      </c>
      <c r="AA269" s="50" t="s">
        <v>14250</v>
      </c>
      <c r="AB269" s="50" t="s">
        <v>18407</v>
      </c>
      <c r="AC269" s="50" t="s">
        <v>11929</v>
      </c>
      <c r="AD269" s="50" t="s">
        <v>18408</v>
      </c>
      <c r="AE269" s="50" t="s">
        <v>109</v>
      </c>
      <c r="AF269" s="50" t="s">
        <v>102</v>
      </c>
      <c r="AG269" s="50" t="s">
        <v>109</v>
      </c>
      <c r="AH269" s="50" t="s">
        <v>102</v>
      </c>
      <c r="AI269" s="50" t="s">
        <v>18409</v>
      </c>
      <c r="AJ269" s="50" t="s">
        <v>15939</v>
      </c>
      <c r="AK269" s="50" t="s">
        <v>946</v>
      </c>
      <c r="AL269" s="50" t="s">
        <v>18410</v>
      </c>
      <c r="AM269" s="50" t="s">
        <v>18411</v>
      </c>
      <c r="AN269" s="50" t="s">
        <v>18412</v>
      </c>
      <c r="AO269" s="50" t="s">
        <v>5355</v>
      </c>
      <c r="AP269" s="50" t="s">
        <v>5355</v>
      </c>
      <c r="AU269" s="50" t="s">
        <v>318</v>
      </c>
      <c r="AV269" s="50" t="s">
        <v>118</v>
      </c>
      <c r="AW269" s="50" t="s">
        <v>102</v>
      </c>
      <c r="AX269" s="50" t="s">
        <v>119</v>
      </c>
      <c r="BB269" s="50" t="s">
        <v>120</v>
      </c>
      <c r="BC269" s="50" t="s">
        <v>2204</v>
      </c>
      <c r="BD269" s="50" t="s">
        <v>121</v>
      </c>
      <c r="BE269" s="50" t="s">
        <v>122</v>
      </c>
      <c r="BF269" s="50" t="s">
        <v>123</v>
      </c>
      <c r="BG269" s="50" t="s">
        <v>124</v>
      </c>
      <c r="BH269" s="50" t="s">
        <v>12023</v>
      </c>
      <c r="BI269" s="50" t="s">
        <v>11889</v>
      </c>
      <c r="BJ269" s="50" t="s">
        <v>127</v>
      </c>
      <c r="BK269" s="50" t="s">
        <v>18413</v>
      </c>
      <c r="BL269" s="50" t="s">
        <v>9001</v>
      </c>
      <c r="BM269" s="50" t="s">
        <v>18414</v>
      </c>
      <c r="BN269" s="50" t="s">
        <v>13216</v>
      </c>
      <c r="BO269" s="50" t="s">
        <v>8788</v>
      </c>
      <c r="BP269" s="50" t="s">
        <v>350</v>
      </c>
      <c r="BQ269" s="50" t="s">
        <v>8789</v>
      </c>
      <c r="BR269" s="50" t="s">
        <v>8790</v>
      </c>
      <c r="BS269" s="50" t="s">
        <v>1006</v>
      </c>
      <c r="BU269" s="50" t="s">
        <v>18415</v>
      </c>
      <c r="BV269" s="50" t="s">
        <v>9004</v>
      </c>
      <c r="BW269" s="50" t="s">
        <v>138</v>
      </c>
      <c r="BX269" s="50" t="s">
        <v>9005</v>
      </c>
      <c r="BY269" s="50" t="s">
        <v>9006</v>
      </c>
      <c r="BZ269" s="50" t="s">
        <v>9007</v>
      </c>
      <c r="CA269" s="50" t="s">
        <v>9004</v>
      </c>
      <c r="CB269" s="50" t="s">
        <v>9005</v>
      </c>
      <c r="CC269" s="50" t="s">
        <v>9006</v>
      </c>
      <c r="CD269" s="50" t="s">
        <v>18416</v>
      </c>
      <c r="CE269" s="50" t="s">
        <v>9009</v>
      </c>
      <c r="CF269" s="50" t="s">
        <v>9010</v>
      </c>
      <c r="CG269" s="50" t="s">
        <v>102</v>
      </c>
      <c r="CH269" s="50" t="s">
        <v>9011</v>
      </c>
      <c r="CJ269" s="50" t="s">
        <v>5311</v>
      </c>
      <c r="CL269" s="50" t="s">
        <v>2204</v>
      </c>
      <c r="CM269" s="50" t="s">
        <v>121</v>
      </c>
      <c r="CN269" s="50" t="s">
        <v>5311</v>
      </c>
      <c r="CP269" s="50" t="s">
        <v>9011</v>
      </c>
      <c r="CQ269" s="50" t="s">
        <v>9011</v>
      </c>
    </row>
    <row r="270" spans="1:96">
      <c r="A270" s="50" t="s">
        <v>149</v>
      </c>
      <c r="B270" s="50">
        <v>6019</v>
      </c>
      <c r="C270" s="50" t="s">
        <v>418</v>
      </c>
      <c r="D270" s="50" t="s">
        <v>11266</v>
      </c>
      <c r="E270" s="50" t="e">
        <f>VLOOKUP(B270,aa!B:F,5,0)</f>
        <v>#N/A</v>
      </c>
      <c r="F270" s="50" t="e">
        <f>VLOOKUP(B270,aa!B:J,9,0)</f>
        <v>#N/A</v>
      </c>
      <c r="G270" s="50" t="e">
        <f>VLOOKUP(B270,aa!B:L,11,0)</f>
        <v>#N/A</v>
      </c>
      <c r="H270" s="50" t="e">
        <f>VLOOKUP(B270,aa!B:O,14,0)</f>
        <v>#N/A</v>
      </c>
      <c r="I270" s="50" t="e">
        <f>VLOOKUP(B270,aa!B:R,17,0)</f>
        <v>#N/A</v>
      </c>
      <c r="K270" s="50" t="s">
        <v>97</v>
      </c>
      <c r="L270" s="50">
        <v>349965</v>
      </c>
      <c r="M270" s="50">
        <v>349965</v>
      </c>
      <c r="N270" s="50">
        <v>349965</v>
      </c>
      <c r="O270" s="50">
        <v>700</v>
      </c>
      <c r="P270" s="50" t="s">
        <v>364</v>
      </c>
      <c r="Q270" s="50">
        <v>0</v>
      </c>
      <c r="R270" s="50">
        <v>0</v>
      </c>
      <c r="T270" s="50">
        <v>0</v>
      </c>
      <c r="U270" s="50">
        <v>0</v>
      </c>
      <c r="W270" s="50" t="s">
        <v>102</v>
      </c>
      <c r="X270" s="50" t="s">
        <v>103</v>
      </c>
      <c r="Y270" s="50" t="s">
        <v>104</v>
      </c>
      <c r="AA270" s="50" t="s">
        <v>8708</v>
      </c>
      <c r="AB270" s="50" t="s">
        <v>21211</v>
      </c>
      <c r="AC270" s="50" t="s">
        <v>5651</v>
      </c>
      <c r="AD270" s="50" t="s">
        <v>21212</v>
      </c>
      <c r="AE270" s="50" t="s">
        <v>109</v>
      </c>
      <c r="AF270" s="50" t="s">
        <v>102</v>
      </c>
      <c r="AG270" s="50" t="s">
        <v>109</v>
      </c>
      <c r="AH270" s="50" t="s">
        <v>102</v>
      </c>
      <c r="AI270" s="50" t="s">
        <v>21213</v>
      </c>
      <c r="AJ270" s="50" t="s">
        <v>12019</v>
      </c>
      <c r="AK270" s="50" t="s">
        <v>21214</v>
      </c>
      <c r="AL270" s="50" t="s">
        <v>21215</v>
      </c>
      <c r="AM270" s="50" t="s">
        <v>21216</v>
      </c>
      <c r="AN270" s="50" t="s">
        <v>21217</v>
      </c>
      <c r="AO270" s="50" t="s">
        <v>2307</v>
      </c>
      <c r="AP270" s="50" t="s">
        <v>2307</v>
      </c>
      <c r="AU270" s="50" t="s">
        <v>318</v>
      </c>
      <c r="AV270" s="50" t="s">
        <v>118</v>
      </c>
      <c r="AW270" s="50" t="s">
        <v>102</v>
      </c>
      <c r="AX270" s="50" t="s">
        <v>119</v>
      </c>
      <c r="BB270" s="50" t="s">
        <v>120</v>
      </c>
      <c r="BC270" s="50" t="s">
        <v>409</v>
      </c>
      <c r="BD270" s="50" t="s">
        <v>410</v>
      </c>
      <c r="BE270" s="50" t="s">
        <v>212</v>
      </c>
      <c r="BF270" s="50" t="s">
        <v>410</v>
      </c>
      <c r="BG270" s="50" t="s">
        <v>124</v>
      </c>
      <c r="BH270" s="50" t="s">
        <v>5351</v>
      </c>
      <c r="BI270" s="50" t="s">
        <v>12250</v>
      </c>
      <c r="BJ270" s="50" t="s">
        <v>127</v>
      </c>
      <c r="BK270" s="50" t="s">
        <v>21218</v>
      </c>
      <c r="BL270" s="50" t="s">
        <v>11275</v>
      </c>
      <c r="BM270" s="50" t="s">
        <v>21219</v>
      </c>
      <c r="BN270" s="50" t="s">
        <v>13216</v>
      </c>
      <c r="BO270" s="50" t="s">
        <v>866</v>
      </c>
      <c r="BP270" s="50" t="s">
        <v>132</v>
      </c>
      <c r="BQ270" s="50" t="s">
        <v>867</v>
      </c>
      <c r="BR270" s="50" t="s">
        <v>868</v>
      </c>
      <c r="BS270" s="50" t="s">
        <v>222</v>
      </c>
      <c r="BU270" s="50" t="s">
        <v>21220</v>
      </c>
      <c r="BV270" s="50" t="s">
        <v>2312</v>
      </c>
      <c r="BW270" s="50" t="s">
        <v>598</v>
      </c>
      <c r="BX270" s="50" t="s">
        <v>2313</v>
      </c>
      <c r="BY270" s="50" t="s">
        <v>2314</v>
      </c>
      <c r="BZ270" s="50" t="s">
        <v>11278</v>
      </c>
      <c r="CA270" s="50" t="s">
        <v>21221</v>
      </c>
      <c r="CB270" s="50" t="s">
        <v>11278</v>
      </c>
      <c r="CC270" s="50" t="s">
        <v>21222</v>
      </c>
      <c r="CD270" s="50" t="s">
        <v>21221</v>
      </c>
      <c r="CE270" s="50" t="s">
        <v>11278</v>
      </c>
      <c r="CF270" s="50" t="s">
        <v>21222</v>
      </c>
      <c r="CG270" s="50" t="s">
        <v>102</v>
      </c>
      <c r="CH270" s="50" t="s">
        <v>11279</v>
      </c>
      <c r="CJ270" s="50" t="s">
        <v>6687</v>
      </c>
      <c r="CL270" s="50" t="s">
        <v>409</v>
      </c>
      <c r="CM270" s="50" t="s">
        <v>410</v>
      </c>
      <c r="CN270" s="50" t="s">
        <v>6687</v>
      </c>
      <c r="CO270" s="50" t="s">
        <v>2319</v>
      </c>
      <c r="CP270" s="50" t="s">
        <v>11279</v>
      </c>
      <c r="CQ270" s="50" t="s">
        <v>11279</v>
      </c>
      <c r="CR270" s="50" t="s">
        <v>26040</v>
      </c>
    </row>
    <row r="271" spans="1:96">
      <c r="A271" s="50" t="s">
        <v>93</v>
      </c>
      <c r="B271" s="50">
        <v>282495</v>
      </c>
      <c r="C271" s="50" t="s">
        <v>3562</v>
      </c>
      <c r="D271" s="50" t="s">
        <v>4444</v>
      </c>
      <c r="E271" s="50" t="e">
        <f>VLOOKUP(B271,aa!B:F,5,0)</f>
        <v>#N/A</v>
      </c>
      <c r="F271" s="50" t="e">
        <f>VLOOKUP(B271,aa!B:J,9,0)</f>
        <v>#N/A</v>
      </c>
      <c r="G271" s="50" t="e">
        <f>VLOOKUP(B271,aa!B:L,11,0)</f>
        <v>#N/A</v>
      </c>
      <c r="H271" s="50" t="e">
        <f>VLOOKUP(B271,aa!B:O,14,0)</f>
        <v>#N/A</v>
      </c>
      <c r="I271" s="50" t="e">
        <f>VLOOKUP(B271,aa!B:R,17,0)</f>
        <v>#N/A</v>
      </c>
      <c r="K271" s="50" t="s">
        <v>848</v>
      </c>
      <c r="L271" s="50">
        <v>600117</v>
      </c>
      <c r="M271" s="50">
        <v>708138</v>
      </c>
      <c r="N271" s="50">
        <v>0</v>
      </c>
      <c r="O271" s="50">
        <v>0</v>
      </c>
      <c r="Q271" s="50">
        <v>0</v>
      </c>
      <c r="R271" s="50">
        <v>0</v>
      </c>
      <c r="T271" s="50">
        <v>600117</v>
      </c>
      <c r="U271" s="50">
        <v>472</v>
      </c>
      <c r="V271" s="50" t="s">
        <v>14731</v>
      </c>
      <c r="W271" s="50" t="s">
        <v>102</v>
      </c>
      <c r="X271" s="50" t="s">
        <v>275</v>
      </c>
      <c r="Z271" s="50" t="s">
        <v>14732</v>
      </c>
      <c r="AA271" s="50" t="s">
        <v>109</v>
      </c>
      <c r="AB271" s="50" t="s">
        <v>102</v>
      </c>
      <c r="AC271" s="50" t="s">
        <v>109</v>
      </c>
      <c r="AD271" s="50" t="s">
        <v>102</v>
      </c>
      <c r="AE271" s="50" t="s">
        <v>109</v>
      </c>
      <c r="AF271" s="50" t="s">
        <v>102</v>
      </c>
      <c r="AG271" s="50" t="s">
        <v>109</v>
      </c>
      <c r="AH271" s="50" t="s">
        <v>102</v>
      </c>
      <c r="AI271" s="50" t="s">
        <v>102</v>
      </c>
      <c r="AJ271" s="50" t="s">
        <v>1941</v>
      </c>
      <c r="AK271" s="50" t="s">
        <v>1941</v>
      </c>
      <c r="AL271" s="50" t="s">
        <v>14733</v>
      </c>
      <c r="AM271" s="50" t="s">
        <v>14734</v>
      </c>
      <c r="AN271" s="50" t="s">
        <v>14735</v>
      </c>
      <c r="AO271" s="50" t="s">
        <v>14736</v>
      </c>
      <c r="AP271" s="50" t="s">
        <v>14736</v>
      </c>
      <c r="AU271" s="50" t="s">
        <v>102</v>
      </c>
      <c r="AW271" s="50" t="s">
        <v>102</v>
      </c>
      <c r="AX271" s="50" t="s">
        <v>119</v>
      </c>
      <c r="BA271" s="50" t="s">
        <v>250</v>
      </c>
      <c r="BB271" s="50" t="s">
        <v>120</v>
      </c>
      <c r="BC271" s="50" t="s">
        <v>1729</v>
      </c>
      <c r="BD271" s="50" t="s">
        <v>730</v>
      </c>
      <c r="BE271" s="50" t="s">
        <v>622</v>
      </c>
      <c r="BF271" s="50" t="s">
        <v>730</v>
      </c>
      <c r="BG271" s="50" t="s">
        <v>124</v>
      </c>
      <c r="BH271" s="50" t="s">
        <v>12636</v>
      </c>
      <c r="BI271" s="50" t="s">
        <v>12637</v>
      </c>
      <c r="BJ271" s="50" t="s">
        <v>127</v>
      </c>
      <c r="BK271" s="50" t="s">
        <v>14737</v>
      </c>
      <c r="BL271" s="50" t="s">
        <v>4452</v>
      </c>
      <c r="BM271" s="50" t="s">
        <v>14738</v>
      </c>
      <c r="BN271" s="50" t="s">
        <v>14730</v>
      </c>
      <c r="BO271" s="50" t="s">
        <v>3910</v>
      </c>
      <c r="BP271" s="50" t="s">
        <v>505</v>
      </c>
      <c r="BQ271" s="50" t="s">
        <v>3911</v>
      </c>
      <c r="BR271" s="50" t="s">
        <v>3912</v>
      </c>
      <c r="BS271" s="50" t="s">
        <v>2569</v>
      </c>
      <c r="BU271" s="50" t="s">
        <v>14739</v>
      </c>
      <c r="BV271" s="50" t="s">
        <v>14740</v>
      </c>
      <c r="BW271" s="50" t="s">
        <v>14741</v>
      </c>
      <c r="BX271" s="50" t="s">
        <v>14742</v>
      </c>
      <c r="BY271" s="50" t="s">
        <v>14743</v>
      </c>
      <c r="BZ271" s="50" t="s">
        <v>4458</v>
      </c>
      <c r="CA271" s="50" t="s">
        <v>14744</v>
      </c>
      <c r="CB271" s="50" t="s">
        <v>14742</v>
      </c>
      <c r="CC271" s="50" t="s">
        <v>14745</v>
      </c>
      <c r="CD271" s="50" t="s">
        <v>14746</v>
      </c>
      <c r="CE271" s="50" t="s">
        <v>14747</v>
      </c>
      <c r="CF271" s="50" t="s">
        <v>14748</v>
      </c>
      <c r="CG271" s="50" t="s">
        <v>1594</v>
      </c>
      <c r="CH271" s="50" t="s">
        <v>14749</v>
      </c>
      <c r="CJ271" s="50" t="s">
        <v>1743</v>
      </c>
      <c r="CK271" s="50" t="s">
        <v>4459</v>
      </c>
      <c r="CL271" s="50" t="s">
        <v>1729</v>
      </c>
      <c r="CM271" s="50" t="s">
        <v>730</v>
      </c>
      <c r="CN271" s="50" t="s">
        <v>1743</v>
      </c>
      <c r="CP271" s="50" t="s">
        <v>4459</v>
      </c>
      <c r="CQ271" s="50" t="s">
        <v>4459</v>
      </c>
      <c r="CR271" s="50" t="s">
        <v>26047</v>
      </c>
    </row>
    <row r="272" spans="1:96">
      <c r="A272" s="50" t="s">
        <v>149</v>
      </c>
      <c r="B272" s="50">
        <v>3495131</v>
      </c>
      <c r="C272" s="50" t="s">
        <v>11995</v>
      </c>
      <c r="D272" s="50" t="s">
        <v>6374</v>
      </c>
      <c r="E272" s="50" t="str">
        <f>VLOOKUP(B272,aa!B:F,5,0)</f>
        <v>Ei Mindspark</v>
      </c>
      <c r="F272" s="50">
        <f>VLOOKUP(B272,aa!B:J,9,0)</f>
        <v>1600981</v>
      </c>
      <c r="G272" s="50">
        <f>VLOOKUP(B272,aa!B:L,11,0)</f>
        <v>0</v>
      </c>
      <c r="H272" s="50">
        <f>VLOOKUP(B272,aa!B:O,14,0)</f>
        <v>0</v>
      </c>
      <c r="I272" s="50">
        <f>VLOOKUP(B272,aa!B:R,17,0)</f>
        <v>1600981</v>
      </c>
      <c r="K272" s="50" t="s">
        <v>193</v>
      </c>
      <c r="L272" s="50">
        <v>2405136</v>
      </c>
      <c r="M272" s="50">
        <v>2725470</v>
      </c>
      <c r="N272" s="50">
        <v>625500</v>
      </c>
      <c r="O272" s="50">
        <v>834</v>
      </c>
      <c r="P272" s="50" t="s">
        <v>101</v>
      </c>
      <c r="Q272" s="50">
        <v>0</v>
      </c>
      <c r="R272" s="50">
        <v>0</v>
      </c>
      <c r="T272" s="50">
        <v>1779636</v>
      </c>
      <c r="U272" s="50">
        <v>840</v>
      </c>
      <c r="V272" s="50" t="s">
        <v>2166</v>
      </c>
      <c r="W272" s="50" t="s">
        <v>102</v>
      </c>
      <c r="X272" s="50" t="s">
        <v>103</v>
      </c>
      <c r="Y272" s="50" t="s">
        <v>5317</v>
      </c>
      <c r="AA272" s="50" t="s">
        <v>8708</v>
      </c>
      <c r="AB272" s="50" t="s">
        <v>16251</v>
      </c>
      <c r="AC272" s="50" t="s">
        <v>16252</v>
      </c>
      <c r="AD272" s="50" t="s">
        <v>16253</v>
      </c>
      <c r="AE272" s="50" t="s">
        <v>13263</v>
      </c>
      <c r="AF272" s="50" t="s">
        <v>16254</v>
      </c>
      <c r="AG272" s="50" t="s">
        <v>109</v>
      </c>
      <c r="AH272" s="50" t="s">
        <v>102</v>
      </c>
      <c r="AI272" s="50" t="s">
        <v>16255</v>
      </c>
      <c r="AJ272" s="50" t="s">
        <v>16256</v>
      </c>
      <c r="AK272" s="50" t="s">
        <v>16257</v>
      </c>
      <c r="AL272" s="50" t="s">
        <v>16258</v>
      </c>
      <c r="AM272" s="50" t="s">
        <v>16259</v>
      </c>
      <c r="AN272" s="50" t="s">
        <v>16260</v>
      </c>
      <c r="AO272" s="50" t="s">
        <v>16261</v>
      </c>
      <c r="AP272" s="50" t="s">
        <v>16261</v>
      </c>
      <c r="AU272" s="50" t="s">
        <v>247</v>
      </c>
      <c r="AV272" s="50" t="s">
        <v>118</v>
      </c>
      <c r="AW272" s="50" t="s">
        <v>102</v>
      </c>
      <c r="AX272" s="50" t="s">
        <v>119</v>
      </c>
      <c r="BA272" s="50" t="s">
        <v>250</v>
      </c>
      <c r="BB272" s="50" t="s">
        <v>120</v>
      </c>
      <c r="BC272" s="50" t="s">
        <v>6389</v>
      </c>
      <c r="BD272" s="50" t="s">
        <v>6390</v>
      </c>
      <c r="BE272" s="50" t="s">
        <v>212</v>
      </c>
      <c r="BF272" s="50" t="s">
        <v>286</v>
      </c>
      <c r="BG272" s="50" t="s">
        <v>124</v>
      </c>
      <c r="BH272" s="50" t="s">
        <v>12023</v>
      </c>
      <c r="BI272" s="50" t="s">
        <v>11889</v>
      </c>
      <c r="BJ272" s="50" t="s">
        <v>127</v>
      </c>
      <c r="BK272" s="50" t="s">
        <v>16262</v>
      </c>
      <c r="BL272" s="50" t="s">
        <v>6393</v>
      </c>
      <c r="BM272" s="50" t="s">
        <v>16263</v>
      </c>
      <c r="BN272" s="50" t="s">
        <v>16250</v>
      </c>
      <c r="BO272" s="50" t="s">
        <v>290</v>
      </c>
      <c r="BP272" s="50" t="s">
        <v>132</v>
      </c>
      <c r="BQ272" s="50" t="s">
        <v>291</v>
      </c>
      <c r="BR272" s="50" t="s">
        <v>292</v>
      </c>
      <c r="BS272" s="50" t="s">
        <v>4765</v>
      </c>
      <c r="BU272" s="50" t="s">
        <v>16264</v>
      </c>
      <c r="BV272" s="50" t="s">
        <v>16265</v>
      </c>
      <c r="BW272" s="50" t="s">
        <v>354</v>
      </c>
      <c r="BX272" s="50" t="s">
        <v>16266</v>
      </c>
      <c r="BY272" s="50" t="s">
        <v>16267</v>
      </c>
      <c r="BZ272" s="50" t="s">
        <v>6399</v>
      </c>
      <c r="CA272" s="50" t="s">
        <v>6396</v>
      </c>
      <c r="CB272" s="50" t="s">
        <v>6399</v>
      </c>
      <c r="CC272" s="50" t="s">
        <v>16268</v>
      </c>
      <c r="CD272" s="50" t="s">
        <v>16269</v>
      </c>
      <c r="CE272" s="50" t="s">
        <v>16270</v>
      </c>
      <c r="CF272" s="50" t="s">
        <v>16268</v>
      </c>
      <c r="CG272" s="50" t="s">
        <v>6401</v>
      </c>
      <c r="CH272" s="50" t="s">
        <v>16271</v>
      </c>
      <c r="CJ272" s="50" t="s">
        <v>6403</v>
      </c>
      <c r="CK272" s="50" t="s">
        <v>6402</v>
      </c>
      <c r="CL272" s="50" t="s">
        <v>6389</v>
      </c>
      <c r="CM272" s="50" t="s">
        <v>6390</v>
      </c>
      <c r="CN272" s="50" t="s">
        <v>6403</v>
      </c>
      <c r="CO272" s="50" t="s">
        <v>6404</v>
      </c>
      <c r="CP272" s="50" t="s">
        <v>6405</v>
      </c>
      <c r="CQ272" s="50" t="s">
        <v>6402</v>
      </c>
    </row>
    <row r="273" spans="1:96">
      <c r="A273" s="50" t="s">
        <v>93</v>
      </c>
      <c r="B273" s="50">
        <v>3187497</v>
      </c>
      <c r="C273" s="50" t="s">
        <v>418</v>
      </c>
      <c r="D273" s="50" t="s">
        <v>4939</v>
      </c>
      <c r="E273" s="50" t="str">
        <f>VLOOKUP(B273,aa!B:F,5,0)</f>
        <v>Ei ASSET, Ei CARES</v>
      </c>
      <c r="F273" s="50">
        <f>VLOOKUP(B273,aa!B:J,9,0)</f>
        <v>1307820</v>
      </c>
      <c r="G273" s="50">
        <f>VLOOKUP(B273,aa!B:L,11,0)</f>
        <v>967624</v>
      </c>
      <c r="H273" s="50">
        <f>VLOOKUP(B273,aa!B:O,14,0)</f>
        <v>340196</v>
      </c>
      <c r="I273" s="50">
        <f>VLOOKUP(B273,aa!B:R,17,0)</f>
        <v>0</v>
      </c>
      <c r="K273" s="50" t="s">
        <v>97</v>
      </c>
      <c r="L273" s="50">
        <v>1113742</v>
      </c>
      <c r="M273" s="50">
        <v>1113742</v>
      </c>
      <c r="N273" s="50">
        <v>1113742</v>
      </c>
      <c r="O273" s="50">
        <v>742</v>
      </c>
      <c r="P273" s="50" t="s">
        <v>15175</v>
      </c>
      <c r="Q273" s="50">
        <v>0</v>
      </c>
      <c r="R273" s="50">
        <v>0</v>
      </c>
      <c r="T273" s="50">
        <v>0</v>
      </c>
      <c r="U273" s="50">
        <v>0</v>
      </c>
      <c r="W273" s="50" t="s">
        <v>102</v>
      </c>
      <c r="X273" s="50" t="s">
        <v>103</v>
      </c>
      <c r="Y273" s="50" t="s">
        <v>104</v>
      </c>
      <c r="AA273" s="50" t="s">
        <v>1941</v>
      </c>
      <c r="AB273" s="50" t="s">
        <v>15176</v>
      </c>
      <c r="AC273" s="50" t="s">
        <v>15177</v>
      </c>
      <c r="AD273" s="50" t="s">
        <v>15176</v>
      </c>
      <c r="AE273" s="50" t="s">
        <v>109</v>
      </c>
      <c r="AF273" s="50" t="s">
        <v>102</v>
      </c>
      <c r="AG273" s="50" t="s">
        <v>109</v>
      </c>
      <c r="AH273" s="50" t="s">
        <v>102</v>
      </c>
      <c r="AI273" s="50" t="s">
        <v>15178</v>
      </c>
      <c r="AJ273" s="50" t="s">
        <v>15179</v>
      </c>
      <c r="AK273" s="50" t="s">
        <v>15179</v>
      </c>
      <c r="AL273" s="50" t="s">
        <v>15180</v>
      </c>
      <c r="AM273" s="50" t="s">
        <v>15181</v>
      </c>
      <c r="AN273" s="50" t="s">
        <v>15176</v>
      </c>
      <c r="AO273" s="50" t="s">
        <v>15182</v>
      </c>
      <c r="AP273" s="50" t="s">
        <v>15182</v>
      </c>
      <c r="AU273" s="50" t="s">
        <v>318</v>
      </c>
      <c r="AV273" s="50" t="s">
        <v>118</v>
      </c>
      <c r="AW273" s="50" t="s">
        <v>102</v>
      </c>
      <c r="AX273" s="50" t="s">
        <v>119</v>
      </c>
      <c r="BB273" s="50" t="s">
        <v>120</v>
      </c>
      <c r="BC273" s="50" t="s">
        <v>4951</v>
      </c>
      <c r="BD273" s="50" t="s">
        <v>410</v>
      </c>
      <c r="BE273" s="50" t="s">
        <v>212</v>
      </c>
      <c r="BF273" s="50" t="s">
        <v>410</v>
      </c>
      <c r="BG273" s="50" t="s">
        <v>124</v>
      </c>
      <c r="BH273" s="50" t="s">
        <v>12023</v>
      </c>
      <c r="BI273" s="50" t="s">
        <v>11889</v>
      </c>
      <c r="BJ273" s="50" t="s">
        <v>127</v>
      </c>
      <c r="BK273" s="50" t="s">
        <v>15183</v>
      </c>
      <c r="BL273" s="50" t="s">
        <v>4953</v>
      </c>
      <c r="BM273" s="50" t="s">
        <v>15184</v>
      </c>
      <c r="BN273" s="50" t="s">
        <v>1941</v>
      </c>
      <c r="BO273" s="50" t="s">
        <v>4955</v>
      </c>
      <c r="BP273" s="50" t="s">
        <v>132</v>
      </c>
      <c r="BQ273" s="50" t="s">
        <v>4956</v>
      </c>
      <c r="BR273" s="50" t="s">
        <v>4957</v>
      </c>
      <c r="BS273" s="50" t="s">
        <v>1702</v>
      </c>
      <c r="BU273" s="50" t="s">
        <v>15185</v>
      </c>
      <c r="BV273" s="50" t="s">
        <v>15186</v>
      </c>
      <c r="BW273" s="50" t="s">
        <v>138</v>
      </c>
      <c r="BX273" s="50" t="s">
        <v>4960</v>
      </c>
      <c r="BY273" s="50" t="s">
        <v>15187</v>
      </c>
      <c r="BZ273" s="50" t="s">
        <v>4962</v>
      </c>
      <c r="CA273" s="50" t="s">
        <v>4959</v>
      </c>
      <c r="CB273" s="50" t="s">
        <v>4960</v>
      </c>
      <c r="CC273" s="50" t="s">
        <v>4961</v>
      </c>
      <c r="CD273" s="50" t="s">
        <v>15188</v>
      </c>
      <c r="CE273" s="50" t="s">
        <v>4960</v>
      </c>
      <c r="CF273" s="50" t="s">
        <v>15189</v>
      </c>
      <c r="CG273" s="50" t="s">
        <v>2270</v>
      </c>
      <c r="CH273" s="50" t="s">
        <v>15190</v>
      </c>
      <c r="CJ273" s="50" t="s">
        <v>4964</v>
      </c>
      <c r="CK273" s="50" t="s">
        <v>15190</v>
      </c>
      <c r="CL273" s="50" t="s">
        <v>4951</v>
      </c>
      <c r="CM273" s="50" t="s">
        <v>410</v>
      </c>
      <c r="CN273" s="50" t="s">
        <v>4964</v>
      </c>
      <c r="CP273" s="50" t="s">
        <v>4963</v>
      </c>
      <c r="CQ273" s="50" t="s">
        <v>4963</v>
      </c>
    </row>
    <row r="274" spans="1:96">
      <c r="A274" s="50" t="s">
        <v>337</v>
      </c>
      <c r="B274" s="50">
        <v>96888</v>
      </c>
      <c r="C274" s="50" t="s">
        <v>1279</v>
      </c>
      <c r="D274" s="50" t="s">
        <v>21612</v>
      </c>
      <c r="E274" s="50" t="e">
        <f>VLOOKUP(B274,aa!B:F,5,0)</f>
        <v>#N/A</v>
      </c>
      <c r="F274" s="50" t="e">
        <f>VLOOKUP(B274,aa!B:J,9,0)</f>
        <v>#N/A</v>
      </c>
      <c r="G274" s="50" t="e">
        <f>VLOOKUP(B274,aa!B:L,11,0)</f>
        <v>#N/A</v>
      </c>
      <c r="H274" s="50" t="e">
        <f>VLOOKUP(B274,aa!B:O,14,0)</f>
        <v>#N/A</v>
      </c>
      <c r="I274" s="50" t="e">
        <f>VLOOKUP(B274,aa!B:R,17,0)</f>
        <v>#N/A</v>
      </c>
      <c r="K274" s="50" t="s">
        <v>152</v>
      </c>
      <c r="L274" s="50">
        <v>162064</v>
      </c>
      <c r="M274" s="50">
        <v>162064</v>
      </c>
      <c r="N274" s="50">
        <v>0</v>
      </c>
      <c r="O274" s="50">
        <v>0</v>
      </c>
      <c r="Q274" s="50">
        <v>162064</v>
      </c>
      <c r="R274" s="50">
        <v>150</v>
      </c>
      <c r="S274" s="50" t="s">
        <v>1651</v>
      </c>
      <c r="T274" s="50">
        <v>0</v>
      </c>
      <c r="U274" s="50">
        <v>0</v>
      </c>
      <c r="W274" s="50" t="s">
        <v>102</v>
      </c>
      <c r="X274" s="50" t="s">
        <v>275</v>
      </c>
      <c r="Z274" s="50" t="s">
        <v>411</v>
      </c>
      <c r="AA274" s="50" t="s">
        <v>109</v>
      </c>
      <c r="AB274" s="50" t="s">
        <v>102</v>
      </c>
      <c r="AC274" s="50" t="s">
        <v>109</v>
      </c>
      <c r="AD274" s="50" t="s">
        <v>102</v>
      </c>
      <c r="AE274" s="50" t="s">
        <v>109</v>
      </c>
      <c r="AF274" s="50" t="s">
        <v>102</v>
      </c>
      <c r="AG274" s="50" t="s">
        <v>109</v>
      </c>
      <c r="AH274" s="50" t="s">
        <v>102</v>
      </c>
      <c r="AI274" s="50" t="s">
        <v>102</v>
      </c>
      <c r="AJ274" s="50" t="s">
        <v>8783</v>
      </c>
      <c r="AK274" s="50" t="s">
        <v>8783</v>
      </c>
      <c r="AL274" s="50" t="s">
        <v>21613</v>
      </c>
      <c r="AM274" s="50" t="s">
        <v>21614</v>
      </c>
      <c r="AN274" s="50" t="s">
        <v>15151</v>
      </c>
      <c r="AO274" s="50" t="s">
        <v>21615</v>
      </c>
      <c r="AP274" s="50" t="s">
        <v>21615</v>
      </c>
      <c r="AU274" s="50" t="s">
        <v>102</v>
      </c>
      <c r="AW274" s="50" t="s">
        <v>104</v>
      </c>
      <c r="AX274" s="50" t="s">
        <v>119</v>
      </c>
      <c r="AY274" s="50" t="s">
        <v>170</v>
      </c>
      <c r="AZ274" s="50" t="s">
        <v>118</v>
      </c>
      <c r="BB274" s="50" t="s">
        <v>171</v>
      </c>
      <c r="BC274" s="50" t="s">
        <v>623</v>
      </c>
      <c r="BD274" s="50" t="s">
        <v>621</v>
      </c>
      <c r="BE274" s="50" t="s">
        <v>622</v>
      </c>
      <c r="BF274" s="50" t="s">
        <v>623</v>
      </c>
      <c r="BG274" s="50" t="s">
        <v>124</v>
      </c>
      <c r="BH274" s="50" t="s">
        <v>12128</v>
      </c>
      <c r="BI274" s="50" t="s">
        <v>19143</v>
      </c>
      <c r="BJ274" s="50" t="s">
        <v>127</v>
      </c>
      <c r="BK274" s="50" t="s">
        <v>21616</v>
      </c>
      <c r="BL274" s="50" t="s">
        <v>21617</v>
      </c>
      <c r="BM274" s="50" t="s">
        <v>21618</v>
      </c>
      <c r="BN274" s="50" t="s">
        <v>1941</v>
      </c>
      <c r="BO274" s="50" t="s">
        <v>2284</v>
      </c>
      <c r="BP274" s="50" t="s">
        <v>132</v>
      </c>
      <c r="BQ274" s="50" t="s">
        <v>2285</v>
      </c>
      <c r="BR274" s="50" t="s">
        <v>2286</v>
      </c>
      <c r="BS274" s="50" t="s">
        <v>1342</v>
      </c>
      <c r="BU274" s="50" t="s">
        <v>21619</v>
      </c>
      <c r="BV274" s="50" t="s">
        <v>21620</v>
      </c>
      <c r="BW274" s="50" t="s">
        <v>569</v>
      </c>
      <c r="BX274" s="50" t="s">
        <v>21621</v>
      </c>
      <c r="BY274" s="50" t="s">
        <v>21622</v>
      </c>
      <c r="BZ274" s="50" t="s">
        <v>21623</v>
      </c>
      <c r="CA274" s="50" t="s">
        <v>21624</v>
      </c>
      <c r="CB274" s="50" t="s">
        <v>21621</v>
      </c>
      <c r="CC274" s="50" t="s">
        <v>21622</v>
      </c>
      <c r="CD274" s="50" t="s">
        <v>21625</v>
      </c>
      <c r="CE274" s="50" t="s">
        <v>21621</v>
      </c>
      <c r="CF274" s="50" t="s">
        <v>21622</v>
      </c>
      <c r="CG274" s="50" t="s">
        <v>3474</v>
      </c>
      <c r="CH274" s="50" t="s">
        <v>21626</v>
      </c>
      <c r="CJ274" s="50" t="s">
        <v>3177</v>
      </c>
      <c r="CK274" s="50" t="s">
        <v>21626</v>
      </c>
      <c r="CL274" s="50" t="s">
        <v>623</v>
      </c>
      <c r="CM274" s="50" t="s">
        <v>621</v>
      </c>
      <c r="CN274" s="50" t="s">
        <v>3177</v>
      </c>
      <c r="CP274" s="50" t="s">
        <v>21627</v>
      </c>
      <c r="CQ274" s="50" t="s">
        <v>21627</v>
      </c>
      <c r="CR274" s="50" t="s">
        <v>26042</v>
      </c>
    </row>
    <row r="275" spans="1:96">
      <c r="A275" s="50" t="s">
        <v>149</v>
      </c>
      <c r="B275" s="50">
        <v>3150210</v>
      </c>
      <c r="C275" s="50" t="s">
        <v>13158</v>
      </c>
      <c r="D275" s="50" t="s">
        <v>4754</v>
      </c>
      <c r="E275" s="50" t="e">
        <f>VLOOKUP(B275,aa!B:F,5,0)</f>
        <v>#N/A</v>
      </c>
      <c r="F275" s="50" t="e">
        <f>VLOOKUP(B275,aa!B:J,9,0)</f>
        <v>#N/A</v>
      </c>
      <c r="G275" s="50" t="e">
        <f>VLOOKUP(B275,aa!B:L,11,0)</f>
        <v>#N/A</v>
      </c>
      <c r="H275" s="50" t="e">
        <f>VLOOKUP(B275,aa!B:O,14,0)</f>
        <v>#N/A</v>
      </c>
      <c r="I275" s="50" t="e">
        <f>VLOOKUP(B275,aa!B:R,17,0)</f>
        <v>#N/A</v>
      </c>
      <c r="K275" s="50" t="s">
        <v>152</v>
      </c>
      <c r="L275" s="50">
        <v>811526</v>
      </c>
      <c r="M275" s="50">
        <v>811526</v>
      </c>
      <c r="N275" s="50">
        <v>0</v>
      </c>
      <c r="O275" s="50">
        <v>0</v>
      </c>
      <c r="Q275" s="50">
        <v>811526</v>
      </c>
      <c r="R275" s="50">
        <v>773</v>
      </c>
      <c r="S275" s="50" t="s">
        <v>433</v>
      </c>
      <c r="T275" s="50">
        <v>0</v>
      </c>
      <c r="U275" s="50">
        <v>0</v>
      </c>
      <c r="W275" s="50" t="s">
        <v>102</v>
      </c>
      <c r="X275" s="50" t="s">
        <v>103</v>
      </c>
      <c r="Y275" s="50" t="s">
        <v>155</v>
      </c>
      <c r="AA275" s="50" t="s">
        <v>8708</v>
      </c>
      <c r="AB275" s="50" t="s">
        <v>15010</v>
      </c>
      <c r="AC275" s="50" t="s">
        <v>12800</v>
      </c>
      <c r="AD275" s="50" t="s">
        <v>15010</v>
      </c>
      <c r="AE275" s="50" t="s">
        <v>12099</v>
      </c>
      <c r="AF275" s="50" t="s">
        <v>15010</v>
      </c>
      <c r="AG275" s="50" t="s">
        <v>12713</v>
      </c>
      <c r="AH275" s="50" t="s">
        <v>15010</v>
      </c>
      <c r="AI275" s="50" t="s">
        <v>102</v>
      </c>
      <c r="AJ275" s="50" t="s">
        <v>7419</v>
      </c>
      <c r="AK275" s="50" t="s">
        <v>15011</v>
      </c>
      <c r="AL275" s="50" t="s">
        <v>15012</v>
      </c>
      <c r="AM275" s="50" t="s">
        <v>15013</v>
      </c>
      <c r="AN275" s="50" t="s">
        <v>15014</v>
      </c>
      <c r="AO275" s="50" t="s">
        <v>15015</v>
      </c>
      <c r="AP275" s="50" t="s">
        <v>15015</v>
      </c>
      <c r="AU275" s="50" t="s">
        <v>102</v>
      </c>
      <c r="AW275" s="50" t="s">
        <v>155</v>
      </c>
      <c r="AX275" s="50" t="s">
        <v>119</v>
      </c>
      <c r="AY275" s="50" t="s">
        <v>170</v>
      </c>
      <c r="AZ275" s="50" t="s">
        <v>118</v>
      </c>
      <c r="BB275" s="50" t="s">
        <v>120</v>
      </c>
      <c r="BC275" s="50" t="s">
        <v>284</v>
      </c>
      <c r="BD275" s="50" t="s">
        <v>285</v>
      </c>
      <c r="BE275" s="50" t="s">
        <v>212</v>
      </c>
      <c r="BF275" s="50" t="s">
        <v>286</v>
      </c>
      <c r="BG275" s="50" t="s">
        <v>124</v>
      </c>
      <c r="BH275" s="50" t="s">
        <v>11959</v>
      </c>
      <c r="BI275" s="50" t="s">
        <v>11889</v>
      </c>
      <c r="BJ275" s="50" t="s">
        <v>127</v>
      </c>
      <c r="BK275" s="50" t="s">
        <v>15016</v>
      </c>
      <c r="BL275" s="50" t="s">
        <v>4763</v>
      </c>
      <c r="BM275" s="50" t="s">
        <v>15017</v>
      </c>
      <c r="BN275" s="50" t="s">
        <v>1097</v>
      </c>
      <c r="BO275" s="50" t="s">
        <v>290</v>
      </c>
      <c r="BP275" s="50" t="s">
        <v>132</v>
      </c>
      <c r="BQ275" s="50" t="s">
        <v>291</v>
      </c>
      <c r="BR275" s="50" t="s">
        <v>292</v>
      </c>
      <c r="BS275" s="50" t="s">
        <v>4765</v>
      </c>
      <c r="BU275" s="50" t="s">
        <v>15018</v>
      </c>
      <c r="BV275" s="50" t="s">
        <v>4767</v>
      </c>
      <c r="BW275" s="50" t="s">
        <v>138</v>
      </c>
      <c r="BX275" s="50" t="s">
        <v>4768</v>
      </c>
      <c r="BY275" s="50" t="s">
        <v>15019</v>
      </c>
      <c r="CA275" s="50" t="s">
        <v>4767</v>
      </c>
      <c r="CB275" s="50" t="s">
        <v>4768</v>
      </c>
      <c r="CC275" s="50" t="s">
        <v>15019</v>
      </c>
      <c r="CD275" s="50" t="s">
        <v>15020</v>
      </c>
      <c r="CE275" s="50" t="s">
        <v>4771</v>
      </c>
      <c r="CF275" s="50" t="s">
        <v>4769</v>
      </c>
      <c r="CG275" s="50" t="s">
        <v>102</v>
      </c>
      <c r="CH275" s="50" t="s">
        <v>15021</v>
      </c>
      <c r="CJ275" s="50" t="s">
        <v>4774</v>
      </c>
      <c r="CL275" s="50" t="s">
        <v>284</v>
      </c>
      <c r="CM275" s="50" t="s">
        <v>285</v>
      </c>
      <c r="CN275" s="50" t="s">
        <v>4774</v>
      </c>
      <c r="CP275" s="50" t="s">
        <v>4773</v>
      </c>
      <c r="CQ275" s="50" t="s">
        <v>4773</v>
      </c>
    </row>
    <row r="276" spans="1:96">
      <c r="A276" s="50" t="s">
        <v>93</v>
      </c>
      <c r="B276" s="50">
        <v>3999846</v>
      </c>
      <c r="C276" s="50" t="s">
        <v>418</v>
      </c>
      <c r="D276" s="50" t="s">
        <v>8501</v>
      </c>
      <c r="E276" s="50" t="str">
        <f>VLOOKUP(B276,aa!B:F,5,0)</f>
        <v>Ei ASSET</v>
      </c>
      <c r="F276" s="50">
        <f>VLOOKUP(B276,aa!B:J,9,0)</f>
        <v>452250</v>
      </c>
      <c r="G276" s="50">
        <f>VLOOKUP(B276,aa!B:L,11,0)</f>
        <v>452250</v>
      </c>
      <c r="H276" s="50">
        <f>VLOOKUP(B276,aa!B:O,14,0)</f>
        <v>0</v>
      </c>
      <c r="I276" s="50">
        <f>VLOOKUP(B276,aa!B:R,17,0)</f>
        <v>0</v>
      </c>
      <c r="K276" s="50" t="s">
        <v>97</v>
      </c>
      <c r="L276" s="50">
        <v>339187</v>
      </c>
      <c r="M276" s="50">
        <v>339187</v>
      </c>
      <c r="N276" s="50">
        <v>339187</v>
      </c>
      <c r="O276" s="50">
        <v>675</v>
      </c>
      <c r="P276" s="50" t="s">
        <v>17855</v>
      </c>
      <c r="Q276" s="50">
        <v>0</v>
      </c>
      <c r="R276" s="50">
        <v>0</v>
      </c>
      <c r="T276" s="50">
        <v>0</v>
      </c>
      <c r="U276" s="50">
        <v>0</v>
      </c>
      <c r="W276" s="50" t="s">
        <v>102</v>
      </c>
      <c r="X276" s="50" t="s">
        <v>103</v>
      </c>
      <c r="Y276" s="50" t="s">
        <v>104</v>
      </c>
      <c r="AA276" s="50" t="s">
        <v>1097</v>
      </c>
      <c r="AB276" s="50" t="s">
        <v>17856</v>
      </c>
      <c r="AC276" s="50" t="s">
        <v>6895</v>
      </c>
      <c r="AD276" s="50" t="s">
        <v>17856</v>
      </c>
      <c r="AE276" s="50" t="s">
        <v>109</v>
      </c>
      <c r="AF276" s="50" t="s">
        <v>102</v>
      </c>
      <c r="AG276" s="50" t="s">
        <v>109</v>
      </c>
      <c r="AH276" s="50" t="s">
        <v>102</v>
      </c>
      <c r="AI276" s="50" t="s">
        <v>17857</v>
      </c>
      <c r="AJ276" s="50" t="s">
        <v>1604</v>
      </c>
      <c r="AK276" s="50" t="s">
        <v>12573</v>
      </c>
      <c r="AL276" s="50" t="s">
        <v>17858</v>
      </c>
      <c r="AM276" s="50" t="s">
        <v>17859</v>
      </c>
      <c r="AN276" s="50" t="s">
        <v>102</v>
      </c>
      <c r="AO276" s="50" t="s">
        <v>17860</v>
      </c>
      <c r="AP276" s="50" t="s">
        <v>17860</v>
      </c>
      <c r="AU276" s="50" t="s">
        <v>117</v>
      </c>
      <c r="AV276" s="50" t="s">
        <v>118</v>
      </c>
      <c r="AW276" s="50" t="s">
        <v>102</v>
      </c>
      <c r="AX276" s="50" t="s">
        <v>119</v>
      </c>
      <c r="BB276" s="50" t="s">
        <v>120</v>
      </c>
      <c r="BC276" s="50" t="s">
        <v>8509</v>
      </c>
      <c r="BD276" s="50" t="s">
        <v>410</v>
      </c>
      <c r="BE276" s="50" t="s">
        <v>212</v>
      </c>
      <c r="BF276" s="50" t="s">
        <v>410</v>
      </c>
      <c r="BG276" s="50" t="s">
        <v>124</v>
      </c>
      <c r="BH276" s="50" t="s">
        <v>12023</v>
      </c>
      <c r="BI276" s="50" t="s">
        <v>11889</v>
      </c>
      <c r="BJ276" s="50" t="s">
        <v>127</v>
      </c>
      <c r="BK276" s="50" t="s">
        <v>17861</v>
      </c>
      <c r="BL276" s="50" t="s">
        <v>8511</v>
      </c>
      <c r="BM276" s="50" t="s">
        <v>17862</v>
      </c>
      <c r="BN276" s="50" t="s">
        <v>1097</v>
      </c>
      <c r="BO276" s="50" t="s">
        <v>4955</v>
      </c>
      <c r="BP276" s="50" t="s">
        <v>132</v>
      </c>
      <c r="BQ276" s="50" t="s">
        <v>4956</v>
      </c>
      <c r="BR276" s="50" t="s">
        <v>4957</v>
      </c>
      <c r="BS276" s="50" t="s">
        <v>1702</v>
      </c>
      <c r="BT276" s="50" t="s">
        <v>900</v>
      </c>
      <c r="BU276" s="50" t="s">
        <v>17863</v>
      </c>
      <c r="BV276" s="50" t="s">
        <v>17864</v>
      </c>
      <c r="BW276" s="50" t="s">
        <v>138</v>
      </c>
      <c r="BX276" s="50" t="s">
        <v>8515</v>
      </c>
      <c r="BY276" s="50" t="s">
        <v>17865</v>
      </c>
      <c r="BZ276" s="50" t="s">
        <v>8517</v>
      </c>
      <c r="CA276" s="50" t="s">
        <v>17866</v>
      </c>
      <c r="CB276" s="50" t="s">
        <v>17867</v>
      </c>
      <c r="CC276" s="50" t="s">
        <v>8516</v>
      </c>
      <c r="CD276" s="50" t="s">
        <v>17868</v>
      </c>
      <c r="CE276" s="50" t="s">
        <v>17867</v>
      </c>
      <c r="CF276" s="50" t="s">
        <v>17869</v>
      </c>
      <c r="CG276" s="50" t="s">
        <v>3968</v>
      </c>
      <c r="CH276" s="50" t="s">
        <v>8518</v>
      </c>
      <c r="CJ276" s="50" t="s">
        <v>8519</v>
      </c>
      <c r="CK276" s="50" t="s">
        <v>17870</v>
      </c>
      <c r="CL276" s="50" t="s">
        <v>8509</v>
      </c>
      <c r="CM276" s="50" t="s">
        <v>410</v>
      </c>
      <c r="CN276" s="50" t="s">
        <v>8519</v>
      </c>
      <c r="CO276" s="50" t="s">
        <v>8520</v>
      </c>
      <c r="CP276" s="50" t="s">
        <v>8518</v>
      </c>
      <c r="CQ276" s="50" t="s">
        <v>8518</v>
      </c>
      <c r="CR276" s="50" t="s">
        <v>26040</v>
      </c>
    </row>
    <row r="277" spans="1:96">
      <c r="A277" s="50" t="s">
        <v>337</v>
      </c>
      <c r="B277" s="50">
        <v>5035523</v>
      </c>
      <c r="C277" s="50" t="s">
        <v>3562</v>
      </c>
      <c r="D277" s="50" t="s">
        <v>20216</v>
      </c>
      <c r="E277" s="50" t="e">
        <f>VLOOKUP(B277,aa!B:F,5,0)</f>
        <v>#N/A</v>
      </c>
      <c r="F277" s="50" t="e">
        <f>VLOOKUP(B277,aa!B:J,9,0)</f>
        <v>#N/A</v>
      </c>
      <c r="G277" s="50" t="e">
        <f>VLOOKUP(B277,aa!B:L,11,0)</f>
        <v>#N/A</v>
      </c>
      <c r="H277" s="50" t="e">
        <f>VLOOKUP(B277,aa!B:O,14,0)</f>
        <v>#N/A</v>
      </c>
      <c r="I277" s="50" t="e">
        <f>VLOOKUP(B277,aa!B:R,17,0)</f>
        <v>#N/A</v>
      </c>
      <c r="K277" s="50" t="s">
        <v>848</v>
      </c>
      <c r="L277" s="50">
        <v>110263</v>
      </c>
      <c r="M277" s="50">
        <v>130110</v>
      </c>
      <c r="N277" s="50">
        <v>0</v>
      </c>
      <c r="O277" s="50">
        <v>0</v>
      </c>
      <c r="Q277" s="50">
        <v>0</v>
      </c>
      <c r="R277" s="50">
        <v>0</v>
      </c>
      <c r="T277" s="50">
        <v>110263</v>
      </c>
      <c r="U277" s="50">
        <v>52</v>
      </c>
      <c r="V277" s="50" t="s">
        <v>20217</v>
      </c>
      <c r="W277" s="50" t="s">
        <v>102</v>
      </c>
      <c r="X277" s="50" t="s">
        <v>103</v>
      </c>
      <c r="Y277" s="50" t="s">
        <v>104</v>
      </c>
      <c r="AA277" s="50" t="s">
        <v>411</v>
      </c>
      <c r="AB277" s="50" t="s">
        <v>20218</v>
      </c>
      <c r="AC277" s="50" t="s">
        <v>11976</v>
      </c>
      <c r="AD277" s="50" t="s">
        <v>20218</v>
      </c>
      <c r="AE277" s="50" t="s">
        <v>109</v>
      </c>
      <c r="AF277" s="50" t="s">
        <v>102</v>
      </c>
      <c r="AG277" s="50" t="s">
        <v>109</v>
      </c>
      <c r="AH277" s="50" t="s">
        <v>102</v>
      </c>
      <c r="AI277" s="50" t="s">
        <v>102</v>
      </c>
      <c r="AJ277" s="50" t="s">
        <v>15332</v>
      </c>
      <c r="AK277" s="50" t="s">
        <v>12836</v>
      </c>
      <c r="AL277" s="50" t="s">
        <v>20219</v>
      </c>
      <c r="AM277" s="50" t="s">
        <v>20219</v>
      </c>
      <c r="AN277" s="50" t="s">
        <v>102</v>
      </c>
      <c r="AO277" s="50" t="s">
        <v>20220</v>
      </c>
      <c r="AP277" s="50" t="s">
        <v>20220</v>
      </c>
      <c r="AU277" s="50" t="s">
        <v>102</v>
      </c>
      <c r="AW277" s="50" t="s">
        <v>102</v>
      </c>
      <c r="AX277" s="50" t="s">
        <v>119</v>
      </c>
      <c r="BA277" s="50" t="s">
        <v>250</v>
      </c>
      <c r="BB277" s="50" t="s">
        <v>1964</v>
      </c>
      <c r="BC277" s="50" t="s">
        <v>3714</v>
      </c>
      <c r="BD277" s="50" t="s">
        <v>730</v>
      </c>
      <c r="BE277" s="50" t="s">
        <v>622</v>
      </c>
      <c r="BF277" s="50" t="s">
        <v>730</v>
      </c>
      <c r="BG277" s="50" t="s">
        <v>124</v>
      </c>
      <c r="BH277" s="50" t="s">
        <v>11959</v>
      </c>
      <c r="BI277" s="50" t="s">
        <v>11960</v>
      </c>
      <c r="BJ277" s="50" t="s">
        <v>127</v>
      </c>
      <c r="BK277" s="50" t="s">
        <v>20221</v>
      </c>
      <c r="BL277" s="50" t="s">
        <v>20222</v>
      </c>
      <c r="BM277" s="50" t="s">
        <v>20223</v>
      </c>
      <c r="BN277" s="50" t="s">
        <v>1097</v>
      </c>
      <c r="BO277" s="50" t="s">
        <v>3910</v>
      </c>
      <c r="BP277" s="50" t="s">
        <v>350</v>
      </c>
      <c r="BQ277" s="50" t="s">
        <v>3911</v>
      </c>
      <c r="BR277" s="50" t="s">
        <v>3912</v>
      </c>
      <c r="BS277" s="50" t="s">
        <v>2331</v>
      </c>
      <c r="BU277" s="50" t="s">
        <v>20224</v>
      </c>
      <c r="BV277" s="50" t="s">
        <v>20225</v>
      </c>
      <c r="BW277" s="50" t="s">
        <v>138</v>
      </c>
      <c r="BX277" s="50" t="s">
        <v>20226</v>
      </c>
      <c r="BY277" s="50" t="s">
        <v>20227</v>
      </c>
      <c r="BZ277" s="50" t="s">
        <v>20228</v>
      </c>
      <c r="CA277" s="50" t="s">
        <v>20225</v>
      </c>
      <c r="CB277" s="50" t="s">
        <v>20226</v>
      </c>
      <c r="CC277" s="50" t="s">
        <v>20227</v>
      </c>
      <c r="CD277" s="50" t="s">
        <v>20225</v>
      </c>
      <c r="CE277" s="50" t="s">
        <v>20226</v>
      </c>
      <c r="CF277" s="50" t="s">
        <v>20227</v>
      </c>
      <c r="CG277" s="50" t="s">
        <v>20229</v>
      </c>
      <c r="CH277" s="50" t="s">
        <v>20230</v>
      </c>
      <c r="CJ277" s="50" t="s">
        <v>10723</v>
      </c>
      <c r="CK277" s="50" t="s">
        <v>20230</v>
      </c>
      <c r="CL277" s="50" t="s">
        <v>3714</v>
      </c>
      <c r="CM277" s="50" t="s">
        <v>730</v>
      </c>
      <c r="CN277" s="50" t="s">
        <v>10723</v>
      </c>
      <c r="CP277" s="50" t="s">
        <v>20231</v>
      </c>
      <c r="CQ277" s="50" t="s">
        <v>20231</v>
      </c>
    </row>
    <row r="278" spans="1:96">
      <c r="A278" s="50" t="s">
        <v>149</v>
      </c>
      <c r="B278" s="50">
        <v>173767</v>
      </c>
      <c r="C278" s="50" t="s">
        <v>183</v>
      </c>
      <c r="D278" s="50" t="s">
        <v>1623</v>
      </c>
      <c r="E278" s="50" t="str">
        <f>VLOOKUP(B278,aa!B:F,5,0)</f>
        <v>Ei Mindspark</v>
      </c>
      <c r="F278" s="50">
        <f>VLOOKUP(B278,aa!B:J,9,0)</f>
        <v>2325658</v>
      </c>
      <c r="G278" s="50">
        <f>VLOOKUP(B278,aa!B:L,11,0)</f>
        <v>0</v>
      </c>
      <c r="H278" s="50">
        <f>VLOOKUP(B278,aa!B:O,14,0)</f>
        <v>0</v>
      </c>
      <c r="I278" s="50">
        <f>VLOOKUP(B278,aa!B:R,17,0)</f>
        <v>2325658</v>
      </c>
      <c r="K278" s="50" t="s">
        <v>848</v>
      </c>
      <c r="L278" s="50">
        <v>2158338</v>
      </c>
      <c r="M278" s="50">
        <v>2546839</v>
      </c>
      <c r="N278" s="50">
        <v>0</v>
      </c>
      <c r="O278" s="50">
        <v>0</v>
      </c>
      <c r="Q278" s="50">
        <v>0</v>
      </c>
      <c r="R278" s="50">
        <v>0</v>
      </c>
      <c r="T278" s="50">
        <v>2158338</v>
      </c>
      <c r="U278" s="50">
        <v>815</v>
      </c>
      <c r="V278" s="50" t="s">
        <v>12871</v>
      </c>
      <c r="W278" s="50" t="s">
        <v>102</v>
      </c>
      <c r="X278" s="50" t="s">
        <v>103</v>
      </c>
      <c r="Y278" s="50" t="s">
        <v>155</v>
      </c>
      <c r="AA278" s="50" t="s">
        <v>4813</v>
      </c>
      <c r="AB278" s="50" t="s">
        <v>12872</v>
      </c>
      <c r="AC278" s="50" t="s">
        <v>12541</v>
      </c>
      <c r="AD278" s="50" t="s">
        <v>12872</v>
      </c>
      <c r="AE278" s="50" t="s">
        <v>12873</v>
      </c>
      <c r="AF278" s="50" t="s">
        <v>12872</v>
      </c>
      <c r="AG278" s="50" t="s">
        <v>11886</v>
      </c>
      <c r="AH278" s="50" t="s">
        <v>12872</v>
      </c>
      <c r="AI278" s="50" t="s">
        <v>12874</v>
      </c>
      <c r="AJ278" s="50" t="s">
        <v>4520</v>
      </c>
      <c r="AK278" s="50" t="s">
        <v>12875</v>
      </c>
      <c r="AL278" s="50" t="s">
        <v>12876</v>
      </c>
      <c r="AM278" s="50" t="s">
        <v>12877</v>
      </c>
      <c r="AN278" s="50" t="s">
        <v>12878</v>
      </c>
      <c r="AO278" s="50" t="s">
        <v>12879</v>
      </c>
      <c r="AP278" s="50" t="s">
        <v>12879</v>
      </c>
      <c r="AU278" s="50" t="s">
        <v>102</v>
      </c>
      <c r="AW278" s="50" t="s">
        <v>102</v>
      </c>
      <c r="AX278" s="50" t="s">
        <v>119</v>
      </c>
      <c r="BA278" s="50" t="s">
        <v>250</v>
      </c>
      <c r="BB278" s="50" t="s">
        <v>171</v>
      </c>
      <c r="BC278" s="50" t="s">
        <v>375</v>
      </c>
      <c r="BD278" s="50" t="s">
        <v>376</v>
      </c>
      <c r="BE278" s="50" t="s">
        <v>174</v>
      </c>
      <c r="BF278" s="50" t="s">
        <v>376</v>
      </c>
      <c r="BG278" s="50" t="s">
        <v>124</v>
      </c>
      <c r="BH278" s="50" t="s">
        <v>1403</v>
      </c>
      <c r="BI278" s="50" t="s">
        <v>11889</v>
      </c>
      <c r="BJ278" s="50" t="s">
        <v>127</v>
      </c>
      <c r="BK278" s="50" t="s">
        <v>12880</v>
      </c>
      <c r="BL278" s="50" t="s">
        <v>1637</v>
      </c>
      <c r="BM278" s="50" t="s">
        <v>12881</v>
      </c>
      <c r="BN278" s="50" t="s">
        <v>1403</v>
      </c>
      <c r="BO278" s="50" t="s">
        <v>179</v>
      </c>
      <c r="BP278" s="50" t="s">
        <v>180</v>
      </c>
      <c r="BQ278" s="50" t="s">
        <v>181</v>
      </c>
      <c r="BR278" s="50" t="s">
        <v>182</v>
      </c>
      <c r="BS278" s="50" t="s">
        <v>183</v>
      </c>
      <c r="BU278" s="50" t="s">
        <v>12882</v>
      </c>
      <c r="BV278" s="50" t="s">
        <v>1640</v>
      </c>
      <c r="BW278" s="50" t="s">
        <v>138</v>
      </c>
      <c r="BX278" s="50" t="s">
        <v>1641</v>
      </c>
      <c r="BY278" s="50" t="s">
        <v>1642</v>
      </c>
      <c r="BZ278" s="50" t="s">
        <v>1641</v>
      </c>
      <c r="CA278" s="50" t="s">
        <v>1640</v>
      </c>
      <c r="CB278" s="50" t="s">
        <v>1641</v>
      </c>
      <c r="CC278" s="50" t="s">
        <v>1642</v>
      </c>
      <c r="CD278" s="50" t="s">
        <v>12883</v>
      </c>
      <c r="CE278" s="50" t="s">
        <v>12884</v>
      </c>
      <c r="CF278" s="50" t="s">
        <v>12885</v>
      </c>
      <c r="CG278" s="50" t="s">
        <v>102</v>
      </c>
      <c r="CH278" s="50" t="s">
        <v>12886</v>
      </c>
      <c r="CJ278" s="50" t="s">
        <v>1644</v>
      </c>
      <c r="CL278" s="50" t="s">
        <v>375</v>
      </c>
      <c r="CM278" s="50" t="s">
        <v>376</v>
      </c>
      <c r="CN278" s="50" t="s">
        <v>1644</v>
      </c>
      <c r="CO278" s="50" t="s">
        <v>1645</v>
      </c>
      <c r="CP278" s="50" t="s">
        <v>1646</v>
      </c>
      <c r="CQ278" s="50" t="s">
        <v>1643</v>
      </c>
    </row>
    <row r="279" spans="1:96">
      <c r="A279" s="50" t="s">
        <v>337</v>
      </c>
      <c r="B279" s="50">
        <v>5016190</v>
      </c>
      <c r="C279" s="50" t="s">
        <v>11882</v>
      </c>
      <c r="D279" s="50" t="s">
        <v>18801</v>
      </c>
      <c r="E279" s="50" t="str">
        <f>VLOOKUP(B279,aa!B:F,5,0)</f>
        <v>Ei ASSET</v>
      </c>
      <c r="F279" s="50">
        <f>VLOOKUP(B279,aa!B:J,9,0)</f>
        <v>260040</v>
      </c>
      <c r="G279" s="50">
        <f>VLOOKUP(B279,aa!B:L,11,0)</f>
        <v>260040</v>
      </c>
      <c r="H279" s="50">
        <f>VLOOKUP(B279,aa!B:O,14,0)</f>
        <v>0</v>
      </c>
      <c r="I279" s="50">
        <f>VLOOKUP(B279,aa!B:R,17,0)</f>
        <v>0</v>
      </c>
      <c r="K279" s="50" t="s">
        <v>97</v>
      </c>
      <c r="L279" s="50">
        <v>231000</v>
      </c>
      <c r="M279" s="50">
        <v>231000</v>
      </c>
      <c r="N279" s="50">
        <v>231000</v>
      </c>
      <c r="O279" s="50">
        <v>385</v>
      </c>
      <c r="P279" s="50" t="s">
        <v>310</v>
      </c>
      <c r="Q279" s="50">
        <v>0</v>
      </c>
      <c r="R279" s="50">
        <v>0</v>
      </c>
      <c r="T279" s="50">
        <v>0</v>
      </c>
      <c r="U279" s="50">
        <v>0</v>
      </c>
      <c r="W279" s="50" t="s">
        <v>102</v>
      </c>
      <c r="X279" s="50" t="s">
        <v>103</v>
      </c>
      <c r="Y279" s="50" t="s">
        <v>398</v>
      </c>
      <c r="AA279" s="50" t="s">
        <v>4813</v>
      </c>
      <c r="AB279" s="50" t="s">
        <v>18802</v>
      </c>
      <c r="AC279" s="50" t="s">
        <v>13886</v>
      </c>
      <c r="AD279" s="50" t="s">
        <v>18803</v>
      </c>
      <c r="AE279" s="50" t="s">
        <v>8488</v>
      </c>
      <c r="AF279" s="50" t="s">
        <v>18803</v>
      </c>
      <c r="AG279" s="50" t="s">
        <v>109</v>
      </c>
      <c r="AH279" s="50" t="s">
        <v>102</v>
      </c>
      <c r="AI279" s="50" t="s">
        <v>102</v>
      </c>
      <c r="AJ279" s="50" t="s">
        <v>8783</v>
      </c>
      <c r="AK279" s="50" t="s">
        <v>14267</v>
      </c>
      <c r="AL279" s="50" t="s">
        <v>18804</v>
      </c>
      <c r="AM279" s="50" t="s">
        <v>18805</v>
      </c>
      <c r="AN279" s="50" t="s">
        <v>18806</v>
      </c>
      <c r="AO279" s="50" t="s">
        <v>317</v>
      </c>
      <c r="AP279" s="50" t="s">
        <v>317</v>
      </c>
      <c r="AU279" s="50" t="s">
        <v>318</v>
      </c>
      <c r="AV279" s="50" t="s">
        <v>118</v>
      </c>
      <c r="AW279" s="50" t="s">
        <v>102</v>
      </c>
      <c r="AX279" s="50" t="s">
        <v>119</v>
      </c>
      <c r="BB279" s="50" t="s">
        <v>120</v>
      </c>
      <c r="BC279" s="50" t="s">
        <v>3854</v>
      </c>
      <c r="BD279" s="50" t="s">
        <v>449</v>
      </c>
      <c r="BE279" s="50" t="s">
        <v>122</v>
      </c>
      <c r="BF279" s="50" t="s">
        <v>450</v>
      </c>
      <c r="BG279" s="50" t="s">
        <v>124</v>
      </c>
      <c r="BH279" s="50" t="s">
        <v>4813</v>
      </c>
      <c r="BI279" s="50" t="s">
        <v>11889</v>
      </c>
      <c r="BJ279" s="50" t="s">
        <v>127</v>
      </c>
      <c r="BK279" s="50" t="s">
        <v>18807</v>
      </c>
      <c r="BL279" s="50" t="s">
        <v>18808</v>
      </c>
      <c r="BM279" s="50" t="s">
        <v>18809</v>
      </c>
      <c r="BN279" s="50" t="s">
        <v>1403</v>
      </c>
      <c r="BO279" s="50" t="s">
        <v>131</v>
      </c>
      <c r="BP279" s="50" t="s">
        <v>505</v>
      </c>
      <c r="BQ279" s="50" t="s">
        <v>133</v>
      </c>
      <c r="BR279" s="50" t="s">
        <v>134</v>
      </c>
      <c r="BS279" s="50" t="s">
        <v>455</v>
      </c>
      <c r="BU279" s="50" t="s">
        <v>18810</v>
      </c>
      <c r="BV279" s="50" t="s">
        <v>18811</v>
      </c>
      <c r="BW279" s="50" t="s">
        <v>138</v>
      </c>
      <c r="BX279" s="50" t="s">
        <v>18812</v>
      </c>
      <c r="BY279" s="50" t="s">
        <v>18813</v>
      </c>
      <c r="BZ279" s="50" t="s">
        <v>18814</v>
      </c>
      <c r="CA279" s="50" t="s">
        <v>18811</v>
      </c>
      <c r="CB279" s="50" t="s">
        <v>18812</v>
      </c>
      <c r="CC279" s="50" t="s">
        <v>18813</v>
      </c>
      <c r="CD279" s="50" t="s">
        <v>18815</v>
      </c>
      <c r="CE279" s="50" t="s">
        <v>18816</v>
      </c>
      <c r="CF279" s="50" t="s">
        <v>18817</v>
      </c>
      <c r="CG279" s="50" t="s">
        <v>18818</v>
      </c>
      <c r="CH279" s="50" t="s">
        <v>18819</v>
      </c>
      <c r="CJ279" s="50" t="s">
        <v>7472</v>
      </c>
      <c r="CK279" s="50" t="s">
        <v>18819</v>
      </c>
      <c r="CL279" s="50" t="s">
        <v>3854</v>
      </c>
      <c r="CM279" s="50" t="s">
        <v>449</v>
      </c>
      <c r="CN279" s="50" t="s">
        <v>7472</v>
      </c>
      <c r="CP279" s="50" t="s">
        <v>18820</v>
      </c>
      <c r="CQ279" s="50" t="s">
        <v>18820</v>
      </c>
    </row>
    <row r="280" spans="1:96">
      <c r="A280" s="50" t="s">
        <v>337</v>
      </c>
      <c r="B280" s="50">
        <v>5042511</v>
      </c>
      <c r="C280" s="50" t="s">
        <v>11898</v>
      </c>
      <c r="D280" s="50" t="s">
        <v>20353</v>
      </c>
      <c r="E280" s="50" t="str">
        <f>VLOOKUP(B280,aa!B:F,5,0)</f>
        <v>Ei ASSET</v>
      </c>
      <c r="F280" s="50">
        <f>VLOOKUP(B280,aa!B:J,9,0)</f>
        <v>684900</v>
      </c>
      <c r="G280" s="50">
        <f>VLOOKUP(B280,aa!B:L,11,0)</f>
        <v>684900</v>
      </c>
      <c r="H280" s="50">
        <f>VLOOKUP(B280,aa!B:O,14,0)</f>
        <v>0</v>
      </c>
      <c r="I280" s="50">
        <f>VLOOKUP(B280,aa!B:R,17,0)</f>
        <v>0</v>
      </c>
      <c r="K280" s="50" t="s">
        <v>97</v>
      </c>
      <c r="L280" s="50">
        <v>625530</v>
      </c>
      <c r="M280" s="50">
        <v>625530</v>
      </c>
      <c r="N280" s="50">
        <v>625530</v>
      </c>
      <c r="O280" s="50">
        <v>719</v>
      </c>
      <c r="P280" s="50" t="s">
        <v>154</v>
      </c>
      <c r="Q280" s="50">
        <v>0</v>
      </c>
      <c r="R280" s="50">
        <v>0</v>
      </c>
      <c r="T280" s="50">
        <v>0</v>
      </c>
      <c r="U280" s="50">
        <v>0</v>
      </c>
      <c r="W280" s="50" t="s">
        <v>102</v>
      </c>
      <c r="X280" s="50" t="s">
        <v>275</v>
      </c>
      <c r="Z280" s="50" t="s">
        <v>16740</v>
      </c>
      <c r="AA280" s="50" t="s">
        <v>109</v>
      </c>
      <c r="AB280" s="50" t="s">
        <v>102</v>
      </c>
      <c r="AC280" s="50" t="s">
        <v>109</v>
      </c>
      <c r="AD280" s="50" t="s">
        <v>102</v>
      </c>
      <c r="AE280" s="50" t="s">
        <v>109</v>
      </c>
      <c r="AF280" s="50" t="s">
        <v>102</v>
      </c>
      <c r="AG280" s="50" t="s">
        <v>109</v>
      </c>
      <c r="AH280" s="50" t="s">
        <v>102</v>
      </c>
      <c r="AI280" s="50" t="s">
        <v>20354</v>
      </c>
      <c r="AJ280" s="50" t="s">
        <v>4813</v>
      </c>
      <c r="AK280" s="50" t="s">
        <v>4813</v>
      </c>
      <c r="AL280" s="50" t="s">
        <v>20355</v>
      </c>
      <c r="AM280" s="50" t="s">
        <v>20356</v>
      </c>
      <c r="AN280" s="50" t="s">
        <v>102</v>
      </c>
      <c r="AO280" s="50" t="s">
        <v>20357</v>
      </c>
      <c r="AP280" s="50" t="s">
        <v>20357</v>
      </c>
      <c r="AU280" s="50" t="s">
        <v>318</v>
      </c>
      <c r="AV280" s="50" t="s">
        <v>250</v>
      </c>
      <c r="AW280" s="50" t="s">
        <v>102</v>
      </c>
      <c r="AX280" s="50" t="s">
        <v>119</v>
      </c>
      <c r="BB280" s="50" t="s">
        <v>120</v>
      </c>
      <c r="BC280" s="50" t="s">
        <v>20358</v>
      </c>
      <c r="BD280" s="50" t="s">
        <v>320</v>
      </c>
      <c r="BE280" s="50" t="s">
        <v>122</v>
      </c>
      <c r="BF280" s="50" t="s">
        <v>123</v>
      </c>
      <c r="BG280" s="50" t="s">
        <v>124</v>
      </c>
      <c r="BH280" s="50" t="s">
        <v>12023</v>
      </c>
      <c r="BI280" s="50" t="s">
        <v>11889</v>
      </c>
      <c r="BJ280" s="50" t="s">
        <v>127</v>
      </c>
      <c r="BK280" s="50" t="s">
        <v>20359</v>
      </c>
      <c r="BL280" s="50" t="s">
        <v>20360</v>
      </c>
      <c r="BM280" s="50" t="s">
        <v>20361</v>
      </c>
      <c r="BN280" s="50" t="s">
        <v>1403</v>
      </c>
      <c r="BO280" s="50" t="s">
        <v>7005</v>
      </c>
      <c r="BP280" s="50" t="s">
        <v>350</v>
      </c>
      <c r="BQ280" s="50" t="s">
        <v>7006</v>
      </c>
      <c r="BR280" s="50" t="s">
        <v>7007</v>
      </c>
      <c r="BS280" s="50" t="s">
        <v>7008</v>
      </c>
      <c r="BU280" s="50" t="s">
        <v>20362</v>
      </c>
      <c r="BV280" s="50" t="s">
        <v>20363</v>
      </c>
      <c r="BW280" s="50" t="s">
        <v>354</v>
      </c>
      <c r="BX280" s="50" t="s">
        <v>20364</v>
      </c>
      <c r="BY280" s="50" t="s">
        <v>20365</v>
      </c>
      <c r="BZ280" s="50" t="s">
        <v>20366</v>
      </c>
      <c r="CA280" s="50" t="s">
        <v>20367</v>
      </c>
      <c r="CB280" s="50" t="s">
        <v>20368</v>
      </c>
      <c r="CC280" s="50" t="s">
        <v>20369</v>
      </c>
      <c r="CD280" s="50" t="s">
        <v>20370</v>
      </c>
      <c r="CE280" s="50" t="s">
        <v>20366</v>
      </c>
      <c r="CF280" s="50" t="s">
        <v>20365</v>
      </c>
      <c r="CG280" s="50" t="s">
        <v>2555</v>
      </c>
      <c r="CH280" s="50" t="s">
        <v>20371</v>
      </c>
      <c r="CJ280" s="50" t="s">
        <v>20372</v>
      </c>
      <c r="CK280" s="50" t="s">
        <v>20373</v>
      </c>
      <c r="CL280" s="50" t="s">
        <v>20358</v>
      </c>
      <c r="CM280" s="50" t="s">
        <v>320</v>
      </c>
      <c r="CN280" s="50" t="s">
        <v>20372</v>
      </c>
      <c r="CP280" s="50" t="s">
        <v>20374</v>
      </c>
      <c r="CQ280" s="50" t="s">
        <v>20374</v>
      </c>
    </row>
    <row r="281" spans="1:96">
      <c r="A281" s="50" t="s">
        <v>149</v>
      </c>
      <c r="B281" s="50">
        <v>1524162</v>
      </c>
      <c r="C281" s="50" t="s">
        <v>12155</v>
      </c>
      <c r="D281" s="50" t="s">
        <v>1021</v>
      </c>
      <c r="E281" s="50" t="str">
        <f>VLOOKUP(B281,aa!B:F,5,0)</f>
        <v>Ei ASSET, Ei Mindspark</v>
      </c>
      <c r="F281" s="50">
        <f>VLOOKUP(B281,aa!B:J,9,0)</f>
        <v>1551114</v>
      </c>
      <c r="G281" s="50">
        <f>VLOOKUP(B281,aa!B:L,11,0)</f>
        <v>1306354</v>
      </c>
      <c r="H281" s="50">
        <f>VLOOKUP(B281,aa!B:O,14,0)</f>
        <v>0</v>
      </c>
      <c r="I281" s="50">
        <f>VLOOKUP(B281,aa!B:R,17,0)</f>
        <v>244760</v>
      </c>
      <c r="K281" s="50" t="s">
        <v>193</v>
      </c>
      <c r="L281" s="50">
        <v>1750677</v>
      </c>
      <c r="M281" s="50">
        <v>1858546</v>
      </c>
      <c r="N281" s="50">
        <v>1151400</v>
      </c>
      <c r="O281" s="50">
        <v>1919</v>
      </c>
      <c r="P281" s="50" t="s">
        <v>310</v>
      </c>
      <c r="Q281" s="50">
        <v>0</v>
      </c>
      <c r="R281" s="50">
        <v>0</v>
      </c>
      <c r="T281" s="50">
        <v>599277</v>
      </c>
      <c r="U281" s="50">
        <v>580</v>
      </c>
      <c r="V281" s="50" t="s">
        <v>12540</v>
      </c>
      <c r="W281" s="50" t="s">
        <v>102</v>
      </c>
      <c r="X281" s="50" t="s">
        <v>679</v>
      </c>
      <c r="Y281" s="50" t="s">
        <v>155</v>
      </c>
      <c r="Z281" s="50" t="s">
        <v>12541</v>
      </c>
      <c r="AA281" s="50" t="s">
        <v>12542</v>
      </c>
      <c r="AB281" s="50" t="s">
        <v>12543</v>
      </c>
      <c r="AC281" s="50" t="s">
        <v>12544</v>
      </c>
      <c r="AD281" s="50" t="s">
        <v>12543</v>
      </c>
      <c r="AE281" s="50" t="s">
        <v>12545</v>
      </c>
      <c r="AF281" s="50" t="s">
        <v>12543</v>
      </c>
      <c r="AG281" s="50" t="s">
        <v>12216</v>
      </c>
      <c r="AH281" s="50" t="s">
        <v>12543</v>
      </c>
      <c r="AI281" s="50" t="s">
        <v>12546</v>
      </c>
      <c r="AJ281" s="50" t="s">
        <v>12547</v>
      </c>
      <c r="AK281" s="50" t="s">
        <v>12548</v>
      </c>
      <c r="AL281" s="50" t="s">
        <v>12549</v>
      </c>
      <c r="AM281" s="50" t="s">
        <v>12550</v>
      </c>
      <c r="AN281" s="50" t="s">
        <v>12551</v>
      </c>
      <c r="AO281" s="50" t="s">
        <v>12552</v>
      </c>
      <c r="AP281" s="50" t="s">
        <v>12552</v>
      </c>
      <c r="AU281" s="50" t="s">
        <v>247</v>
      </c>
      <c r="AV281" s="50" t="s">
        <v>118</v>
      </c>
      <c r="AW281" s="50" t="s">
        <v>102</v>
      </c>
      <c r="AX281" s="50" t="s">
        <v>119</v>
      </c>
      <c r="BA281" s="50" t="s">
        <v>250</v>
      </c>
      <c r="BB281" s="50" t="s">
        <v>120</v>
      </c>
      <c r="BC281" s="50" t="s">
        <v>1036</v>
      </c>
      <c r="BD281" s="50" t="s">
        <v>173</v>
      </c>
      <c r="BE281" s="50" t="s">
        <v>174</v>
      </c>
      <c r="BF281" s="50" t="s">
        <v>173</v>
      </c>
      <c r="BG281" s="50" t="s">
        <v>124</v>
      </c>
      <c r="BH281" s="50" t="s">
        <v>12553</v>
      </c>
      <c r="BI281" s="50" t="s">
        <v>12554</v>
      </c>
      <c r="BJ281" s="50" t="s">
        <v>127</v>
      </c>
      <c r="BK281" s="50" t="s">
        <v>12555</v>
      </c>
      <c r="BL281" s="50" t="s">
        <v>1040</v>
      </c>
      <c r="BM281" s="50" t="s">
        <v>12556</v>
      </c>
      <c r="BN281" s="50" t="s">
        <v>12539</v>
      </c>
      <c r="BO281" s="50" t="s">
        <v>12557</v>
      </c>
      <c r="BP281" s="50" t="s">
        <v>180</v>
      </c>
      <c r="BQ281" s="50" t="s">
        <v>12558</v>
      </c>
      <c r="BR281" s="50" t="s">
        <v>12559</v>
      </c>
      <c r="BS281" s="50" t="s">
        <v>183</v>
      </c>
      <c r="BU281" s="50" t="s">
        <v>12560</v>
      </c>
      <c r="BV281" s="50" t="s">
        <v>1043</v>
      </c>
      <c r="BW281" s="50" t="s">
        <v>569</v>
      </c>
      <c r="BX281" s="50" t="s">
        <v>1044</v>
      </c>
      <c r="BY281" s="50" t="s">
        <v>1045</v>
      </c>
      <c r="BZ281" s="50" t="s">
        <v>1046</v>
      </c>
      <c r="CA281" s="50" t="s">
        <v>12561</v>
      </c>
      <c r="CB281" s="50" t="s">
        <v>1048</v>
      </c>
      <c r="CC281" s="50" t="s">
        <v>1049</v>
      </c>
      <c r="CD281" s="50" t="s">
        <v>1050</v>
      </c>
      <c r="CE281" s="50" t="s">
        <v>1051</v>
      </c>
      <c r="CF281" s="50" t="s">
        <v>1052</v>
      </c>
      <c r="CG281" s="50" t="s">
        <v>102</v>
      </c>
      <c r="CH281" s="50" t="s">
        <v>12562</v>
      </c>
      <c r="CJ281" s="50" t="s">
        <v>1054</v>
      </c>
      <c r="CK281" s="50" t="s">
        <v>12563</v>
      </c>
      <c r="CL281" s="50" t="s">
        <v>1036</v>
      </c>
      <c r="CM281" s="50" t="s">
        <v>173</v>
      </c>
      <c r="CN281" s="50" t="s">
        <v>1054</v>
      </c>
      <c r="CO281" s="50" t="s">
        <v>1055</v>
      </c>
      <c r="CP281" s="50" t="s">
        <v>1056</v>
      </c>
      <c r="CQ281" s="50" t="s">
        <v>1057</v>
      </c>
    </row>
    <row r="282" spans="1:96">
      <c r="A282" s="50" t="s">
        <v>149</v>
      </c>
      <c r="B282" s="50">
        <v>3605584</v>
      </c>
      <c r="C282" s="50" t="s">
        <v>12155</v>
      </c>
      <c r="D282" s="50" t="s">
        <v>6888</v>
      </c>
      <c r="E282" s="50" t="str">
        <f>VLOOKUP(B282,aa!B:F,5,0)</f>
        <v>Ei ASSET, Ei Mindspark</v>
      </c>
      <c r="F282" s="50">
        <f>VLOOKUP(B282,aa!B:J,9,0)</f>
        <v>450561</v>
      </c>
      <c r="G282" s="50">
        <f>VLOOKUP(B282,aa!B:L,11,0)</f>
        <v>126885</v>
      </c>
      <c r="H282" s="50">
        <f>VLOOKUP(B282,aa!B:O,14,0)</f>
        <v>0</v>
      </c>
      <c r="I282" s="50">
        <f>VLOOKUP(B282,aa!B:R,17,0)</f>
        <v>323676</v>
      </c>
      <c r="K282" s="50" t="s">
        <v>193</v>
      </c>
      <c r="L282" s="50">
        <v>395516</v>
      </c>
      <c r="M282" s="50">
        <v>446837</v>
      </c>
      <c r="N282" s="50">
        <v>110400</v>
      </c>
      <c r="O282" s="50">
        <v>184</v>
      </c>
      <c r="P282" s="50" t="s">
        <v>310</v>
      </c>
      <c r="Q282" s="50">
        <v>0</v>
      </c>
      <c r="R282" s="50">
        <v>0</v>
      </c>
      <c r="T282" s="50">
        <v>285116</v>
      </c>
      <c r="U282" s="50">
        <v>210</v>
      </c>
      <c r="V282" s="50" t="s">
        <v>10022</v>
      </c>
      <c r="W282" s="50" t="s">
        <v>102</v>
      </c>
      <c r="X282" s="50" t="s">
        <v>679</v>
      </c>
      <c r="Y282" s="50" t="s">
        <v>155</v>
      </c>
      <c r="Z282" s="50" t="s">
        <v>12541</v>
      </c>
      <c r="AA282" s="50" t="s">
        <v>12542</v>
      </c>
      <c r="AB282" s="50" t="s">
        <v>16630</v>
      </c>
      <c r="AC282" s="50" t="s">
        <v>12544</v>
      </c>
      <c r="AD282" s="50" t="s">
        <v>16630</v>
      </c>
      <c r="AE282" s="50" t="s">
        <v>12545</v>
      </c>
      <c r="AF282" s="50" t="s">
        <v>16630</v>
      </c>
      <c r="AG282" s="50" t="s">
        <v>12216</v>
      </c>
      <c r="AH282" s="50" t="s">
        <v>16630</v>
      </c>
      <c r="AI282" s="50" t="s">
        <v>16631</v>
      </c>
      <c r="AJ282" s="50" t="s">
        <v>16632</v>
      </c>
      <c r="AK282" s="50" t="s">
        <v>16633</v>
      </c>
      <c r="AL282" s="50" t="s">
        <v>16634</v>
      </c>
      <c r="AM282" s="50" t="s">
        <v>16635</v>
      </c>
      <c r="AN282" s="50" t="s">
        <v>16636</v>
      </c>
      <c r="AO282" s="50" t="s">
        <v>16637</v>
      </c>
      <c r="AP282" s="50" t="s">
        <v>16637</v>
      </c>
      <c r="AU282" s="50" t="s">
        <v>247</v>
      </c>
      <c r="AV282" s="50" t="s">
        <v>118</v>
      </c>
      <c r="AW282" s="50" t="s">
        <v>102</v>
      </c>
      <c r="AX282" s="50" t="s">
        <v>119</v>
      </c>
      <c r="BA282" s="50" t="s">
        <v>250</v>
      </c>
      <c r="BB282" s="50" t="s">
        <v>120</v>
      </c>
      <c r="BC282" s="50" t="s">
        <v>6900</v>
      </c>
      <c r="BD282" s="50" t="s">
        <v>173</v>
      </c>
      <c r="BE282" s="50" t="s">
        <v>174</v>
      </c>
      <c r="BF282" s="50" t="s">
        <v>173</v>
      </c>
      <c r="BG282" s="50" t="s">
        <v>124</v>
      </c>
      <c r="BH282" s="50" t="s">
        <v>12553</v>
      </c>
      <c r="BI282" s="50" t="s">
        <v>12554</v>
      </c>
      <c r="BJ282" s="50" t="s">
        <v>127</v>
      </c>
      <c r="BK282" s="50" t="s">
        <v>16638</v>
      </c>
      <c r="BL282" s="50" t="s">
        <v>6902</v>
      </c>
      <c r="BM282" s="50" t="s">
        <v>16639</v>
      </c>
      <c r="BN282" s="50" t="s">
        <v>12539</v>
      </c>
      <c r="BO282" s="50" t="s">
        <v>12557</v>
      </c>
      <c r="BP282" s="50" t="s">
        <v>180</v>
      </c>
      <c r="BQ282" s="50" t="s">
        <v>12558</v>
      </c>
      <c r="BR282" s="50" t="s">
        <v>12559</v>
      </c>
      <c r="BS282" s="50" t="s">
        <v>183</v>
      </c>
      <c r="BU282" s="50" t="s">
        <v>16640</v>
      </c>
      <c r="BV282" s="50" t="s">
        <v>1043</v>
      </c>
      <c r="BW282" s="50" t="s">
        <v>569</v>
      </c>
      <c r="BX282" s="50" t="s">
        <v>1044</v>
      </c>
      <c r="BY282" s="50" t="s">
        <v>1045</v>
      </c>
      <c r="BZ282" s="50" t="s">
        <v>6905</v>
      </c>
      <c r="CA282" s="50" t="s">
        <v>12561</v>
      </c>
      <c r="CB282" s="50" t="s">
        <v>16641</v>
      </c>
      <c r="CC282" s="50" t="s">
        <v>1049</v>
      </c>
      <c r="CD282" s="50" t="s">
        <v>16642</v>
      </c>
      <c r="CE282" s="50" t="s">
        <v>16643</v>
      </c>
      <c r="CF282" s="50" t="s">
        <v>16644</v>
      </c>
      <c r="CG282" s="50" t="s">
        <v>102</v>
      </c>
      <c r="CH282" s="50" t="s">
        <v>16645</v>
      </c>
      <c r="CJ282" s="50" t="s">
        <v>6913</v>
      </c>
      <c r="CK282" s="50" t="s">
        <v>16646</v>
      </c>
      <c r="CL282" s="50" t="s">
        <v>6900</v>
      </c>
      <c r="CM282" s="50" t="s">
        <v>173</v>
      </c>
      <c r="CN282" s="50" t="s">
        <v>6913</v>
      </c>
      <c r="CO282" s="50" t="s">
        <v>1055</v>
      </c>
      <c r="CP282" s="50" t="s">
        <v>6914</v>
      </c>
      <c r="CQ282" s="50" t="s">
        <v>6915</v>
      </c>
    </row>
    <row r="283" spans="1:96">
      <c r="A283" s="50" t="s">
        <v>149</v>
      </c>
      <c r="B283" s="50">
        <v>2844474</v>
      </c>
      <c r="C283" s="50" t="s">
        <v>418</v>
      </c>
      <c r="D283" s="50" t="s">
        <v>4475</v>
      </c>
      <c r="E283" s="50" t="e">
        <f>VLOOKUP(B283,aa!B:F,5,0)</f>
        <v>#N/A</v>
      </c>
      <c r="F283" s="50" t="e">
        <f>VLOOKUP(B283,aa!B:J,9,0)</f>
        <v>#N/A</v>
      </c>
      <c r="G283" s="50" t="e">
        <f>VLOOKUP(B283,aa!B:L,11,0)</f>
        <v>#N/A</v>
      </c>
      <c r="H283" s="50" t="e">
        <f>VLOOKUP(B283,aa!B:O,14,0)</f>
        <v>#N/A</v>
      </c>
      <c r="I283" s="50" t="e">
        <f>VLOOKUP(B283,aa!B:R,17,0)</f>
        <v>#N/A</v>
      </c>
      <c r="K283" s="50" t="s">
        <v>97</v>
      </c>
      <c r="L283" s="50">
        <v>458263</v>
      </c>
      <c r="M283" s="50">
        <v>458263</v>
      </c>
      <c r="N283" s="50">
        <v>458263</v>
      </c>
      <c r="O283" s="50">
        <v>536</v>
      </c>
      <c r="P283" s="50" t="s">
        <v>14775</v>
      </c>
      <c r="Q283" s="50">
        <v>0</v>
      </c>
      <c r="R283" s="50">
        <v>0</v>
      </c>
      <c r="T283" s="50">
        <v>0</v>
      </c>
      <c r="U283" s="50">
        <v>0</v>
      </c>
      <c r="W283" s="50" t="s">
        <v>102</v>
      </c>
      <c r="X283" s="50" t="s">
        <v>103</v>
      </c>
      <c r="Y283" s="50" t="s">
        <v>104</v>
      </c>
      <c r="AA283" s="50" t="s">
        <v>1165</v>
      </c>
      <c r="AB283" s="50" t="s">
        <v>14776</v>
      </c>
      <c r="AC283" s="50" t="s">
        <v>12888</v>
      </c>
      <c r="AD283" s="50" t="s">
        <v>14776</v>
      </c>
      <c r="AE283" s="50" t="s">
        <v>109</v>
      </c>
      <c r="AF283" s="50" t="s">
        <v>102</v>
      </c>
      <c r="AG283" s="50" t="s">
        <v>109</v>
      </c>
      <c r="AH283" s="50" t="s">
        <v>102</v>
      </c>
      <c r="AI283" s="50" t="s">
        <v>14777</v>
      </c>
      <c r="AJ283" s="50" t="s">
        <v>12063</v>
      </c>
      <c r="AK283" s="50" t="s">
        <v>13675</v>
      </c>
      <c r="AL283" s="50" t="s">
        <v>14778</v>
      </c>
      <c r="AM283" s="50" t="s">
        <v>14779</v>
      </c>
      <c r="AN283" s="50" t="s">
        <v>115</v>
      </c>
      <c r="AO283" s="50" t="s">
        <v>14780</v>
      </c>
      <c r="AP283" s="50" t="s">
        <v>14780</v>
      </c>
      <c r="AU283" s="50" t="s">
        <v>318</v>
      </c>
      <c r="AV283" s="50" t="s">
        <v>118</v>
      </c>
      <c r="AW283" s="50" t="s">
        <v>102</v>
      </c>
      <c r="AX283" s="50" t="s">
        <v>119</v>
      </c>
      <c r="BB283" s="50" t="s">
        <v>120</v>
      </c>
      <c r="BC283" s="50" t="s">
        <v>920</v>
      </c>
      <c r="BD283" s="50" t="s">
        <v>211</v>
      </c>
      <c r="BE283" s="50" t="s">
        <v>212</v>
      </c>
      <c r="BF283" s="50" t="s">
        <v>213</v>
      </c>
      <c r="BG283" s="50" t="s">
        <v>124</v>
      </c>
      <c r="BH283" s="50" t="s">
        <v>11959</v>
      </c>
      <c r="BI283" s="50" t="s">
        <v>11960</v>
      </c>
      <c r="BJ283" s="50" t="s">
        <v>127</v>
      </c>
      <c r="BK283" s="50" t="s">
        <v>14781</v>
      </c>
      <c r="BL283" s="50" t="s">
        <v>4486</v>
      </c>
      <c r="BM283" s="50" t="s">
        <v>14782</v>
      </c>
      <c r="BN283" s="50" t="s">
        <v>12100</v>
      </c>
      <c r="BO283" s="50" t="s">
        <v>7108</v>
      </c>
      <c r="BP283" s="50" t="s">
        <v>180</v>
      </c>
      <c r="BQ283" s="50" t="s">
        <v>7109</v>
      </c>
      <c r="BR283" s="50" t="s">
        <v>2151</v>
      </c>
      <c r="BS283" s="50" t="s">
        <v>2151</v>
      </c>
      <c r="BU283" s="50" t="s">
        <v>14783</v>
      </c>
      <c r="BV283" s="50" t="s">
        <v>3585</v>
      </c>
      <c r="BW283" s="50" t="s">
        <v>598</v>
      </c>
      <c r="BX283" s="50" t="s">
        <v>225</v>
      </c>
      <c r="BY283" s="50" t="s">
        <v>8332</v>
      </c>
      <c r="BZ283" s="50" t="s">
        <v>4489</v>
      </c>
      <c r="CA283" s="50" t="s">
        <v>14784</v>
      </c>
      <c r="CB283" s="50" t="s">
        <v>14785</v>
      </c>
      <c r="CC283" s="50" t="s">
        <v>14786</v>
      </c>
      <c r="CD283" s="50" t="s">
        <v>14787</v>
      </c>
      <c r="CE283" s="50" t="s">
        <v>14788</v>
      </c>
      <c r="CF283" s="50" t="s">
        <v>14786</v>
      </c>
      <c r="CG283" s="50" t="s">
        <v>102</v>
      </c>
      <c r="CH283" s="50" t="s">
        <v>4490</v>
      </c>
      <c r="CJ283" s="50" t="s">
        <v>4491</v>
      </c>
      <c r="CL283" s="50" t="s">
        <v>920</v>
      </c>
      <c r="CM283" s="50" t="s">
        <v>211</v>
      </c>
      <c r="CN283" s="50" t="s">
        <v>4491</v>
      </c>
      <c r="CO283" s="50" t="s">
        <v>3589</v>
      </c>
      <c r="CP283" s="50" t="s">
        <v>4490</v>
      </c>
      <c r="CQ283" s="50" t="s">
        <v>4490</v>
      </c>
      <c r="CR283" s="50" t="s">
        <v>26040</v>
      </c>
    </row>
    <row r="284" spans="1:96">
      <c r="A284" s="50" t="s">
        <v>149</v>
      </c>
      <c r="B284" s="50">
        <v>3591328</v>
      </c>
      <c r="C284" s="50" t="s">
        <v>16575</v>
      </c>
      <c r="D284" s="50" t="s">
        <v>6779</v>
      </c>
      <c r="E284" s="50" t="e">
        <f>VLOOKUP(B284,aa!B:F,5,0)</f>
        <v>#N/A</v>
      </c>
      <c r="F284" s="50" t="e">
        <f>VLOOKUP(B284,aa!B:J,9,0)</f>
        <v>#N/A</v>
      </c>
      <c r="G284" s="50" t="e">
        <f>VLOOKUP(B284,aa!B:L,11,0)</f>
        <v>#N/A</v>
      </c>
      <c r="H284" s="50" t="e">
        <f>VLOOKUP(B284,aa!B:O,14,0)</f>
        <v>#N/A</v>
      </c>
      <c r="I284" s="50" t="e">
        <f>VLOOKUP(B284,aa!B:R,17,0)</f>
        <v>#N/A</v>
      </c>
      <c r="K284" s="50" t="s">
        <v>2163</v>
      </c>
      <c r="L284" s="50">
        <v>1109546</v>
      </c>
      <c r="M284" s="50">
        <v>1268227</v>
      </c>
      <c r="N284" s="50">
        <v>112793</v>
      </c>
      <c r="O284" s="50">
        <v>141</v>
      </c>
      <c r="P284" s="50" t="s">
        <v>1297</v>
      </c>
      <c r="Q284" s="50">
        <v>115190</v>
      </c>
      <c r="R284" s="50">
        <v>96</v>
      </c>
      <c r="S284" s="50" t="s">
        <v>880</v>
      </c>
      <c r="T284" s="50">
        <v>881563</v>
      </c>
      <c r="U284" s="50">
        <v>289</v>
      </c>
      <c r="V284" s="50" t="s">
        <v>16576</v>
      </c>
      <c r="W284" s="50" t="s">
        <v>102</v>
      </c>
      <c r="X284" s="50" t="s">
        <v>103</v>
      </c>
      <c r="Y284" s="50" t="s">
        <v>155</v>
      </c>
      <c r="AA284" s="50" t="s">
        <v>4813</v>
      </c>
      <c r="AB284" s="50" t="s">
        <v>16577</v>
      </c>
      <c r="AC284" s="50" t="s">
        <v>1408</v>
      </c>
      <c r="AD284" s="50" t="s">
        <v>16577</v>
      </c>
      <c r="AE284" s="50" t="s">
        <v>12289</v>
      </c>
      <c r="AF284" s="50" t="s">
        <v>16577</v>
      </c>
      <c r="AG284" s="50" t="s">
        <v>11886</v>
      </c>
      <c r="AH284" s="50" t="s">
        <v>16577</v>
      </c>
      <c r="AI284" s="50" t="s">
        <v>16578</v>
      </c>
      <c r="AJ284" s="50" t="s">
        <v>4813</v>
      </c>
      <c r="AK284" s="50" t="s">
        <v>16579</v>
      </c>
      <c r="AL284" s="50" t="s">
        <v>16580</v>
      </c>
      <c r="AM284" s="50" t="s">
        <v>16581</v>
      </c>
      <c r="AN284" s="50" t="s">
        <v>16582</v>
      </c>
      <c r="AO284" s="50" t="s">
        <v>16583</v>
      </c>
      <c r="AP284" s="50" t="s">
        <v>16583</v>
      </c>
      <c r="AU284" s="50" t="s">
        <v>247</v>
      </c>
      <c r="AV284" s="50" t="s">
        <v>118</v>
      </c>
      <c r="AW284" s="50" t="s">
        <v>1103</v>
      </c>
      <c r="AX284" s="50" t="s">
        <v>249</v>
      </c>
      <c r="AY284" s="50" t="s">
        <v>170</v>
      </c>
      <c r="AZ284" s="50" t="s">
        <v>118</v>
      </c>
      <c r="BA284" s="50" t="s">
        <v>250</v>
      </c>
      <c r="BB284" s="50" t="s">
        <v>120</v>
      </c>
      <c r="BC284" s="50" t="s">
        <v>375</v>
      </c>
      <c r="BD284" s="50" t="s">
        <v>376</v>
      </c>
      <c r="BE284" s="50" t="s">
        <v>174</v>
      </c>
      <c r="BF284" s="50" t="s">
        <v>376</v>
      </c>
      <c r="BG284" s="50" t="s">
        <v>124</v>
      </c>
      <c r="BH284" s="50" t="s">
        <v>16584</v>
      </c>
      <c r="BI284" s="50" t="s">
        <v>11889</v>
      </c>
      <c r="BJ284" s="50" t="s">
        <v>127</v>
      </c>
      <c r="BK284" s="50" t="s">
        <v>16585</v>
      </c>
      <c r="BL284" s="50" t="s">
        <v>6796</v>
      </c>
      <c r="BM284" s="50" t="s">
        <v>16586</v>
      </c>
      <c r="BN284" s="50" t="s">
        <v>12100</v>
      </c>
      <c r="BO284" s="50" t="s">
        <v>179</v>
      </c>
      <c r="BP284" s="50" t="s">
        <v>180</v>
      </c>
      <c r="BQ284" s="50" t="s">
        <v>181</v>
      </c>
      <c r="BR284" s="50" t="s">
        <v>182</v>
      </c>
      <c r="BS284" s="50" t="s">
        <v>5177</v>
      </c>
      <c r="BU284" s="50" t="s">
        <v>16587</v>
      </c>
      <c r="BV284" s="50" t="s">
        <v>16588</v>
      </c>
      <c r="BW284" s="50" t="s">
        <v>569</v>
      </c>
      <c r="BX284" s="50" t="s">
        <v>16589</v>
      </c>
      <c r="BY284" s="50" t="s">
        <v>16590</v>
      </c>
      <c r="BZ284" s="50" t="s">
        <v>6802</v>
      </c>
      <c r="CA284" s="50" t="s">
        <v>16588</v>
      </c>
      <c r="CB284" s="50" t="s">
        <v>16589</v>
      </c>
      <c r="CC284" s="50" t="s">
        <v>16590</v>
      </c>
      <c r="CD284" s="50" t="s">
        <v>16588</v>
      </c>
      <c r="CE284" s="50" t="s">
        <v>16589</v>
      </c>
      <c r="CF284" s="50" t="s">
        <v>16590</v>
      </c>
      <c r="CG284" s="50" t="s">
        <v>334</v>
      </c>
      <c r="CH284" s="50" t="s">
        <v>16591</v>
      </c>
      <c r="CJ284" s="50" t="s">
        <v>6807</v>
      </c>
      <c r="CK284" s="50" t="s">
        <v>6806</v>
      </c>
      <c r="CL284" s="50" t="s">
        <v>375</v>
      </c>
      <c r="CM284" s="50" t="s">
        <v>376</v>
      </c>
      <c r="CN284" s="50" t="s">
        <v>6807</v>
      </c>
      <c r="CO284" s="50" t="s">
        <v>6808</v>
      </c>
      <c r="CP284" s="50" t="s">
        <v>6809</v>
      </c>
      <c r="CQ284" s="50" t="s">
        <v>6809</v>
      </c>
      <c r="CR284" s="50" t="s">
        <v>26043</v>
      </c>
    </row>
    <row r="285" spans="1:96">
      <c r="A285" s="50" t="s">
        <v>149</v>
      </c>
      <c r="B285" s="50">
        <v>3693693</v>
      </c>
      <c r="C285" s="50" t="s">
        <v>2151</v>
      </c>
      <c r="D285" s="50" t="s">
        <v>7097</v>
      </c>
      <c r="E285" s="50" t="e">
        <f>VLOOKUP(B285,aa!B:F,5,0)</f>
        <v>#N/A</v>
      </c>
      <c r="F285" s="50" t="e">
        <f>VLOOKUP(B285,aa!B:J,9,0)</f>
        <v>#N/A</v>
      </c>
      <c r="G285" s="50" t="e">
        <f>VLOOKUP(B285,aa!B:L,11,0)</f>
        <v>#N/A</v>
      </c>
      <c r="H285" s="50" t="e">
        <f>VLOOKUP(B285,aa!B:O,14,0)</f>
        <v>#N/A</v>
      </c>
      <c r="I285" s="50" t="e">
        <f>VLOOKUP(B285,aa!B:R,17,0)</f>
        <v>#N/A</v>
      </c>
      <c r="K285" s="50" t="s">
        <v>3549</v>
      </c>
      <c r="L285" s="50">
        <v>80660</v>
      </c>
      <c r="M285" s="50">
        <v>91613</v>
      </c>
      <c r="N285" s="50">
        <v>19811</v>
      </c>
      <c r="O285" s="50">
        <v>28</v>
      </c>
      <c r="P285" s="50" t="s">
        <v>16736</v>
      </c>
      <c r="Q285" s="50">
        <v>0</v>
      </c>
      <c r="R285" s="50">
        <v>0</v>
      </c>
      <c r="T285" s="50">
        <v>60849</v>
      </c>
      <c r="U285" s="50">
        <v>30</v>
      </c>
      <c r="V285" s="50" t="s">
        <v>16737</v>
      </c>
      <c r="W285" s="50" t="s">
        <v>102</v>
      </c>
      <c r="X285" s="50" t="s">
        <v>275</v>
      </c>
      <c r="Z285" s="50" t="s">
        <v>411</v>
      </c>
      <c r="AA285" s="50" t="s">
        <v>109</v>
      </c>
      <c r="AB285" s="50" t="s">
        <v>102</v>
      </c>
      <c r="AC285" s="50" t="s">
        <v>109</v>
      </c>
      <c r="AD285" s="50" t="s">
        <v>102</v>
      </c>
      <c r="AE285" s="50" t="s">
        <v>109</v>
      </c>
      <c r="AF285" s="50" t="s">
        <v>102</v>
      </c>
      <c r="AG285" s="50" t="s">
        <v>109</v>
      </c>
      <c r="AH285" s="50" t="s">
        <v>102</v>
      </c>
      <c r="AI285" s="50" t="s">
        <v>102</v>
      </c>
      <c r="AJ285" s="50" t="s">
        <v>1604</v>
      </c>
      <c r="AK285" s="50" t="s">
        <v>10167</v>
      </c>
      <c r="AL285" s="50" t="s">
        <v>16738</v>
      </c>
      <c r="AM285" s="50" t="s">
        <v>6693</v>
      </c>
      <c r="AN285" s="50" t="s">
        <v>16739</v>
      </c>
      <c r="AO285" s="50" t="s">
        <v>1853</v>
      </c>
      <c r="AP285" s="50" t="s">
        <v>1853</v>
      </c>
      <c r="AU285" s="50" t="s">
        <v>318</v>
      </c>
      <c r="AV285" s="50" t="s">
        <v>118</v>
      </c>
      <c r="AW285" s="50" t="s">
        <v>102</v>
      </c>
      <c r="AX285" s="50" t="s">
        <v>119</v>
      </c>
      <c r="BA285" s="50" t="s">
        <v>250</v>
      </c>
      <c r="BB285" s="50" t="s">
        <v>120</v>
      </c>
      <c r="BC285" s="50" t="s">
        <v>920</v>
      </c>
      <c r="BD285" s="50" t="s">
        <v>211</v>
      </c>
      <c r="BE285" s="50" t="s">
        <v>212</v>
      </c>
      <c r="BF285" s="50" t="s">
        <v>213</v>
      </c>
      <c r="BG285" s="50" t="s">
        <v>124</v>
      </c>
      <c r="BH285" s="50" t="s">
        <v>16740</v>
      </c>
      <c r="BI285" s="50" t="s">
        <v>11960</v>
      </c>
      <c r="BJ285" s="50" t="s">
        <v>127</v>
      </c>
      <c r="BK285" s="50" t="s">
        <v>16741</v>
      </c>
      <c r="BL285" s="50" t="s">
        <v>7106</v>
      </c>
      <c r="BM285" s="50" t="s">
        <v>16742</v>
      </c>
      <c r="BN285" s="50" t="s">
        <v>12100</v>
      </c>
      <c r="BO285" s="50" t="s">
        <v>7108</v>
      </c>
      <c r="BP285" s="50" t="s">
        <v>180</v>
      </c>
      <c r="BQ285" s="50" t="s">
        <v>7109</v>
      </c>
      <c r="BR285" s="50" t="s">
        <v>2151</v>
      </c>
      <c r="BS285" s="50" t="s">
        <v>2151</v>
      </c>
      <c r="BU285" s="50" t="s">
        <v>16743</v>
      </c>
      <c r="BV285" s="50" t="s">
        <v>7111</v>
      </c>
      <c r="BW285" s="50" t="s">
        <v>598</v>
      </c>
      <c r="BX285" s="50" t="s">
        <v>7112</v>
      </c>
      <c r="BY285" s="50" t="s">
        <v>7113</v>
      </c>
      <c r="BZ285" s="50" t="s">
        <v>7114</v>
      </c>
      <c r="CA285" s="50" t="s">
        <v>7111</v>
      </c>
      <c r="CB285" s="50" t="s">
        <v>7112</v>
      </c>
      <c r="CC285" s="50" t="s">
        <v>7113</v>
      </c>
      <c r="CD285" s="50" t="s">
        <v>16744</v>
      </c>
      <c r="CE285" s="50" t="s">
        <v>7116</v>
      </c>
      <c r="CF285" s="50" t="s">
        <v>7117</v>
      </c>
      <c r="CG285" s="50" t="s">
        <v>102</v>
      </c>
      <c r="CH285" s="50" t="s">
        <v>7118</v>
      </c>
      <c r="CJ285" s="50" t="s">
        <v>5392</v>
      </c>
      <c r="CL285" s="50" t="s">
        <v>920</v>
      </c>
      <c r="CM285" s="50" t="s">
        <v>211</v>
      </c>
      <c r="CN285" s="50" t="s">
        <v>5392</v>
      </c>
      <c r="CP285" s="50" t="s">
        <v>7118</v>
      </c>
      <c r="CQ285" s="50" t="s">
        <v>7118</v>
      </c>
      <c r="CR285" s="50" t="s">
        <v>26040</v>
      </c>
    </row>
    <row r="286" spans="1:96">
      <c r="A286" s="50" t="s">
        <v>149</v>
      </c>
      <c r="B286" s="50">
        <v>3944825</v>
      </c>
      <c r="C286" s="50" t="s">
        <v>2525</v>
      </c>
      <c r="D286" s="50" t="s">
        <v>7916</v>
      </c>
      <c r="E286" s="50" t="str">
        <f>VLOOKUP(B286,aa!B:F,5,0)</f>
        <v>Ei ASSET</v>
      </c>
      <c r="F286" s="50">
        <f>VLOOKUP(B286,aa!B:J,9,0)</f>
        <v>919074</v>
      </c>
      <c r="G286" s="50">
        <f>VLOOKUP(B286,aa!B:L,11,0)</f>
        <v>919074</v>
      </c>
      <c r="H286" s="50">
        <f>VLOOKUP(B286,aa!B:O,14,0)</f>
        <v>0</v>
      </c>
      <c r="I286" s="50">
        <f>VLOOKUP(B286,aa!B:R,17,0)</f>
        <v>0</v>
      </c>
      <c r="K286" s="50" t="s">
        <v>97</v>
      </c>
      <c r="L286" s="50">
        <v>789063</v>
      </c>
      <c r="M286" s="50">
        <v>789063</v>
      </c>
      <c r="N286" s="50">
        <v>789063</v>
      </c>
      <c r="O286" s="50">
        <v>789</v>
      </c>
      <c r="P286" s="50" t="s">
        <v>5042</v>
      </c>
      <c r="Q286" s="50">
        <v>0</v>
      </c>
      <c r="R286" s="50">
        <v>0</v>
      </c>
      <c r="T286" s="50">
        <v>0</v>
      </c>
      <c r="U286" s="50">
        <v>0</v>
      </c>
      <c r="W286" s="50" t="s">
        <v>102</v>
      </c>
      <c r="X286" s="50" t="s">
        <v>275</v>
      </c>
      <c r="Z286" s="50" t="s">
        <v>126</v>
      </c>
      <c r="AA286" s="50" t="s">
        <v>109</v>
      </c>
      <c r="AB286" s="50" t="s">
        <v>102</v>
      </c>
      <c r="AC286" s="50" t="s">
        <v>109</v>
      </c>
      <c r="AD286" s="50" t="s">
        <v>102</v>
      </c>
      <c r="AE286" s="50" t="s">
        <v>109</v>
      </c>
      <c r="AF286" s="50" t="s">
        <v>102</v>
      </c>
      <c r="AG286" s="50" t="s">
        <v>109</v>
      </c>
      <c r="AH286" s="50" t="s">
        <v>102</v>
      </c>
      <c r="AI286" s="50" t="s">
        <v>102</v>
      </c>
      <c r="AJ286" s="50" t="s">
        <v>7145</v>
      </c>
      <c r="AK286" s="50" t="s">
        <v>7145</v>
      </c>
      <c r="AL286" s="50" t="s">
        <v>17357</v>
      </c>
      <c r="AM286" s="50" t="s">
        <v>17358</v>
      </c>
      <c r="AN286" s="50" t="s">
        <v>17359</v>
      </c>
      <c r="AO286" s="50" t="s">
        <v>17360</v>
      </c>
      <c r="AP286" s="50" t="s">
        <v>17361</v>
      </c>
      <c r="AQ286" s="50" t="s">
        <v>343</v>
      </c>
      <c r="AR286" s="50" t="s">
        <v>169</v>
      </c>
      <c r="AT286" s="50" t="s">
        <v>169</v>
      </c>
      <c r="AU286" s="50" t="s">
        <v>318</v>
      </c>
      <c r="AV286" s="50" t="s">
        <v>118</v>
      </c>
      <c r="AW286" s="50" t="s">
        <v>102</v>
      </c>
      <c r="AX286" s="50" t="s">
        <v>119</v>
      </c>
      <c r="BB286" s="50" t="s">
        <v>120</v>
      </c>
      <c r="BC286" s="50" t="s">
        <v>1729</v>
      </c>
      <c r="BD286" s="50" t="s">
        <v>730</v>
      </c>
      <c r="BE286" s="50" t="s">
        <v>622</v>
      </c>
      <c r="BF286" s="50" t="s">
        <v>730</v>
      </c>
      <c r="BG286" s="50" t="s">
        <v>124</v>
      </c>
      <c r="BH286" s="50" t="s">
        <v>12023</v>
      </c>
      <c r="BI286" s="50" t="s">
        <v>11889</v>
      </c>
      <c r="BJ286" s="50" t="s">
        <v>127</v>
      </c>
      <c r="BK286" s="50" t="s">
        <v>17362</v>
      </c>
      <c r="BL286" s="50" t="s">
        <v>7922</v>
      </c>
      <c r="BM286" s="50" t="s">
        <v>17363</v>
      </c>
      <c r="BN286" s="50" t="s">
        <v>12100</v>
      </c>
      <c r="BO286" s="50" t="s">
        <v>3606</v>
      </c>
      <c r="BP286" s="50" t="s">
        <v>350</v>
      </c>
      <c r="BQ286" s="50" t="s">
        <v>3607</v>
      </c>
      <c r="BR286" s="50" t="s">
        <v>3608</v>
      </c>
      <c r="BS286" s="50" t="s">
        <v>2569</v>
      </c>
      <c r="BU286" s="50" t="s">
        <v>17364</v>
      </c>
      <c r="BV286" s="50" t="s">
        <v>17365</v>
      </c>
      <c r="BW286" s="50" t="s">
        <v>138</v>
      </c>
      <c r="BX286" s="50" t="s">
        <v>7926</v>
      </c>
      <c r="BY286" s="50" t="s">
        <v>17366</v>
      </c>
      <c r="BZ286" s="50" t="s">
        <v>7928</v>
      </c>
      <c r="CA286" s="50" t="s">
        <v>17365</v>
      </c>
      <c r="CB286" s="50" t="s">
        <v>7926</v>
      </c>
      <c r="CC286" s="50" t="s">
        <v>17366</v>
      </c>
      <c r="CD286" s="50" t="s">
        <v>17365</v>
      </c>
      <c r="CE286" s="50" t="s">
        <v>7926</v>
      </c>
      <c r="CF286" s="50" t="s">
        <v>17366</v>
      </c>
      <c r="CG286" s="50" t="s">
        <v>3841</v>
      </c>
      <c r="CH286" s="50" t="s">
        <v>7933</v>
      </c>
      <c r="CJ286" s="50" t="s">
        <v>7930</v>
      </c>
      <c r="CK286" s="50" t="s">
        <v>17367</v>
      </c>
      <c r="CL286" s="50" t="s">
        <v>1729</v>
      </c>
      <c r="CM286" s="50" t="s">
        <v>730</v>
      </c>
      <c r="CN286" s="50" t="s">
        <v>7932</v>
      </c>
      <c r="CP286" s="50" t="s">
        <v>7933</v>
      </c>
      <c r="CQ286" s="50" t="s">
        <v>7931</v>
      </c>
    </row>
    <row r="287" spans="1:96">
      <c r="A287" s="50" t="s">
        <v>93</v>
      </c>
      <c r="B287" s="50">
        <v>5002735</v>
      </c>
      <c r="C287" s="50" t="s">
        <v>985</v>
      </c>
      <c r="D287" s="50" t="s">
        <v>18498</v>
      </c>
      <c r="E287" s="50" t="e">
        <f>VLOOKUP(B287,aa!B:F,5,0)</f>
        <v>#N/A</v>
      </c>
      <c r="F287" s="50" t="e">
        <f>VLOOKUP(B287,aa!B:J,9,0)</f>
        <v>#N/A</v>
      </c>
      <c r="G287" s="50" t="e">
        <f>VLOOKUP(B287,aa!B:L,11,0)</f>
        <v>#N/A</v>
      </c>
      <c r="H287" s="50" t="e">
        <f>VLOOKUP(B287,aa!B:O,14,0)</f>
        <v>#N/A</v>
      </c>
      <c r="I287" s="50" t="e">
        <f>VLOOKUP(B287,aa!B:R,17,0)</f>
        <v>#N/A</v>
      </c>
      <c r="K287" s="50" t="s">
        <v>97</v>
      </c>
      <c r="L287" s="50">
        <v>399714</v>
      </c>
      <c r="M287" s="50">
        <v>399714</v>
      </c>
      <c r="N287" s="50">
        <v>399714</v>
      </c>
      <c r="O287" s="50">
        <v>363</v>
      </c>
      <c r="P287" s="50" t="s">
        <v>6782</v>
      </c>
      <c r="Q287" s="50">
        <v>0</v>
      </c>
      <c r="R287" s="50">
        <v>0</v>
      </c>
      <c r="T287" s="50">
        <v>0</v>
      </c>
      <c r="U287" s="50">
        <v>0</v>
      </c>
      <c r="W287" s="50" t="s">
        <v>102</v>
      </c>
      <c r="X287" s="50" t="s">
        <v>103</v>
      </c>
      <c r="Y287" s="50" t="s">
        <v>104</v>
      </c>
      <c r="AA287" s="50" t="s">
        <v>12923</v>
      </c>
      <c r="AB287" s="50" t="s">
        <v>18499</v>
      </c>
      <c r="AC287" s="50" t="s">
        <v>3679</v>
      </c>
      <c r="AD287" s="50" t="s">
        <v>18499</v>
      </c>
      <c r="AE287" s="50" t="s">
        <v>109</v>
      </c>
      <c r="AF287" s="50" t="s">
        <v>102</v>
      </c>
      <c r="AG287" s="50" t="s">
        <v>109</v>
      </c>
      <c r="AH287" s="50" t="s">
        <v>102</v>
      </c>
      <c r="AI287" s="50" t="s">
        <v>102</v>
      </c>
      <c r="AJ287" s="50" t="s">
        <v>11929</v>
      </c>
      <c r="AK287" s="50" t="s">
        <v>11929</v>
      </c>
      <c r="AL287" s="50" t="s">
        <v>18500</v>
      </c>
      <c r="AM287" s="50" t="s">
        <v>18501</v>
      </c>
      <c r="AN287" s="50" t="s">
        <v>18502</v>
      </c>
      <c r="AO287" s="50" t="s">
        <v>18503</v>
      </c>
      <c r="AP287" s="50" t="s">
        <v>18503</v>
      </c>
      <c r="AU287" s="50" t="s">
        <v>318</v>
      </c>
      <c r="AV287" s="50" t="s">
        <v>118</v>
      </c>
      <c r="AW287" s="50" t="s">
        <v>102</v>
      </c>
      <c r="AX287" s="50" t="s">
        <v>119</v>
      </c>
      <c r="BB287" s="50" t="s">
        <v>120</v>
      </c>
      <c r="BC287" s="50" t="s">
        <v>2127</v>
      </c>
      <c r="BD287" s="50" t="s">
        <v>621</v>
      </c>
      <c r="BE287" s="50" t="s">
        <v>622</v>
      </c>
      <c r="BF287" s="50" t="s">
        <v>976</v>
      </c>
      <c r="BG287" s="50" t="s">
        <v>124</v>
      </c>
      <c r="BH287" s="50" t="s">
        <v>12082</v>
      </c>
      <c r="BI287" s="50" t="s">
        <v>12289</v>
      </c>
      <c r="BJ287" s="50" t="s">
        <v>127</v>
      </c>
      <c r="BK287" s="50" t="s">
        <v>18504</v>
      </c>
      <c r="BL287" s="50" t="s">
        <v>9159</v>
      </c>
      <c r="BM287" s="50" t="s">
        <v>18505</v>
      </c>
      <c r="BN287" s="50" t="s">
        <v>12100</v>
      </c>
      <c r="BO287" s="50" t="s">
        <v>18506</v>
      </c>
      <c r="BP287" s="50" t="s">
        <v>350</v>
      </c>
      <c r="BQ287" s="50" t="s">
        <v>18507</v>
      </c>
      <c r="BR287" s="50" t="s">
        <v>18508</v>
      </c>
      <c r="BS287" s="50" t="s">
        <v>984</v>
      </c>
      <c r="BU287" s="50" t="s">
        <v>18509</v>
      </c>
      <c r="BV287" s="50" t="s">
        <v>18510</v>
      </c>
      <c r="BW287" s="50" t="s">
        <v>138</v>
      </c>
      <c r="BX287" s="50" t="s">
        <v>9163</v>
      </c>
      <c r="BY287" s="50" t="s">
        <v>9164</v>
      </c>
      <c r="BZ287" s="50" t="s">
        <v>9165</v>
      </c>
      <c r="CA287" s="50" t="s">
        <v>18510</v>
      </c>
      <c r="CB287" s="50" t="s">
        <v>9163</v>
      </c>
      <c r="CC287" s="50" t="s">
        <v>9164</v>
      </c>
      <c r="CD287" s="50" t="s">
        <v>18510</v>
      </c>
      <c r="CE287" s="50" t="s">
        <v>9163</v>
      </c>
      <c r="CF287" s="50" t="s">
        <v>9164</v>
      </c>
      <c r="CG287" s="50" t="s">
        <v>2270</v>
      </c>
      <c r="CH287" s="50" t="s">
        <v>18511</v>
      </c>
      <c r="CJ287" s="50" t="s">
        <v>9167</v>
      </c>
      <c r="CK287" s="50" t="s">
        <v>18512</v>
      </c>
      <c r="CL287" s="50" t="s">
        <v>2127</v>
      </c>
      <c r="CM287" s="50" t="s">
        <v>621</v>
      </c>
      <c r="CN287" s="50" t="s">
        <v>9167</v>
      </c>
      <c r="CP287" s="50" t="s">
        <v>9166</v>
      </c>
      <c r="CQ287" s="50" t="s">
        <v>9166</v>
      </c>
      <c r="CR287" s="50" t="s">
        <v>26044</v>
      </c>
    </row>
    <row r="288" spans="1:96">
      <c r="A288" s="50" t="s">
        <v>93</v>
      </c>
      <c r="B288" s="50">
        <v>5017812</v>
      </c>
      <c r="C288" s="50" t="s">
        <v>16575</v>
      </c>
      <c r="D288" s="50" t="s">
        <v>10240</v>
      </c>
      <c r="E288" s="50" t="e">
        <f>VLOOKUP(B288,aa!B:F,5,0)</f>
        <v>#N/A</v>
      </c>
      <c r="F288" s="50" t="e">
        <f>VLOOKUP(B288,aa!B:J,9,0)</f>
        <v>#N/A</v>
      </c>
      <c r="G288" s="50" t="e">
        <f>VLOOKUP(B288,aa!B:L,11,0)</f>
        <v>#N/A</v>
      </c>
      <c r="H288" s="50" t="e">
        <f>VLOOKUP(B288,aa!B:O,14,0)</f>
        <v>#N/A</v>
      </c>
      <c r="I288" s="50" t="e">
        <f>VLOOKUP(B288,aa!B:R,17,0)</f>
        <v>#N/A</v>
      </c>
      <c r="K288" s="50" t="s">
        <v>2163</v>
      </c>
      <c r="L288" s="50">
        <v>930446</v>
      </c>
      <c r="M288" s="50">
        <v>1067741</v>
      </c>
      <c r="N288" s="50">
        <v>75294</v>
      </c>
      <c r="O288" s="50">
        <v>94</v>
      </c>
      <c r="P288" s="50" t="s">
        <v>19169</v>
      </c>
      <c r="Q288" s="50">
        <v>92402</v>
      </c>
      <c r="R288" s="50">
        <v>77</v>
      </c>
      <c r="S288" s="50" t="s">
        <v>880</v>
      </c>
      <c r="T288" s="50">
        <v>762750</v>
      </c>
      <c r="U288" s="50">
        <v>250</v>
      </c>
      <c r="V288" s="50" t="s">
        <v>1652</v>
      </c>
      <c r="W288" s="50" t="s">
        <v>102</v>
      </c>
      <c r="X288" s="50" t="s">
        <v>103</v>
      </c>
      <c r="Y288" s="50" t="s">
        <v>938</v>
      </c>
      <c r="AA288" s="50" t="s">
        <v>16918</v>
      </c>
      <c r="AB288" s="50" t="s">
        <v>19170</v>
      </c>
      <c r="AC288" s="50" t="s">
        <v>11976</v>
      </c>
      <c r="AD288" s="50" t="s">
        <v>19170</v>
      </c>
      <c r="AE288" s="50" t="s">
        <v>5651</v>
      </c>
      <c r="AF288" s="50" t="s">
        <v>19171</v>
      </c>
      <c r="AG288" s="50" t="s">
        <v>12595</v>
      </c>
      <c r="AH288" s="50" t="s">
        <v>19172</v>
      </c>
      <c r="AI288" s="50" t="s">
        <v>19173</v>
      </c>
      <c r="AJ288" s="50" t="s">
        <v>4813</v>
      </c>
      <c r="AK288" s="50" t="s">
        <v>19174</v>
      </c>
      <c r="AL288" s="50" t="s">
        <v>19175</v>
      </c>
      <c r="AM288" s="50" t="s">
        <v>19176</v>
      </c>
      <c r="AN288" s="50" t="s">
        <v>19177</v>
      </c>
      <c r="AO288" s="50" t="s">
        <v>19178</v>
      </c>
      <c r="AP288" s="50" t="s">
        <v>19178</v>
      </c>
      <c r="AU288" s="50" t="s">
        <v>247</v>
      </c>
      <c r="AV288" s="50" t="s">
        <v>118</v>
      </c>
      <c r="AW288" s="50" t="s">
        <v>1103</v>
      </c>
      <c r="AX288" s="50" t="s">
        <v>249</v>
      </c>
      <c r="AY288" s="50" t="s">
        <v>170</v>
      </c>
      <c r="AZ288" s="50" t="s">
        <v>118</v>
      </c>
      <c r="BA288" s="50" t="s">
        <v>250</v>
      </c>
      <c r="BB288" s="50" t="s">
        <v>120</v>
      </c>
      <c r="BC288" s="50" t="s">
        <v>375</v>
      </c>
      <c r="BD288" s="50" t="s">
        <v>376</v>
      </c>
      <c r="BE288" s="50" t="s">
        <v>174</v>
      </c>
      <c r="BF288" s="50" t="s">
        <v>376</v>
      </c>
      <c r="BG288" s="50" t="s">
        <v>124</v>
      </c>
      <c r="BH288" s="50" t="s">
        <v>19179</v>
      </c>
      <c r="BI288" s="50" t="s">
        <v>19180</v>
      </c>
      <c r="BJ288" s="50" t="s">
        <v>127</v>
      </c>
      <c r="BK288" s="50" t="s">
        <v>19181</v>
      </c>
      <c r="BL288" s="50" t="s">
        <v>10250</v>
      </c>
      <c r="BM288" s="50" t="s">
        <v>19182</v>
      </c>
      <c r="BN288" s="50" t="s">
        <v>12100</v>
      </c>
      <c r="BO288" s="50" t="s">
        <v>6926</v>
      </c>
      <c r="BP288" s="50" t="s">
        <v>180</v>
      </c>
      <c r="BQ288" s="50" t="s">
        <v>6927</v>
      </c>
      <c r="BR288" s="50" t="s">
        <v>6928</v>
      </c>
      <c r="BS288" s="50" t="s">
        <v>1858</v>
      </c>
      <c r="BT288" s="50" t="s">
        <v>5534</v>
      </c>
      <c r="BU288" s="50" t="s">
        <v>19183</v>
      </c>
      <c r="BV288" s="50" t="s">
        <v>19184</v>
      </c>
      <c r="BW288" s="50" t="s">
        <v>354</v>
      </c>
      <c r="BX288" s="50" t="s">
        <v>16589</v>
      </c>
      <c r="BY288" s="50" t="s">
        <v>16590</v>
      </c>
      <c r="BZ288" s="50" t="s">
        <v>6802</v>
      </c>
      <c r="CA288" s="50" t="s">
        <v>19184</v>
      </c>
      <c r="CB288" s="50" t="s">
        <v>16589</v>
      </c>
      <c r="CC288" s="50" t="s">
        <v>16590</v>
      </c>
      <c r="CD288" s="50" t="s">
        <v>19184</v>
      </c>
      <c r="CE288" s="50" t="s">
        <v>16589</v>
      </c>
      <c r="CF288" s="50" t="s">
        <v>16590</v>
      </c>
      <c r="CG288" s="50" t="s">
        <v>10258</v>
      </c>
      <c r="CH288" s="50" t="s">
        <v>10259</v>
      </c>
      <c r="CJ288" s="50" t="s">
        <v>10260</v>
      </c>
      <c r="CK288" s="50" t="s">
        <v>10259</v>
      </c>
      <c r="CL288" s="50" t="s">
        <v>375</v>
      </c>
      <c r="CM288" s="50" t="s">
        <v>376</v>
      </c>
      <c r="CN288" s="50" t="s">
        <v>10260</v>
      </c>
      <c r="CO288" s="50" t="s">
        <v>6808</v>
      </c>
      <c r="CP288" s="50" t="s">
        <v>10259</v>
      </c>
      <c r="CQ288" s="50" t="s">
        <v>10259</v>
      </c>
      <c r="CR288" s="50" t="s">
        <v>26043</v>
      </c>
    </row>
    <row r="289" spans="1:96">
      <c r="A289" s="50" t="s">
        <v>337</v>
      </c>
      <c r="B289" s="50">
        <v>5018144</v>
      </c>
      <c r="C289" s="50" t="s">
        <v>16575</v>
      </c>
      <c r="D289" s="50" t="s">
        <v>19400</v>
      </c>
      <c r="E289" s="50" t="e">
        <f>VLOOKUP(B289,aa!B:F,5,0)</f>
        <v>#N/A</v>
      </c>
      <c r="F289" s="50" t="e">
        <f>VLOOKUP(B289,aa!B:J,9,0)</f>
        <v>#N/A</v>
      </c>
      <c r="G289" s="50" t="e">
        <f>VLOOKUP(B289,aa!B:L,11,0)</f>
        <v>#N/A</v>
      </c>
      <c r="H289" s="50" t="e">
        <f>VLOOKUP(B289,aa!B:O,14,0)</f>
        <v>#N/A</v>
      </c>
      <c r="I289" s="50" t="e">
        <f>VLOOKUP(B289,aa!B:R,17,0)</f>
        <v>#N/A</v>
      </c>
      <c r="K289" s="50" t="s">
        <v>2163</v>
      </c>
      <c r="L289" s="50">
        <v>1244273</v>
      </c>
      <c r="M289" s="50">
        <v>1378822</v>
      </c>
      <c r="N289" s="50">
        <v>202653</v>
      </c>
      <c r="O289" s="50">
        <v>253</v>
      </c>
      <c r="P289" s="50" t="s">
        <v>19169</v>
      </c>
      <c r="Q289" s="50">
        <v>294125</v>
      </c>
      <c r="R289" s="50">
        <v>245</v>
      </c>
      <c r="S289" s="50" t="s">
        <v>19156</v>
      </c>
      <c r="T289" s="50">
        <v>747495</v>
      </c>
      <c r="U289" s="50">
        <v>245</v>
      </c>
      <c r="V289" s="50" t="s">
        <v>1652</v>
      </c>
      <c r="W289" s="50" t="s">
        <v>102</v>
      </c>
      <c r="X289" s="50" t="s">
        <v>103</v>
      </c>
      <c r="Y289" s="50" t="s">
        <v>938</v>
      </c>
      <c r="AA289" s="50" t="s">
        <v>16918</v>
      </c>
      <c r="AB289" s="50" t="s">
        <v>19401</v>
      </c>
      <c r="AC289" s="50" t="s">
        <v>11976</v>
      </c>
      <c r="AD289" s="50" t="s">
        <v>19401</v>
      </c>
      <c r="AE289" s="50" t="s">
        <v>5651</v>
      </c>
      <c r="AF289" s="50" t="s">
        <v>19402</v>
      </c>
      <c r="AG289" s="50" t="s">
        <v>12595</v>
      </c>
      <c r="AH289" s="50" t="s">
        <v>19403</v>
      </c>
      <c r="AI289" s="50" t="s">
        <v>19404</v>
      </c>
      <c r="AJ289" s="50" t="s">
        <v>4813</v>
      </c>
      <c r="AK289" s="50" t="s">
        <v>19174</v>
      </c>
      <c r="AL289" s="50" t="s">
        <v>19405</v>
      </c>
      <c r="AM289" s="50" t="s">
        <v>19406</v>
      </c>
      <c r="AN289" s="50" t="s">
        <v>19407</v>
      </c>
      <c r="AO289" s="50" t="s">
        <v>19408</v>
      </c>
      <c r="AP289" s="50" t="s">
        <v>19408</v>
      </c>
      <c r="AU289" s="50" t="s">
        <v>247</v>
      </c>
      <c r="AV289" s="50" t="s">
        <v>118</v>
      </c>
      <c r="AW289" s="50" t="s">
        <v>1103</v>
      </c>
      <c r="AX289" s="50" t="s">
        <v>249</v>
      </c>
      <c r="AY289" s="50" t="s">
        <v>170</v>
      </c>
      <c r="AZ289" s="50" t="s">
        <v>118</v>
      </c>
      <c r="BA289" s="50" t="s">
        <v>208</v>
      </c>
      <c r="BB289" s="50" t="s">
        <v>1964</v>
      </c>
      <c r="BC289" s="50" t="s">
        <v>375</v>
      </c>
      <c r="BD289" s="50" t="s">
        <v>376</v>
      </c>
      <c r="BE289" s="50" t="s">
        <v>174</v>
      </c>
      <c r="BF289" s="50" t="s">
        <v>376</v>
      </c>
      <c r="BG289" s="50" t="s">
        <v>124</v>
      </c>
      <c r="BH289" s="50" t="s">
        <v>19409</v>
      </c>
      <c r="BI289" s="50" t="s">
        <v>19180</v>
      </c>
      <c r="BJ289" s="50" t="s">
        <v>127</v>
      </c>
      <c r="BK289" s="50" t="s">
        <v>19410</v>
      </c>
      <c r="BL289" s="50" t="s">
        <v>19411</v>
      </c>
      <c r="BM289" s="50" t="s">
        <v>19412</v>
      </c>
      <c r="BN289" s="50" t="s">
        <v>12100</v>
      </c>
      <c r="BO289" s="50" t="s">
        <v>13780</v>
      </c>
      <c r="BP289" s="50" t="s">
        <v>180</v>
      </c>
      <c r="BQ289" s="50" t="s">
        <v>13781</v>
      </c>
      <c r="BR289" s="50" t="s">
        <v>13782</v>
      </c>
      <c r="BS289" s="50" t="s">
        <v>13783</v>
      </c>
      <c r="BU289" s="50" t="s">
        <v>19413</v>
      </c>
      <c r="BV289" s="50" t="s">
        <v>16588</v>
      </c>
      <c r="BW289" s="50" t="s">
        <v>354</v>
      </c>
      <c r="BX289" s="50" t="s">
        <v>16589</v>
      </c>
      <c r="BY289" s="50" t="s">
        <v>16590</v>
      </c>
      <c r="BZ289" s="50" t="s">
        <v>6802</v>
      </c>
      <c r="CA289" s="50" t="s">
        <v>16588</v>
      </c>
      <c r="CB289" s="50" t="s">
        <v>16589</v>
      </c>
      <c r="CC289" s="50" t="s">
        <v>16590</v>
      </c>
      <c r="CD289" s="50" t="s">
        <v>16588</v>
      </c>
      <c r="CE289" s="50" t="s">
        <v>16589</v>
      </c>
      <c r="CF289" s="50" t="s">
        <v>16590</v>
      </c>
      <c r="CG289" s="50" t="s">
        <v>1538</v>
      </c>
      <c r="CH289" s="50" t="s">
        <v>19414</v>
      </c>
      <c r="CJ289" s="50" t="s">
        <v>14371</v>
      </c>
      <c r="CK289" s="50" t="s">
        <v>19415</v>
      </c>
      <c r="CL289" s="50" t="s">
        <v>375</v>
      </c>
      <c r="CM289" s="50" t="s">
        <v>376</v>
      </c>
      <c r="CN289" s="50" t="s">
        <v>14371</v>
      </c>
      <c r="CO289" s="50" t="s">
        <v>6808</v>
      </c>
      <c r="CP289" s="50" t="s">
        <v>19415</v>
      </c>
      <c r="CQ289" s="50" t="s">
        <v>19415</v>
      </c>
      <c r="CR289" s="50" t="s">
        <v>26043</v>
      </c>
    </row>
    <row r="290" spans="1:96">
      <c r="A290" s="50" t="s">
        <v>149</v>
      </c>
      <c r="B290" s="50">
        <v>226552</v>
      </c>
      <c r="C290" s="50" t="s">
        <v>11882</v>
      </c>
      <c r="D290" s="50" t="s">
        <v>2906</v>
      </c>
      <c r="E290" s="50" t="str">
        <f>VLOOKUP(B290,aa!B:F,5,0)</f>
        <v>Ei ASSET, Ei Mindspark</v>
      </c>
      <c r="F290" s="50">
        <f>VLOOKUP(B290,aa!B:J,9,0)</f>
        <v>536715</v>
      </c>
      <c r="G290" s="50">
        <f>VLOOKUP(B290,aa!B:L,11,0)</f>
        <v>228171</v>
      </c>
      <c r="H290" s="50">
        <f>VLOOKUP(B290,aa!B:O,14,0)</f>
        <v>0</v>
      </c>
      <c r="I290" s="50">
        <f>VLOOKUP(B290,aa!B:R,17,0)</f>
        <v>308544</v>
      </c>
      <c r="K290" s="50" t="s">
        <v>193</v>
      </c>
      <c r="L290" s="50">
        <v>520670</v>
      </c>
      <c r="M290" s="50">
        <v>577166</v>
      </c>
      <c r="N290" s="50">
        <v>206806</v>
      </c>
      <c r="O290" s="50">
        <v>213</v>
      </c>
      <c r="P290" s="50" t="s">
        <v>13650</v>
      </c>
      <c r="Q290" s="50">
        <v>0</v>
      </c>
      <c r="R290" s="50">
        <v>0</v>
      </c>
      <c r="T290" s="50">
        <v>313864</v>
      </c>
      <c r="U290" s="50">
        <v>118</v>
      </c>
      <c r="V290" s="50" t="s">
        <v>13651</v>
      </c>
      <c r="W290" s="50" t="s">
        <v>102</v>
      </c>
      <c r="X290" s="50" t="s">
        <v>103</v>
      </c>
      <c r="Y290" s="50" t="s">
        <v>801</v>
      </c>
      <c r="AA290" s="50" t="s">
        <v>13652</v>
      </c>
      <c r="AB290" s="50" t="s">
        <v>13653</v>
      </c>
      <c r="AC290" s="50" t="s">
        <v>11976</v>
      </c>
      <c r="AD290" s="50" t="s">
        <v>13653</v>
      </c>
      <c r="AE290" s="50" t="s">
        <v>12571</v>
      </c>
      <c r="AF290" s="50" t="s">
        <v>13654</v>
      </c>
      <c r="AG290" s="50" t="s">
        <v>12595</v>
      </c>
      <c r="AH290" s="50" t="s">
        <v>13654</v>
      </c>
      <c r="AI290" s="50" t="s">
        <v>13655</v>
      </c>
      <c r="AJ290" s="50" t="s">
        <v>8783</v>
      </c>
      <c r="AK290" s="50" t="s">
        <v>13656</v>
      </c>
      <c r="AL290" s="50" t="s">
        <v>13657</v>
      </c>
      <c r="AM290" s="50" t="s">
        <v>13658</v>
      </c>
      <c r="AN290" s="50" t="s">
        <v>13659</v>
      </c>
      <c r="AO290" s="50" t="s">
        <v>13660</v>
      </c>
      <c r="AP290" s="50" t="s">
        <v>13660</v>
      </c>
      <c r="AU290" s="50" t="s">
        <v>207</v>
      </c>
      <c r="AV290" s="50" t="s">
        <v>118</v>
      </c>
      <c r="AW290" s="50" t="s">
        <v>102</v>
      </c>
      <c r="AX290" s="50" t="s">
        <v>119</v>
      </c>
      <c r="BA290" s="50" t="s">
        <v>250</v>
      </c>
      <c r="BB290" s="50" t="s">
        <v>120</v>
      </c>
      <c r="BC290" s="50" t="s">
        <v>2204</v>
      </c>
      <c r="BD290" s="50" t="s">
        <v>121</v>
      </c>
      <c r="BE290" s="50" t="s">
        <v>122</v>
      </c>
      <c r="BF290" s="50" t="s">
        <v>123</v>
      </c>
      <c r="BG290" s="50" t="s">
        <v>124</v>
      </c>
      <c r="BH290" s="50" t="s">
        <v>13661</v>
      </c>
      <c r="BI290" s="50" t="s">
        <v>13662</v>
      </c>
      <c r="BJ290" s="50" t="s">
        <v>127</v>
      </c>
      <c r="BK290" s="50" t="s">
        <v>13663</v>
      </c>
      <c r="BL290" s="50" t="s">
        <v>2925</v>
      </c>
      <c r="BM290" s="50" t="s">
        <v>13664</v>
      </c>
      <c r="BN290" s="50" t="s">
        <v>13649</v>
      </c>
      <c r="BO290" s="50" t="s">
        <v>3267</v>
      </c>
      <c r="BP290" s="50" t="s">
        <v>350</v>
      </c>
      <c r="BQ290" s="50" t="s">
        <v>3268</v>
      </c>
      <c r="BR290" s="50" t="s">
        <v>3269</v>
      </c>
      <c r="BS290" s="50" t="s">
        <v>135</v>
      </c>
      <c r="BT290" s="50" t="s">
        <v>135</v>
      </c>
      <c r="BU290" s="50" t="s">
        <v>13665</v>
      </c>
      <c r="BV290" s="50" t="s">
        <v>2932</v>
      </c>
      <c r="BW290" s="50" t="s">
        <v>296</v>
      </c>
      <c r="BX290" s="50" t="s">
        <v>2933</v>
      </c>
      <c r="BY290" s="50" t="s">
        <v>2934</v>
      </c>
      <c r="BZ290" s="50" t="s">
        <v>2935</v>
      </c>
      <c r="CA290" s="50" t="s">
        <v>13666</v>
      </c>
      <c r="CB290" s="50" t="s">
        <v>13667</v>
      </c>
      <c r="CC290" s="50" t="s">
        <v>2934</v>
      </c>
      <c r="CD290" s="50" t="s">
        <v>13666</v>
      </c>
      <c r="CE290" s="50" t="s">
        <v>13667</v>
      </c>
      <c r="CF290" s="50" t="s">
        <v>2934</v>
      </c>
      <c r="CG290" s="50" t="s">
        <v>102</v>
      </c>
      <c r="CH290" s="50" t="s">
        <v>13668</v>
      </c>
      <c r="CJ290" s="50" t="s">
        <v>2942</v>
      </c>
      <c r="CL290" s="50" t="s">
        <v>2204</v>
      </c>
      <c r="CM290" s="50" t="s">
        <v>121</v>
      </c>
      <c r="CN290" s="50" t="s">
        <v>2942</v>
      </c>
      <c r="CP290" s="50" t="s">
        <v>2941</v>
      </c>
      <c r="CQ290" s="50" t="s">
        <v>2941</v>
      </c>
    </row>
    <row r="291" spans="1:96">
      <c r="A291" s="50" t="s">
        <v>149</v>
      </c>
      <c r="B291" s="50">
        <v>4930</v>
      </c>
      <c r="C291" s="50" t="s">
        <v>2151</v>
      </c>
      <c r="D291" s="50" t="s">
        <v>9025</v>
      </c>
      <c r="E291" s="50" t="e">
        <f>VLOOKUP(B291,aa!B:F,5,0)</f>
        <v>#N/A</v>
      </c>
      <c r="F291" s="50" t="e">
        <f>VLOOKUP(B291,aa!B:J,9,0)</f>
        <v>#N/A</v>
      </c>
      <c r="G291" s="50" t="e">
        <f>VLOOKUP(B291,aa!B:L,11,0)</f>
        <v>#N/A</v>
      </c>
      <c r="H291" s="50" t="e">
        <f>VLOOKUP(B291,aa!B:O,14,0)</f>
        <v>#N/A</v>
      </c>
      <c r="I291" s="50" t="e">
        <f>VLOOKUP(B291,aa!B:R,17,0)</f>
        <v>#N/A</v>
      </c>
      <c r="K291" s="50" t="s">
        <v>18418</v>
      </c>
      <c r="L291" s="50">
        <v>2640685</v>
      </c>
      <c r="M291" s="50">
        <v>2902199</v>
      </c>
      <c r="N291" s="50">
        <v>668239</v>
      </c>
      <c r="O291" s="50">
        <v>892</v>
      </c>
      <c r="P291" s="50" t="s">
        <v>18419</v>
      </c>
      <c r="Q291" s="50">
        <v>519590</v>
      </c>
      <c r="R291" s="50">
        <v>1118</v>
      </c>
      <c r="S291" s="50" t="s">
        <v>18420</v>
      </c>
      <c r="T291" s="50">
        <v>1452856</v>
      </c>
      <c r="U291" s="50">
        <v>753</v>
      </c>
      <c r="V291" s="50" t="s">
        <v>18421</v>
      </c>
      <c r="W291" s="50" t="s">
        <v>102</v>
      </c>
      <c r="X291" s="50" t="s">
        <v>275</v>
      </c>
      <c r="Z291" s="50" t="s">
        <v>18422</v>
      </c>
      <c r="AA291" s="50" t="s">
        <v>109</v>
      </c>
      <c r="AB291" s="50" t="s">
        <v>102</v>
      </c>
      <c r="AC291" s="50" t="s">
        <v>109</v>
      </c>
      <c r="AD291" s="50" t="s">
        <v>102</v>
      </c>
      <c r="AE291" s="50" t="s">
        <v>109</v>
      </c>
      <c r="AF291" s="50" t="s">
        <v>102</v>
      </c>
      <c r="AG291" s="50" t="s">
        <v>109</v>
      </c>
      <c r="AH291" s="50" t="s">
        <v>102</v>
      </c>
      <c r="AI291" s="50" t="s">
        <v>102</v>
      </c>
      <c r="AJ291" s="50" t="s">
        <v>1604</v>
      </c>
      <c r="AK291" s="50" t="s">
        <v>10167</v>
      </c>
      <c r="AL291" s="50" t="s">
        <v>18423</v>
      </c>
      <c r="AM291" s="50" t="s">
        <v>18424</v>
      </c>
      <c r="AN291" s="50" t="s">
        <v>18425</v>
      </c>
      <c r="AO291" s="50" t="s">
        <v>18426</v>
      </c>
      <c r="AP291" s="50" t="s">
        <v>18426</v>
      </c>
      <c r="AU291" s="50" t="s">
        <v>247</v>
      </c>
      <c r="AV291" s="50" t="s">
        <v>118</v>
      </c>
      <c r="AW291" s="50" t="s">
        <v>655</v>
      </c>
      <c r="AX291" s="50" t="s">
        <v>249</v>
      </c>
      <c r="AY291" s="50" t="s">
        <v>170</v>
      </c>
      <c r="AZ291" s="50" t="s">
        <v>118</v>
      </c>
      <c r="BA291" s="50" t="s">
        <v>250</v>
      </c>
      <c r="BB291" s="50" t="s">
        <v>120</v>
      </c>
      <c r="BC291" s="50" t="s">
        <v>920</v>
      </c>
      <c r="BD291" s="50" t="s">
        <v>211</v>
      </c>
      <c r="BE291" s="50" t="s">
        <v>212</v>
      </c>
      <c r="BF291" s="50" t="s">
        <v>213</v>
      </c>
      <c r="BG291" s="50" t="s">
        <v>124</v>
      </c>
      <c r="BH291" s="50" t="s">
        <v>16740</v>
      </c>
      <c r="BI291" s="50" t="s">
        <v>11960</v>
      </c>
      <c r="BJ291" s="50" t="s">
        <v>127</v>
      </c>
      <c r="BK291" s="50" t="s">
        <v>18427</v>
      </c>
      <c r="BL291" s="50" t="s">
        <v>9036</v>
      </c>
      <c r="BM291" s="50" t="s">
        <v>18428</v>
      </c>
      <c r="BN291" s="50" t="s">
        <v>18417</v>
      </c>
      <c r="BO291" s="50" t="s">
        <v>18429</v>
      </c>
      <c r="BP291" s="50" t="s">
        <v>7992</v>
      </c>
      <c r="BQ291" s="50" t="s">
        <v>18430</v>
      </c>
      <c r="BR291" s="50" t="s">
        <v>18431</v>
      </c>
      <c r="BS291" s="50" t="s">
        <v>2151</v>
      </c>
      <c r="BU291" s="50" t="s">
        <v>18432</v>
      </c>
      <c r="BV291" s="50" t="s">
        <v>18433</v>
      </c>
      <c r="BW291" s="50" t="s">
        <v>18434</v>
      </c>
      <c r="BX291" s="50" t="s">
        <v>9043</v>
      </c>
      <c r="BY291" s="50" t="s">
        <v>18435</v>
      </c>
      <c r="BZ291" s="50" t="s">
        <v>7114</v>
      </c>
      <c r="CA291" s="50" t="s">
        <v>18433</v>
      </c>
      <c r="CB291" s="50" t="s">
        <v>9043</v>
      </c>
      <c r="CC291" s="50" t="s">
        <v>18435</v>
      </c>
      <c r="CD291" s="50" t="s">
        <v>18436</v>
      </c>
      <c r="CE291" s="50" t="s">
        <v>9048</v>
      </c>
      <c r="CF291" s="50" t="s">
        <v>18437</v>
      </c>
      <c r="CG291" s="50" t="s">
        <v>102</v>
      </c>
      <c r="CH291" s="50" t="s">
        <v>9049</v>
      </c>
      <c r="CJ291" s="50" t="s">
        <v>9050</v>
      </c>
      <c r="CL291" s="50" t="s">
        <v>920</v>
      </c>
      <c r="CM291" s="50" t="s">
        <v>211</v>
      </c>
      <c r="CN291" s="50" t="s">
        <v>9050</v>
      </c>
      <c r="CP291" s="50" t="s">
        <v>9049</v>
      </c>
      <c r="CQ291" s="50" t="s">
        <v>9049</v>
      </c>
      <c r="CR291" s="50" t="s">
        <v>26040</v>
      </c>
    </row>
    <row r="292" spans="1:96">
      <c r="A292" s="50" t="s">
        <v>149</v>
      </c>
      <c r="B292" s="50">
        <v>104830</v>
      </c>
      <c r="C292" s="50" t="s">
        <v>418</v>
      </c>
      <c r="D292" s="50" t="s">
        <v>394</v>
      </c>
      <c r="E292" s="50" t="e">
        <f>VLOOKUP(B292,aa!B:F,5,0)</f>
        <v>#N/A</v>
      </c>
      <c r="F292" s="50" t="e">
        <f>VLOOKUP(B292,aa!B:J,9,0)</f>
        <v>#N/A</v>
      </c>
      <c r="G292" s="50" t="e">
        <f>VLOOKUP(B292,aa!B:L,11,0)</f>
        <v>#N/A</v>
      </c>
      <c r="H292" s="50" t="e">
        <f>VLOOKUP(B292,aa!B:O,14,0)</f>
        <v>#N/A</v>
      </c>
      <c r="I292" s="50" t="e">
        <f>VLOOKUP(B292,aa!B:R,17,0)</f>
        <v>#N/A</v>
      </c>
      <c r="K292" s="50" t="s">
        <v>152</v>
      </c>
      <c r="L292" s="50">
        <v>1559158</v>
      </c>
      <c r="M292" s="50">
        <v>1559158</v>
      </c>
      <c r="N292" s="50">
        <v>0</v>
      </c>
      <c r="O292" s="50">
        <v>0</v>
      </c>
      <c r="Q292" s="50">
        <v>1559158</v>
      </c>
      <c r="R292" s="50">
        <v>1155</v>
      </c>
      <c r="S292" s="50" t="s">
        <v>397</v>
      </c>
      <c r="T292" s="50">
        <v>0</v>
      </c>
      <c r="U292" s="50">
        <v>0</v>
      </c>
      <c r="W292" s="50" t="s">
        <v>102</v>
      </c>
      <c r="X292" s="50" t="s">
        <v>103</v>
      </c>
      <c r="Y292" s="50" t="s">
        <v>398</v>
      </c>
      <c r="AA292" s="50" t="s">
        <v>11959</v>
      </c>
      <c r="AB292" s="50" t="s">
        <v>12081</v>
      </c>
      <c r="AC292" s="50" t="s">
        <v>12082</v>
      </c>
      <c r="AD292" s="50" t="s">
        <v>12083</v>
      </c>
      <c r="AE292" s="50" t="s">
        <v>12084</v>
      </c>
      <c r="AF292" s="50" t="s">
        <v>12083</v>
      </c>
      <c r="AG292" s="50" t="s">
        <v>109</v>
      </c>
      <c r="AH292" s="50" t="s">
        <v>102</v>
      </c>
      <c r="AI292" s="50" t="s">
        <v>12085</v>
      </c>
      <c r="AJ292" s="50" t="s">
        <v>12040</v>
      </c>
      <c r="AK292" s="50" t="s">
        <v>12086</v>
      </c>
      <c r="AL292" s="50" t="s">
        <v>12087</v>
      </c>
      <c r="AM292" s="50" t="s">
        <v>12088</v>
      </c>
      <c r="AN292" s="50" t="s">
        <v>12089</v>
      </c>
      <c r="AO292" s="50" t="s">
        <v>408</v>
      </c>
      <c r="AP292" s="50" t="s">
        <v>408</v>
      </c>
      <c r="AU292" s="50" t="s">
        <v>102</v>
      </c>
      <c r="AW292" s="50" t="s">
        <v>155</v>
      </c>
      <c r="AX292" s="50" t="s">
        <v>119</v>
      </c>
      <c r="AY292" s="50" t="s">
        <v>170</v>
      </c>
      <c r="AZ292" s="50" t="s">
        <v>118</v>
      </c>
      <c r="BB292" s="50" t="s">
        <v>120</v>
      </c>
      <c r="BC292" s="50" t="s">
        <v>409</v>
      </c>
      <c r="BD292" s="50" t="s">
        <v>410</v>
      </c>
      <c r="BE292" s="50" t="s">
        <v>212</v>
      </c>
      <c r="BF292" s="50" t="s">
        <v>410</v>
      </c>
      <c r="BG292" s="50" t="s">
        <v>124</v>
      </c>
      <c r="BH292" s="50" t="s">
        <v>11959</v>
      </c>
      <c r="BI292" s="50" t="s">
        <v>12047</v>
      </c>
      <c r="BJ292" s="50" t="s">
        <v>127</v>
      </c>
      <c r="BK292" s="50" t="s">
        <v>12090</v>
      </c>
      <c r="BL292" s="50" t="s">
        <v>413</v>
      </c>
      <c r="BM292" s="50" t="s">
        <v>12091</v>
      </c>
      <c r="BN292" s="50" t="s">
        <v>4813</v>
      </c>
      <c r="BO292" s="50" t="s">
        <v>866</v>
      </c>
      <c r="BP292" s="50" t="s">
        <v>132</v>
      </c>
      <c r="BQ292" s="50" t="s">
        <v>867</v>
      </c>
      <c r="BR292" s="50" t="s">
        <v>868</v>
      </c>
      <c r="BS292" s="50" t="s">
        <v>418</v>
      </c>
      <c r="BU292" s="50" t="s">
        <v>12092</v>
      </c>
      <c r="BV292" s="50" t="s">
        <v>12093</v>
      </c>
      <c r="BW292" s="50" t="s">
        <v>138</v>
      </c>
      <c r="BX292" s="50" t="s">
        <v>423</v>
      </c>
      <c r="BY292" s="50" t="s">
        <v>422</v>
      </c>
      <c r="BZ292" s="50" t="s">
        <v>423</v>
      </c>
      <c r="CA292" s="50" t="s">
        <v>12093</v>
      </c>
      <c r="CB292" s="50" t="s">
        <v>423</v>
      </c>
      <c r="CC292" s="50" t="s">
        <v>422</v>
      </c>
      <c r="CD292" s="50" t="s">
        <v>12094</v>
      </c>
      <c r="CE292" s="50" t="s">
        <v>425</v>
      </c>
      <c r="CF292" s="50" t="s">
        <v>426</v>
      </c>
      <c r="CG292" s="50" t="s">
        <v>102</v>
      </c>
      <c r="CH292" s="50" t="s">
        <v>427</v>
      </c>
      <c r="CJ292" s="50" t="s">
        <v>428</v>
      </c>
      <c r="CL292" s="50" t="s">
        <v>409</v>
      </c>
      <c r="CM292" s="50" t="s">
        <v>410</v>
      </c>
      <c r="CN292" s="50" t="s">
        <v>428</v>
      </c>
      <c r="CO292" s="50" t="s">
        <v>429</v>
      </c>
      <c r="CP292" s="50" t="s">
        <v>427</v>
      </c>
      <c r="CQ292" s="50" t="s">
        <v>427</v>
      </c>
      <c r="CR292" s="50" t="s">
        <v>26040</v>
      </c>
    </row>
    <row r="293" spans="1:96">
      <c r="A293" s="50" t="s">
        <v>93</v>
      </c>
      <c r="B293" s="50">
        <v>2559923</v>
      </c>
      <c r="C293" s="50" t="s">
        <v>12423</v>
      </c>
      <c r="D293" s="50" t="s">
        <v>4040</v>
      </c>
      <c r="E293" s="50" t="e">
        <f>VLOOKUP(B293,aa!B:F,5,0)</f>
        <v>#N/A</v>
      </c>
      <c r="F293" s="50" t="e">
        <f>VLOOKUP(B293,aa!B:J,9,0)</f>
        <v>#N/A</v>
      </c>
      <c r="G293" s="50" t="e">
        <f>VLOOKUP(B293,aa!B:L,11,0)</f>
        <v>#N/A</v>
      </c>
      <c r="H293" s="50" t="e">
        <f>VLOOKUP(B293,aa!B:O,14,0)</f>
        <v>#N/A</v>
      </c>
      <c r="I293" s="50" t="e">
        <f>VLOOKUP(B293,aa!B:R,17,0)</f>
        <v>#N/A</v>
      </c>
      <c r="K293" s="50" t="s">
        <v>848</v>
      </c>
      <c r="L293" s="50">
        <v>302557</v>
      </c>
      <c r="M293" s="50">
        <v>357017</v>
      </c>
      <c r="N293" s="50">
        <v>0</v>
      </c>
      <c r="O293" s="50">
        <v>0</v>
      </c>
      <c r="Q293" s="50">
        <v>0</v>
      </c>
      <c r="R293" s="50">
        <v>0</v>
      </c>
      <c r="T293" s="50">
        <v>302557</v>
      </c>
      <c r="U293" s="50">
        <v>170</v>
      </c>
      <c r="V293" s="50" t="s">
        <v>4042</v>
      </c>
      <c r="W293" s="50" t="s">
        <v>102</v>
      </c>
      <c r="X293" s="50" t="s">
        <v>103</v>
      </c>
      <c r="Y293" s="50" t="s">
        <v>155</v>
      </c>
      <c r="AA293" s="50" t="s">
        <v>411</v>
      </c>
      <c r="AB293" s="50" t="s">
        <v>14523</v>
      </c>
      <c r="AC293" s="50" t="s">
        <v>1408</v>
      </c>
      <c r="AD293" s="50" t="s">
        <v>14523</v>
      </c>
      <c r="AE293" s="50" t="s">
        <v>12289</v>
      </c>
      <c r="AF293" s="50" t="s">
        <v>14523</v>
      </c>
      <c r="AG293" s="50" t="s">
        <v>12713</v>
      </c>
      <c r="AH293" s="50" t="s">
        <v>14523</v>
      </c>
      <c r="AI293" s="50" t="s">
        <v>14524</v>
      </c>
      <c r="AJ293" s="50" t="s">
        <v>13672</v>
      </c>
      <c r="AK293" s="50" t="s">
        <v>13244</v>
      </c>
      <c r="AL293" s="50" t="s">
        <v>14525</v>
      </c>
      <c r="AM293" s="50" t="s">
        <v>14526</v>
      </c>
      <c r="AN293" s="50" t="s">
        <v>14527</v>
      </c>
      <c r="AO293" s="50" t="s">
        <v>12067</v>
      </c>
      <c r="AP293" s="50" t="s">
        <v>317</v>
      </c>
      <c r="AT293" s="50" t="s">
        <v>169</v>
      </c>
      <c r="AU293" s="50" t="s">
        <v>102</v>
      </c>
      <c r="AW293" s="50" t="s">
        <v>102</v>
      </c>
      <c r="AX293" s="50" t="s">
        <v>119</v>
      </c>
      <c r="BA293" s="50" t="s">
        <v>250</v>
      </c>
      <c r="BB293" s="50" t="s">
        <v>120</v>
      </c>
      <c r="BC293" s="50" t="s">
        <v>4049</v>
      </c>
      <c r="BD293" s="50" t="s">
        <v>410</v>
      </c>
      <c r="BE293" s="50" t="s">
        <v>212</v>
      </c>
      <c r="BF293" s="50" t="s">
        <v>410</v>
      </c>
      <c r="BG293" s="50" t="s">
        <v>124</v>
      </c>
      <c r="BH293" s="50" t="s">
        <v>12023</v>
      </c>
      <c r="BI293" s="50" t="s">
        <v>11889</v>
      </c>
      <c r="BJ293" s="50" t="s">
        <v>127</v>
      </c>
      <c r="BK293" s="50" t="s">
        <v>14528</v>
      </c>
      <c r="BL293" s="50" t="s">
        <v>4051</v>
      </c>
      <c r="BM293" s="50" t="s">
        <v>14529</v>
      </c>
      <c r="BN293" s="50" t="s">
        <v>4813</v>
      </c>
      <c r="BO293" s="50" t="s">
        <v>4053</v>
      </c>
      <c r="BP293" s="50" t="s">
        <v>132</v>
      </c>
      <c r="BQ293" s="50" t="s">
        <v>4054</v>
      </c>
      <c r="BR293" s="50" t="s">
        <v>4055</v>
      </c>
      <c r="BS293" s="50" t="s">
        <v>4056</v>
      </c>
      <c r="BT293" s="50" t="s">
        <v>418</v>
      </c>
      <c r="BU293" s="50" t="s">
        <v>14530</v>
      </c>
      <c r="BV293" s="50" t="s">
        <v>4058</v>
      </c>
      <c r="BW293" s="50" t="s">
        <v>138</v>
      </c>
      <c r="BX293" s="50" t="s">
        <v>14531</v>
      </c>
      <c r="BY293" s="50" t="s">
        <v>14532</v>
      </c>
      <c r="BZ293" s="50" t="s">
        <v>4061</v>
      </c>
      <c r="CA293" s="50" t="s">
        <v>4058</v>
      </c>
      <c r="CB293" s="50" t="s">
        <v>14533</v>
      </c>
      <c r="CC293" s="50" t="s">
        <v>14532</v>
      </c>
      <c r="CD293" s="50" t="s">
        <v>4058</v>
      </c>
      <c r="CE293" s="50" t="s">
        <v>14533</v>
      </c>
      <c r="CF293" s="50" t="s">
        <v>14532</v>
      </c>
      <c r="CG293" s="50" t="s">
        <v>4062</v>
      </c>
      <c r="CH293" s="50" t="s">
        <v>4063</v>
      </c>
      <c r="CJ293" s="50" t="s">
        <v>4064</v>
      </c>
      <c r="CK293" s="50" t="s">
        <v>4063</v>
      </c>
      <c r="CL293" s="50" t="s">
        <v>4049</v>
      </c>
      <c r="CM293" s="50" t="s">
        <v>410</v>
      </c>
      <c r="CN293" s="50" t="s">
        <v>4064</v>
      </c>
      <c r="CO293" s="50" t="s">
        <v>4066</v>
      </c>
      <c r="CP293" s="50" t="s">
        <v>4063</v>
      </c>
      <c r="CQ293" s="50" t="s">
        <v>4065</v>
      </c>
      <c r="CR293" s="50" t="s">
        <v>26042</v>
      </c>
    </row>
    <row r="294" spans="1:96">
      <c r="A294" s="50" t="s">
        <v>149</v>
      </c>
      <c r="B294" s="50">
        <v>2758617</v>
      </c>
      <c r="C294" s="50" t="s">
        <v>985</v>
      </c>
      <c r="D294" s="50" t="s">
        <v>4369</v>
      </c>
      <c r="E294" s="50" t="str">
        <f>VLOOKUP(B294,aa!B:F,5,0)</f>
        <v>Ei CARES</v>
      </c>
      <c r="F294" s="50">
        <f>VLOOKUP(B294,aa!B:J,9,0)</f>
        <v>1975038</v>
      </c>
      <c r="G294" s="50">
        <f>VLOOKUP(B294,aa!B:L,11,0)</f>
        <v>0</v>
      </c>
      <c r="H294" s="50">
        <f>VLOOKUP(B294,aa!B:O,14,0)</f>
        <v>1975038</v>
      </c>
      <c r="I294" s="50">
        <f>VLOOKUP(B294,aa!B:R,17,0)</f>
        <v>0</v>
      </c>
      <c r="K294" s="50" t="s">
        <v>152</v>
      </c>
      <c r="L294" s="50">
        <v>1892496</v>
      </c>
      <c r="M294" s="50">
        <v>1892496</v>
      </c>
      <c r="N294" s="50">
        <v>0</v>
      </c>
      <c r="O294" s="50">
        <v>0</v>
      </c>
      <c r="Q294" s="50">
        <v>1892496</v>
      </c>
      <c r="R294" s="50">
        <v>757</v>
      </c>
      <c r="S294" s="50" t="s">
        <v>3499</v>
      </c>
      <c r="T294" s="50">
        <v>0</v>
      </c>
      <c r="U294" s="50">
        <v>0</v>
      </c>
      <c r="W294" s="50" t="s">
        <v>102</v>
      </c>
      <c r="X294" s="50" t="s">
        <v>103</v>
      </c>
      <c r="Y294" s="50" t="s">
        <v>155</v>
      </c>
      <c r="AA294" s="50" t="s">
        <v>12425</v>
      </c>
      <c r="AB294" s="50" t="s">
        <v>14704</v>
      </c>
      <c r="AC294" s="50" t="s">
        <v>12659</v>
      </c>
      <c r="AD294" s="50" t="s">
        <v>14704</v>
      </c>
      <c r="AE294" s="50" t="s">
        <v>12099</v>
      </c>
      <c r="AF294" s="50" t="s">
        <v>14704</v>
      </c>
      <c r="AG294" s="50" t="s">
        <v>12713</v>
      </c>
      <c r="AH294" s="50" t="s">
        <v>14704</v>
      </c>
      <c r="AI294" s="50" t="s">
        <v>102</v>
      </c>
      <c r="AJ294" s="50" t="s">
        <v>14705</v>
      </c>
      <c r="AK294" s="50" t="s">
        <v>12927</v>
      </c>
      <c r="AL294" s="50" t="s">
        <v>14706</v>
      </c>
      <c r="AM294" s="50" t="s">
        <v>14707</v>
      </c>
      <c r="AN294" s="50" t="s">
        <v>14708</v>
      </c>
      <c r="AO294" s="50" t="s">
        <v>14709</v>
      </c>
      <c r="AP294" s="50" t="s">
        <v>14709</v>
      </c>
      <c r="AU294" s="50" t="s">
        <v>102</v>
      </c>
      <c r="AW294" s="50" t="s">
        <v>155</v>
      </c>
      <c r="AX294" s="50" t="s">
        <v>447</v>
      </c>
      <c r="AY294" s="50" t="s">
        <v>170</v>
      </c>
      <c r="AZ294" s="50" t="s">
        <v>118</v>
      </c>
      <c r="BB294" s="50" t="s">
        <v>120</v>
      </c>
      <c r="BC294" s="50" t="s">
        <v>2127</v>
      </c>
      <c r="BD294" s="50" t="s">
        <v>621</v>
      </c>
      <c r="BE294" s="50" t="s">
        <v>622</v>
      </c>
      <c r="BF294" s="50" t="s">
        <v>976</v>
      </c>
      <c r="BG294" s="50" t="s">
        <v>124</v>
      </c>
      <c r="BH294" s="50" t="s">
        <v>13680</v>
      </c>
      <c r="BI294" s="50" t="s">
        <v>12047</v>
      </c>
      <c r="BJ294" s="50" t="s">
        <v>127</v>
      </c>
      <c r="BK294" s="50" t="s">
        <v>14710</v>
      </c>
      <c r="BL294" s="50" t="s">
        <v>4380</v>
      </c>
      <c r="BM294" s="50" t="s">
        <v>14711</v>
      </c>
      <c r="BN294" s="50" t="s">
        <v>4813</v>
      </c>
      <c r="BO294" s="50" t="s">
        <v>981</v>
      </c>
      <c r="BP294" s="50" t="s">
        <v>132</v>
      </c>
      <c r="BQ294" s="50" t="s">
        <v>982</v>
      </c>
      <c r="BR294" s="50" t="s">
        <v>983</v>
      </c>
      <c r="BS294" s="50" t="s">
        <v>984</v>
      </c>
      <c r="BU294" s="50" t="s">
        <v>14712</v>
      </c>
      <c r="BV294" s="50" t="s">
        <v>14713</v>
      </c>
      <c r="BW294" s="50" t="s">
        <v>138</v>
      </c>
      <c r="BX294" s="50" t="s">
        <v>4389</v>
      </c>
      <c r="BY294" s="50" t="s">
        <v>14714</v>
      </c>
      <c r="BZ294" s="50" t="s">
        <v>4389</v>
      </c>
      <c r="CA294" s="50" t="s">
        <v>14713</v>
      </c>
      <c r="CB294" s="50" t="s">
        <v>4389</v>
      </c>
      <c r="CC294" s="50" t="s">
        <v>14714</v>
      </c>
      <c r="CD294" s="50" t="s">
        <v>14715</v>
      </c>
      <c r="CE294" s="50" t="s">
        <v>14716</v>
      </c>
      <c r="CF294" s="50" t="s">
        <v>14717</v>
      </c>
      <c r="CG294" s="50" t="s">
        <v>4390</v>
      </c>
      <c r="CH294" s="50" t="s">
        <v>14718</v>
      </c>
      <c r="CJ294" s="50" t="s">
        <v>4392</v>
      </c>
      <c r="CK294" s="50" t="s">
        <v>14719</v>
      </c>
      <c r="CL294" s="50" t="s">
        <v>2127</v>
      </c>
      <c r="CM294" s="50" t="s">
        <v>621</v>
      </c>
      <c r="CN294" s="50" t="s">
        <v>4392</v>
      </c>
      <c r="CP294" s="50" t="s">
        <v>4391</v>
      </c>
      <c r="CQ294" s="50" t="s">
        <v>4391</v>
      </c>
    </row>
    <row r="295" spans="1:96">
      <c r="A295" s="50" t="s">
        <v>337</v>
      </c>
      <c r="B295" s="50">
        <v>4052744</v>
      </c>
      <c r="C295" s="50" t="s">
        <v>632</v>
      </c>
      <c r="D295" s="50" t="s">
        <v>18017</v>
      </c>
      <c r="E295" s="50" t="e">
        <f>VLOOKUP(B295,aa!B:F,5,0)</f>
        <v>#N/A</v>
      </c>
      <c r="F295" s="50" t="e">
        <f>VLOOKUP(B295,aa!B:J,9,0)</f>
        <v>#N/A</v>
      </c>
      <c r="G295" s="50" t="e">
        <f>VLOOKUP(B295,aa!B:L,11,0)</f>
        <v>#N/A</v>
      </c>
      <c r="H295" s="50" t="e">
        <f>VLOOKUP(B295,aa!B:O,14,0)</f>
        <v>#N/A</v>
      </c>
      <c r="I295" s="50" t="e">
        <f>VLOOKUP(B295,aa!B:R,17,0)</f>
        <v>#N/A</v>
      </c>
      <c r="K295" s="50" t="s">
        <v>97</v>
      </c>
      <c r="L295" s="50">
        <v>0</v>
      </c>
      <c r="M295" s="50">
        <v>0</v>
      </c>
      <c r="N295" s="50">
        <v>0</v>
      </c>
      <c r="O295" s="50">
        <v>1261</v>
      </c>
      <c r="P295" s="50" t="s">
        <v>102</v>
      </c>
      <c r="Q295" s="50">
        <v>0</v>
      </c>
      <c r="R295" s="50">
        <v>0</v>
      </c>
      <c r="T295" s="50">
        <v>0</v>
      </c>
      <c r="U295" s="50">
        <v>0</v>
      </c>
      <c r="W295" s="50" t="s">
        <v>102</v>
      </c>
      <c r="X295" s="50" t="s">
        <v>275</v>
      </c>
      <c r="Z295" s="50" t="s">
        <v>411</v>
      </c>
      <c r="AA295" s="50" t="s">
        <v>109</v>
      </c>
      <c r="AB295" s="50" t="s">
        <v>102</v>
      </c>
      <c r="AC295" s="50" t="s">
        <v>109</v>
      </c>
      <c r="AD295" s="50" t="s">
        <v>102</v>
      </c>
      <c r="AE295" s="50" t="s">
        <v>109</v>
      </c>
      <c r="AF295" s="50" t="s">
        <v>102</v>
      </c>
      <c r="AG295" s="50" t="s">
        <v>109</v>
      </c>
      <c r="AH295" s="50" t="s">
        <v>102</v>
      </c>
      <c r="AI295" s="50" t="s">
        <v>102</v>
      </c>
      <c r="AL295" s="50" t="s">
        <v>102</v>
      </c>
      <c r="AM295" s="50" t="s">
        <v>102</v>
      </c>
      <c r="AN295" s="50" t="s">
        <v>102</v>
      </c>
      <c r="AO295" s="50" t="s">
        <v>115</v>
      </c>
      <c r="AP295" s="50" t="s">
        <v>115</v>
      </c>
      <c r="AU295" s="50" t="s">
        <v>318</v>
      </c>
      <c r="AV295" s="50" t="s">
        <v>118</v>
      </c>
      <c r="AW295" s="50" t="s">
        <v>102</v>
      </c>
      <c r="AX295" s="50" t="s">
        <v>119</v>
      </c>
      <c r="BB295" s="50" t="s">
        <v>120</v>
      </c>
      <c r="BC295" s="50" t="s">
        <v>2127</v>
      </c>
      <c r="BD295" s="50" t="s">
        <v>621</v>
      </c>
      <c r="BE295" s="50" t="s">
        <v>622</v>
      </c>
      <c r="BF295" s="50" t="s">
        <v>976</v>
      </c>
      <c r="BG295" s="50" t="s">
        <v>124</v>
      </c>
      <c r="BH295" s="50" t="s">
        <v>11976</v>
      </c>
      <c r="BI295" s="50" t="s">
        <v>12289</v>
      </c>
      <c r="BJ295" s="50" t="s">
        <v>127</v>
      </c>
      <c r="BK295" s="50" t="s">
        <v>18018</v>
      </c>
      <c r="BL295" s="50" t="s">
        <v>8650</v>
      </c>
      <c r="BM295" s="50" t="s">
        <v>18019</v>
      </c>
      <c r="BN295" s="50" t="s">
        <v>4813</v>
      </c>
      <c r="BO295" s="50" t="s">
        <v>13638</v>
      </c>
      <c r="BP295" s="50" t="s">
        <v>505</v>
      </c>
      <c r="BQ295" s="50" t="s">
        <v>13639</v>
      </c>
      <c r="BR295" s="50" t="s">
        <v>13640</v>
      </c>
      <c r="BS295" s="50" t="s">
        <v>2847</v>
      </c>
      <c r="BU295" s="50" t="s">
        <v>18020</v>
      </c>
      <c r="BV295" s="50" t="s">
        <v>18021</v>
      </c>
      <c r="BW295" s="50" t="s">
        <v>138</v>
      </c>
      <c r="BX295" s="50" t="s">
        <v>8652</v>
      </c>
      <c r="BY295" s="50" t="s">
        <v>8651</v>
      </c>
      <c r="BZ295" s="50" t="s">
        <v>8652</v>
      </c>
      <c r="CA295" s="50" t="s">
        <v>18022</v>
      </c>
      <c r="CB295" s="50" t="s">
        <v>8652</v>
      </c>
      <c r="CC295" s="50" t="s">
        <v>8651</v>
      </c>
      <c r="CD295" s="50" t="s">
        <v>12096</v>
      </c>
      <c r="CE295" s="50" t="s">
        <v>8652</v>
      </c>
      <c r="CF295" s="50" t="s">
        <v>18023</v>
      </c>
      <c r="CG295" s="50" t="s">
        <v>8653</v>
      </c>
      <c r="CH295" s="50" t="s">
        <v>8654</v>
      </c>
      <c r="CJ295" s="50" t="s">
        <v>8655</v>
      </c>
      <c r="CK295" s="50" t="s">
        <v>18024</v>
      </c>
      <c r="CL295" s="50" t="s">
        <v>2127</v>
      </c>
      <c r="CM295" s="50" t="s">
        <v>621</v>
      </c>
      <c r="CN295" s="50" t="s">
        <v>8655</v>
      </c>
      <c r="CP295" s="50" t="s">
        <v>8656</v>
      </c>
      <c r="CQ295" s="50" t="s">
        <v>8654</v>
      </c>
      <c r="CR295" s="50" t="s">
        <v>26042</v>
      </c>
    </row>
    <row r="296" spans="1:96">
      <c r="A296" s="50" t="s">
        <v>149</v>
      </c>
      <c r="B296" s="50">
        <v>5014915</v>
      </c>
      <c r="C296" s="50" t="s">
        <v>2525</v>
      </c>
      <c r="D296" s="50" t="s">
        <v>9387</v>
      </c>
      <c r="E296" s="50" t="str">
        <f>VLOOKUP(B296,aa!B:F,5,0)</f>
        <v>Ei Mindspark</v>
      </c>
      <c r="F296" s="50">
        <f>VLOOKUP(B296,aa!B:J,9,0)</f>
        <v>344113</v>
      </c>
      <c r="G296" s="50">
        <f>VLOOKUP(B296,aa!B:L,11,0)</f>
        <v>0</v>
      </c>
      <c r="H296" s="50">
        <f>VLOOKUP(B296,aa!B:O,14,0)</f>
        <v>0</v>
      </c>
      <c r="I296" s="50">
        <f>VLOOKUP(B296,aa!B:R,17,0)</f>
        <v>344113</v>
      </c>
      <c r="K296" s="50" t="s">
        <v>848</v>
      </c>
      <c r="L296" s="50">
        <v>476307</v>
      </c>
      <c r="M296" s="50">
        <v>562042</v>
      </c>
      <c r="N296" s="50">
        <v>0</v>
      </c>
      <c r="O296" s="50">
        <v>0</v>
      </c>
      <c r="Q296" s="50">
        <v>0</v>
      </c>
      <c r="R296" s="50">
        <v>0</v>
      </c>
      <c r="T296" s="50">
        <v>476307</v>
      </c>
      <c r="U296" s="50">
        <v>281</v>
      </c>
      <c r="V296" s="50" t="s">
        <v>2007</v>
      </c>
      <c r="W296" s="50" t="s">
        <v>102</v>
      </c>
      <c r="X296" s="50" t="s">
        <v>275</v>
      </c>
      <c r="Z296" s="50" t="s">
        <v>126</v>
      </c>
      <c r="AA296" s="50" t="s">
        <v>109</v>
      </c>
      <c r="AB296" s="50" t="s">
        <v>102</v>
      </c>
      <c r="AC296" s="50" t="s">
        <v>109</v>
      </c>
      <c r="AD296" s="50" t="s">
        <v>102</v>
      </c>
      <c r="AE296" s="50" t="s">
        <v>109</v>
      </c>
      <c r="AF296" s="50" t="s">
        <v>102</v>
      </c>
      <c r="AG296" s="50" t="s">
        <v>109</v>
      </c>
      <c r="AH296" s="50" t="s">
        <v>102</v>
      </c>
      <c r="AI296" s="50" t="s">
        <v>102</v>
      </c>
      <c r="AJ296" s="50" t="s">
        <v>12911</v>
      </c>
      <c r="AK296" s="50" t="s">
        <v>18671</v>
      </c>
      <c r="AL296" s="50" t="s">
        <v>18672</v>
      </c>
      <c r="AM296" s="50" t="s">
        <v>18673</v>
      </c>
      <c r="AN296" s="50" t="s">
        <v>18674</v>
      </c>
      <c r="AO296" s="50" t="s">
        <v>18675</v>
      </c>
      <c r="AP296" s="50" t="s">
        <v>18676</v>
      </c>
      <c r="AQ296" s="50" t="s">
        <v>343</v>
      </c>
      <c r="AT296" s="50" t="s">
        <v>169</v>
      </c>
      <c r="AU296" s="50" t="s">
        <v>102</v>
      </c>
      <c r="AW296" s="50" t="s">
        <v>102</v>
      </c>
      <c r="AX296" s="50" t="s">
        <v>119</v>
      </c>
      <c r="BA296" s="50" t="s">
        <v>250</v>
      </c>
      <c r="BB296" s="50" t="s">
        <v>120</v>
      </c>
      <c r="BC296" s="50" t="s">
        <v>1729</v>
      </c>
      <c r="BD296" s="50" t="s">
        <v>730</v>
      </c>
      <c r="BE296" s="50" t="s">
        <v>622</v>
      </c>
      <c r="BF296" s="50" t="s">
        <v>730</v>
      </c>
      <c r="BG296" s="50" t="s">
        <v>124</v>
      </c>
      <c r="BH296" s="50" t="s">
        <v>12023</v>
      </c>
      <c r="BI296" s="50" t="s">
        <v>11889</v>
      </c>
      <c r="BJ296" s="50" t="s">
        <v>127</v>
      </c>
      <c r="BK296" s="50" t="s">
        <v>18677</v>
      </c>
      <c r="BL296" s="50" t="s">
        <v>9396</v>
      </c>
      <c r="BM296" s="50" t="s">
        <v>18678</v>
      </c>
      <c r="BN296" s="50" t="s">
        <v>4813</v>
      </c>
      <c r="BO296" s="50" t="s">
        <v>3606</v>
      </c>
      <c r="BP296" s="50" t="s">
        <v>180</v>
      </c>
      <c r="BQ296" s="50" t="s">
        <v>3607</v>
      </c>
      <c r="BR296" s="50" t="s">
        <v>3608</v>
      </c>
      <c r="BS296" s="50" t="s">
        <v>2525</v>
      </c>
      <c r="BU296" s="50" t="s">
        <v>18679</v>
      </c>
      <c r="BV296" s="50" t="s">
        <v>18680</v>
      </c>
      <c r="BW296" s="50" t="s">
        <v>354</v>
      </c>
      <c r="BX296" s="50" t="s">
        <v>9402</v>
      </c>
      <c r="BY296" s="50" t="s">
        <v>18681</v>
      </c>
      <c r="BZ296" s="50" t="s">
        <v>9402</v>
      </c>
      <c r="CA296" s="50" t="s">
        <v>18682</v>
      </c>
      <c r="CB296" s="50" t="s">
        <v>9402</v>
      </c>
      <c r="CC296" s="50" t="s">
        <v>9404</v>
      </c>
      <c r="CD296" s="50" t="s">
        <v>18680</v>
      </c>
      <c r="CE296" s="50" t="s">
        <v>9402</v>
      </c>
      <c r="CF296" s="50" t="s">
        <v>18681</v>
      </c>
      <c r="CG296" s="50" t="s">
        <v>102</v>
      </c>
      <c r="CH296" s="50" t="s">
        <v>9405</v>
      </c>
      <c r="CJ296" s="50" t="s">
        <v>1743</v>
      </c>
      <c r="CL296" s="50" t="s">
        <v>1729</v>
      </c>
      <c r="CM296" s="50" t="s">
        <v>730</v>
      </c>
      <c r="CN296" s="50" t="s">
        <v>9406</v>
      </c>
      <c r="CP296" s="50" t="s">
        <v>9405</v>
      </c>
      <c r="CQ296" s="50" t="s">
        <v>9405</v>
      </c>
      <c r="CR296" s="50" t="s">
        <v>26040</v>
      </c>
    </row>
    <row r="297" spans="1:96">
      <c r="A297" s="50" t="s">
        <v>93</v>
      </c>
      <c r="B297" s="50">
        <v>5017529</v>
      </c>
      <c r="C297" s="50" t="s">
        <v>1111</v>
      </c>
      <c r="D297" s="50" t="s">
        <v>9990</v>
      </c>
      <c r="E297" s="50" t="str">
        <f>VLOOKUP(B297,aa!B:F,5,0)</f>
        <v>Ei CARES</v>
      </c>
      <c r="F297" s="50">
        <f>VLOOKUP(B297,aa!B:J,9,0)</f>
        <v>245675</v>
      </c>
      <c r="G297" s="50">
        <f>VLOOKUP(B297,aa!B:L,11,0)</f>
        <v>0</v>
      </c>
      <c r="H297" s="50">
        <f>VLOOKUP(B297,aa!B:O,14,0)</f>
        <v>245675</v>
      </c>
      <c r="I297" s="50">
        <f>VLOOKUP(B297,aa!B:R,17,0)</f>
        <v>0</v>
      </c>
      <c r="K297" s="50" t="s">
        <v>8024</v>
      </c>
      <c r="L297" s="50">
        <v>316904</v>
      </c>
      <c r="M297" s="50">
        <v>343471</v>
      </c>
      <c r="N297" s="50">
        <v>0</v>
      </c>
      <c r="O297" s="50">
        <v>0</v>
      </c>
      <c r="Q297" s="50">
        <v>169312</v>
      </c>
      <c r="R297" s="50">
        <v>129</v>
      </c>
      <c r="S297" s="50" t="s">
        <v>14834</v>
      </c>
      <c r="T297" s="50">
        <v>147592</v>
      </c>
      <c r="U297" s="50">
        <v>129</v>
      </c>
      <c r="V297" s="50" t="s">
        <v>15151</v>
      </c>
      <c r="W297" s="50" t="s">
        <v>102</v>
      </c>
      <c r="X297" s="50" t="s">
        <v>275</v>
      </c>
      <c r="Z297" s="50" t="s">
        <v>411</v>
      </c>
      <c r="AA297" s="50" t="s">
        <v>109</v>
      </c>
      <c r="AB297" s="50" t="s">
        <v>102</v>
      </c>
      <c r="AC297" s="50" t="s">
        <v>109</v>
      </c>
      <c r="AD297" s="50" t="s">
        <v>102</v>
      </c>
      <c r="AE297" s="50" t="s">
        <v>109</v>
      </c>
      <c r="AF297" s="50" t="s">
        <v>102</v>
      </c>
      <c r="AG297" s="50" t="s">
        <v>109</v>
      </c>
      <c r="AH297" s="50" t="s">
        <v>102</v>
      </c>
      <c r="AI297" s="50" t="s">
        <v>102</v>
      </c>
      <c r="AJ297" s="50" t="s">
        <v>14292</v>
      </c>
      <c r="AK297" s="50" t="s">
        <v>13075</v>
      </c>
      <c r="AL297" s="50" t="s">
        <v>19064</v>
      </c>
      <c r="AM297" s="50" t="s">
        <v>2980</v>
      </c>
      <c r="AN297" s="50" t="s">
        <v>19065</v>
      </c>
      <c r="AO297" s="50" t="s">
        <v>15155</v>
      </c>
      <c r="AP297" s="50" t="s">
        <v>15155</v>
      </c>
      <c r="AU297" s="50" t="s">
        <v>102</v>
      </c>
      <c r="AW297" s="50" t="s">
        <v>155</v>
      </c>
      <c r="AX297" s="50" t="s">
        <v>119</v>
      </c>
      <c r="AY297" s="50" t="s">
        <v>170</v>
      </c>
      <c r="AZ297" s="50" t="s">
        <v>118</v>
      </c>
      <c r="BA297" s="50" t="s">
        <v>250</v>
      </c>
      <c r="BB297" s="50" t="s">
        <v>598</v>
      </c>
      <c r="BC297" s="50" t="s">
        <v>6594</v>
      </c>
      <c r="BD297" s="50" t="s">
        <v>6595</v>
      </c>
      <c r="BE297" s="50" t="s">
        <v>174</v>
      </c>
      <c r="BF297" s="50" t="s">
        <v>4405</v>
      </c>
      <c r="BG297" s="50" t="s">
        <v>124</v>
      </c>
      <c r="BH297" s="50" t="s">
        <v>12023</v>
      </c>
      <c r="BI297" s="50" t="s">
        <v>11889</v>
      </c>
      <c r="BJ297" s="50" t="s">
        <v>127</v>
      </c>
      <c r="BK297" s="50" t="s">
        <v>19066</v>
      </c>
      <c r="BL297" s="50" t="s">
        <v>10007</v>
      </c>
      <c r="BM297" s="50" t="s">
        <v>19067</v>
      </c>
      <c r="BN297" s="50" t="s">
        <v>4813</v>
      </c>
      <c r="BO297" s="50" t="s">
        <v>5531</v>
      </c>
      <c r="BP297" s="50" t="s">
        <v>180</v>
      </c>
      <c r="BQ297" s="50" t="s">
        <v>5532</v>
      </c>
      <c r="BR297" s="50" t="s">
        <v>5533</v>
      </c>
      <c r="BS297" s="50" t="s">
        <v>4413</v>
      </c>
      <c r="BU297" s="50" t="s">
        <v>19068</v>
      </c>
      <c r="BV297" s="50" t="s">
        <v>10010</v>
      </c>
      <c r="BW297" s="50" t="s">
        <v>354</v>
      </c>
      <c r="BX297" s="50" t="s">
        <v>10011</v>
      </c>
      <c r="BY297" s="50" t="s">
        <v>10012</v>
      </c>
      <c r="BZ297" s="50" t="s">
        <v>10011</v>
      </c>
      <c r="CA297" s="50" t="s">
        <v>10010</v>
      </c>
      <c r="CB297" s="50" t="s">
        <v>10011</v>
      </c>
      <c r="CC297" s="50" t="s">
        <v>10012</v>
      </c>
      <c r="CD297" s="50" t="s">
        <v>10010</v>
      </c>
      <c r="CE297" s="50" t="s">
        <v>10011</v>
      </c>
      <c r="CF297" s="50" t="s">
        <v>10012</v>
      </c>
      <c r="CG297" s="50" t="s">
        <v>10017</v>
      </c>
      <c r="CH297" s="50" t="s">
        <v>10018</v>
      </c>
      <c r="CJ297" s="50" t="s">
        <v>10019</v>
      </c>
      <c r="CK297" s="50" t="s">
        <v>10018</v>
      </c>
      <c r="CL297" s="50" t="s">
        <v>6594</v>
      </c>
      <c r="CM297" s="50" t="s">
        <v>6595</v>
      </c>
      <c r="CN297" s="50" t="s">
        <v>10019</v>
      </c>
      <c r="CP297" s="50" t="s">
        <v>10018</v>
      </c>
      <c r="CQ297" s="50" t="s">
        <v>10018</v>
      </c>
    </row>
    <row r="298" spans="1:96">
      <c r="A298" s="50" t="s">
        <v>93</v>
      </c>
      <c r="B298" s="50">
        <v>3992941</v>
      </c>
      <c r="C298" s="50" t="s">
        <v>632</v>
      </c>
      <c r="D298" s="50" t="s">
        <v>8249</v>
      </c>
      <c r="E298" s="50" t="e">
        <f>VLOOKUP(B298,aa!B:F,5,0)</f>
        <v>#N/A</v>
      </c>
      <c r="F298" s="50" t="e">
        <f>VLOOKUP(B298,aa!B:J,9,0)</f>
        <v>#N/A</v>
      </c>
      <c r="G298" s="50" t="e">
        <f>VLOOKUP(B298,aa!B:L,11,0)</f>
        <v>#N/A</v>
      </c>
      <c r="H298" s="50" t="e">
        <f>VLOOKUP(B298,aa!B:O,14,0)</f>
        <v>#N/A</v>
      </c>
      <c r="I298" s="50" t="e">
        <f>VLOOKUP(B298,aa!B:R,17,0)</f>
        <v>#N/A</v>
      </c>
      <c r="K298" s="50" t="s">
        <v>2163</v>
      </c>
      <c r="L298" s="50">
        <v>2981269</v>
      </c>
      <c r="M298" s="50">
        <v>3360203</v>
      </c>
      <c r="N298" s="50">
        <v>437784</v>
      </c>
      <c r="O298" s="50">
        <v>488</v>
      </c>
      <c r="P298" s="50" t="s">
        <v>17621</v>
      </c>
      <c r="Q298" s="50">
        <v>438295</v>
      </c>
      <c r="R298" s="50">
        <v>487</v>
      </c>
      <c r="S298" s="50" t="s">
        <v>2451</v>
      </c>
      <c r="T298" s="50">
        <v>2105190</v>
      </c>
      <c r="U298" s="50">
        <v>552</v>
      </c>
      <c r="V298" s="50" t="s">
        <v>17622</v>
      </c>
      <c r="W298" s="50" t="s">
        <v>102</v>
      </c>
      <c r="X298" s="50" t="s">
        <v>103</v>
      </c>
      <c r="Y298" s="50" t="s">
        <v>5317</v>
      </c>
      <c r="AA298" s="50" t="s">
        <v>17623</v>
      </c>
      <c r="AB298" s="50" t="s">
        <v>17624</v>
      </c>
      <c r="AC298" s="50" t="s">
        <v>17625</v>
      </c>
      <c r="AD298" s="50" t="s">
        <v>17624</v>
      </c>
      <c r="AE298" s="50" t="s">
        <v>13263</v>
      </c>
      <c r="AF298" s="50" t="s">
        <v>17626</v>
      </c>
      <c r="AG298" s="50" t="s">
        <v>109</v>
      </c>
      <c r="AH298" s="50" t="s">
        <v>102</v>
      </c>
      <c r="AI298" s="50" t="s">
        <v>17627</v>
      </c>
      <c r="AJ298" s="50" t="s">
        <v>17628</v>
      </c>
      <c r="AK298" s="50" t="s">
        <v>17629</v>
      </c>
      <c r="AL298" s="50" t="s">
        <v>17630</v>
      </c>
      <c r="AM298" s="50" t="s">
        <v>17631</v>
      </c>
      <c r="AN298" s="50" t="s">
        <v>17632</v>
      </c>
      <c r="AO298" s="50" t="s">
        <v>17633</v>
      </c>
      <c r="AP298" s="50" t="s">
        <v>17633</v>
      </c>
      <c r="AU298" s="50" t="s">
        <v>247</v>
      </c>
      <c r="AV298" s="50" t="s">
        <v>118</v>
      </c>
      <c r="AW298" s="50" t="s">
        <v>1103</v>
      </c>
      <c r="AX298" s="50" t="s">
        <v>119</v>
      </c>
      <c r="AY298" s="50" t="s">
        <v>170</v>
      </c>
      <c r="AZ298" s="50" t="s">
        <v>118</v>
      </c>
      <c r="BA298" s="50" t="s">
        <v>250</v>
      </c>
      <c r="BB298" s="50" t="s">
        <v>120</v>
      </c>
      <c r="BC298" s="50" t="s">
        <v>623</v>
      </c>
      <c r="BD298" s="50" t="s">
        <v>621</v>
      </c>
      <c r="BE298" s="50" t="s">
        <v>622</v>
      </c>
      <c r="BF298" s="50" t="s">
        <v>623</v>
      </c>
      <c r="BG298" s="50" t="s">
        <v>124</v>
      </c>
      <c r="BH298" s="50" t="s">
        <v>17634</v>
      </c>
      <c r="BI298" s="50" t="s">
        <v>17635</v>
      </c>
      <c r="BJ298" s="50" t="s">
        <v>127</v>
      </c>
      <c r="BK298" s="50" t="s">
        <v>17636</v>
      </c>
      <c r="BL298" s="50" t="s">
        <v>8260</v>
      </c>
      <c r="BM298" s="50" t="s">
        <v>17637</v>
      </c>
      <c r="BN298" s="50" t="s">
        <v>17620</v>
      </c>
      <c r="BO298" s="50" t="s">
        <v>2284</v>
      </c>
      <c r="BP298" s="50" t="s">
        <v>132</v>
      </c>
      <c r="BQ298" s="50" t="s">
        <v>2285</v>
      </c>
      <c r="BR298" s="50" t="s">
        <v>2286</v>
      </c>
      <c r="BS298" s="50" t="s">
        <v>8262</v>
      </c>
      <c r="BU298" s="50" t="s">
        <v>17638</v>
      </c>
      <c r="BV298" s="50" t="s">
        <v>17639</v>
      </c>
      <c r="BW298" s="50" t="s">
        <v>3121</v>
      </c>
      <c r="BX298" s="50" t="s">
        <v>17640</v>
      </c>
      <c r="BY298" s="50" t="s">
        <v>17641</v>
      </c>
      <c r="BZ298" s="50" t="s">
        <v>8267</v>
      </c>
      <c r="CA298" s="50" t="s">
        <v>17642</v>
      </c>
      <c r="CB298" s="50" t="s">
        <v>17640</v>
      </c>
      <c r="CC298" s="50" t="s">
        <v>17641</v>
      </c>
      <c r="CD298" s="50" t="s">
        <v>17643</v>
      </c>
      <c r="CE298" s="50" t="s">
        <v>17640</v>
      </c>
      <c r="CF298" s="50" t="s">
        <v>17641</v>
      </c>
      <c r="CG298" s="50" t="s">
        <v>907</v>
      </c>
      <c r="CH298" s="50" t="s">
        <v>8268</v>
      </c>
      <c r="CJ298" s="50" t="s">
        <v>8269</v>
      </c>
      <c r="CK298" s="50" t="s">
        <v>17644</v>
      </c>
      <c r="CL298" s="50" t="s">
        <v>623</v>
      </c>
      <c r="CM298" s="50" t="s">
        <v>621</v>
      </c>
      <c r="CN298" s="50" t="s">
        <v>8269</v>
      </c>
      <c r="CO298" s="50" t="s">
        <v>8270</v>
      </c>
      <c r="CP298" s="50" t="s">
        <v>8268</v>
      </c>
      <c r="CQ298" s="50" t="s">
        <v>8268</v>
      </c>
      <c r="CR298" s="50" t="s">
        <v>26040</v>
      </c>
    </row>
    <row r="299" spans="1:96">
      <c r="A299" s="50" t="s">
        <v>149</v>
      </c>
      <c r="B299" s="50">
        <v>175250</v>
      </c>
      <c r="C299" s="50" t="s">
        <v>222</v>
      </c>
      <c r="D299" s="50" t="s">
        <v>1744</v>
      </c>
      <c r="E299" s="50" t="e">
        <f>VLOOKUP(B299,aa!B:F,5,0)</f>
        <v>#N/A</v>
      </c>
      <c r="F299" s="50" t="e">
        <f>VLOOKUP(B299,aa!B:J,9,0)</f>
        <v>#N/A</v>
      </c>
      <c r="G299" s="50" t="e">
        <f>VLOOKUP(B299,aa!B:L,11,0)</f>
        <v>#N/A</v>
      </c>
      <c r="H299" s="50" t="e">
        <f>VLOOKUP(B299,aa!B:O,14,0)</f>
        <v>#N/A</v>
      </c>
      <c r="I299" s="50" t="e">
        <f>VLOOKUP(B299,aa!B:R,17,0)</f>
        <v>#N/A</v>
      </c>
      <c r="K299" s="50" t="s">
        <v>1746</v>
      </c>
      <c r="L299" s="50">
        <v>4988059</v>
      </c>
      <c r="M299" s="50">
        <v>5236780</v>
      </c>
      <c r="N299" s="50">
        <v>681431</v>
      </c>
      <c r="O299" s="50">
        <v>2284</v>
      </c>
      <c r="P299" s="50" t="s">
        <v>3592</v>
      </c>
      <c r="Q299" s="50">
        <v>2924844</v>
      </c>
      <c r="R299" s="50">
        <v>2277</v>
      </c>
      <c r="S299" s="50" t="s">
        <v>12907</v>
      </c>
      <c r="T299" s="50">
        <v>1381784</v>
      </c>
      <c r="U299" s="50">
        <v>2277</v>
      </c>
      <c r="V299" s="50" t="s">
        <v>12908</v>
      </c>
      <c r="W299" s="50" t="s">
        <v>102</v>
      </c>
      <c r="X299" s="50" t="s">
        <v>103</v>
      </c>
      <c r="Y299" s="50" t="s">
        <v>155</v>
      </c>
      <c r="AA299" s="50" t="s">
        <v>11959</v>
      </c>
      <c r="AB299" s="50" t="s">
        <v>12909</v>
      </c>
      <c r="AC299" s="50" t="s">
        <v>5651</v>
      </c>
      <c r="AD299" s="50" t="s">
        <v>12909</v>
      </c>
      <c r="AE299" s="50" t="s">
        <v>12084</v>
      </c>
      <c r="AF299" s="50" t="s">
        <v>12909</v>
      </c>
      <c r="AG299" s="50" t="s">
        <v>11886</v>
      </c>
      <c r="AH299" s="50" t="s">
        <v>12909</v>
      </c>
      <c r="AI299" s="50" t="s">
        <v>12910</v>
      </c>
      <c r="AJ299" s="50" t="s">
        <v>12911</v>
      </c>
      <c r="AK299" s="50" t="s">
        <v>12912</v>
      </c>
      <c r="AL299" s="50" t="s">
        <v>12913</v>
      </c>
      <c r="AM299" s="50" t="s">
        <v>12914</v>
      </c>
      <c r="AN299" s="50" t="s">
        <v>12915</v>
      </c>
      <c r="AO299" s="50" t="s">
        <v>12916</v>
      </c>
      <c r="AP299" s="50" t="s">
        <v>12916</v>
      </c>
      <c r="AU299" s="50" t="s">
        <v>117</v>
      </c>
      <c r="AV299" s="50" t="s">
        <v>118</v>
      </c>
      <c r="AW299" s="50" t="s">
        <v>1384</v>
      </c>
      <c r="AX299" s="50" t="s">
        <v>119</v>
      </c>
      <c r="AY299" s="50" t="s">
        <v>170</v>
      </c>
      <c r="AZ299" s="50" t="s">
        <v>118</v>
      </c>
      <c r="BA299" s="50" t="s">
        <v>250</v>
      </c>
      <c r="BB299" s="50" t="s">
        <v>209</v>
      </c>
      <c r="BC299" s="50" t="s">
        <v>1759</v>
      </c>
      <c r="BD299" s="50" t="s">
        <v>410</v>
      </c>
      <c r="BE299" s="50" t="s">
        <v>212</v>
      </c>
      <c r="BF299" s="50" t="s">
        <v>410</v>
      </c>
      <c r="BG299" s="50" t="s">
        <v>124</v>
      </c>
      <c r="BH299" s="50" t="s">
        <v>11959</v>
      </c>
      <c r="BI299" s="50" t="s">
        <v>11960</v>
      </c>
      <c r="BJ299" s="50" t="s">
        <v>127</v>
      </c>
      <c r="BK299" s="50" t="s">
        <v>12917</v>
      </c>
      <c r="BL299" s="50" t="s">
        <v>1763</v>
      </c>
      <c r="BM299" s="50" t="s">
        <v>12918</v>
      </c>
      <c r="BN299" s="50" t="s">
        <v>7145</v>
      </c>
      <c r="BO299" s="50" t="s">
        <v>1880</v>
      </c>
      <c r="BP299" s="50" t="s">
        <v>132</v>
      </c>
      <c r="BQ299" s="50" t="s">
        <v>1882</v>
      </c>
      <c r="BR299" s="50" t="s">
        <v>1883</v>
      </c>
      <c r="BS299" s="50" t="s">
        <v>222</v>
      </c>
      <c r="BU299" s="50" t="s">
        <v>12919</v>
      </c>
      <c r="BV299" s="50" t="s">
        <v>1766</v>
      </c>
      <c r="BW299" s="50" t="s">
        <v>138</v>
      </c>
      <c r="BX299" s="50" t="s">
        <v>1767</v>
      </c>
      <c r="BY299" s="50" t="s">
        <v>1768</v>
      </c>
      <c r="BZ299" s="50" t="s">
        <v>1769</v>
      </c>
      <c r="CA299" s="50" t="s">
        <v>12920</v>
      </c>
      <c r="CB299" s="50" t="s">
        <v>1767</v>
      </c>
      <c r="CC299" s="50" t="s">
        <v>1768</v>
      </c>
      <c r="CD299" s="50" t="s">
        <v>12921</v>
      </c>
      <c r="CE299" s="50" t="s">
        <v>1771</v>
      </c>
      <c r="CF299" s="50" t="s">
        <v>1772</v>
      </c>
      <c r="CG299" s="50" t="s">
        <v>102</v>
      </c>
      <c r="CH299" s="50" t="s">
        <v>1773</v>
      </c>
      <c r="CJ299" s="50" t="s">
        <v>1774</v>
      </c>
      <c r="CK299" s="50" t="s">
        <v>1773</v>
      </c>
      <c r="CL299" s="50" t="s">
        <v>1759</v>
      </c>
      <c r="CM299" s="50" t="s">
        <v>410</v>
      </c>
      <c r="CN299" s="50" t="s">
        <v>1774</v>
      </c>
      <c r="CO299" s="50" t="s">
        <v>1775</v>
      </c>
      <c r="CP299" s="50" t="s">
        <v>1773</v>
      </c>
      <c r="CQ299" s="50" t="s">
        <v>1773</v>
      </c>
      <c r="CR299" s="50" t="s">
        <v>26040</v>
      </c>
    </row>
    <row r="300" spans="1:96">
      <c r="A300" s="50" t="s">
        <v>149</v>
      </c>
      <c r="B300" s="50">
        <v>181976</v>
      </c>
      <c r="C300" s="50" t="s">
        <v>11898</v>
      </c>
      <c r="D300" s="50" t="s">
        <v>1952</v>
      </c>
      <c r="E300" s="50" t="str">
        <f>VLOOKUP(B300,aa!B:F,5,0)</f>
        <v>Ei CARES</v>
      </c>
      <c r="F300" s="50">
        <f>VLOOKUP(B300,aa!B:J,9,0)</f>
        <v>790312</v>
      </c>
      <c r="G300" s="50">
        <f>VLOOKUP(B300,aa!B:L,11,0)</f>
        <v>0</v>
      </c>
      <c r="H300" s="50">
        <f>VLOOKUP(B300,aa!B:O,14,0)</f>
        <v>790312</v>
      </c>
      <c r="I300" s="50">
        <f>VLOOKUP(B300,aa!B:R,17,0)</f>
        <v>0</v>
      </c>
      <c r="K300" s="50" t="s">
        <v>152</v>
      </c>
      <c r="L300" s="50">
        <v>761974</v>
      </c>
      <c r="M300" s="50">
        <v>761974</v>
      </c>
      <c r="N300" s="50">
        <v>0</v>
      </c>
      <c r="O300" s="50">
        <v>0</v>
      </c>
      <c r="Q300" s="50">
        <v>761974</v>
      </c>
      <c r="R300" s="50">
        <v>1027</v>
      </c>
      <c r="S300" s="50" t="s">
        <v>12972</v>
      </c>
      <c r="T300" s="50">
        <v>0</v>
      </c>
      <c r="U300" s="50">
        <v>0</v>
      </c>
      <c r="W300" s="50" t="s">
        <v>102</v>
      </c>
      <c r="X300" s="50" t="s">
        <v>103</v>
      </c>
      <c r="Y300" s="50" t="s">
        <v>104</v>
      </c>
      <c r="AA300" s="50" t="s">
        <v>11927</v>
      </c>
      <c r="AB300" s="50" t="s">
        <v>12973</v>
      </c>
      <c r="AC300" s="50" t="s">
        <v>11884</v>
      </c>
      <c r="AD300" s="50" t="s">
        <v>12973</v>
      </c>
      <c r="AE300" s="50" t="s">
        <v>109</v>
      </c>
      <c r="AF300" s="50" t="s">
        <v>102</v>
      </c>
      <c r="AG300" s="50" t="s">
        <v>109</v>
      </c>
      <c r="AH300" s="50" t="s">
        <v>102</v>
      </c>
      <c r="AI300" s="50" t="s">
        <v>12974</v>
      </c>
      <c r="AJ300" s="50" t="s">
        <v>9460</v>
      </c>
      <c r="AK300" s="50" t="s">
        <v>12975</v>
      </c>
      <c r="AL300" s="50" t="s">
        <v>12976</v>
      </c>
      <c r="AM300" s="50" t="s">
        <v>12977</v>
      </c>
      <c r="AN300" s="50" t="s">
        <v>12978</v>
      </c>
      <c r="AO300" s="50" t="s">
        <v>11871</v>
      </c>
      <c r="AP300" s="50" t="s">
        <v>11872</v>
      </c>
      <c r="AR300" s="50" t="s">
        <v>169</v>
      </c>
      <c r="AU300" s="50" t="s">
        <v>102</v>
      </c>
      <c r="AW300" s="50" t="s">
        <v>155</v>
      </c>
      <c r="AX300" s="50" t="s">
        <v>447</v>
      </c>
      <c r="AY300" s="50" t="s">
        <v>170</v>
      </c>
      <c r="AZ300" s="50" t="s">
        <v>118</v>
      </c>
      <c r="BB300" s="50" t="s">
        <v>1964</v>
      </c>
      <c r="BC300" s="50" t="s">
        <v>448</v>
      </c>
      <c r="BD300" s="50" t="s">
        <v>449</v>
      </c>
      <c r="BE300" s="50" t="s">
        <v>122</v>
      </c>
      <c r="BF300" s="50" t="s">
        <v>450</v>
      </c>
      <c r="BG300" s="50" t="s">
        <v>124</v>
      </c>
      <c r="BH300" s="50" t="s">
        <v>12023</v>
      </c>
      <c r="BI300" s="50" t="s">
        <v>11889</v>
      </c>
      <c r="BJ300" s="50" t="s">
        <v>127</v>
      </c>
      <c r="BK300" s="50" t="s">
        <v>12979</v>
      </c>
      <c r="BL300" s="50" t="s">
        <v>1966</v>
      </c>
      <c r="BM300" s="50" t="s">
        <v>12980</v>
      </c>
      <c r="BN300" s="50" t="s">
        <v>7145</v>
      </c>
      <c r="BO300" s="50" t="s">
        <v>8788</v>
      </c>
      <c r="BP300" s="50" t="s">
        <v>350</v>
      </c>
      <c r="BQ300" s="50" t="s">
        <v>8789</v>
      </c>
      <c r="BR300" s="50" t="s">
        <v>8790</v>
      </c>
      <c r="BS300" s="50" t="s">
        <v>261</v>
      </c>
      <c r="BU300" s="50" t="s">
        <v>12981</v>
      </c>
      <c r="BV300" s="50" t="s">
        <v>1969</v>
      </c>
      <c r="BW300" s="50" t="s">
        <v>138</v>
      </c>
      <c r="BX300" s="50" t="s">
        <v>1970</v>
      </c>
      <c r="BY300" s="50" t="s">
        <v>1971</v>
      </c>
      <c r="BZ300" s="50" t="s">
        <v>1972</v>
      </c>
      <c r="CA300" s="50" t="s">
        <v>12982</v>
      </c>
      <c r="CB300" s="50" t="s">
        <v>1970</v>
      </c>
      <c r="CC300" s="50" t="s">
        <v>1971</v>
      </c>
      <c r="CD300" s="50" t="s">
        <v>1973</v>
      </c>
      <c r="CE300" s="50" t="s">
        <v>1970</v>
      </c>
      <c r="CF300" s="50" t="s">
        <v>1975</v>
      </c>
      <c r="CG300" s="50" t="s">
        <v>334</v>
      </c>
      <c r="CH300" s="50" t="s">
        <v>1976</v>
      </c>
      <c r="CJ300" s="50" t="s">
        <v>1977</v>
      </c>
      <c r="CK300" s="50" t="s">
        <v>12983</v>
      </c>
      <c r="CL300" s="50" t="s">
        <v>448</v>
      </c>
      <c r="CM300" s="50" t="s">
        <v>449</v>
      </c>
      <c r="CN300" s="50" t="s">
        <v>1977</v>
      </c>
      <c r="CO300" s="50" t="s">
        <v>1979</v>
      </c>
      <c r="CP300" s="50" t="s">
        <v>1976</v>
      </c>
      <c r="CQ300" s="50" t="s">
        <v>1978</v>
      </c>
    </row>
    <row r="301" spans="1:96">
      <c r="A301" s="50" t="s">
        <v>149</v>
      </c>
      <c r="B301" s="50">
        <v>210666</v>
      </c>
      <c r="C301" s="50" t="s">
        <v>12423</v>
      </c>
      <c r="D301" s="50" t="s">
        <v>2711</v>
      </c>
      <c r="E301" s="50" t="e">
        <f>VLOOKUP(B301,aa!B:F,5,0)</f>
        <v>#N/A</v>
      </c>
      <c r="F301" s="50" t="e">
        <f>VLOOKUP(B301,aa!B:J,9,0)</f>
        <v>#N/A</v>
      </c>
      <c r="G301" s="50" t="e">
        <f>VLOOKUP(B301,aa!B:L,11,0)</f>
        <v>#N/A</v>
      </c>
      <c r="H301" s="50" t="e">
        <f>VLOOKUP(B301,aa!B:O,14,0)</f>
        <v>#N/A</v>
      </c>
      <c r="I301" s="50" t="e">
        <f>VLOOKUP(B301,aa!B:R,17,0)</f>
        <v>#N/A</v>
      </c>
      <c r="K301" s="50" t="s">
        <v>2713</v>
      </c>
      <c r="L301" s="50">
        <v>809581</v>
      </c>
      <c r="M301" s="50">
        <v>851907</v>
      </c>
      <c r="N301" s="50">
        <v>574437</v>
      </c>
      <c r="O301" s="50">
        <v>1149</v>
      </c>
      <c r="P301" s="50" t="s">
        <v>364</v>
      </c>
      <c r="Q301" s="50">
        <v>0</v>
      </c>
      <c r="R301" s="50">
        <v>0</v>
      </c>
      <c r="T301" s="50">
        <v>235144</v>
      </c>
      <c r="U301" s="50">
        <v>185</v>
      </c>
      <c r="V301" s="50" t="s">
        <v>850</v>
      </c>
      <c r="W301" s="50" t="s">
        <v>102</v>
      </c>
      <c r="X301" s="50" t="s">
        <v>103</v>
      </c>
      <c r="Y301" s="50" t="s">
        <v>155</v>
      </c>
      <c r="AA301" s="50" t="s">
        <v>11959</v>
      </c>
      <c r="AB301" s="50" t="s">
        <v>13553</v>
      </c>
      <c r="AC301" s="50" t="s">
        <v>5651</v>
      </c>
      <c r="AD301" s="50" t="s">
        <v>13553</v>
      </c>
      <c r="AE301" s="50" t="s">
        <v>12084</v>
      </c>
      <c r="AF301" s="50" t="s">
        <v>13553</v>
      </c>
      <c r="AG301" s="50" t="s">
        <v>11886</v>
      </c>
      <c r="AH301" s="50" t="s">
        <v>13553</v>
      </c>
      <c r="AI301" s="50" t="s">
        <v>13554</v>
      </c>
      <c r="AJ301" s="50" t="s">
        <v>12425</v>
      </c>
      <c r="AK301" s="50" t="s">
        <v>13555</v>
      </c>
      <c r="AL301" s="50" t="s">
        <v>13556</v>
      </c>
      <c r="AM301" s="50" t="s">
        <v>13557</v>
      </c>
      <c r="AN301" s="50" t="s">
        <v>13558</v>
      </c>
      <c r="AO301" s="50" t="s">
        <v>13559</v>
      </c>
      <c r="AP301" s="50" t="s">
        <v>13559</v>
      </c>
      <c r="AU301" s="50" t="s">
        <v>117</v>
      </c>
      <c r="AV301" s="50" t="s">
        <v>118</v>
      </c>
      <c r="AW301" s="50" t="s">
        <v>102</v>
      </c>
      <c r="AX301" s="50" t="s">
        <v>119</v>
      </c>
      <c r="BA301" s="50" t="s">
        <v>250</v>
      </c>
      <c r="BB301" s="50" t="s">
        <v>171</v>
      </c>
      <c r="BC301" s="50" t="s">
        <v>1759</v>
      </c>
      <c r="BD301" s="50" t="s">
        <v>410</v>
      </c>
      <c r="BE301" s="50" t="s">
        <v>212</v>
      </c>
      <c r="BF301" s="50" t="s">
        <v>410</v>
      </c>
      <c r="BG301" s="50" t="s">
        <v>124</v>
      </c>
      <c r="BH301" s="50" t="s">
        <v>11959</v>
      </c>
      <c r="BI301" s="50" t="s">
        <v>11960</v>
      </c>
      <c r="BJ301" s="50" t="s">
        <v>127</v>
      </c>
      <c r="BK301" s="50" t="s">
        <v>13560</v>
      </c>
      <c r="BL301" s="50" t="s">
        <v>2730</v>
      </c>
      <c r="BM301" s="50" t="s">
        <v>13561</v>
      </c>
      <c r="BN301" s="50" t="s">
        <v>7145</v>
      </c>
      <c r="BO301" s="50" t="s">
        <v>1880</v>
      </c>
      <c r="BP301" s="50" t="s">
        <v>132</v>
      </c>
      <c r="BQ301" s="50" t="s">
        <v>1882</v>
      </c>
      <c r="BR301" s="50" t="s">
        <v>1883</v>
      </c>
      <c r="BS301" s="50" t="s">
        <v>222</v>
      </c>
      <c r="BU301" s="50" t="s">
        <v>13562</v>
      </c>
      <c r="BV301" s="50" t="s">
        <v>13563</v>
      </c>
      <c r="BW301" s="50" t="s">
        <v>138</v>
      </c>
      <c r="BX301" s="50" t="s">
        <v>2734</v>
      </c>
      <c r="BY301" s="50" t="s">
        <v>13564</v>
      </c>
      <c r="BZ301" s="50" t="s">
        <v>2734</v>
      </c>
      <c r="CA301" s="50" t="s">
        <v>13563</v>
      </c>
      <c r="CB301" s="50" t="s">
        <v>2734</v>
      </c>
      <c r="CC301" s="50" t="s">
        <v>13564</v>
      </c>
      <c r="CD301" s="50" t="s">
        <v>13565</v>
      </c>
      <c r="CE301" s="50" t="s">
        <v>13566</v>
      </c>
      <c r="CF301" s="50" t="s">
        <v>13567</v>
      </c>
      <c r="CG301" s="50" t="s">
        <v>102</v>
      </c>
      <c r="CH301" s="50" t="s">
        <v>2711</v>
      </c>
      <c r="CJ301" s="50" t="s">
        <v>2740</v>
      </c>
      <c r="CK301" s="50" t="s">
        <v>13568</v>
      </c>
      <c r="CL301" s="50" t="s">
        <v>1759</v>
      </c>
      <c r="CM301" s="50" t="s">
        <v>410</v>
      </c>
      <c r="CN301" s="50" t="s">
        <v>2740</v>
      </c>
      <c r="CO301" s="50" t="s">
        <v>1775</v>
      </c>
      <c r="CP301" s="50" t="s">
        <v>2739</v>
      </c>
      <c r="CQ301" s="50" t="s">
        <v>1773</v>
      </c>
      <c r="CR301" s="50" t="s">
        <v>26040</v>
      </c>
    </row>
    <row r="302" spans="1:96">
      <c r="A302" s="50" t="s">
        <v>149</v>
      </c>
      <c r="B302" s="50">
        <v>2614572</v>
      </c>
      <c r="C302" s="50" t="s">
        <v>12507</v>
      </c>
      <c r="D302" s="50" t="s">
        <v>4206</v>
      </c>
      <c r="E302" s="50" t="e">
        <f>VLOOKUP(B302,aa!B:F,5,0)</f>
        <v>#N/A</v>
      </c>
      <c r="F302" s="50" t="e">
        <f>VLOOKUP(B302,aa!B:J,9,0)</f>
        <v>#N/A</v>
      </c>
      <c r="G302" s="50" t="e">
        <f>VLOOKUP(B302,aa!B:L,11,0)</f>
        <v>#N/A</v>
      </c>
      <c r="H302" s="50" t="e">
        <f>VLOOKUP(B302,aa!B:O,14,0)</f>
        <v>#N/A</v>
      </c>
      <c r="I302" s="50" t="e">
        <f>VLOOKUP(B302,aa!B:R,17,0)</f>
        <v>#N/A</v>
      </c>
      <c r="K302" s="50" t="s">
        <v>152</v>
      </c>
      <c r="L302" s="50">
        <v>181155</v>
      </c>
      <c r="M302" s="50">
        <v>181155</v>
      </c>
      <c r="N302" s="50">
        <v>0</v>
      </c>
      <c r="O302" s="50">
        <v>0</v>
      </c>
      <c r="Q302" s="50">
        <v>181155</v>
      </c>
      <c r="R302" s="50">
        <v>150</v>
      </c>
      <c r="S302" s="50" t="s">
        <v>4208</v>
      </c>
      <c r="T302" s="50">
        <v>0</v>
      </c>
      <c r="U302" s="50">
        <v>0</v>
      </c>
      <c r="W302" s="50" t="s">
        <v>102</v>
      </c>
      <c r="X302" s="50" t="s">
        <v>103</v>
      </c>
      <c r="Y302" s="50" t="s">
        <v>155</v>
      </c>
      <c r="AA302" s="50" t="s">
        <v>12040</v>
      </c>
      <c r="AB302" s="50" t="s">
        <v>4209</v>
      </c>
      <c r="AC302" s="50" t="s">
        <v>12800</v>
      </c>
      <c r="AD302" s="50" t="s">
        <v>4209</v>
      </c>
      <c r="AE302" s="50" t="s">
        <v>12099</v>
      </c>
      <c r="AF302" s="50" t="s">
        <v>4209</v>
      </c>
      <c r="AG302" s="50" t="s">
        <v>12713</v>
      </c>
      <c r="AH302" s="50" t="s">
        <v>4209</v>
      </c>
      <c r="AI302" s="50" t="s">
        <v>14622</v>
      </c>
      <c r="AJ302" s="50" t="s">
        <v>11883</v>
      </c>
      <c r="AK302" s="50" t="s">
        <v>14623</v>
      </c>
      <c r="AL302" s="50" t="s">
        <v>4212</v>
      </c>
      <c r="AM302" s="50" t="s">
        <v>14624</v>
      </c>
      <c r="AN302" s="50" t="s">
        <v>14625</v>
      </c>
      <c r="AO302" s="50" t="s">
        <v>4215</v>
      </c>
      <c r="AP302" s="50" t="s">
        <v>4215</v>
      </c>
      <c r="AU302" s="50" t="s">
        <v>102</v>
      </c>
      <c r="AW302" s="50" t="s">
        <v>1758</v>
      </c>
      <c r="AX302" s="50" t="s">
        <v>119</v>
      </c>
      <c r="AY302" s="50" t="s">
        <v>170</v>
      </c>
      <c r="AZ302" s="50" t="s">
        <v>118</v>
      </c>
      <c r="BB302" s="50" t="s">
        <v>120</v>
      </c>
      <c r="BC302" s="50" t="s">
        <v>4216</v>
      </c>
      <c r="BD302" s="50" t="s">
        <v>556</v>
      </c>
      <c r="BE302" s="50" t="s">
        <v>122</v>
      </c>
      <c r="BF302" s="50" t="s">
        <v>557</v>
      </c>
      <c r="BG302" s="50" t="s">
        <v>124</v>
      </c>
      <c r="BH302" s="50" t="s">
        <v>12023</v>
      </c>
      <c r="BI302" s="50" t="s">
        <v>11889</v>
      </c>
      <c r="BJ302" s="50" t="s">
        <v>127</v>
      </c>
      <c r="BK302" s="50" t="s">
        <v>14626</v>
      </c>
      <c r="BL302" s="50" t="s">
        <v>4218</v>
      </c>
      <c r="BM302" s="50" t="s">
        <v>14627</v>
      </c>
      <c r="BN302" s="50" t="s">
        <v>7145</v>
      </c>
      <c r="BO302" s="50" t="s">
        <v>12743</v>
      </c>
      <c r="BP302" s="50" t="s">
        <v>350</v>
      </c>
      <c r="BQ302" s="50" t="s">
        <v>12744</v>
      </c>
      <c r="BR302" s="50" t="s">
        <v>12745</v>
      </c>
      <c r="BS302" s="50" t="s">
        <v>1075</v>
      </c>
      <c r="BU302" s="50" t="s">
        <v>14628</v>
      </c>
      <c r="BV302" s="50" t="s">
        <v>4221</v>
      </c>
      <c r="BW302" s="50" t="s">
        <v>354</v>
      </c>
      <c r="BX302" s="50" t="s">
        <v>4222</v>
      </c>
      <c r="BY302" s="50" t="s">
        <v>14629</v>
      </c>
      <c r="BZ302" s="50" t="s">
        <v>4224</v>
      </c>
      <c r="CA302" s="50" t="s">
        <v>14630</v>
      </c>
      <c r="CB302" s="50" t="s">
        <v>4226</v>
      </c>
      <c r="CC302" s="50" t="s">
        <v>4223</v>
      </c>
      <c r="CD302" s="50" t="s">
        <v>14630</v>
      </c>
      <c r="CE302" s="50" t="s">
        <v>4226</v>
      </c>
      <c r="CF302" s="50" t="s">
        <v>4223</v>
      </c>
      <c r="CG302" s="50" t="s">
        <v>102</v>
      </c>
      <c r="CH302" s="50" t="s">
        <v>4206</v>
      </c>
      <c r="CJ302" s="50" t="s">
        <v>4230</v>
      </c>
      <c r="CL302" s="50" t="s">
        <v>4216</v>
      </c>
      <c r="CM302" s="50" t="s">
        <v>556</v>
      </c>
      <c r="CN302" s="50" t="s">
        <v>4230</v>
      </c>
      <c r="CO302" s="50" t="s">
        <v>4231</v>
      </c>
      <c r="CP302" s="50" t="s">
        <v>4229</v>
      </c>
      <c r="CQ302" s="50" t="s">
        <v>4229</v>
      </c>
    </row>
    <row r="303" spans="1:96">
      <c r="A303" s="50" t="s">
        <v>149</v>
      </c>
      <c r="B303" s="50">
        <v>2952557</v>
      </c>
      <c r="C303" s="50" t="s">
        <v>1279</v>
      </c>
      <c r="D303" s="50" t="s">
        <v>4533</v>
      </c>
      <c r="E303" s="50" t="e">
        <f>VLOOKUP(B303,aa!B:F,5,0)</f>
        <v>#N/A</v>
      </c>
      <c r="F303" s="50" t="e">
        <f>VLOOKUP(B303,aa!B:J,9,0)</f>
        <v>#N/A</v>
      </c>
      <c r="G303" s="50" t="e">
        <f>VLOOKUP(B303,aa!B:L,11,0)</f>
        <v>#N/A</v>
      </c>
      <c r="H303" s="50" t="e">
        <f>VLOOKUP(B303,aa!B:O,14,0)</f>
        <v>#N/A</v>
      </c>
      <c r="I303" s="50" t="e">
        <f>VLOOKUP(B303,aa!B:R,17,0)</f>
        <v>#N/A</v>
      </c>
      <c r="K303" s="50" t="s">
        <v>97</v>
      </c>
      <c r="L303" s="50">
        <v>246675</v>
      </c>
      <c r="M303" s="50">
        <v>246675</v>
      </c>
      <c r="N303" s="50">
        <v>246675</v>
      </c>
      <c r="O303" s="50">
        <v>299</v>
      </c>
      <c r="P303" s="50" t="s">
        <v>3811</v>
      </c>
      <c r="Q303" s="50">
        <v>0</v>
      </c>
      <c r="R303" s="50">
        <v>0</v>
      </c>
      <c r="T303" s="50">
        <v>0</v>
      </c>
      <c r="U303" s="50">
        <v>0</v>
      </c>
      <c r="W303" s="50" t="s">
        <v>102</v>
      </c>
      <c r="X303" s="50" t="s">
        <v>103</v>
      </c>
      <c r="Y303" s="50" t="s">
        <v>104</v>
      </c>
      <c r="AA303" s="50" t="s">
        <v>7145</v>
      </c>
      <c r="AB303" s="50" t="s">
        <v>14822</v>
      </c>
      <c r="AC303" s="50" t="s">
        <v>1427</v>
      </c>
      <c r="AD303" s="50" t="s">
        <v>14823</v>
      </c>
      <c r="AE303" s="50" t="s">
        <v>109</v>
      </c>
      <c r="AF303" s="50" t="s">
        <v>102</v>
      </c>
      <c r="AG303" s="50" t="s">
        <v>109</v>
      </c>
      <c r="AH303" s="50" t="s">
        <v>102</v>
      </c>
      <c r="AI303" s="50" t="s">
        <v>14824</v>
      </c>
      <c r="AJ303" s="50" t="s">
        <v>11976</v>
      </c>
      <c r="AK303" s="50" t="s">
        <v>14825</v>
      </c>
      <c r="AL303" s="50" t="s">
        <v>14826</v>
      </c>
      <c r="AM303" s="50" t="s">
        <v>14827</v>
      </c>
      <c r="AN303" s="50" t="s">
        <v>115</v>
      </c>
      <c r="AO303" s="50" t="s">
        <v>1826</v>
      </c>
      <c r="AP303" s="50" t="s">
        <v>1826</v>
      </c>
      <c r="AU303" s="50" t="s">
        <v>117</v>
      </c>
      <c r="AV303" s="50" t="s">
        <v>118</v>
      </c>
      <c r="AW303" s="50" t="s">
        <v>102</v>
      </c>
      <c r="AX303" s="50" t="s">
        <v>119</v>
      </c>
      <c r="BB303" s="50" t="s">
        <v>3678</v>
      </c>
      <c r="BC303" s="50" t="s">
        <v>623</v>
      </c>
      <c r="BD303" s="50" t="s">
        <v>621</v>
      </c>
      <c r="BE303" s="50" t="s">
        <v>622</v>
      </c>
      <c r="BF303" s="50" t="s">
        <v>623</v>
      </c>
      <c r="BG303" s="50" t="s">
        <v>124</v>
      </c>
      <c r="BH303" s="50" t="s">
        <v>11976</v>
      </c>
      <c r="BI303" s="50" t="s">
        <v>12720</v>
      </c>
      <c r="BJ303" s="50" t="s">
        <v>127</v>
      </c>
      <c r="BK303" s="50" t="s">
        <v>14828</v>
      </c>
      <c r="BL303" s="50" t="s">
        <v>4542</v>
      </c>
      <c r="BM303" s="50" t="s">
        <v>14829</v>
      </c>
      <c r="BN303" s="50" t="s">
        <v>7145</v>
      </c>
      <c r="BO303" s="50" t="s">
        <v>629</v>
      </c>
      <c r="BP303" s="50" t="s">
        <v>132</v>
      </c>
      <c r="BQ303" s="50" t="s">
        <v>630</v>
      </c>
      <c r="BR303" s="50" t="s">
        <v>631</v>
      </c>
      <c r="BS303" s="50" t="s">
        <v>1279</v>
      </c>
      <c r="BU303" s="50" t="s">
        <v>14830</v>
      </c>
      <c r="BV303" s="50" t="s">
        <v>4545</v>
      </c>
      <c r="BX303" s="50" t="s">
        <v>4546</v>
      </c>
      <c r="BY303" s="50" t="s">
        <v>4547</v>
      </c>
      <c r="BZ303" s="50" t="s">
        <v>4548</v>
      </c>
      <c r="CA303" s="50" t="s">
        <v>4545</v>
      </c>
      <c r="CB303" s="50" t="s">
        <v>4546</v>
      </c>
      <c r="CC303" s="50" t="s">
        <v>4547</v>
      </c>
      <c r="CD303" s="50" t="s">
        <v>14831</v>
      </c>
      <c r="CE303" s="50" t="s">
        <v>14832</v>
      </c>
      <c r="CF303" s="50" t="s">
        <v>14833</v>
      </c>
      <c r="CG303" s="50" t="s">
        <v>102</v>
      </c>
      <c r="CH303" s="50" t="s">
        <v>4549</v>
      </c>
      <c r="CJ303" s="50" t="s">
        <v>4550</v>
      </c>
      <c r="CL303" s="50" t="s">
        <v>623</v>
      </c>
      <c r="CM303" s="50" t="s">
        <v>621</v>
      </c>
      <c r="CN303" s="50" t="s">
        <v>4550</v>
      </c>
      <c r="CO303" s="50" t="s">
        <v>4551</v>
      </c>
      <c r="CP303" s="50" t="s">
        <v>4549</v>
      </c>
      <c r="CQ303" s="50" t="s">
        <v>4549</v>
      </c>
      <c r="CR303" s="50" t="s">
        <v>26054</v>
      </c>
    </row>
    <row r="304" spans="1:96">
      <c r="A304" s="50" t="s">
        <v>149</v>
      </c>
      <c r="B304" s="50">
        <v>3242514</v>
      </c>
      <c r="C304" s="50" t="s">
        <v>1111</v>
      </c>
      <c r="D304" s="50" t="s">
        <v>5040</v>
      </c>
      <c r="E304" s="50" t="e">
        <f>VLOOKUP(B304,aa!B:F,5,0)</f>
        <v>#N/A</v>
      </c>
      <c r="F304" s="50" t="e">
        <f>VLOOKUP(B304,aa!B:J,9,0)</f>
        <v>#N/A</v>
      </c>
      <c r="G304" s="50" t="e">
        <f>VLOOKUP(B304,aa!B:L,11,0)</f>
        <v>#N/A</v>
      </c>
      <c r="H304" s="50" t="e">
        <f>VLOOKUP(B304,aa!B:O,14,0)</f>
        <v>#N/A</v>
      </c>
      <c r="I304" s="50" t="e">
        <f>VLOOKUP(B304,aa!B:R,17,0)</f>
        <v>#N/A</v>
      </c>
      <c r="K304" s="50" t="s">
        <v>152</v>
      </c>
      <c r="L304" s="50">
        <v>303067</v>
      </c>
      <c r="M304" s="50">
        <v>303067</v>
      </c>
      <c r="N304" s="50">
        <v>0</v>
      </c>
      <c r="O304" s="50">
        <v>0</v>
      </c>
      <c r="Q304" s="50">
        <v>303067</v>
      </c>
      <c r="R304" s="50">
        <v>303</v>
      </c>
      <c r="S304" s="50" t="s">
        <v>5042</v>
      </c>
      <c r="T304" s="50">
        <v>0</v>
      </c>
      <c r="U304" s="50">
        <v>0</v>
      </c>
      <c r="W304" s="50" t="s">
        <v>102</v>
      </c>
      <c r="X304" s="50" t="s">
        <v>275</v>
      </c>
      <c r="Z304" s="50" t="s">
        <v>13202</v>
      </c>
      <c r="AA304" s="50" t="s">
        <v>109</v>
      </c>
      <c r="AB304" s="50" t="s">
        <v>102</v>
      </c>
      <c r="AC304" s="50" t="s">
        <v>109</v>
      </c>
      <c r="AD304" s="50" t="s">
        <v>102</v>
      </c>
      <c r="AE304" s="50" t="s">
        <v>109</v>
      </c>
      <c r="AF304" s="50" t="s">
        <v>102</v>
      </c>
      <c r="AG304" s="50" t="s">
        <v>109</v>
      </c>
      <c r="AH304" s="50" t="s">
        <v>102</v>
      </c>
      <c r="AI304" s="50" t="s">
        <v>102</v>
      </c>
      <c r="AJ304" s="50" t="s">
        <v>10167</v>
      </c>
      <c r="AK304" s="50" t="s">
        <v>10167</v>
      </c>
      <c r="AL304" s="50" t="s">
        <v>15244</v>
      </c>
      <c r="AM304" s="50" t="s">
        <v>15244</v>
      </c>
      <c r="AN304" s="50" t="s">
        <v>102</v>
      </c>
      <c r="AO304" s="50" t="s">
        <v>5046</v>
      </c>
      <c r="AP304" s="50" t="s">
        <v>5046</v>
      </c>
      <c r="AU304" s="50" t="s">
        <v>102</v>
      </c>
      <c r="AW304" s="50" t="s">
        <v>155</v>
      </c>
      <c r="AX304" s="50" t="s">
        <v>119</v>
      </c>
      <c r="AY304" s="50" t="s">
        <v>1138</v>
      </c>
      <c r="AZ304" s="50" t="s">
        <v>118</v>
      </c>
      <c r="BB304" s="50" t="s">
        <v>120</v>
      </c>
      <c r="BC304" s="50" t="s">
        <v>5047</v>
      </c>
      <c r="BD304" s="50" t="s">
        <v>4404</v>
      </c>
      <c r="BE304" s="50" t="s">
        <v>174</v>
      </c>
      <c r="BF304" s="50" t="s">
        <v>4405</v>
      </c>
      <c r="BG304" s="50" t="s">
        <v>124</v>
      </c>
      <c r="BH304" s="50" t="s">
        <v>7145</v>
      </c>
      <c r="BI304" s="50" t="s">
        <v>11889</v>
      </c>
      <c r="BJ304" s="50" t="s">
        <v>127</v>
      </c>
      <c r="BK304" s="50" t="s">
        <v>15245</v>
      </c>
      <c r="BL304" s="50" t="s">
        <v>5049</v>
      </c>
      <c r="BM304" s="50" t="s">
        <v>15246</v>
      </c>
      <c r="BN304" s="50" t="s">
        <v>7145</v>
      </c>
      <c r="BO304" s="50" t="s">
        <v>1108</v>
      </c>
      <c r="BP304" s="50" t="s">
        <v>180</v>
      </c>
      <c r="BQ304" s="50" t="s">
        <v>1109</v>
      </c>
      <c r="BR304" s="50" t="s">
        <v>1110</v>
      </c>
      <c r="BS304" s="50" t="s">
        <v>4413</v>
      </c>
      <c r="BU304" s="50" t="s">
        <v>15247</v>
      </c>
      <c r="BV304" s="50" t="s">
        <v>5052</v>
      </c>
      <c r="BW304" s="50" t="s">
        <v>138</v>
      </c>
      <c r="BX304" s="50" t="s">
        <v>5053</v>
      </c>
      <c r="BY304" s="50" t="s">
        <v>5054</v>
      </c>
      <c r="BZ304" s="50" t="s">
        <v>5053</v>
      </c>
      <c r="CA304" s="50" t="s">
        <v>5052</v>
      </c>
      <c r="CB304" s="50" t="s">
        <v>5053</v>
      </c>
      <c r="CC304" s="50" t="s">
        <v>5054</v>
      </c>
      <c r="CD304" s="50" t="s">
        <v>5052</v>
      </c>
      <c r="CE304" s="50" t="s">
        <v>5053</v>
      </c>
      <c r="CF304" s="50" t="s">
        <v>5054</v>
      </c>
      <c r="CG304" s="50" t="s">
        <v>102</v>
      </c>
      <c r="CH304" s="50" t="s">
        <v>15248</v>
      </c>
      <c r="CJ304" s="50" t="s">
        <v>5059</v>
      </c>
      <c r="CL304" s="50" t="s">
        <v>5047</v>
      </c>
      <c r="CM304" s="50" t="s">
        <v>4404</v>
      </c>
      <c r="CN304" s="50" t="s">
        <v>5059</v>
      </c>
      <c r="CP304" s="50" t="s">
        <v>5058</v>
      </c>
      <c r="CQ304" s="50" t="s">
        <v>5058</v>
      </c>
      <c r="CR304" s="50" t="s">
        <v>26046</v>
      </c>
    </row>
    <row r="305" spans="1:96">
      <c r="A305" s="50" t="s">
        <v>149</v>
      </c>
      <c r="B305" s="50">
        <v>3455532</v>
      </c>
      <c r="C305" s="50" t="s">
        <v>1279</v>
      </c>
      <c r="D305" s="50" t="s">
        <v>6109</v>
      </c>
      <c r="E305" s="50" t="e">
        <f>VLOOKUP(B305,aa!B:F,5,0)</f>
        <v>#N/A</v>
      </c>
      <c r="F305" s="50" t="e">
        <f>VLOOKUP(B305,aa!B:J,9,0)</f>
        <v>#N/A</v>
      </c>
      <c r="G305" s="50" t="e">
        <f>VLOOKUP(B305,aa!B:L,11,0)</f>
        <v>#N/A</v>
      </c>
      <c r="H305" s="50" t="e">
        <f>VLOOKUP(B305,aa!B:O,14,0)</f>
        <v>#N/A</v>
      </c>
      <c r="I305" s="50" t="e">
        <f>VLOOKUP(B305,aa!B:R,17,0)</f>
        <v>#N/A</v>
      </c>
      <c r="K305" s="50" t="s">
        <v>97</v>
      </c>
      <c r="L305" s="50">
        <v>450846</v>
      </c>
      <c r="M305" s="50">
        <v>450846</v>
      </c>
      <c r="N305" s="50">
        <v>450846</v>
      </c>
      <c r="O305" s="50">
        <v>828</v>
      </c>
      <c r="P305" s="50" t="s">
        <v>16052</v>
      </c>
      <c r="Q305" s="50">
        <v>0</v>
      </c>
      <c r="R305" s="50">
        <v>0</v>
      </c>
      <c r="T305" s="50">
        <v>0</v>
      </c>
      <c r="U305" s="50">
        <v>0</v>
      </c>
      <c r="W305" s="50" t="s">
        <v>102</v>
      </c>
      <c r="X305" s="50" t="s">
        <v>275</v>
      </c>
      <c r="Z305" s="50" t="s">
        <v>7145</v>
      </c>
      <c r="AA305" s="50" t="s">
        <v>109</v>
      </c>
      <c r="AB305" s="50" t="s">
        <v>102</v>
      </c>
      <c r="AC305" s="50" t="s">
        <v>109</v>
      </c>
      <c r="AD305" s="50" t="s">
        <v>102</v>
      </c>
      <c r="AE305" s="50" t="s">
        <v>109</v>
      </c>
      <c r="AF305" s="50" t="s">
        <v>102</v>
      </c>
      <c r="AG305" s="50" t="s">
        <v>109</v>
      </c>
      <c r="AH305" s="50" t="s">
        <v>102</v>
      </c>
      <c r="AI305" s="50" t="s">
        <v>16053</v>
      </c>
      <c r="AJ305" s="50" t="s">
        <v>16054</v>
      </c>
      <c r="AK305" s="50" t="s">
        <v>16054</v>
      </c>
      <c r="AL305" s="50" t="s">
        <v>16055</v>
      </c>
      <c r="AM305" s="50" t="s">
        <v>16056</v>
      </c>
      <c r="AN305" s="50" t="s">
        <v>16057</v>
      </c>
      <c r="AO305" s="50" t="s">
        <v>16058</v>
      </c>
      <c r="AP305" s="50" t="s">
        <v>16058</v>
      </c>
      <c r="AU305" s="50" t="s">
        <v>318</v>
      </c>
      <c r="AV305" s="50" t="s">
        <v>118</v>
      </c>
      <c r="AW305" s="50" t="s">
        <v>102</v>
      </c>
      <c r="AX305" s="50" t="s">
        <v>119</v>
      </c>
      <c r="BB305" s="50" t="s">
        <v>120</v>
      </c>
      <c r="BC305" s="50" t="s">
        <v>4864</v>
      </c>
      <c r="BD305" s="50" t="s">
        <v>621</v>
      </c>
      <c r="BE305" s="50" t="s">
        <v>622</v>
      </c>
      <c r="BF305" s="50" t="s">
        <v>623</v>
      </c>
      <c r="BG305" s="50" t="s">
        <v>124</v>
      </c>
      <c r="BH305" s="50" t="s">
        <v>12023</v>
      </c>
      <c r="BI305" s="50" t="s">
        <v>11889</v>
      </c>
      <c r="BJ305" s="50" t="s">
        <v>127</v>
      </c>
      <c r="BK305" s="50" t="s">
        <v>16059</v>
      </c>
      <c r="BL305" s="50" t="s">
        <v>6118</v>
      </c>
      <c r="BM305" s="50" t="s">
        <v>16060</v>
      </c>
      <c r="BN305" s="50" t="s">
        <v>7145</v>
      </c>
      <c r="BO305" s="50" t="s">
        <v>629</v>
      </c>
      <c r="BP305" s="50" t="s">
        <v>180</v>
      </c>
      <c r="BQ305" s="50" t="s">
        <v>630</v>
      </c>
      <c r="BR305" s="50" t="s">
        <v>631</v>
      </c>
      <c r="BS305" s="50" t="s">
        <v>1279</v>
      </c>
      <c r="BU305" s="50" t="s">
        <v>16061</v>
      </c>
      <c r="BV305" s="50" t="s">
        <v>6121</v>
      </c>
      <c r="BW305" s="50" t="s">
        <v>138</v>
      </c>
      <c r="BX305" s="50" t="s">
        <v>6122</v>
      </c>
      <c r="BY305" s="50" t="s">
        <v>6123</v>
      </c>
      <c r="BZ305" s="50" t="s">
        <v>6124</v>
      </c>
      <c r="CA305" s="50" t="s">
        <v>6121</v>
      </c>
      <c r="CB305" s="50" t="s">
        <v>6122</v>
      </c>
      <c r="CC305" s="50" t="s">
        <v>6123</v>
      </c>
      <c r="CD305" s="50" t="s">
        <v>16062</v>
      </c>
      <c r="CE305" s="50" t="s">
        <v>6126</v>
      </c>
      <c r="CF305" s="50" t="s">
        <v>16063</v>
      </c>
      <c r="CG305" s="50" t="s">
        <v>102</v>
      </c>
      <c r="CH305" s="50" t="s">
        <v>6127</v>
      </c>
      <c r="CJ305" s="50" t="s">
        <v>6128</v>
      </c>
      <c r="CL305" s="50" t="s">
        <v>4864</v>
      </c>
      <c r="CM305" s="50" t="s">
        <v>621</v>
      </c>
      <c r="CN305" s="50" t="s">
        <v>6128</v>
      </c>
      <c r="CP305" s="50" t="s">
        <v>6127</v>
      </c>
      <c r="CQ305" s="50" t="s">
        <v>6127</v>
      </c>
      <c r="CR305" s="50" t="s">
        <v>26047</v>
      </c>
    </row>
    <row r="306" spans="1:96">
      <c r="A306" s="50" t="s">
        <v>149</v>
      </c>
      <c r="B306" s="50">
        <v>3998876</v>
      </c>
      <c r="C306" s="50" t="s">
        <v>418</v>
      </c>
      <c r="D306" s="50" t="s">
        <v>8392</v>
      </c>
      <c r="E306" s="50" t="e">
        <f>VLOOKUP(B306,aa!B:F,5,0)</f>
        <v>#N/A</v>
      </c>
      <c r="F306" s="50" t="e">
        <f>VLOOKUP(B306,aa!B:J,9,0)</f>
        <v>#N/A</v>
      </c>
      <c r="G306" s="50" t="e">
        <f>VLOOKUP(B306,aa!B:L,11,0)</f>
        <v>#N/A</v>
      </c>
      <c r="H306" s="50" t="e">
        <f>VLOOKUP(B306,aa!B:O,14,0)</f>
        <v>#N/A</v>
      </c>
      <c r="I306" s="50" t="e">
        <f>VLOOKUP(B306,aa!B:R,17,0)</f>
        <v>#N/A</v>
      </c>
      <c r="K306" s="50" t="s">
        <v>17790</v>
      </c>
      <c r="L306" s="50">
        <v>2006118</v>
      </c>
      <c r="M306" s="50">
        <v>2112753</v>
      </c>
      <c r="N306" s="50">
        <v>0</v>
      </c>
      <c r="O306" s="50">
        <v>0</v>
      </c>
      <c r="Q306" s="50">
        <v>1413699</v>
      </c>
      <c r="R306" s="50">
        <v>1749</v>
      </c>
      <c r="S306" s="50" t="s">
        <v>17791</v>
      </c>
      <c r="T306" s="50">
        <v>592419</v>
      </c>
      <c r="U306" s="50">
        <v>440</v>
      </c>
      <c r="V306" s="50" t="s">
        <v>17792</v>
      </c>
      <c r="W306" s="50" t="s">
        <v>102</v>
      </c>
      <c r="X306" s="50" t="s">
        <v>103</v>
      </c>
      <c r="Y306" s="50" t="s">
        <v>104</v>
      </c>
      <c r="AA306" s="50" t="s">
        <v>1604</v>
      </c>
      <c r="AB306" s="50" t="s">
        <v>17793</v>
      </c>
      <c r="AC306" s="50" t="s">
        <v>16372</v>
      </c>
      <c r="AD306" s="50" t="s">
        <v>17793</v>
      </c>
      <c r="AE306" s="50" t="s">
        <v>109</v>
      </c>
      <c r="AF306" s="50" t="s">
        <v>102</v>
      </c>
      <c r="AG306" s="50" t="s">
        <v>109</v>
      </c>
      <c r="AH306" s="50" t="s">
        <v>102</v>
      </c>
      <c r="AI306" s="50" t="s">
        <v>17794</v>
      </c>
      <c r="AJ306" s="50" t="s">
        <v>11976</v>
      </c>
      <c r="AK306" s="50" t="s">
        <v>17795</v>
      </c>
      <c r="AL306" s="50" t="s">
        <v>17796</v>
      </c>
      <c r="AM306" s="50" t="s">
        <v>17797</v>
      </c>
      <c r="AN306" s="50" t="s">
        <v>17798</v>
      </c>
      <c r="AO306" s="50" t="s">
        <v>17799</v>
      </c>
      <c r="AP306" s="50" t="s">
        <v>17799</v>
      </c>
      <c r="AU306" s="50" t="s">
        <v>102</v>
      </c>
      <c r="AW306" s="50" t="s">
        <v>104</v>
      </c>
      <c r="AX306" s="50" t="s">
        <v>119</v>
      </c>
      <c r="AY306" s="50" t="s">
        <v>170</v>
      </c>
      <c r="AZ306" s="50" t="s">
        <v>118</v>
      </c>
      <c r="BA306" s="50" t="s">
        <v>250</v>
      </c>
      <c r="BB306" s="50" t="s">
        <v>171</v>
      </c>
      <c r="BC306" s="50" t="s">
        <v>409</v>
      </c>
      <c r="BD306" s="50" t="s">
        <v>410</v>
      </c>
      <c r="BE306" s="50" t="s">
        <v>212</v>
      </c>
      <c r="BF306" s="50" t="s">
        <v>410</v>
      </c>
      <c r="BG306" s="50" t="s">
        <v>124</v>
      </c>
      <c r="BH306" s="50" t="s">
        <v>11927</v>
      </c>
      <c r="BI306" s="50" t="s">
        <v>12047</v>
      </c>
      <c r="BJ306" s="50" t="s">
        <v>127</v>
      </c>
      <c r="BK306" s="50" t="s">
        <v>17800</v>
      </c>
      <c r="BL306" s="50" t="s">
        <v>8405</v>
      </c>
      <c r="BM306" s="50" t="s">
        <v>17801</v>
      </c>
      <c r="BN306" s="50" t="s">
        <v>7145</v>
      </c>
      <c r="BO306" s="50" t="s">
        <v>415</v>
      </c>
      <c r="BP306" s="50" t="s">
        <v>180</v>
      </c>
      <c r="BQ306" s="50" t="s">
        <v>416</v>
      </c>
      <c r="BR306" s="50" t="s">
        <v>417</v>
      </c>
      <c r="BS306" s="50" t="s">
        <v>222</v>
      </c>
      <c r="BU306" s="50" t="s">
        <v>17802</v>
      </c>
      <c r="BV306" s="50" t="s">
        <v>8408</v>
      </c>
      <c r="BW306" s="50" t="s">
        <v>138</v>
      </c>
      <c r="BX306" s="50" t="s">
        <v>8409</v>
      </c>
      <c r="BY306" s="50" t="s">
        <v>8410</v>
      </c>
      <c r="BZ306" s="50" t="s">
        <v>8411</v>
      </c>
      <c r="CA306" s="50" t="s">
        <v>8408</v>
      </c>
      <c r="CB306" s="50" t="s">
        <v>17803</v>
      </c>
      <c r="CC306" s="50" t="s">
        <v>17804</v>
      </c>
      <c r="CD306" s="50" t="s">
        <v>8408</v>
      </c>
      <c r="CE306" s="50" t="s">
        <v>17803</v>
      </c>
      <c r="CF306" s="50" t="s">
        <v>17804</v>
      </c>
      <c r="CG306" s="50" t="s">
        <v>3841</v>
      </c>
      <c r="CH306" s="50" t="s">
        <v>8412</v>
      </c>
      <c r="CJ306" s="50" t="s">
        <v>4204</v>
      </c>
      <c r="CK306" s="50" t="s">
        <v>8412</v>
      </c>
      <c r="CL306" s="50" t="s">
        <v>409</v>
      </c>
      <c r="CM306" s="50" t="s">
        <v>410</v>
      </c>
      <c r="CN306" s="50" t="s">
        <v>4204</v>
      </c>
      <c r="CO306" s="50" t="s">
        <v>8413</v>
      </c>
      <c r="CP306" s="50" t="s">
        <v>8412</v>
      </c>
      <c r="CQ306" s="50" t="s">
        <v>8412</v>
      </c>
      <c r="CR306" s="50" t="s">
        <v>26040</v>
      </c>
    </row>
    <row r="307" spans="1:96">
      <c r="A307" s="50" t="s">
        <v>149</v>
      </c>
      <c r="B307" s="50">
        <v>440751</v>
      </c>
      <c r="C307" s="50" t="s">
        <v>1111</v>
      </c>
      <c r="D307" s="50" t="s">
        <v>8967</v>
      </c>
      <c r="E307" s="50" t="str">
        <f>VLOOKUP(B307,aa!B:F,5,0)</f>
        <v>Ei CARES, Ei Mindspark</v>
      </c>
      <c r="F307" s="50">
        <f>VLOOKUP(B307,aa!B:J,9,0)</f>
        <v>1450859</v>
      </c>
      <c r="G307" s="50">
        <f>VLOOKUP(B307,aa!B:L,11,0)</f>
        <v>0</v>
      </c>
      <c r="H307" s="50">
        <f>VLOOKUP(B307,aa!B:O,14,0)</f>
        <v>782444</v>
      </c>
      <c r="I307" s="50">
        <f>VLOOKUP(B307,aa!B:R,17,0)</f>
        <v>668415</v>
      </c>
      <c r="K307" s="50" t="s">
        <v>643</v>
      </c>
      <c r="L307" s="50">
        <v>1125872</v>
      </c>
      <c r="M307" s="50">
        <v>1216042</v>
      </c>
      <c r="N307" s="50">
        <v>0</v>
      </c>
      <c r="O307" s="50">
        <v>0</v>
      </c>
      <c r="Q307" s="50">
        <v>624930</v>
      </c>
      <c r="R307" s="50">
        <v>253</v>
      </c>
      <c r="S307" s="50" t="s">
        <v>18335</v>
      </c>
      <c r="T307" s="50">
        <v>500942</v>
      </c>
      <c r="U307" s="50">
        <v>319</v>
      </c>
      <c r="V307" s="50" t="s">
        <v>18336</v>
      </c>
      <c r="W307" s="50" t="s">
        <v>102</v>
      </c>
      <c r="X307" s="50" t="s">
        <v>103</v>
      </c>
      <c r="Y307" s="50" t="s">
        <v>155</v>
      </c>
      <c r="AA307" s="50" t="s">
        <v>18337</v>
      </c>
      <c r="AB307" s="50" t="s">
        <v>18338</v>
      </c>
      <c r="AC307" s="50" t="s">
        <v>13033</v>
      </c>
      <c r="AD307" s="50" t="s">
        <v>18338</v>
      </c>
      <c r="AE307" s="50" t="s">
        <v>13863</v>
      </c>
      <c r="AF307" s="50" t="s">
        <v>18338</v>
      </c>
      <c r="AG307" s="50" t="s">
        <v>11886</v>
      </c>
      <c r="AH307" s="50" t="s">
        <v>18338</v>
      </c>
      <c r="AI307" s="50" t="s">
        <v>18339</v>
      </c>
      <c r="AJ307" s="50" t="s">
        <v>13769</v>
      </c>
      <c r="AK307" s="50" t="s">
        <v>12330</v>
      </c>
      <c r="AL307" s="50" t="s">
        <v>18340</v>
      </c>
      <c r="AM307" s="50" t="s">
        <v>18341</v>
      </c>
      <c r="AN307" s="50" t="s">
        <v>18342</v>
      </c>
      <c r="AO307" s="50" t="s">
        <v>18343</v>
      </c>
      <c r="AP307" s="50" t="s">
        <v>18343</v>
      </c>
      <c r="AU307" s="50" t="s">
        <v>102</v>
      </c>
      <c r="AW307" s="50" t="s">
        <v>3536</v>
      </c>
      <c r="AX307" s="50" t="s">
        <v>249</v>
      </c>
      <c r="AY307" s="50" t="s">
        <v>170</v>
      </c>
      <c r="AZ307" s="50" t="s">
        <v>250</v>
      </c>
      <c r="BA307" s="50" t="s">
        <v>250</v>
      </c>
      <c r="BB307" s="50" t="s">
        <v>120</v>
      </c>
      <c r="BC307" s="50" t="s">
        <v>8978</v>
      </c>
      <c r="BD307" s="50" t="s">
        <v>5879</v>
      </c>
      <c r="BE307" s="50" t="s">
        <v>174</v>
      </c>
      <c r="BF307" s="50" t="s">
        <v>4405</v>
      </c>
      <c r="BG307" s="50" t="s">
        <v>124</v>
      </c>
      <c r="BH307" s="50" t="s">
        <v>7145</v>
      </c>
      <c r="BI307" s="50" t="s">
        <v>11889</v>
      </c>
      <c r="BJ307" s="50" t="s">
        <v>127</v>
      </c>
      <c r="BK307" s="50" t="s">
        <v>18344</v>
      </c>
      <c r="BL307" s="50" t="s">
        <v>8980</v>
      </c>
      <c r="BM307" s="50" t="s">
        <v>18345</v>
      </c>
      <c r="BN307" s="50" t="s">
        <v>7145</v>
      </c>
      <c r="BO307" s="50" t="s">
        <v>1108</v>
      </c>
      <c r="BP307" s="50" t="s">
        <v>180</v>
      </c>
      <c r="BQ307" s="50" t="s">
        <v>1109</v>
      </c>
      <c r="BR307" s="50" t="s">
        <v>1110</v>
      </c>
      <c r="BS307" s="50" t="s">
        <v>1111</v>
      </c>
      <c r="BU307" s="50" t="s">
        <v>18346</v>
      </c>
      <c r="BV307" s="50" t="s">
        <v>8983</v>
      </c>
      <c r="BW307" s="50" t="s">
        <v>138</v>
      </c>
      <c r="BX307" s="50" t="s">
        <v>8984</v>
      </c>
      <c r="BY307" s="50" t="s">
        <v>8985</v>
      </c>
      <c r="BZ307" s="50" t="s">
        <v>8984</v>
      </c>
      <c r="CA307" s="50" t="s">
        <v>8983</v>
      </c>
      <c r="CB307" s="50" t="s">
        <v>8984</v>
      </c>
      <c r="CC307" s="50" t="s">
        <v>8985</v>
      </c>
      <c r="CD307" s="50" t="s">
        <v>18347</v>
      </c>
      <c r="CE307" s="50" t="s">
        <v>8984</v>
      </c>
      <c r="CF307" s="50" t="s">
        <v>18348</v>
      </c>
      <c r="CG307" s="50" t="s">
        <v>102</v>
      </c>
      <c r="CH307" s="50" t="s">
        <v>18349</v>
      </c>
      <c r="CJ307" s="50" t="s">
        <v>8989</v>
      </c>
      <c r="CL307" s="50" t="s">
        <v>8978</v>
      </c>
      <c r="CM307" s="50" t="s">
        <v>5879</v>
      </c>
      <c r="CN307" s="50" t="s">
        <v>8989</v>
      </c>
      <c r="CO307" s="50" t="s">
        <v>8990</v>
      </c>
      <c r="CP307" s="50" t="s">
        <v>8991</v>
      </c>
      <c r="CQ307" s="50" t="s">
        <v>8988</v>
      </c>
    </row>
    <row r="308" spans="1:96">
      <c r="A308" s="50" t="s">
        <v>149</v>
      </c>
      <c r="B308" s="50">
        <v>395483</v>
      </c>
      <c r="C308" s="50" t="s">
        <v>11882</v>
      </c>
      <c r="D308" s="50" t="s">
        <v>8001</v>
      </c>
      <c r="E308" s="50" t="str">
        <f>VLOOKUP(B308,aa!B:F,5,0)</f>
        <v>Ei ASSET, Ei CARES, Ei Mindspark</v>
      </c>
      <c r="F308" s="50">
        <f>VLOOKUP(B308,aa!B:J,9,0)</f>
        <v>3006489</v>
      </c>
      <c r="G308" s="50">
        <f>VLOOKUP(B308,aa!B:L,11,0)</f>
        <v>494349</v>
      </c>
      <c r="H308" s="50">
        <f>VLOOKUP(B308,aa!B:O,14,0)</f>
        <v>1882912</v>
      </c>
      <c r="I308" s="50">
        <f>VLOOKUP(B308,aa!B:R,17,0)</f>
        <v>629228</v>
      </c>
      <c r="K308" s="50" t="s">
        <v>2163</v>
      </c>
      <c r="L308" s="50">
        <v>2613567</v>
      </c>
      <c r="M308" s="50">
        <v>2736553</v>
      </c>
      <c r="N308" s="50">
        <v>504778</v>
      </c>
      <c r="O308" s="50">
        <v>1127</v>
      </c>
      <c r="P308" s="50" t="s">
        <v>4186</v>
      </c>
      <c r="Q308" s="50">
        <v>1425536</v>
      </c>
      <c r="R308" s="50">
        <v>920</v>
      </c>
      <c r="S308" s="50" t="s">
        <v>15716</v>
      </c>
      <c r="T308" s="50">
        <v>683253</v>
      </c>
      <c r="U308" s="50">
        <v>1692</v>
      </c>
      <c r="V308" s="50" t="s">
        <v>5670</v>
      </c>
      <c r="W308" s="50" t="s">
        <v>102</v>
      </c>
      <c r="X308" s="50" t="s">
        <v>103</v>
      </c>
      <c r="Y308" s="50" t="s">
        <v>155</v>
      </c>
      <c r="AA308" s="50" t="s">
        <v>13680</v>
      </c>
      <c r="AB308" s="50" t="s">
        <v>17379</v>
      </c>
      <c r="AC308" s="50" t="s">
        <v>11976</v>
      </c>
      <c r="AD308" s="50" t="s">
        <v>17379</v>
      </c>
      <c r="AE308" s="50" t="s">
        <v>11888</v>
      </c>
      <c r="AF308" s="50" t="s">
        <v>17379</v>
      </c>
      <c r="AG308" s="50" t="s">
        <v>12084</v>
      </c>
      <c r="AH308" s="50" t="s">
        <v>17379</v>
      </c>
      <c r="AI308" s="50" t="s">
        <v>17380</v>
      </c>
      <c r="AJ308" s="50" t="s">
        <v>12923</v>
      </c>
      <c r="AK308" s="50" t="s">
        <v>17381</v>
      </c>
      <c r="AL308" s="50" t="s">
        <v>17382</v>
      </c>
      <c r="AM308" s="50" t="s">
        <v>17383</v>
      </c>
      <c r="AN308" s="50" t="s">
        <v>17384</v>
      </c>
      <c r="AO308" s="50" t="s">
        <v>17385</v>
      </c>
      <c r="AP308" s="50" t="s">
        <v>17386</v>
      </c>
      <c r="AR308" s="50" t="s">
        <v>169</v>
      </c>
      <c r="AT308" s="50" t="s">
        <v>169</v>
      </c>
      <c r="AU308" s="50" t="s">
        <v>247</v>
      </c>
      <c r="AV308" s="50" t="s">
        <v>118</v>
      </c>
      <c r="AW308" s="50" t="s">
        <v>5675</v>
      </c>
      <c r="AX308" s="50" t="s">
        <v>119</v>
      </c>
      <c r="AY308" s="50" t="s">
        <v>1138</v>
      </c>
      <c r="AZ308" s="50" t="s">
        <v>118</v>
      </c>
      <c r="BA308" s="50" t="s">
        <v>250</v>
      </c>
      <c r="BB308" s="50" t="s">
        <v>120</v>
      </c>
      <c r="BC308" s="50" t="s">
        <v>448</v>
      </c>
      <c r="BD308" s="50" t="s">
        <v>449</v>
      </c>
      <c r="BE308" s="50" t="s">
        <v>122</v>
      </c>
      <c r="BF308" s="50" t="s">
        <v>450</v>
      </c>
      <c r="BG308" s="50" t="s">
        <v>124</v>
      </c>
      <c r="BH308" s="50" t="s">
        <v>17387</v>
      </c>
      <c r="BI308" s="50" t="s">
        <v>11889</v>
      </c>
      <c r="BJ308" s="50" t="s">
        <v>127</v>
      </c>
      <c r="BK308" s="50" t="s">
        <v>17388</v>
      </c>
      <c r="BL308" s="50" t="s">
        <v>8012</v>
      </c>
      <c r="BM308" s="50" t="s">
        <v>17389</v>
      </c>
      <c r="BN308" s="50" t="s">
        <v>17378</v>
      </c>
      <c r="BO308" s="50" t="s">
        <v>3267</v>
      </c>
      <c r="BP308" s="50" t="s">
        <v>350</v>
      </c>
      <c r="BQ308" s="50" t="s">
        <v>3268</v>
      </c>
      <c r="BR308" s="50" t="s">
        <v>3269</v>
      </c>
      <c r="BS308" s="50" t="s">
        <v>135</v>
      </c>
      <c r="BU308" s="50" t="s">
        <v>17390</v>
      </c>
      <c r="BV308" s="50" t="s">
        <v>17391</v>
      </c>
      <c r="BW308" s="50" t="s">
        <v>138</v>
      </c>
      <c r="BX308" s="50" t="s">
        <v>17392</v>
      </c>
      <c r="BY308" s="50" t="s">
        <v>17393</v>
      </c>
      <c r="BZ308" s="50" t="s">
        <v>8015</v>
      </c>
      <c r="CA308" s="50" t="s">
        <v>17394</v>
      </c>
      <c r="CB308" s="50" t="s">
        <v>17395</v>
      </c>
      <c r="CC308" s="50" t="s">
        <v>17393</v>
      </c>
      <c r="CD308" s="50" t="s">
        <v>17394</v>
      </c>
      <c r="CE308" s="50" t="s">
        <v>17395</v>
      </c>
      <c r="CF308" s="50" t="s">
        <v>17393</v>
      </c>
      <c r="CG308" s="50" t="s">
        <v>102</v>
      </c>
      <c r="CH308" s="50" t="s">
        <v>17396</v>
      </c>
      <c r="CJ308" s="50" t="s">
        <v>8000</v>
      </c>
      <c r="CL308" s="50" t="s">
        <v>448</v>
      </c>
      <c r="CM308" s="50" t="s">
        <v>449</v>
      </c>
      <c r="CN308" s="50" t="s">
        <v>8000</v>
      </c>
      <c r="CO308" s="50" t="s">
        <v>5687</v>
      </c>
      <c r="CP308" s="50" t="s">
        <v>8021</v>
      </c>
      <c r="CQ308" s="50" t="s">
        <v>8020</v>
      </c>
    </row>
    <row r="309" spans="1:96">
      <c r="A309" s="50" t="s">
        <v>149</v>
      </c>
      <c r="B309" s="50">
        <v>4156856</v>
      </c>
      <c r="C309" s="50" t="s">
        <v>11882</v>
      </c>
      <c r="D309" s="50" t="s">
        <v>8764</v>
      </c>
      <c r="E309" s="50" t="str">
        <f>VLOOKUP(B309,aa!B:F,5,0)</f>
        <v>Ei ASSET, Ei CARES, Ei Mindspark</v>
      </c>
      <c r="F309" s="50">
        <f>VLOOKUP(B309,aa!B:J,9,0)</f>
        <v>284834</v>
      </c>
      <c r="G309" s="50">
        <f>VLOOKUP(B309,aa!B:L,11,0)</f>
        <v>50482</v>
      </c>
      <c r="H309" s="50">
        <f>VLOOKUP(B309,aa!B:O,14,0)</f>
        <v>156493</v>
      </c>
      <c r="I309" s="50">
        <f>VLOOKUP(B309,aa!B:R,17,0)</f>
        <v>77859</v>
      </c>
      <c r="K309" s="50" t="s">
        <v>2163</v>
      </c>
      <c r="L309" s="50">
        <v>230831</v>
      </c>
      <c r="M309" s="50">
        <v>242837</v>
      </c>
      <c r="N309" s="50">
        <v>35528</v>
      </c>
      <c r="O309" s="50">
        <v>91</v>
      </c>
      <c r="P309" s="50" t="s">
        <v>18188</v>
      </c>
      <c r="Q309" s="50">
        <v>128603</v>
      </c>
      <c r="R309" s="50">
        <v>83</v>
      </c>
      <c r="S309" s="50" t="s">
        <v>18189</v>
      </c>
      <c r="T309" s="50">
        <v>66700</v>
      </c>
      <c r="U309" s="50">
        <v>101</v>
      </c>
      <c r="V309" s="50" t="s">
        <v>18190</v>
      </c>
      <c r="W309" s="50" t="s">
        <v>102</v>
      </c>
      <c r="X309" s="50" t="s">
        <v>103</v>
      </c>
      <c r="Y309" s="50" t="s">
        <v>155</v>
      </c>
      <c r="AA309" s="50" t="s">
        <v>18191</v>
      </c>
      <c r="AB309" s="50" t="s">
        <v>18192</v>
      </c>
      <c r="AC309" s="50" t="s">
        <v>18193</v>
      </c>
      <c r="AD309" s="50" t="s">
        <v>18192</v>
      </c>
      <c r="AE309" s="50" t="s">
        <v>11888</v>
      </c>
      <c r="AF309" s="50" t="s">
        <v>18192</v>
      </c>
      <c r="AG309" s="50" t="s">
        <v>12084</v>
      </c>
      <c r="AH309" s="50" t="s">
        <v>18192</v>
      </c>
      <c r="AI309" s="50" t="s">
        <v>8004</v>
      </c>
      <c r="AJ309" s="50" t="s">
        <v>12923</v>
      </c>
      <c r="AK309" s="50" t="s">
        <v>12923</v>
      </c>
      <c r="AL309" s="50" t="s">
        <v>18194</v>
      </c>
      <c r="AM309" s="50" t="s">
        <v>18195</v>
      </c>
      <c r="AN309" s="50" t="s">
        <v>18196</v>
      </c>
      <c r="AO309" s="50" t="s">
        <v>18197</v>
      </c>
      <c r="AP309" s="50" t="s">
        <v>18198</v>
      </c>
      <c r="AT309" s="50" t="s">
        <v>169</v>
      </c>
      <c r="AU309" s="50" t="s">
        <v>247</v>
      </c>
      <c r="AV309" s="50" t="s">
        <v>118</v>
      </c>
      <c r="AW309" s="50" t="s">
        <v>3536</v>
      </c>
      <c r="AX309" s="50" t="s">
        <v>119</v>
      </c>
      <c r="AY309" s="50" t="s">
        <v>3384</v>
      </c>
      <c r="AZ309" s="50" t="s">
        <v>118</v>
      </c>
      <c r="BA309" s="50" t="s">
        <v>250</v>
      </c>
      <c r="BB309" s="50" t="s">
        <v>1664</v>
      </c>
      <c r="BC309" s="50" t="s">
        <v>448</v>
      </c>
      <c r="BD309" s="50" t="s">
        <v>449</v>
      </c>
      <c r="BE309" s="50" t="s">
        <v>122</v>
      </c>
      <c r="BF309" s="50" t="s">
        <v>450</v>
      </c>
      <c r="BG309" s="50" t="s">
        <v>124</v>
      </c>
      <c r="BH309" s="50" t="s">
        <v>18199</v>
      </c>
      <c r="BI309" s="50" t="s">
        <v>11889</v>
      </c>
      <c r="BJ309" s="50" t="s">
        <v>127</v>
      </c>
      <c r="BK309" s="50" t="s">
        <v>18200</v>
      </c>
      <c r="BL309" s="50" t="s">
        <v>8774</v>
      </c>
      <c r="BM309" s="50" t="s">
        <v>18201</v>
      </c>
      <c r="BN309" s="50" t="s">
        <v>18187</v>
      </c>
      <c r="BO309" s="50" t="s">
        <v>3267</v>
      </c>
      <c r="BP309" s="50" t="s">
        <v>350</v>
      </c>
      <c r="BQ309" s="50" t="s">
        <v>3268</v>
      </c>
      <c r="BR309" s="50" t="s">
        <v>3269</v>
      </c>
      <c r="BS309" s="50" t="s">
        <v>135</v>
      </c>
      <c r="BU309" s="50" t="s">
        <v>18202</v>
      </c>
      <c r="BV309" s="50" t="s">
        <v>17391</v>
      </c>
      <c r="BW309" s="50" t="s">
        <v>3121</v>
      </c>
      <c r="BX309" s="50" t="s">
        <v>17392</v>
      </c>
      <c r="BY309" s="50" t="s">
        <v>17393</v>
      </c>
      <c r="BZ309" s="50" t="s">
        <v>8015</v>
      </c>
      <c r="CA309" s="50" t="s">
        <v>18203</v>
      </c>
      <c r="CB309" s="50" t="s">
        <v>18204</v>
      </c>
      <c r="CC309" s="50" t="s">
        <v>17393</v>
      </c>
      <c r="CD309" s="50" t="s">
        <v>18203</v>
      </c>
      <c r="CE309" s="50" t="s">
        <v>18204</v>
      </c>
      <c r="CF309" s="50" t="s">
        <v>17393</v>
      </c>
      <c r="CG309" s="50" t="s">
        <v>102</v>
      </c>
      <c r="CH309" s="50" t="s">
        <v>18205</v>
      </c>
      <c r="CJ309" s="50" t="s">
        <v>8000</v>
      </c>
      <c r="CL309" s="50" t="s">
        <v>448</v>
      </c>
      <c r="CM309" s="50" t="s">
        <v>449</v>
      </c>
      <c r="CN309" s="50" t="s">
        <v>8000</v>
      </c>
      <c r="CO309" s="50" t="s">
        <v>5687</v>
      </c>
      <c r="CP309" s="50" t="s">
        <v>8781</v>
      </c>
      <c r="CQ309" s="50" t="s">
        <v>8781</v>
      </c>
    </row>
    <row r="310" spans="1:96">
      <c r="A310" s="50" t="s">
        <v>149</v>
      </c>
      <c r="B310" s="50">
        <v>3362563</v>
      </c>
      <c r="C310" s="50" t="s">
        <v>11882</v>
      </c>
      <c r="D310" s="50" t="s">
        <v>5666</v>
      </c>
      <c r="E310" s="50" t="str">
        <f>VLOOKUP(B310,aa!B:F,5,0)</f>
        <v>Ei ASSET, Ei CARES, Ei Mindspark</v>
      </c>
      <c r="F310" s="50">
        <f>VLOOKUP(B310,aa!B:J,9,0)</f>
        <v>312327</v>
      </c>
      <c r="G310" s="50">
        <f>VLOOKUP(B310,aa!B:L,11,0)</f>
        <v>65226</v>
      </c>
      <c r="H310" s="50">
        <f>VLOOKUP(B310,aa!B:O,14,0)</f>
        <v>174009</v>
      </c>
      <c r="I310" s="50">
        <f>VLOOKUP(B310,aa!B:R,17,0)</f>
        <v>73092</v>
      </c>
      <c r="K310" s="50" t="s">
        <v>2163</v>
      </c>
      <c r="L310" s="50">
        <v>247437</v>
      </c>
      <c r="M310" s="50">
        <v>257734</v>
      </c>
      <c r="N310" s="50">
        <v>47683</v>
      </c>
      <c r="O310" s="50">
        <v>106</v>
      </c>
      <c r="P310" s="50" t="s">
        <v>5668</v>
      </c>
      <c r="Q310" s="50">
        <v>142551</v>
      </c>
      <c r="R310" s="50">
        <v>92</v>
      </c>
      <c r="S310" s="50" t="s">
        <v>15716</v>
      </c>
      <c r="T310" s="50">
        <v>57203</v>
      </c>
      <c r="U310" s="50">
        <v>117</v>
      </c>
      <c r="V310" s="50" t="s">
        <v>5670</v>
      </c>
      <c r="W310" s="50" t="s">
        <v>102</v>
      </c>
      <c r="X310" s="50" t="s">
        <v>679</v>
      </c>
      <c r="Y310" s="50" t="s">
        <v>155</v>
      </c>
      <c r="Z310" s="50" t="s">
        <v>15717</v>
      </c>
      <c r="AA310" s="50" t="s">
        <v>15718</v>
      </c>
      <c r="AB310" s="50" t="s">
        <v>15719</v>
      </c>
      <c r="AC310" s="50" t="s">
        <v>12570</v>
      </c>
      <c r="AD310" s="50" t="s">
        <v>15719</v>
      </c>
      <c r="AE310" s="50" t="s">
        <v>12571</v>
      </c>
      <c r="AF310" s="50" t="s">
        <v>15719</v>
      </c>
      <c r="AG310" s="50" t="s">
        <v>12595</v>
      </c>
      <c r="AH310" s="50" t="s">
        <v>15719</v>
      </c>
      <c r="AI310" s="50" t="s">
        <v>102</v>
      </c>
      <c r="AJ310" s="50" t="s">
        <v>12923</v>
      </c>
      <c r="AK310" s="50" t="s">
        <v>12923</v>
      </c>
      <c r="AL310" s="50" t="s">
        <v>15720</v>
      </c>
      <c r="AM310" s="50" t="s">
        <v>15721</v>
      </c>
      <c r="AN310" s="50" t="s">
        <v>15722</v>
      </c>
      <c r="AO310" s="50" t="s">
        <v>15723</v>
      </c>
      <c r="AP310" s="50" t="s">
        <v>15724</v>
      </c>
      <c r="AT310" s="50" t="s">
        <v>169</v>
      </c>
      <c r="AU310" s="50" t="s">
        <v>247</v>
      </c>
      <c r="AV310" s="50" t="s">
        <v>118</v>
      </c>
      <c r="AW310" s="50" t="s">
        <v>5675</v>
      </c>
      <c r="AX310" s="50" t="s">
        <v>119</v>
      </c>
      <c r="AY310" s="50" t="s">
        <v>1138</v>
      </c>
      <c r="AZ310" s="50" t="s">
        <v>118</v>
      </c>
      <c r="BA310" s="50" t="s">
        <v>250</v>
      </c>
      <c r="BB310" s="50" t="s">
        <v>120</v>
      </c>
      <c r="BC310" s="50" t="s">
        <v>3854</v>
      </c>
      <c r="BD310" s="50" t="s">
        <v>449</v>
      </c>
      <c r="BE310" s="50" t="s">
        <v>122</v>
      </c>
      <c r="BF310" s="50" t="s">
        <v>450</v>
      </c>
      <c r="BG310" s="50" t="s">
        <v>124</v>
      </c>
      <c r="BH310" s="50" t="s">
        <v>15725</v>
      </c>
      <c r="BI310" s="50" t="s">
        <v>11889</v>
      </c>
      <c r="BJ310" s="50" t="s">
        <v>127</v>
      </c>
      <c r="BK310" s="50" t="s">
        <v>15726</v>
      </c>
      <c r="BL310" s="50" t="s">
        <v>5677</v>
      </c>
      <c r="BM310" s="50" t="s">
        <v>15727</v>
      </c>
      <c r="BN310" s="50" t="s">
        <v>15715</v>
      </c>
      <c r="BO310" s="50" t="s">
        <v>3267</v>
      </c>
      <c r="BP310" s="50" t="s">
        <v>696</v>
      </c>
      <c r="BQ310" s="50" t="s">
        <v>3268</v>
      </c>
      <c r="BR310" s="50" t="s">
        <v>3269</v>
      </c>
      <c r="BS310" s="50" t="s">
        <v>135</v>
      </c>
      <c r="BU310" s="50" t="s">
        <v>15728</v>
      </c>
      <c r="BV310" s="50" t="s">
        <v>5680</v>
      </c>
      <c r="BW310" s="50" t="s">
        <v>354</v>
      </c>
      <c r="BX310" s="50" t="s">
        <v>5681</v>
      </c>
      <c r="BY310" s="50" t="s">
        <v>5682</v>
      </c>
      <c r="BZ310" s="50" t="s">
        <v>5683</v>
      </c>
      <c r="CA310" s="50" t="s">
        <v>5680</v>
      </c>
      <c r="CB310" s="50" t="s">
        <v>5681</v>
      </c>
      <c r="CC310" s="50" t="s">
        <v>5682</v>
      </c>
      <c r="CD310" s="50" t="s">
        <v>5680</v>
      </c>
      <c r="CE310" s="50" t="s">
        <v>5681</v>
      </c>
      <c r="CF310" s="50" t="s">
        <v>5682</v>
      </c>
      <c r="CG310" s="50" t="s">
        <v>102</v>
      </c>
      <c r="CH310" s="50" t="s">
        <v>15729</v>
      </c>
      <c r="CJ310" s="50" t="s">
        <v>4271</v>
      </c>
      <c r="CL310" s="50" t="s">
        <v>3854</v>
      </c>
      <c r="CM310" s="50" t="s">
        <v>449</v>
      </c>
      <c r="CN310" s="50" t="s">
        <v>4271</v>
      </c>
      <c r="CO310" s="50" t="s">
        <v>5687</v>
      </c>
      <c r="CP310" s="50" t="s">
        <v>5686</v>
      </c>
      <c r="CQ310" s="50" t="s">
        <v>5686</v>
      </c>
    </row>
    <row r="311" spans="1:96">
      <c r="A311" s="50" t="s">
        <v>149</v>
      </c>
      <c r="B311" s="50">
        <v>3505875</v>
      </c>
      <c r="C311" s="50" t="s">
        <v>11882</v>
      </c>
      <c r="D311" s="50" t="s">
        <v>6422</v>
      </c>
      <c r="E311" s="50" t="str">
        <f>VLOOKUP(B311,aa!B:F,5,0)</f>
        <v>Ei ASSET, Ei Mindspark</v>
      </c>
      <c r="F311" s="50">
        <f>VLOOKUP(B311,aa!B:J,9,0)</f>
        <v>830993</v>
      </c>
      <c r="G311" s="50">
        <f>VLOOKUP(B311,aa!B:L,11,0)</f>
        <v>349558</v>
      </c>
      <c r="H311" s="50">
        <f>VLOOKUP(B311,aa!B:O,14,0)</f>
        <v>0</v>
      </c>
      <c r="I311" s="50">
        <f>VLOOKUP(B311,aa!B:R,17,0)</f>
        <v>481435</v>
      </c>
      <c r="K311" s="50" t="s">
        <v>193</v>
      </c>
      <c r="L311" s="50">
        <v>825003</v>
      </c>
      <c r="M311" s="50">
        <v>910704</v>
      </c>
      <c r="N311" s="50">
        <v>348888</v>
      </c>
      <c r="O311" s="50">
        <v>359</v>
      </c>
      <c r="P311" s="50" t="s">
        <v>3951</v>
      </c>
      <c r="Q311" s="50">
        <v>0</v>
      </c>
      <c r="R311" s="50">
        <v>0</v>
      </c>
      <c r="T311" s="50">
        <v>476115</v>
      </c>
      <c r="U311" s="50">
        <v>179</v>
      </c>
      <c r="V311" s="50" t="s">
        <v>13651</v>
      </c>
      <c r="W311" s="50" t="s">
        <v>102</v>
      </c>
      <c r="X311" s="50" t="s">
        <v>103</v>
      </c>
      <c r="Y311" s="50" t="s">
        <v>801</v>
      </c>
      <c r="AA311" s="50" t="s">
        <v>13652</v>
      </c>
      <c r="AB311" s="50" t="s">
        <v>16282</v>
      </c>
      <c r="AC311" s="50" t="s">
        <v>11976</v>
      </c>
      <c r="AD311" s="50" t="s">
        <v>16282</v>
      </c>
      <c r="AE311" s="50" t="s">
        <v>12571</v>
      </c>
      <c r="AF311" s="50" t="s">
        <v>16283</v>
      </c>
      <c r="AG311" s="50" t="s">
        <v>12595</v>
      </c>
      <c r="AH311" s="50" t="s">
        <v>16283</v>
      </c>
      <c r="AI311" s="50" t="s">
        <v>16284</v>
      </c>
      <c r="AJ311" s="50" t="s">
        <v>13769</v>
      </c>
      <c r="AK311" s="50" t="s">
        <v>1165</v>
      </c>
      <c r="AL311" s="50" t="s">
        <v>16285</v>
      </c>
      <c r="AM311" s="50" t="s">
        <v>16286</v>
      </c>
      <c r="AN311" s="50" t="s">
        <v>16287</v>
      </c>
      <c r="AO311" s="50" t="s">
        <v>16288</v>
      </c>
      <c r="AP311" s="50" t="s">
        <v>16288</v>
      </c>
      <c r="AU311" s="50" t="s">
        <v>207</v>
      </c>
      <c r="AV311" s="50" t="s">
        <v>118</v>
      </c>
      <c r="AW311" s="50" t="s">
        <v>102</v>
      </c>
      <c r="AX311" s="50" t="s">
        <v>119</v>
      </c>
      <c r="BA311" s="50" t="s">
        <v>250</v>
      </c>
      <c r="BB311" s="50" t="s">
        <v>120</v>
      </c>
      <c r="BC311" s="50" t="s">
        <v>4153</v>
      </c>
      <c r="BD311" s="50" t="s">
        <v>320</v>
      </c>
      <c r="BE311" s="50" t="s">
        <v>122</v>
      </c>
      <c r="BF311" s="50" t="s">
        <v>123</v>
      </c>
      <c r="BG311" s="50" t="s">
        <v>124</v>
      </c>
      <c r="BH311" s="50" t="s">
        <v>16289</v>
      </c>
      <c r="BI311" s="50" t="s">
        <v>13662</v>
      </c>
      <c r="BJ311" s="50" t="s">
        <v>127</v>
      </c>
      <c r="BK311" s="50" t="s">
        <v>16290</v>
      </c>
      <c r="BL311" s="50" t="s">
        <v>6433</v>
      </c>
      <c r="BM311" s="50" t="s">
        <v>16291</v>
      </c>
      <c r="BN311" s="50" t="s">
        <v>16281</v>
      </c>
      <c r="BO311" s="50" t="s">
        <v>3267</v>
      </c>
      <c r="BP311" s="50" t="s">
        <v>696</v>
      </c>
      <c r="BQ311" s="50" t="s">
        <v>3268</v>
      </c>
      <c r="BR311" s="50" t="s">
        <v>3269</v>
      </c>
      <c r="BS311" s="50" t="s">
        <v>135</v>
      </c>
      <c r="BT311" s="50" t="s">
        <v>135</v>
      </c>
      <c r="BU311" s="50" t="s">
        <v>16292</v>
      </c>
      <c r="BV311" s="50" t="s">
        <v>2932</v>
      </c>
      <c r="BW311" s="50" t="s">
        <v>296</v>
      </c>
      <c r="BX311" s="50" t="s">
        <v>2933</v>
      </c>
      <c r="BY311" s="50" t="s">
        <v>2934</v>
      </c>
      <c r="BZ311" s="50" t="s">
        <v>6436</v>
      </c>
      <c r="CA311" s="50" t="s">
        <v>16293</v>
      </c>
      <c r="CB311" s="50" t="s">
        <v>6436</v>
      </c>
      <c r="CC311" s="50" t="s">
        <v>2934</v>
      </c>
      <c r="CD311" s="50" t="s">
        <v>16293</v>
      </c>
      <c r="CE311" s="50" t="s">
        <v>6436</v>
      </c>
      <c r="CF311" s="50" t="s">
        <v>2934</v>
      </c>
      <c r="CG311" s="50" t="s">
        <v>102</v>
      </c>
      <c r="CH311" s="50" t="s">
        <v>16294</v>
      </c>
      <c r="CJ311" s="50" t="s">
        <v>5161</v>
      </c>
      <c r="CL311" s="50" t="s">
        <v>4153</v>
      </c>
      <c r="CM311" s="50" t="s">
        <v>320</v>
      </c>
      <c r="CN311" s="50" t="s">
        <v>5161</v>
      </c>
      <c r="CP311" s="50" t="s">
        <v>6437</v>
      </c>
      <c r="CQ311" s="50" t="s">
        <v>6438</v>
      </c>
    </row>
    <row r="312" spans="1:96">
      <c r="A312" s="50" t="s">
        <v>149</v>
      </c>
      <c r="B312" s="50">
        <v>364480</v>
      </c>
      <c r="C312" s="50" t="s">
        <v>11882</v>
      </c>
      <c r="D312" s="50" t="s">
        <v>6974</v>
      </c>
      <c r="E312" s="50" t="str">
        <f>VLOOKUP(B312,aa!B:F,5,0)</f>
        <v>Ei ASSET, Ei Mindspark</v>
      </c>
      <c r="F312" s="50">
        <f>VLOOKUP(B312,aa!B:J,9,0)</f>
        <v>1638854</v>
      </c>
      <c r="G312" s="50">
        <f>VLOOKUP(B312,aa!B:L,11,0)</f>
        <v>689283</v>
      </c>
      <c r="H312" s="50">
        <f>VLOOKUP(B312,aa!B:O,14,0)</f>
        <v>0</v>
      </c>
      <c r="I312" s="50">
        <f>VLOOKUP(B312,aa!B:R,17,0)</f>
        <v>949571</v>
      </c>
      <c r="K312" s="50" t="s">
        <v>193</v>
      </c>
      <c r="L312" s="50">
        <v>1174629</v>
      </c>
      <c r="M312" s="50">
        <v>1260809</v>
      </c>
      <c r="N312" s="50">
        <v>695854</v>
      </c>
      <c r="O312" s="50">
        <v>716</v>
      </c>
      <c r="P312" s="50" t="s">
        <v>3951</v>
      </c>
      <c r="Q312" s="50">
        <v>0</v>
      </c>
      <c r="R312" s="50">
        <v>0</v>
      </c>
      <c r="T312" s="50">
        <v>478775</v>
      </c>
      <c r="U312" s="50">
        <v>180</v>
      </c>
      <c r="V312" s="50" t="s">
        <v>13651</v>
      </c>
      <c r="W312" s="50" t="s">
        <v>102</v>
      </c>
      <c r="X312" s="50" t="s">
        <v>103</v>
      </c>
      <c r="Y312" s="50" t="s">
        <v>155</v>
      </c>
      <c r="AA312" s="50" t="s">
        <v>13652</v>
      </c>
      <c r="AB312" s="50" t="s">
        <v>16697</v>
      </c>
      <c r="AC312" s="50" t="s">
        <v>11976</v>
      </c>
      <c r="AD312" s="50" t="s">
        <v>16697</v>
      </c>
      <c r="AE312" s="50" t="s">
        <v>11888</v>
      </c>
      <c r="AF312" s="50" t="s">
        <v>16697</v>
      </c>
      <c r="AG312" s="50" t="s">
        <v>12084</v>
      </c>
      <c r="AH312" s="50" t="s">
        <v>16697</v>
      </c>
      <c r="AI312" s="50" t="s">
        <v>16698</v>
      </c>
      <c r="AJ312" s="50" t="s">
        <v>8783</v>
      </c>
      <c r="AK312" s="50" t="s">
        <v>11902</v>
      </c>
      <c r="AL312" s="50" t="s">
        <v>16699</v>
      </c>
      <c r="AM312" s="50" t="s">
        <v>16700</v>
      </c>
      <c r="AN312" s="50" t="s">
        <v>16701</v>
      </c>
      <c r="AO312" s="50" t="s">
        <v>16702</v>
      </c>
      <c r="AP312" s="50" t="s">
        <v>16702</v>
      </c>
      <c r="AU312" s="50" t="s">
        <v>207</v>
      </c>
      <c r="AV312" s="50" t="s">
        <v>118</v>
      </c>
      <c r="AW312" s="50" t="s">
        <v>102</v>
      </c>
      <c r="AX312" s="50" t="s">
        <v>119</v>
      </c>
      <c r="BA312" s="50" t="s">
        <v>250</v>
      </c>
      <c r="BB312" s="50" t="s">
        <v>120</v>
      </c>
      <c r="BC312" s="50" t="s">
        <v>4153</v>
      </c>
      <c r="BD312" s="50" t="s">
        <v>320</v>
      </c>
      <c r="BE312" s="50" t="s">
        <v>122</v>
      </c>
      <c r="BF312" s="50" t="s">
        <v>123</v>
      </c>
      <c r="BG312" s="50" t="s">
        <v>124</v>
      </c>
      <c r="BH312" s="50" t="s">
        <v>16703</v>
      </c>
      <c r="BI312" s="50" t="s">
        <v>13662</v>
      </c>
      <c r="BJ312" s="50" t="s">
        <v>127</v>
      </c>
      <c r="BK312" s="50" t="s">
        <v>16704</v>
      </c>
      <c r="BL312" s="50" t="s">
        <v>6983</v>
      </c>
      <c r="BM312" s="50" t="s">
        <v>16705</v>
      </c>
      <c r="BN312" s="50" t="s">
        <v>16696</v>
      </c>
      <c r="BO312" s="50" t="s">
        <v>3267</v>
      </c>
      <c r="BP312" s="50" t="s">
        <v>350</v>
      </c>
      <c r="BQ312" s="50" t="s">
        <v>3268</v>
      </c>
      <c r="BR312" s="50" t="s">
        <v>3269</v>
      </c>
      <c r="BS312" s="50" t="s">
        <v>135</v>
      </c>
      <c r="BU312" s="50" t="s">
        <v>16706</v>
      </c>
      <c r="BV312" s="50" t="s">
        <v>2932</v>
      </c>
      <c r="BW312" s="50" t="s">
        <v>296</v>
      </c>
      <c r="BX312" s="50" t="s">
        <v>2933</v>
      </c>
      <c r="BY312" s="50" t="s">
        <v>2934</v>
      </c>
      <c r="BZ312" s="50" t="s">
        <v>6986</v>
      </c>
      <c r="CA312" s="50" t="s">
        <v>16707</v>
      </c>
      <c r="CB312" s="50" t="s">
        <v>16708</v>
      </c>
      <c r="CC312" s="50" t="s">
        <v>16709</v>
      </c>
      <c r="CD312" s="50" t="s">
        <v>16710</v>
      </c>
      <c r="CE312" s="50" t="s">
        <v>16711</v>
      </c>
      <c r="CF312" s="50" t="s">
        <v>16709</v>
      </c>
      <c r="CG312" s="50" t="s">
        <v>102</v>
      </c>
      <c r="CH312" s="50" t="s">
        <v>16712</v>
      </c>
      <c r="CJ312" s="50" t="s">
        <v>5161</v>
      </c>
      <c r="CL312" s="50" t="s">
        <v>4153</v>
      </c>
      <c r="CM312" s="50" t="s">
        <v>320</v>
      </c>
      <c r="CN312" s="50" t="s">
        <v>5161</v>
      </c>
      <c r="CO312" s="50" t="s">
        <v>3178</v>
      </c>
      <c r="CP312" s="50" t="s">
        <v>6992</v>
      </c>
      <c r="CQ312" s="50" t="s">
        <v>6992</v>
      </c>
    </row>
    <row r="313" spans="1:96">
      <c r="A313" s="50" t="s">
        <v>149</v>
      </c>
      <c r="B313" s="50">
        <v>559045</v>
      </c>
      <c r="C313" s="50" t="s">
        <v>11882</v>
      </c>
      <c r="D313" s="50" t="s">
        <v>11124</v>
      </c>
      <c r="E313" s="50" t="str">
        <f>VLOOKUP(B313,aa!B:F,5,0)</f>
        <v>Ei ASSET, Ei Mindspark</v>
      </c>
      <c r="F313" s="50">
        <f>VLOOKUP(B313,aa!B:J,9,0)</f>
        <v>1028968</v>
      </c>
      <c r="G313" s="50">
        <f>VLOOKUP(B313,aa!B:L,11,0)</f>
        <v>608710</v>
      </c>
      <c r="H313" s="50">
        <f>VLOOKUP(B313,aa!B:O,14,0)</f>
        <v>0</v>
      </c>
      <c r="I313" s="50">
        <f>VLOOKUP(B313,aa!B:R,17,0)</f>
        <v>420258</v>
      </c>
      <c r="K313" s="50" t="s">
        <v>193</v>
      </c>
      <c r="L313" s="50">
        <v>1013161</v>
      </c>
      <c r="M313" s="50">
        <v>1086892</v>
      </c>
      <c r="N313" s="50">
        <v>603542</v>
      </c>
      <c r="O313" s="50">
        <v>621</v>
      </c>
      <c r="P313" s="50" t="s">
        <v>3951</v>
      </c>
      <c r="Q313" s="50">
        <v>0</v>
      </c>
      <c r="R313" s="50">
        <v>0</v>
      </c>
      <c r="T313" s="50">
        <v>409619</v>
      </c>
      <c r="U313" s="50">
        <v>154</v>
      </c>
      <c r="V313" s="50" t="s">
        <v>13651</v>
      </c>
      <c r="W313" s="50" t="s">
        <v>102</v>
      </c>
      <c r="X313" s="50" t="s">
        <v>103</v>
      </c>
      <c r="Y313" s="50" t="s">
        <v>155</v>
      </c>
      <c r="AA313" s="50" t="s">
        <v>13652</v>
      </c>
      <c r="AB313" s="50" t="s">
        <v>21116</v>
      </c>
      <c r="AC313" s="50" t="s">
        <v>11976</v>
      </c>
      <c r="AD313" s="50" t="s">
        <v>21116</v>
      </c>
      <c r="AE313" s="50" t="s">
        <v>11888</v>
      </c>
      <c r="AF313" s="50" t="s">
        <v>21116</v>
      </c>
      <c r="AG313" s="50" t="s">
        <v>12084</v>
      </c>
      <c r="AH313" s="50" t="s">
        <v>21116</v>
      </c>
      <c r="AI313" s="50" t="s">
        <v>21117</v>
      </c>
      <c r="AJ313" s="50" t="s">
        <v>8783</v>
      </c>
      <c r="AK313" s="50" t="s">
        <v>21118</v>
      </c>
      <c r="AL313" s="50" t="s">
        <v>21119</v>
      </c>
      <c r="AM313" s="50" t="s">
        <v>21120</v>
      </c>
      <c r="AN313" s="50" t="s">
        <v>21121</v>
      </c>
      <c r="AO313" s="50" t="s">
        <v>21122</v>
      </c>
      <c r="AP313" s="50" t="s">
        <v>21122</v>
      </c>
      <c r="AU313" s="50" t="s">
        <v>207</v>
      </c>
      <c r="AV313" s="50" t="s">
        <v>118</v>
      </c>
      <c r="AW313" s="50" t="s">
        <v>102</v>
      </c>
      <c r="AX313" s="50" t="s">
        <v>119</v>
      </c>
      <c r="BA313" s="50" t="s">
        <v>14957</v>
      </c>
      <c r="BB313" s="50" t="s">
        <v>120</v>
      </c>
      <c r="BC313" s="50" t="s">
        <v>4153</v>
      </c>
      <c r="BD313" s="50" t="s">
        <v>320</v>
      </c>
      <c r="BE313" s="50" t="s">
        <v>122</v>
      </c>
      <c r="BF313" s="50" t="s">
        <v>123</v>
      </c>
      <c r="BG313" s="50" t="s">
        <v>124</v>
      </c>
      <c r="BH313" s="50" t="s">
        <v>16703</v>
      </c>
      <c r="BI313" s="50" t="s">
        <v>21123</v>
      </c>
      <c r="BJ313" s="50" t="s">
        <v>127</v>
      </c>
      <c r="BK313" s="50" t="s">
        <v>21124</v>
      </c>
      <c r="BL313" s="50" t="s">
        <v>11133</v>
      </c>
      <c r="BM313" s="50" t="s">
        <v>21125</v>
      </c>
      <c r="BN313" s="50" t="s">
        <v>16696</v>
      </c>
      <c r="BO313" s="50" t="s">
        <v>3267</v>
      </c>
      <c r="BP313" s="50" t="s">
        <v>350</v>
      </c>
      <c r="BQ313" s="50" t="s">
        <v>3268</v>
      </c>
      <c r="BR313" s="50" t="s">
        <v>3269</v>
      </c>
      <c r="BS313" s="50" t="s">
        <v>135</v>
      </c>
      <c r="BT313" s="50" t="s">
        <v>135</v>
      </c>
      <c r="BU313" s="50" t="s">
        <v>21126</v>
      </c>
      <c r="BV313" s="50" t="s">
        <v>2932</v>
      </c>
      <c r="BW313" s="50" t="s">
        <v>296</v>
      </c>
      <c r="BX313" s="50" t="s">
        <v>2933</v>
      </c>
      <c r="BY313" s="50" t="s">
        <v>2934</v>
      </c>
      <c r="BZ313" s="50" t="s">
        <v>11136</v>
      </c>
      <c r="CA313" s="50" t="s">
        <v>21127</v>
      </c>
      <c r="CB313" s="50" t="s">
        <v>21128</v>
      </c>
      <c r="CC313" s="50" t="s">
        <v>2934</v>
      </c>
      <c r="CD313" s="50" t="s">
        <v>21127</v>
      </c>
      <c r="CE313" s="50" t="s">
        <v>21128</v>
      </c>
      <c r="CF313" s="50" t="s">
        <v>2934</v>
      </c>
      <c r="CG313" s="50" t="s">
        <v>102</v>
      </c>
      <c r="CH313" s="50" t="s">
        <v>11124</v>
      </c>
      <c r="CJ313" s="50" t="s">
        <v>5161</v>
      </c>
      <c r="CL313" s="50" t="s">
        <v>4153</v>
      </c>
      <c r="CM313" s="50" t="s">
        <v>320</v>
      </c>
      <c r="CN313" s="50" t="s">
        <v>5161</v>
      </c>
      <c r="CO313" s="50" t="s">
        <v>3178</v>
      </c>
      <c r="CP313" s="50" t="s">
        <v>11142</v>
      </c>
      <c r="CQ313" s="50" t="s">
        <v>11142</v>
      </c>
    </row>
    <row r="314" spans="1:96">
      <c r="A314" s="50" t="s">
        <v>149</v>
      </c>
      <c r="B314" s="50">
        <v>401650</v>
      </c>
      <c r="C314" s="50" t="s">
        <v>183</v>
      </c>
      <c r="D314" s="50" t="s">
        <v>8573</v>
      </c>
      <c r="E314" s="50" t="e">
        <f>VLOOKUP(B314,aa!B:F,5,0)</f>
        <v>#N/A</v>
      </c>
      <c r="F314" s="50" t="e">
        <f>VLOOKUP(B314,aa!B:J,9,0)</f>
        <v>#N/A</v>
      </c>
      <c r="G314" s="50" t="e">
        <f>VLOOKUP(B314,aa!B:L,11,0)</f>
        <v>#N/A</v>
      </c>
      <c r="H314" s="50" t="e">
        <f>VLOOKUP(B314,aa!B:O,14,0)</f>
        <v>#N/A</v>
      </c>
      <c r="I314" s="50" t="e">
        <f>VLOOKUP(B314,aa!B:R,17,0)</f>
        <v>#N/A</v>
      </c>
      <c r="K314" s="50" t="s">
        <v>152</v>
      </c>
      <c r="L314" s="50">
        <v>901803</v>
      </c>
      <c r="M314" s="50">
        <v>901803</v>
      </c>
      <c r="N314" s="50">
        <v>0</v>
      </c>
      <c r="O314" s="50">
        <v>0</v>
      </c>
      <c r="Q314" s="50">
        <v>901803</v>
      </c>
      <c r="R314" s="50">
        <v>936</v>
      </c>
      <c r="S314" s="50" t="s">
        <v>17971</v>
      </c>
      <c r="T314" s="50">
        <v>0</v>
      </c>
      <c r="U314" s="50">
        <v>0</v>
      </c>
      <c r="W314" s="50" t="s">
        <v>102</v>
      </c>
      <c r="X314" s="50" t="s">
        <v>103</v>
      </c>
      <c r="Y314" s="50" t="s">
        <v>155</v>
      </c>
      <c r="AA314" s="50" t="s">
        <v>13680</v>
      </c>
      <c r="AB314" s="50" t="s">
        <v>17972</v>
      </c>
      <c r="AC314" s="50" t="s">
        <v>11976</v>
      </c>
      <c r="AD314" s="50" t="s">
        <v>17972</v>
      </c>
      <c r="AE314" s="50" t="s">
        <v>11888</v>
      </c>
      <c r="AF314" s="50" t="s">
        <v>17972</v>
      </c>
      <c r="AG314" s="50" t="s">
        <v>11886</v>
      </c>
      <c r="AH314" s="50" t="s">
        <v>17972</v>
      </c>
      <c r="AI314" s="50" t="s">
        <v>102</v>
      </c>
      <c r="AL314" s="50" t="s">
        <v>17973</v>
      </c>
      <c r="AM314" s="50" t="s">
        <v>102</v>
      </c>
      <c r="AN314" s="50" t="s">
        <v>17973</v>
      </c>
      <c r="AO314" s="50" t="s">
        <v>17974</v>
      </c>
      <c r="AP314" s="50" t="s">
        <v>17974</v>
      </c>
      <c r="AU314" s="50" t="s">
        <v>102</v>
      </c>
      <c r="AW314" s="50" t="s">
        <v>104</v>
      </c>
      <c r="AX314" s="50" t="s">
        <v>447</v>
      </c>
      <c r="AY314" s="50" t="s">
        <v>170</v>
      </c>
      <c r="AZ314" s="50" t="s">
        <v>118</v>
      </c>
      <c r="BB314" s="50" t="s">
        <v>171</v>
      </c>
      <c r="BC314" s="50" t="s">
        <v>375</v>
      </c>
      <c r="BD314" s="50" t="s">
        <v>376</v>
      </c>
      <c r="BE314" s="50" t="s">
        <v>174</v>
      </c>
      <c r="BF314" s="50" t="s">
        <v>376</v>
      </c>
      <c r="BG314" s="50" t="s">
        <v>124</v>
      </c>
      <c r="BH314" s="50" t="s">
        <v>13680</v>
      </c>
      <c r="BI314" s="50" t="s">
        <v>11889</v>
      </c>
      <c r="BJ314" s="50" t="s">
        <v>127</v>
      </c>
      <c r="BK314" s="50" t="s">
        <v>17975</v>
      </c>
      <c r="BL314" s="50" t="s">
        <v>8584</v>
      </c>
      <c r="BM314" s="50" t="s">
        <v>17976</v>
      </c>
      <c r="BN314" s="50" t="s">
        <v>8783</v>
      </c>
      <c r="BO314" s="50" t="s">
        <v>179</v>
      </c>
      <c r="BP314" s="50" t="s">
        <v>180</v>
      </c>
      <c r="BQ314" s="50" t="s">
        <v>181</v>
      </c>
      <c r="BR314" s="50" t="s">
        <v>182</v>
      </c>
      <c r="BS314" s="50" t="s">
        <v>5177</v>
      </c>
      <c r="BU314" s="50" t="s">
        <v>17977</v>
      </c>
      <c r="BV314" s="50" t="s">
        <v>17978</v>
      </c>
      <c r="BW314" s="50" t="s">
        <v>569</v>
      </c>
      <c r="BX314" s="50" t="s">
        <v>8590</v>
      </c>
      <c r="BY314" s="50" t="s">
        <v>17979</v>
      </c>
      <c r="BZ314" s="50" t="s">
        <v>8590</v>
      </c>
      <c r="CA314" s="50" t="s">
        <v>17980</v>
      </c>
      <c r="CB314" s="50" t="s">
        <v>8590</v>
      </c>
      <c r="CC314" s="50" t="s">
        <v>17981</v>
      </c>
      <c r="CD314" s="50" t="s">
        <v>17980</v>
      </c>
      <c r="CE314" s="50" t="s">
        <v>8590</v>
      </c>
      <c r="CF314" s="50" t="s">
        <v>17981</v>
      </c>
      <c r="CG314" s="50" t="s">
        <v>334</v>
      </c>
      <c r="CH314" s="50" t="s">
        <v>8573</v>
      </c>
      <c r="CJ314" s="50" t="s">
        <v>8592</v>
      </c>
      <c r="CK314" s="50" t="s">
        <v>8591</v>
      </c>
      <c r="CL314" s="50" t="s">
        <v>375</v>
      </c>
      <c r="CM314" s="50" t="s">
        <v>376</v>
      </c>
      <c r="CN314" s="50" t="s">
        <v>8592</v>
      </c>
      <c r="CO314" s="50" t="s">
        <v>8593</v>
      </c>
      <c r="CP314" s="50" t="s">
        <v>8591</v>
      </c>
      <c r="CQ314" s="50" t="s">
        <v>8591</v>
      </c>
      <c r="CR314" s="50" t="s">
        <v>26051</v>
      </c>
    </row>
    <row r="315" spans="1:96">
      <c r="A315" s="50" t="s">
        <v>337</v>
      </c>
      <c r="B315" s="50">
        <v>5015855</v>
      </c>
      <c r="C315" s="50" t="s">
        <v>632</v>
      </c>
      <c r="D315" s="50" t="s">
        <v>18731</v>
      </c>
      <c r="E315" s="50" t="e">
        <f>VLOOKUP(B315,aa!B:F,5,0)</f>
        <v>#N/A</v>
      </c>
      <c r="F315" s="50" t="e">
        <f>VLOOKUP(B315,aa!B:J,9,0)</f>
        <v>#N/A</v>
      </c>
      <c r="G315" s="50" t="e">
        <f>VLOOKUP(B315,aa!B:L,11,0)</f>
        <v>#N/A</v>
      </c>
      <c r="H315" s="50" t="e">
        <f>VLOOKUP(B315,aa!B:O,14,0)</f>
        <v>#N/A</v>
      </c>
      <c r="I315" s="50" t="e">
        <f>VLOOKUP(B315,aa!B:R,17,0)</f>
        <v>#N/A</v>
      </c>
      <c r="K315" s="50" t="s">
        <v>97</v>
      </c>
      <c r="L315" s="50">
        <v>893132</v>
      </c>
      <c r="M315" s="50">
        <v>893132</v>
      </c>
      <c r="N315" s="50">
        <v>893132</v>
      </c>
      <c r="O315" s="50">
        <v>4046</v>
      </c>
      <c r="P315" s="50" t="s">
        <v>18732</v>
      </c>
      <c r="Q315" s="50">
        <v>0</v>
      </c>
      <c r="R315" s="50">
        <v>0</v>
      </c>
      <c r="T315" s="50">
        <v>0</v>
      </c>
      <c r="U315" s="50">
        <v>0</v>
      </c>
      <c r="W315" s="50" t="s">
        <v>102</v>
      </c>
      <c r="X315" s="50" t="s">
        <v>103</v>
      </c>
      <c r="Y315" s="50" t="s">
        <v>104</v>
      </c>
      <c r="AA315" s="50" t="s">
        <v>14000</v>
      </c>
      <c r="AB315" s="50" t="s">
        <v>18733</v>
      </c>
      <c r="AC315" s="50" t="s">
        <v>3679</v>
      </c>
      <c r="AD315" s="50" t="s">
        <v>18733</v>
      </c>
      <c r="AE315" s="50" t="s">
        <v>109</v>
      </c>
      <c r="AF315" s="50" t="s">
        <v>102</v>
      </c>
      <c r="AG315" s="50" t="s">
        <v>109</v>
      </c>
      <c r="AH315" s="50" t="s">
        <v>102</v>
      </c>
      <c r="AI315" s="50" t="s">
        <v>102</v>
      </c>
      <c r="AJ315" s="50" t="s">
        <v>14272</v>
      </c>
      <c r="AK315" s="50" t="s">
        <v>11925</v>
      </c>
      <c r="AL315" s="50" t="s">
        <v>18734</v>
      </c>
      <c r="AM315" s="50" t="s">
        <v>18735</v>
      </c>
      <c r="AN315" s="50" t="s">
        <v>18736</v>
      </c>
      <c r="AO315" s="50" t="s">
        <v>18737</v>
      </c>
      <c r="AP315" s="50" t="s">
        <v>18737</v>
      </c>
      <c r="AU315" s="50" t="s">
        <v>318</v>
      </c>
      <c r="AV315" s="50" t="s">
        <v>118</v>
      </c>
      <c r="AW315" s="50" t="s">
        <v>102</v>
      </c>
      <c r="AX315" s="50" t="s">
        <v>119</v>
      </c>
      <c r="BB315" s="50" t="s">
        <v>120</v>
      </c>
      <c r="BC315" s="50" t="s">
        <v>2127</v>
      </c>
      <c r="BD315" s="50" t="s">
        <v>621</v>
      </c>
      <c r="BE315" s="50" t="s">
        <v>622</v>
      </c>
      <c r="BF315" s="50" t="s">
        <v>976</v>
      </c>
      <c r="BG315" s="50" t="s">
        <v>124</v>
      </c>
      <c r="BH315" s="50" t="s">
        <v>11976</v>
      </c>
      <c r="BI315" s="50" t="s">
        <v>12289</v>
      </c>
      <c r="BJ315" s="50" t="s">
        <v>127</v>
      </c>
      <c r="BK315" s="50" t="s">
        <v>18738</v>
      </c>
      <c r="BL315" s="50" t="s">
        <v>9524</v>
      </c>
      <c r="BM315" s="50" t="s">
        <v>18739</v>
      </c>
      <c r="BN315" s="50" t="s">
        <v>8783</v>
      </c>
      <c r="BO315" s="50" t="s">
        <v>13638</v>
      </c>
      <c r="BP315" s="50" t="s">
        <v>350</v>
      </c>
      <c r="BQ315" s="50" t="s">
        <v>13639</v>
      </c>
      <c r="BR315" s="50" t="s">
        <v>13640</v>
      </c>
      <c r="BS315" s="50" t="s">
        <v>984</v>
      </c>
      <c r="BU315" s="50" t="s">
        <v>18740</v>
      </c>
      <c r="BV315" s="50" t="s">
        <v>18741</v>
      </c>
      <c r="BW315" s="50" t="s">
        <v>4416</v>
      </c>
      <c r="BX315" s="50" t="s">
        <v>18742</v>
      </c>
      <c r="BY315" s="50" t="s">
        <v>18743</v>
      </c>
      <c r="BZ315" s="50" t="s">
        <v>9526</v>
      </c>
      <c r="CA315" s="50" t="s">
        <v>18744</v>
      </c>
      <c r="CB315" s="50" t="s">
        <v>8652</v>
      </c>
      <c r="CC315" s="50" t="s">
        <v>9525</v>
      </c>
      <c r="CD315" s="50" t="s">
        <v>18745</v>
      </c>
      <c r="CE315" s="50" t="s">
        <v>8652</v>
      </c>
      <c r="CF315" s="50" t="s">
        <v>18746</v>
      </c>
      <c r="CG315" s="50" t="s">
        <v>9527</v>
      </c>
      <c r="CH315" s="50" t="s">
        <v>18747</v>
      </c>
      <c r="CJ315" s="50" t="s">
        <v>9528</v>
      </c>
      <c r="CK315" s="50" t="s">
        <v>18748</v>
      </c>
      <c r="CL315" s="50" t="s">
        <v>2127</v>
      </c>
      <c r="CM315" s="50" t="s">
        <v>621</v>
      </c>
      <c r="CN315" s="50" t="s">
        <v>9528</v>
      </c>
      <c r="CP315" s="50" t="s">
        <v>9529</v>
      </c>
      <c r="CQ315" s="50" t="s">
        <v>9530</v>
      </c>
      <c r="CR315" s="50" t="s">
        <v>26042</v>
      </c>
    </row>
    <row r="316" spans="1:96">
      <c r="A316" s="50" t="s">
        <v>337</v>
      </c>
      <c r="B316" s="50">
        <v>5015866</v>
      </c>
      <c r="C316" s="50" t="s">
        <v>632</v>
      </c>
      <c r="D316" s="50" t="s">
        <v>18749</v>
      </c>
      <c r="E316" s="50" t="e">
        <f>VLOOKUP(B316,aa!B:F,5,0)</f>
        <v>#N/A</v>
      </c>
      <c r="F316" s="50" t="e">
        <f>VLOOKUP(B316,aa!B:J,9,0)</f>
        <v>#N/A</v>
      </c>
      <c r="G316" s="50" t="e">
        <f>VLOOKUP(B316,aa!B:L,11,0)</f>
        <v>#N/A</v>
      </c>
      <c r="H316" s="50" t="e">
        <f>VLOOKUP(B316,aa!B:O,14,0)</f>
        <v>#N/A</v>
      </c>
      <c r="I316" s="50" t="e">
        <f>VLOOKUP(B316,aa!B:R,17,0)</f>
        <v>#N/A</v>
      </c>
      <c r="K316" s="50" t="s">
        <v>97</v>
      </c>
      <c r="L316" s="50">
        <v>144963</v>
      </c>
      <c r="M316" s="50">
        <v>144963</v>
      </c>
      <c r="N316" s="50">
        <v>144963</v>
      </c>
      <c r="O316" s="50">
        <v>468</v>
      </c>
      <c r="P316" s="50" t="s">
        <v>8649</v>
      </c>
      <c r="Q316" s="50">
        <v>0</v>
      </c>
      <c r="R316" s="50">
        <v>0</v>
      </c>
      <c r="T316" s="50">
        <v>0</v>
      </c>
      <c r="U316" s="50">
        <v>0</v>
      </c>
      <c r="W316" s="50" t="s">
        <v>102</v>
      </c>
      <c r="X316" s="50" t="s">
        <v>103</v>
      </c>
      <c r="Y316" s="50" t="s">
        <v>104</v>
      </c>
      <c r="AA316" s="50" t="s">
        <v>14000</v>
      </c>
      <c r="AB316" s="50" t="s">
        <v>18750</v>
      </c>
      <c r="AC316" s="50" t="s">
        <v>3679</v>
      </c>
      <c r="AD316" s="50" t="s">
        <v>18750</v>
      </c>
      <c r="AE316" s="50" t="s">
        <v>109</v>
      </c>
      <c r="AF316" s="50" t="s">
        <v>102</v>
      </c>
      <c r="AG316" s="50" t="s">
        <v>109</v>
      </c>
      <c r="AH316" s="50" t="s">
        <v>102</v>
      </c>
      <c r="AI316" s="50" t="s">
        <v>102</v>
      </c>
      <c r="AJ316" s="50" t="s">
        <v>13949</v>
      </c>
      <c r="AK316" s="50" t="s">
        <v>13675</v>
      </c>
      <c r="AL316" s="50" t="s">
        <v>18751</v>
      </c>
      <c r="AM316" s="50" t="s">
        <v>18752</v>
      </c>
      <c r="AN316" s="50" t="s">
        <v>18753</v>
      </c>
      <c r="AO316" s="50" t="s">
        <v>18754</v>
      </c>
      <c r="AP316" s="50" t="s">
        <v>18754</v>
      </c>
      <c r="AU316" s="50" t="s">
        <v>318</v>
      </c>
      <c r="AV316" s="50" t="s">
        <v>118</v>
      </c>
      <c r="AW316" s="50" t="s">
        <v>102</v>
      </c>
      <c r="AX316" s="50" t="s">
        <v>119</v>
      </c>
      <c r="BB316" s="50" t="s">
        <v>120</v>
      </c>
      <c r="BC316" s="50" t="s">
        <v>2127</v>
      </c>
      <c r="BD316" s="50" t="s">
        <v>621</v>
      </c>
      <c r="BE316" s="50" t="s">
        <v>622</v>
      </c>
      <c r="BF316" s="50" t="s">
        <v>976</v>
      </c>
      <c r="BG316" s="50" t="s">
        <v>124</v>
      </c>
      <c r="BH316" s="50" t="s">
        <v>11976</v>
      </c>
      <c r="BI316" s="50" t="s">
        <v>12289</v>
      </c>
      <c r="BJ316" s="50" t="s">
        <v>127</v>
      </c>
      <c r="BK316" s="50" t="s">
        <v>18755</v>
      </c>
      <c r="BL316" s="50" t="s">
        <v>18756</v>
      </c>
      <c r="BM316" s="50" t="s">
        <v>18757</v>
      </c>
      <c r="BN316" s="50" t="s">
        <v>8783</v>
      </c>
      <c r="BO316" s="50" t="s">
        <v>13638</v>
      </c>
      <c r="BP316" s="50" t="s">
        <v>132</v>
      </c>
      <c r="BQ316" s="50" t="s">
        <v>13639</v>
      </c>
      <c r="BR316" s="50" t="s">
        <v>13640</v>
      </c>
      <c r="BS316" s="50" t="s">
        <v>2847</v>
      </c>
      <c r="BU316" s="50" t="s">
        <v>18758</v>
      </c>
      <c r="BV316" s="50" t="s">
        <v>18759</v>
      </c>
      <c r="BW316" s="50" t="s">
        <v>138</v>
      </c>
      <c r="BX316" s="50" t="s">
        <v>18760</v>
      </c>
      <c r="BY316" s="50" t="s">
        <v>18761</v>
      </c>
      <c r="BZ316" s="50" t="s">
        <v>18762</v>
      </c>
      <c r="CA316" s="50" t="s">
        <v>18759</v>
      </c>
      <c r="CB316" s="50" t="s">
        <v>18760</v>
      </c>
      <c r="CC316" s="50" t="s">
        <v>18761</v>
      </c>
      <c r="CD316" s="50" t="s">
        <v>18759</v>
      </c>
      <c r="CE316" s="50" t="s">
        <v>18760</v>
      </c>
      <c r="CF316" s="50" t="s">
        <v>18761</v>
      </c>
      <c r="CG316" s="50" t="s">
        <v>8653</v>
      </c>
      <c r="CH316" s="50" t="s">
        <v>18749</v>
      </c>
      <c r="CJ316" s="50" t="s">
        <v>18763</v>
      </c>
      <c r="CK316" s="50" t="s">
        <v>18764</v>
      </c>
      <c r="CL316" s="50" t="s">
        <v>2127</v>
      </c>
      <c r="CM316" s="50" t="s">
        <v>621</v>
      </c>
      <c r="CN316" s="50" t="s">
        <v>18763</v>
      </c>
      <c r="CP316" s="50" t="s">
        <v>18765</v>
      </c>
      <c r="CQ316" s="50" t="s">
        <v>18766</v>
      </c>
      <c r="CR316" s="50" t="s">
        <v>26042</v>
      </c>
    </row>
    <row r="317" spans="1:96">
      <c r="A317" s="50" t="s">
        <v>337</v>
      </c>
      <c r="B317" s="50">
        <v>5017865</v>
      </c>
      <c r="C317" s="50" t="s">
        <v>632</v>
      </c>
      <c r="D317" s="50" t="s">
        <v>19245</v>
      </c>
      <c r="E317" s="50" t="e">
        <f>VLOOKUP(B317,aa!B:F,5,0)</f>
        <v>#N/A</v>
      </c>
      <c r="F317" s="50" t="e">
        <f>VLOOKUP(B317,aa!B:J,9,0)</f>
        <v>#N/A</v>
      </c>
      <c r="G317" s="50" t="e">
        <f>VLOOKUP(B317,aa!B:L,11,0)</f>
        <v>#N/A</v>
      </c>
      <c r="H317" s="50" t="e">
        <f>VLOOKUP(B317,aa!B:O,14,0)</f>
        <v>#N/A</v>
      </c>
      <c r="I317" s="50" t="e">
        <f>VLOOKUP(B317,aa!B:R,17,0)</f>
        <v>#N/A</v>
      </c>
      <c r="K317" s="50" t="s">
        <v>97</v>
      </c>
      <c r="L317" s="50">
        <v>0</v>
      </c>
      <c r="M317" s="50">
        <v>0</v>
      </c>
      <c r="N317" s="50">
        <v>0</v>
      </c>
      <c r="O317" s="50">
        <v>457</v>
      </c>
      <c r="P317" s="50" t="s">
        <v>102</v>
      </c>
      <c r="Q317" s="50">
        <v>0</v>
      </c>
      <c r="R317" s="50">
        <v>0</v>
      </c>
      <c r="T317" s="50">
        <v>0</v>
      </c>
      <c r="U317" s="50">
        <v>0</v>
      </c>
      <c r="W317" s="50" t="s">
        <v>102</v>
      </c>
      <c r="X317" s="50" t="s">
        <v>275</v>
      </c>
      <c r="Z317" s="50" t="s">
        <v>14000</v>
      </c>
      <c r="AA317" s="50" t="s">
        <v>109</v>
      </c>
      <c r="AB317" s="50" t="s">
        <v>102</v>
      </c>
      <c r="AC317" s="50" t="s">
        <v>109</v>
      </c>
      <c r="AD317" s="50" t="s">
        <v>102</v>
      </c>
      <c r="AE317" s="50" t="s">
        <v>109</v>
      </c>
      <c r="AF317" s="50" t="s">
        <v>102</v>
      </c>
      <c r="AG317" s="50" t="s">
        <v>109</v>
      </c>
      <c r="AH317" s="50" t="s">
        <v>102</v>
      </c>
      <c r="AI317" s="50" t="s">
        <v>102</v>
      </c>
      <c r="AL317" s="50" t="s">
        <v>102</v>
      </c>
      <c r="AM317" s="50" t="s">
        <v>102</v>
      </c>
      <c r="AN317" s="50" t="s">
        <v>102</v>
      </c>
      <c r="AO317" s="50" t="s">
        <v>115</v>
      </c>
      <c r="AP317" s="50" t="s">
        <v>115</v>
      </c>
      <c r="AU317" s="50" t="s">
        <v>318</v>
      </c>
      <c r="AV317" s="50" t="s">
        <v>118</v>
      </c>
      <c r="AW317" s="50" t="s">
        <v>102</v>
      </c>
      <c r="AX317" s="50" t="s">
        <v>119</v>
      </c>
      <c r="BB317" s="50" t="s">
        <v>120</v>
      </c>
      <c r="BC317" s="50" t="s">
        <v>2127</v>
      </c>
      <c r="BD317" s="50" t="s">
        <v>621</v>
      </c>
      <c r="BE317" s="50" t="s">
        <v>622</v>
      </c>
      <c r="BF317" s="50" t="s">
        <v>976</v>
      </c>
      <c r="BG317" s="50" t="s">
        <v>124</v>
      </c>
      <c r="BH317" s="50" t="s">
        <v>11976</v>
      </c>
      <c r="BI317" s="50" t="s">
        <v>12289</v>
      </c>
      <c r="BJ317" s="50" t="s">
        <v>127</v>
      </c>
      <c r="BK317" s="50" t="s">
        <v>19246</v>
      </c>
      <c r="BL317" s="50" t="s">
        <v>19247</v>
      </c>
      <c r="BM317" s="50" t="s">
        <v>19248</v>
      </c>
      <c r="BN317" s="50" t="s">
        <v>8783</v>
      </c>
      <c r="BO317" s="50" t="s">
        <v>13638</v>
      </c>
      <c r="BP317" s="50" t="s">
        <v>505</v>
      </c>
      <c r="BQ317" s="50" t="s">
        <v>13639</v>
      </c>
      <c r="BR317" s="50" t="s">
        <v>13640</v>
      </c>
      <c r="BS317" s="50" t="s">
        <v>984</v>
      </c>
      <c r="BU317" s="50" t="s">
        <v>19249</v>
      </c>
      <c r="BV317" s="50" t="s">
        <v>19250</v>
      </c>
      <c r="BW317" s="50" t="s">
        <v>569</v>
      </c>
      <c r="BX317" s="50" t="s">
        <v>19251</v>
      </c>
      <c r="BY317" s="50" t="s">
        <v>19252</v>
      </c>
      <c r="BZ317" s="50" t="s">
        <v>19251</v>
      </c>
      <c r="CA317" s="50" t="s">
        <v>19250</v>
      </c>
      <c r="CB317" s="50" t="s">
        <v>19251</v>
      </c>
      <c r="CC317" s="50" t="s">
        <v>19252</v>
      </c>
      <c r="CD317" s="50" t="s">
        <v>19250</v>
      </c>
      <c r="CE317" s="50" t="s">
        <v>19251</v>
      </c>
      <c r="CF317" s="50" t="s">
        <v>19252</v>
      </c>
      <c r="CG317" s="50" t="s">
        <v>19253</v>
      </c>
      <c r="CH317" s="50" t="s">
        <v>19254</v>
      </c>
      <c r="CJ317" s="50" t="s">
        <v>19255</v>
      </c>
      <c r="CK317" s="50" t="s">
        <v>19256</v>
      </c>
      <c r="CL317" s="50" t="s">
        <v>2127</v>
      </c>
      <c r="CM317" s="50" t="s">
        <v>621</v>
      </c>
      <c r="CN317" s="50" t="s">
        <v>19255</v>
      </c>
      <c r="CP317" s="50" t="s">
        <v>19257</v>
      </c>
      <c r="CQ317" s="50" t="s">
        <v>19258</v>
      </c>
      <c r="CR317" s="50" t="s">
        <v>26042</v>
      </c>
    </row>
    <row r="318" spans="1:96">
      <c r="A318" s="50" t="s">
        <v>149</v>
      </c>
      <c r="B318" s="50">
        <v>5014840</v>
      </c>
      <c r="C318" s="50" t="s">
        <v>418</v>
      </c>
      <c r="D318" s="50" t="s">
        <v>18628</v>
      </c>
      <c r="E318" s="50" t="str">
        <f>VLOOKUP(B318,aa!B:F,5,0)</f>
        <v>Ei ASSET, Ei CARES</v>
      </c>
      <c r="F318" s="50">
        <f>VLOOKUP(B318,aa!B:J,9,0)</f>
        <v>696125</v>
      </c>
      <c r="G318" s="50">
        <f>VLOOKUP(B318,aa!B:L,11,0)</f>
        <v>521975</v>
      </c>
      <c r="H318" s="50">
        <f>VLOOKUP(B318,aa!B:O,14,0)</f>
        <v>174150</v>
      </c>
      <c r="I318" s="50">
        <f>VLOOKUP(B318,aa!B:R,17,0)</f>
        <v>0</v>
      </c>
      <c r="K318" s="50" t="s">
        <v>675</v>
      </c>
      <c r="L318" s="50">
        <v>597818</v>
      </c>
      <c r="M318" s="50">
        <v>597818</v>
      </c>
      <c r="N318" s="50">
        <v>492518</v>
      </c>
      <c r="O318" s="50">
        <v>535</v>
      </c>
      <c r="P318" s="50" t="s">
        <v>18630</v>
      </c>
      <c r="Q318" s="50">
        <v>105300</v>
      </c>
      <c r="R318" s="50">
        <v>130</v>
      </c>
      <c r="S318" s="50" t="s">
        <v>6750</v>
      </c>
      <c r="T318" s="50">
        <v>0</v>
      </c>
      <c r="U318" s="50">
        <v>0</v>
      </c>
      <c r="W318" s="50" t="s">
        <v>102</v>
      </c>
      <c r="X318" s="50" t="s">
        <v>103</v>
      </c>
      <c r="Y318" s="50" t="s">
        <v>104</v>
      </c>
      <c r="AA318" s="50" t="s">
        <v>11927</v>
      </c>
      <c r="AB318" s="50" t="s">
        <v>18631</v>
      </c>
      <c r="AC318" s="50" t="s">
        <v>12695</v>
      </c>
      <c r="AD318" s="50" t="s">
        <v>18632</v>
      </c>
      <c r="AE318" s="50" t="s">
        <v>109</v>
      </c>
      <c r="AF318" s="50" t="s">
        <v>102</v>
      </c>
      <c r="AG318" s="50" t="s">
        <v>109</v>
      </c>
      <c r="AH318" s="50" t="s">
        <v>102</v>
      </c>
      <c r="AI318" s="50" t="s">
        <v>18633</v>
      </c>
      <c r="AJ318" s="50" t="s">
        <v>13511</v>
      </c>
      <c r="AK318" s="50" t="s">
        <v>2050</v>
      </c>
      <c r="AL318" s="50" t="s">
        <v>18634</v>
      </c>
      <c r="AM318" s="50" t="s">
        <v>18635</v>
      </c>
      <c r="AN318" s="50" t="s">
        <v>18636</v>
      </c>
      <c r="AO318" s="50" t="s">
        <v>18637</v>
      </c>
      <c r="AP318" s="50" t="s">
        <v>18637</v>
      </c>
      <c r="AU318" s="50" t="s">
        <v>247</v>
      </c>
      <c r="AV318" s="50" t="s">
        <v>118</v>
      </c>
      <c r="AW318" s="50" t="s">
        <v>1103</v>
      </c>
      <c r="AX318" s="50" t="s">
        <v>119</v>
      </c>
      <c r="AY318" s="50" t="s">
        <v>170</v>
      </c>
      <c r="AZ318" s="50" t="s">
        <v>118</v>
      </c>
      <c r="BB318" s="50" t="s">
        <v>120</v>
      </c>
      <c r="BC318" s="50" t="s">
        <v>4951</v>
      </c>
      <c r="BD318" s="50" t="s">
        <v>410</v>
      </c>
      <c r="BE318" s="50" t="s">
        <v>212</v>
      </c>
      <c r="BF318" s="50" t="s">
        <v>410</v>
      </c>
      <c r="BG318" s="50" t="s">
        <v>124</v>
      </c>
      <c r="BH318" s="50" t="s">
        <v>8783</v>
      </c>
      <c r="BI318" s="50" t="s">
        <v>12047</v>
      </c>
      <c r="BJ318" s="50" t="s">
        <v>127</v>
      </c>
      <c r="BK318" s="50" t="s">
        <v>18638</v>
      </c>
      <c r="BL318" s="50" t="s">
        <v>9332</v>
      </c>
      <c r="BM318" s="50" t="s">
        <v>18639</v>
      </c>
      <c r="BN318" s="50" t="s">
        <v>18629</v>
      </c>
      <c r="BO318" s="50" t="s">
        <v>866</v>
      </c>
      <c r="BP318" s="50" t="s">
        <v>132</v>
      </c>
      <c r="BQ318" s="50" t="s">
        <v>867</v>
      </c>
      <c r="BR318" s="50" t="s">
        <v>868</v>
      </c>
      <c r="BS318" s="50" t="s">
        <v>9337</v>
      </c>
      <c r="BU318" s="50" t="s">
        <v>18640</v>
      </c>
      <c r="BV318" s="50" t="s">
        <v>18641</v>
      </c>
      <c r="BW318" s="50" t="s">
        <v>138</v>
      </c>
      <c r="BX318" s="50" t="s">
        <v>9342</v>
      </c>
      <c r="BY318" s="50" t="s">
        <v>18642</v>
      </c>
      <c r="BZ318" s="50" t="s">
        <v>9342</v>
      </c>
      <c r="CA318" s="50" t="s">
        <v>18641</v>
      </c>
      <c r="CB318" s="50" t="s">
        <v>9342</v>
      </c>
      <c r="CC318" s="50" t="s">
        <v>18642</v>
      </c>
      <c r="CD318" s="50" t="s">
        <v>18643</v>
      </c>
      <c r="CE318" s="50" t="s">
        <v>18644</v>
      </c>
      <c r="CF318" s="50" t="s">
        <v>9345</v>
      </c>
      <c r="CG318" s="50" t="s">
        <v>102</v>
      </c>
      <c r="CH318" s="50" t="s">
        <v>9349</v>
      </c>
      <c r="CJ318" s="50" t="s">
        <v>9348</v>
      </c>
      <c r="CK318" s="50" t="s">
        <v>9349</v>
      </c>
      <c r="CL318" s="50" t="s">
        <v>4951</v>
      </c>
      <c r="CM318" s="50" t="s">
        <v>410</v>
      </c>
      <c r="CN318" s="50" t="s">
        <v>9348</v>
      </c>
      <c r="CO318" s="50" t="s">
        <v>4205</v>
      </c>
      <c r="CP318" s="50" t="s">
        <v>9349</v>
      </c>
      <c r="CQ318" s="50" t="s">
        <v>9349</v>
      </c>
    </row>
    <row r="319" spans="1:96">
      <c r="A319" s="50" t="s">
        <v>149</v>
      </c>
      <c r="B319" s="50">
        <v>2451376</v>
      </c>
      <c r="C319" s="50" t="s">
        <v>12423</v>
      </c>
      <c r="D319" s="50" t="s">
        <v>3412</v>
      </c>
      <c r="E319" s="50" t="e">
        <f>VLOOKUP(B319,aa!B:F,5,0)</f>
        <v>#N/A</v>
      </c>
      <c r="F319" s="50" t="e">
        <f>VLOOKUP(B319,aa!B:J,9,0)</f>
        <v>#N/A</v>
      </c>
      <c r="G319" s="50" t="e">
        <f>VLOOKUP(B319,aa!B:L,11,0)</f>
        <v>#N/A</v>
      </c>
      <c r="H319" s="50" t="e">
        <f>VLOOKUP(B319,aa!B:O,14,0)</f>
        <v>#N/A</v>
      </c>
      <c r="I319" s="50" t="e">
        <f>VLOOKUP(B319,aa!B:R,17,0)</f>
        <v>#N/A</v>
      </c>
      <c r="K319" s="50" t="s">
        <v>97</v>
      </c>
      <c r="L319" s="50">
        <v>125487</v>
      </c>
      <c r="M319" s="50">
        <v>125487</v>
      </c>
      <c r="N319" s="50">
        <v>125487</v>
      </c>
      <c r="O319" s="50">
        <v>251</v>
      </c>
      <c r="P319" s="50" t="s">
        <v>364</v>
      </c>
      <c r="Q319" s="50">
        <v>0</v>
      </c>
      <c r="R319" s="50">
        <v>0</v>
      </c>
      <c r="T319" s="50">
        <v>0</v>
      </c>
      <c r="U319" s="50">
        <v>0</v>
      </c>
      <c r="W319" s="50" t="s">
        <v>102</v>
      </c>
      <c r="X319" s="50" t="s">
        <v>103</v>
      </c>
      <c r="Y319" s="50" t="s">
        <v>104</v>
      </c>
      <c r="AA319" s="50" t="s">
        <v>11976</v>
      </c>
      <c r="AB319" s="50" t="s">
        <v>14001</v>
      </c>
      <c r="AC319" s="50" t="s">
        <v>12084</v>
      </c>
      <c r="AD319" s="50" t="s">
        <v>14001</v>
      </c>
      <c r="AE319" s="50" t="s">
        <v>109</v>
      </c>
      <c r="AF319" s="50" t="s">
        <v>102</v>
      </c>
      <c r="AG319" s="50" t="s">
        <v>109</v>
      </c>
      <c r="AH319" s="50" t="s">
        <v>102</v>
      </c>
      <c r="AI319" s="50" t="s">
        <v>14002</v>
      </c>
      <c r="AJ319" s="50" t="s">
        <v>13832</v>
      </c>
      <c r="AK319" s="50" t="s">
        <v>14003</v>
      </c>
      <c r="AL319" s="50" t="s">
        <v>14004</v>
      </c>
      <c r="AM319" s="50" t="s">
        <v>14005</v>
      </c>
      <c r="AN319" s="50" t="s">
        <v>102</v>
      </c>
      <c r="AO319" s="50" t="s">
        <v>2307</v>
      </c>
      <c r="AP319" s="50" t="s">
        <v>2307</v>
      </c>
      <c r="AU319" s="50" t="s">
        <v>117</v>
      </c>
      <c r="AV319" s="50" t="s">
        <v>118</v>
      </c>
      <c r="AW319" s="50" t="s">
        <v>102</v>
      </c>
      <c r="AX319" s="50" t="s">
        <v>119</v>
      </c>
      <c r="BB319" s="50" t="s">
        <v>209</v>
      </c>
      <c r="BC319" s="50" t="s">
        <v>1759</v>
      </c>
      <c r="BD319" s="50" t="s">
        <v>410</v>
      </c>
      <c r="BE319" s="50" t="s">
        <v>212</v>
      </c>
      <c r="BF319" s="50" t="s">
        <v>410</v>
      </c>
      <c r="BG319" s="50" t="s">
        <v>124</v>
      </c>
      <c r="BH319" s="50" t="s">
        <v>11959</v>
      </c>
      <c r="BI319" s="50" t="s">
        <v>12047</v>
      </c>
      <c r="BJ319" s="50" t="s">
        <v>127</v>
      </c>
      <c r="BK319" s="50" t="s">
        <v>14006</v>
      </c>
      <c r="BL319" s="50" t="s">
        <v>3421</v>
      </c>
      <c r="BM319" s="50" t="s">
        <v>14007</v>
      </c>
      <c r="BN319" s="50" t="s">
        <v>14000</v>
      </c>
      <c r="BO319" s="50" t="s">
        <v>415</v>
      </c>
      <c r="BP319" s="50" t="s">
        <v>350</v>
      </c>
      <c r="BQ319" s="50" t="s">
        <v>416</v>
      </c>
      <c r="BR319" s="50" t="s">
        <v>417</v>
      </c>
      <c r="BS319" s="50" t="s">
        <v>222</v>
      </c>
      <c r="BU319" s="50" t="s">
        <v>14008</v>
      </c>
      <c r="BV319" s="50" t="s">
        <v>3424</v>
      </c>
      <c r="BW319" s="50" t="s">
        <v>138</v>
      </c>
      <c r="BX319" s="50" t="s">
        <v>3425</v>
      </c>
      <c r="BY319" s="50" t="s">
        <v>3426</v>
      </c>
      <c r="BZ319" s="50" t="s">
        <v>3427</v>
      </c>
      <c r="CA319" s="50" t="s">
        <v>3424</v>
      </c>
      <c r="CB319" s="50" t="s">
        <v>3425</v>
      </c>
      <c r="CC319" s="50" t="s">
        <v>3426</v>
      </c>
      <c r="CD319" s="50" t="s">
        <v>3424</v>
      </c>
      <c r="CE319" s="50" t="s">
        <v>3425</v>
      </c>
      <c r="CF319" s="50" t="s">
        <v>3426</v>
      </c>
      <c r="CG319" s="50" t="s">
        <v>102</v>
      </c>
      <c r="CH319" s="50" t="s">
        <v>3428</v>
      </c>
      <c r="CJ319" s="50" t="s">
        <v>2740</v>
      </c>
      <c r="CL319" s="50" t="s">
        <v>1759</v>
      </c>
      <c r="CM319" s="50" t="s">
        <v>410</v>
      </c>
      <c r="CN319" s="50" t="s">
        <v>2740</v>
      </c>
      <c r="CO319" s="50" t="s">
        <v>1775</v>
      </c>
      <c r="CP319" s="50" t="s">
        <v>3428</v>
      </c>
      <c r="CQ319" s="50" t="s">
        <v>3428</v>
      </c>
      <c r="CR319" s="50" t="s">
        <v>26040</v>
      </c>
    </row>
    <row r="320" spans="1:96">
      <c r="A320" s="50" t="s">
        <v>337</v>
      </c>
      <c r="B320" s="50">
        <v>3469794</v>
      </c>
      <c r="C320" s="50" t="s">
        <v>12507</v>
      </c>
      <c r="D320" s="50" t="s">
        <v>16112</v>
      </c>
      <c r="E320" s="50" t="str">
        <f>VLOOKUP(B320,aa!B:F,5,0)</f>
        <v>Ei ASSET,Ei CARES</v>
      </c>
      <c r="F320" s="50">
        <f>VLOOKUP(B320,aa!B:J,9,0)</f>
        <v>1030509</v>
      </c>
      <c r="G320" s="50">
        <f>VLOOKUP(B320,aa!B:L,11,0)</f>
        <v>552058</v>
      </c>
      <c r="H320" s="50">
        <f>VLOOKUP(B320,aa!B:O,14,0)</f>
        <v>478451</v>
      </c>
      <c r="I320" s="50">
        <f>VLOOKUP(B320,aa!B:R,17,0)</f>
        <v>0</v>
      </c>
      <c r="K320" s="50" t="s">
        <v>2044</v>
      </c>
      <c r="L320" s="50">
        <v>837322</v>
      </c>
      <c r="M320" s="50">
        <v>837322</v>
      </c>
      <c r="N320" s="50">
        <v>315315</v>
      </c>
      <c r="O320" s="50">
        <v>735</v>
      </c>
      <c r="P320" s="50" t="s">
        <v>16113</v>
      </c>
      <c r="Q320" s="50">
        <v>522007</v>
      </c>
      <c r="R320" s="50">
        <v>702</v>
      </c>
      <c r="S320" s="50" t="s">
        <v>11865</v>
      </c>
      <c r="T320" s="50">
        <v>0</v>
      </c>
      <c r="U320" s="50">
        <v>0</v>
      </c>
      <c r="W320" s="50" t="s">
        <v>102</v>
      </c>
      <c r="X320" s="50" t="s">
        <v>103</v>
      </c>
      <c r="Y320" s="50" t="s">
        <v>155</v>
      </c>
      <c r="AA320" s="50" t="s">
        <v>14000</v>
      </c>
      <c r="AB320" s="50" t="s">
        <v>16114</v>
      </c>
      <c r="AC320" s="50" t="s">
        <v>12312</v>
      </c>
      <c r="AD320" s="50" t="s">
        <v>16114</v>
      </c>
      <c r="AE320" s="50" t="s">
        <v>14210</v>
      </c>
      <c r="AF320" s="50" t="s">
        <v>16114</v>
      </c>
      <c r="AG320" s="50" t="s">
        <v>16007</v>
      </c>
      <c r="AH320" s="50" t="s">
        <v>16114</v>
      </c>
      <c r="AI320" s="50" t="s">
        <v>5007</v>
      </c>
      <c r="AJ320" s="50" t="s">
        <v>5015</v>
      </c>
      <c r="AK320" s="50" t="s">
        <v>12931</v>
      </c>
      <c r="AL320" s="50" t="s">
        <v>16115</v>
      </c>
      <c r="AM320" s="50" t="s">
        <v>16116</v>
      </c>
      <c r="AN320" s="50" t="s">
        <v>16117</v>
      </c>
      <c r="AO320" s="50" t="s">
        <v>16118</v>
      </c>
      <c r="AP320" s="50" t="s">
        <v>16118</v>
      </c>
      <c r="AU320" s="50" t="s">
        <v>318</v>
      </c>
      <c r="AV320" s="50" t="s">
        <v>118</v>
      </c>
      <c r="AW320" s="50" t="s">
        <v>155</v>
      </c>
      <c r="AX320" s="50" t="s">
        <v>119</v>
      </c>
      <c r="AY320" s="50" t="s">
        <v>170</v>
      </c>
      <c r="AZ320" s="50" t="s">
        <v>118</v>
      </c>
      <c r="BB320" s="50" t="s">
        <v>120</v>
      </c>
      <c r="BC320" s="50" t="s">
        <v>7324</v>
      </c>
      <c r="BD320" s="50" t="s">
        <v>556</v>
      </c>
      <c r="BE320" s="50" t="s">
        <v>122</v>
      </c>
      <c r="BF320" s="50" t="s">
        <v>557</v>
      </c>
      <c r="BG320" s="50" t="s">
        <v>124</v>
      </c>
      <c r="BH320" s="50" t="s">
        <v>12023</v>
      </c>
      <c r="BI320" s="50" t="s">
        <v>11889</v>
      </c>
      <c r="BJ320" s="50" t="s">
        <v>127</v>
      </c>
      <c r="BK320" s="50" t="s">
        <v>16119</v>
      </c>
      <c r="BL320" s="50" t="s">
        <v>16120</v>
      </c>
      <c r="BM320" s="50" t="s">
        <v>16121</v>
      </c>
      <c r="BN320" s="50" t="s">
        <v>14000</v>
      </c>
      <c r="BO320" s="50" t="s">
        <v>1071</v>
      </c>
      <c r="BP320" s="50" t="s">
        <v>350</v>
      </c>
      <c r="BQ320" s="50" t="s">
        <v>1072</v>
      </c>
      <c r="BR320" s="50" t="s">
        <v>1073</v>
      </c>
      <c r="BS320" s="50" t="s">
        <v>1074</v>
      </c>
      <c r="BU320" s="50" t="s">
        <v>16122</v>
      </c>
      <c r="BV320" s="50" t="s">
        <v>16123</v>
      </c>
      <c r="BW320" s="50" t="s">
        <v>354</v>
      </c>
      <c r="BX320" s="50" t="s">
        <v>16124</v>
      </c>
      <c r="BY320" s="50" t="s">
        <v>16125</v>
      </c>
      <c r="BZ320" s="50" t="s">
        <v>16126</v>
      </c>
      <c r="CA320" s="50" t="s">
        <v>16127</v>
      </c>
      <c r="CB320" s="50" t="s">
        <v>16124</v>
      </c>
      <c r="CC320" s="50" t="s">
        <v>16125</v>
      </c>
      <c r="CD320" s="50" t="s">
        <v>16127</v>
      </c>
      <c r="CE320" s="50" t="s">
        <v>16124</v>
      </c>
      <c r="CF320" s="50" t="s">
        <v>16125</v>
      </c>
      <c r="CG320" s="50" t="s">
        <v>16128</v>
      </c>
      <c r="CH320" s="50" t="s">
        <v>16129</v>
      </c>
      <c r="CJ320" s="50" t="s">
        <v>7334</v>
      </c>
      <c r="CK320" s="50" t="s">
        <v>16130</v>
      </c>
      <c r="CL320" s="50" t="s">
        <v>7324</v>
      </c>
      <c r="CM320" s="50" t="s">
        <v>556</v>
      </c>
      <c r="CN320" s="50" t="s">
        <v>7334</v>
      </c>
      <c r="CP320" s="50" t="s">
        <v>16131</v>
      </c>
      <c r="CQ320" s="50" t="s">
        <v>16131</v>
      </c>
    </row>
    <row r="321" spans="1:96">
      <c r="A321" s="50" t="s">
        <v>337</v>
      </c>
      <c r="B321" s="50">
        <v>3992445</v>
      </c>
      <c r="C321" s="50" t="s">
        <v>12423</v>
      </c>
      <c r="D321" s="50" t="s">
        <v>17520</v>
      </c>
      <c r="E321" s="50" t="e">
        <f>VLOOKUP(B321,aa!B:F,5,0)</f>
        <v>#N/A</v>
      </c>
      <c r="F321" s="50" t="e">
        <f>VLOOKUP(B321,aa!B:J,9,0)</f>
        <v>#N/A</v>
      </c>
      <c r="G321" s="50" t="e">
        <f>VLOOKUP(B321,aa!B:L,11,0)</f>
        <v>#N/A</v>
      </c>
      <c r="H321" s="50" t="e">
        <f>VLOOKUP(B321,aa!B:O,14,0)</f>
        <v>#N/A</v>
      </c>
      <c r="I321" s="50" t="e">
        <f>VLOOKUP(B321,aa!B:R,17,0)</f>
        <v>#N/A</v>
      </c>
      <c r="K321" s="50" t="s">
        <v>848</v>
      </c>
      <c r="L321" s="50">
        <v>349244</v>
      </c>
      <c r="M321" s="50">
        <v>412108</v>
      </c>
      <c r="N321" s="50">
        <v>0</v>
      </c>
      <c r="O321" s="50">
        <v>0</v>
      </c>
      <c r="Q321" s="50">
        <v>0</v>
      </c>
      <c r="R321" s="50">
        <v>0</v>
      </c>
      <c r="T321" s="50">
        <v>349244</v>
      </c>
      <c r="U321" s="50">
        <v>317</v>
      </c>
      <c r="V321" s="50" t="s">
        <v>17521</v>
      </c>
      <c r="W321" s="50" t="s">
        <v>102</v>
      </c>
      <c r="X321" s="50" t="s">
        <v>103</v>
      </c>
      <c r="Y321" s="50" t="s">
        <v>155</v>
      </c>
      <c r="AA321" s="50" t="s">
        <v>411</v>
      </c>
      <c r="AB321" s="50" t="s">
        <v>17522</v>
      </c>
      <c r="AC321" s="50" t="s">
        <v>12480</v>
      </c>
      <c r="AD321" s="50" t="s">
        <v>17522</v>
      </c>
      <c r="AE321" s="50" t="s">
        <v>12289</v>
      </c>
      <c r="AF321" s="50" t="s">
        <v>17522</v>
      </c>
      <c r="AG321" s="50" t="s">
        <v>6895</v>
      </c>
      <c r="AH321" s="50" t="s">
        <v>17522</v>
      </c>
      <c r="AI321" s="50" t="s">
        <v>102</v>
      </c>
      <c r="AJ321" s="50" t="s">
        <v>411</v>
      </c>
      <c r="AK321" s="50" t="s">
        <v>14040</v>
      </c>
      <c r="AL321" s="50" t="s">
        <v>17523</v>
      </c>
      <c r="AM321" s="50" t="s">
        <v>17524</v>
      </c>
      <c r="AN321" s="50" t="s">
        <v>17525</v>
      </c>
      <c r="AO321" s="50" t="s">
        <v>17526</v>
      </c>
      <c r="AP321" s="50" t="s">
        <v>17526</v>
      </c>
      <c r="AU321" s="50" t="s">
        <v>102</v>
      </c>
      <c r="AW321" s="50" t="s">
        <v>102</v>
      </c>
      <c r="AX321" s="50" t="s">
        <v>119</v>
      </c>
      <c r="BA321" s="50" t="s">
        <v>250</v>
      </c>
      <c r="BB321" s="50" t="s">
        <v>120</v>
      </c>
      <c r="BC321" s="50" t="s">
        <v>1552</v>
      </c>
      <c r="BD321" s="50" t="s">
        <v>410</v>
      </c>
      <c r="BE321" s="50" t="s">
        <v>212</v>
      </c>
      <c r="BF321" s="50" t="s">
        <v>410</v>
      </c>
      <c r="BG321" s="50" t="s">
        <v>124</v>
      </c>
      <c r="BH321" s="50" t="s">
        <v>12023</v>
      </c>
      <c r="BI321" s="50" t="s">
        <v>11889</v>
      </c>
      <c r="BJ321" s="50" t="s">
        <v>127</v>
      </c>
      <c r="BK321" s="50" t="s">
        <v>17527</v>
      </c>
      <c r="BL321" s="50" t="s">
        <v>17528</v>
      </c>
      <c r="BM321" s="50" t="s">
        <v>17529</v>
      </c>
      <c r="BN321" s="50" t="s">
        <v>14000</v>
      </c>
      <c r="BO321" s="50" t="s">
        <v>4053</v>
      </c>
      <c r="BP321" s="50" t="s">
        <v>132</v>
      </c>
      <c r="BQ321" s="50" t="s">
        <v>4054</v>
      </c>
      <c r="BR321" s="50" t="s">
        <v>4055</v>
      </c>
      <c r="BS321" s="50" t="s">
        <v>4056</v>
      </c>
      <c r="BU321" s="50" t="s">
        <v>17530</v>
      </c>
      <c r="BV321" s="50" t="s">
        <v>17531</v>
      </c>
      <c r="BX321" s="50" t="s">
        <v>17532</v>
      </c>
      <c r="BY321" s="50" t="s">
        <v>17533</v>
      </c>
      <c r="BZ321" s="50" t="s">
        <v>17534</v>
      </c>
      <c r="CA321" s="50" t="s">
        <v>17535</v>
      </c>
      <c r="CB321" s="50" t="s">
        <v>17536</v>
      </c>
      <c r="CC321" s="50" t="s">
        <v>17537</v>
      </c>
      <c r="CD321" s="50" t="s">
        <v>17535</v>
      </c>
      <c r="CE321" s="50" t="s">
        <v>17536</v>
      </c>
      <c r="CF321" s="50" t="s">
        <v>17537</v>
      </c>
      <c r="CG321" s="50" t="s">
        <v>3841</v>
      </c>
      <c r="CH321" s="50" t="s">
        <v>17538</v>
      </c>
      <c r="CJ321" s="50" t="s">
        <v>17539</v>
      </c>
      <c r="CK321" s="50" t="s">
        <v>17540</v>
      </c>
      <c r="CL321" s="50" t="s">
        <v>1552</v>
      </c>
      <c r="CM321" s="50" t="s">
        <v>410</v>
      </c>
      <c r="CN321" s="50" t="s">
        <v>17539</v>
      </c>
      <c r="CP321" s="50" t="s">
        <v>17541</v>
      </c>
      <c r="CQ321" s="50" t="s">
        <v>17541</v>
      </c>
      <c r="CR321" s="50" t="s">
        <v>26047</v>
      </c>
    </row>
    <row r="322" spans="1:96">
      <c r="A322" s="50" t="s">
        <v>337</v>
      </c>
      <c r="B322" s="50">
        <v>5044289</v>
      </c>
      <c r="C322" s="50" t="s">
        <v>12423</v>
      </c>
      <c r="D322" s="50" t="s">
        <v>20390</v>
      </c>
      <c r="E322" s="50" t="e">
        <f>VLOOKUP(B322,aa!B:F,5,0)</f>
        <v>#N/A</v>
      </c>
      <c r="F322" s="50" t="e">
        <f>VLOOKUP(B322,aa!B:J,9,0)</f>
        <v>#N/A</v>
      </c>
      <c r="G322" s="50" t="e">
        <f>VLOOKUP(B322,aa!B:L,11,0)</f>
        <v>#N/A</v>
      </c>
      <c r="H322" s="50" t="e">
        <f>VLOOKUP(B322,aa!B:O,14,0)</f>
        <v>#N/A</v>
      </c>
      <c r="I322" s="50" t="e">
        <f>VLOOKUP(B322,aa!B:R,17,0)</f>
        <v>#N/A</v>
      </c>
      <c r="K322" s="50" t="s">
        <v>848</v>
      </c>
      <c r="L322" s="50">
        <v>176275</v>
      </c>
      <c r="M322" s="50">
        <v>208005</v>
      </c>
      <c r="N322" s="50">
        <v>0</v>
      </c>
      <c r="O322" s="50">
        <v>0</v>
      </c>
      <c r="Q322" s="50">
        <v>0</v>
      </c>
      <c r="R322" s="50">
        <v>0</v>
      </c>
      <c r="T322" s="50">
        <v>176275</v>
      </c>
      <c r="U322" s="50">
        <v>160</v>
      </c>
      <c r="V322" s="50" t="s">
        <v>17521</v>
      </c>
      <c r="W322" s="50" t="s">
        <v>102</v>
      </c>
      <c r="X322" s="50" t="s">
        <v>103</v>
      </c>
      <c r="Y322" s="50" t="s">
        <v>155</v>
      </c>
      <c r="AA322" s="50" t="s">
        <v>411</v>
      </c>
      <c r="AB322" s="50" t="s">
        <v>20391</v>
      </c>
      <c r="AC322" s="50" t="s">
        <v>12480</v>
      </c>
      <c r="AD322" s="50" t="s">
        <v>20391</v>
      </c>
      <c r="AE322" s="50" t="s">
        <v>12041</v>
      </c>
      <c r="AF322" s="50" t="s">
        <v>20391</v>
      </c>
      <c r="AG322" s="50" t="s">
        <v>6895</v>
      </c>
      <c r="AH322" s="50" t="s">
        <v>20391</v>
      </c>
      <c r="AI322" s="50" t="s">
        <v>102</v>
      </c>
      <c r="AJ322" s="50" t="s">
        <v>411</v>
      </c>
      <c r="AK322" s="50" t="s">
        <v>14040</v>
      </c>
      <c r="AL322" s="50" t="s">
        <v>20392</v>
      </c>
      <c r="AM322" s="50" t="s">
        <v>20393</v>
      </c>
      <c r="AN322" s="50" t="s">
        <v>20394</v>
      </c>
      <c r="AO322" s="50" t="s">
        <v>17526</v>
      </c>
      <c r="AP322" s="50" t="s">
        <v>17526</v>
      </c>
      <c r="AU322" s="50" t="s">
        <v>102</v>
      </c>
      <c r="AW322" s="50" t="s">
        <v>102</v>
      </c>
      <c r="AX322" s="50" t="s">
        <v>119</v>
      </c>
      <c r="BA322" s="50" t="s">
        <v>250</v>
      </c>
      <c r="BB322" s="50" t="s">
        <v>120</v>
      </c>
      <c r="BC322" s="50" t="s">
        <v>4049</v>
      </c>
      <c r="BD322" s="50" t="s">
        <v>410</v>
      </c>
      <c r="BE322" s="50" t="s">
        <v>212</v>
      </c>
      <c r="BF322" s="50" t="s">
        <v>410</v>
      </c>
      <c r="BG322" s="50" t="s">
        <v>124</v>
      </c>
      <c r="BH322" s="50" t="s">
        <v>12023</v>
      </c>
      <c r="BI322" s="50" t="s">
        <v>11889</v>
      </c>
      <c r="BJ322" s="50" t="s">
        <v>127</v>
      </c>
      <c r="BK322" s="50" t="s">
        <v>20395</v>
      </c>
      <c r="BL322" s="50" t="s">
        <v>20396</v>
      </c>
      <c r="BM322" s="50" t="s">
        <v>20397</v>
      </c>
      <c r="BN322" s="50" t="s">
        <v>14000</v>
      </c>
      <c r="BO322" s="50" t="s">
        <v>4053</v>
      </c>
      <c r="BP322" s="50" t="s">
        <v>132</v>
      </c>
      <c r="BQ322" s="50" t="s">
        <v>4054</v>
      </c>
      <c r="BR322" s="50" t="s">
        <v>4055</v>
      </c>
      <c r="BS322" s="50" t="s">
        <v>8846</v>
      </c>
      <c r="BU322" s="50" t="s">
        <v>20398</v>
      </c>
      <c r="BV322" s="50" t="s">
        <v>20399</v>
      </c>
      <c r="BW322" s="50" t="s">
        <v>354</v>
      </c>
      <c r="BX322" s="50" t="s">
        <v>20400</v>
      </c>
      <c r="BY322" s="50" t="s">
        <v>20401</v>
      </c>
      <c r="BZ322" s="50" t="s">
        <v>20400</v>
      </c>
      <c r="CA322" s="50" t="s">
        <v>20402</v>
      </c>
      <c r="CB322" s="50" t="s">
        <v>20403</v>
      </c>
      <c r="CC322" s="50" t="s">
        <v>20404</v>
      </c>
      <c r="CD322" s="50" t="s">
        <v>20402</v>
      </c>
      <c r="CE322" s="50" t="s">
        <v>20403</v>
      </c>
      <c r="CF322" s="50" t="s">
        <v>20404</v>
      </c>
      <c r="CG322" s="50" t="s">
        <v>4062</v>
      </c>
      <c r="CH322" s="50" t="s">
        <v>4049</v>
      </c>
      <c r="CJ322" s="50" t="s">
        <v>20405</v>
      </c>
      <c r="CK322" s="50" t="s">
        <v>4049</v>
      </c>
      <c r="CL322" s="50" t="s">
        <v>20406</v>
      </c>
      <c r="CM322" s="50" t="s">
        <v>20407</v>
      </c>
      <c r="CN322" s="50" t="s">
        <v>20405</v>
      </c>
      <c r="CP322" s="50" t="s">
        <v>4049</v>
      </c>
      <c r="CQ322" s="50" t="s">
        <v>20408</v>
      </c>
      <c r="CR322" s="50" t="s">
        <v>26047</v>
      </c>
    </row>
    <row r="323" spans="1:96">
      <c r="A323" s="50" t="s">
        <v>149</v>
      </c>
      <c r="B323" s="50">
        <v>3520543</v>
      </c>
      <c r="C323" s="50" t="s">
        <v>985</v>
      </c>
      <c r="D323" s="50" t="s">
        <v>6524</v>
      </c>
      <c r="E323" s="50" t="e">
        <f>VLOOKUP(B323,aa!B:F,5,0)</f>
        <v>#N/A</v>
      </c>
      <c r="F323" s="50" t="e">
        <f>VLOOKUP(B323,aa!B:J,9,0)</f>
        <v>#N/A</v>
      </c>
      <c r="G323" s="50" t="e">
        <f>VLOOKUP(B323,aa!B:L,11,0)</f>
        <v>#N/A</v>
      </c>
      <c r="H323" s="50" t="e">
        <f>VLOOKUP(B323,aa!B:O,14,0)</f>
        <v>#N/A</v>
      </c>
      <c r="I323" s="50" t="e">
        <f>VLOOKUP(B323,aa!B:R,17,0)</f>
        <v>#N/A</v>
      </c>
      <c r="K323" s="50" t="s">
        <v>97</v>
      </c>
      <c r="L323" s="50">
        <v>813894</v>
      </c>
      <c r="M323" s="50">
        <v>813894</v>
      </c>
      <c r="N323" s="50">
        <v>813894</v>
      </c>
      <c r="O323" s="50">
        <v>1011</v>
      </c>
      <c r="P323" s="50" t="s">
        <v>2141</v>
      </c>
      <c r="Q323" s="50">
        <v>0</v>
      </c>
      <c r="R323" s="50">
        <v>0</v>
      </c>
      <c r="T323" s="50">
        <v>0</v>
      </c>
      <c r="U323" s="50">
        <v>0</v>
      </c>
      <c r="W323" s="50" t="s">
        <v>102</v>
      </c>
      <c r="X323" s="50" t="s">
        <v>103</v>
      </c>
      <c r="Y323" s="50" t="s">
        <v>104</v>
      </c>
      <c r="AA323" s="50" t="s">
        <v>11976</v>
      </c>
      <c r="AB323" s="50" t="s">
        <v>16383</v>
      </c>
      <c r="AC323" s="50" t="s">
        <v>5651</v>
      </c>
      <c r="AD323" s="50" t="s">
        <v>16383</v>
      </c>
      <c r="AE323" s="50" t="s">
        <v>109</v>
      </c>
      <c r="AF323" s="50" t="s">
        <v>102</v>
      </c>
      <c r="AG323" s="50" t="s">
        <v>109</v>
      </c>
      <c r="AH323" s="50" t="s">
        <v>102</v>
      </c>
      <c r="AI323" s="50" t="s">
        <v>102</v>
      </c>
      <c r="AJ323" s="50" t="s">
        <v>12838</v>
      </c>
      <c r="AK323" s="50" t="s">
        <v>12041</v>
      </c>
      <c r="AL323" s="50" t="s">
        <v>16384</v>
      </c>
      <c r="AM323" s="50" t="s">
        <v>16385</v>
      </c>
      <c r="AN323" s="50" t="s">
        <v>16386</v>
      </c>
      <c r="AO323" s="50" t="s">
        <v>16387</v>
      </c>
      <c r="AP323" s="50" t="s">
        <v>16387</v>
      </c>
      <c r="AU323" s="50" t="s">
        <v>318</v>
      </c>
      <c r="AV323" s="50" t="s">
        <v>118</v>
      </c>
      <c r="AW323" s="50" t="s">
        <v>102</v>
      </c>
      <c r="AX323" s="50" t="s">
        <v>119</v>
      </c>
      <c r="BB323" s="50" t="s">
        <v>120</v>
      </c>
      <c r="BC323" s="50" t="s">
        <v>2127</v>
      </c>
      <c r="BD323" s="50" t="s">
        <v>621</v>
      </c>
      <c r="BE323" s="50" t="s">
        <v>622</v>
      </c>
      <c r="BF323" s="50" t="s">
        <v>976</v>
      </c>
      <c r="BG323" s="50" t="s">
        <v>124</v>
      </c>
      <c r="BH323" s="50" t="s">
        <v>13680</v>
      </c>
      <c r="BI323" s="50" t="s">
        <v>11889</v>
      </c>
      <c r="BJ323" s="50" t="s">
        <v>127</v>
      </c>
      <c r="BK323" s="50" t="s">
        <v>16388</v>
      </c>
      <c r="BL323" s="50" t="s">
        <v>6532</v>
      </c>
      <c r="BM323" s="50" t="s">
        <v>16389</v>
      </c>
      <c r="BN323" s="50" t="s">
        <v>16382</v>
      </c>
      <c r="BO323" s="50" t="s">
        <v>981</v>
      </c>
      <c r="BP323" s="50" t="s">
        <v>505</v>
      </c>
      <c r="BQ323" s="50" t="s">
        <v>982</v>
      </c>
      <c r="BR323" s="50" t="s">
        <v>983</v>
      </c>
      <c r="BS323" s="50" t="s">
        <v>984</v>
      </c>
      <c r="BU323" s="50" t="s">
        <v>16390</v>
      </c>
      <c r="BV323" s="50" t="s">
        <v>6535</v>
      </c>
      <c r="BW323" s="50" t="s">
        <v>138</v>
      </c>
      <c r="BX323" s="50" t="s">
        <v>6536</v>
      </c>
      <c r="BY323" s="50" t="s">
        <v>6537</v>
      </c>
      <c r="BZ323" s="50" t="s">
        <v>6538</v>
      </c>
      <c r="CA323" s="50" t="s">
        <v>16391</v>
      </c>
      <c r="CB323" s="50" t="s">
        <v>6536</v>
      </c>
      <c r="CC323" s="50" t="s">
        <v>6537</v>
      </c>
      <c r="CD323" s="50" t="s">
        <v>16392</v>
      </c>
      <c r="CE323" s="50" t="s">
        <v>16393</v>
      </c>
      <c r="CF323" s="50" t="s">
        <v>16394</v>
      </c>
      <c r="CG323" s="50" t="s">
        <v>102</v>
      </c>
      <c r="CH323" s="50" t="s">
        <v>16395</v>
      </c>
      <c r="CJ323" s="50" t="s">
        <v>6540</v>
      </c>
      <c r="CL323" s="50" t="s">
        <v>2127</v>
      </c>
      <c r="CM323" s="50" t="s">
        <v>621</v>
      </c>
      <c r="CN323" s="50" t="s">
        <v>6540</v>
      </c>
      <c r="CP323" s="50" t="s">
        <v>6539</v>
      </c>
      <c r="CQ323" s="50" t="s">
        <v>6539</v>
      </c>
      <c r="CR323" s="50" t="s">
        <v>26043</v>
      </c>
    </row>
    <row r="324" spans="1:96">
      <c r="A324" s="50" t="s">
        <v>149</v>
      </c>
      <c r="B324" s="50">
        <v>34097</v>
      </c>
      <c r="C324" s="50" t="s">
        <v>11882</v>
      </c>
      <c r="D324" s="50" t="s">
        <v>5938</v>
      </c>
      <c r="E324" s="50" t="str">
        <f>VLOOKUP(B324,aa!B:F,5,0)</f>
        <v>Ei Mindspark</v>
      </c>
      <c r="F324" s="50">
        <f>VLOOKUP(B324,aa!B:J,9,0)</f>
        <v>508297</v>
      </c>
      <c r="G324" s="50">
        <f>VLOOKUP(B324,aa!B:L,11,0)</f>
        <v>0</v>
      </c>
      <c r="H324" s="50">
        <f>VLOOKUP(B324,aa!B:O,14,0)</f>
        <v>0</v>
      </c>
      <c r="I324" s="50">
        <f>VLOOKUP(B324,aa!B:R,17,0)</f>
        <v>508297</v>
      </c>
      <c r="K324" s="50" t="s">
        <v>848</v>
      </c>
      <c r="L324" s="50">
        <v>561152</v>
      </c>
      <c r="M324" s="50">
        <v>662159</v>
      </c>
      <c r="N324" s="50">
        <v>0</v>
      </c>
      <c r="O324" s="50">
        <v>0</v>
      </c>
      <c r="Q324" s="50">
        <v>0</v>
      </c>
      <c r="R324" s="50">
        <v>0</v>
      </c>
      <c r="T324" s="50">
        <v>561152</v>
      </c>
      <c r="U324" s="50">
        <v>234</v>
      </c>
      <c r="V324" s="50" t="s">
        <v>14168</v>
      </c>
      <c r="W324" s="50" t="s">
        <v>102</v>
      </c>
      <c r="X324" s="50" t="s">
        <v>103</v>
      </c>
      <c r="Y324" s="50" t="s">
        <v>155</v>
      </c>
      <c r="AA324" s="50" t="s">
        <v>13680</v>
      </c>
      <c r="AB324" s="50" t="s">
        <v>15919</v>
      </c>
      <c r="AC324" s="50" t="s">
        <v>11976</v>
      </c>
      <c r="AD324" s="50" t="s">
        <v>15919</v>
      </c>
      <c r="AE324" s="50" t="s">
        <v>5651</v>
      </c>
      <c r="AF324" s="50" t="s">
        <v>15919</v>
      </c>
      <c r="AG324" s="50" t="s">
        <v>12084</v>
      </c>
      <c r="AH324" s="50" t="s">
        <v>15919</v>
      </c>
      <c r="AI324" s="50" t="s">
        <v>15920</v>
      </c>
      <c r="AJ324" s="50" t="s">
        <v>13496</v>
      </c>
      <c r="AK324" s="50" t="s">
        <v>6895</v>
      </c>
      <c r="AL324" s="50" t="s">
        <v>15921</v>
      </c>
      <c r="AM324" s="50" t="s">
        <v>15922</v>
      </c>
      <c r="AN324" s="50" t="s">
        <v>15923</v>
      </c>
      <c r="AO324" s="50" t="s">
        <v>14174</v>
      </c>
      <c r="AP324" s="50" t="s">
        <v>14175</v>
      </c>
      <c r="AT324" s="50" t="s">
        <v>169</v>
      </c>
      <c r="AU324" s="50" t="s">
        <v>102</v>
      </c>
      <c r="AW324" s="50" t="s">
        <v>102</v>
      </c>
      <c r="AX324" s="50" t="s">
        <v>119</v>
      </c>
      <c r="BA324" s="50" t="s">
        <v>250</v>
      </c>
      <c r="BB324" s="50" t="s">
        <v>120</v>
      </c>
      <c r="BC324" s="50" t="s">
        <v>2840</v>
      </c>
      <c r="BD324" s="50" t="s">
        <v>449</v>
      </c>
      <c r="BE324" s="50" t="s">
        <v>122</v>
      </c>
      <c r="BF324" s="50" t="s">
        <v>253</v>
      </c>
      <c r="BG324" s="50" t="s">
        <v>124</v>
      </c>
      <c r="BH324" s="50" t="s">
        <v>14000</v>
      </c>
      <c r="BI324" s="50" t="s">
        <v>11889</v>
      </c>
      <c r="BJ324" s="50" t="s">
        <v>127</v>
      </c>
      <c r="BK324" s="50" t="s">
        <v>15924</v>
      </c>
      <c r="BL324" s="50" t="s">
        <v>5946</v>
      </c>
      <c r="BM324" s="50" t="s">
        <v>15925</v>
      </c>
      <c r="BN324" s="50" t="s">
        <v>13036</v>
      </c>
      <c r="BO324" s="50" t="s">
        <v>3267</v>
      </c>
      <c r="BP324" s="50" t="s">
        <v>350</v>
      </c>
      <c r="BQ324" s="50" t="s">
        <v>3268</v>
      </c>
      <c r="BR324" s="50" t="s">
        <v>3269</v>
      </c>
      <c r="BS324" s="50" t="s">
        <v>135</v>
      </c>
      <c r="BU324" s="50" t="s">
        <v>15926</v>
      </c>
      <c r="BV324" s="50" t="s">
        <v>14179</v>
      </c>
      <c r="BW324" s="50" t="s">
        <v>569</v>
      </c>
      <c r="BX324" s="50" t="s">
        <v>14180</v>
      </c>
      <c r="BY324" s="50" t="s">
        <v>3633</v>
      </c>
      <c r="BZ324" s="50" t="s">
        <v>5949</v>
      </c>
      <c r="CA324" s="50" t="s">
        <v>14179</v>
      </c>
      <c r="CB324" s="50" t="s">
        <v>14180</v>
      </c>
      <c r="CC324" s="50" t="s">
        <v>3633</v>
      </c>
      <c r="CD324" s="50" t="s">
        <v>14179</v>
      </c>
      <c r="CE324" s="50" t="s">
        <v>14180</v>
      </c>
      <c r="CF324" s="50" t="s">
        <v>3633</v>
      </c>
      <c r="CG324" s="50" t="s">
        <v>102</v>
      </c>
      <c r="CH324" s="50" t="s">
        <v>15927</v>
      </c>
      <c r="CJ324" s="50" t="s">
        <v>5951</v>
      </c>
      <c r="CL324" s="50" t="s">
        <v>2840</v>
      </c>
      <c r="CM324" s="50" t="s">
        <v>449</v>
      </c>
      <c r="CN324" s="50" t="s">
        <v>5951</v>
      </c>
      <c r="CO324" s="50" t="s">
        <v>3637</v>
      </c>
      <c r="CP324" s="50" t="s">
        <v>5950</v>
      </c>
      <c r="CQ324" s="50" t="s">
        <v>5950</v>
      </c>
    </row>
    <row r="325" spans="1:96">
      <c r="A325" s="50" t="s">
        <v>149</v>
      </c>
      <c r="B325" s="50">
        <v>1204891</v>
      </c>
      <c r="C325" s="50" t="s">
        <v>632</v>
      </c>
      <c r="D325" s="50" t="s">
        <v>605</v>
      </c>
      <c r="E325" s="50" t="str">
        <f>VLOOKUP(B325,aa!B:F,5,0)</f>
        <v>Ei ASSET, Ei Mindspark</v>
      </c>
      <c r="F325" s="50">
        <f>VLOOKUP(B325,aa!B:J,9,0)</f>
        <v>2328416</v>
      </c>
      <c r="G325" s="50">
        <f>VLOOKUP(B325,aa!B:L,11,0)</f>
        <v>1550411</v>
      </c>
      <c r="H325" s="50">
        <f>VLOOKUP(B325,aa!B:O,14,0)</f>
        <v>0</v>
      </c>
      <c r="I325" s="50">
        <f>VLOOKUP(B325,aa!B:R,17,0)</f>
        <v>778005</v>
      </c>
      <c r="K325" s="50" t="s">
        <v>193</v>
      </c>
      <c r="L325" s="50">
        <v>1939351</v>
      </c>
      <c r="M325" s="50">
        <v>2049214</v>
      </c>
      <c r="N325" s="50">
        <v>1329000</v>
      </c>
      <c r="O325" s="50">
        <v>2215</v>
      </c>
      <c r="P325" s="50" t="s">
        <v>310</v>
      </c>
      <c r="Q325" s="50">
        <v>0</v>
      </c>
      <c r="R325" s="50">
        <v>0</v>
      </c>
      <c r="T325" s="50">
        <v>610351</v>
      </c>
      <c r="U325" s="50">
        <v>277</v>
      </c>
      <c r="V325" s="50" t="s">
        <v>608</v>
      </c>
      <c r="W325" s="50" t="s">
        <v>102</v>
      </c>
      <c r="X325" s="50" t="s">
        <v>103</v>
      </c>
      <c r="Y325" s="50" t="s">
        <v>104</v>
      </c>
      <c r="AA325" s="50" t="s">
        <v>11932</v>
      </c>
      <c r="AB325" s="50" t="s">
        <v>12267</v>
      </c>
      <c r="AC325" s="50" t="s">
        <v>1427</v>
      </c>
      <c r="AD325" s="50" t="s">
        <v>12268</v>
      </c>
      <c r="AE325" s="50" t="s">
        <v>109</v>
      </c>
      <c r="AF325" s="50" t="s">
        <v>102</v>
      </c>
      <c r="AG325" s="50" t="s">
        <v>109</v>
      </c>
      <c r="AH325" s="50" t="s">
        <v>102</v>
      </c>
      <c r="AI325" s="50" t="s">
        <v>12269</v>
      </c>
      <c r="AJ325" s="50" t="s">
        <v>12270</v>
      </c>
      <c r="AK325" s="50" t="s">
        <v>12271</v>
      </c>
      <c r="AL325" s="50" t="s">
        <v>12272</v>
      </c>
      <c r="AM325" s="50" t="s">
        <v>12273</v>
      </c>
      <c r="AN325" s="50" t="s">
        <v>12274</v>
      </c>
      <c r="AO325" s="50" t="s">
        <v>619</v>
      </c>
      <c r="AP325" s="50" t="s">
        <v>619</v>
      </c>
      <c r="AU325" s="50" t="s">
        <v>247</v>
      </c>
      <c r="AV325" s="50" t="s">
        <v>118</v>
      </c>
      <c r="AW325" s="50" t="s">
        <v>102</v>
      </c>
      <c r="AX325" s="50" t="s">
        <v>119</v>
      </c>
      <c r="BA325" s="50" t="s">
        <v>250</v>
      </c>
      <c r="BB325" s="50" t="s">
        <v>120</v>
      </c>
      <c r="BC325" s="50" t="s">
        <v>620</v>
      </c>
      <c r="BD325" s="50" t="s">
        <v>621</v>
      </c>
      <c r="BE325" s="50" t="s">
        <v>622</v>
      </c>
      <c r="BF325" s="50" t="s">
        <v>623</v>
      </c>
      <c r="BG325" s="50" t="s">
        <v>124</v>
      </c>
      <c r="BH325" s="50" t="s">
        <v>12275</v>
      </c>
      <c r="BI325" s="50" t="s">
        <v>12276</v>
      </c>
      <c r="BJ325" s="50" t="s">
        <v>127</v>
      </c>
      <c r="BK325" s="50" t="s">
        <v>12277</v>
      </c>
      <c r="BL325" s="50" t="s">
        <v>627</v>
      </c>
      <c r="BM325" s="50" t="s">
        <v>12278</v>
      </c>
      <c r="BN325" s="50" t="s">
        <v>12266</v>
      </c>
      <c r="BO325" s="50" t="s">
        <v>1339</v>
      </c>
      <c r="BP325" s="50" t="s">
        <v>350</v>
      </c>
      <c r="BQ325" s="50" t="s">
        <v>1340</v>
      </c>
      <c r="BR325" s="50" t="s">
        <v>1341</v>
      </c>
      <c r="BS325" s="50" t="s">
        <v>632</v>
      </c>
      <c r="BU325" s="50" t="s">
        <v>12279</v>
      </c>
      <c r="BV325" s="50" t="s">
        <v>12280</v>
      </c>
      <c r="BW325" s="50" t="s">
        <v>138</v>
      </c>
      <c r="BX325" s="50" t="s">
        <v>12281</v>
      </c>
      <c r="BY325" s="50" t="s">
        <v>12282</v>
      </c>
      <c r="BZ325" s="50" t="s">
        <v>637</v>
      </c>
      <c r="CA325" s="50" t="s">
        <v>12283</v>
      </c>
      <c r="CB325" s="50" t="s">
        <v>12281</v>
      </c>
      <c r="CC325" s="50" t="s">
        <v>12284</v>
      </c>
      <c r="CD325" s="50" t="s">
        <v>12285</v>
      </c>
      <c r="CE325" s="50" t="s">
        <v>12286</v>
      </c>
      <c r="CF325" s="50" t="s">
        <v>12284</v>
      </c>
      <c r="CG325" s="50" t="s">
        <v>102</v>
      </c>
      <c r="CH325" s="50" t="s">
        <v>639</v>
      </c>
      <c r="CJ325" s="50" t="s">
        <v>640</v>
      </c>
      <c r="CL325" s="50" t="s">
        <v>620</v>
      </c>
      <c r="CM325" s="50" t="s">
        <v>621</v>
      </c>
      <c r="CN325" s="50" t="s">
        <v>640</v>
      </c>
      <c r="CO325" s="50" t="s">
        <v>148</v>
      </c>
      <c r="CP325" s="50" t="s">
        <v>639</v>
      </c>
      <c r="CQ325" s="50" t="s">
        <v>639</v>
      </c>
    </row>
    <row r="326" spans="1:96">
      <c r="A326" s="50" t="s">
        <v>495</v>
      </c>
      <c r="B326" s="50">
        <v>5018164</v>
      </c>
      <c r="C326" s="50" t="s">
        <v>11995</v>
      </c>
      <c r="D326" s="50" t="s">
        <v>10552</v>
      </c>
      <c r="E326" s="50" t="str">
        <f>VLOOKUP(B326,aa!B:F,5,0)</f>
        <v>Ei Mindspark</v>
      </c>
      <c r="F326" s="50">
        <f>VLOOKUP(B326,aa!B:J,9,0)</f>
        <v>286260</v>
      </c>
      <c r="G326" s="50">
        <f>VLOOKUP(B326,aa!B:L,11,0)</f>
        <v>0</v>
      </c>
      <c r="H326" s="50">
        <f>VLOOKUP(B326,aa!B:O,14,0)</f>
        <v>0</v>
      </c>
      <c r="I326" s="50">
        <f>VLOOKUP(B326,aa!B:R,17,0)</f>
        <v>286260</v>
      </c>
      <c r="K326" s="50" t="s">
        <v>193</v>
      </c>
      <c r="L326" s="50">
        <v>579460</v>
      </c>
      <c r="M326" s="50">
        <v>656493</v>
      </c>
      <c r="N326" s="50">
        <v>151500</v>
      </c>
      <c r="O326" s="50">
        <v>202</v>
      </c>
      <c r="P326" s="50" t="s">
        <v>101</v>
      </c>
      <c r="Q326" s="50">
        <v>0</v>
      </c>
      <c r="R326" s="50">
        <v>0</v>
      </c>
      <c r="T326" s="50">
        <v>427960</v>
      </c>
      <c r="U326" s="50">
        <v>202</v>
      </c>
      <c r="V326" s="50" t="s">
        <v>2166</v>
      </c>
      <c r="W326" s="50" t="s">
        <v>102</v>
      </c>
      <c r="X326" s="50" t="s">
        <v>103</v>
      </c>
      <c r="Y326" s="50" t="s">
        <v>5317</v>
      </c>
      <c r="AA326" s="50" t="s">
        <v>8708</v>
      </c>
      <c r="AB326" s="50" t="s">
        <v>19457</v>
      </c>
      <c r="AC326" s="50" t="s">
        <v>19458</v>
      </c>
      <c r="AD326" s="50" t="s">
        <v>19459</v>
      </c>
      <c r="AE326" s="50" t="s">
        <v>13263</v>
      </c>
      <c r="AF326" s="50" t="s">
        <v>19460</v>
      </c>
      <c r="AG326" s="50" t="s">
        <v>109</v>
      </c>
      <c r="AH326" s="50" t="s">
        <v>102</v>
      </c>
      <c r="AI326" s="50" t="s">
        <v>102</v>
      </c>
      <c r="AL326" s="50" t="s">
        <v>19461</v>
      </c>
      <c r="AM326" s="50" t="s">
        <v>102</v>
      </c>
      <c r="AN326" s="50" t="s">
        <v>19461</v>
      </c>
      <c r="AO326" s="50" t="s">
        <v>19462</v>
      </c>
      <c r="AP326" s="50" t="s">
        <v>19462</v>
      </c>
      <c r="AU326" s="50" t="s">
        <v>247</v>
      </c>
      <c r="AV326" s="50" t="s">
        <v>118</v>
      </c>
      <c r="AW326" s="50" t="s">
        <v>102</v>
      </c>
      <c r="AX326" s="50" t="s">
        <v>119</v>
      </c>
      <c r="BA326" s="50" t="s">
        <v>250</v>
      </c>
      <c r="BB326" s="50" t="s">
        <v>120</v>
      </c>
      <c r="BC326" s="50" t="s">
        <v>6389</v>
      </c>
      <c r="BD326" s="50" t="s">
        <v>6390</v>
      </c>
      <c r="BE326" s="50" t="s">
        <v>212</v>
      </c>
      <c r="BF326" s="50" t="s">
        <v>286</v>
      </c>
      <c r="BG326" s="50" t="s">
        <v>124</v>
      </c>
      <c r="BH326" s="50" t="s">
        <v>12636</v>
      </c>
      <c r="BI326" s="50" t="s">
        <v>12637</v>
      </c>
      <c r="BJ326" s="50" t="s">
        <v>127</v>
      </c>
      <c r="BK326" s="50" t="s">
        <v>19463</v>
      </c>
      <c r="BL326" s="50" t="s">
        <v>10563</v>
      </c>
      <c r="BM326" s="50" t="s">
        <v>19464</v>
      </c>
      <c r="BN326" s="50" t="s">
        <v>19456</v>
      </c>
      <c r="BO326" s="50" t="s">
        <v>12008</v>
      </c>
      <c r="BP326" s="50" t="s">
        <v>132</v>
      </c>
      <c r="BQ326" s="50" t="s">
        <v>12009</v>
      </c>
      <c r="BR326" s="50" t="s">
        <v>12010</v>
      </c>
      <c r="BS326" s="50" t="s">
        <v>737</v>
      </c>
      <c r="BU326" s="50" t="s">
        <v>19465</v>
      </c>
      <c r="BV326" s="50" t="s">
        <v>10566</v>
      </c>
      <c r="BW326" s="50" t="s">
        <v>138</v>
      </c>
      <c r="BX326" s="50" t="s">
        <v>10567</v>
      </c>
      <c r="BY326" s="50" t="s">
        <v>19466</v>
      </c>
      <c r="BZ326" s="50" t="s">
        <v>10567</v>
      </c>
      <c r="CA326" s="50" t="s">
        <v>10566</v>
      </c>
      <c r="CB326" s="50" t="s">
        <v>10567</v>
      </c>
      <c r="CC326" s="50" t="s">
        <v>19466</v>
      </c>
      <c r="CD326" s="50" t="s">
        <v>10566</v>
      </c>
      <c r="CE326" s="50" t="s">
        <v>10567</v>
      </c>
      <c r="CF326" s="50" t="s">
        <v>19466</v>
      </c>
      <c r="CG326" s="50" t="s">
        <v>7248</v>
      </c>
      <c r="CH326" s="50" t="s">
        <v>19467</v>
      </c>
      <c r="CJ326" s="50" t="s">
        <v>102</v>
      </c>
      <c r="CK326" s="50" t="s">
        <v>19468</v>
      </c>
      <c r="CL326" s="50" t="s">
        <v>6389</v>
      </c>
      <c r="CM326" s="50" t="s">
        <v>6390</v>
      </c>
      <c r="CN326" s="50" t="s">
        <v>102</v>
      </c>
      <c r="CP326" s="50" t="s">
        <v>10569</v>
      </c>
      <c r="CQ326" s="50" t="s">
        <v>10570</v>
      </c>
    </row>
    <row r="327" spans="1:96">
      <c r="A327" s="50" t="s">
        <v>149</v>
      </c>
      <c r="B327" s="50">
        <v>3303259</v>
      </c>
      <c r="C327" s="50" t="s">
        <v>12507</v>
      </c>
      <c r="D327" s="50" t="s">
        <v>5415</v>
      </c>
      <c r="E327" s="50" t="str">
        <f>VLOOKUP(B327,aa!B:F,5,0)</f>
        <v>Ei ASSET</v>
      </c>
      <c r="F327" s="50">
        <f>VLOOKUP(B327,aa!B:J,9,0)</f>
        <v>123207</v>
      </c>
      <c r="G327" s="50">
        <f>VLOOKUP(B327,aa!B:L,11,0)</f>
        <v>123207</v>
      </c>
      <c r="H327" s="50">
        <f>VLOOKUP(B327,aa!B:O,14,0)</f>
        <v>0</v>
      </c>
      <c r="I327" s="50">
        <f>VLOOKUP(B327,aa!B:R,17,0)</f>
        <v>0</v>
      </c>
      <c r="K327" s="50" t="s">
        <v>97</v>
      </c>
      <c r="L327" s="50">
        <v>124087</v>
      </c>
      <c r="M327" s="50">
        <v>124087</v>
      </c>
      <c r="N327" s="50">
        <v>124087</v>
      </c>
      <c r="O327" s="50">
        <v>141</v>
      </c>
      <c r="P327" s="50" t="s">
        <v>12942</v>
      </c>
      <c r="Q327" s="50">
        <v>0</v>
      </c>
      <c r="R327" s="50">
        <v>0</v>
      </c>
      <c r="T327" s="50">
        <v>0</v>
      </c>
      <c r="U327" s="50">
        <v>0</v>
      </c>
      <c r="W327" s="50" t="s">
        <v>102</v>
      </c>
      <c r="X327" s="50" t="s">
        <v>679</v>
      </c>
      <c r="Y327" s="50" t="s">
        <v>398</v>
      </c>
      <c r="Z327" s="50" t="s">
        <v>12395</v>
      </c>
      <c r="AA327" s="50" t="s">
        <v>15484</v>
      </c>
      <c r="AB327" s="50" t="s">
        <v>15485</v>
      </c>
      <c r="AC327" s="50" t="s">
        <v>15486</v>
      </c>
      <c r="AD327" s="50" t="s">
        <v>15487</v>
      </c>
      <c r="AE327" s="50" t="s">
        <v>15488</v>
      </c>
      <c r="AF327" s="50" t="s">
        <v>15487</v>
      </c>
      <c r="AG327" s="50" t="s">
        <v>109</v>
      </c>
      <c r="AH327" s="50" t="s">
        <v>102</v>
      </c>
      <c r="AI327" s="50" t="s">
        <v>102</v>
      </c>
      <c r="AJ327" s="50" t="s">
        <v>6715</v>
      </c>
      <c r="AK327" s="50" t="s">
        <v>15489</v>
      </c>
      <c r="AL327" s="50" t="s">
        <v>15490</v>
      </c>
      <c r="AM327" s="50" t="s">
        <v>15491</v>
      </c>
      <c r="AN327" s="50" t="s">
        <v>15492</v>
      </c>
      <c r="AO327" s="50" t="s">
        <v>13068</v>
      </c>
      <c r="AP327" s="50" t="s">
        <v>13069</v>
      </c>
      <c r="AT327" s="50" t="s">
        <v>169</v>
      </c>
      <c r="AU327" s="50" t="s">
        <v>117</v>
      </c>
      <c r="AV327" s="50" t="s">
        <v>118</v>
      </c>
      <c r="AW327" s="50" t="s">
        <v>102</v>
      </c>
      <c r="AX327" s="50" t="s">
        <v>119</v>
      </c>
      <c r="BB327" s="50" t="s">
        <v>120</v>
      </c>
      <c r="BC327" s="50" t="s">
        <v>5423</v>
      </c>
      <c r="BD327" s="50" t="s">
        <v>2543</v>
      </c>
      <c r="BE327" s="50" t="s">
        <v>122</v>
      </c>
      <c r="BF327" s="50" t="s">
        <v>557</v>
      </c>
      <c r="BG327" s="50" t="s">
        <v>124</v>
      </c>
      <c r="BH327" s="50" t="s">
        <v>12023</v>
      </c>
      <c r="BI327" s="50" t="s">
        <v>11889</v>
      </c>
      <c r="BJ327" s="50" t="s">
        <v>127</v>
      </c>
      <c r="BK327" s="50" t="s">
        <v>15493</v>
      </c>
      <c r="BL327" s="50" t="s">
        <v>5425</v>
      </c>
      <c r="BM327" s="50" t="s">
        <v>15494</v>
      </c>
      <c r="BN327" s="50" t="s">
        <v>15483</v>
      </c>
      <c r="BO327" s="50" t="s">
        <v>12743</v>
      </c>
      <c r="BP327" s="50" t="s">
        <v>350</v>
      </c>
      <c r="BQ327" s="50" t="s">
        <v>12744</v>
      </c>
      <c r="BR327" s="50" t="s">
        <v>12745</v>
      </c>
      <c r="BS327" s="50" t="s">
        <v>1075</v>
      </c>
      <c r="BU327" s="50" t="s">
        <v>15495</v>
      </c>
      <c r="BV327" s="50" t="s">
        <v>5428</v>
      </c>
      <c r="BW327" s="50" t="s">
        <v>138</v>
      </c>
      <c r="BX327" s="50" t="s">
        <v>5429</v>
      </c>
      <c r="BY327" s="50" t="s">
        <v>5430</v>
      </c>
      <c r="BZ327" s="50" t="s">
        <v>5431</v>
      </c>
      <c r="CA327" s="50" t="s">
        <v>5428</v>
      </c>
      <c r="CB327" s="50" t="s">
        <v>5431</v>
      </c>
      <c r="CC327" s="50" t="s">
        <v>15496</v>
      </c>
      <c r="CD327" s="50" t="s">
        <v>5428</v>
      </c>
      <c r="CE327" s="50" t="s">
        <v>5431</v>
      </c>
      <c r="CF327" s="50" t="s">
        <v>15496</v>
      </c>
      <c r="CG327" s="50" t="s">
        <v>573</v>
      </c>
      <c r="CH327" s="50" t="s">
        <v>2831</v>
      </c>
      <c r="CJ327" s="50" t="s">
        <v>5433</v>
      </c>
      <c r="CK327" s="50" t="s">
        <v>5432</v>
      </c>
      <c r="CL327" s="50" t="s">
        <v>5423</v>
      </c>
      <c r="CM327" s="50" t="s">
        <v>2543</v>
      </c>
      <c r="CN327" s="50" t="s">
        <v>5433</v>
      </c>
      <c r="CP327" s="50" t="s">
        <v>5432</v>
      </c>
      <c r="CQ327" s="50" t="s">
        <v>5432</v>
      </c>
    </row>
    <row r="328" spans="1:96">
      <c r="A328" s="50" t="s">
        <v>337</v>
      </c>
      <c r="B328" s="50">
        <v>1173541</v>
      </c>
      <c r="C328" s="50" t="s">
        <v>12018</v>
      </c>
      <c r="D328" s="50" t="s">
        <v>12208</v>
      </c>
      <c r="E328" s="50" t="str">
        <f>VLOOKUP(B328,aa!B:F,5,0)</f>
        <v>Ei CARES</v>
      </c>
      <c r="F328" s="50">
        <f>VLOOKUP(B328,aa!B:J,9,0)</f>
        <v>194386</v>
      </c>
      <c r="G328" s="50">
        <f>VLOOKUP(B328,aa!B:L,11,0)</f>
        <v>0</v>
      </c>
      <c r="H328" s="50">
        <f>VLOOKUP(B328,aa!B:O,14,0)</f>
        <v>194386</v>
      </c>
      <c r="I328" s="50">
        <f>VLOOKUP(B328,aa!B:R,17,0)</f>
        <v>0</v>
      </c>
      <c r="K328" s="50" t="s">
        <v>152</v>
      </c>
      <c r="L328" s="50">
        <v>218100</v>
      </c>
      <c r="M328" s="50">
        <v>218100</v>
      </c>
      <c r="N328" s="50">
        <v>0</v>
      </c>
      <c r="O328" s="50">
        <v>0</v>
      </c>
      <c r="Q328" s="50">
        <v>218100</v>
      </c>
      <c r="R328" s="50">
        <v>368</v>
      </c>
      <c r="S328" s="50" t="s">
        <v>12210</v>
      </c>
      <c r="T328" s="50">
        <v>0</v>
      </c>
      <c r="U328" s="50">
        <v>0</v>
      </c>
      <c r="W328" s="50" t="s">
        <v>102</v>
      </c>
      <c r="X328" s="50" t="s">
        <v>679</v>
      </c>
      <c r="Y328" s="50" t="s">
        <v>155</v>
      </c>
      <c r="Z328" s="50" t="s">
        <v>12211</v>
      </c>
      <c r="AA328" s="50" t="s">
        <v>12212</v>
      </c>
      <c r="AB328" s="50" t="s">
        <v>12213</v>
      </c>
      <c r="AC328" s="50" t="s">
        <v>12214</v>
      </c>
      <c r="AD328" s="50" t="s">
        <v>12213</v>
      </c>
      <c r="AE328" s="50" t="s">
        <v>12215</v>
      </c>
      <c r="AF328" s="50" t="s">
        <v>12213</v>
      </c>
      <c r="AG328" s="50" t="s">
        <v>12216</v>
      </c>
      <c r="AH328" s="50" t="s">
        <v>12213</v>
      </c>
      <c r="AI328" s="50" t="s">
        <v>102</v>
      </c>
      <c r="AJ328" s="50" t="s">
        <v>12217</v>
      </c>
      <c r="AK328" s="50" t="s">
        <v>12217</v>
      </c>
      <c r="AL328" s="50" t="s">
        <v>12218</v>
      </c>
      <c r="AM328" s="50" t="s">
        <v>12219</v>
      </c>
      <c r="AN328" s="50" t="s">
        <v>12220</v>
      </c>
      <c r="AO328" s="50" t="s">
        <v>12221</v>
      </c>
      <c r="AP328" s="50" t="s">
        <v>12221</v>
      </c>
      <c r="AU328" s="50" t="s">
        <v>102</v>
      </c>
      <c r="AW328" s="50" t="s">
        <v>12222</v>
      </c>
      <c r="AX328" s="50" t="s">
        <v>447</v>
      </c>
      <c r="AY328" s="50" t="s">
        <v>1138</v>
      </c>
      <c r="AZ328" s="50" t="s">
        <v>250</v>
      </c>
      <c r="BB328" s="50" t="s">
        <v>209</v>
      </c>
      <c r="BC328" s="50" t="s">
        <v>3490</v>
      </c>
      <c r="BD328" s="50" t="s">
        <v>345</v>
      </c>
      <c r="BE328" s="50" t="s">
        <v>122</v>
      </c>
      <c r="BF328" s="50" t="s">
        <v>346</v>
      </c>
      <c r="BG328" s="50" t="s">
        <v>124</v>
      </c>
      <c r="BH328" s="50" t="s">
        <v>12023</v>
      </c>
      <c r="BI328" s="50" t="s">
        <v>11889</v>
      </c>
      <c r="BJ328" s="50" t="s">
        <v>127</v>
      </c>
      <c r="BK328" s="50" t="s">
        <v>12223</v>
      </c>
      <c r="BL328" s="50" t="s">
        <v>12224</v>
      </c>
      <c r="BM328" s="50" t="s">
        <v>12225</v>
      </c>
      <c r="BN328" s="50" t="s">
        <v>12209</v>
      </c>
      <c r="BO328" s="50" t="s">
        <v>12226</v>
      </c>
      <c r="BP328" s="50" t="s">
        <v>12227</v>
      </c>
      <c r="BQ328" s="50" t="s">
        <v>12228</v>
      </c>
      <c r="BR328" s="50" t="s">
        <v>12229</v>
      </c>
      <c r="BS328" s="50" t="s">
        <v>8623</v>
      </c>
      <c r="BU328" s="50" t="s">
        <v>12230</v>
      </c>
      <c r="BV328" s="50" t="s">
        <v>12231</v>
      </c>
      <c r="BW328" s="50" t="s">
        <v>354</v>
      </c>
      <c r="BX328" s="50" t="s">
        <v>12232</v>
      </c>
      <c r="BY328" s="50" t="s">
        <v>12233</v>
      </c>
      <c r="BZ328" s="50" t="s">
        <v>12234</v>
      </c>
      <c r="CA328" s="50" t="s">
        <v>12235</v>
      </c>
      <c r="CB328" s="50" t="s">
        <v>12234</v>
      </c>
      <c r="CC328" s="50" t="s">
        <v>12236</v>
      </c>
      <c r="CD328" s="50" t="s">
        <v>12237</v>
      </c>
      <c r="CE328" s="50" t="s">
        <v>12238</v>
      </c>
      <c r="CF328" s="50" t="s">
        <v>12239</v>
      </c>
      <c r="CG328" s="50" t="s">
        <v>4937</v>
      </c>
      <c r="CH328" s="50" t="s">
        <v>3490</v>
      </c>
      <c r="CJ328" s="50" t="s">
        <v>12240</v>
      </c>
      <c r="CK328" s="50" t="s">
        <v>12241</v>
      </c>
      <c r="CL328" s="50" t="s">
        <v>3490</v>
      </c>
      <c r="CM328" s="50" t="s">
        <v>345</v>
      </c>
      <c r="CN328" s="50" t="s">
        <v>12240</v>
      </c>
      <c r="CP328" s="50" t="s">
        <v>12242</v>
      </c>
      <c r="CQ328" s="50" t="s">
        <v>12242</v>
      </c>
    </row>
    <row r="329" spans="1:96">
      <c r="A329" s="50" t="s">
        <v>337</v>
      </c>
      <c r="B329" s="50">
        <v>2508568</v>
      </c>
      <c r="C329" s="50" t="s">
        <v>12018</v>
      </c>
      <c r="D329" s="50" t="s">
        <v>14300</v>
      </c>
      <c r="E329" s="50" t="str">
        <f>VLOOKUP(B329,aa!B:F,5,0)</f>
        <v>Ei CARES</v>
      </c>
      <c r="F329" s="50">
        <f>VLOOKUP(B329,aa!B:J,9,0)</f>
        <v>405266</v>
      </c>
      <c r="G329" s="50">
        <f>VLOOKUP(B329,aa!B:L,11,0)</f>
        <v>0</v>
      </c>
      <c r="H329" s="50">
        <f>VLOOKUP(B329,aa!B:O,14,0)</f>
        <v>405266</v>
      </c>
      <c r="I329" s="50">
        <f>VLOOKUP(B329,aa!B:R,17,0)</f>
        <v>0</v>
      </c>
      <c r="K329" s="50" t="s">
        <v>152</v>
      </c>
      <c r="L329" s="50">
        <v>498000</v>
      </c>
      <c r="M329" s="50">
        <v>498000</v>
      </c>
      <c r="N329" s="50">
        <v>0</v>
      </c>
      <c r="O329" s="50">
        <v>0</v>
      </c>
      <c r="Q329" s="50">
        <v>498000</v>
      </c>
      <c r="R329" s="50">
        <v>678</v>
      </c>
      <c r="S329" s="50" t="s">
        <v>14301</v>
      </c>
      <c r="T329" s="50">
        <v>0</v>
      </c>
      <c r="U329" s="50">
        <v>0</v>
      </c>
      <c r="W329" s="50" t="s">
        <v>102</v>
      </c>
      <c r="X329" s="50" t="s">
        <v>679</v>
      </c>
      <c r="Y329" s="50" t="s">
        <v>155</v>
      </c>
      <c r="Z329" s="50" t="s">
        <v>12211</v>
      </c>
      <c r="AA329" s="50" t="s">
        <v>12212</v>
      </c>
      <c r="AB329" s="50" t="s">
        <v>14302</v>
      </c>
      <c r="AC329" s="50" t="s">
        <v>12214</v>
      </c>
      <c r="AD329" s="50" t="s">
        <v>14302</v>
      </c>
      <c r="AE329" s="50" t="s">
        <v>12215</v>
      </c>
      <c r="AF329" s="50" t="s">
        <v>14302</v>
      </c>
      <c r="AG329" s="50" t="s">
        <v>12216</v>
      </c>
      <c r="AH329" s="50" t="s">
        <v>14302</v>
      </c>
      <c r="AI329" s="50" t="s">
        <v>102</v>
      </c>
      <c r="AJ329" s="50" t="s">
        <v>12217</v>
      </c>
      <c r="AK329" s="50" t="s">
        <v>12217</v>
      </c>
      <c r="AL329" s="50" t="s">
        <v>14303</v>
      </c>
      <c r="AM329" s="50" t="s">
        <v>14304</v>
      </c>
      <c r="AN329" s="50" t="s">
        <v>14305</v>
      </c>
      <c r="AO329" s="50" t="s">
        <v>12221</v>
      </c>
      <c r="AP329" s="50" t="s">
        <v>12221</v>
      </c>
      <c r="AU329" s="50" t="s">
        <v>102</v>
      </c>
      <c r="AW329" s="50" t="s">
        <v>12222</v>
      </c>
      <c r="AX329" s="50" t="s">
        <v>447</v>
      </c>
      <c r="AZ329" s="50" t="s">
        <v>250</v>
      </c>
      <c r="BB329" s="50" t="s">
        <v>120</v>
      </c>
      <c r="BC329" s="50" t="s">
        <v>3490</v>
      </c>
      <c r="BD329" s="50" t="s">
        <v>345</v>
      </c>
      <c r="BE329" s="50" t="s">
        <v>122</v>
      </c>
      <c r="BF329" s="50" t="s">
        <v>346</v>
      </c>
      <c r="BG329" s="50" t="s">
        <v>124</v>
      </c>
      <c r="BH329" s="50" t="s">
        <v>12023</v>
      </c>
      <c r="BI329" s="50" t="s">
        <v>11889</v>
      </c>
      <c r="BJ329" s="50" t="s">
        <v>127</v>
      </c>
      <c r="BK329" s="50" t="s">
        <v>14306</v>
      </c>
      <c r="BL329" s="50" t="s">
        <v>14307</v>
      </c>
      <c r="BM329" s="50" t="s">
        <v>14308</v>
      </c>
      <c r="BN329" s="50" t="s">
        <v>12209</v>
      </c>
      <c r="BO329" s="50" t="s">
        <v>12226</v>
      </c>
      <c r="BP329" s="50" t="s">
        <v>5833</v>
      </c>
      <c r="BQ329" s="50" t="s">
        <v>12228</v>
      </c>
      <c r="BR329" s="50" t="s">
        <v>12229</v>
      </c>
      <c r="BS329" s="50" t="s">
        <v>8623</v>
      </c>
      <c r="BU329" s="50" t="s">
        <v>14309</v>
      </c>
      <c r="BV329" s="50" t="s">
        <v>12231</v>
      </c>
      <c r="BW329" s="50" t="s">
        <v>354</v>
      </c>
      <c r="BX329" s="50" t="s">
        <v>12232</v>
      </c>
      <c r="BY329" s="50" t="s">
        <v>12233</v>
      </c>
      <c r="BZ329" s="50" t="s">
        <v>14310</v>
      </c>
      <c r="CA329" s="50" t="s">
        <v>12235</v>
      </c>
      <c r="CB329" s="50" t="s">
        <v>14311</v>
      </c>
      <c r="CC329" s="50" t="s">
        <v>12236</v>
      </c>
      <c r="CD329" s="50" t="s">
        <v>12237</v>
      </c>
      <c r="CE329" s="50" t="s">
        <v>14312</v>
      </c>
      <c r="CF329" s="50" t="s">
        <v>12239</v>
      </c>
      <c r="CG329" s="50" t="s">
        <v>907</v>
      </c>
      <c r="CH329" s="50" t="s">
        <v>14313</v>
      </c>
      <c r="CJ329" s="50" t="s">
        <v>14314</v>
      </c>
      <c r="CK329" s="50" t="s">
        <v>14313</v>
      </c>
      <c r="CL329" s="50" t="s">
        <v>3490</v>
      </c>
      <c r="CM329" s="50" t="s">
        <v>345</v>
      </c>
      <c r="CN329" s="50" t="s">
        <v>14314</v>
      </c>
      <c r="CP329" s="50" t="s">
        <v>14315</v>
      </c>
      <c r="CQ329" s="50" t="s">
        <v>14315</v>
      </c>
    </row>
    <row r="330" spans="1:96">
      <c r="A330" s="50" t="s">
        <v>337</v>
      </c>
      <c r="B330" s="50">
        <v>3857130</v>
      </c>
      <c r="C330" s="50" t="s">
        <v>12018</v>
      </c>
      <c r="D330" s="50" t="s">
        <v>17173</v>
      </c>
      <c r="E330" s="50" t="str">
        <f>VLOOKUP(B330,aa!B:F,5,0)</f>
        <v>Ei CARES</v>
      </c>
      <c r="F330" s="50">
        <f>VLOOKUP(B330,aa!B:J,9,0)</f>
        <v>272673</v>
      </c>
      <c r="G330" s="50">
        <f>VLOOKUP(B330,aa!B:L,11,0)</f>
        <v>0</v>
      </c>
      <c r="H330" s="50">
        <f>VLOOKUP(B330,aa!B:O,14,0)</f>
        <v>272673</v>
      </c>
      <c r="I330" s="50">
        <f>VLOOKUP(B330,aa!B:R,17,0)</f>
        <v>0</v>
      </c>
      <c r="K330" s="50" t="s">
        <v>152</v>
      </c>
      <c r="L330" s="50">
        <v>263100</v>
      </c>
      <c r="M330" s="50">
        <v>263100</v>
      </c>
      <c r="N330" s="50">
        <v>0</v>
      </c>
      <c r="O330" s="50">
        <v>0</v>
      </c>
      <c r="Q330" s="50">
        <v>263100</v>
      </c>
      <c r="R330" s="50">
        <v>364</v>
      </c>
      <c r="S330" s="50" t="s">
        <v>17174</v>
      </c>
      <c r="T330" s="50">
        <v>0</v>
      </c>
      <c r="U330" s="50">
        <v>0</v>
      </c>
      <c r="W330" s="50" t="s">
        <v>102</v>
      </c>
      <c r="X330" s="50" t="s">
        <v>679</v>
      </c>
      <c r="Y330" s="50" t="s">
        <v>155</v>
      </c>
      <c r="Z330" s="50" t="s">
        <v>12211</v>
      </c>
      <c r="AA330" s="50" t="s">
        <v>12212</v>
      </c>
      <c r="AB330" s="50" t="s">
        <v>17175</v>
      </c>
      <c r="AC330" s="50" t="s">
        <v>17047</v>
      </c>
      <c r="AD330" s="50" t="s">
        <v>17175</v>
      </c>
      <c r="AE330" s="50" t="s">
        <v>12215</v>
      </c>
      <c r="AF330" s="50" t="s">
        <v>17175</v>
      </c>
      <c r="AG330" s="50" t="s">
        <v>12216</v>
      </c>
      <c r="AH330" s="50" t="s">
        <v>17175</v>
      </c>
      <c r="AI330" s="50" t="s">
        <v>102</v>
      </c>
      <c r="AJ330" s="50" t="s">
        <v>12217</v>
      </c>
      <c r="AK330" s="50" t="s">
        <v>12217</v>
      </c>
      <c r="AL330" s="50" t="s">
        <v>17176</v>
      </c>
      <c r="AM330" s="50" t="s">
        <v>17177</v>
      </c>
      <c r="AN330" s="50" t="s">
        <v>17178</v>
      </c>
      <c r="AO330" s="50" t="s">
        <v>12221</v>
      </c>
      <c r="AP330" s="50" t="s">
        <v>12221</v>
      </c>
      <c r="AU330" s="50" t="s">
        <v>102</v>
      </c>
      <c r="AW330" s="50" t="s">
        <v>12222</v>
      </c>
      <c r="AX330" s="50" t="s">
        <v>447</v>
      </c>
      <c r="AZ330" s="50" t="s">
        <v>250</v>
      </c>
      <c r="BB330" s="50" t="s">
        <v>120</v>
      </c>
      <c r="BC330" s="50" t="s">
        <v>17179</v>
      </c>
      <c r="BD330" s="50" t="s">
        <v>345</v>
      </c>
      <c r="BE330" s="50" t="s">
        <v>122</v>
      </c>
      <c r="BF330" s="50" t="s">
        <v>346</v>
      </c>
      <c r="BG330" s="50" t="s">
        <v>124</v>
      </c>
      <c r="BH330" s="50" t="s">
        <v>12023</v>
      </c>
      <c r="BI330" s="50" t="s">
        <v>11889</v>
      </c>
      <c r="BJ330" s="50" t="s">
        <v>127</v>
      </c>
      <c r="BK330" s="50" t="s">
        <v>17180</v>
      </c>
      <c r="BL330" s="50" t="s">
        <v>17181</v>
      </c>
      <c r="BM330" s="50" t="s">
        <v>17182</v>
      </c>
      <c r="BN330" s="50" t="s">
        <v>12209</v>
      </c>
      <c r="BO330" s="50" t="s">
        <v>12226</v>
      </c>
      <c r="BP330" s="50" t="s">
        <v>5833</v>
      </c>
      <c r="BQ330" s="50" t="s">
        <v>12228</v>
      </c>
      <c r="BR330" s="50" t="s">
        <v>12229</v>
      </c>
      <c r="BS330" s="50" t="s">
        <v>8623</v>
      </c>
      <c r="BU330" s="50" t="s">
        <v>17183</v>
      </c>
      <c r="BV330" s="50" t="s">
        <v>12231</v>
      </c>
      <c r="BW330" s="50" t="s">
        <v>354</v>
      </c>
      <c r="BX330" s="50" t="s">
        <v>12232</v>
      </c>
      <c r="BY330" s="50" t="s">
        <v>12233</v>
      </c>
      <c r="BZ330" s="50" t="s">
        <v>12234</v>
      </c>
      <c r="CA330" s="50" t="s">
        <v>12235</v>
      </c>
      <c r="CB330" s="50" t="s">
        <v>12234</v>
      </c>
      <c r="CC330" s="50" t="s">
        <v>12236</v>
      </c>
      <c r="CD330" s="50" t="s">
        <v>12237</v>
      </c>
      <c r="CE330" s="50" t="s">
        <v>12238</v>
      </c>
      <c r="CF330" s="50" t="s">
        <v>12239</v>
      </c>
      <c r="CG330" s="50" t="s">
        <v>907</v>
      </c>
      <c r="CH330" s="50" t="s">
        <v>17184</v>
      </c>
      <c r="CJ330" s="50" t="s">
        <v>17185</v>
      </c>
      <c r="CK330" s="50" t="s">
        <v>17184</v>
      </c>
      <c r="CL330" s="50" t="s">
        <v>17179</v>
      </c>
      <c r="CM330" s="50" t="s">
        <v>345</v>
      </c>
      <c r="CN330" s="50" t="s">
        <v>17185</v>
      </c>
      <c r="CP330" s="50" t="s">
        <v>17186</v>
      </c>
      <c r="CQ330" s="50" t="s">
        <v>17186</v>
      </c>
    </row>
    <row r="331" spans="1:96">
      <c r="A331" s="50" t="s">
        <v>337</v>
      </c>
      <c r="B331" s="50">
        <v>3857260</v>
      </c>
      <c r="C331" s="50" t="s">
        <v>12018</v>
      </c>
      <c r="D331" s="50" t="s">
        <v>17187</v>
      </c>
      <c r="E331" s="50" t="str">
        <f>VLOOKUP(B331,aa!B:F,5,0)</f>
        <v>Ei CARES</v>
      </c>
      <c r="F331" s="50">
        <f>VLOOKUP(B331,aa!B:J,9,0)</f>
        <v>240808</v>
      </c>
      <c r="G331" s="50">
        <f>VLOOKUP(B331,aa!B:L,11,0)</f>
        <v>0</v>
      </c>
      <c r="H331" s="50">
        <f>VLOOKUP(B331,aa!B:O,14,0)</f>
        <v>240808</v>
      </c>
      <c r="I331" s="50">
        <f>VLOOKUP(B331,aa!B:R,17,0)</f>
        <v>0</v>
      </c>
      <c r="K331" s="50" t="s">
        <v>152</v>
      </c>
      <c r="L331" s="50">
        <v>260100</v>
      </c>
      <c r="M331" s="50">
        <v>260100</v>
      </c>
      <c r="N331" s="50">
        <v>0</v>
      </c>
      <c r="O331" s="50">
        <v>0</v>
      </c>
      <c r="Q331" s="50">
        <v>260100</v>
      </c>
      <c r="R331" s="50">
        <v>356</v>
      </c>
      <c r="S331" s="50" t="s">
        <v>17188</v>
      </c>
      <c r="T331" s="50">
        <v>0</v>
      </c>
      <c r="U331" s="50">
        <v>0</v>
      </c>
      <c r="W331" s="50" t="s">
        <v>102</v>
      </c>
      <c r="X331" s="50" t="s">
        <v>679</v>
      </c>
      <c r="Y331" s="50" t="s">
        <v>155</v>
      </c>
      <c r="Z331" s="50" t="s">
        <v>12211</v>
      </c>
      <c r="AA331" s="50" t="s">
        <v>12212</v>
      </c>
      <c r="AB331" s="50" t="s">
        <v>17189</v>
      </c>
      <c r="AC331" s="50" t="s">
        <v>17047</v>
      </c>
      <c r="AD331" s="50" t="s">
        <v>17189</v>
      </c>
      <c r="AE331" s="50" t="s">
        <v>12215</v>
      </c>
      <c r="AF331" s="50" t="s">
        <v>17189</v>
      </c>
      <c r="AG331" s="50" t="s">
        <v>12216</v>
      </c>
      <c r="AH331" s="50" t="s">
        <v>17189</v>
      </c>
      <c r="AI331" s="50" t="s">
        <v>102</v>
      </c>
      <c r="AL331" s="50" t="s">
        <v>17190</v>
      </c>
      <c r="AM331" s="50" t="s">
        <v>102</v>
      </c>
      <c r="AN331" s="50" t="s">
        <v>17190</v>
      </c>
      <c r="AO331" s="50" t="s">
        <v>12221</v>
      </c>
      <c r="AP331" s="50" t="s">
        <v>12221</v>
      </c>
      <c r="AU331" s="50" t="s">
        <v>102</v>
      </c>
      <c r="AW331" s="50" t="s">
        <v>12222</v>
      </c>
      <c r="AX331" s="50" t="s">
        <v>447</v>
      </c>
      <c r="AZ331" s="50" t="s">
        <v>250</v>
      </c>
      <c r="BB331" s="50" t="s">
        <v>120</v>
      </c>
      <c r="BC331" s="50" t="s">
        <v>3490</v>
      </c>
      <c r="BD331" s="50" t="s">
        <v>345</v>
      </c>
      <c r="BE331" s="50" t="s">
        <v>122</v>
      </c>
      <c r="BF331" s="50" t="s">
        <v>346</v>
      </c>
      <c r="BG331" s="50" t="s">
        <v>124</v>
      </c>
      <c r="BH331" s="50" t="s">
        <v>12023</v>
      </c>
      <c r="BI331" s="50" t="s">
        <v>11889</v>
      </c>
      <c r="BJ331" s="50" t="s">
        <v>127</v>
      </c>
      <c r="BK331" s="50" t="s">
        <v>17191</v>
      </c>
      <c r="BL331" s="50" t="s">
        <v>17192</v>
      </c>
      <c r="BM331" s="50" t="s">
        <v>17193</v>
      </c>
      <c r="BN331" s="50" t="s">
        <v>12209</v>
      </c>
      <c r="BO331" s="50" t="s">
        <v>12226</v>
      </c>
      <c r="BP331" s="50" t="s">
        <v>5833</v>
      </c>
      <c r="BQ331" s="50" t="s">
        <v>12228</v>
      </c>
      <c r="BR331" s="50" t="s">
        <v>12229</v>
      </c>
      <c r="BS331" s="50" t="s">
        <v>8623</v>
      </c>
      <c r="BU331" s="50" t="s">
        <v>17194</v>
      </c>
      <c r="BV331" s="50" t="s">
        <v>12231</v>
      </c>
      <c r="BW331" s="50" t="s">
        <v>354</v>
      </c>
      <c r="BX331" s="50" t="s">
        <v>12232</v>
      </c>
      <c r="BY331" s="50" t="s">
        <v>12233</v>
      </c>
      <c r="BZ331" s="50" t="s">
        <v>12232</v>
      </c>
      <c r="CA331" s="50" t="s">
        <v>12235</v>
      </c>
      <c r="CB331" s="50" t="s">
        <v>12234</v>
      </c>
      <c r="CC331" s="50" t="s">
        <v>12236</v>
      </c>
      <c r="CD331" s="50" t="s">
        <v>12237</v>
      </c>
      <c r="CE331" s="50" t="s">
        <v>12238</v>
      </c>
      <c r="CF331" s="50" t="s">
        <v>12239</v>
      </c>
      <c r="CG331" s="50" t="s">
        <v>907</v>
      </c>
      <c r="CH331" s="50" t="s">
        <v>17195</v>
      </c>
      <c r="CJ331" s="50" t="s">
        <v>17196</v>
      </c>
      <c r="CK331" s="50" t="s">
        <v>17195</v>
      </c>
      <c r="CL331" s="50" t="s">
        <v>3490</v>
      </c>
      <c r="CM331" s="50" t="s">
        <v>345</v>
      </c>
      <c r="CN331" s="50" t="s">
        <v>17196</v>
      </c>
      <c r="CP331" s="50" t="s">
        <v>17197</v>
      </c>
      <c r="CQ331" s="50" t="s">
        <v>17198</v>
      </c>
    </row>
    <row r="332" spans="1:96">
      <c r="A332" s="50" t="s">
        <v>337</v>
      </c>
      <c r="B332" s="50">
        <v>172149</v>
      </c>
      <c r="C332" s="50" t="s">
        <v>12834</v>
      </c>
      <c r="D332" s="50" t="s">
        <v>12833</v>
      </c>
      <c r="E332" s="50" t="e">
        <f>VLOOKUP(B332,aa!B:F,5,0)</f>
        <v>#N/A</v>
      </c>
      <c r="F332" s="50" t="e">
        <f>VLOOKUP(B332,aa!B:J,9,0)</f>
        <v>#N/A</v>
      </c>
      <c r="G332" s="50" t="e">
        <f>VLOOKUP(B332,aa!B:L,11,0)</f>
        <v>#N/A</v>
      </c>
      <c r="H332" s="50" t="e">
        <f>VLOOKUP(B332,aa!B:O,14,0)</f>
        <v>#N/A</v>
      </c>
      <c r="I332" s="50" t="e">
        <f>VLOOKUP(B332,aa!B:R,17,0)</f>
        <v>#N/A</v>
      </c>
      <c r="K332" s="50" t="s">
        <v>97</v>
      </c>
      <c r="L332" s="50">
        <v>575400</v>
      </c>
      <c r="M332" s="50">
        <v>575400</v>
      </c>
      <c r="N332" s="50">
        <v>575400</v>
      </c>
      <c r="O332" s="50">
        <v>959</v>
      </c>
      <c r="P332" s="50" t="s">
        <v>310</v>
      </c>
      <c r="Q332" s="50">
        <v>0</v>
      </c>
      <c r="R332" s="50">
        <v>0</v>
      </c>
      <c r="T332" s="50">
        <v>0</v>
      </c>
      <c r="U332" s="50">
        <v>0</v>
      </c>
      <c r="W332" s="50" t="s">
        <v>102</v>
      </c>
      <c r="X332" s="50" t="s">
        <v>103</v>
      </c>
      <c r="Y332" s="50" t="s">
        <v>398</v>
      </c>
      <c r="AA332" s="50" t="s">
        <v>12128</v>
      </c>
      <c r="AB332" s="50" t="s">
        <v>12835</v>
      </c>
      <c r="AC332" s="50" t="s">
        <v>12836</v>
      </c>
      <c r="AD332" s="50" t="s">
        <v>12837</v>
      </c>
      <c r="AE332" s="50" t="s">
        <v>12838</v>
      </c>
      <c r="AF332" s="50" t="s">
        <v>12837</v>
      </c>
      <c r="AG332" s="50" t="s">
        <v>109</v>
      </c>
      <c r="AH332" s="50" t="s">
        <v>102</v>
      </c>
      <c r="AI332" s="50" t="s">
        <v>102</v>
      </c>
      <c r="AL332" s="50" t="s">
        <v>12839</v>
      </c>
      <c r="AM332" s="50" t="s">
        <v>102</v>
      </c>
      <c r="AN332" s="50" t="s">
        <v>12839</v>
      </c>
      <c r="AO332" s="50" t="s">
        <v>317</v>
      </c>
      <c r="AP332" s="50" t="s">
        <v>317</v>
      </c>
      <c r="AU332" s="50" t="s">
        <v>318</v>
      </c>
      <c r="AV332" s="50" t="s">
        <v>118</v>
      </c>
      <c r="AW332" s="50" t="s">
        <v>102</v>
      </c>
      <c r="AX332" s="50" t="s">
        <v>119</v>
      </c>
      <c r="BB332" s="50" t="s">
        <v>1964</v>
      </c>
      <c r="BC332" s="50" t="s">
        <v>920</v>
      </c>
      <c r="BD332" s="50" t="s">
        <v>211</v>
      </c>
      <c r="BE332" s="50" t="s">
        <v>212</v>
      </c>
      <c r="BF332" s="50" t="s">
        <v>213</v>
      </c>
      <c r="BG332" s="50" t="s">
        <v>124</v>
      </c>
      <c r="BH332" s="50" t="s">
        <v>12023</v>
      </c>
      <c r="BI332" s="50" t="s">
        <v>11889</v>
      </c>
      <c r="BJ332" s="50" t="s">
        <v>127</v>
      </c>
      <c r="BK332" s="50" t="s">
        <v>12840</v>
      </c>
      <c r="BL332" s="50" t="s">
        <v>12841</v>
      </c>
      <c r="BM332" s="50" t="s">
        <v>12842</v>
      </c>
      <c r="BN332" s="50" t="s">
        <v>411</v>
      </c>
      <c r="BO332" s="50" t="s">
        <v>480</v>
      </c>
      <c r="BP332" s="50" t="s">
        <v>505</v>
      </c>
      <c r="BQ332" s="50" t="s">
        <v>481</v>
      </c>
      <c r="BR332" s="50" t="s">
        <v>482</v>
      </c>
      <c r="BS332" s="50" t="s">
        <v>2593</v>
      </c>
      <c r="BT332" s="50" t="s">
        <v>4997</v>
      </c>
      <c r="BU332" s="50" t="s">
        <v>12843</v>
      </c>
      <c r="BV332" s="50" t="s">
        <v>12844</v>
      </c>
      <c r="BW332" s="50" t="s">
        <v>138</v>
      </c>
      <c r="BX332" s="50" t="s">
        <v>481</v>
      </c>
      <c r="BY332" s="50" t="s">
        <v>12845</v>
      </c>
      <c r="BZ332" s="50" t="s">
        <v>12846</v>
      </c>
      <c r="CA332" s="50" t="s">
        <v>7309</v>
      </c>
      <c r="CB332" s="50" t="s">
        <v>12847</v>
      </c>
      <c r="CC332" s="50" t="s">
        <v>12848</v>
      </c>
      <c r="CD332" s="50" t="s">
        <v>12849</v>
      </c>
      <c r="CE332" s="50" t="s">
        <v>12850</v>
      </c>
      <c r="CF332" s="50" t="s">
        <v>12851</v>
      </c>
      <c r="CG332" s="50" t="s">
        <v>12852</v>
      </c>
      <c r="CH332" s="50" t="s">
        <v>12853</v>
      </c>
      <c r="CJ332" s="50" t="s">
        <v>12854</v>
      </c>
      <c r="CK332" s="50" t="s">
        <v>12853</v>
      </c>
      <c r="CL332" s="50" t="s">
        <v>920</v>
      </c>
      <c r="CM332" s="50" t="s">
        <v>211</v>
      </c>
      <c r="CN332" s="50" t="s">
        <v>12854</v>
      </c>
      <c r="CP332" s="50" t="s">
        <v>12855</v>
      </c>
      <c r="CQ332" s="50" t="s">
        <v>12855</v>
      </c>
    </row>
    <row r="333" spans="1:96">
      <c r="A333" s="50" t="s">
        <v>337</v>
      </c>
      <c r="B333" s="50">
        <v>185694</v>
      </c>
      <c r="C333" s="50" t="s">
        <v>12834</v>
      </c>
      <c r="D333" s="50" t="s">
        <v>13045</v>
      </c>
      <c r="E333" s="50" t="e">
        <f>VLOOKUP(B333,aa!B:F,5,0)</f>
        <v>#N/A</v>
      </c>
      <c r="F333" s="50" t="e">
        <f>VLOOKUP(B333,aa!B:J,9,0)</f>
        <v>#N/A</v>
      </c>
      <c r="G333" s="50" t="e">
        <f>VLOOKUP(B333,aa!B:L,11,0)</f>
        <v>#N/A</v>
      </c>
      <c r="H333" s="50" t="e">
        <f>VLOOKUP(B333,aa!B:O,14,0)</f>
        <v>#N/A</v>
      </c>
      <c r="I333" s="50" t="e">
        <f>VLOOKUP(B333,aa!B:R,17,0)</f>
        <v>#N/A</v>
      </c>
      <c r="K333" s="50" t="s">
        <v>97</v>
      </c>
      <c r="L333" s="50">
        <v>462600</v>
      </c>
      <c r="M333" s="50">
        <v>462600</v>
      </c>
      <c r="N333" s="50">
        <v>462600</v>
      </c>
      <c r="O333" s="50">
        <v>771</v>
      </c>
      <c r="P333" s="50" t="s">
        <v>310</v>
      </c>
      <c r="Q333" s="50">
        <v>0</v>
      </c>
      <c r="R333" s="50">
        <v>0</v>
      </c>
      <c r="T333" s="50">
        <v>0</v>
      </c>
      <c r="U333" s="50">
        <v>0</v>
      </c>
      <c r="W333" s="50" t="s">
        <v>102</v>
      </c>
      <c r="X333" s="50" t="s">
        <v>103</v>
      </c>
      <c r="Y333" s="50" t="s">
        <v>398</v>
      </c>
      <c r="AA333" s="50" t="s">
        <v>12128</v>
      </c>
      <c r="AB333" s="50" t="s">
        <v>13046</v>
      </c>
      <c r="AC333" s="50" t="s">
        <v>12836</v>
      </c>
      <c r="AD333" s="50" t="s">
        <v>13047</v>
      </c>
      <c r="AE333" s="50" t="s">
        <v>12838</v>
      </c>
      <c r="AF333" s="50" t="s">
        <v>13047</v>
      </c>
      <c r="AG333" s="50" t="s">
        <v>109</v>
      </c>
      <c r="AH333" s="50" t="s">
        <v>102</v>
      </c>
      <c r="AI333" s="50" t="s">
        <v>102</v>
      </c>
      <c r="AL333" s="50" t="s">
        <v>13048</v>
      </c>
      <c r="AM333" s="50" t="s">
        <v>102</v>
      </c>
      <c r="AN333" s="50" t="s">
        <v>13048</v>
      </c>
      <c r="AO333" s="50" t="s">
        <v>317</v>
      </c>
      <c r="AP333" s="50" t="s">
        <v>317</v>
      </c>
      <c r="AU333" s="50" t="s">
        <v>318</v>
      </c>
      <c r="AV333" s="50" t="s">
        <v>118</v>
      </c>
      <c r="AW333" s="50" t="s">
        <v>102</v>
      </c>
      <c r="AX333" s="50" t="s">
        <v>119</v>
      </c>
      <c r="BB333" s="50" t="s">
        <v>1964</v>
      </c>
      <c r="BC333" s="50" t="s">
        <v>7718</v>
      </c>
      <c r="BD333" s="50" t="s">
        <v>211</v>
      </c>
      <c r="BE333" s="50" t="s">
        <v>212</v>
      </c>
      <c r="BF333" s="50" t="s">
        <v>213</v>
      </c>
      <c r="BG333" s="50" t="s">
        <v>124</v>
      </c>
      <c r="BH333" s="50" t="s">
        <v>12023</v>
      </c>
      <c r="BI333" s="50" t="s">
        <v>11889</v>
      </c>
      <c r="BJ333" s="50" t="s">
        <v>127</v>
      </c>
      <c r="BK333" s="50" t="s">
        <v>13049</v>
      </c>
      <c r="BL333" s="50" t="s">
        <v>13050</v>
      </c>
      <c r="BM333" s="50" t="s">
        <v>13051</v>
      </c>
      <c r="BN333" s="50" t="s">
        <v>411</v>
      </c>
      <c r="BO333" s="50" t="s">
        <v>480</v>
      </c>
      <c r="BP333" s="50" t="s">
        <v>505</v>
      </c>
      <c r="BQ333" s="50" t="s">
        <v>481</v>
      </c>
      <c r="BR333" s="50" t="s">
        <v>482</v>
      </c>
      <c r="BS333" s="50" t="s">
        <v>2593</v>
      </c>
      <c r="BU333" s="50" t="s">
        <v>13052</v>
      </c>
      <c r="BV333" s="50" t="s">
        <v>13053</v>
      </c>
      <c r="BW333" s="50" t="s">
        <v>138</v>
      </c>
      <c r="BX333" s="50" t="s">
        <v>481</v>
      </c>
      <c r="BY333" s="50" t="s">
        <v>12845</v>
      </c>
      <c r="BZ333" s="50" t="s">
        <v>13054</v>
      </c>
      <c r="CA333" s="50" t="s">
        <v>13055</v>
      </c>
      <c r="CB333" s="50" t="s">
        <v>13056</v>
      </c>
      <c r="CC333" s="50" t="s">
        <v>13057</v>
      </c>
      <c r="CD333" s="50" t="s">
        <v>13058</v>
      </c>
      <c r="CE333" s="50" t="s">
        <v>13059</v>
      </c>
      <c r="CF333" s="50" t="s">
        <v>13060</v>
      </c>
      <c r="CG333" s="50" t="s">
        <v>5581</v>
      </c>
      <c r="CH333" s="50" t="s">
        <v>13061</v>
      </c>
      <c r="CJ333" s="50" t="s">
        <v>13062</v>
      </c>
      <c r="CK333" s="50" t="s">
        <v>13061</v>
      </c>
      <c r="CL333" s="50" t="s">
        <v>7718</v>
      </c>
      <c r="CM333" s="50" t="s">
        <v>211</v>
      </c>
      <c r="CN333" s="50" t="s">
        <v>13062</v>
      </c>
      <c r="CP333" s="50" t="s">
        <v>7718</v>
      </c>
      <c r="CQ333" s="50" t="s">
        <v>13063</v>
      </c>
    </row>
    <row r="334" spans="1:96">
      <c r="A334" s="50" t="s">
        <v>337</v>
      </c>
      <c r="B334" s="50">
        <v>203718</v>
      </c>
      <c r="C334" s="50" t="s">
        <v>12834</v>
      </c>
      <c r="D334" s="50" t="s">
        <v>13364</v>
      </c>
      <c r="E334" s="50" t="e">
        <f>VLOOKUP(B334,aa!B:F,5,0)</f>
        <v>#N/A</v>
      </c>
      <c r="F334" s="50" t="e">
        <f>VLOOKUP(B334,aa!B:J,9,0)</f>
        <v>#N/A</v>
      </c>
      <c r="G334" s="50" t="e">
        <f>VLOOKUP(B334,aa!B:L,11,0)</f>
        <v>#N/A</v>
      </c>
      <c r="H334" s="50" t="e">
        <f>VLOOKUP(B334,aa!B:O,14,0)</f>
        <v>#N/A</v>
      </c>
      <c r="I334" s="50" t="e">
        <f>VLOOKUP(B334,aa!B:R,17,0)</f>
        <v>#N/A</v>
      </c>
      <c r="K334" s="50" t="s">
        <v>97</v>
      </c>
      <c r="L334" s="50">
        <v>141000</v>
      </c>
      <c r="M334" s="50">
        <v>141000</v>
      </c>
      <c r="N334" s="50">
        <v>141000</v>
      </c>
      <c r="O334" s="50">
        <v>235</v>
      </c>
      <c r="P334" s="50" t="s">
        <v>310</v>
      </c>
      <c r="Q334" s="50">
        <v>0</v>
      </c>
      <c r="R334" s="50">
        <v>0</v>
      </c>
      <c r="T334" s="50">
        <v>0</v>
      </c>
      <c r="U334" s="50">
        <v>0</v>
      </c>
      <c r="W334" s="50" t="s">
        <v>102</v>
      </c>
      <c r="X334" s="50" t="s">
        <v>103</v>
      </c>
      <c r="Y334" s="50" t="s">
        <v>398</v>
      </c>
      <c r="AA334" s="50" t="s">
        <v>12128</v>
      </c>
      <c r="AB334" s="50" t="s">
        <v>13365</v>
      </c>
      <c r="AC334" s="50" t="s">
        <v>12836</v>
      </c>
      <c r="AD334" s="50" t="s">
        <v>13366</v>
      </c>
      <c r="AE334" s="50" t="s">
        <v>12838</v>
      </c>
      <c r="AF334" s="50" t="s">
        <v>13366</v>
      </c>
      <c r="AG334" s="50" t="s">
        <v>109</v>
      </c>
      <c r="AH334" s="50" t="s">
        <v>102</v>
      </c>
      <c r="AI334" s="50" t="s">
        <v>102</v>
      </c>
      <c r="AL334" s="50" t="s">
        <v>13367</v>
      </c>
      <c r="AM334" s="50" t="s">
        <v>102</v>
      </c>
      <c r="AN334" s="50" t="s">
        <v>13367</v>
      </c>
      <c r="AO334" s="50" t="s">
        <v>317</v>
      </c>
      <c r="AP334" s="50" t="s">
        <v>317</v>
      </c>
      <c r="AU334" s="50" t="s">
        <v>318</v>
      </c>
      <c r="AV334" s="50" t="s">
        <v>118</v>
      </c>
      <c r="AW334" s="50" t="s">
        <v>102</v>
      </c>
      <c r="AX334" s="50" t="s">
        <v>119</v>
      </c>
      <c r="BB334" s="50" t="s">
        <v>120</v>
      </c>
      <c r="BC334" s="50" t="s">
        <v>13368</v>
      </c>
      <c r="BD334" s="50" t="s">
        <v>211</v>
      </c>
      <c r="BE334" s="50" t="s">
        <v>212</v>
      </c>
      <c r="BF334" s="50" t="s">
        <v>213</v>
      </c>
      <c r="BG334" s="50" t="s">
        <v>124</v>
      </c>
      <c r="BH334" s="50" t="s">
        <v>12023</v>
      </c>
      <c r="BI334" s="50" t="s">
        <v>11889</v>
      </c>
      <c r="BJ334" s="50" t="s">
        <v>127</v>
      </c>
      <c r="BK334" s="50" t="s">
        <v>13369</v>
      </c>
      <c r="BL334" s="50" t="s">
        <v>13370</v>
      </c>
      <c r="BM334" s="50" t="s">
        <v>13371</v>
      </c>
      <c r="BN334" s="50" t="s">
        <v>411</v>
      </c>
      <c r="BO334" s="50" t="s">
        <v>480</v>
      </c>
      <c r="BP334" s="50" t="s">
        <v>505</v>
      </c>
      <c r="BQ334" s="50" t="s">
        <v>481</v>
      </c>
      <c r="BR334" s="50" t="s">
        <v>482</v>
      </c>
      <c r="BS334" s="50" t="s">
        <v>2593</v>
      </c>
      <c r="BT334" s="50" t="s">
        <v>4997</v>
      </c>
      <c r="BU334" s="50" t="s">
        <v>13372</v>
      </c>
      <c r="BV334" s="50" t="s">
        <v>13373</v>
      </c>
      <c r="BW334" s="50" t="s">
        <v>138</v>
      </c>
      <c r="BX334" s="50" t="s">
        <v>481</v>
      </c>
      <c r="BY334" s="50" t="s">
        <v>12845</v>
      </c>
      <c r="BZ334" s="50" t="s">
        <v>13374</v>
      </c>
      <c r="CA334" s="50" t="s">
        <v>13375</v>
      </c>
      <c r="CB334" s="50" t="s">
        <v>13374</v>
      </c>
      <c r="CC334" s="50" t="s">
        <v>13376</v>
      </c>
      <c r="CD334" s="50" t="s">
        <v>13377</v>
      </c>
      <c r="CE334" s="50" t="s">
        <v>13378</v>
      </c>
      <c r="CF334" s="50" t="s">
        <v>13379</v>
      </c>
      <c r="CG334" s="50" t="s">
        <v>5581</v>
      </c>
      <c r="CH334" s="50" t="s">
        <v>13380</v>
      </c>
      <c r="CJ334" s="50" t="s">
        <v>13381</v>
      </c>
      <c r="CK334" s="50" t="s">
        <v>13380</v>
      </c>
      <c r="CL334" s="50" t="s">
        <v>13368</v>
      </c>
      <c r="CM334" s="50" t="s">
        <v>211</v>
      </c>
      <c r="CN334" s="50" t="s">
        <v>13381</v>
      </c>
      <c r="CP334" s="50" t="s">
        <v>13382</v>
      </c>
      <c r="CQ334" s="50" t="s">
        <v>13382</v>
      </c>
    </row>
    <row r="335" spans="1:96">
      <c r="A335" s="50" t="s">
        <v>337</v>
      </c>
      <c r="B335" s="50">
        <v>2379583</v>
      </c>
      <c r="C335" s="50" t="s">
        <v>12834</v>
      </c>
      <c r="D335" s="50" t="s">
        <v>13804</v>
      </c>
      <c r="E335" s="50" t="e">
        <f>VLOOKUP(B335,aa!B:F,5,0)</f>
        <v>#N/A</v>
      </c>
      <c r="F335" s="50" t="e">
        <f>VLOOKUP(B335,aa!B:J,9,0)</f>
        <v>#N/A</v>
      </c>
      <c r="G335" s="50" t="e">
        <f>VLOOKUP(B335,aa!B:L,11,0)</f>
        <v>#N/A</v>
      </c>
      <c r="H335" s="50" t="e">
        <f>VLOOKUP(B335,aa!B:O,14,0)</f>
        <v>#N/A</v>
      </c>
      <c r="I335" s="50" t="e">
        <f>VLOOKUP(B335,aa!B:R,17,0)</f>
        <v>#N/A</v>
      </c>
      <c r="K335" s="50" t="s">
        <v>97</v>
      </c>
      <c r="L335" s="50">
        <v>408000</v>
      </c>
      <c r="M335" s="50">
        <v>408000</v>
      </c>
      <c r="N335" s="50">
        <v>408000</v>
      </c>
      <c r="O335" s="50">
        <v>680</v>
      </c>
      <c r="P335" s="50" t="s">
        <v>310</v>
      </c>
      <c r="Q335" s="50">
        <v>0</v>
      </c>
      <c r="R335" s="50">
        <v>0</v>
      </c>
      <c r="T335" s="50">
        <v>0</v>
      </c>
      <c r="U335" s="50">
        <v>0</v>
      </c>
      <c r="W335" s="50" t="s">
        <v>102</v>
      </c>
      <c r="X335" s="50" t="s">
        <v>103</v>
      </c>
      <c r="Y335" s="50" t="s">
        <v>398</v>
      </c>
      <c r="AA335" s="50" t="s">
        <v>12128</v>
      </c>
      <c r="AB335" s="50" t="s">
        <v>13805</v>
      </c>
      <c r="AC335" s="50" t="s">
        <v>12836</v>
      </c>
      <c r="AD335" s="50" t="s">
        <v>13806</v>
      </c>
      <c r="AE335" s="50" t="s">
        <v>12838</v>
      </c>
      <c r="AF335" s="50" t="s">
        <v>13806</v>
      </c>
      <c r="AG335" s="50" t="s">
        <v>109</v>
      </c>
      <c r="AH335" s="50" t="s">
        <v>102</v>
      </c>
      <c r="AI335" s="50" t="s">
        <v>102</v>
      </c>
      <c r="AL335" s="50" t="s">
        <v>13807</v>
      </c>
      <c r="AM335" s="50" t="s">
        <v>102</v>
      </c>
      <c r="AN335" s="50" t="s">
        <v>13807</v>
      </c>
      <c r="AO335" s="50" t="s">
        <v>317</v>
      </c>
      <c r="AP335" s="50" t="s">
        <v>317</v>
      </c>
      <c r="AU335" s="50" t="s">
        <v>318</v>
      </c>
      <c r="AV335" s="50" t="s">
        <v>118</v>
      </c>
      <c r="AW335" s="50" t="s">
        <v>102</v>
      </c>
      <c r="AX335" s="50" t="s">
        <v>119</v>
      </c>
      <c r="BB335" s="50" t="s">
        <v>120</v>
      </c>
      <c r="BC335" s="50" t="s">
        <v>920</v>
      </c>
      <c r="BD335" s="50" t="s">
        <v>211</v>
      </c>
      <c r="BE335" s="50" t="s">
        <v>212</v>
      </c>
      <c r="BF335" s="50" t="s">
        <v>213</v>
      </c>
      <c r="BG335" s="50" t="s">
        <v>124</v>
      </c>
      <c r="BH335" s="50" t="s">
        <v>12023</v>
      </c>
      <c r="BI335" s="50" t="s">
        <v>11889</v>
      </c>
      <c r="BJ335" s="50" t="s">
        <v>127</v>
      </c>
      <c r="BK335" s="50" t="s">
        <v>13808</v>
      </c>
      <c r="BL335" s="50" t="s">
        <v>13809</v>
      </c>
      <c r="BM335" s="50" t="s">
        <v>13810</v>
      </c>
      <c r="BN335" s="50" t="s">
        <v>411</v>
      </c>
      <c r="BO335" s="50" t="s">
        <v>480</v>
      </c>
      <c r="BP335" s="50" t="s">
        <v>505</v>
      </c>
      <c r="BQ335" s="50" t="s">
        <v>481</v>
      </c>
      <c r="BR335" s="50" t="s">
        <v>482</v>
      </c>
      <c r="BS335" s="50" t="s">
        <v>2593</v>
      </c>
      <c r="BT335" s="50" t="s">
        <v>4997</v>
      </c>
      <c r="BU335" s="50" t="s">
        <v>13811</v>
      </c>
      <c r="BV335" s="50" t="s">
        <v>13812</v>
      </c>
      <c r="BW335" s="50" t="s">
        <v>138</v>
      </c>
      <c r="BX335" s="50" t="s">
        <v>481</v>
      </c>
      <c r="BY335" s="50" t="s">
        <v>12845</v>
      </c>
      <c r="BZ335" s="50" t="s">
        <v>13813</v>
      </c>
      <c r="CA335" s="50" t="s">
        <v>13055</v>
      </c>
      <c r="CB335" s="50" t="s">
        <v>13814</v>
      </c>
      <c r="CC335" s="50" t="s">
        <v>13057</v>
      </c>
      <c r="CD335" s="50" t="s">
        <v>13815</v>
      </c>
      <c r="CE335" s="50" t="s">
        <v>13816</v>
      </c>
      <c r="CF335" s="50" t="s">
        <v>13817</v>
      </c>
      <c r="CG335" s="50" t="s">
        <v>5581</v>
      </c>
      <c r="CH335" s="50" t="s">
        <v>13818</v>
      </c>
      <c r="CJ335" s="50" t="s">
        <v>13819</v>
      </c>
      <c r="CK335" s="50" t="s">
        <v>13818</v>
      </c>
      <c r="CL335" s="50" t="s">
        <v>920</v>
      </c>
      <c r="CM335" s="50" t="s">
        <v>211</v>
      </c>
      <c r="CN335" s="50" t="s">
        <v>13819</v>
      </c>
      <c r="CP335" s="50" t="s">
        <v>13820</v>
      </c>
      <c r="CQ335" s="50" t="s">
        <v>13820</v>
      </c>
    </row>
    <row r="336" spans="1:96">
      <c r="A336" s="50" t="s">
        <v>337</v>
      </c>
      <c r="B336" s="50">
        <v>3153272</v>
      </c>
      <c r="C336" s="50" t="s">
        <v>12834</v>
      </c>
      <c r="D336" s="50" t="s">
        <v>15035</v>
      </c>
      <c r="E336" s="50" t="e">
        <f>VLOOKUP(B336,aa!B:F,5,0)</f>
        <v>#N/A</v>
      </c>
      <c r="F336" s="50" t="e">
        <f>VLOOKUP(B336,aa!B:J,9,0)</f>
        <v>#N/A</v>
      </c>
      <c r="G336" s="50" t="e">
        <f>VLOOKUP(B336,aa!B:L,11,0)</f>
        <v>#N/A</v>
      </c>
      <c r="H336" s="50" t="e">
        <f>VLOOKUP(B336,aa!B:O,14,0)</f>
        <v>#N/A</v>
      </c>
      <c r="I336" s="50" t="e">
        <f>VLOOKUP(B336,aa!B:R,17,0)</f>
        <v>#N/A</v>
      </c>
      <c r="K336" s="50" t="s">
        <v>97</v>
      </c>
      <c r="L336" s="50">
        <v>417600</v>
      </c>
      <c r="M336" s="50">
        <v>417600</v>
      </c>
      <c r="N336" s="50">
        <v>417600</v>
      </c>
      <c r="O336" s="50">
        <v>696</v>
      </c>
      <c r="P336" s="50" t="s">
        <v>310</v>
      </c>
      <c r="Q336" s="50">
        <v>0</v>
      </c>
      <c r="R336" s="50">
        <v>0</v>
      </c>
      <c r="T336" s="50">
        <v>0</v>
      </c>
      <c r="U336" s="50">
        <v>0</v>
      </c>
      <c r="W336" s="50" t="s">
        <v>102</v>
      </c>
      <c r="X336" s="50" t="s">
        <v>103</v>
      </c>
      <c r="Y336" s="50" t="s">
        <v>398</v>
      </c>
      <c r="AA336" s="50" t="s">
        <v>12128</v>
      </c>
      <c r="AB336" s="50" t="s">
        <v>15036</v>
      </c>
      <c r="AC336" s="50" t="s">
        <v>12836</v>
      </c>
      <c r="AD336" s="50" t="s">
        <v>15037</v>
      </c>
      <c r="AE336" s="50" t="s">
        <v>12838</v>
      </c>
      <c r="AF336" s="50" t="s">
        <v>15037</v>
      </c>
      <c r="AG336" s="50" t="s">
        <v>109</v>
      </c>
      <c r="AH336" s="50" t="s">
        <v>102</v>
      </c>
      <c r="AI336" s="50" t="s">
        <v>102</v>
      </c>
      <c r="AL336" s="50" t="s">
        <v>15038</v>
      </c>
      <c r="AM336" s="50" t="s">
        <v>102</v>
      </c>
      <c r="AN336" s="50" t="s">
        <v>15038</v>
      </c>
      <c r="AO336" s="50" t="s">
        <v>317</v>
      </c>
      <c r="AP336" s="50" t="s">
        <v>317</v>
      </c>
      <c r="AU336" s="50" t="s">
        <v>318</v>
      </c>
      <c r="AV336" s="50" t="s">
        <v>118</v>
      </c>
      <c r="AW336" s="50" t="s">
        <v>102</v>
      </c>
      <c r="AX336" s="50" t="s">
        <v>119</v>
      </c>
      <c r="BB336" s="50" t="s">
        <v>120</v>
      </c>
      <c r="BC336" s="50" t="s">
        <v>920</v>
      </c>
      <c r="BD336" s="50" t="s">
        <v>211</v>
      </c>
      <c r="BE336" s="50" t="s">
        <v>212</v>
      </c>
      <c r="BF336" s="50" t="s">
        <v>213</v>
      </c>
      <c r="BG336" s="50" t="s">
        <v>124</v>
      </c>
      <c r="BH336" s="50" t="s">
        <v>12023</v>
      </c>
      <c r="BI336" s="50" t="s">
        <v>11889</v>
      </c>
      <c r="BJ336" s="50" t="s">
        <v>127</v>
      </c>
      <c r="BK336" s="50" t="s">
        <v>15039</v>
      </c>
      <c r="BL336" s="50" t="s">
        <v>15040</v>
      </c>
      <c r="BM336" s="50" t="s">
        <v>15041</v>
      </c>
      <c r="BN336" s="50" t="s">
        <v>411</v>
      </c>
      <c r="BO336" s="50" t="s">
        <v>480</v>
      </c>
      <c r="BP336" s="50" t="s">
        <v>505</v>
      </c>
      <c r="BQ336" s="50" t="s">
        <v>481</v>
      </c>
      <c r="BR336" s="50" t="s">
        <v>482</v>
      </c>
      <c r="BS336" s="50" t="s">
        <v>2593</v>
      </c>
      <c r="BT336" s="50" t="s">
        <v>15042</v>
      </c>
      <c r="BU336" s="50" t="s">
        <v>15043</v>
      </c>
      <c r="BV336" s="50" t="s">
        <v>15044</v>
      </c>
      <c r="BW336" s="50" t="s">
        <v>138</v>
      </c>
      <c r="BX336" s="50" t="s">
        <v>481</v>
      </c>
      <c r="BY336" s="50" t="s">
        <v>12845</v>
      </c>
      <c r="BZ336" s="50" t="s">
        <v>15045</v>
      </c>
      <c r="CA336" s="50" t="s">
        <v>15044</v>
      </c>
      <c r="CB336" s="50" t="s">
        <v>15045</v>
      </c>
      <c r="CC336" s="50" t="s">
        <v>15046</v>
      </c>
      <c r="CD336" s="50" t="s">
        <v>15047</v>
      </c>
      <c r="CE336" s="50" t="s">
        <v>15048</v>
      </c>
      <c r="CF336" s="50" t="s">
        <v>15049</v>
      </c>
      <c r="CG336" s="50" t="s">
        <v>12852</v>
      </c>
      <c r="CH336" s="50" t="s">
        <v>15050</v>
      </c>
      <c r="CJ336" s="50" t="s">
        <v>9228</v>
      </c>
      <c r="CK336" s="50" t="s">
        <v>15050</v>
      </c>
      <c r="CL336" s="50" t="s">
        <v>920</v>
      </c>
      <c r="CM336" s="50" t="s">
        <v>211</v>
      </c>
      <c r="CN336" s="50" t="s">
        <v>9228</v>
      </c>
      <c r="CP336" s="50" t="s">
        <v>15051</v>
      </c>
      <c r="CQ336" s="50" t="s">
        <v>15051</v>
      </c>
    </row>
    <row r="337" spans="1:96">
      <c r="A337" s="50" t="s">
        <v>149</v>
      </c>
      <c r="B337" s="50">
        <v>3294066</v>
      </c>
      <c r="C337" s="50" t="s">
        <v>418</v>
      </c>
      <c r="D337" s="50" t="s">
        <v>5367</v>
      </c>
      <c r="E337" s="50" t="e">
        <f>VLOOKUP(B337,aa!B:F,5,0)</f>
        <v>#N/A</v>
      </c>
      <c r="F337" s="50" t="e">
        <f>VLOOKUP(B337,aa!B:J,9,0)</f>
        <v>#N/A</v>
      </c>
      <c r="G337" s="50" t="e">
        <f>VLOOKUP(B337,aa!B:L,11,0)</f>
        <v>#N/A</v>
      </c>
      <c r="H337" s="50" t="e">
        <f>VLOOKUP(B337,aa!B:O,14,0)</f>
        <v>#N/A</v>
      </c>
      <c r="I337" s="50" t="e">
        <f>VLOOKUP(B337,aa!B:R,17,0)</f>
        <v>#N/A</v>
      </c>
      <c r="K337" s="50" t="s">
        <v>1746</v>
      </c>
      <c r="L337" s="50">
        <v>2873818</v>
      </c>
      <c r="M337" s="50">
        <v>3151864</v>
      </c>
      <c r="N337" s="50">
        <v>438392</v>
      </c>
      <c r="O337" s="50">
        <v>401</v>
      </c>
      <c r="P337" s="50" t="s">
        <v>15416</v>
      </c>
      <c r="Q337" s="50">
        <v>890724</v>
      </c>
      <c r="R337" s="50">
        <v>475</v>
      </c>
      <c r="S337" s="50" t="s">
        <v>15417</v>
      </c>
      <c r="T337" s="50">
        <v>1544702</v>
      </c>
      <c r="U337" s="50">
        <v>546</v>
      </c>
      <c r="V337" s="50" t="s">
        <v>15418</v>
      </c>
      <c r="W337" s="50" t="s">
        <v>102</v>
      </c>
      <c r="X337" s="50" t="s">
        <v>103</v>
      </c>
      <c r="Y337" s="50" t="s">
        <v>155</v>
      </c>
      <c r="AA337" s="50" t="s">
        <v>13202</v>
      </c>
      <c r="AB337" s="50" t="s">
        <v>15419</v>
      </c>
      <c r="AC337" s="50" t="s">
        <v>12800</v>
      </c>
      <c r="AD337" s="50" t="s">
        <v>15419</v>
      </c>
      <c r="AE337" s="50" t="s">
        <v>13395</v>
      </c>
      <c r="AF337" s="50" t="s">
        <v>15419</v>
      </c>
      <c r="AG337" s="50" t="s">
        <v>11886</v>
      </c>
      <c r="AH337" s="50" t="s">
        <v>15419</v>
      </c>
      <c r="AI337" s="50" t="s">
        <v>15420</v>
      </c>
      <c r="AJ337" s="50" t="s">
        <v>15421</v>
      </c>
      <c r="AK337" s="50" t="s">
        <v>15422</v>
      </c>
      <c r="AL337" s="50" t="s">
        <v>15423</v>
      </c>
      <c r="AM337" s="50" t="s">
        <v>15424</v>
      </c>
      <c r="AN337" s="50" t="s">
        <v>15425</v>
      </c>
      <c r="AO337" s="50" t="s">
        <v>15426</v>
      </c>
      <c r="AP337" s="50" t="s">
        <v>15426</v>
      </c>
      <c r="AU337" s="50" t="s">
        <v>318</v>
      </c>
      <c r="AV337" s="50" t="s">
        <v>118</v>
      </c>
      <c r="AW337" s="50" t="s">
        <v>155</v>
      </c>
      <c r="AX337" s="50" t="s">
        <v>119</v>
      </c>
      <c r="AZ337" s="50" t="s">
        <v>250</v>
      </c>
      <c r="BA337" s="50" t="s">
        <v>250</v>
      </c>
      <c r="BB337" s="50" t="s">
        <v>120</v>
      </c>
      <c r="BC337" s="50" t="s">
        <v>920</v>
      </c>
      <c r="BD337" s="50" t="s">
        <v>211</v>
      </c>
      <c r="BE337" s="50" t="s">
        <v>212</v>
      </c>
      <c r="BF337" s="50" t="s">
        <v>213</v>
      </c>
      <c r="BG337" s="50" t="s">
        <v>124</v>
      </c>
      <c r="BH337" s="50" t="s">
        <v>11959</v>
      </c>
      <c r="BI337" s="50" t="s">
        <v>11960</v>
      </c>
      <c r="BJ337" s="50" t="s">
        <v>127</v>
      </c>
      <c r="BK337" s="50" t="s">
        <v>15427</v>
      </c>
      <c r="BL337" s="50" t="s">
        <v>5380</v>
      </c>
      <c r="BM337" s="50" t="s">
        <v>15428</v>
      </c>
      <c r="BN337" s="50" t="s">
        <v>411</v>
      </c>
      <c r="BO337" s="50" t="s">
        <v>7108</v>
      </c>
      <c r="BP337" s="50" t="s">
        <v>350</v>
      </c>
      <c r="BQ337" s="50" t="s">
        <v>7109</v>
      </c>
      <c r="BR337" s="50" t="s">
        <v>2151</v>
      </c>
      <c r="BS337" s="50" t="s">
        <v>2151</v>
      </c>
      <c r="BU337" s="50" t="s">
        <v>15429</v>
      </c>
      <c r="BV337" s="50" t="s">
        <v>5383</v>
      </c>
      <c r="BW337" s="50" t="s">
        <v>598</v>
      </c>
      <c r="BX337" s="50" t="s">
        <v>5384</v>
      </c>
      <c r="BY337" s="50" t="s">
        <v>5385</v>
      </c>
      <c r="BZ337" s="50" t="s">
        <v>5386</v>
      </c>
      <c r="CA337" s="50" t="s">
        <v>5383</v>
      </c>
      <c r="CB337" s="50" t="s">
        <v>5384</v>
      </c>
      <c r="CC337" s="50" t="s">
        <v>5385</v>
      </c>
      <c r="CD337" s="50" t="s">
        <v>15430</v>
      </c>
      <c r="CE337" s="50" t="s">
        <v>15431</v>
      </c>
      <c r="CF337" s="50" t="s">
        <v>15432</v>
      </c>
      <c r="CG337" s="50" t="s">
        <v>102</v>
      </c>
      <c r="CH337" s="50" t="s">
        <v>5391</v>
      </c>
      <c r="CJ337" s="50" t="s">
        <v>5392</v>
      </c>
      <c r="CL337" s="50" t="s">
        <v>920</v>
      </c>
      <c r="CM337" s="50" t="s">
        <v>211</v>
      </c>
      <c r="CN337" s="50" t="s">
        <v>5392</v>
      </c>
      <c r="CO337" s="50" t="s">
        <v>5393</v>
      </c>
      <c r="CP337" s="50" t="s">
        <v>5391</v>
      </c>
      <c r="CQ337" s="50" t="s">
        <v>5391</v>
      </c>
      <c r="CR337" s="50" t="s">
        <v>26040</v>
      </c>
    </row>
    <row r="338" spans="1:96">
      <c r="A338" s="50" t="s">
        <v>149</v>
      </c>
      <c r="B338" s="50">
        <v>3394135</v>
      </c>
      <c r="C338" s="50" t="s">
        <v>2151</v>
      </c>
      <c r="D338" s="50" t="s">
        <v>5815</v>
      </c>
      <c r="E338" s="50" t="e">
        <f>VLOOKUP(B338,aa!B:F,5,0)</f>
        <v>#N/A</v>
      </c>
      <c r="F338" s="50" t="e">
        <f>VLOOKUP(B338,aa!B:J,9,0)</f>
        <v>#N/A</v>
      </c>
      <c r="G338" s="50" t="e">
        <f>VLOOKUP(B338,aa!B:L,11,0)</f>
        <v>#N/A</v>
      </c>
      <c r="H338" s="50" t="e">
        <f>VLOOKUP(B338,aa!B:O,14,0)</f>
        <v>#N/A</v>
      </c>
      <c r="I338" s="50" t="e">
        <f>VLOOKUP(B338,aa!B:R,17,0)</f>
        <v>#N/A</v>
      </c>
      <c r="K338" s="50" t="s">
        <v>3549</v>
      </c>
      <c r="L338" s="50">
        <v>3585053</v>
      </c>
      <c r="M338" s="50">
        <v>4010614</v>
      </c>
      <c r="N338" s="50">
        <v>1220827</v>
      </c>
      <c r="O338" s="50">
        <v>1460</v>
      </c>
      <c r="P338" s="50" t="s">
        <v>10216</v>
      </c>
      <c r="Q338" s="50">
        <v>0</v>
      </c>
      <c r="R338" s="50">
        <v>0</v>
      </c>
      <c r="T338" s="50">
        <v>2364226</v>
      </c>
      <c r="U338" s="50">
        <v>1630</v>
      </c>
      <c r="V338" s="50" t="s">
        <v>15787</v>
      </c>
      <c r="W338" s="50" t="s">
        <v>102</v>
      </c>
      <c r="X338" s="50" t="s">
        <v>103</v>
      </c>
      <c r="Y338" s="50" t="s">
        <v>398</v>
      </c>
      <c r="AA338" s="50" t="s">
        <v>12480</v>
      </c>
      <c r="AB338" s="50" t="s">
        <v>15788</v>
      </c>
      <c r="AC338" s="50" t="s">
        <v>12289</v>
      </c>
      <c r="AD338" s="50" t="s">
        <v>15789</v>
      </c>
      <c r="AE338" s="50" t="s">
        <v>11886</v>
      </c>
      <c r="AF338" s="50" t="s">
        <v>15789</v>
      </c>
      <c r="AG338" s="50" t="s">
        <v>109</v>
      </c>
      <c r="AH338" s="50" t="s">
        <v>102</v>
      </c>
      <c r="AI338" s="50" t="s">
        <v>15790</v>
      </c>
      <c r="AJ338" s="50" t="s">
        <v>15791</v>
      </c>
      <c r="AK338" s="50" t="s">
        <v>13867</v>
      </c>
      <c r="AL338" s="50" t="s">
        <v>15792</v>
      </c>
      <c r="AM338" s="50" t="s">
        <v>15793</v>
      </c>
      <c r="AN338" s="50" t="s">
        <v>15794</v>
      </c>
      <c r="AO338" s="50" t="s">
        <v>15795</v>
      </c>
      <c r="AP338" s="50" t="s">
        <v>15795</v>
      </c>
      <c r="AU338" s="50" t="s">
        <v>318</v>
      </c>
      <c r="AV338" s="50" t="s">
        <v>118</v>
      </c>
      <c r="AW338" s="50" t="s">
        <v>102</v>
      </c>
      <c r="AX338" s="50" t="s">
        <v>119</v>
      </c>
      <c r="BA338" s="50" t="s">
        <v>250</v>
      </c>
      <c r="BB338" s="50" t="s">
        <v>171</v>
      </c>
      <c r="BC338" s="50" t="s">
        <v>920</v>
      </c>
      <c r="BD338" s="50" t="s">
        <v>211</v>
      </c>
      <c r="BE338" s="50" t="s">
        <v>212</v>
      </c>
      <c r="BF338" s="50" t="s">
        <v>213</v>
      </c>
      <c r="BG338" s="50" t="s">
        <v>124</v>
      </c>
      <c r="BH338" s="50" t="s">
        <v>11959</v>
      </c>
      <c r="BI338" s="50" t="s">
        <v>11960</v>
      </c>
      <c r="BJ338" s="50" t="s">
        <v>127</v>
      </c>
      <c r="BK338" s="50" t="s">
        <v>15796</v>
      </c>
      <c r="BL338" s="50" t="s">
        <v>5831</v>
      </c>
      <c r="BM338" s="50" t="s">
        <v>15797</v>
      </c>
      <c r="BN338" s="50" t="s">
        <v>411</v>
      </c>
      <c r="BO338" s="50" t="s">
        <v>7108</v>
      </c>
      <c r="BP338" s="50" t="s">
        <v>180</v>
      </c>
      <c r="BQ338" s="50" t="s">
        <v>7109</v>
      </c>
      <c r="BR338" s="50" t="s">
        <v>2151</v>
      </c>
      <c r="BS338" s="50" t="s">
        <v>2151</v>
      </c>
      <c r="BU338" s="50" t="s">
        <v>15798</v>
      </c>
      <c r="BV338" s="50" t="s">
        <v>5835</v>
      </c>
      <c r="BW338" s="50" t="s">
        <v>138</v>
      </c>
      <c r="BX338" s="50" t="s">
        <v>5836</v>
      </c>
      <c r="BY338" s="50" t="s">
        <v>5837</v>
      </c>
      <c r="BZ338" s="50" t="s">
        <v>5838</v>
      </c>
      <c r="CA338" s="50" t="s">
        <v>15799</v>
      </c>
      <c r="CB338" s="50" t="s">
        <v>5836</v>
      </c>
      <c r="CC338" s="50" t="s">
        <v>5837</v>
      </c>
      <c r="CD338" s="50" t="s">
        <v>15800</v>
      </c>
      <c r="CE338" s="50" t="s">
        <v>5840</v>
      </c>
      <c r="CF338" s="50" t="s">
        <v>5841</v>
      </c>
      <c r="CG338" s="50" t="s">
        <v>5842</v>
      </c>
      <c r="CH338" s="50" t="s">
        <v>5843</v>
      </c>
      <c r="CJ338" s="50" t="s">
        <v>5844</v>
      </c>
      <c r="CK338" s="50" t="s">
        <v>5843</v>
      </c>
      <c r="CL338" s="50" t="s">
        <v>920</v>
      </c>
      <c r="CM338" s="50" t="s">
        <v>211</v>
      </c>
      <c r="CN338" s="50" t="s">
        <v>5844</v>
      </c>
      <c r="CO338" s="50" t="s">
        <v>5845</v>
      </c>
      <c r="CP338" s="50" t="s">
        <v>5843</v>
      </c>
      <c r="CQ338" s="50" t="s">
        <v>5843</v>
      </c>
      <c r="CR338" s="50" t="s">
        <v>26040</v>
      </c>
    </row>
    <row r="339" spans="1:96">
      <c r="A339" s="50" t="s">
        <v>149</v>
      </c>
      <c r="B339" s="50">
        <v>3799725</v>
      </c>
      <c r="C339" s="50" t="s">
        <v>11898</v>
      </c>
      <c r="D339" s="50" t="s">
        <v>7449</v>
      </c>
      <c r="E339" s="50" t="str">
        <f>VLOOKUP(B339,aa!B:F,5,0)</f>
        <v>Ei ASSET,Ei CARES</v>
      </c>
      <c r="F339" s="50">
        <f>VLOOKUP(B339,aa!B:J,9,0)</f>
        <v>1602182</v>
      </c>
      <c r="G339" s="50">
        <f>VLOOKUP(B339,aa!B:L,11,0)</f>
        <v>624897</v>
      </c>
      <c r="H339" s="50">
        <f>VLOOKUP(B339,aa!B:O,14,0)</f>
        <v>977285</v>
      </c>
      <c r="I339" s="50">
        <f>VLOOKUP(B339,aa!B:R,17,0)</f>
        <v>0</v>
      </c>
      <c r="K339" s="50" t="s">
        <v>2044</v>
      </c>
      <c r="L339" s="50">
        <v>1050181</v>
      </c>
      <c r="M339" s="50">
        <v>1050181</v>
      </c>
      <c r="N339" s="50">
        <v>409800</v>
      </c>
      <c r="O339" s="50">
        <v>500</v>
      </c>
      <c r="P339" s="50" t="s">
        <v>17018</v>
      </c>
      <c r="Q339" s="50">
        <v>640381</v>
      </c>
      <c r="R339" s="50">
        <v>500</v>
      </c>
      <c r="S339" s="50" t="s">
        <v>10554</v>
      </c>
      <c r="T339" s="50">
        <v>0</v>
      </c>
      <c r="U339" s="50">
        <v>0</v>
      </c>
      <c r="W339" s="50" t="s">
        <v>102</v>
      </c>
      <c r="X339" s="50" t="s">
        <v>103</v>
      </c>
      <c r="Y339" s="50" t="s">
        <v>155</v>
      </c>
      <c r="AA339" s="50" t="s">
        <v>13680</v>
      </c>
      <c r="AB339" s="50" t="s">
        <v>17019</v>
      </c>
      <c r="AC339" s="50" t="s">
        <v>11976</v>
      </c>
      <c r="AD339" s="50" t="s">
        <v>17019</v>
      </c>
      <c r="AE339" s="50" t="s">
        <v>11888</v>
      </c>
      <c r="AF339" s="50" t="s">
        <v>17019</v>
      </c>
      <c r="AG339" s="50" t="s">
        <v>12084</v>
      </c>
      <c r="AH339" s="50" t="s">
        <v>17019</v>
      </c>
      <c r="AI339" s="50" t="s">
        <v>17020</v>
      </c>
      <c r="AJ339" s="50" t="s">
        <v>13602</v>
      </c>
      <c r="AK339" s="50" t="s">
        <v>17021</v>
      </c>
      <c r="AL339" s="50" t="s">
        <v>17022</v>
      </c>
      <c r="AM339" s="50" t="s">
        <v>17023</v>
      </c>
      <c r="AN339" s="50" t="s">
        <v>17024</v>
      </c>
      <c r="AO339" s="50" t="s">
        <v>17025</v>
      </c>
      <c r="AP339" s="50" t="s">
        <v>17026</v>
      </c>
      <c r="AT339" s="50" t="s">
        <v>169</v>
      </c>
      <c r="AU339" s="50" t="s">
        <v>318</v>
      </c>
      <c r="AV339" s="50" t="s">
        <v>118</v>
      </c>
      <c r="AW339" s="50" t="s">
        <v>104</v>
      </c>
      <c r="AX339" s="50" t="s">
        <v>447</v>
      </c>
      <c r="AY339" s="50" t="s">
        <v>170</v>
      </c>
      <c r="AZ339" s="50" t="s">
        <v>118</v>
      </c>
      <c r="BB339" s="50" t="s">
        <v>120</v>
      </c>
      <c r="BC339" s="50" t="s">
        <v>3854</v>
      </c>
      <c r="BD339" s="50" t="s">
        <v>449</v>
      </c>
      <c r="BE339" s="50" t="s">
        <v>122</v>
      </c>
      <c r="BF339" s="50" t="s">
        <v>450</v>
      </c>
      <c r="BG339" s="50" t="s">
        <v>124</v>
      </c>
      <c r="BH339" s="50" t="s">
        <v>13036</v>
      </c>
      <c r="BI339" s="50" t="s">
        <v>11889</v>
      </c>
      <c r="BJ339" s="50" t="s">
        <v>127</v>
      </c>
      <c r="BK339" s="50" t="s">
        <v>17027</v>
      </c>
      <c r="BL339" s="50" t="s">
        <v>7461</v>
      </c>
      <c r="BM339" s="50" t="s">
        <v>17028</v>
      </c>
      <c r="BN339" s="50" t="s">
        <v>411</v>
      </c>
      <c r="BO339" s="50" t="s">
        <v>3267</v>
      </c>
      <c r="BP339" s="50" t="s">
        <v>350</v>
      </c>
      <c r="BQ339" s="50" t="s">
        <v>3268</v>
      </c>
      <c r="BR339" s="50" t="s">
        <v>3269</v>
      </c>
      <c r="BS339" s="50" t="s">
        <v>261</v>
      </c>
      <c r="BU339" s="50" t="s">
        <v>17029</v>
      </c>
      <c r="BV339" s="50" t="s">
        <v>7464</v>
      </c>
      <c r="BW339" s="50" t="s">
        <v>138</v>
      </c>
      <c r="BX339" s="50" t="s">
        <v>7465</v>
      </c>
      <c r="BY339" s="50" t="s">
        <v>7466</v>
      </c>
      <c r="BZ339" s="50" t="s">
        <v>7467</v>
      </c>
      <c r="CA339" s="50" t="s">
        <v>7464</v>
      </c>
      <c r="CB339" s="50" t="s">
        <v>7465</v>
      </c>
      <c r="CC339" s="50" t="s">
        <v>7466</v>
      </c>
      <c r="CD339" s="50" t="s">
        <v>7464</v>
      </c>
      <c r="CE339" s="50" t="s">
        <v>7465</v>
      </c>
      <c r="CF339" s="50" t="s">
        <v>7466</v>
      </c>
      <c r="CG339" s="50" t="s">
        <v>5768</v>
      </c>
      <c r="CH339" s="50" t="s">
        <v>17030</v>
      </c>
      <c r="CJ339" s="50" t="s">
        <v>7472</v>
      </c>
      <c r="CK339" s="50" t="s">
        <v>17031</v>
      </c>
      <c r="CL339" s="50" t="s">
        <v>3854</v>
      </c>
      <c r="CM339" s="50" t="s">
        <v>449</v>
      </c>
      <c r="CN339" s="50" t="s">
        <v>7472</v>
      </c>
      <c r="CO339" s="50" t="s">
        <v>7473</v>
      </c>
      <c r="CP339" s="50" t="s">
        <v>7471</v>
      </c>
      <c r="CQ339" s="50" t="s">
        <v>7471</v>
      </c>
    </row>
    <row r="340" spans="1:96">
      <c r="A340" s="50" t="s">
        <v>149</v>
      </c>
      <c r="B340" s="50">
        <v>5016913</v>
      </c>
      <c r="C340" s="50" t="s">
        <v>12155</v>
      </c>
      <c r="D340" s="50" t="s">
        <v>9811</v>
      </c>
      <c r="E340" s="50" t="str">
        <f>VLOOKUP(B340,aa!B:F,5,0)</f>
        <v>Ei CARES</v>
      </c>
      <c r="F340" s="50">
        <f>VLOOKUP(B340,aa!B:J,9,0)</f>
        <v>352369</v>
      </c>
      <c r="G340" s="50">
        <f>VLOOKUP(B340,aa!B:L,11,0)</f>
        <v>0</v>
      </c>
      <c r="H340" s="50">
        <f>VLOOKUP(B340,aa!B:O,14,0)</f>
        <v>352369</v>
      </c>
      <c r="I340" s="50">
        <f>VLOOKUP(B340,aa!B:R,17,0)</f>
        <v>0</v>
      </c>
      <c r="K340" s="50" t="s">
        <v>152</v>
      </c>
      <c r="L340" s="50">
        <v>312058</v>
      </c>
      <c r="M340" s="50">
        <v>312058</v>
      </c>
      <c r="N340" s="50">
        <v>0</v>
      </c>
      <c r="O340" s="50">
        <v>0</v>
      </c>
      <c r="Q340" s="50">
        <v>312058</v>
      </c>
      <c r="R340" s="50">
        <v>237</v>
      </c>
      <c r="S340" s="50" t="s">
        <v>5240</v>
      </c>
      <c r="T340" s="50">
        <v>0</v>
      </c>
      <c r="U340" s="50">
        <v>0</v>
      </c>
      <c r="W340" s="50" t="s">
        <v>102</v>
      </c>
      <c r="X340" s="50" t="s">
        <v>103</v>
      </c>
      <c r="Y340" s="50" t="s">
        <v>155</v>
      </c>
      <c r="AA340" s="50" t="s">
        <v>12492</v>
      </c>
      <c r="AB340" s="50" t="s">
        <v>18958</v>
      </c>
      <c r="AC340" s="50" t="s">
        <v>13672</v>
      </c>
      <c r="AD340" s="50" t="s">
        <v>18958</v>
      </c>
      <c r="AE340" s="50" t="s">
        <v>12099</v>
      </c>
      <c r="AF340" s="50" t="s">
        <v>18958</v>
      </c>
      <c r="AG340" s="50" t="s">
        <v>11886</v>
      </c>
      <c r="AH340" s="50" t="s">
        <v>18958</v>
      </c>
      <c r="AI340" s="50" t="s">
        <v>102</v>
      </c>
      <c r="AJ340" s="50" t="s">
        <v>12711</v>
      </c>
      <c r="AK340" s="50" t="s">
        <v>16007</v>
      </c>
      <c r="AL340" s="50" t="s">
        <v>18959</v>
      </c>
      <c r="AM340" s="50" t="s">
        <v>18960</v>
      </c>
      <c r="AN340" s="50" t="s">
        <v>18961</v>
      </c>
      <c r="AO340" s="50" t="s">
        <v>18962</v>
      </c>
      <c r="AP340" s="50" t="s">
        <v>18962</v>
      </c>
      <c r="AU340" s="50" t="s">
        <v>102</v>
      </c>
      <c r="AW340" s="50" t="s">
        <v>155</v>
      </c>
      <c r="AX340" s="50" t="s">
        <v>447</v>
      </c>
      <c r="AY340" s="50" t="s">
        <v>1138</v>
      </c>
      <c r="AZ340" s="50" t="s">
        <v>118</v>
      </c>
      <c r="BB340" s="50" t="s">
        <v>120</v>
      </c>
      <c r="BC340" s="50" t="s">
        <v>18963</v>
      </c>
      <c r="BD340" s="50" t="s">
        <v>173</v>
      </c>
      <c r="BE340" s="50" t="s">
        <v>174</v>
      </c>
      <c r="BF340" s="50" t="s">
        <v>173</v>
      </c>
      <c r="BG340" s="50" t="s">
        <v>124</v>
      </c>
      <c r="BH340" s="50" t="s">
        <v>16382</v>
      </c>
      <c r="BI340" s="50" t="s">
        <v>18964</v>
      </c>
      <c r="BJ340" s="50" t="s">
        <v>127</v>
      </c>
      <c r="BK340" s="50" t="s">
        <v>18965</v>
      </c>
      <c r="BL340" s="50" t="s">
        <v>9821</v>
      </c>
      <c r="BM340" s="50" t="s">
        <v>18966</v>
      </c>
      <c r="BN340" s="50" t="s">
        <v>411</v>
      </c>
      <c r="BO340" s="50" t="s">
        <v>12557</v>
      </c>
      <c r="BP340" s="50" t="s">
        <v>180</v>
      </c>
      <c r="BQ340" s="50" t="s">
        <v>12558</v>
      </c>
      <c r="BR340" s="50" t="s">
        <v>12559</v>
      </c>
      <c r="BS340" s="50" t="s">
        <v>1176</v>
      </c>
      <c r="BU340" s="50" t="s">
        <v>18967</v>
      </c>
      <c r="BV340" s="50" t="s">
        <v>9827</v>
      </c>
      <c r="BW340" s="50" t="s">
        <v>138</v>
      </c>
      <c r="BX340" s="50" t="s">
        <v>9828</v>
      </c>
      <c r="BY340" s="50" t="s">
        <v>18968</v>
      </c>
      <c r="BZ340" s="50" t="s">
        <v>9830</v>
      </c>
      <c r="CA340" s="50" t="s">
        <v>9827</v>
      </c>
      <c r="CB340" s="50" t="s">
        <v>9828</v>
      </c>
      <c r="CC340" s="50" t="s">
        <v>18968</v>
      </c>
      <c r="CD340" s="50" t="s">
        <v>18969</v>
      </c>
      <c r="CE340" s="50" t="s">
        <v>9828</v>
      </c>
      <c r="CF340" s="50" t="s">
        <v>18968</v>
      </c>
      <c r="CG340" s="50" t="s">
        <v>9831</v>
      </c>
      <c r="CH340" s="50" t="s">
        <v>18970</v>
      </c>
      <c r="CJ340" s="50" t="s">
        <v>9833</v>
      </c>
      <c r="CK340" s="50" t="s">
        <v>18970</v>
      </c>
      <c r="CL340" s="50" t="s">
        <v>18963</v>
      </c>
      <c r="CM340" s="50" t="s">
        <v>173</v>
      </c>
      <c r="CN340" s="50" t="s">
        <v>9833</v>
      </c>
      <c r="CP340" s="50" t="s">
        <v>9834</v>
      </c>
      <c r="CQ340" s="50" t="s">
        <v>9834</v>
      </c>
    </row>
    <row r="341" spans="1:96">
      <c r="A341" s="50" t="s">
        <v>337</v>
      </c>
      <c r="B341" s="50">
        <v>5045366</v>
      </c>
      <c r="C341" s="50" t="s">
        <v>12834</v>
      </c>
      <c r="D341" s="50" t="s">
        <v>20439</v>
      </c>
      <c r="E341" s="50" t="e">
        <f>VLOOKUP(B341,aa!B:F,5,0)</f>
        <v>#N/A</v>
      </c>
      <c r="F341" s="50" t="e">
        <f>VLOOKUP(B341,aa!B:J,9,0)</f>
        <v>#N/A</v>
      </c>
      <c r="G341" s="50" t="e">
        <f>VLOOKUP(B341,aa!B:L,11,0)</f>
        <v>#N/A</v>
      </c>
      <c r="H341" s="50" t="e">
        <f>VLOOKUP(B341,aa!B:O,14,0)</f>
        <v>#N/A</v>
      </c>
      <c r="I341" s="50" t="e">
        <f>VLOOKUP(B341,aa!B:R,17,0)</f>
        <v>#N/A</v>
      </c>
      <c r="K341" s="50" t="s">
        <v>97</v>
      </c>
      <c r="L341" s="50">
        <v>228600</v>
      </c>
      <c r="M341" s="50">
        <v>228600</v>
      </c>
      <c r="N341" s="50">
        <v>228600</v>
      </c>
      <c r="O341" s="50">
        <v>381</v>
      </c>
      <c r="P341" s="50" t="s">
        <v>310</v>
      </c>
      <c r="Q341" s="50">
        <v>0</v>
      </c>
      <c r="R341" s="50">
        <v>0</v>
      </c>
      <c r="T341" s="50">
        <v>0</v>
      </c>
      <c r="U341" s="50">
        <v>0</v>
      </c>
      <c r="W341" s="50" t="s">
        <v>102</v>
      </c>
      <c r="X341" s="50" t="s">
        <v>103</v>
      </c>
      <c r="Y341" s="50" t="s">
        <v>398</v>
      </c>
      <c r="AA341" s="50" t="s">
        <v>12128</v>
      </c>
      <c r="AB341" s="50" t="s">
        <v>20440</v>
      </c>
      <c r="AC341" s="50" t="s">
        <v>12836</v>
      </c>
      <c r="AD341" s="50" t="s">
        <v>20441</v>
      </c>
      <c r="AE341" s="50" t="s">
        <v>12838</v>
      </c>
      <c r="AF341" s="50" t="s">
        <v>20441</v>
      </c>
      <c r="AG341" s="50" t="s">
        <v>109</v>
      </c>
      <c r="AH341" s="50" t="s">
        <v>102</v>
      </c>
      <c r="AI341" s="50" t="s">
        <v>102</v>
      </c>
      <c r="AL341" s="50" t="s">
        <v>20442</v>
      </c>
      <c r="AM341" s="50" t="s">
        <v>102</v>
      </c>
      <c r="AN341" s="50" t="s">
        <v>20442</v>
      </c>
      <c r="AO341" s="50" t="s">
        <v>317</v>
      </c>
      <c r="AP341" s="50" t="s">
        <v>317</v>
      </c>
      <c r="AU341" s="50" t="s">
        <v>318</v>
      </c>
      <c r="AV341" s="50" t="s">
        <v>118</v>
      </c>
      <c r="AW341" s="50" t="s">
        <v>102</v>
      </c>
      <c r="AX341" s="50" t="s">
        <v>119</v>
      </c>
      <c r="BB341" s="50" t="s">
        <v>1964</v>
      </c>
      <c r="BC341" s="50" t="s">
        <v>7718</v>
      </c>
      <c r="BD341" s="50" t="s">
        <v>211</v>
      </c>
      <c r="BE341" s="50" t="s">
        <v>212</v>
      </c>
      <c r="BF341" s="50" t="s">
        <v>213</v>
      </c>
      <c r="BG341" s="50" t="s">
        <v>124</v>
      </c>
      <c r="BH341" s="50" t="s">
        <v>12023</v>
      </c>
      <c r="BI341" s="50" t="s">
        <v>11889</v>
      </c>
      <c r="BJ341" s="50" t="s">
        <v>127</v>
      </c>
      <c r="BK341" s="50" t="s">
        <v>20443</v>
      </c>
      <c r="BL341" s="50" t="s">
        <v>20444</v>
      </c>
      <c r="BM341" s="50" t="s">
        <v>20445</v>
      </c>
      <c r="BN341" s="50" t="s">
        <v>411</v>
      </c>
      <c r="BO341" s="50" t="s">
        <v>480</v>
      </c>
      <c r="BP341" s="50" t="s">
        <v>505</v>
      </c>
      <c r="BQ341" s="50" t="s">
        <v>481</v>
      </c>
      <c r="BR341" s="50" t="s">
        <v>482</v>
      </c>
      <c r="BS341" s="50" t="s">
        <v>2593</v>
      </c>
      <c r="BU341" s="50" t="s">
        <v>20446</v>
      </c>
      <c r="BV341" s="50" t="s">
        <v>20447</v>
      </c>
      <c r="BW341" s="50" t="s">
        <v>138</v>
      </c>
      <c r="BX341" s="50" t="s">
        <v>481</v>
      </c>
      <c r="BY341" s="50" t="s">
        <v>12845</v>
      </c>
      <c r="BZ341" s="50" t="s">
        <v>20448</v>
      </c>
      <c r="CA341" s="50" t="s">
        <v>20447</v>
      </c>
      <c r="CB341" s="50" t="s">
        <v>20448</v>
      </c>
      <c r="CC341" s="50" t="s">
        <v>20449</v>
      </c>
      <c r="CD341" s="50" t="s">
        <v>20450</v>
      </c>
      <c r="CE341" s="50" t="s">
        <v>20451</v>
      </c>
      <c r="CF341" s="50" t="s">
        <v>20452</v>
      </c>
      <c r="CG341" s="50" t="s">
        <v>20453</v>
      </c>
      <c r="CH341" s="50" t="s">
        <v>20454</v>
      </c>
      <c r="CJ341" s="50" t="s">
        <v>20455</v>
      </c>
      <c r="CK341" s="50" t="s">
        <v>20456</v>
      </c>
      <c r="CL341" s="50" t="s">
        <v>7718</v>
      </c>
      <c r="CM341" s="50" t="s">
        <v>211</v>
      </c>
      <c r="CN341" s="50" t="s">
        <v>20455</v>
      </c>
      <c r="CP341" s="50" t="s">
        <v>20457</v>
      </c>
      <c r="CQ341" s="50" t="s">
        <v>20457</v>
      </c>
    </row>
    <row r="342" spans="1:96">
      <c r="A342" s="50" t="s">
        <v>337</v>
      </c>
      <c r="B342" s="50">
        <v>559960</v>
      </c>
      <c r="C342" s="50" t="s">
        <v>23397</v>
      </c>
      <c r="D342" s="50" t="s">
        <v>21129</v>
      </c>
      <c r="E342" s="50" t="e">
        <f>VLOOKUP(B342,aa!B:F,5,0)</f>
        <v>#N/A</v>
      </c>
      <c r="F342" s="50" t="e">
        <f>VLOOKUP(B342,aa!B:J,9,0)</f>
        <v>#N/A</v>
      </c>
      <c r="G342" s="50" t="e">
        <f>VLOOKUP(B342,aa!B:L,11,0)</f>
        <v>#N/A</v>
      </c>
      <c r="H342" s="50" t="e">
        <f>VLOOKUP(B342,aa!B:O,14,0)</f>
        <v>#N/A</v>
      </c>
      <c r="I342" s="50" t="e">
        <f>VLOOKUP(B342,aa!B:R,17,0)</f>
        <v>#N/A</v>
      </c>
      <c r="K342" s="50" t="s">
        <v>97</v>
      </c>
      <c r="L342" s="50">
        <v>495000</v>
      </c>
      <c r="M342" s="50">
        <v>495000</v>
      </c>
      <c r="N342" s="50">
        <v>495000</v>
      </c>
      <c r="O342" s="50">
        <v>825</v>
      </c>
      <c r="P342" s="50" t="s">
        <v>310</v>
      </c>
      <c r="Q342" s="50">
        <v>0</v>
      </c>
      <c r="R342" s="50">
        <v>0</v>
      </c>
      <c r="T342" s="50">
        <v>0</v>
      </c>
      <c r="U342" s="50">
        <v>0</v>
      </c>
      <c r="W342" s="50" t="s">
        <v>102</v>
      </c>
      <c r="X342" s="50" t="s">
        <v>103</v>
      </c>
      <c r="Y342" s="50" t="s">
        <v>398</v>
      </c>
      <c r="AA342" s="50" t="s">
        <v>12128</v>
      </c>
      <c r="AB342" s="50" t="s">
        <v>21130</v>
      </c>
      <c r="AC342" s="50" t="s">
        <v>12836</v>
      </c>
      <c r="AD342" s="50" t="s">
        <v>21131</v>
      </c>
      <c r="AE342" s="50" t="s">
        <v>12838</v>
      </c>
      <c r="AF342" s="50" t="s">
        <v>21131</v>
      </c>
      <c r="AG342" s="50" t="s">
        <v>109</v>
      </c>
      <c r="AH342" s="50" t="s">
        <v>102</v>
      </c>
      <c r="AI342" s="50" t="s">
        <v>102</v>
      </c>
      <c r="AL342" s="50" t="s">
        <v>21132</v>
      </c>
      <c r="AM342" s="50" t="s">
        <v>102</v>
      </c>
      <c r="AN342" s="50" t="s">
        <v>21132</v>
      </c>
      <c r="AO342" s="50" t="s">
        <v>317</v>
      </c>
      <c r="AP342" s="50" t="s">
        <v>317</v>
      </c>
      <c r="AU342" s="50" t="s">
        <v>318</v>
      </c>
      <c r="AV342" s="50" t="s">
        <v>118</v>
      </c>
      <c r="AW342" s="50" t="s">
        <v>102</v>
      </c>
      <c r="AX342" s="50" t="s">
        <v>119</v>
      </c>
      <c r="BB342" s="50" t="s">
        <v>120</v>
      </c>
      <c r="BC342" s="50" t="s">
        <v>920</v>
      </c>
      <c r="BD342" s="50" t="s">
        <v>211</v>
      </c>
      <c r="BE342" s="50" t="s">
        <v>212</v>
      </c>
      <c r="BF342" s="50" t="s">
        <v>213</v>
      </c>
      <c r="BG342" s="50" t="s">
        <v>124</v>
      </c>
      <c r="BH342" s="50" t="s">
        <v>12023</v>
      </c>
      <c r="BI342" s="50" t="s">
        <v>11889</v>
      </c>
      <c r="BJ342" s="50" t="s">
        <v>127</v>
      </c>
      <c r="BK342" s="50" t="s">
        <v>21133</v>
      </c>
      <c r="BL342" s="50" t="s">
        <v>21134</v>
      </c>
      <c r="BM342" s="50" t="s">
        <v>21135</v>
      </c>
      <c r="BN342" s="50" t="s">
        <v>411</v>
      </c>
      <c r="BO342" s="50" t="s">
        <v>480</v>
      </c>
      <c r="BP342" s="50" t="s">
        <v>505</v>
      </c>
      <c r="BQ342" s="50" t="s">
        <v>481</v>
      </c>
      <c r="BR342" s="50" t="s">
        <v>482</v>
      </c>
      <c r="BS342" s="50" t="s">
        <v>2593</v>
      </c>
      <c r="BT342" s="50" t="s">
        <v>4997</v>
      </c>
      <c r="BU342" s="50" t="s">
        <v>21136</v>
      </c>
      <c r="BV342" s="50" t="s">
        <v>21137</v>
      </c>
      <c r="BW342" s="50" t="s">
        <v>138</v>
      </c>
      <c r="BX342" s="50" t="s">
        <v>481</v>
      </c>
      <c r="BY342" s="50" t="s">
        <v>12845</v>
      </c>
      <c r="BZ342" s="50" t="s">
        <v>21138</v>
      </c>
      <c r="CA342" s="50" t="s">
        <v>21139</v>
      </c>
      <c r="CB342" s="50" t="s">
        <v>21140</v>
      </c>
      <c r="CC342" s="50" t="s">
        <v>21141</v>
      </c>
      <c r="CD342" s="50" t="s">
        <v>21142</v>
      </c>
      <c r="CE342" s="50" t="s">
        <v>21143</v>
      </c>
      <c r="CF342" s="50" t="s">
        <v>21144</v>
      </c>
      <c r="CG342" s="50" t="s">
        <v>5581</v>
      </c>
      <c r="CH342" s="50" t="s">
        <v>21145</v>
      </c>
      <c r="CJ342" s="50" t="s">
        <v>21146</v>
      </c>
      <c r="CK342" s="50" t="s">
        <v>21145</v>
      </c>
      <c r="CL342" s="50" t="s">
        <v>920</v>
      </c>
      <c r="CM342" s="50" t="s">
        <v>211</v>
      </c>
      <c r="CN342" s="50" t="s">
        <v>21146</v>
      </c>
      <c r="CP342" s="50" t="s">
        <v>21147</v>
      </c>
      <c r="CQ342" s="50" t="s">
        <v>21147</v>
      </c>
    </row>
    <row r="343" spans="1:96">
      <c r="A343" s="50" t="s">
        <v>149</v>
      </c>
      <c r="B343" s="50">
        <v>10251</v>
      </c>
      <c r="C343" s="50" t="s">
        <v>11995</v>
      </c>
      <c r="D343" s="50" t="s">
        <v>271</v>
      </c>
      <c r="E343" s="50" t="str">
        <f>VLOOKUP(B343,aa!B:F,5,0)</f>
        <v>Ei CARES</v>
      </c>
      <c r="F343" s="50">
        <f>VLOOKUP(B343,aa!B:J,9,0)</f>
        <v>1110525</v>
      </c>
      <c r="G343" s="50">
        <f>VLOOKUP(B343,aa!B:L,11,0)</f>
        <v>0</v>
      </c>
      <c r="H343" s="50">
        <f>VLOOKUP(B343,aa!B:O,14,0)</f>
        <v>1110525</v>
      </c>
      <c r="I343" s="50">
        <f>VLOOKUP(B343,aa!B:R,17,0)</f>
        <v>0</v>
      </c>
      <c r="K343" s="50" t="s">
        <v>152</v>
      </c>
      <c r="L343" s="50">
        <v>992708</v>
      </c>
      <c r="M343" s="50">
        <v>992708</v>
      </c>
      <c r="N343" s="50">
        <v>0</v>
      </c>
      <c r="O343" s="50">
        <v>0</v>
      </c>
      <c r="Q343" s="50">
        <v>992708</v>
      </c>
      <c r="R343" s="50">
        <v>737</v>
      </c>
      <c r="S343" s="50" t="s">
        <v>11997</v>
      </c>
      <c r="T343" s="50">
        <v>0</v>
      </c>
      <c r="U343" s="50">
        <v>0</v>
      </c>
      <c r="W343" s="50" t="s">
        <v>102</v>
      </c>
      <c r="X343" s="50" t="s">
        <v>275</v>
      </c>
      <c r="Z343" s="50" t="s">
        <v>126</v>
      </c>
      <c r="AA343" s="50" t="s">
        <v>109</v>
      </c>
      <c r="AB343" s="50" t="s">
        <v>102</v>
      </c>
      <c r="AC343" s="50" t="s">
        <v>109</v>
      </c>
      <c r="AD343" s="50" t="s">
        <v>102</v>
      </c>
      <c r="AE343" s="50" t="s">
        <v>109</v>
      </c>
      <c r="AF343" s="50" t="s">
        <v>102</v>
      </c>
      <c r="AG343" s="50" t="s">
        <v>109</v>
      </c>
      <c r="AH343" s="50" t="s">
        <v>102</v>
      </c>
      <c r="AI343" s="50" t="s">
        <v>11998</v>
      </c>
      <c r="AJ343" s="50" t="s">
        <v>11999</v>
      </c>
      <c r="AK343" s="50" t="s">
        <v>11999</v>
      </c>
      <c r="AL343" s="50" t="s">
        <v>12000</v>
      </c>
      <c r="AM343" s="50" t="s">
        <v>12001</v>
      </c>
      <c r="AN343" s="50" t="s">
        <v>12002</v>
      </c>
      <c r="AO343" s="50" t="s">
        <v>12003</v>
      </c>
      <c r="AP343" s="50" t="s">
        <v>12004</v>
      </c>
      <c r="AQ343" s="50" t="s">
        <v>169</v>
      </c>
      <c r="AU343" s="50" t="s">
        <v>102</v>
      </c>
      <c r="AW343" s="50" t="s">
        <v>283</v>
      </c>
      <c r="AX343" s="50" t="s">
        <v>119</v>
      </c>
      <c r="AZ343" s="50" t="s">
        <v>250</v>
      </c>
      <c r="BB343" s="50" t="s">
        <v>171</v>
      </c>
      <c r="BC343" s="50" t="s">
        <v>284</v>
      </c>
      <c r="BD343" s="50" t="s">
        <v>285</v>
      </c>
      <c r="BE343" s="50" t="s">
        <v>212</v>
      </c>
      <c r="BF343" s="50" t="s">
        <v>286</v>
      </c>
      <c r="BG343" s="50" t="s">
        <v>124</v>
      </c>
      <c r="BH343" s="50" t="s">
        <v>12005</v>
      </c>
      <c r="BI343" s="50" t="s">
        <v>11889</v>
      </c>
      <c r="BJ343" s="50" t="s">
        <v>127</v>
      </c>
      <c r="BK343" s="50" t="s">
        <v>12006</v>
      </c>
      <c r="BL343" s="50" t="s">
        <v>288</v>
      </c>
      <c r="BM343" s="50" t="s">
        <v>12007</v>
      </c>
      <c r="BN343" s="50" t="s">
        <v>11996</v>
      </c>
      <c r="BO343" s="50" t="s">
        <v>12008</v>
      </c>
      <c r="BP343" s="50" t="s">
        <v>132</v>
      </c>
      <c r="BQ343" s="50" t="s">
        <v>12009</v>
      </c>
      <c r="BR343" s="50" t="s">
        <v>12010</v>
      </c>
      <c r="BS343" s="50" t="s">
        <v>293</v>
      </c>
      <c r="BU343" s="50" t="s">
        <v>12011</v>
      </c>
      <c r="BV343" s="50" t="s">
        <v>295</v>
      </c>
      <c r="BW343" s="50" t="s">
        <v>296</v>
      </c>
      <c r="BX343" s="50" t="s">
        <v>297</v>
      </c>
      <c r="BY343" s="50" t="s">
        <v>298</v>
      </c>
      <c r="CA343" s="50" t="s">
        <v>12012</v>
      </c>
      <c r="CB343" s="50" t="s">
        <v>300</v>
      </c>
      <c r="CC343" s="50" t="s">
        <v>12013</v>
      </c>
      <c r="CD343" s="50" t="s">
        <v>12014</v>
      </c>
      <c r="CE343" s="50" t="s">
        <v>12015</v>
      </c>
      <c r="CF343" s="50" t="s">
        <v>12016</v>
      </c>
      <c r="CG343" s="50" t="s">
        <v>102</v>
      </c>
      <c r="CH343" s="50" t="s">
        <v>12017</v>
      </c>
      <c r="CJ343" s="50" t="s">
        <v>305</v>
      </c>
      <c r="CL343" s="50" t="s">
        <v>284</v>
      </c>
      <c r="CM343" s="50" t="s">
        <v>285</v>
      </c>
      <c r="CN343" s="50" t="s">
        <v>305</v>
      </c>
      <c r="CO343" s="50" t="s">
        <v>306</v>
      </c>
      <c r="CP343" s="50" t="s">
        <v>307</v>
      </c>
      <c r="CQ343" s="50" t="s">
        <v>307</v>
      </c>
    </row>
    <row r="344" spans="1:96">
      <c r="A344" s="50" t="s">
        <v>149</v>
      </c>
      <c r="B344" s="50">
        <v>17080</v>
      </c>
      <c r="C344" s="50" t="s">
        <v>418</v>
      </c>
      <c r="D344" s="50" t="s">
        <v>1541</v>
      </c>
      <c r="E344" s="50" t="str">
        <f>VLOOKUP(B344,aa!B:F,5,0)</f>
        <v>Ei CARES,Ei Mindspark</v>
      </c>
      <c r="F344" s="50">
        <f>VLOOKUP(B344,aa!B:J,9,0)</f>
        <v>1704124</v>
      </c>
      <c r="G344" s="50">
        <f>VLOOKUP(B344,aa!B:L,11,0)</f>
        <v>0</v>
      </c>
      <c r="H344" s="50">
        <f>VLOOKUP(B344,aa!B:O,14,0)</f>
        <v>846651</v>
      </c>
      <c r="I344" s="50">
        <f>VLOOKUP(B344,aa!B:R,17,0)</f>
        <v>857473</v>
      </c>
      <c r="K344" s="50" t="s">
        <v>8024</v>
      </c>
      <c r="L344" s="50">
        <v>2060619</v>
      </c>
      <c r="M344" s="50">
        <v>2293901</v>
      </c>
      <c r="N344" s="50">
        <v>0</v>
      </c>
      <c r="O344" s="50">
        <v>0</v>
      </c>
      <c r="Q344" s="50">
        <v>764608</v>
      </c>
      <c r="R344" s="50">
        <v>1358</v>
      </c>
      <c r="S344" s="50" t="s">
        <v>12799</v>
      </c>
      <c r="T344" s="50">
        <v>1296011</v>
      </c>
      <c r="U344" s="50">
        <v>1358</v>
      </c>
      <c r="V344" s="50" t="s">
        <v>6010</v>
      </c>
      <c r="W344" s="50" t="s">
        <v>102</v>
      </c>
      <c r="X344" s="50" t="s">
        <v>103</v>
      </c>
      <c r="Y344" s="50" t="s">
        <v>104</v>
      </c>
      <c r="AA344" s="50" t="s">
        <v>12800</v>
      </c>
      <c r="AB344" s="50" t="s">
        <v>12801</v>
      </c>
      <c r="AC344" s="50" t="s">
        <v>11886</v>
      </c>
      <c r="AD344" s="50" t="s">
        <v>12801</v>
      </c>
      <c r="AE344" s="50" t="s">
        <v>109</v>
      </c>
      <c r="AF344" s="50" t="s">
        <v>102</v>
      </c>
      <c r="AG344" s="50" t="s">
        <v>109</v>
      </c>
      <c r="AH344" s="50" t="s">
        <v>102</v>
      </c>
      <c r="AI344" s="50" t="s">
        <v>12802</v>
      </c>
      <c r="AJ344" s="50" t="s">
        <v>8060</v>
      </c>
      <c r="AK344" s="50" t="s">
        <v>8060</v>
      </c>
      <c r="AL344" s="50" t="s">
        <v>12803</v>
      </c>
      <c r="AM344" s="50" t="s">
        <v>12804</v>
      </c>
      <c r="AN344" s="50" t="s">
        <v>12805</v>
      </c>
      <c r="AO344" s="50" t="s">
        <v>12806</v>
      </c>
      <c r="AP344" s="50" t="s">
        <v>12806</v>
      </c>
      <c r="AU344" s="50" t="s">
        <v>102</v>
      </c>
      <c r="AW344" s="50" t="s">
        <v>1758</v>
      </c>
      <c r="AX344" s="50" t="s">
        <v>119</v>
      </c>
      <c r="AZ344" s="50" t="s">
        <v>250</v>
      </c>
      <c r="BA344" s="50" t="s">
        <v>250</v>
      </c>
      <c r="BB344" s="50" t="s">
        <v>120</v>
      </c>
      <c r="BC344" s="50" t="s">
        <v>1552</v>
      </c>
      <c r="BD344" s="50" t="s">
        <v>410</v>
      </c>
      <c r="BE344" s="50" t="s">
        <v>212</v>
      </c>
      <c r="BF344" s="50" t="s">
        <v>410</v>
      </c>
      <c r="BG344" s="50" t="s">
        <v>124</v>
      </c>
      <c r="BH344" s="50" t="s">
        <v>11959</v>
      </c>
      <c r="BI344" s="50" t="s">
        <v>11960</v>
      </c>
      <c r="BJ344" s="50" t="s">
        <v>127</v>
      </c>
      <c r="BK344" s="50" t="s">
        <v>12807</v>
      </c>
      <c r="BL344" s="50" t="s">
        <v>1554</v>
      </c>
      <c r="BM344" s="50" t="s">
        <v>12808</v>
      </c>
      <c r="BN344" s="50" t="s">
        <v>12496</v>
      </c>
      <c r="BO344" s="50" t="s">
        <v>866</v>
      </c>
      <c r="BP344" s="50" t="s">
        <v>132</v>
      </c>
      <c r="BQ344" s="50" t="s">
        <v>867</v>
      </c>
      <c r="BR344" s="50" t="s">
        <v>868</v>
      </c>
      <c r="BS344" s="50" t="s">
        <v>418</v>
      </c>
      <c r="BU344" s="50" t="s">
        <v>12809</v>
      </c>
      <c r="BV344" s="50" t="s">
        <v>1557</v>
      </c>
      <c r="BX344" s="50" t="s">
        <v>1558</v>
      </c>
      <c r="BY344" s="50" t="s">
        <v>12810</v>
      </c>
      <c r="BZ344" s="50" t="s">
        <v>1560</v>
      </c>
      <c r="CA344" s="50" t="s">
        <v>12811</v>
      </c>
      <c r="CB344" s="50" t="s">
        <v>12812</v>
      </c>
      <c r="CC344" s="50" t="s">
        <v>12813</v>
      </c>
      <c r="CD344" s="50" t="s">
        <v>12814</v>
      </c>
      <c r="CE344" s="50" t="s">
        <v>1562</v>
      </c>
      <c r="CF344" s="50" t="s">
        <v>1563</v>
      </c>
      <c r="CG344" s="50" t="s">
        <v>102</v>
      </c>
      <c r="CH344" s="50" t="s">
        <v>1564</v>
      </c>
      <c r="CJ344" s="50" t="s">
        <v>1565</v>
      </c>
      <c r="CK344" s="50" t="s">
        <v>1564</v>
      </c>
      <c r="CL344" s="50" t="s">
        <v>1552</v>
      </c>
      <c r="CM344" s="50" t="s">
        <v>410</v>
      </c>
      <c r="CN344" s="50" t="s">
        <v>1565</v>
      </c>
      <c r="CO344" s="50" t="s">
        <v>1566</v>
      </c>
      <c r="CP344" s="50" t="s">
        <v>1564</v>
      </c>
      <c r="CQ344" s="50" t="s">
        <v>1564</v>
      </c>
    </row>
    <row r="345" spans="1:96">
      <c r="A345" s="50" t="s">
        <v>337</v>
      </c>
      <c r="B345" s="50">
        <v>214868</v>
      </c>
      <c r="C345" s="50" t="s">
        <v>183</v>
      </c>
      <c r="D345" s="50" t="s">
        <v>13600</v>
      </c>
      <c r="E345" s="50" t="e">
        <f>VLOOKUP(B345,aa!B:F,5,0)</f>
        <v>#N/A</v>
      </c>
      <c r="F345" s="50" t="e">
        <f>VLOOKUP(B345,aa!B:J,9,0)</f>
        <v>#N/A</v>
      </c>
      <c r="G345" s="50" t="e">
        <f>VLOOKUP(B345,aa!B:L,11,0)</f>
        <v>#N/A</v>
      </c>
      <c r="H345" s="50" t="e">
        <f>VLOOKUP(B345,aa!B:O,14,0)</f>
        <v>#N/A</v>
      </c>
      <c r="I345" s="50" t="e">
        <f>VLOOKUP(B345,aa!B:R,17,0)</f>
        <v>#N/A</v>
      </c>
      <c r="K345" s="50" t="s">
        <v>97</v>
      </c>
      <c r="L345" s="50">
        <v>335820</v>
      </c>
      <c r="M345" s="50">
        <v>335820</v>
      </c>
      <c r="N345" s="50">
        <v>335820</v>
      </c>
      <c r="O345" s="50">
        <v>580</v>
      </c>
      <c r="P345" s="50" t="s">
        <v>13601</v>
      </c>
      <c r="Q345" s="50">
        <v>0</v>
      </c>
      <c r="R345" s="50">
        <v>0</v>
      </c>
      <c r="T345" s="50">
        <v>0</v>
      </c>
      <c r="U345" s="50">
        <v>0</v>
      </c>
      <c r="W345" s="50" t="s">
        <v>102</v>
      </c>
      <c r="X345" s="50" t="s">
        <v>103</v>
      </c>
      <c r="Y345" s="50" t="s">
        <v>104</v>
      </c>
      <c r="AA345" s="50" t="s">
        <v>13602</v>
      </c>
      <c r="AB345" s="50" t="s">
        <v>13603</v>
      </c>
      <c r="AC345" s="50" t="s">
        <v>8708</v>
      </c>
      <c r="AD345" s="50" t="s">
        <v>13604</v>
      </c>
      <c r="AE345" s="50" t="s">
        <v>109</v>
      </c>
      <c r="AF345" s="50" t="s">
        <v>102</v>
      </c>
      <c r="AG345" s="50" t="s">
        <v>109</v>
      </c>
      <c r="AH345" s="50" t="s">
        <v>102</v>
      </c>
      <c r="AI345" s="50" t="s">
        <v>102</v>
      </c>
      <c r="AJ345" s="50" t="s">
        <v>8488</v>
      </c>
      <c r="AK345" s="50" t="s">
        <v>8488</v>
      </c>
      <c r="AL345" s="50" t="s">
        <v>13605</v>
      </c>
      <c r="AM345" s="50" t="s">
        <v>13606</v>
      </c>
      <c r="AN345" s="50" t="s">
        <v>13607</v>
      </c>
      <c r="AO345" s="50" t="s">
        <v>13608</v>
      </c>
      <c r="AP345" s="50" t="s">
        <v>13608</v>
      </c>
      <c r="AU345" s="50" t="s">
        <v>318</v>
      </c>
      <c r="AV345" s="50" t="s">
        <v>118</v>
      </c>
      <c r="AW345" s="50" t="s">
        <v>102</v>
      </c>
      <c r="AX345" s="50" t="s">
        <v>119</v>
      </c>
      <c r="BB345" s="50" t="s">
        <v>171</v>
      </c>
      <c r="BC345" s="50" t="s">
        <v>8802</v>
      </c>
      <c r="BD345" s="50" t="s">
        <v>6595</v>
      </c>
      <c r="BE345" s="50" t="s">
        <v>174</v>
      </c>
      <c r="BF345" s="50" t="s">
        <v>4405</v>
      </c>
      <c r="BG345" s="50" t="s">
        <v>124</v>
      </c>
      <c r="BH345" s="50" t="s">
        <v>5694</v>
      </c>
      <c r="BI345" s="50" t="s">
        <v>11886</v>
      </c>
      <c r="BJ345" s="50" t="s">
        <v>127</v>
      </c>
      <c r="BK345" s="50" t="s">
        <v>13609</v>
      </c>
      <c r="BL345" s="50" t="s">
        <v>13610</v>
      </c>
      <c r="BM345" s="50" t="s">
        <v>13611</v>
      </c>
      <c r="BN345" s="50" t="s">
        <v>12496</v>
      </c>
      <c r="BO345" s="50" t="s">
        <v>5531</v>
      </c>
      <c r="BP345" s="50" t="s">
        <v>180</v>
      </c>
      <c r="BQ345" s="50" t="s">
        <v>5532</v>
      </c>
      <c r="BR345" s="50" t="s">
        <v>5533</v>
      </c>
      <c r="BS345" s="50" t="s">
        <v>4413</v>
      </c>
      <c r="BT345" s="50" t="s">
        <v>13612</v>
      </c>
      <c r="BU345" s="50" t="s">
        <v>13613</v>
      </c>
      <c r="BV345" s="50" t="s">
        <v>13614</v>
      </c>
      <c r="BW345" s="50" t="s">
        <v>138</v>
      </c>
      <c r="BX345" s="50" t="s">
        <v>13615</v>
      </c>
      <c r="BY345" s="50" t="s">
        <v>13616</v>
      </c>
      <c r="BZ345" s="50" t="s">
        <v>13617</v>
      </c>
      <c r="CA345" s="50" t="s">
        <v>13614</v>
      </c>
      <c r="CB345" s="50" t="s">
        <v>13615</v>
      </c>
      <c r="CC345" s="50" t="s">
        <v>13616</v>
      </c>
      <c r="CD345" s="50" t="s">
        <v>13614</v>
      </c>
      <c r="CE345" s="50" t="s">
        <v>13615</v>
      </c>
      <c r="CF345" s="50" t="s">
        <v>13616</v>
      </c>
      <c r="CG345" s="50" t="s">
        <v>13618</v>
      </c>
      <c r="CH345" s="50" t="s">
        <v>8802</v>
      </c>
      <c r="CJ345" s="50" t="s">
        <v>13619</v>
      </c>
      <c r="CK345" s="50" t="s">
        <v>13620</v>
      </c>
      <c r="CL345" s="50" t="s">
        <v>8802</v>
      </c>
      <c r="CM345" s="50" t="s">
        <v>6595</v>
      </c>
      <c r="CN345" s="50" t="s">
        <v>13619</v>
      </c>
      <c r="CP345" s="50" t="s">
        <v>13621</v>
      </c>
      <c r="CQ345" s="50" t="s">
        <v>13621</v>
      </c>
      <c r="CR345" s="50" t="s">
        <v>26043</v>
      </c>
    </row>
    <row r="346" spans="1:96">
      <c r="A346" s="50" t="s">
        <v>149</v>
      </c>
      <c r="B346" s="50">
        <v>2470921</v>
      </c>
      <c r="C346" s="50" t="s">
        <v>3562</v>
      </c>
      <c r="D346" s="50" t="s">
        <v>3548</v>
      </c>
      <c r="E346" s="50" t="e">
        <f>VLOOKUP(B346,aa!B:F,5,0)</f>
        <v>#N/A</v>
      </c>
      <c r="F346" s="50" t="e">
        <f>VLOOKUP(B346,aa!B:J,9,0)</f>
        <v>#N/A</v>
      </c>
      <c r="G346" s="50" t="e">
        <f>VLOOKUP(B346,aa!B:L,11,0)</f>
        <v>#N/A</v>
      </c>
      <c r="H346" s="50" t="e">
        <f>VLOOKUP(B346,aa!B:O,14,0)</f>
        <v>#N/A</v>
      </c>
      <c r="I346" s="50" t="e">
        <f>VLOOKUP(B346,aa!B:R,17,0)</f>
        <v>#N/A</v>
      </c>
      <c r="K346" s="50" t="s">
        <v>3549</v>
      </c>
      <c r="L346" s="50">
        <v>1331844</v>
      </c>
      <c r="M346" s="50">
        <v>1485493</v>
      </c>
      <c r="N346" s="50">
        <v>478236</v>
      </c>
      <c r="O346" s="50">
        <v>571</v>
      </c>
      <c r="P346" s="50" t="s">
        <v>14122</v>
      </c>
      <c r="Q346" s="50">
        <v>0</v>
      </c>
      <c r="R346" s="50">
        <v>0</v>
      </c>
      <c r="T346" s="50">
        <v>853608</v>
      </c>
      <c r="U346" s="50">
        <v>568</v>
      </c>
      <c r="V346" s="50" t="s">
        <v>14123</v>
      </c>
      <c r="W346" s="50" t="s">
        <v>102</v>
      </c>
      <c r="X346" s="50" t="s">
        <v>275</v>
      </c>
      <c r="Z346" s="50" t="s">
        <v>126</v>
      </c>
      <c r="AA346" s="50" t="s">
        <v>109</v>
      </c>
      <c r="AB346" s="50" t="s">
        <v>102</v>
      </c>
      <c r="AC346" s="50" t="s">
        <v>109</v>
      </c>
      <c r="AD346" s="50" t="s">
        <v>102</v>
      </c>
      <c r="AE346" s="50" t="s">
        <v>109</v>
      </c>
      <c r="AF346" s="50" t="s">
        <v>102</v>
      </c>
      <c r="AG346" s="50" t="s">
        <v>109</v>
      </c>
      <c r="AH346" s="50" t="s">
        <v>102</v>
      </c>
      <c r="AI346" s="50" t="s">
        <v>14124</v>
      </c>
      <c r="AJ346" s="50" t="s">
        <v>12911</v>
      </c>
      <c r="AK346" s="50" t="s">
        <v>12911</v>
      </c>
      <c r="AL346" s="50" t="s">
        <v>14125</v>
      </c>
      <c r="AM346" s="50" t="s">
        <v>14126</v>
      </c>
      <c r="AN346" s="50" t="s">
        <v>14127</v>
      </c>
      <c r="AO346" s="50" t="s">
        <v>14128</v>
      </c>
      <c r="AP346" s="50" t="s">
        <v>14129</v>
      </c>
      <c r="AQ346" s="50" t="s">
        <v>343</v>
      </c>
      <c r="AT346" s="50" t="s">
        <v>169</v>
      </c>
      <c r="AU346" s="50" t="s">
        <v>318</v>
      </c>
      <c r="AV346" s="50" t="s">
        <v>118</v>
      </c>
      <c r="AW346" s="50" t="s">
        <v>102</v>
      </c>
      <c r="AX346" s="50" t="s">
        <v>119</v>
      </c>
      <c r="BA346" s="50" t="s">
        <v>250</v>
      </c>
      <c r="BB346" s="50" t="s">
        <v>120</v>
      </c>
      <c r="BC346" s="50" t="s">
        <v>2327</v>
      </c>
      <c r="BD346" s="50" t="s">
        <v>730</v>
      </c>
      <c r="BE346" s="50" t="s">
        <v>622</v>
      </c>
      <c r="BF346" s="50" t="s">
        <v>730</v>
      </c>
      <c r="BG346" s="50" t="s">
        <v>124</v>
      </c>
      <c r="BH346" s="50" t="s">
        <v>12023</v>
      </c>
      <c r="BI346" s="50" t="s">
        <v>11889</v>
      </c>
      <c r="BJ346" s="50" t="s">
        <v>127</v>
      </c>
      <c r="BK346" s="50" t="s">
        <v>14130</v>
      </c>
      <c r="BL346" s="50" t="s">
        <v>3560</v>
      </c>
      <c r="BM346" s="50" t="s">
        <v>14131</v>
      </c>
      <c r="BN346" s="50" t="s">
        <v>12496</v>
      </c>
      <c r="BO346" s="50" t="s">
        <v>7559</v>
      </c>
      <c r="BP346" s="50" t="s">
        <v>350</v>
      </c>
      <c r="BQ346" s="50" t="s">
        <v>7560</v>
      </c>
      <c r="BR346" s="50" t="s">
        <v>7561</v>
      </c>
      <c r="BS346" s="50" t="s">
        <v>3562</v>
      </c>
      <c r="BU346" s="50" t="s">
        <v>14132</v>
      </c>
      <c r="BV346" s="50" t="s">
        <v>14133</v>
      </c>
      <c r="BW346" s="50" t="s">
        <v>138</v>
      </c>
      <c r="BX346" s="50" t="s">
        <v>3565</v>
      </c>
      <c r="BY346" s="50" t="s">
        <v>14134</v>
      </c>
      <c r="BZ346" s="50" t="s">
        <v>3567</v>
      </c>
      <c r="CA346" s="50" t="s">
        <v>14133</v>
      </c>
      <c r="CB346" s="50" t="s">
        <v>7560</v>
      </c>
      <c r="CC346" s="50" t="s">
        <v>14134</v>
      </c>
      <c r="CD346" s="50" t="s">
        <v>14133</v>
      </c>
      <c r="CE346" s="50" t="s">
        <v>7560</v>
      </c>
      <c r="CF346" s="50" t="s">
        <v>14134</v>
      </c>
      <c r="CG346" s="50" t="s">
        <v>102</v>
      </c>
      <c r="CH346" s="50" t="s">
        <v>3568</v>
      </c>
      <c r="CJ346" s="50" t="s">
        <v>3569</v>
      </c>
      <c r="CL346" s="50" t="s">
        <v>2327</v>
      </c>
      <c r="CM346" s="50" t="s">
        <v>730</v>
      </c>
      <c r="CN346" s="50" t="s">
        <v>3569</v>
      </c>
      <c r="CP346" s="50" t="s">
        <v>3568</v>
      </c>
      <c r="CQ346" s="50" t="s">
        <v>3568</v>
      </c>
      <c r="CR346" s="50" t="s">
        <v>26042</v>
      </c>
    </row>
    <row r="347" spans="1:96">
      <c r="A347" s="50" t="s">
        <v>149</v>
      </c>
      <c r="B347" s="50">
        <v>3292556</v>
      </c>
      <c r="C347" s="50" t="s">
        <v>12491</v>
      </c>
      <c r="D347" s="50" t="s">
        <v>5347</v>
      </c>
      <c r="E347" s="50" t="str">
        <f>VLOOKUP(B347,aa!B:F,5,0)</f>
        <v>Ei ASSET</v>
      </c>
      <c r="F347" s="50">
        <f>VLOOKUP(B347,aa!B:J,9,0)</f>
        <v>519474</v>
      </c>
      <c r="G347" s="50">
        <f>VLOOKUP(B347,aa!B:L,11,0)</f>
        <v>519474</v>
      </c>
      <c r="H347" s="50">
        <f>VLOOKUP(B347,aa!B:O,14,0)</f>
        <v>0</v>
      </c>
      <c r="I347" s="50">
        <f>VLOOKUP(B347,aa!B:R,17,0)</f>
        <v>0</v>
      </c>
      <c r="K347" s="50" t="s">
        <v>97</v>
      </c>
      <c r="L347" s="50">
        <v>510402</v>
      </c>
      <c r="M347" s="50">
        <v>510402</v>
      </c>
      <c r="N347" s="50">
        <v>510402</v>
      </c>
      <c r="O347" s="50">
        <v>645</v>
      </c>
      <c r="P347" s="50" t="s">
        <v>15401</v>
      </c>
      <c r="Q347" s="50">
        <v>0</v>
      </c>
      <c r="R347" s="50">
        <v>0</v>
      </c>
      <c r="T347" s="50">
        <v>0</v>
      </c>
      <c r="U347" s="50">
        <v>0</v>
      </c>
      <c r="W347" s="50" t="s">
        <v>102</v>
      </c>
      <c r="X347" s="50" t="s">
        <v>103</v>
      </c>
      <c r="Y347" s="50" t="s">
        <v>104</v>
      </c>
      <c r="AA347" s="50" t="s">
        <v>11959</v>
      </c>
      <c r="AB347" s="50" t="s">
        <v>15402</v>
      </c>
      <c r="AC347" s="50" t="s">
        <v>5651</v>
      </c>
      <c r="AD347" s="50" t="s">
        <v>15402</v>
      </c>
      <c r="AE347" s="50" t="s">
        <v>109</v>
      </c>
      <c r="AF347" s="50" t="s">
        <v>102</v>
      </c>
      <c r="AG347" s="50" t="s">
        <v>109</v>
      </c>
      <c r="AH347" s="50" t="s">
        <v>102</v>
      </c>
      <c r="AI347" s="50" t="s">
        <v>102</v>
      </c>
      <c r="AJ347" s="50" t="s">
        <v>5351</v>
      </c>
      <c r="AK347" s="50" t="s">
        <v>12327</v>
      </c>
      <c r="AL347" s="50" t="s">
        <v>15403</v>
      </c>
      <c r="AM347" s="50" t="s">
        <v>15404</v>
      </c>
      <c r="AN347" s="50" t="s">
        <v>15405</v>
      </c>
      <c r="AO347" s="50" t="s">
        <v>15406</v>
      </c>
      <c r="AP347" s="50" t="s">
        <v>15406</v>
      </c>
      <c r="AU347" s="50" t="s">
        <v>318</v>
      </c>
      <c r="AV347" s="50" t="s">
        <v>118</v>
      </c>
      <c r="AW347" s="50" t="s">
        <v>102</v>
      </c>
      <c r="AX347" s="50" t="s">
        <v>119</v>
      </c>
      <c r="BB347" s="50" t="s">
        <v>120</v>
      </c>
      <c r="BC347" s="50" t="s">
        <v>4153</v>
      </c>
      <c r="BD347" s="50" t="s">
        <v>320</v>
      </c>
      <c r="BE347" s="50" t="s">
        <v>122</v>
      </c>
      <c r="BF347" s="50" t="s">
        <v>123</v>
      </c>
      <c r="BG347" s="50" t="s">
        <v>124</v>
      </c>
      <c r="BH347" s="50" t="s">
        <v>12023</v>
      </c>
      <c r="BI347" s="50" t="s">
        <v>11889</v>
      </c>
      <c r="BJ347" s="50" t="s">
        <v>127</v>
      </c>
      <c r="BK347" s="50" t="s">
        <v>15407</v>
      </c>
      <c r="BL347" s="50" t="s">
        <v>5358</v>
      </c>
      <c r="BM347" s="50" t="s">
        <v>15408</v>
      </c>
      <c r="BN347" s="50" t="s">
        <v>12496</v>
      </c>
      <c r="BO347" s="50" t="s">
        <v>8788</v>
      </c>
      <c r="BP347" s="50" t="s">
        <v>180</v>
      </c>
      <c r="BQ347" s="50" t="s">
        <v>8789</v>
      </c>
      <c r="BR347" s="50" t="s">
        <v>8790</v>
      </c>
      <c r="BS347" s="50" t="s">
        <v>1006</v>
      </c>
      <c r="BU347" s="50" t="s">
        <v>15409</v>
      </c>
      <c r="BV347" s="50" t="s">
        <v>15410</v>
      </c>
      <c r="BW347" s="50" t="s">
        <v>598</v>
      </c>
      <c r="BX347" s="50" t="s">
        <v>15411</v>
      </c>
      <c r="BY347" s="50" t="s">
        <v>15412</v>
      </c>
      <c r="BZ347" s="50" t="s">
        <v>5364</v>
      </c>
      <c r="CA347" s="50" t="s">
        <v>15413</v>
      </c>
      <c r="CB347" s="50" t="s">
        <v>15414</v>
      </c>
      <c r="CC347" s="50" t="s">
        <v>15412</v>
      </c>
      <c r="CD347" s="50" t="s">
        <v>15415</v>
      </c>
      <c r="CE347" s="50" t="s">
        <v>15411</v>
      </c>
      <c r="CF347" s="50" t="s">
        <v>15412</v>
      </c>
      <c r="CG347" s="50" t="s">
        <v>102</v>
      </c>
      <c r="CH347" s="50" t="s">
        <v>5365</v>
      </c>
      <c r="CJ347" s="50" t="s">
        <v>5366</v>
      </c>
      <c r="CL347" s="50" t="s">
        <v>4153</v>
      </c>
      <c r="CM347" s="50" t="s">
        <v>320</v>
      </c>
      <c r="CN347" s="50" t="s">
        <v>5366</v>
      </c>
      <c r="CP347" s="50" t="s">
        <v>5365</v>
      </c>
      <c r="CQ347" s="50" t="s">
        <v>5365</v>
      </c>
    </row>
    <row r="348" spans="1:96">
      <c r="A348" s="50" t="s">
        <v>149</v>
      </c>
      <c r="B348" s="50">
        <v>5018044</v>
      </c>
      <c r="C348" s="50" t="s">
        <v>13158</v>
      </c>
      <c r="D348" s="50" t="s">
        <v>10434</v>
      </c>
      <c r="E348" s="50" t="e">
        <f>VLOOKUP(B348,aa!B:F,5,0)</f>
        <v>#N/A</v>
      </c>
      <c r="F348" s="50" t="e">
        <f>VLOOKUP(B348,aa!B:J,9,0)</f>
        <v>#N/A</v>
      </c>
      <c r="G348" s="50" t="e">
        <f>VLOOKUP(B348,aa!B:L,11,0)</f>
        <v>#N/A</v>
      </c>
      <c r="H348" s="50" t="e">
        <f>VLOOKUP(B348,aa!B:O,14,0)</f>
        <v>#N/A</v>
      </c>
      <c r="I348" s="50" t="e">
        <f>VLOOKUP(B348,aa!B:R,17,0)</f>
        <v>#N/A</v>
      </c>
      <c r="K348" s="50" t="s">
        <v>1746</v>
      </c>
      <c r="L348" s="50">
        <v>1824750</v>
      </c>
      <c r="M348" s="50">
        <v>2006430</v>
      </c>
      <c r="N348" s="50">
        <v>323274</v>
      </c>
      <c r="O348" s="50">
        <v>864</v>
      </c>
      <c r="P348" s="50" t="s">
        <v>19364</v>
      </c>
      <c r="Q348" s="50">
        <v>492145</v>
      </c>
      <c r="R348" s="50">
        <v>864</v>
      </c>
      <c r="S348" s="50" t="s">
        <v>519</v>
      </c>
      <c r="T348" s="50">
        <v>1009331</v>
      </c>
      <c r="U348" s="50">
        <v>1061</v>
      </c>
      <c r="V348" s="50" t="s">
        <v>19365</v>
      </c>
      <c r="W348" s="50" t="s">
        <v>102</v>
      </c>
      <c r="X348" s="50" t="s">
        <v>103</v>
      </c>
      <c r="Y348" s="50" t="s">
        <v>155</v>
      </c>
      <c r="AA348" s="50" t="s">
        <v>12692</v>
      </c>
      <c r="AB348" s="50" t="s">
        <v>19366</v>
      </c>
      <c r="AC348" s="50" t="s">
        <v>10729</v>
      </c>
      <c r="AD348" s="50" t="s">
        <v>19366</v>
      </c>
      <c r="AE348" s="50" t="s">
        <v>15295</v>
      </c>
      <c r="AF348" s="50" t="s">
        <v>19366</v>
      </c>
      <c r="AG348" s="50" t="s">
        <v>15295</v>
      </c>
      <c r="AH348" s="50" t="s">
        <v>19366</v>
      </c>
      <c r="AI348" s="50" t="s">
        <v>102</v>
      </c>
      <c r="AJ348" s="50" t="s">
        <v>13863</v>
      </c>
      <c r="AK348" s="50" t="s">
        <v>13863</v>
      </c>
      <c r="AL348" s="50" t="s">
        <v>19367</v>
      </c>
      <c r="AM348" s="50" t="s">
        <v>19368</v>
      </c>
      <c r="AN348" s="50" t="s">
        <v>19369</v>
      </c>
      <c r="AO348" s="50" t="s">
        <v>19370</v>
      </c>
      <c r="AP348" s="50" t="s">
        <v>19370</v>
      </c>
      <c r="AU348" s="50" t="s">
        <v>6700</v>
      </c>
      <c r="AV348" s="50" t="s">
        <v>250</v>
      </c>
      <c r="AW348" s="50" t="s">
        <v>155</v>
      </c>
      <c r="AX348" s="50" t="s">
        <v>119</v>
      </c>
      <c r="AZ348" s="50" t="s">
        <v>250</v>
      </c>
      <c r="BA348" s="50" t="s">
        <v>250</v>
      </c>
      <c r="BB348" s="50" t="s">
        <v>120</v>
      </c>
      <c r="BC348" s="50" t="s">
        <v>19371</v>
      </c>
      <c r="BD348" s="50" t="s">
        <v>19372</v>
      </c>
      <c r="BE348" s="50" t="s">
        <v>122</v>
      </c>
      <c r="BF348" s="50" t="s">
        <v>1244</v>
      </c>
      <c r="BG348" s="50" t="s">
        <v>124</v>
      </c>
      <c r="BH348" s="50" t="s">
        <v>6715</v>
      </c>
      <c r="BI348" s="50" t="s">
        <v>11889</v>
      </c>
      <c r="BJ348" s="50" t="s">
        <v>127</v>
      </c>
      <c r="BK348" s="50" t="s">
        <v>19373</v>
      </c>
      <c r="BL348" s="50" t="s">
        <v>10444</v>
      </c>
      <c r="BM348" s="50" t="s">
        <v>19374</v>
      </c>
      <c r="BN348" s="50" t="s">
        <v>12496</v>
      </c>
      <c r="BO348" s="50" t="s">
        <v>1142</v>
      </c>
      <c r="BP348" s="50" t="s">
        <v>258</v>
      </c>
      <c r="BQ348" s="50" t="s">
        <v>1143</v>
      </c>
      <c r="BR348" s="50" t="s">
        <v>1144</v>
      </c>
      <c r="BS348" s="50" t="s">
        <v>566</v>
      </c>
      <c r="BU348" s="50" t="s">
        <v>19375</v>
      </c>
      <c r="BV348" s="50" t="s">
        <v>10447</v>
      </c>
      <c r="BW348" s="50" t="s">
        <v>354</v>
      </c>
      <c r="BX348" s="50" t="s">
        <v>10448</v>
      </c>
      <c r="BY348" s="50" t="s">
        <v>9098</v>
      </c>
      <c r="BZ348" s="50" t="s">
        <v>10448</v>
      </c>
      <c r="CA348" s="50" t="s">
        <v>10447</v>
      </c>
      <c r="CB348" s="50" t="s">
        <v>10448</v>
      </c>
      <c r="CC348" s="50" t="s">
        <v>9098</v>
      </c>
      <c r="CD348" s="50" t="s">
        <v>10447</v>
      </c>
      <c r="CE348" s="50" t="s">
        <v>10448</v>
      </c>
      <c r="CF348" s="50" t="s">
        <v>9098</v>
      </c>
      <c r="CG348" s="50" t="s">
        <v>102</v>
      </c>
      <c r="CH348" s="50" t="s">
        <v>19376</v>
      </c>
      <c r="CJ348" s="50" t="s">
        <v>19377</v>
      </c>
      <c r="CL348" s="50" t="s">
        <v>19371</v>
      </c>
      <c r="CM348" s="50" t="s">
        <v>19372</v>
      </c>
      <c r="CN348" s="50" t="s">
        <v>19377</v>
      </c>
      <c r="CP348" s="50" t="s">
        <v>10451</v>
      </c>
      <c r="CQ348" s="50" t="s">
        <v>10451</v>
      </c>
    </row>
    <row r="349" spans="1:96">
      <c r="A349" s="50" t="s">
        <v>149</v>
      </c>
      <c r="B349" s="50">
        <v>2470596</v>
      </c>
      <c r="C349" s="50" t="s">
        <v>12423</v>
      </c>
      <c r="D349" s="50" t="s">
        <v>3522</v>
      </c>
      <c r="E349" s="50" t="str">
        <f>VLOOKUP(B349,aa!B:F,5,0)</f>
        <v>Ei ASSET,Ei CARES,Ei Mindspark, Ei Mindspark</v>
      </c>
      <c r="F349" s="50">
        <f>VLOOKUP(B349,aa!B:J,9,0)</f>
        <v>1523364</v>
      </c>
      <c r="G349" s="50">
        <f>VLOOKUP(B349,aa!B:L,11,0)</f>
        <v>163139</v>
      </c>
      <c r="H349" s="50">
        <f>VLOOKUP(B349,aa!B:O,14,0)</f>
        <v>556940</v>
      </c>
      <c r="I349" s="50">
        <f>VLOOKUP(B349,aa!B:R,17,0)</f>
        <v>803285</v>
      </c>
      <c r="K349" s="50" t="s">
        <v>1086</v>
      </c>
      <c r="L349" s="50">
        <v>1203995</v>
      </c>
      <c r="M349" s="50">
        <v>1328052</v>
      </c>
      <c r="N349" s="50">
        <v>116293</v>
      </c>
      <c r="O349" s="50">
        <v>381</v>
      </c>
      <c r="P349" s="50" t="s">
        <v>14107</v>
      </c>
      <c r="Q349" s="50">
        <v>398496</v>
      </c>
      <c r="R349" s="50">
        <v>381</v>
      </c>
      <c r="S349" s="50" t="s">
        <v>14108</v>
      </c>
      <c r="T349" s="50">
        <v>689206</v>
      </c>
      <c r="U349" s="50">
        <v>518</v>
      </c>
      <c r="V349" s="50" t="s">
        <v>14109</v>
      </c>
      <c r="W349" s="50" t="s">
        <v>102</v>
      </c>
      <c r="X349" s="50" t="s">
        <v>103</v>
      </c>
      <c r="Y349" s="50" t="s">
        <v>104</v>
      </c>
      <c r="AA349" s="50" t="s">
        <v>8708</v>
      </c>
      <c r="AB349" s="50" t="s">
        <v>14110</v>
      </c>
      <c r="AC349" s="50" t="s">
        <v>11886</v>
      </c>
      <c r="AD349" s="50" t="s">
        <v>14110</v>
      </c>
      <c r="AE349" s="50" t="s">
        <v>109</v>
      </c>
      <c r="AF349" s="50" t="s">
        <v>102</v>
      </c>
      <c r="AG349" s="50" t="s">
        <v>109</v>
      </c>
      <c r="AH349" s="50" t="s">
        <v>102</v>
      </c>
      <c r="AI349" s="50" t="s">
        <v>14111</v>
      </c>
      <c r="AJ349" s="50" t="s">
        <v>12923</v>
      </c>
      <c r="AK349" s="50" t="s">
        <v>12923</v>
      </c>
      <c r="AL349" s="50" t="s">
        <v>14112</v>
      </c>
      <c r="AM349" s="50" t="s">
        <v>14113</v>
      </c>
      <c r="AN349" s="50" t="s">
        <v>14114</v>
      </c>
      <c r="AO349" s="50" t="s">
        <v>14115</v>
      </c>
      <c r="AP349" s="50" t="s">
        <v>14115</v>
      </c>
      <c r="AU349" s="50" t="s">
        <v>207</v>
      </c>
      <c r="AV349" s="50" t="s">
        <v>250</v>
      </c>
      <c r="AW349" s="50" t="s">
        <v>3536</v>
      </c>
      <c r="AX349" s="50" t="s">
        <v>119</v>
      </c>
      <c r="AZ349" s="50" t="s">
        <v>250</v>
      </c>
      <c r="BA349" s="50" t="s">
        <v>250</v>
      </c>
      <c r="BB349" s="50" t="s">
        <v>171</v>
      </c>
      <c r="BC349" s="50" t="s">
        <v>3537</v>
      </c>
      <c r="BD349" s="50" t="s">
        <v>410</v>
      </c>
      <c r="BE349" s="50" t="s">
        <v>212</v>
      </c>
      <c r="BF349" s="50" t="s">
        <v>410</v>
      </c>
      <c r="BG349" s="50" t="s">
        <v>124</v>
      </c>
      <c r="BH349" s="50" t="s">
        <v>11959</v>
      </c>
      <c r="BI349" s="50" t="s">
        <v>11960</v>
      </c>
      <c r="BJ349" s="50" t="s">
        <v>127</v>
      </c>
      <c r="BK349" s="50" t="s">
        <v>14116</v>
      </c>
      <c r="BL349" s="50" t="s">
        <v>3539</v>
      </c>
      <c r="BM349" s="50" t="s">
        <v>14117</v>
      </c>
      <c r="BN349" s="50" t="s">
        <v>13202</v>
      </c>
      <c r="BO349" s="50" t="s">
        <v>866</v>
      </c>
      <c r="BP349" s="50" t="s">
        <v>13875</v>
      </c>
      <c r="BQ349" s="50" t="s">
        <v>867</v>
      </c>
      <c r="BR349" s="50" t="s">
        <v>868</v>
      </c>
      <c r="BS349" s="50" t="s">
        <v>418</v>
      </c>
      <c r="BU349" s="50" t="s">
        <v>14118</v>
      </c>
      <c r="BV349" s="50" t="s">
        <v>14119</v>
      </c>
      <c r="BX349" s="50" t="s">
        <v>3545</v>
      </c>
      <c r="BY349" s="50" t="s">
        <v>14120</v>
      </c>
      <c r="BZ349" s="50" t="s">
        <v>3545</v>
      </c>
      <c r="CA349" s="50" t="s">
        <v>14119</v>
      </c>
      <c r="CB349" s="50" t="s">
        <v>3545</v>
      </c>
      <c r="CC349" s="50" t="s">
        <v>14120</v>
      </c>
      <c r="CD349" s="50" t="s">
        <v>14121</v>
      </c>
      <c r="CE349" s="50" t="s">
        <v>3545</v>
      </c>
      <c r="CF349" s="50" t="s">
        <v>14120</v>
      </c>
      <c r="CG349" s="50" t="s">
        <v>102</v>
      </c>
      <c r="CH349" s="50" t="s">
        <v>3546</v>
      </c>
      <c r="CJ349" s="50" t="s">
        <v>3547</v>
      </c>
      <c r="CL349" s="50" t="s">
        <v>3537</v>
      </c>
      <c r="CM349" s="50" t="s">
        <v>410</v>
      </c>
      <c r="CN349" s="50" t="s">
        <v>3547</v>
      </c>
      <c r="CP349" s="50" t="s">
        <v>3546</v>
      </c>
      <c r="CQ349" s="50" t="s">
        <v>3546</v>
      </c>
      <c r="CR349" s="50" t="s">
        <v>26040</v>
      </c>
    </row>
    <row r="350" spans="1:96">
      <c r="A350" s="50" t="s">
        <v>149</v>
      </c>
      <c r="B350" s="50">
        <v>3438724</v>
      </c>
      <c r="C350" s="50" t="s">
        <v>384</v>
      </c>
      <c r="D350" s="50" t="s">
        <v>6026</v>
      </c>
      <c r="E350" s="50" t="str">
        <f>VLOOKUP(B350,aa!B:F,5,0)</f>
        <v>Ei CARES</v>
      </c>
      <c r="F350" s="50">
        <f>VLOOKUP(B350,aa!B:J,9,0)</f>
        <v>84445</v>
      </c>
      <c r="G350" s="50">
        <f>VLOOKUP(B350,aa!B:L,11,0)</f>
        <v>0</v>
      </c>
      <c r="H350" s="50">
        <f>VLOOKUP(B350,aa!B:O,14,0)</f>
        <v>84445</v>
      </c>
      <c r="I350" s="50">
        <f>VLOOKUP(B350,aa!B:R,17,0)</f>
        <v>0</v>
      </c>
      <c r="K350" s="50" t="s">
        <v>152</v>
      </c>
      <c r="L350" s="50">
        <v>334512</v>
      </c>
      <c r="M350" s="50">
        <v>334512</v>
      </c>
      <c r="N350" s="50">
        <v>0</v>
      </c>
      <c r="O350" s="50">
        <v>0</v>
      </c>
      <c r="Q350" s="50">
        <v>334512</v>
      </c>
      <c r="R350" s="50">
        <v>244</v>
      </c>
      <c r="S350" s="50" t="s">
        <v>15977</v>
      </c>
      <c r="T350" s="50">
        <v>0</v>
      </c>
      <c r="U350" s="50">
        <v>0</v>
      </c>
      <c r="W350" s="50" t="s">
        <v>102</v>
      </c>
      <c r="X350" s="50" t="s">
        <v>103</v>
      </c>
      <c r="Y350" s="50" t="s">
        <v>104</v>
      </c>
      <c r="AA350" s="50" t="s">
        <v>14272</v>
      </c>
      <c r="AB350" s="50" t="s">
        <v>15978</v>
      </c>
      <c r="AC350" s="50" t="s">
        <v>12289</v>
      </c>
      <c r="AD350" s="50" t="s">
        <v>15978</v>
      </c>
      <c r="AE350" s="50" t="s">
        <v>109</v>
      </c>
      <c r="AF350" s="50" t="s">
        <v>102</v>
      </c>
      <c r="AG350" s="50" t="s">
        <v>109</v>
      </c>
      <c r="AH350" s="50" t="s">
        <v>102</v>
      </c>
      <c r="AI350" s="50" t="s">
        <v>15979</v>
      </c>
      <c r="AJ350" s="50" t="s">
        <v>14292</v>
      </c>
      <c r="AK350" s="50" t="s">
        <v>13034</v>
      </c>
      <c r="AL350" s="50" t="s">
        <v>15980</v>
      </c>
      <c r="AM350" s="50" t="s">
        <v>15981</v>
      </c>
      <c r="AN350" s="50" t="s">
        <v>15982</v>
      </c>
      <c r="AO350" s="50" t="s">
        <v>15983</v>
      </c>
      <c r="AP350" s="50" t="s">
        <v>15983</v>
      </c>
      <c r="AU350" s="50" t="s">
        <v>102</v>
      </c>
      <c r="AW350" s="50" t="s">
        <v>155</v>
      </c>
      <c r="AX350" s="50" t="s">
        <v>447</v>
      </c>
      <c r="AY350" s="50" t="s">
        <v>170</v>
      </c>
      <c r="AZ350" s="50" t="s">
        <v>118</v>
      </c>
      <c r="BB350" s="50" t="s">
        <v>120</v>
      </c>
      <c r="BC350" s="50" t="s">
        <v>375</v>
      </c>
      <c r="BD350" s="50" t="s">
        <v>376</v>
      </c>
      <c r="BE350" s="50" t="s">
        <v>174</v>
      </c>
      <c r="BF350" s="50" t="s">
        <v>376</v>
      </c>
      <c r="BG350" s="50" t="s">
        <v>124</v>
      </c>
      <c r="BH350" s="50" t="s">
        <v>13202</v>
      </c>
      <c r="BI350" s="50" t="s">
        <v>11889</v>
      </c>
      <c r="BJ350" s="50" t="s">
        <v>127</v>
      </c>
      <c r="BK350" s="50" t="s">
        <v>15984</v>
      </c>
      <c r="BL350" s="50" t="s">
        <v>6036</v>
      </c>
      <c r="BM350" s="50" t="s">
        <v>15985</v>
      </c>
      <c r="BN350" s="50" t="s">
        <v>13202</v>
      </c>
      <c r="BO350" s="50" t="s">
        <v>1917</v>
      </c>
      <c r="BP350" s="50" t="s">
        <v>350</v>
      </c>
      <c r="BQ350" s="50" t="s">
        <v>1918</v>
      </c>
      <c r="BR350" s="50" t="s">
        <v>1919</v>
      </c>
      <c r="BS350" s="50" t="s">
        <v>384</v>
      </c>
      <c r="BU350" s="50" t="s">
        <v>15986</v>
      </c>
      <c r="BV350" s="50" t="s">
        <v>6039</v>
      </c>
      <c r="BW350" s="50" t="s">
        <v>138</v>
      </c>
      <c r="BX350" s="50" t="s">
        <v>6040</v>
      </c>
      <c r="BY350" s="50" t="s">
        <v>6041</v>
      </c>
      <c r="BZ350" s="50" t="s">
        <v>6040</v>
      </c>
      <c r="CA350" s="50" t="s">
        <v>6039</v>
      </c>
      <c r="CB350" s="50" t="s">
        <v>6040</v>
      </c>
      <c r="CC350" s="50" t="s">
        <v>6041</v>
      </c>
      <c r="CD350" s="50" t="s">
        <v>6039</v>
      </c>
      <c r="CE350" s="50" t="s">
        <v>6040</v>
      </c>
      <c r="CF350" s="50" t="s">
        <v>6041</v>
      </c>
      <c r="CG350" s="50" t="s">
        <v>102</v>
      </c>
      <c r="CH350" s="50" t="s">
        <v>6026</v>
      </c>
      <c r="CJ350" s="50" t="s">
        <v>6046</v>
      </c>
      <c r="CL350" s="50" t="s">
        <v>375</v>
      </c>
      <c r="CM350" s="50" t="s">
        <v>376</v>
      </c>
      <c r="CN350" s="50" t="s">
        <v>6046</v>
      </c>
      <c r="CO350" s="50" t="s">
        <v>6047</v>
      </c>
      <c r="CP350" s="50" t="s">
        <v>6048</v>
      </c>
      <c r="CQ350" s="50" t="s">
        <v>6048</v>
      </c>
    </row>
    <row r="351" spans="1:96">
      <c r="A351" s="50" t="s">
        <v>149</v>
      </c>
      <c r="B351" s="50">
        <v>3478771</v>
      </c>
      <c r="C351" s="50" t="s">
        <v>12030</v>
      </c>
      <c r="D351" s="50" t="s">
        <v>6317</v>
      </c>
      <c r="E351" s="50" t="str">
        <f>VLOOKUP(B351,aa!B:F,5,0)</f>
        <v>Ei CARES</v>
      </c>
      <c r="F351" s="50">
        <f>VLOOKUP(B351,aa!B:J,9,0)</f>
        <v>609577</v>
      </c>
      <c r="G351" s="50">
        <f>VLOOKUP(B351,aa!B:L,11,0)</f>
        <v>0</v>
      </c>
      <c r="H351" s="50">
        <f>VLOOKUP(B351,aa!B:O,14,0)</f>
        <v>609577</v>
      </c>
      <c r="I351" s="50">
        <f>VLOOKUP(B351,aa!B:R,17,0)</f>
        <v>0</v>
      </c>
      <c r="K351" s="50" t="s">
        <v>152</v>
      </c>
      <c r="L351" s="50">
        <v>542330</v>
      </c>
      <c r="M351" s="50">
        <v>542330</v>
      </c>
      <c r="N351" s="50">
        <v>0</v>
      </c>
      <c r="O351" s="50">
        <v>0</v>
      </c>
      <c r="Q351" s="50">
        <v>542330</v>
      </c>
      <c r="R351" s="50">
        <v>493</v>
      </c>
      <c r="S351" s="50" t="s">
        <v>466</v>
      </c>
      <c r="T351" s="50">
        <v>0</v>
      </c>
      <c r="U351" s="50">
        <v>0</v>
      </c>
      <c r="W351" s="50" t="s">
        <v>102</v>
      </c>
      <c r="X351" s="50" t="s">
        <v>103</v>
      </c>
      <c r="Y351" s="50" t="s">
        <v>155</v>
      </c>
      <c r="AA351" s="50" t="s">
        <v>7484</v>
      </c>
      <c r="AB351" s="50" t="s">
        <v>16223</v>
      </c>
      <c r="AC351" s="50" t="s">
        <v>12480</v>
      </c>
      <c r="AD351" s="50" t="s">
        <v>16223</v>
      </c>
      <c r="AE351" s="50" t="s">
        <v>12041</v>
      </c>
      <c r="AF351" s="50" t="s">
        <v>16223</v>
      </c>
      <c r="AG351" s="50" t="s">
        <v>12820</v>
      </c>
      <c r="AH351" s="50" t="s">
        <v>16223</v>
      </c>
      <c r="AI351" s="50" t="s">
        <v>102</v>
      </c>
      <c r="AJ351" s="50" t="s">
        <v>12931</v>
      </c>
      <c r="AK351" s="50" t="s">
        <v>12931</v>
      </c>
      <c r="AL351" s="50" t="s">
        <v>16224</v>
      </c>
      <c r="AM351" s="50" t="s">
        <v>16225</v>
      </c>
      <c r="AN351" s="50" t="s">
        <v>16226</v>
      </c>
      <c r="AO351" s="50" t="s">
        <v>3853</v>
      </c>
      <c r="AP351" s="50" t="s">
        <v>3853</v>
      </c>
      <c r="AU351" s="50" t="s">
        <v>102</v>
      </c>
      <c r="AW351" s="50" t="s">
        <v>155</v>
      </c>
      <c r="AX351" s="50" t="s">
        <v>447</v>
      </c>
      <c r="AY351" s="50" t="s">
        <v>170</v>
      </c>
      <c r="AZ351" s="50" t="s">
        <v>118</v>
      </c>
      <c r="BB351" s="50" t="s">
        <v>120</v>
      </c>
      <c r="BC351" s="50" t="s">
        <v>6323</v>
      </c>
      <c r="BD351" s="50" t="s">
        <v>2800</v>
      </c>
      <c r="BE351" s="50" t="s">
        <v>122</v>
      </c>
      <c r="BF351" s="50" t="s">
        <v>346</v>
      </c>
      <c r="BG351" s="50" t="s">
        <v>124</v>
      </c>
      <c r="BH351" s="50" t="s">
        <v>12023</v>
      </c>
      <c r="BI351" s="50" t="s">
        <v>11889</v>
      </c>
      <c r="BJ351" s="50" t="s">
        <v>127</v>
      </c>
      <c r="BK351" s="50" t="s">
        <v>16227</v>
      </c>
      <c r="BL351" s="50" t="s">
        <v>6325</v>
      </c>
      <c r="BM351" s="50" t="s">
        <v>16228</v>
      </c>
      <c r="BN351" s="50" t="s">
        <v>13202</v>
      </c>
      <c r="BO351" s="50" t="s">
        <v>593</v>
      </c>
      <c r="BP351" s="50" t="s">
        <v>350</v>
      </c>
      <c r="BQ351" s="50" t="s">
        <v>594</v>
      </c>
      <c r="BR351" s="50" t="s">
        <v>595</v>
      </c>
      <c r="BS351" s="50" t="s">
        <v>328</v>
      </c>
      <c r="BU351" s="50" t="s">
        <v>16229</v>
      </c>
      <c r="BV351" s="50" t="s">
        <v>6328</v>
      </c>
      <c r="BW351" s="50" t="s">
        <v>138</v>
      </c>
      <c r="BX351" s="50" t="s">
        <v>6329</v>
      </c>
      <c r="BY351" s="50" t="s">
        <v>6330</v>
      </c>
      <c r="BZ351" s="50" t="s">
        <v>6331</v>
      </c>
      <c r="CA351" s="50" t="s">
        <v>6328</v>
      </c>
      <c r="CB351" s="50" t="s">
        <v>6329</v>
      </c>
      <c r="CC351" s="50" t="s">
        <v>6330</v>
      </c>
      <c r="CD351" s="50" t="s">
        <v>16230</v>
      </c>
      <c r="CE351" s="50" t="s">
        <v>6333</v>
      </c>
      <c r="CF351" s="50" t="s">
        <v>6334</v>
      </c>
      <c r="CG351" s="50" t="s">
        <v>102</v>
      </c>
      <c r="CH351" s="50" t="s">
        <v>6335</v>
      </c>
      <c r="CJ351" s="50" t="s">
        <v>6336</v>
      </c>
      <c r="CL351" s="50" t="s">
        <v>6323</v>
      </c>
      <c r="CM351" s="50" t="s">
        <v>2800</v>
      </c>
      <c r="CN351" s="50" t="s">
        <v>6336</v>
      </c>
      <c r="CP351" s="50" t="s">
        <v>6335</v>
      </c>
      <c r="CQ351" s="50" t="s">
        <v>6335</v>
      </c>
    </row>
    <row r="352" spans="1:96">
      <c r="A352" s="50" t="s">
        <v>93</v>
      </c>
      <c r="B352" s="50">
        <v>5017708</v>
      </c>
      <c r="C352" s="50" t="s">
        <v>12423</v>
      </c>
      <c r="D352" s="50" t="s">
        <v>10141</v>
      </c>
      <c r="E352" s="50" t="e">
        <f>VLOOKUP(B352,aa!B:F,5,0)</f>
        <v>#N/A</v>
      </c>
      <c r="F352" s="50" t="e">
        <f>VLOOKUP(B352,aa!B:J,9,0)</f>
        <v>#N/A</v>
      </c>
      <c r="G352" s="50" t="e">
        <f>VLOOKUP(B352,aa!B:L,11,0)</f>
        <v>#N/A</v>
      </c>
      <c r="H352" s="50" t="e">
        <f>VLOOKUP(B352,aa!B:O,14,0)</f>
        <v>#N/A</v>
      </c>
      <c r="I352" s="50" t="e">
        <f>VLOOKUP(B352,aa!B:R,17,0)</f>
        <v>#N/A</v>
      </c>
      <c r="K352" s="50" t="s">
        <v>8024</v>
      </c>
      <c r="L352" s="50">
        <v>236651</v>
      </c>
      <c r="M352" s="50">
        <v>266521</v>
      </c>
      <c r="N352" s="50">
        <v>0</v>
      </c>
      <c r="O352" s="50">
        <v>0</v>
      </c>
      <c r="Q352" s="50">
        <v>70707</v>
      </c>
      <c r="R352" s="50">
        <v>111</v>
      </c>
      <c r="S352" s="50" t="s">
        <v>10143</v>
      </c>
      <c r="T352" s="50">
        <v>165944</v>
      </c>
      <c r="U352" s="50">
        <v>111</v>
      </c>
      <c r="V352" s="50" t="s">
        <v>10144</v>
      </c>
      <c r="W352" s="50" t="s">
        <v>102</v>
      </c>
      <c r="X352" s="50" t="s">
        <v>103</v>
      </c>
      <c r="Y352" s="50" t="s">
        <v>155</v>
      </c>
      <c r="AA352" s="50" t="s">
        <v>16483</v>
      </c>
      <c r="AB352" s="50" t="s">
        <v>19099</v>
      </c>
      <c r="AC352" s="50" t="s">
        <v>14381</v>
      </c>
      <c r="AD352" s="50" t="s">
        <v>19099</v>
      </c>
      <c r="AE352" s="50" t="s">
        <v>13385</v>
      </c>
      <c r="AF352" s="50" t="s">
        <v>19099</v>
      </c>
      <c r="AG352" s="50" t="s">
        <v>6895</v>
      </c>
      <c r="AH352" s="50" t="s">
        <v>19099</v>
      </c>
      <c r="AI352" s="50" t="s">
        <v>102</v>
      </c>
      <c r="AL352" s="50" t="s">
        <v>19100</v>
      </c>
      <c r="AM352" s="50" t="s">
        <v>102</v>
      </c>
      <c r="AN352" s="50" t="s">
        <v>19100</v>
      </c>
      <c r="AO352" s="50" t="s">
        <v>10148</v>
      </c>
      <c r="AP352" s="50" t="s">
        <v>10148</v>
      </c>
      <c r="AU352" s="50" t="s">
        <v>102</v>
      </c>
      <c r="AW352" s="50" t="s">
        <v>155</v>
      </c>
      <c r="AX352" s="50" t="s">
        <v>119</v>
      </c>
      <c r="AY352" s="50" t="s">
        <v>170</v>
      </c>
      <c r="AZ352" s="50" t="s">
        <v>118</v>
      </c>
      <c r="BA352" s="50" t="s">
        <v>250</v>
      </c>
      <c r="BB352" s="50" t="s">
        <v>120</v>
      </c>
      <c r="BC352" s="50" t="s">
        <v>7718</v>
      </c>
      <c r="BD352" s="50" t="s">
        <v>211</v>
      </c>
      <c r="BE352" s="50" t="s">
        <v>212</v>
      </c>
      <c r="BF352" s="50" t="s">
        <v>213</v>
      </c>
      <c r="BG352" s="50" t="s">
        <v>124</v>
      </c>
      <c r="BH352" s="50" t="s">
        <v>12023</v>
      </c>
      <c r="BI352" s="50" t="s">
        <v>11889</v>
      </c>
      <c r="BJ352" s="50" t="s">
        <v>127</v>
      </c>
      <c r="BK352" s="50" t="s">
        <v>19101</v>
      </c>
      <c r="BL352" s="50" t="s">
        <v>10150</v>
      </c>
      <c r="BM352" s="50" t="s">
        <v>10151</v>
      </c>
      <c r="BN352" s="50" t="s">
        <v>13202</v>
      </c>
      <c r="BO352" s="50" t="s">
        <v>4053</v>
      </c>
      <c r="BP352" s="50" t="s">
        <v>132</v>
      </c>
      <c r="BQ352" s="50" t="s">
        <v>4054</v>
      </c>
      <c r="BR352" s="50" t="s">
        <v>4055</v>
      </c>
      <c r="BS352" s="50" t="s">
        <v>4056</v>
      </c>
      <c r="BT352" s="50" t="s">
        <v>10152</v>
      </c>
      <c r="BU352" s="50" t="s">
        <v>19102</v>
      </c>
      <c r="BV352" s="50" t="s">
        <v>19103</v>
      </c>
      <c r="BW352" s="50" t="s">
        <v>354</v>
      </c>
      <c r="BX352" s="50" t="s">
        <v>1560</v>
      </c>
      <c r="BY352" s="50" t="s">
        <v>1559</v>
      </c>
      <c r="BZ352" s="50" t="s">
        <v>1560</v>
      </c>
      <c r="CA352" s="50" t="s">
        <v>19104</v>
      </c>
      <c r="CB352" s="50" t="s">
        <v>19105</v>
      </c>
      <c r="CC352" s="50" t="s">
        <v>19106</v>
      </c>
      <c r="CD352" s="50" t="s">
        <v>19104</v>
      </c>
      <c r="CE352" s="50" t="s">
        <v>19105</v>
      </c>
      <c r="CF352" s="50" t="s">
        <v>19106</v>
      </c>
      <c r="CG352" s="50" t="s">
        <v>573</v>
      </c>
      <c r="CH352" s="50" t="s">
        <v>19107</v>
      </c>
      <c r="CJ352" s="50" t="s">
        <v>10157</v>
      </c>
      <c r="CK352" s="50" t="s">
        <v>10156</v>
      </c>
      <c r="CL352" s="50" t="s">
        <v>7718</v>
      </c>
      <c r="CM352" s="50" t="s">
        <v>211</v>
      </c>
      <c r="CN352" s="50" t="s">
        <v>10157</v>
      </c>
      <c r="CP352" s="50" t="s">
        <v>10156</v>
      </c>
      <c r="CQ352" s="50" t="s">
        <v>10156</v>
      </c>
      <c r="CR352" s="50" t="s">
        <v>26040</v>
      </c>
    </row>
    <row r="353" spans="1:96">
      <c r="A353" s="50" t="s">
        <v>337</v>
      </c>
      <c r="B353" s="50">
        <v>5017808</v>
      </c>
      <c r="C353" s="50" t="s">
        <v>11995</v>
      </c>
      <c r="D353" s="50" t="s">
        <v>19136</v>
      </c>
      <c r="E353" s="50" t="e">
        <f>VLOOKUP(B353,aa!B:F,5,0)</f>
        <v>#N/A</v>
      </c>
      <c r="F353" s="50" t="e">
        <f>VLOOKUP(B353,aa!B:J,9,0)</f>
        <v>#N/A</v>
      </c>
      <c r="G353" s="50" t="e">
        <f>VLOOKUP(B353,aa!B:L,11,0)</f>
        <v>#N/A</v>
      </c>
      <c r="H353" s="50" t="e">
        <f>VLOOKUP(B353,aa!B:O,14,0)</f>
        <v>#N/A</v>
      </c>
      <c r="I353" s="50" t="e">
        <f>VLOOKUP(B353,aa!B:R,17,0)</f>
        <v>#N/A</v>
      </c>
      <c r="K353" s="50" t="s">
        <v>848</v>
      </c>
      <c r="L353" s="50">
        <v>684324</v>
      </c>
      <c r="M353" s="50">
        <v>807502</v>
      </c>
      <c r="N353" s="50">
        <v>0</v>
      </c>
      <c r="O353" s="50">
        <v>0</v>
      </c>
      <c r="Q353" s="50">
        <v>0</v>
      </c>
      <c r="R353" s="50">
        <v>0</v>
      </c>
      <c r="T353" s="50">
        <v>684324</v>
      </c>
      <c r="U353" s="50">
        <v>342</v>
      </c>
      <c r="V353" s="50" t="s">
        <v>19137</v>
      </c>
      <c r="W353" s="50" t="s">
        <v>102</v>
      </c>
      <c r="X353" s="50" t="s">
        <v>103</v>
      </c>
      <c r="Y353" s="50" t="s">
        <v>398</v>
      </c>
      <c r="AA353" s="50" t="s">
        <v>1408</v>
      </c>
      <c r="AB353" s="50" t="s">
        <v>19138</v>
      </c>
      <c r="AC353" s="50" t="s">
        <v>12041</v>
      </c>
      <c r="AD353" s="50" t="s">
        <v>19139</v>
      </c>
      <c r="AE353" s="50" t="s">
        <v>11886</v>
      </c>
      <c r="AF353" s="50" t="s">
        <v>19139</v>
      </c>
      <c r="AG353" s="50" t="s">
        <v>109</v>
      </c>
      <c r="AH353" s="50" t="s">
        <v>102</v>
      </c>
      <c r="AI353" s="50" t="s">
        <v>102</v>
      </c>
      <c r="AJ353" s="50" t="s">
        <v>13949</v>
      </c>
      <c r="AK353" s="50" t="s">
        <v>12875</v>
      </c>
      <c r="AL353" s="50" t="s">
        <v>19140</v>
      </c>
      <c r="AM353" s="50" t="s">
        <v>1081</v>
      </c>
      <c r="AN353" s="50" t="s">
        <v>19141</v>
      </c>
      <c r="AO353" s="50" t="s">
        <v>19142</v>
      </c>
      <c r="AP353" s="50" t="s">
        <v>19142</v>
      </c>
      <c r="AU353" s="50" t="s">
        <v>102</v>
      </c>
      <c r="AW353" s="50" t="s">
        <v>102</v>
      </c>
      <c r="AX353" s="50" t="s">
        <v>119</v>
      </c>
      <c r="BA353" s="50" t="s">
        <v>250</v>
      </c>
      <c r="BB353" s="50" t="s">
        <v>1242</v>
      </c>
      <c r="BC353" s="50" t="s">
        <v>1609</v>
      </c>
      <c r="BD353" s="50" t="s">
        <v>285</v>
      </c>
      <c r="BE353" s="50" t="s">
        <v>212</v>
      </c>
      <c r="BF353" s="50" t="s">
        <v>286</v>
      </c>
      <c r="BG353" s="50" t="s">
        <v>124</v>
      </c>
      <c r="BH353" s="50" t="s">
        <v>12492</v>
      </c>
      <c r="BI353" s="50" t="s">
        <v>19143</v>
      </c>
      <c r="BJ353" s="50" t="s">
        <v>127</v>
      </c>
      <c r="BK353" s="50" t="s">
        <v>19144</v>
      </c>
      <c r="BL353" s="50" t="s">
        <v>19145</v>
      </c>
      <c r="BM353" s="50" t="s">
        <v>19146</v>
      </c>
      <c r="BN353" s="50" t="s">
        <v>13202</v>
      </c>
      <c r="BO353" s="50" t="s">
        <v>3997</v>
      </c>
      <c r="BP353" s="50" t="s">
        <v>132</v>
      </c>
      <c r="BQ353" s="50" t="s">
        <v>3998</v>
      </c>
      <c r="BR353" s="50" t="s">
        <v>3999</v>
      </c>
      <c r="BS353" s="50" t="s">
        <v>3362</v>
      </c>
      <c r="BU353" s="50" t="s">
        <v>19147</v>
      </c>
      <c r="BV353" s="50" t="s">
        <v>19148</v>
      </c>
      <c r="BW353" s="50" t="s">
        <v>354</v>
      </c>
      <c r="BX353" s="50" t="s">
        <v>1618</v>
      </c>
      <c r="BY353" s="50" t="s">
        <v>1619</v>
      </c>
      <c r="BZ353" s="50" t="s">
        <v>1618</v>
      </c>
      <c r="CA353" s="50" t="s">
        <v>19149</v>
      </c>
      <c r="CB353" s="50" t="s">
        <v>1618</v>
      </c>
      <c r="CC353" s="50" t="s">
        <v>1619</v>
      </c>
      <c r="CD353" s="50" t="s">
        <v>19150</v>
      </c>
      <c r="CE353" s="50" t="s">
        <v>19151</v>
      </c>
      <c r="CF353" s="50" t="s">
        <v>19152</v>
      </c>
      <c r="CG353" s="50" t="s">
        <v>19153</v>
      </c>
      <c r="CH353" s="50" t="s">
        <v>19136</v>
      </c>
      <c r="CJ353" s="50" t="s">
        <v>1622</v>
      </c>
      <c r="CK353" s="50" t="s">
        <v>19154</v>
      </c>
      <c r="CL353" s="50" t="s">
        <v>1609</v>
      </c>
      <c r="CM353" s="50" t="s">
        <v>285</v>
      </c>
      <c r="CN353" s="50" t="s">
        <v>1622</v>
      </c>
      <c r="CP353" s="50" t="s">
        <v>19155</v>
      </c>
      <c r="CQ353" s="50" t="s">
        <v>19155</v>
      </c>
      <c r="CR353" s="50" t="s">
        <v>26043</v>
      </c>
    </row>
    <row r="354" spans="1:96">
      <c r="A354" s="50" t="s">
        <v>337</v>
      </c>
      <c r="B354" s="50">
        <v>700517</v>
      </c>
      <c r="C354" s="50" t="s">
        <v>19847</v>
      </c>
      <c r="D354" s="50" t="s">
        <v>21429</v>
      </c>
      <c r="E354" s="50" t="e">
        <f>VLOOKUP(B354,aa!B:F,5,0)</f>
        <v>#N/A</v>
      </c>
      <c r="F354" s="50" t="e">
        <f>VLOOKUP(B354,aa!B:J,9,0)</f>
        <v>#N/A</v>
      </c>
      <c r="G354" s="50" t="e">
        <f>VLOOKUP(B354,aa!B:L,11,0)</f>
        <v>#N/A</v>
      </c>
      <c r="H354" s="50" t="e">
        <f>VLOOKUP(B354,aa!B:O,14,0)</f>
        <v>#N/A</v>
      </c>
      <c r="I354" s="50" t="e">
        <f>VLOOKUP(B354,aa!B:R,17,0)</f>
        <v>#N/A</v>
      </c>
      <c r="K354" s="50" t="s">
        <v>643</v>
      </c>
      <c r="L354" s="50">
        <v>335764</v>
      </c>
      <c r="M354" s="50">
        <v>361703</v>
      </c>
      <c r="N354" s="50">
        <v>0</v>
      </c>
      <c r="O354" s="50">
        <v>0</v>
      </c>
      <c r="Q354" s="50">
        <v>191660</v>
      </c>
      <c r="R354" s="50">
        <v>152</v>
      </c>
      <c r="S354" s="50" t="s">
        <v>1197</v>
      </c>
      <c r="T354" s="50">
        <v>144104</v>
      </c>
      <c r="U354" s="50">
        <v>170</v>
      </c>
      <c r="V354" s="50" t="s">
        <v>19950</v>
      </c>
      <c r="W354" s="50" t="s">
        <v>102</v>
      </c>
      <c r="X354" s="50" t="s">
        <v>103</v>
      </c>
      <c r="Y354" s="50" t="s">
        <v>155</v>
      </c>
      <c r="AA354" s="50" t="s">
        <v>21430</v>
      </c>
      <c r="AB354" s="50" t="s">
        <v>21431</v>
      </c>
      <c r="AC354" s="50" t="s">
        <v>11976</v>
      </c>
      <c r="AD354" s="50" t="s">
        <v>21432</v>
      </c>
      <c r="AE354" s="50" t="s">
        <v>11888</v>
      </c>
      <c r="AF354" s="50" t="s">
        <v>21432</v>
      </c>
      <c r="AG354" s="50" t="s">
        <v>12084</v>
      </c>
      <c r="AH354" s="50" t="s">
        <v>21433</v>
      </c>
      <c r="AI354" s="50" t="s">
        <v>102</v>
      </c>
      <c r="AJ354" s="50" t="s">
        <v>21434</v>
      </c>
      <c r="AK354" s="50" t="s">
        <v>21435</v>
      </c>
      <c r="AL354" s="50" t="s">
        <v>21436</v>
      </c>
      <c r="AM354" s="50" t="s">
        <v>21437</v>
      </c>
      <c r="AN354" s="50" t="s">
        <v>21438</v>
      </c>
      <c r="AO354" s="50" t="s">
        <v>21439</v>
      </c>
      <c r="AP354" s="50" t="s">
        <v>21439</v>
      </c>
      <c r="AU354" s="50" t="s">
        <v>102</v>
      </c>
      <c r="AW354" s="50" t="s">
        <v>1103</v>
      </c>
      <c r="AX354" s="50" t="s">
        <v>249</v>
      </c>
      <c r="AY354" s="50" t="s">
        <v>170</v>
      </c>
      <c r="AZ354" s="50" t="s">
        <v>118</v>
      </c>
      <c r="BA354" s="50" t="s">
        <v>250</v>
      </c>
      <c r="BB354" s="50" t="s">
        <v>171</v>
      </c>
      <c r="BC354" s="50" t="s">
        <v>13207</v>
      </c>
      <c r="BD354" s="50" t="s">
        <v>376</v>
      </c>
      <c r="BE354" s="50" t="s">
        <v>174</v>
      </c>
      <c r="BF354" s="50" t="s">
        <v>376</v>
      </c>
      <c r="BG354" s="50" t="s">
        <v>124</v>
      </c>
      <c r="BH354" s="50" t="s">
        <v>21440</v>
      </c>
      <c r="BI354" s="50" t="s">
        <v>11889</v>
      </c>
      <c r="BJ354" s="50" t="s">
        <v>127</v>
      </c>
      <c r="BK354" s="50" t="s">
        <v>21441</v>
      </c>
      <c r="BL354" s="50" t="s">
        <v>21442</v>
      </c>
      <c r="BM354" s="50" t="s">
        <v>21443</v>
      </c>
      <c r="BN354" s="50" t="s">
        <v>21430</v>
      </c>
      <c r="BO354" s="50" t="s">
        <v>6926</v>
      </c>
      <c r="BP354" s="50" t="s">
        <v>180</v>
      </c>
      <c r="BQ354" s="50" t="s">
        <v>6927</v>
      </c>
      <c r="BR354" s="50" t="s">
        <v>6928</v>
      </c>
      <c r="BS354" s="50" t="s">
        <v>1858</v>
      </c>
      <c r="BU354" s="50" t="s">
        <v>21444</v>
      </c>
      <c r="BV354" s="50" t="s">
        <v>21445</v>
      </c>
      <c r="BW354" s="50" t="s">
        <v>138</v>
      </c>
      <c r="BX354" s="50" t="s">
        <v>21446</v>
      </c>
      <c r="BY354" s="50" t="s">
        <v>21447</v>
      </c>
      <c r="BZ354" s="50" t="s">
        <v>21448</v>
      </c>
      <c r="CA354" s="50" t="s">
        <v>21445</v>
      </c>
      <c r="CB354" s="50" t="s">
        <v>21446</v>
      </c>
      <c r="CC354" s="50" t="s">
        <v>21447</v>
      </c>
      <c r="CD354" s="50" t="s">
        <v>21445</v>
      </c>
      <c r="CE354" s="50" t="s">
        <v>21446</v>
      </c>
      <c r="CF354" s="50" t="s">
        <v>21447</v>
      </c>
      <c r="CG354" s="50" t="s">
        <v>21449</v>
      </c>
      <c r="CH354" s="50" t="s">
        <v>21450</v>
      </c>
      <c r="CJ354" s="50" t="s">
        <v>21451</v>
      </c>
      <c r="CK354" s="50" t="s">
        <v>21450</v>
      </c>
      <c r="CL354" s="50" t="s">
        <v>13207</v>
      </c>
      <c r="CM354" s="50" t="s">
        <v>376</v>
      </c>
      <c r="CN354" s="50" t="s">
        <v>21451</v>
      </c>
      <c r="CP354" s="50" t="s">
        <v>21450</v>
      </c>
      <c r="CQ354" s="50" t="s">
        <v>21450</v>
      </c>
      <c r="CR354" s="50" t="s">
        <v>26052</v>
      </c>
    </row>
    <row r="355" spans="1:96">
      <c r="A355" s="50" t="s">
        <v>149</v>
      </c>
      <c r="B355" s="50">
        <v>1616619</v>
      </c>
      <c r="C355" s="50" t="s">
        <v>418</v>
      </c>
      <c r="D355" s="50" t="s">
        <v>1373</v>
      </c>
      <c r="E355" s="50" t="e">
        <f>VLOOKUP(B355,aa!B:F,5,0)</f>
        <v>#N/A</v>
      </c>
      <c r="F355" s="50" t="e">
        <f>VLOOKUP(B355,aa!B:J,9,0)</f>
        <v>#N/A</v>
      </c>
      <c r="G355" s="50" t="e">
        <f>VLOOKUP(B355,aa!B:L,11,0)</f>
        <v>#N/A</v>
      </c>
      <c r="H355" s="50" t="e">
        <f>VLOOKUP(B355,aa!B:O,14,0)</f>
        <v>#N/A</v>
      </c>
      <c r="I355" s="50" t="e">
        <f>VLOOKUP(B355,aa!B:R,17,0)</f>
        <v>#N/A</v>
      </c>
      <c r="K355" s="50" t="s">
        <v>152</v>
      </c>
      <c r="L355" s="50">
        <v>717402</v>
      </c>
      <c r="M355" s="50">
        <v>717402</v>
      </c>
      <c r="N355" s="50">
        <v>0</v>
      </c>
      <c r="O355" s="50">
        <v>0</v>
      </c>
      <c r="Q355" s="50">
        <v>717402</v>
      </c>
      <c r="R355" s="50">
        <v>410</v>
      </c>
      <c r="S355" s="50" t="s">
        <v>1376</v>
      </c>
      <c r="T355" s="50">
        <v>0</v>
      </c>
      <c r="U355" s="50">
        <v>0</v>
      </c>
      <c r="W355" s="50" t="s">
        <v>102</v>
      </c>
      <c r="X355" s="50" t="s">
        <v>103</v>
      </c>
      <c r="Y355" s="50" t="s">
        <v>155</v>
      </c>
      <c r="AA355" s="50" t="s">
        <v>12541</v>
      </c>
      <c r="AB355" s="50" t="s">
        <v>12693</v>
      </c>
      <c r="AC355" s="50" t="s">
        <v>12289</v>
      </c>
      <c r="AD355" s="50" t="s">
        <v>12693</v>
      </c>
      <c r="AE355" s="50" t="s">
        <v>12084</v>
      </c>
      <c r="AF355" s="50" t="s">
        <v>12693</v>
      </c>
      <c r="AG355" s="50" t="s">
        <v>11886</v>
      </c>
      <c r="AH355" s="50" t="s">
        <v>12693</v>
      </c>
      <c r="AI355" s="50" t="s">
        <v>12694</v>
      </c>
      <c r="AJ355" s="50" t="s">
        <v>12695</v>
      </c>
      <c r="AK355" s="50" t="s">
        <v>12696</v>
      </c>
      <c r="AL355" s="50" t="s">
        <v>12697</v>
      </c>
      <c r="AM355" s="50" t="s">
        <v>12698</v>
      </c>
      <c r="AN355" s="50" t="s">
        <v>12699</v>
      </c>
      <c r="AO355" s="50" t="s">
        <v>1383</v>
      </c>
      <c r="AP355" s="50" t="s">
        <v>1383</v>
      </c>
      <c r="AU355" s="50" t="s">
        <v>102</v>
      </c>
      <c r="AW355" s="50" t="s">
        <v>1384</v>
      </c>
      <c r="AX355" s="50" t="s">
        <v>119</v>
      </c>
      <c r="AZ355" s="50" t="s">
        <v>250</v>
      </c>
      <c r="BB355" s="50" t="s">
        <v>120</v>
      </c>
      <c r="BC355" s="50" t="s">
        <v>1385</v>
      </c>
      <c r="BD355" s="50" t="s">
        <v>410</v>
      </c>
      <c r="BE355" s="50" t="s">
        <v>212</v>
      </c>
      <c r="BF355" s="50" t="s">
        <v>410</v>
      </c>
      <c r="BG355" s="50" t="s">
        <v>124</v>
      </c>
      <c r="BH355" s="50" t="s">
        <v>12128</v>
      </c>
      <c r="BI355" s="50" t="s">
        <v>11960</v>
      </c>
      <c r="BJ355" s="50" t="s">
        <v>127</v>
      </c>
      <c r="BK355" s="50" t="s">
        <v>12700</v>
      </c>
      <c r="BL355" s="50" t="s">
        <v>1387</v>
      </c>
      <c r="BM355" s="50" t="s">
        <v>12701</v>
      </c>
      <c r="BN355" s="50" t="s">
        <v>12692</v>
      </c>
      <c r="BO355" s="50" t="s">
        <v>866</v>
      </c>
      <c r="BP355" s="50" t="s">
        <v>132</v>
      </c>
      <c r="BQ355" s="50" t="s">
        <v>867</v>
      </c>
      <c r="BR355" s="50" t="s">
        <v>868</v>
      </c>
      <c r="BS355" s="50" t="s">
        <v>418</v>
      </c>
      <c r="BU355" s="50" t="s">
        <v>12702</v>
      </c>
      <c r="BV355" s="50" t="s">
        <v>12703</v>
      </c>
      <c r="BX355" s="50" t="s">
        <v>1391</v>
      </c>
      <c r="BY355" s="50" t="s">
        <v>12704</v>
      </c>
      <c r="BZ355" s="50" t="s">
        <v>1391</v>
      </c>
      <c r="CA355" s="50" t="s">
        <v>12705</v>
      </c>
      <c r="CB355" s="50" t="s">
        <v>12706</v>
      </c>
      <c r="CC355" s="50" t="s">
        <v>12707</v>
      </c>
      <c r="CD355" s="50" t="s">
        <v>12708</v>
      </c>
      <c r="CE355" s="50" t="s">
        <v>12709</v>
      </c>
      <c r="CF355" s="50" t="s">
        <v>12710</v>
      </c>
      <c r="CG355" s="50" t="s">
        <v>102</v>
      </c>
      <c r="CH355" s="50" t="s">
        <v>1393</v>
      </c>
      <c r="CJ355" s="50" t="s">
        <v>1394</v>
      </c>
      <c r="CK355" s="50" t="s">
        <v>1393</v>
      </c>
      <c r="CL355" s="50" t="s">
        <v>1385</v>
      </c>
      <c r="CM355" s="50" t="s">
        <v>410</v>
      </c>
      <c r="CN355" s="50" t="s">
        <v>1394</v>
      </c>
      <c r="CO355" s="50" t="s">
        <v>1395</v>
      </c>
      <c r="CP355" s="50" t="s">
        <v>1393</v>
      </c>
      <c r="CQ355" s="50" t="s">
        <v>1393</v>
      </c>
      <c r="CR355" s="50" t="s">
        <v>26046</v>
      </c>
    </row>
    <row r="356" spans="1:96">
      <c r="A356" s="50" t="s">
        <v>149</v>
      </c>
      <c r="B356" s="50">
        <v>2448365</v>
      </c>
      <c r="C356" s="50" t="s">
        <v>12121</v>
      </c>
      <c r="D356" s="50" t="s">
        <v>3372</v>
      </c>
      <c r="E356" s="50" t="e">
        <f>VLOOKUP(B356,aa!B:F,5,0)</f>
        <v>#N/A</v>
      </c>
      <c r="F356" s="50" t="e">
        <f>VLOOKUP(B356,aa!B:J,9,0)</f>
        <v>#N/A</v>
      </c>
      <c r="G356" s="50" t="e">
        <f>VLOOKUP(B356,aa!B:L,11,0)</f>
        <v>#N/A</v>
      </c>
      <c r="H356" s="50" t="e">
        <f>VLOOKUP(B356,aa!B:O,14,0)</f>
        <v>#N/A</v>
      </c>
      <c r="I356" s="50" t="e">
        <f>VLOOKUP(B356,aa!B:R,17,0)</f>
        <v>#N/A</v>
      </c>
      <c r="K356" s="50" t="s">
        <v>152</v>
      </c>
      <c r="L356" s="50">
        <v>497987</v>
      </c>
      <c r="M356" s="50">
        <v>497987</v>
      </c>
      <c r="N356" s="50">
        <v>0</v>
      </c>
      <c r="O356" s="50">
        <v>0</v>
      </c>
      <c r="Q356" s="50">
        <v>497987</v>
      </c>
      <c r="R356" s="50">
        <v>332</v>
      </c>
      <c r="S356" s="50" t="s">
        <v>6441</v>
      </c>
      <c r="T356" s="50">
        <v>0</v>
      </c>
      <c r="U356" s="50">
        <v>0</v>
      </c>
      <c r="W356" s="50" t="s">
        <v>102</v>
      </c>
      <c r="X356" s="50" t="s">
        <v>103</v>
      </c>
      <c r="Y356" s="50" t="s">
        <v>155</v>
      </c>
      <c r="AA356" s="50" t="s">
        <v>12492</v>
      </c>
      <c r="AB356" s="50" t="s">
        <v>13962</v>
      </c>
      <c r="AC356" s="50" t="s">
        <v>12040</v>
      </c>
      <c r="AD356" s="50" t="s">
        <v>13962</v>
      </c>
      <c r="AE356" s="50" t="s">
        <v>12427</v>
      </c>
      <c r="AF356" s="50" t="s">
        <v>13962</v>
      </c>
      <c r="AG356" s="50" t="s">
        <v>13395</v>
      </c>
      <c r="AH356" s="50" t="s">
        <v>13962</v>
      </c>
      <c r="AI356" s="50" t="s">
        <v>13963</v>
      </c>
      <c r="AJ356" s="50" t="s">
        <v>13174</v>
      </c>
      <c r="AK356" s="50" t="s">
        <v>13964</v>
      </c>
      <c r="AL356" s="50" t="s">
        <v>13965</v>
      </c>
      <c r="AM356" s="50" t="s">
        <v>13966</v>
      </c>
      <c r="AN356" s="50" t="s">
        <v>13967</v>
      </c>
      <c r="AO356" s="50" t="s">
        <v>13968</v>
      </c>
      <c r="AP356" s="50" t="s">
        <v>13968</v>
      </c>
      <c r="AU356" s="50" t="s">
        <v>102</v>
      </c>
      <c r="AW356" s="50" t="s">
        <v>155</v>
      </c>
      <c r="AX356" s="50" t="s">
        <v>119</v>
      </c>
      <c r="AY356" s="50" t="s">
        <v>170</v>
      </c>
      <c r="AZ356" s="50" t="s">
        <v>118</v>
      </c>
      <c r="BB356" s="50" t="s">
        <v>120</v>
      </c>
      <c r="BC356" s="50" t="s">
        <v>1433</v>
      </c>
      <c r="BD356" s="50" t="s">
        <v>556</v>
      </c>
      <c r="BE356" s="50" t="s">
        <v>122</v>
      </c>
      <c r="BF356" s="50" t="s">
        <v>557</v>
      </c>
      <c r="BG356" s="50" t="s">
        <v>124</v>
      </c>
      <c r="BH356" s="50" t="s">
        <v>12023</v>
      </c>
      <c r="BI356" s="50" t="s">
        <v>11889</v>
      </c>
      <c r="BJ356" s="50" t="s">
        <v>127</v>
      </c>
      <c r="BK356" s="50" t="s">
        <v>13969</v>
      </c>
      <c r="BL356" s="50" t="s">
        <v>3386</v>
      </c>
      <c r="BM356" s="50" t="s">
        <v>13970</v>
      </c>
      <c r="BN356" s="50" t="s">
        <v>12692</v>
      </c>
      <c r="BO356" s="50" t="s">
        <v>1142</v>
      </c>
      <c r="BP356" s="50" t="s">
        <v>132</v>
      </c>
      <c r="BQ356" s="50" t="s">
        <v>1143</v>
      </c>
      <c r="BR356" s="50" t="s">
        <v>1144</v>
      </c>
      <c r="BS356" s="50" t="s">
        <v>566</v>
      </c>
      <c r="BU356" s="50" t="s">
        <v>13971</v>
      </c>
      <c r="BV356" s="50" t="s">
        <v>13972</v>
      </c>
      <c r="BW356" s="50" t="s">
        <v>354</v>
      </c>
      <c r="BX356" s="50" t="s">
        <v>13973</v>
      </c>
      <c r="BY356" s="50" t="s">
        <v>3391</v>
      </c>
      <c r="BZ356" s="50" t="s">
        <v>3392</v>
      </c>
      <c r="CA356" s="50" t="s">
        <v>13972</v>
      </c>
      <c r="CB356" s="50" t="s">
        <v>13973</v>
      </c>
      <c r="CC356" s="50" t="s">
        <v>3391</v>
      </c>
      <c r="CD356" s="50" t="s">
        <v>13972</v>
      </c>
      <c r="CE356" s="50" t="s">
        <v>13973</v>
      </c>
      <c r="CF356" s="50" t="s">
        <v>3391</v>
      </c>
      <c r="CG356" s="50" t="s">
        <v>102</v>
      </c>
      <c r="CH356" s="50" t="s">
        <v>13974</v>
      </c>
      <c r="CJ356" s="50" t="s">
        <v>1445</v>
      </c>
      <c r="CL356" s="50" t="s">
        <v>1433</v>
      </c>
      <c r="CM356" s="50" t="s">
        <v>556</v>
      </c>
      <c r="CN356" s="50" t="s">
        <v>1445</v>
      </c>
      <c r="CO356" s="50" t="s">
        <v>3394</v>
      </c>
      <c r="CP356" s="50" t="s">
        <v>3393</v>
      </c>
      <c r="CQ356" s="50" t="s">
        <v>3393</v>
      </c>
    </row>
    <row r="357" spans="1:96">
      <c r="A357" s="50" t="s">
        <v>149</v>
      </c>
      <c r="B357" s="50">
        <v>2562273</v>
      </c>
      <c r="C357" s="50" t="s">
        <v>12121</v>
      </c>
      <c r="D357" s="50" t="s">
        <v>4128</v>
      </c>
      <c r="E357" s="50" t="e">
        <f>VLOOKUP(B357,aa!B:F,5,0)</f>
        <v>#N/A</v>
      </c>
      <c r="F357" s="50" t="e">
        <f>VLOOKUP(B357,aa!B:J,9,0)</f>
        <v>#N/A</v>
      </c>
      <c r="G357" s="50" t="e">
        <f>VLOOKUP(B357,aa!B:L,11,0)</f>
        <v>#N/A</v>
      </c>
      <c r="H357" s="50" t="e">
        <f>VLOOKUP(B357,aa!B:O,14,0)</f>
        <v>#N/A</v>
      </c>
      <c r="I357" s="50" t="e">
        <f>VLOOKUP(B357,aa!B:R,17,0)</f>
        <v>#N/A</v>
      </c>
      <c r="K357" s="50" t="s">
        <v>97</v>
      </c>
      <c r="L357" s="50">
        <v>271678</v>
      </c>
      <c r="M357" s="50">
        <v>271678</v>
      </c>
      <c r="N357" s="50">
        <v>271678</v>
      </c>
      <c r="O357" s="50">
        <v>388</v>
      </c>
      <c r="P357" s="50" t="s">
        <v>799</v>
      </c>
      <c r="Q357" s="50">
        <v>0</v>
      </c>
      <c r="R357" s="50">
        <v>0</v>
      </c>
      <c r="T357" s="50">
        <v>0</v>
      </c>
      <c r="U357" s="50">
        <v>0</v>
      </c>
      <c r="W357" s="50" t="s">
        <v>102</v>
      </c>
      <c r="X357" s="50" t="s">
        <v>275</v>
      </c>
      <c r="Z357" s="50" t="s">
        <v>13949</v>
      </c>
      <c r="AA357" s="50" t="s">
        <v>109</v>
      </c>
      <c r="AB357" s="50" t="s">
        <v>102</v>
      </c>
      <c r="AC357" s="50" t="s">
        <v>109</v>
      </c>
      <c r="AD357" s="50" t="s">
        <v>102</v>
      </c>
      <c r="AE357" s="50" t="s">
        <v>109</v>
      </c>
      <c r="AF357" s="50" t="s">
        <v>102</v>
      </c>
      <c r="AG357" s="50" t="s">
        <v>109</v>
      </c>
      <c r="AH357" s="50" t="s">
        <v>102</v>
      </c>
      <c r="AI357" s="50" t="s">
        <v>14572</v>
      </c>
      <c r="AJ357" s="50" t="s">
        <v>14040</v>
      </c>
      <c r="AK357" s="50" t="s">
        <v>14040</v>
      </c>
      <c r="AL357" s="50" t="s">
        <v>14573</v>
      </c>
      <c r="AM357" s="50" t="s">
        <v>14574</v>
      </c>
      <c r="AN357" s="50" t="s">
        <v>102</v>
      </c>
      <c r="AO357" s="50" t="s">
        <v>14575</v>
      </c>
      <c r="AP357" s="50" t="s">
        <v>14575</v>
      </c>
      <c r="AU357" s="50" t="s">
        <v>318</v>
      </c>
      <c r="AV357" s="50" t="s">
        <v>250</v>
      </c>
      <c r="AW357" s="50" t="s">
        <v>102</v>
      </c>
      <c r="AX357" s="50" t="s">
        <v>119</v>
      </c>
      <c r="BB357" s="50" t="s">
        <v>120</v>
      </c>
      <c r="BC357" s="50" t="s">
        <v>4136</v>
      </c>
      <c r="BD357" s="50" t="s">
        <v>449</v>
      </c>
      <c r="BE357" s="50" t="s">
        <v>122</v>
      </c>
      <c r="BF357" s="50" t="s">
        <v>253</v>
      </c>
      <c r="BG357" s="50" t="s">
        <v>124</v>
      </c>
      <c r="BH357" s="50" t="s">
        <v>13680</v>
      </c>
      <c r="BI357" s="50" t="s">
        <v>11889</v>
      </c>
      <c r="BJ357" s="50" t="s">
        <v>127</v>
      </c>
      <c r="BK357" s="50" t="s">
        <v>14576</v>
      </c>
      <c r="BL357" s="50" t="s">
        <v>4138</v>
      </c>
      <c r="BM357" s="50" t="s">
        <v>14577</v>
      </c>
      <c r="BN357" s="50" t="s">
        <v>12692</v>
      </c>
      <c r="BO357" s="50" t="s">
        <v>1142</v>
      </c>
      <c r="BP357" s="50" t="s">
        <v>350</v>
      </c>
      <c r="BQ357" s="50" t="s">
        <v>1143</v>
      </c>
      <c r="BR357" s="50" t="s">
        <v>1144</v>
      </c>
      <c r="BS357" s="50" t="s">
        <v>566</v>
      </c>
      <c r="BU357" s="50" t="s">
        <v>14578</v>
      </c>
      <c r="BV357" s="50" t="s">
        <v>14579</v>
      </c>
      <c r="BW357" s="50" t="s">
        <v>598</v>
      </c>
      <c r="BX357" s="50" t="s">
        <v>14580</v>
      </c>
      <c r="BY357" s="50" t="s">
        <v>4148</v>
      </c>
      <c r="BZ357" s="50" t="s">
        <v>4144</v>
      </c>
      <c r="CA357" s="50" t="s">
        <v>14579</v>
      </c>
      <c r="CB357" s="50" t="s">
        <v>14580</v>
      </c>
      <c r="CC357" s="50" t="s">
        <v>4148</v>
      </c>
      <c r="CD357" s="50" t="s">
        <v>14579</v>
      </c>
      <c r="CE357" s="50" t="s">
        <v>14580</v>
      </c>
      <c r="CF357" s="50" t="s">
        <v>4148</v>
      </c>
      <c r="CG357" s="50" t="s">
        <v>102</v>
      </c>
      <c r="CH357" s="50" t="s">
        <v>14581</v>
      </c>
      <c r="CJ357" s="50" t="s">
        <v>4150</v>
      </c>
      <c r="CL357" s="50" t="s">
        <v>4136</v>
      </c>
      <c r="CM357" s="50" t="s">
        <v>449</v>
      </c>
      <c r="CN357" s="50" t="s">
        <v>4150</v>
      </c>
      <c r="CO357" s="50" t="s">
        <v>3299</v>
      </c>
      <c r="CP357" s="50" t="s">
        <v>4149</v>
      </c>
      <c r="CQ357" s="50" t="s">
        <v>4149</v>
      </c>
    </row>
    <row r="358" spans="1:96">
      <c r="A358" s="50" t="s">
        <v>149</v>
      </c>
      <c r="B358" s="50">
        <v>3285152</v>
      </c>
      <c r="C358" s="50" t="s">
        <v>12491</v>
      </c>
      <c r="D358" s="50" t="s">
        <v>5283</v>
      </c>
      <c r="E358" s="50" t="e">
        <f>VLOOKUP(B358,aa!B:F,5,0)</f>
        <v>#N/A</v>
      </c>
      <c r="F358" s="50" t="e">
        <f>VLOOKUP(B358,aa!B:J,9,0)</f>
        <v>#N/A</v>
      </c>
      <c r="G358" s="50" t="e">
        <f>VLOOKUP(B358,aa!B:L,11,0)</f>
        <v>#N/A</v>
      </c>
      <c r="H358" s="50" t="e">
        <f>VLOOKUP(B358,aa!B:O,14,0)</f>
        <v>#N/A</v>
      </c>
      <c r="I358" s="50" t="e">
        <f>VLOOKUP(B358,aa!B:R,17,0)</f>
        <v>#N/A</v>
      </c>
      <c r="K358" s="50" t="s">
        <v>97</v>
      </c>
      <c r="L358" s="50">
        <v>191038</v>
      </c>
      <c r="M358" s="50">
        <v>191038</v>
      </c>
      <c r="N358" s="50">
        <v>191038</v>
      </c>
      <c r="O358" s="50">
        <v>382</v>
      </c>
      <c r="P358" s="50" t="s">
        <v>364</v>
      </c>
      <c r="Q358" s="50">
        <v>0</v>
      </c>
      <c r="R358" s="50">
        <v>0</v>
      </c>
      <c r="T358" s="50">
        <v>0</v>
      </c>
      <c r="U358" s="50">
        <v>0</v>
      </c>
      <c r="W358" s="50" t="s">
        <v>102</v>
      </c>
      <c r="X358" s="50" t="s">
        <v>103</v>
      </c>
      <c r="Y358" s="50" t="s">
        <v>104</v>
      </c>
      <c r="AA358" s="50" t="s">
        <v>7484</v>
      </c>
      <c r="AB358" s="50" t="s">
        <v>15376</v>
      </c>
      <c r="AC358" s="50" t="s">
        <v>3679</v>
      </c>
      <c r="AD358" s="50" t="s">
        <v>15377</v>
      </c>
      <c r="AE358" s="50" t="s">
        <v>109</v>
      </c>
      <c r="AF358" s="50" t="s">
        <v>102</v>
      </c>
      <c r="AG358" s="50" t="s">
        <v>109</v>
      </c>
      <c r="AH358" s="50" t="s">
        <v>102</v>
      </c>
      <c r="AI358" s="50" t="s">
        <v>15378</v>
      </c>
      <c r="AJ358" s="50" t="s">
        <v>13420</v>
      </c>
      <c r="AK358" s="50" t="s">
        <v>13420</v>
      </c>
      <c r="AL358" s="50" t="s">
        <v>15379</v>
      </c>
      <c r="AM358" s="50" t="s">
        <v>15380</v>
      </c>
      <c r="AN358" s="50" t="s">
        <v>15381</v>
      </c>
      <c r="AO358" s="50" t="s">
        <v>2353</v>
      </c>
      <c r="AP358" s="50" t="s">
        <v>2353</v>
      </c>
      <c r="AU358" s="50" t="s">
        <v>318</v>
      </c>
      <c r="AV358" s="50" t="s">
        <v>118</v>
      </c>
      <c r="AW358" s="50" t="s">
        <v>102</v>
      </c>
      <c r="AX358" s="50" t="s">
        <v>119</v>
      </c>
      <c r="BB358" s="50" t="s">
        <v>120</v>
      </c>
      <c r="BC358" s="50" t="s">
        <v>121</v>
      </c>
      <c r="BD358" s="50" t="s">
        <v>121</v>
      </c>
      <c r="BE358" s="50" t="s">
        <v>122</v>
      </c>
      <c r="BF358" s="50" t="s">
        <v>123</v>
      </c>
      <c r="BG358" s="50" t="s">
        <v>124</v>
      </c>
      <c r="BH358" s="50" t="s">
        <v>12023</v>
      </c>
      <c r="BI358" s="50" t="s">
        <v>11889</v>
      </c>
      <c r="BJ358" s="50" t="s">
        <v>127</v>
      </c>
      <c r="BK358" s="50" t="s">
        <v>15382</v>
      </c>
      <c r="BL358" s="50" t="s">
        <v>5303</v>
      </c>
      <c r="BM358" s="50" t="s">
        <v>15383</v>
      </c>
      <c r="BN358" s="50" t="s">
        <v>12692</v>
      </c>
      <c r="BO358" s="50" t="s">
        <v>8788</v>
      </c>
      <c r="BP358" s="50" t="s">
        <v>350</v>
      </c>
      <c r="BQ358" s="50" t="s">
        <v>8789</v>
      </c>
      <c r="BR358" s="50" t="s">
        <v>8790</v>
      </c>
      <c r="BS358" s="50" t="s">
        <v>1006</v>
      </c>
      <c r="BU358" s="50" t="s">
        <v>15384</v>
      </c>
      <c r="BV358" s="50" t="s">
        <v>5306</v>
      </c>
      <c r="BW358" s="50" t="s">
        <v>598</v>
      </c>
      <c r="BX358" s="50" t="s">
        <v>5307</v>
      </c>
      <c r="BY358" s="50" t="s">
        <v>5308</v>
      </c>
      <c r="BZ358" s="50" t="s">
        <v>5309</v>
      </c>
      <c r="CA358" s="50" t="s">
        <v>15385</v>
      </c>
      <c r="CB358" s="50" t="s">
        <v>15386</v>
      </c>
      <c r="CC358" s="50" t="s">
        <v>15387</v>
      </c>
      <c r="CD358" s="50" t="s">
        <v>5306</v>
      </c>
      <c r="CE358" s="50" t="s">
        <v>5307</v>
      </c>
      <c r="CF358" s="50" t="s">
        <v>5308</v>
      </c>
      <c r="CG358" s="50" t="s">
        <v>102</v>
      </c>
      <c r="CH358" s="50" t="s">
        <v>5310</v>
      </c>
      <c r="CJ358" s="50" t="s">
        <v>5311</v>
      </c>
      <c r="CL358" s="50" t="s">
        <v>121</v>
      </c>
      <c r="CM358" s="50" t="s">
        <v>121</v>
      </c>
      <c r="CN358" s="50" t="s">
        <v>5311</v>
      </c>
      <c r="CO358" s="50" t="s">
        <v>5312</v>
      </c>
      <c r="CP358" s="50" t="s">
        <v>5310</v>
      </c>
      <c r="CQ358" s="50" t="s">
        <v>5310</v>
      </c>
    </row>
    <row r="359" spans="1:96">
      <c r="A359" s="50" t="s">
        <v>149</v>
      </c>
      <c r="B359" s="50">
        <v>24374</v>
      </c>
      <c r="C359" s="50" t="s">
        <v>12423</v>
      </c>
      <c r="D359" s="50" t="s">
        <v>3330</v>
      </c>
      <c r="E359" s="50" t="e">
        <f>VLOOKUP(B359,aa!B:F,5,0)</f>
        <v>#N/A</v>
      </c>
      <c r="F359" s="50" t="e">
        <f>VLOOKUP(B359,aa!B:J,9,0)</f>
        <v>#N/A</v>
      </c>
      <c r="G359" s="50" t="e">
        <f>VLOOKUP(B359,aa!B:L,11,0)</f>
        <v>#N/A</v>
      </c>
      <c r="H359" s="50" t="e">
        <f>VLOOKUP(B359,aa!B:O,14,0)</f>
        <v>#N/A</v>
      </c>
      <c r="I359" s="50" t="e">
        <f>VLOOKUP(B359,aa!B:R,17,0)</f>
        <v>#N/A</v>
      </c>
      <c r="K359" s="50" t="s">
        <v>848</v>
      </c>
      <c r="L359" s="50">
        <v>1360145</v>
      </c>
      <c r="M359" s="50">
        <v>1604971</v>
      </c>
      <c r="N359" s="50">
        <v>0</v>
      </c>
      <c r="O359" s="50">
        <v>0</v>
      </c>
      <c r="Q359" s="50">
        <v>0</v>
      </c>
      <c r="R359" s="50">
        <v>0</v>
      </c>
      <c r="T359" s="50">
        <v>1360145</v>
      </c>
      <c r="U359" s="50">
        <v>783</v>
      </c>
      <c r="V359" s="50" t="s">
        <v>13950</v>
      </c>
      <c r="W359" s="50" t="s">
        <v>102</v>
      </c>
      <c r="X359" s="50" t="s">
        <v>103</v>
      </c>
      <c r="Y359" s="50" t="s">
        <v>104</v>
      </c>
      <c r="AA359" s="50" t="s">
        <v>1408</v>
      </c>
      <c r="AB359" s="50" t="s">
        <v>13951</v>
      </c>
      <c r="AC359" s="50" t="s">
        <v>11886</v>
      </c>
      <c r="AD359" s="50" t="s">
        <v>13951</v>
      </c>
      <c r="AE359" s="50" t="s">
        <v>109</v>
      </c>
      <c r="AF359" s="50" t="s">
        <v>102</v>
      </c>
      <c r="AG359" s="50" t="s">
        <v>109</v>
      </c>
      <c r="AH359" s="50" t="s">
        <v>102</v>
      </c>
      <c r="AI359" s="50" t="s">
        <v>13952</v>
      </c>
      <c r="AJ359" s="50" t="s">
        <v>4294</v>
      </c>
      <c r="AK359" s="50" t="s">
        <v>4294</v>
      </c>
      <c r="AL359" s="50" t="s">
        <v>13953</v>
      </c>
      <c r="AM359" s="50" t="s">
        <v>13954</v>
      </c>
      <c r="AN359" s="50" t="s">
        <v>13951</v>
      </c>
      <c r="AO359" s="50" t="s">
        <v>13955</v>
      </c>
      <c r="AP359" s="50" t="s">
        <v>13955</v>
      </c>
      <c r="AU359" s="50" t="s">
        <v>102</v>
      </c>
      <c r="AW359" s="50" t="s">
        <v>102</v>
      </c>
      <c r="AX359" s="50" t="s">
        <v>119</v>
      </c>
      <c r="BA359" s="50" t="s">
        <v>250</v>
      </c>
      <c r="BB359" s="50" t="s">
        <v>171</v>
      </c>
      <c r="BC359" s="50" t="s">
        <v>3340</v>
      </c>
      <c r="BD359" s="50" t="s">
        <v>410</v>
      </c>
      <c r="BE359" s="50" t="s">
        <v>212</v>
      </c>
      <c r="BF359" s="50" t="s">
        <v>410</v>
      </c>
      <c r="BG359" s="50" t="s">
        <v>124</v>
      </c>
      <c r="BH359" s="50" t="s">
        <v>11976</v>
      </c>
      <c r="BI359" s="50" t="s">
        <v>11960</v>
      </c>
      <c r="BJ359" s="50" t="s">
        <v>127</v>
      </c>
      <c r="BK359" s="50" t="s">
        <v>13956</v>
      </c>
      <c r="BL359" s="50" t="s">
        <v>3342</v>
      </c>
      <c r="BM359" s="50" t="s">
        <v>13957</v>
      </c>
      <c r="BN359" s="50" t="s">
        <v>13949</v>
      </c>
      <c r="BO359" s="50" t="s">
        <v>866</v>
      </c>
      <c r="BP359" s="50" t="s">
        <v>132</v>
      </c>
      <c r="BQ359" s="50" t="s">
        <v>867</v>
      </c>
      <c r="BR359" s="50" t="s">
        <v>868</v>
      </c>
      <c r="BS359" s="50" t="s">
        <v>418</v>
      </c>
      <c r="BU359" s="50" t="s">
        <v>13958</v>
      </c>
      <c r="BV359" s="50" t="s">
        <v>3345</v>
      </c>
      <c r="BX359" s="50" t="s">
        <v>3346</v>
      </c>
      <c r="BY359" s="50" t="s">
        <v>3347</v>
      </c>
      <c r="BZ359" s="50" t="s">
        <v>3348</v>
      </c>
      <c r="CA359" s="50" t="s">
        <v>3345</v>
      </c>
      <c r="CB359" s="50" t="s">
        <v>3346</v>
      </c>
      <c r="CC359" s="50" t="s">
        <v>3347</v>
      </c>
      <c r="CD359" s="50" t="s">
        <v>13959</v>
      </c>
      <c r="CE359" s="50" t="s">
        <v>13960</v>
      </c>
      <c r="CF359" s="50" t="s">
        <v>13961</v>
      </c>
      <c r="CG359" s="50" t="s">
        <v>102</v>
      </c>
      <c r="CH359" s="50" t="s">
        <v>3349</v>
      </c>
      <c r="CJ359" s="50" t="s">
        <v>3350</v>
      </c>
      <c r="CK359" s="50" t="s">
        <v>3349</v>
      </c>
      <c r="CL359" s="50" t="s">
        <v>3340</v>
      </c>
      <c r="CM359" s="50" t="s">
        <v>410</v>
      </c>
      <c r="CN359" s="50" t="s">
        <v>3350</v>
      </c>
      <c r="CP359" s="50" t="s">
        <v>3349</v>
      </c>
      <c r="CQ359" s="50" t="s">
        <v>3349</v>
      </c>
      <c r="CR359" s="50" t="s">
        <v>26043</v>
      </c>
    </row>
    <row r="360" spans="1:96">
      <c r="A360" s="50" t="s">
        <v>149</v>
      </c>
      <c r="B360" s="50">
        <v>3308610</v>
      </c>
      <c r="C360" s="50" t="s">
        <v>12507</v>
      </c>
      <c r="D360" s="50" t="s">
        <v>5474</v>
      </c>
      <c r="E360" s="50" t="str">
        <f>VLOOKUP(B360,aa!B:F,5,0)</f>
        <v>Ei CARES</v>
      </c>
      <c r="F360" s="50">
        <f>VLOOKUP(B360,aa!B:J,9,0)</f>
        <v>1459490</v>
      </c>
      <c r="G360" s="50">
        <f>VLOOKUP(B360,aa!B:L,11,0)</f>
        <v>0</v>
      </c>
      <c r="H360" s="50">
        <f>VLOOKUP(B360,aa!B:O,14,0)</f>
        <v>1459490</v>
      </c>
      <c r="I360" s="50">
        <f>VLOOKUP(B360,aa!B:R,17,0)</f>
        <v>0</v>
      </c>
      <c r="K360" s="50" t="s">
        <v>152</v>
      </c>
      <c r="L360" s="50">
        <v>1357807</v>
      </c>
      <c r="M360" s="50">
        <v>1357807</v>
      </c>
      <c r="N360" s="50">
        <v>0</v>
      </c>
      <c r="O360" s="50">
        <v>0</v>
      </c>
      <c r="Q360" s="50">
        <v>1357807</v>
      </c>
      <c r="R360" s="50">
        <v>875</v>
      </c>
      <c r="S360" s="50" t="s">
        <v>15522</v>
      </c>
      <c r="T360" s="50">
        <v>0</v>
      </c>
      <c r="U360" s="50">
        <v>0</v>
      </c>
      <c r="W360" s="50" t="s">
        <v>102</v>
      </c>
      <c r="X360" s="50" t="s">
        <v>103</v>
      </c>
      <c r="Y360" s="50" t="s">
        <v>155</v>
      </c>
      <c r="AA360" s="50" t="s">
        <v>11927</v>
      </c>
      <c r="AB360" s="50" t="s">
        <v>15523</v>
      </c>
      <c r="AC360" s="50" t="s">
        <v>11929</v>
      </c>
      <c r="AD360" s="50" t="s">
        <v>15523</v>
      </c>
      <c r="AE360" s="50" t="s">
        <v>13110</v>
      </c>
      <c r="AF360" s="50" t="s">
        <v>15523</v>
      </c>
      <c r="AG360" s="50" t="s">
        <v>14024</v>
      </c>
      <c r="AH360" s="50" t="s">
        <v>15523</v>
      </c>
      <c r="AI360" s="50" t="s">
        <v>15524</v>
      </c>
      <c r="AJ360" s="50" t="s">
        <v>13244</v>
      </c>
      <c r="AK360" s="50" t="s">
        <v>12820</v>
      </c>
      <c r="AL360" s="50" t="s">
        <v>15525</v>
      </c>
      <c r="AM360" s="50" t="s">
        <v>15526</v>
      </c>
      <c r="AN360" s="50" t="s">
        <v>15527</v>
      </c>
      <c r="AO360" s="50" t="s">
        <v>5482</v>
      </c>
      <c r="AP360" s="50" t="s">
        <v>5482</v>
      </c>
      <c r="AU360" s="50" t="s">
        <v>102</v>
      </c>
      <c r="AW360" s="50" t="s">
        <v>155</v>
      </c>
      <c r="AX360" s="50" t="s">
        <v>447</v>
      </c>
      <c r="AY360" s="50" t="s">
        <v>170</v>
      </c>
      <c r="AZ360" s="50" t="s">
        <v>118</v>
      </c>
      <c r="BB360" s="50" t="s">
        <v>120</v>
      </c>
      <c r="BC360" s="50" t="s">
        <v>5483</v>
      </c>
      <c r="BD360" s="50" t="s">
        <v>556</v>
      </c>
      <c r="BE360" s="50" t="s">
        <v>122</v>
      </c>
      <c r="BF360" s="50" t="s">
        <v>557</v>
      </c>
      <c r="BG360" s="50" t="s">
        <v>124</v>
      </c>
      <c r="BH360" s="50" t="s">
        <v>12023</v>
      </c>
      <c r="BI360" s="50" t="s">
        <v>11889</v>
      </c>
      <c r="BJ360" s="50" t="s">
        <v>127</v>
      </c>
      <c r="BK360" s="50" t="s">
        <v>15528</v>
      </c>
      <c r="BL360" s="50" t="s">
        <v>5485</v>
      </c>
      <c r="BM360" s="50" t="s">
        <v>15529</v>
      </c>
      <c r="BN360" s="50" t="s">
        <v>13949</v>
      </c>
      <c r="BO360" s="50" t="s">
        <v>12743</v>
      </c>
      <c r="BP360" s="50" t="s">
        <v>350</v>
      </c>
      <c r="BQ360" s="50" t="s">
        <v>12744</v>
      </c>
      <c r="BR360" s="50" t="s">
        <v>12745</v>
      </c>
      <c r="BS360" s="50" t="s">
        <v>1075</v>
      </c>
      <c r="BU360" s="50" t="s">
        <v>15530</v>
      </c>
      <c r="BV360" s="50" t="s">
        <v>15531</v>
      </c>
      <c r="BW360" s="50" t="s">
        <v>354</v>
      </c>
      <c r="BX360" s="50" t="s">
        <v>15532</v>
      </c>
      <c r="BY360" s="50" t="s">
        <v>15533</v>
      </c>
      <c r="BZ360" s="50" t="s">
        <v>5491</v>
      </c>
      <c r="CA360" s="50" t="s">
        <v>15531</v>
      </c>
      <c r="CB360" s="50" t="s">
        <v>15532</v>
      </c>
      <c r="CC360" s="50" t="s">
        <v>15533</v>
      </c>
      <c r="CD360" s="50" t="s">
        <v>15531</v>
      </c>
      <c r="CE360" s="50" t="s">
        <v>15532</v>
      </c>
      <c r="CF360" s="50" t="s">
        <v>15533</v>
      </c>
      <c r="CG360" s="50" t="s">
        <v>5492</v>
      </c>
      <c r="CH360" s="50" t="s">
        <v>15534</v>
      </c>
      <c r="CJ360" s="50" t="s">
        <v>5494</v>
      </c>
      <c r="CK360" s="50" t="s">
        <v>15535</v>
      </c>
      <c r="CL360" s="50" t="s">
        <v>5483</v>
      </c>
      <c r="CM360" s="50" t="s">
        <v>556</v>
      </c>
      <c r="CN360" s="50" t="s">
        <v>5494</v>
      </c>
      <c r="CO360" s="50" t="s">
        <v>5495</v>
      </c>
      <c r="CP360" s="50" t="s">
        <v>5493</v>
      </c>
      <c r="CQ360" s="50" t="s">
        <v>5493</v>
      </c>
    </row>
    <row r="361" spans="1:96">
      <c r="A361" s="50" t="s">
        <v>337</v>
      </c>
      <c r="B361" s="50">
        <v>2378636</v>
      </c>
      <c r="C361" s="50" t="s">
        <v>384</v>
      </c>
      <c r="D361" s="50" t="s">
        <v>13768</v>
      </c>
      <c r="E361" s="50" t="str">
        <f>VLOOKUP(B361,aa!B:F,5,0)</f>
        <v>Ei CARES</v>
      </c>
      <c r="F361" s="50">
        <f>VLOOKUP(B361,aa!B:J,9,0)</f>
        <v>474357</v>
      </c>
      <c r="G361" s="50">
        <f>VLOOKUP(B361,aa!B:L,11,0)</f>
        <v>0</v>
      </c>
      <c r="H361" s="50">
        <f>VLOOKUP(B361,aa!B:O,14,0)</f>
        <v>474357</v>
      </c>
      <c r="I361" s="50">
        <f>VLOOKUP(B361,aa!B:R,17,0)</f>
        <v>0</v>
      </c>
      <c r="K361" s="50" t="s">
        <v>152</v>
      </c>
      <c r="L361" s="50">
        <v>234145</v>
      </c>
      <c r="M361" s="50">
        <v>234145</v>
      </c>
      <c r="N361" s="50">
        <v>0</v>
      </c>
      <c r="O361" s="50">
        <v>0</v>
      </c>
      <c r="Q361" s="50">
        <v>234145</v>
      </c>
      <c r="R361" s="50">
        <v>260</v>
      </c>
      <c r="S361" s="50" t="s">
        <v>13770</v>
      </c>
      <c r="T361" s="50">
        <v>0</v>
      </c>
      <c r="U361" s="50">
        <v>0</v>
      </c>
      <c r="W361" s="50" t="s">
        <v>102</v>
      </c>
      <c r="X361" s="50" t="s">
        <v>103</v>
      </c>
      <c r="Y361" s="50" t="s">
        <v>155</v>
      </c>
      <c r="AA361" s="50" t="s">
        <v>13769</v>
      </c>
      <c r="AB361" s="50" t="s">
        <v>13771</v>
      </c>
      <c r="AC361" s="50" t="s">
        <v>11976</v>
      </c>
      <c r="AD361" s="50" t="s">
        <v>13771</v>
      </c>
      <c r="AE361" s="50" t="s">
        <v>11888</v>
      </c>
      <c r="AF361" s="50" t="s">
        <v>13771</v>
      </c>
      <c r="AG361" s="50" t="s">
        <v>12820</v>
      </c>
      <c r="AH361" s="50" t="s">
        <v>13771</v>
      </c>
      <c r="AI361" s="50" t="s">
        <v>102</v>
      </c>
      <c r="AJ361" s="50" t="s">
        <v>11938</v>
      </c>
      <c r="AK361" s="50" t="s">
        <v>13772</v>
      </c>
      <c r="AL361" s="50" t="s">
        <v>13773</v>
      </c>
      <c r="AM361" s="50" t="s">
        <v>13774</v>
      </c>
      <c r="AN361" s="50" t="s">
        <v>13771</v>
      </c>
      <c r="AO361" s="50" t="s">
        <v>13775</v>
      </c>
      <c r="AP361" s="50" t="s">
        <v>13775</v>
      </c>
      <c r="AU361" s="50" t="s">
        <v>102</v>
      </c>
      <c r="AW361" s="50" t="s">
        <v>104</v>
      </c>
      <c r="AX361" s="50" t="s">
        <v>447</v>
      </c>
      <c r="AY361" s="50" t="s">
        <v>170</v>
      </c>
      <c r="AZ361" s="50" t="s">
        <v>118</v>
      </c>
      <c r="BB361" s="50" t="s">
        <v>120</v>
      </c>
      <c r="BC361" s="50" t="s">
        <v>13776</v>
      </c>
      <c r="BD361" s="50" t="s">
        <v>376</v>
      </c>
      <c r="BE361" s="50" t="s">
        <v>174</v>
      </c>
      <c r="BF361" s="50" t="s">
        <v>376</v>
      </c>
      <c r="BG361" s="50" t="s">
        <v>124</v>
      </c>
      <c r="BH361" s="50" t="s">
        <v>12711</v>
      </c>
      <c r="BI361" s="50" t="s">
        <v>11889</v>
      </c>
      <c r="BJ361" s="50" t="s">
        <v>127</v>
      </c>
      <c r="BK361" s="50" t="s">
        <v>13777</v>
      </c>
      <c r="BL361" s="50" t="s">
        <v>13778</v>
      </c>
      <c r="BM361" s="50" t="s">
        <v>13779</v>
      </c>
      <c r="BN361" s="50" t="s">
        <v>13769</v>
      </c>
      <c r="BO361" s="50" t="s">
        <v>13780</v>
      </c>
      <c r="BP361" s="50" t="s">
        <v>180</v>
      </c>
      <c r="BQ361" s="50" t="s">
        <v>13781</v>
      </c>
      <c r="BR361" s="50" t="s">
        <v>13782</v>
      </c>
      <c r="BS361" s="50" t="s">
        <v>13783</v>
      </c>
      <c r="BU361" s="50" t="s">
        <v>13784</v>
      </c>
      <c r="BV361" s="50" t="s">
        <v>13785</v>
      </c>
      <c r="BW361" s="50" t="s">
        <v>138</v>
      </c>
      <c r="BX361" s="50" t="s">
        <v>13786</v>
      </c>
      <c r="BY361" s="50" t="s">
        <v>13787</v>
      </c>
      <c r="BZ361" s="50" t="s">
        <v>13786</v>
      </c>
      <c r="CA361" s="50" t="s">
        <v>13785</v>
      </c>
      <c r="CB361" s="50" t="s">
        <v>13786</v>
      </c>
      <c r="CC361" s="50" t="s">
        <v>13787</v>
      </c>
      <c r="CD361" s="50" t="s">
        <v>13785</v>
      </c>
      <c r="CE361" s="50" t="s">
        <v>13786</v>
      </c>
      <c r="CF361" s="50" t="s">
        <v>13787</v>
      </c>
      <c r="CG361" s="50" t="s">
        <v>358</v>
      </c>
      <c r="CH361" s="50" t="s">
        <v>13788</v>
      </c>
      <c r="CJ361" s="50" t="s">
        <v>13789</v>
      </c>
      <c r="CK361" s="50" t="s">
        <v>13790</v>
      </c>
      <c r="CL361" s="50" t="s">
        <v>13776</v>
      </c>
      <c r="CM361" s="50" t="s">
        <v>376</v>
      </c>
      <c r="CN361" s="50" t="s">
        <v>13789</v>
      </c>
      <c r="CP361" s="50" t="s">
        <v>13790</v>
      </c>
      <c r="CQ361" s="50" t="s">
        <v>13790</v>
      </c>
    </row>
    <row r="362" spans="1:96">
      <c r="A362" s="50" t="s">
        <v>337</v>
      </c>
      <c r="B362" s="50">
        <v>4104626</v>
      </c>
      <c r="C362" s="50" t="s">
        <v>12018</v>
      </c>
      <c r="D362" s="50" t="s">
        <v>18091</v>
      </c>
      <c r="E362" s="50" t="e">
        <f>VLOOKUP(B362,aa!B:F,5,0)</f>
        <v>#N/A</v>
      </c>
      <c r="F362" s="50" t="e">
        <f>VLOOKUP(B362,aa!B:J,9,0)</f>
        <v>#N/A</v>
      </c>
      <c r="G362" s="50" t="e">
        <f>VLOOKUP(B362,aa!B:L,11,0)</f>
        <v>#N/A</v>
      </c>
      <c r="H362" s="50" t="e">
        <f>VLOOKUP(B362,aa!B:O,14,0)</f>
        <v>#N/A</v>
      </c>
      <c r="I362" s="50" t="e">
        <f>VLOOKUP(B362,aa!B:R,17,0)</f>
        <v>#N/A</v>
      </c>
      <c r="K362" s="50" t="s">
        <v>848</v>
      </c>
      <c r="L362" s="50">
        <v>0</v>
      </c>
      <c r="M362" s="50">
        <v>0</v>
      </c>
      <c r="N362" s="50">
        <v>0</v>
      </c>
      <c r="O362" s="50">
        <v>0</v>
      </c>
      <c r="Q362" s="50">
        <v>0</v>
      </c>
      <c r="R362" s="50">
        <v>0</v>
      </c>
      <c r="T362" s="50">
        <v>0</v>
      </c>
      <c r="U362" s="50">
        <v>326</v>
      </c>
      <c r="V362" s="50" t="s">
        <v>102</v>
      </c>
      <c r="W362" s="50" t="s">
        <v>102</v>
      </c>
      <c r="X362" s="50" t="s">
        <v>275</v>
      </c>
      <c r="Z362" s="50" t="s">
        <v>12492</v>
      </c>
      <c r="AA362" s="50" t="s">
        <v>109</v>
      </c>
      <c r="AB362" s="50" t="s">
        <v>102</v>
      </c>
      <c r="AC362" s="50" t="s">
        <v>109</v>
      </c>
      <c r="AD362" s="50" t="s">
        <v>102</v>
      </c>
      <c r="AE362" s="50" t="s">
        <v>109</v>
      </c>
      <c r="AF362" s="50" t="s">
        <v>102</v>
      </c>
      <c r="AG362" s="50" t="s">
        <v>109</v>
      </c>
      <c r="AH362" s="50" t="s">
        <v>102</v>
      </c>
      <c r="AI362" s="50" t="s">
        <v>102</v>
      </c>
      <c r="AL362" s="50" t="s">
        <v>102</v>
      </c>
      <c r="AM362" s="50" t="s">
        <v>102</v>
      </c>
      <c r="AN362" s="50" t="s">
        <v>102</v>
      </c>
      <c r="AO362" s="50" t="s">
        <v>115</v>
      </c>
      <c r="AP362" s="50" t="s">
        <v>115</v>
      </c>
      <c r="AU362" s="50" t="s">
        <v>102</v>
      </c>
      <c r="AW362" s="50" t="s">
        <v>102</v>
      </c>
      <c r="AX362" s="50" t="s">
        <v>119</v>
      </c>
      <c r="BA362" s="50" t="s">
        <v>250</v>
      </c>
      <c r="BB362" s="50" t="s">
        <v>120</v>
      </c>
      <c r="BC362" s="50" t="s">
        <v>18092</v>
      </c>
      <c r="BD362" s="50" t="s">
        <v>2800</v>
      </c>
      <c r="BE362" s="50" t="s">
        <v>122</v>
      </c>
      <c r="BF362" s="50" t="s">
        <v>346</v>
      </c>
      <c r="BG362" s="50" t="s">
        <v>124</v>
      </c>
      <c r="BH362" s="50" t="s">
        <v>12023</v>
      </c>
      <c r="BI362" s="50" t="s">
        <v>11889</v>
      </c>
      <c r="BJ362" s="50" t="s">
        <v>127</v>
      </c>
      <c r="BK362" s="50" t="s">
        <v>18093</v>
      </c>
      <c r="BL362" s="50" t="s">
        <v>18094</v>
      </c>
      <c r="BM362" s="50" t="s">
        <v>18095</v>
      </c>
      <c r="BN362" s="50" t="s">
        <v>13769</v>
      </c>
      <c r="BO362" s="50" t="s">
        <v>593</v>
      </c>
      <c r="BP362" s="50" t="s">
        <v>350</v>
      </c>
      <c r="BQ362" s="50" t="s">
        <v>594</v>
      </c>
      <c r="BR362" s="50" t="s">
        <v>595</v>
      </c>
      <c r="BS362" s="50" t="s">
        <v>8756</v>
      </c>
      <c r="BU362" s="50" t="s">
        <v>18096</v>
      </c>
      <c r="BV362" s="50" t="s">
        <v>18097</v>
      </c>
      <c r="BW362" s="50" t="s">
        <v>354</v>
      </c>
      <c r="BX362" s="50" t="s">
        <v>18098</v>
      </c>
      <c r="BY362" s="50" t="s">
        <v>18099</v>
      </c>
      <c r="BZ362" s="50" t="s">
        <v>18100</v>
      </c>
      <c r="CA362" s="50" t="s">
        <v>18101</v>
      </c>
      <c r="CB362" s="50" t="s">
        <v>18100</v>
      </c>
      <c r="CC362" s="50" t="s">
        <v>18102</v>
      </c>
      <c r="CD362" s="50" t="s">
        <v>18103</v>
      </c>
      <c r="CE362" s="50" t="s">
        <v>18100</v>
      </c>
      <c r="CF362" s="50" t="s">
        <v>18104</v>
      </c>
      <c r="CG362" s="50" t="s">
        <v>102</v>
      </c>
      <c r="CH362" s="50" t="s">
        <v>18105</v>
      </c>
      <c r="CJ362" s="50" t="s">
        <v>18106</v>
      </c>
      <c r="CL362" s="50" t="s">
        <v>18092</v>
      </c>
      <c r="CM362" s="50" t="s">
        <v>2800</v>
      </c>
      <c r="CN362" s="50" t="s">
        <v>18106</v>
      </c>
      <c r="CP362" s="50" t="s">
        <v>18105</v>
      </c>
      <c r="CQ362" s="50" t="s">
        <v>18105</v>
      </c>
    </row>
    <row r="363" spans="1:96">
      <c r="A363" s="50" t="s">
        <v>149</v>
      </c>
      <c r="B363" s="50">
        <v>416793</v>
      </c>
      <c r="C363" s="50" t="s">
        <v>1111</v>
      </c>
      <c r="D363" s="50" t="s">
        <v>8870</v>
      </c>
      <c r="E363" s="50" t="str">
        <f>VLOOKUP(B363,aa!B:F,5,0)</f>
        <v>Ei ASSET, Ei ASSET,Ei CARES</v>
      </c>
      <c r="F363" s="50">
        <f>VLOOKUP(B363,aa!B:J,9,0)</f>
        <v>1132798</v>
      </c>
      <c r="G363" s="50">
        <f>VLOOKUP(B363,aa!B:L,11,0)</f>
        <v>867424</v>
      </c>
      <c r="H363" s="50">
        <f>VLOOKUP(B363,aa!B:O,14,0)</f>
        <v>265374</v>
      </c>
      <c r="I363" s="50">
        <f>VLOOKUP(B363,aa!B:R,17,0)</f>
        <v>0</v>
      </c>
      <c r="K363" s="50" t="s">
        <v>97</v>
      </c>
      <c r="L363" s="50">
        <v>1319828</v>
      </c>
      <c r="M363" s="50">
        <v>1319828</v>
      </c>
      <c r="N363" s="50">
        <v>1319828</v>
      </c>
      <c r="O363" s="50">
        <v>980</v>
      </c>
      <c r="P363" s="50" t="s">
        <v>18273</v>
      </c>
      <c r="Q363" s="50">
        <v>0</v>
      </c>
      <c r="R363" s="50">
        <v>0</v>
      </c>
      <c r="T363" s="50">
        <v>0</v>
      </c>
      <c r="U363" s="50">
        <v>0</v>
      </c>
      <c r="W363" s="50" t="s">
        <v>102</v>
      </c>
      <c r="X363" s="50" t="s">
        <v>275</v>
      </c>
      <c r="Z363" s="50" t="s">
        <v>18274</v>
      </c>
      <c r="AA363" s="50" t="s">
        <v>109</v>
      </c>
      <c r="AB363" s="50" t="s">
        <v>102</v>
      </c>
      <c r="AC363" s="50" t="s">
        <v>109</v>
      </c>
      <c r="AD363" s="50" t="s">
        <v>102</v>
      </c>
      <c r="AE363" s="50" t="s">
        <v>109</v>
      </c>
      <c r="AF363" s="50" t="s">
        <v>102</v>
      </c>
      <c r="AG363" s="50" t="s">
        <v>109</v>
      </c>
      <c r="AH363" s="50" t="s">
        <v>102</v>
      </c>
      <c r="AI363" s="50" t="s">
        <v>102</v>
      </c>
      <c r="AJ363" s="50" t="s">
        <v>7439</v>
      </c>
      <c r="AK363" s="50" t="s">
        <v>7439</v>
      </c>
      <c r="AL363" s="50" t="s">
        <v>18275</v>
      </c>
      <c r="AM363" s="50" t="s">
        <v>18276</v>
      </c>
      <c r="AN363" s="50" t="s">
        <v>18277</v>
      </c>
      <c r="AO363" s="50" t="s">
        <v>18278</v>
      </c>
      <c r="AP363" s="50" t="s">
        <v>18278</v>
      </c>
      <c r="AU363" s="50" t="s">
        <v>318</v>
      </c>
      <c r="AV363" s="50" t="s">
        <v>118</v>
      </c>
      <c r="AW363" s="50" t="s">
        <v>102</v>
      </c>
      <c r="AX363" s="50" t="s">
        <v>119</v>
      </c>
      <c r="BB363" s="50" t="s">
        <v>171</v>
      </c>
      <c r="BC363" s="50" t="s">
        <v>4403</v>
      </c>
      <c r="BD363" s="50" t="s">
        <v>4404</v>
      </c>
      <c r="BE363" s="50" t="s">
        <v>174</v>
      </c>
      <c r="BF363" s="50" t="s">
        <v>4405</v>
      </c>
      <c r="BG363" s="50" t="s">
        <v>124</v>
      </c>
      <c r="BH363" s="50" t="s">
        <v>18279</v>
      </c>
      <c r="BI363" s="50" t="s">
        <v>11889</v>
      </c>
      <c r="BJ363" s="50" t="s">
        <v>127</v>
      </c>
      <c r="BK363" s="50" t="s">
        <v>18280</v>
      </c>
      <c r="BL363" s="50" t="s">
        <v>8880</v>
      </c>
      <c r="BM363" s="50" t="s">
        <v>18281</v>
      </c>
      <c r="BN363" s="50" t="s">
        <v>18272</v>
      </c>
      <c r="BO363" s="50" t="s">
        <v>1108</v>
      </c>
      <c r="BP363" s="50" t="s">
        <v>180</v>
      </c>
      <c r="BQ363" s="50" t="s">
        <v>1109</v>
      </c>
      <c r="BR363" s="50" t="s">
        <v>1110</v>
      </c>
      <c r="BS363" s="50" t="s">
        <v>1111</v>
      </c>
      <c r="BU363" s="50" t="s">
        <v>18282</v>
      </c>
      <c r="BV363" s="50" t="s">
        <v>8883</v>
      </c>
      <c r="BW363" s="50" t="s">
        <v>354</v>
      </c>
      <c r="BX363" s="50" t="s">
        <v>8884</v>
      </c>
      <c r="BY363" s="50" t="s">
        <v>18283</v>
      </c>
      <c r="BZ363" s="50" t="s">
        <v>8884</v>
      </c>
      <c r="CA363" s="50" t="s">
        <v>8883</v>
      </c>
      <c r="CB363" s="50" t="s">
        <v>8884</v>
      </c>
      <c r="CC363" s="50" t="s">
        <v>18283</v>
      </c>
      <c r="CD363" s="50" t="s">
        <v>8883</v>
      </c>
      <c r="CE363" s="50" t="s">
        <v>8884</v>
      </c>
      <c r="CF363" s="50" t="s">
        <v>18283</v>
      </c>
      <c r="CG363" s="50" t="s">
        <v>102</v>
      </c>
      <c r="CH363" s="50" t="s">
        <v>18284</v>
      </c>
      <c r="CJ363" s="50" t="s">
        <v>8893</v>
      </c>
      <c r="CL363" s="50" t="s">
        <v>4403</v>
      </c>
      <c r="CM363" s="50" t="s">
        <v>4404</v>
      </c>
      <c r="CN363" s="50" t="s">
        <v>8893</v>
      </c>
      <c r="CP363" s="50" t="s">
        <v>8892</v>
      </c>
      <c r="CQ363" s="50" t="s">
        <v>8892</v>
      </c>
    </row>
    <row r="364" spans="1:96">
      <c r="A364" s="50" t="s">
        <v>337</v>
      </c>
      <c r="B364" s="50">
        <v>5017849</v>
      </c>
      <c r="C364" s="50" t="s">
        <v>12507</v>
      </c>
      <c r="D364" s="50" t="s">
        <v>19218</v>
      </c>
      <c r="E364" s="50" t="str">
        <f>VLOOKUP(B364,aa!B:F,5,0)</f>
        <v>Ei CARES</v>
      </c>
      <c r="F364" s="50">
        <f>VLOOKUP(B364,aa!B:J,9,0)</f>
        <v>727932</v>
      </c>
      <c r="G364" s="50">
        <f>VLOOKUP(B364,aa!B:L,11,0)</f>
        <v>0</v>
      </c>
      <c r="H364" s="50">
        <f>VLOOKUP(B364,aa!B:O,14,0)</f>
        <v>727932</v>
      </c>
      <c r="I364" s="50">
        <f>VLOOKUP(B364,aa!B:R,17,0)</f>
        <v>0</v>
      </c>
      <c r="K364" s="50" t="s">
        <v>643</v>
      </c>
      <c r="L364" s="50">
        <v>503593</v>
      </c>
      <c r="M364" s="50">
        <v>503593</v>
      </c>
      <c r="N364" s="50">
        <v>0</v>
      </c>
      <c r="O364" s="50">
        <v>0</v>
      </c>
      <c r="Q364" s="50">
        <v>503593</v>
      </c>
      <c r="R364" s="50">
        <v>294</v>
      </c>
      <c r="S364" s="50" t="s">
        <v>16842</v>
      </c>
      <c r="T364" s="50">
        <v>0</v>
      </c>
      <c r="U364" s="50">
        <v>386</v>
      </c>
      <c r="V364" s="50" t="s">
        <v>102</v>
      </c>
      <c r="W364" s="50" t="s">
        <v>102</v>
      </c>
      <c r="X364" s="50" t="s">
        <v>679</v>
      </c>
      <c r="Y364" s="50" t="s">
        <v>155</v>
      </c>
      <c r="Z364" s="50" t="s">
        <v>13769</v>
      </c>
      <c r="AA364" s="50" t="s">
        <v>19220</v>
      </c>
      <c r="AB364" s="50" t="s">
        <v>19221</v>
      </c>
      <c r="AC364" s="50" t="s">
        <v>15488</v>
      </c>
      <c r="AD364" s="50" t="s">
        <v>19221</v>
      </c>
      <c r="AE364" s="50" t="s">
        <v>19222</v>
      </c>
      <c r="AF364" s="50" t="s">
        <v>19221</v>
      </c>
      <c r="AG364" s="50" t="s">
        <v>19223</v>
      </c>
      <c r="AH364" s="50" t="s">
        <v>19221</v>
      </c>
      <c r="AI364" s="50" t="s">
        <v>19224</v>
      </c>
      <c r="AJ364" s="50" t="s">
        <v>10221</v>
      </c>
      <c r="AK364" s="50" t="s">
        <v>16007</v>
      </c>
      <c r="AL364" s="50" t="s">
        <v>19225</v>
      </c>
      <c r="AM364" s="50" t="s">
        <v>19226</v>
      </c>
      <c r="AN364" s="50" t="s">
        <v>19227</v>
      </c>
      <c r="AO364" s="50" t="s">
        <v>19228</v>
      </c>
      <c r="AP364" s="50" t="s">
        <v>19228</v>
      </c>
      <c r="AU364" s="50" t="s">
        <v>102</v>
      </c>
      <c r="AW364" s="50" t="s">
        <v>655</v>
      </c>
      <c r="AX364" s="50" t="s">
        <v>249</v>
      </c>
      <c r="AY364" s="50" t="s">
        <v>170</v>
      </c>
      <c r="AZ364" s="50" t="s">
        <v>118</v>
      </c>
      <c r="BA364" s="50" t="s">
        <v>250</v>
      </c>
      <c r="BB364" s="50" t="s">
        <v>120</v>
      </c>
      <c r="BC364" s="50" t="s">
        <v>7324</v>
      </c>
      <c r="BD364" s="50" t="s">
        <v>556</v>
      </c>
      <c r="BE364" s="50" t="s">
        <v>122</v>
      </c>
      <c r="BF364" s="50" t="s">
        <v>557</v>
      </c>
      <c r="BG364" s="50" t="s">
        <v>124</v>
      </c>
      <c r="BH364" s="50" t="s">
        <v>19229</v>
      </c>
      <c r="BI364" s="50" t="s">
        <v>19230</v>
      </c>
      <c r="BJ364" s="50" t="s">
        <v>127</v>
      </c>
      <c r="BK364" s="50" t="s">
        <v>19231</v>
      </c>
      <c r="BL364" s="50" t="s">
        <v>19232</v>
      </c>
      <c r="BM364" s="50" t="s">
        <v>19233</v>
      </c>
      <c r="BN364" s="50" t="s">
        <v>19219</v>
      </c>
      <c r="BO364" s="50" t="s">
        <v>19234</v>
      </c>
      <c r="BP364" s="50" t="s">
        <v>350</v>
      </c>
      <c r="BQ364" s="50" t="s">
        <v>19235</v>
      </c>
      <c r="BR364" s="50" t="s">
        <v>19236</v>
      </c>
      <c r="BS364" s="50" t="s">
        <v>566</v>
      </c>
      <c r="BU364" s="50" t="s">
        <v>19237</v>
      </c>
      <c r="BV364" s="50" t="s">
        <v>7329</v>
      </c>
      <c r="BW364" s="50" t="s">
        <v>138</v>
      </c>
      <c r="BX364" s="50" t="s">
        <v>19238</v>
      </c>
      <c r="BY364" s="50" t="s">
        <v>7331</v>
      </c>
      <c r="BZ364" s="50" t="s">
        <v>16852</v>
      </c>
      <c r="CA364" s="50" t="s">
        <v>19239</v>
      </c>
      <c r="CB364" s="50" t="s">
        <v>19238</v>
      </c>
      <c r="CC364" s="50" t="s">
        <v>19240</v>
      </c>
      <c r="CD364" s="50" t="s">
        <v>19239</v>
      </c>
      <c r="CE364" s="50" t="s">
        <v>19238</v>
      </c>
      <c r="CF364" s="50" t="s">
        <v>19240</v>
      </c>
      <c r="CG364" s="50" t="s">
        <v>19241</v>
      </c>
      <c r="CH364" s="50" t="s">
        <v>19242</v>
      </c>
      <c r="CJ364" s="50" t="s">
        <v>7334</v>
      </c>
      <c r="CK364" s="50" t="s">
        <v>19243</v>
      </c>
      <c r="CL364" s="50" t="s">
        <v>7324</v>
      </c>
      <c r="CM364" s="50" t="s">
        <v>556</v>
      </c>
      <c r="CN364" s="50" t="s">
        <v>7334</v>
      </c>
      <c r="CO364" s="50" t="s">
        <v>19244</v>
      </c>
      <c r="CP364" s="50" t="s">
        <v>19242</v>
      </c>
      <c r="CQ364" s="50" t="s">
        <v>19242</v>
      </c>
    </row>
    <row r="365" spans="1:96">
      <c r="A365" s="50" t="s">
        <v>93</v>
      </c>
      <c r="B365" s="50">
        <v>3765958</v>
      </c>
      <c r="C365" s="50" t="s">
        <v>12155</v>
      </c>
      <c r="D365" s="50" t="s">
        <v>7367</v>
      </c>
      <c r="E365" s="50" t="e">
        <f>VLOOKUP(B365,aa!B:F,5,0)</f>
        <v>#N/A</v>
      </c>
      <c r="F365" s="50" t="e">
        <f>VLOOKUP(B365,aa!B:J,9,0)</f>
        <v>#N/A</v>
      </c>
      <c r="G365" s="50" t="e">
        <f>VLOOKUP(B365,aa!B:L,11,0)</f>
        <v>#N/A</v>
      </c>
      <c r="H365" s="50" t="e">
        <f>VLOOKUP(B365,aa!B:O,14,0)</f>
        <v>#N/A</v>
      </c>
      <c r="I365" s="50" t="e">
        <f>VLOOKUP(B365,aa!B:R,17,0)</f>
        <v>#N/A</v>
      </c>
      <c r="K365" s="50" t="s">
        <v>152</v>
      </c>
      <c r="L365" s="50">
        <v>1170000</v>
      </c>
      <c r="M365" s="50">
        <v>1170000</v>
      </c>
      <c r="N365" s="50">
        <v>0</v>
      </c>
      <c r="O365" s="50">
        <v>0</v>
      </c>
      <c r="Q365" s="50">
        <v>1170000</v>
      </c>
      <c r="R365" s="50">
        <v>1000</v>
      </c>
      <c r="S365" s="50" t="s">
        <v>16898</v>
      </c>
      <c r="T365" s="50">
        <v>0</v>
      </c>
      <c r="U365" s="50">
        <v>0</v>
      </c>
      <c r="W365" s="50" t="s">
        <v>102</v>
      </c>
      <c r="X365" s="50" t="s">
        <v>103</v>
      </c>
      <c r="Y365" s="50" t="s">
        <v>155</v>
      </c>
      <c r="AA365" s="50" t="s">
        <v>14272</v>
      </c>
      <c r="AB365" s="50" t="s">
        <v>16899</v>
      </c>
      <c r="AC365" s="50" t="s">
        <v>12082</v>
      </c>
      <c r="AD365" s="50" t="s">
        <v>16899</v>
      </c>
      <c r="AE365" s="50" t="s">
        <v>12327</v>
      </c>
      <c r="AF365" s="50" t="s">
        <v>16899</v>
      </c>
      <c r="AG365" s="50" t="s">
        <v>11886</v>
      </c>
      <c r="AH365" s="50" t="s">
        <v>16899</v>
      </c>
      <c r="AI365" s="50" t="s">
        <v>16900</v>
      </c>
      <c r="AJ365" s="50" t="s">
        <v>4520</v>
      </c>
      <c r="AK365" s="50" t="s">
        <v>12680</v>
      </c>
      <c r="AL365" s="50" t="s">
        <v>16901</v>
      </c>
      <c r="AM365" s="50" t="s">
        <v>16902</v>
      </c>
      <c r="AN365" s="50" t="s">
        <v>16903</v>
      </c>
      <c r="AO365" s="50" t="s">
        <v>2147</v>
      </c>
      <c r="AP365" s="50" t="s">
        <v>2147</v>
      </c>
      <c r="AU365" s="50" t="s">
        <v>102</v>
      </c>
      <c r="AW365" s="50" t="s">
        <v>155</v>
      </c>
      <c r="AX365" s="50" t="s">
        <v>119</v>
      </c>
      <c r="AY365" s="50" t="s">
        <v>170</v>
      </c>
      <c r="AZ365" s="50" t="s">
        <v>118</v>
      </c>
      <c r="BB365" s="50" t="s">
        <v>120</v>
      </c>
      <c r="BC365" s="50" t="s">
        <v>1170</v>
      </c>
      <c r="BD365" s="50" t="s">
        <v>1171</v>
      </c>
      <c r="BE365" s="50" t="s">
        <v>174</v>
      </c>
      <c r="BF365" s="50" t="s">
        <v>1172</v>
      </c>
      <c r="BG365" s="50" t="s">
        <v>124</v>
      </c>
      <c r="BH365" s="50" t="s">
        <v>12023</v>
      </c>
      <c r="BI365" s="50" t="s">
        <v>11889</v>
      </c>
      <c r="BJ365" s="50" t="s">
        <v>127</v>
      </c>
      <c r="BK365" s="50" t="s">
        <v>16904</v>
      </c>
      <c r="BL365" s="50" t="s">
        <v>7376</v>
      </c>
      <c r="BM365" s="50" t="s">
        <v>16905</v>
      </c>
      <c r="BN365" s="50" t="s">
        <v>14272</v>
      </c>
      <c r="BO365" s="50" t="s">
        <v>5557</v>
      </c>
      <c r="BP365" s="50" t="s">
        <v>180</v>
      </c>
      <c r="BQ365" s="50" t="s">
        <v>5558</v>
      </c>
      <c r="BR365" s="50" t="s">
        <v>5559</v>
      </c>
      <c r="BS365" s="50" t="s">
        <v>5560</v>
      </c>
      <c r="BT365" s="50" t="s">
        <v>7378</v>
      </c>
      <c r="BU365" s="50" t="s">
        <v>16906</v>
      </c>
      <c r="BV365" s="50" t="s">
        <v>16907</v>
      </c>
      <c r="BW365" s="50" t="s">
        <v>354</v>
      </c>
      <c r="BX365" s="50" t="s">
        <v>7381</v>
      </c>
      <c r="BY365" s="50" t="s">
        <v>7382</v>
      </c>
      <c r="BZ365" s="50" t="s">
        <v>7383</v>
      </c>
      <c r="CA365" s="50" t="s">
        <v>16908</v>
      </c>
      <c r="CB365" s="50" t="s">
        <v>7381</v>
      </c>
      <c r="CC365" s="50" t="s">
        <v>16909</v>
      </c>
      <c r="CD365" s="50" t="s">
        <v>16910</v>
      </c>
      <c r="CE365" s="50" t="s">
        <v>7381</v>
      </c>
      <c r="CF365" s="50" t="s">
        <v>16911</v>
      </c>
      <c r="CG365" s="50" t="s">
        <v>7386</v>
      </c>
      <c r="CH365" s="50" t="s">
        <v>7390</v>
      </c>
      <c r="CJ365" s="50" t="s">
        <v>16912</v>
      </c>
      <c r="CK365" s="50" t="s">
        <v>16913</v>
      </c>
      <c r="CL365" s="50" t="s">
        <v>1170</v>
      </c>
      <c r="CM365" s="50" t="s">
        <v>1171</v>
      </c>
      <c r="CN365" s="50" t="s">
        <v>16912</v>
      </c>
      <c r="CO365" s="50" t="s">
        <v>7389</v>
      </c>
      <c r="CP365" s="50" t="s">
        <v>7390</v>
      </c>
      <c r="CQ365" s="50" t="s">
        <v>7390</v>
      </c>
      <c r="CR365" s="52" t="s">
        <v>26042</v>
      </c>
    </row>
    <row r="366" spans="1:96">
      <c r="A366" s="50" t="s">
        <v>337</v>
      </c>
      <c r="B366" s="50">
        <v>5046169</v>
      </c>
      <c r="C366" s="50" t="s">
        <v>293</v>
      </c>
      <c r="D366" s="50" t="s">
        <v>20470</v>
      </c>
      <c r="E366" s="50" t="e">
        <f>VLOOKUP(B366,aa!B:F,5,0)</f>
        <v>#N/A</v>
      </c>
      <c r="F366" s="50" t="e">
        <f>VLOOKUP(B366,aa!B:J,9,0)</f>
        <v>#N/A</v>
      </c>
      <c r="G366" s="50" t="e">
        <f>VLOOKUP(B366,aa!B:L,11,0)</f>
        <v>#N/A</v>
      </c>
      <c r="H366" s="50" t="e">
        <f>VLOOKUP(B366,aa!B:O,14,0)</f>
        <v>#N/A</v>
      </c>
      <c r="I366" s="50" t="e">
        <f>VLOOKUP(B366,aa!B:R,17,0)</f>
        <v>#N/A</v>
      </c>
      <c r="K366" s="50" t="s">
        <v>97</v>
      </c>
      <c r="L366" s="50">
        <v>225900</v>
      </c>
      <c r="M366" s="50">
        <v>225900</v>
      </c>
      <c r="N366" s="50">
        <v>225900</v>
      </c>
      <c r="O366" s="50">
        <v>251</v>
      </c>
      <c r="P366" s="50" t="s">
        <v>2451</v>
      </c>
      <c r="Q366" s="50">
        <v>0</v>
      </c>
      <c r="R366" s="50">
        <v>0</v>
      </c>
      <c r="T366" s="50">
        <v>0</v>
      </c>
      <c r="U366" s="50">
        <v>0</v>
      </c>
      <c r="W366" s="50" t="s">
        <v>102</v>
      </c>
      <c r="X366" s="50" t="s">
        <v>103</v>
      </c>
      <c r="Y366" s="50" t="s">
        <v>398</v>
      </c>
      <c r="AA366" s="50" t="s">
        <v>14250</v>
      </c>
      <c r="AB366" s="50" t="s">
        <v>20471</v>
      </c>
      <c r="AC366" s="50" t="s">
        <v>1408</v>
      </c>
      <c r="AD366" s="50" t="s">
        <v>20472</v>
      </c>
      <c r="AE366" s="50" t="s">
        <v>11950</v>
      </c>
      <c r="AF366" s="50" t="s">
        <v>20471</v>
      </c>
      <c r="AG366" s="50" t="s">
        <v>109</v>
      </c>
      <c r="AH366" s="50" t="s">
        <v>102</v>
      </c>
      <c r="AI366" s="50" t="s">
        <v>102</v>
      </c>
      <c r="AJ366" s="50" t="s">
        <v>12711</v>
      </c>
      <c r="AK366" s="50" t="s">
        <v>12927</v>
      </c>
      <c r="AL366" s="50" t="s">
        <v>20473</v>
      </c>
      <c r="AM366" s="50" t="s">
        <v>20474</v>
      </c>
      <c r="AN366" s="50" t="s">
        <v>20475</v>
      </c>
      <c r="AO366" s="50" t="s">
        <v>554</v>
      </c>
      <c r="AP366" s="50" t="s">
        <v>554</v>
      </c>
      <c r="AU366" s="50" t="s">
        <v>318</v>
      </c>
      <c r="AV366" s="50" t="s">
        <v>118</v>
      </c>
      <c r="AW366" s="50" t="s">
        <v>102</v>
      </c>
      <c r="AX366" s="50" t="s">
        <v>119</v>
      </c>
      <c r="BB366" s="50" t="s">
        <v>120</v>
      </c>
      <c r="BC366" s="50" t="s">
        <v>920</v>
      </c>
      <c r="BD366" s="50" t="s">
        <v>211</v>
      </c>
      <c r="BE366" s="50" t="s">
        <v>212</v>
      </c>
      <c r="BF366" s="50" t="s">
        <v>213</v>
      </c>
      <c r="BG366" s="50" t="s">
        <v>124</v>
      </c>
      <c r="BH366" s="50" t="s">
        <v>11925</v>
      </c>
      <c r="BI366" s="50" t="s">
        <v>20476</v>
      </c>
      <c r="BJ366" s="50" t="s">
        <v>127</v>
      </c>
      <c r="BK366" s="50" t="s">
        <v>20477</v>
      </c>
      <c r="BL366" s="50" t="s">
        <v>20478</v>
      </c>
      <c r="BM366" s="50" t="s">
        <v>20479</v>
      </c>
      <c r="BN366" s="50" t="s">
        <v>14272</v>
      </c>
      <c r="BO366" s="50" t="s">
        <v>1309</v>
      </c>
      <c r="BP366" s="50" t="s">
        <v>180</v>
      </c>
      <c r="BQ366" s="50" t="s">
        <v>1310</v>
      </c>
      <c r="BR366" s="50" t="s">
        <v>1311</v>
      </c>
      <c r="BS366" s="50" t="s">
        <v>2463</v>
      </c>
      <c r="BU366" s="50" t="s">
        <v>20480</v>
      </c>
      <c r="BV366" s="50" t="s">
        <v>20481</v>
      </c>
      <c r="BW366" s="50" t="s">
        <v>138</v>
      </c>
      <c r="BX366" s="50" t="s">
        <v>20482</v>
      </c>
      <c r="BY366" s="50" t="s">
        <v>20483</v>
      </c>
      <c r="BZ366" s="50" t="s">
        <v>20484</v>
      </c>
      <c r="CA366" s="50" t="s">
        <v>20481</v>
      </c>
      <c r="CB366" s="50" t="s">
        <v>20482</v>
      </c>
      <c r="CC366" s="50" t="s">
        <v>20483</v>
      </c>
      <c r="CD366" s="50" t="s">
        <v>20485</v>
      </c>
      <c r="CE366" s="50" t="s">
        <v>20486</v>
      </c>
      <c r="CF366" s="50" t="s">
        <v>20487</v>
      </c>
      <c r="CG366" s="50" t="s">
        <v>20488</v>
      </c>
      <c r="CH366" s="50" t="s">
        <v>20489</v>
      </c>
      <c r="CJ366" s="50" t="s">
        <v>20490</v>
      </c>
      <c r="CK366" s="50" t="s">
        <v>20489</v>
      </c>
      <c r="CL366" s="50" t="s">
        <v>920</v>
      </c>
      <c r="CM366" s="50" t="s">
        <v>211</v>
      </c>
      <c r="CN366" s="50" t="s">
        <v>20490</v>
      </c>
      <c r="CP366" s="50" t="s">
        <v>20491</v>
      </c>
      <c r="CQ366" s="50" t="s">
        <v>20491</v>
      </c>
      <c r="CR366" s="50" t="s">
        <v>26046</v>
      </c>
    </row>
    <row r="367" spans="1:96">
      <c r="A367" s="50" t="s">
        <v>149</v>
      </c>
      <c r="B367" s="50">
        <v>2497679</v>
      </c>
      <c r="C367" s="50" t="s">
        <v>12155</v>
      </c>
      <c r="D367" s="50" t="s">
        <v>3743</v>
      </c>
      <c r="E367" s="50" t="str">
        <f>VLOOKUP(B367,aa!B:F,5,0)</f>
        <v>Ei ASSET,Ei CARES, Ei ASSET,Ei CARES,Ei Mindspark, Ei CARES</v>
      </c>
      <c r="F367" s="50">
        <f>VLOOKUP(B367,aa!B:J,9,0)</f>
        <v>2616819</v>
      </c>
      <c r="G367" s="50">
        <f>VLOOKUP(B367,aa!B:L,11,0)</f>
        <v>393174</v>
      </c>
      <c r="H367" s="50">
        <f>VLOOKUP(B367,aa!B:O,14,0)</f>
        <v>1136898</v>
      </c>
      <c r="I367" s="50">
        <f>VLOOKUP(B367,aa!B:R,17,0)</f>
        <v>1086747</v>
      </c>
      <c r="K367" s="50" t="s">
        <v>1746</v>
      </c>
      <c r="L367" s="50">
        <v>2230424</v>
      </c>
      <c r="M367" s="50">
        <v>2420519</v>
      </c>
      <c r="N367" s="50">
        <v>300394</v>
      </c>
      <c r="O367" s="50">
        <v>928</v>
      </c>
      <c r="P367" s="50" t="s">
        <v>14251</v>
      </c>
      <c r="Q367" s="50">
        <v>873947</v>
      </c>
      <c r="R367" s="50">
        <v>920</v>
      </c>
      <c r="S367" s="50" t="s">
        <v>936</v>
      </c>
      <c r="T367" s="50">
        <v>1056083</v>
      </c>
      <c r="U367" s="50">
        <v>802</v>
      </c>
      <c r="V367" s="50" t="s">
        <v>5240</v>
      </c>
      <c r="W367" s="50" t="s">
        <v>102</v>
      </c>
      <c r="X367" s="50" t="s">
        <v>275</v>
      </c>
      <c r="Z367" s="50" t="s">
        <v>11925</v>
      </c>
      <c r="AA367" s="50" t="s">
        <v>109</v>
      </c>
      <c r="AB367" s="50" t="s">
        <v>102</v>
      </c>
      <c r="AC367" s="50" t="s">
        <v>109</v>
      </c>
      <c r="AD367" s="50" t="s">
        <v>102</v>
      </c>
      <c r="AE367" s="50" t="s">
        <v>109</v>
      </c>
      <c r="AF367" s="50" t="s">
        <v>102</v>
      </c>
      <c r="AG367" s="50" t="s">
        <v>109</v>
      </c>
      <c r="AH367" s="50" t="s">
        <v>102</v>
      </c>
      <c r="AI367" s="50" t="s">
        <v>14252</v>
      </c>
      <c r="AJ367" s="50" t="s">
        <v>13886</v>
      </c>
      <c r="AK367" s="50" t="s">
        <v>4563</v>
      </c>
      <c r="AL367" s="50" t="s">
        <v>14253</v>
      </c>
      <c r="AM367" s="50" t="s">
        <v>14254</v>
      </c>
      <c r="AN367" s="50" t="s">
        <v>14255</v>
      </c>
      <c r="AO367" s="50" t="s">
        <v>14256</v>
      </c>
      <c r="AP367" s="50" t="s">
        <v>14256</v>
      </c>
      <c r="AU367" s="50" t="s">
        <v>117</v>
      </c>
      <c r="AV367" s="50" t="s">
        <v>118</v>
      </c>
      <c r="AW367" s="50" t="s">
        <v>155</v>
      </c>
      <c r="AX367" s="50" t="s">
        <v>447</v>
      </c>
      <c r="AY367" s="50" t="s">
        <v>170</v>
      </c>
      <c r="AZ367" s="50" t="s">
        <v>118</v>
      </c>
      <c r="BA367" s="50" t="s">
        <v>250</v>
      </c>
      <c r="BB367" s="50" t="s">
        <v>120</v>
      </c>
      <c r="BC367" s="50" t="s">
        <v>3754</v>
      </c>
      <c r="BD367" s="50" t="s">
        <v>173</v>
      </c>
      <c r="BE367" s="50" t="s">
        <v>174</v>
      </c>
      <c r="BF367" s="50" t="s">
        <v>173</v>
      </c>
      <c r="BG367" s="50" t="s">
        <v>124</v>
      </c>
      <c r="BH367" s="50" t="s">
        <v>12492</v>
      </c>
      <c r="BI367" s="50" t="s">
        <v>12047</v>
      </c>
      <c r="BJ367" s="50" t="s">
        <v>127</v>
      </c>
      <c r="BK367" s="50" t="s">
        <v>14257</v>
      </c>
      <c r="BL367" s="50" t="s">
        <v>3756</v>
      </c>
      <c r="BM367" s="50" t="s">
        <v>14258</v>
      </c>
      <c r="BN367" s="50" t="s">
        <v>14250</v>
      </c>
      <c r="BO367" s="50" t="s">
        <v>12557</v>
      </c>
      <c r="BP367" s="50" t="s">
        <v>180</v>
      </c>
      <c r="BQ367" s="50" t="s">
        <v>12558</v>
      </c>
      <c r="BR367" s="50" t="s">
        <v>12559</v>
      </c>
      <c r="BS367" s="50" t="s">
        <v>183</v>
      </c>
      <c r="BU367" s="50" t="s">
        <v>14259</v>
      </c>
      <c r="BV367" s="50" t="s">
        <v>14260</v>
      </c>
      <c r="BW367" s="50" t="s">
        <v>138</v>
      </c>
      <c r="BX367" s="50" t="s">
        <v>3762</v>
      </c>
      <c r="BY367" s="50" t="s">
        <v>14261</v>
      </c>
      <c r="BZ367" s="50" t="s">
        <v>3762</v>
      </c>
      <c r="CA367" s="50" t="s">
        <v>14260</v>
      </c>
      <c r="CB367" s="50" t="s">
        <v>3762</v>
      </c>
      <c r="CC367" s="50" t="s">
        <v>14261</v>
      </c>
      <c r="CD367" s="50" t="s">
        <v>3764</v>
      </c>
      <c r="CE367" s="50" t="s">
        <v>3765</v>
      </c>
      <c r="CF367" s="50" t="s">
        <v>14262</v>
      </c>
      <c r="CG367" s="50" t="s">
        <v>102</v>
      </c>
      <c r="CH367" s="50" t="s">
        <v>14263</v>
      </c>
      <c r="CJ367" s="50" t="s">
        <v>3768</v>
      </c>
      <c r="CK367" s="50" t="s">
        <v>14263</v>
      </c>
      <c r="CL367" s="50" t="s">
        <v>3754</v>
      </c>
      <c r="CM367" s="50" t="s">
        <v>173</v>
      </c>
      <c r="CN367" s="50" t="s">
        <v>3768</v>
      </c>
      <c r="CO367" s="50" t="s">
        <v>3769</v>
      </c>
      <c r="CP367" s="50" t="s">
        <v>3770</v>
      </c>
      <c r="CQ367" s="50" t="s">
        <v>3767</v>
      </c>
    </row>
    <row r="368" spans="1:96">
      <c r="A368" s="50" t="s">
        <v>149</v>
      </c>
      <c r="B368" s="50">
        <v>1016619</v>
      </c>
      <c r="C368" s="50" t="s">
        <v>183</v>
      </c>
      <c r="D368" s="50" t="s">
        <v>150</v>
      </c>
      <c r="E368" s="50" t="e">
        <f>VLOOKUP(B368,aa!B:F,5,0)</f>
        <v>#N/A</v>
      </c>
      <c r="F368" s="50" t="e">
        <f>VLOOKUP(B368,aa!B:J,9,0)</f>
        <v>#N/A</v>
      </c>
      <c r="G368" s="50" t="e">
        <f>VLOOKUP(B368,aa!B:L,11,0)</f>
        <v>#N/A</v>
      </c>
      <c r="H368" s="50" t="e">
        <f>VLOOKUP(B368,aa!B:O,14,0)</f>
        <v>#N/A</v>
      </c>
      <c r="I368" s="50" t="e">
        <f>VLOOKUP(B368,aa!B:R,17,0)</f>
        <v>#N/A</v>
      </c>
      <c r="K368" s="50" t="s">
        <v>152</v>
      </c>
      <c r="L368" s="50">
        <v>1522702</v>
      </c>
      <c r="M368" s="50">
        <v>1522702</v>
      </c>
      <c r="N368" s="50">
        <v>0</v>
      </c>
      <c r="O368" s="50">
        <v>0</v>
      </c>
      <c r="Q368" s="50">
        <v>1522702</v>
      </c>
      <c r="R368" s="50">
        <v>1167</v>
      </c>
      <c r="S368" s="50" t="s">
        <v>11926</v>
      </c>
      <c r="T368" s="50">
        <v>0</v>
      </c>
      <c r="U368" s="50">
        <v>0</v>
      </c>
      <c r="W368" s="50" t="s">
        <v>102</v>
      </c>
      <c r="X368" s="50" t="s">
        <v>103</v>
      </c>
      <c r="Y368" s="50" t="s">
        <v>155</v>
      </c>
      <c r="AA368" s="50" t="s">
        <v>11927</v>
      </c>
      <c r="AB368" s="50" t="s">
        <v>11928</v>
      </c>
      <c r="AC368" s="50" t="s">
        <v>11929</v>
      </c>
      <c r="AD368" s="50" t="s">
        <v>11928</v>
      </c>
      <c r="AE368" s="50" t="s">
        <v>11930</v>
      </c>
      <c r="AF368" s="50" t="s">
        <v>11928</v>
      </c>
      <c r="AG368" s="50" t="s">
        <v>11886</v>
      </c>
      <c r="AH368" s="50" t="s">
        <v>11928</v>
      </c>
      <c r="AI368" s="50" t="s">
        <v>11931</v>
      </c>
      <c r="AJ368" s="50" t="s">
        <v>11932</v>
      </c>
      <c r="AK368" s="50" t="s">
        <v>11933</v>
      </c>
      <c r="AL368" s="50" t="s">
        <v>11934</v>
      </c>
      <c r="AM368" s="50" t="s">
        <v>11935</v>
      </c>
      <c r="AN368" s="50" t="s">
        <v>11936</v>
      </c>
      <c r="AO368" s="50" t="s">
        <v>11937</v>
      </c>
      <c r="AP368" s="50" t="s">
        <v>11937</v>
      </c>
      <c r="AU368" s="50" t="s">
        <v>102</v>
      </c>
      <c r="AW368" s="50" t="s">
        <v>155</v>
      </c>
      <c r="AX368" s="50" t="s">
        <v>119</v>
      </c>
      <c r="AY368" s="50" t="s">
        <v>170</v>
      </c>
      <c r="AZ368" s="50" t="s">
        <v>118</v>
      </c>
      <c r="BB368" s="50" t="s">
        <v>171</v>
      </c>
      <c r="BC368" s="50" t="s">
        <v>172</v>
      </c>
      <c r="BD368" s="50" t="s">
        <v>173</v>
      </c>
      <c r="BE368" s="50" t="s">
        <v>174</v>
      </c>
      <c r="BF368" s="50" t="s">
        <v>173</v>
      </c>
      <c r="BG368" s="50" t="s">
        <v>124</v>
      </c>
      <c r="BH368" s="50" t="s">
        <v>11938</v>
      </c>
      <c r="BI368" s="50" t="s">
        <v>11889</v>
      </c>
      <c r="BJ368" s="50" t="s">
        <v>127</v>
      </c>
      <c r="BK368" s="50" t="s">
        <v>11939</v>
      </c>
      <c r="BL368" s="50" t="s">
        <v>177</v>
      </c>
      <c r="BM368" s="50" t="s">
        <v>11940</v>
      </c>
      <c r="BN368" s="50" t="s">
        <v>11925</v>
      </c>
      <c r="BO368" s="50" t="s">
        <v>179</v>
      </c>
      <c r="BP368" s="50" t="s">
        <v>180</v>
      </c>
      <c r="BQ368" s="50" t="s">
        <v>181</v>
      </c>
      <c r="BR368" s="50" t="s">
        <v>182</v>
      </c>
      <c r="BS368" s="50" t="s">
        <v>183</v>
      </c>
      <c r="BU368" s="50" t="s">
        <v>11941</v>
      </c>
      <c r="BV368" s="50" t="s">
        <v>185</v>
      </c>
      <c r="BW368" s="50" t="s">
        <v>138</v>
      </c>
      <c r="BX368" s="50" t="s">
        <v>11942</v>
      </c>
      <c r="BY368" s="50" t="s">
        <v>187</v>
      </c>
      <c r="BZ368" s="50" t="s">
        <v>186</v>
      </c>
      <c r="CA368" s="50" t="s">
        <v>185</v>
      </c>
      <c r="CB368" s="50" t="s">
        <v>11942</v>
      </c>
      <c r="CC368" s="50" t="s">
        <v>187</v>
      </c>
      <c r="CD368" s="50" t="s">
        <v>11943</v>
      </c>
      <c r="CE368" s="50" t="s">
        <v>11944</v>
      </c>
      <c r="CF368" s="50" t="s">
        <v>11945</v>
      </c>
      <c r="CG368" s="50" t="s">
        <v>102</v>
      </c>
      <c r="CH368" s="50" t="s">
        <v>11946</v>
      </c>
      <c r="CJ368" s="50" t="s">
        <v>189</v>
      </c>
      <c r="CK368" s="50" t="s">
        <v>11946</v>
      </c>
      <c r="CL368" s="50" t="s">
        <v>172</v>
      </c>
      <c r="CM368" s="50" t="s">
        <v>173</v>
      </c>
      <c r="CN368" s="50" t="s">
        <v>189</v>
      </c>
      <c r="CO368" s="50" t="s">
        <v>190</v>
      </c>
      <c r="CP368" s="50" t="s">
        <v>188</v>
      </c>
      <c r="CQ368" s="50" t="s">
        <v>188</v>
      </c>
      <c r="CR368" s="50" t="s">
        <v>26047</v>
      </c>
    </row>
    <row r="369" spans="1:96">
      <c r="A369" s="50" t="s">
        <v>149</v>
      </c>
      <c r="B369" s="50">
        <v>2501573</v>
      </c>
      <c r="C369" s="50" t="s">
        <v>12491</v>
      </c>
      <c r="D369" s="50" t="s">
        <v>3771</v>
      </c>
      <c r="E369" s="50" t="str">
        <f>VLOOKUP(B369,aa!B:F,5,0)</f>
        <v>Ei ASSET</v>
      </c>
      <c r="F369" s="50">
        <f>VLOOKUP(B369,aa!B:J,9,0)</f>
        <v>561788</v>
      </c>
      <c r="G369" s="50">
        <f>VLOOKUP(B369,aa!B:L,11,0)</f>
        <v>561788</v>
      </c>
      <c r="H369" s="50">
        <f>VLOOKUP(B369,aa!B:O,14,0)</f>
        <v>0</v>
      </c>
      <c r="I369" s="50">
        <f>VLOOKUP(B369,aa!B:R,17,0)</f>
        <v>0</v>
      </c>
      <c r="K369" s="50" t="s">
        <v>97</v>
      </c>
      <c r="L369" s="50">
        <v>572940</v>
      </c>
      <c r="M369" s="50">
        <v>572940</v>
      </c>
      <c r="N369" s="50">
        <v>572940</v>
      </c>
      <c r="O369" s="50">
        <v>900</v>
      </c>
      <c r="P369" s="50" t="s">
        <v>14264</v>
      </c>
      <c r="Q369" s="50">
        <v>0</v>
      </c>
      <c r="R369" s="50">
        <v>0</v>
      </c>
      <c r="T369" s="50">
        <v>0</v>
      </c>
      <c r="U369" s="50">
        <v>0</v>
      </c>
      <c r="W369" s="50" t="s">
        <v>102</v>
      </c>
      <c r="X369" s="50" t="s">
        <v>275</v>
      </c>
      <c r="Z369" s="50" t="s">
        <v>11938</v>
      </c>
      <c r="AA369" s="50" t="s">
        <v>109</v>
      </c>
      <c r="AB369" s="50" t="s">
        <v>102</v>
      </c>
      <c r="AC369" s="50" t="s">
        <v>109</v>
      </c>
      <c r="AD369" s="50" t="s">
        <v>102</v>
      </c>
      <c r="AE369" s="50" t="s">
        <v>109</v>
      </c>
      <c r="AF369" s="50" t="s">
        <v>102</v>
      </c>
      <c r="AG369" s="50" t="s">
        <v>109</v>
      </c>
      <c r="AH369" s="50" t="s">
        <v>102</v>
      </c>
      <c r="AI369" s="50" t="s">
        <v>14265</v>
      </c>
      <c r="AJ369" s="50" t="s">
        <v>14266</v>
      </c>
      <c r="AK369" s="50" t="s">
        <v>14267</v>
      </c>
      <c r="AL369" s="50" t="s">
        <v>14268</v>
      </c>
      <c r="AM369" s="50" t="s">
        <v>14269</v>
      </c>
      <c r="AN369" s="50" t="s">
        <v>14270</v>
      </c>
      <c r="AO369" s="50" t="s">
        <v>14271</v>
      </c>
      <c r="AP369" s="50" t="s">
        <v>14271</v>
      </c>
      <c r="AU369" s="50" t="s">
        <v>3439</v>
      </c>
      <c r="AV369" s="50" t="s">
        <v>118</v>
      </c>
      <c r="AW369" s="50" t="s">
        <v>102</v>
      </c>
      <c r="AX369" s="50" t="s">
        <v>119</v>
      </c>
      <c r="BB369" s="50" t="s">
        <v>120</v>
      </c>
      <c r="BC369" s="50" t="s">
        <v>1407</v>
      </c>
      <c r="BD369" s="50" t="s">
        <v>449</v>
      </c>
      <c r="BE369" s="50" t="s">
        <v>122</v>
      </c>
      <c r="BF369" s="50" t="s">
        <v>450</v>
      </c>
      <c r="BG369" s="50" t="s">
        <v>124</v>
      </c>
      <c r="BH369" s="50" t="s">
        <v>14272</v>
      </c>
      <c r="BI369" s="50" t="s">
        <v>11889</v>
      </c>
      <c r="BJ369" s="50" t="s">
        <v>127</v>
      </c>
      <c r="BK369" s="50" t="s">
        <v>14273</v>
      </c>
      <c r="BL369" s="50" t="s">
        <v>3779</v>
      </c>
      <c r="BM369" s="50" t="s">
        <v>14274</v>
      </c>
      <c r="BN369" s="50" t="s">
        <v>11925</v>
      </c>
      <c r="BO369" s="50" t="s">
        <v>1108</v>
      </c>
      <c r="BP369" s="50" t="s">
        <v>350</v>
      </c>
      <c r="BQ369" s="50" t="s">
        <v>1109</v>
      </c>
      <c r="BR369" s="50" t="s">
        <v>1110</v>
      </c>
      <c r="BS369" s="50" t="s">
        <v>1111</v>
      </c>
      <c r="BU369" s="50" t="s">
        <v>14275</v>
      </c>
      <c r="BV369" s="50" t="s">
        <v>3782</v>
      </c>
      <c r="BW369" s="50" t="s">
        <v>598</v>
      </c>
      <c r="BX369" s="50" t="s">
        <v>3783</v>
      </c>
      <c r="BY369" s="50" t="s">
        <v>3784</v>
      </c>
      <c r="BZ369" s="50" t="s">
        <v>3783</v>
      </c>
      <c r="CA369" s="50" t="s">
        <v>14276</v>
      </c>
      <c r="CB369" s="50" t="s">
        <v>14277</v>
      </c>
      <c r="CC369" s="50" t="s">
        <v>3784</v>
      </c>
      <c r="CD369" s="50" t="s">
        <v>3782</v>
      </c>
      <c r="CE369" s="50" t="s">
        <v>3783</v>
      </c>
      <c r="CF369" s="50" t="s">
        <v>3784</v>
      </c>
      <c r="CG369" s="50" t="s">
        <v>102</v>
      </c>
      <c r="CH369" s="50" t="s">
        <v>14278</v>
      </c>
      <c r="CJ369" s="50" t="s">
        <v>3786</v>
      </c>
      <c r="CL369" s="50" t="s">
        <v>1407</v>
      </c>
      <c r="CM369" s="50" t="s">
        <v>449</v>
      </c>
      <c r="CN369" s="50" t="s">
        <v>3786</v>
      </c>
      <c r="CP369" s="50" t="s">
        <v>3787</v>
      </c>
      <c r="CQ369" s="50" t="s">
        <v>3785</v>
      </c>
    </row>
    <row r="370" spans="1:96">
      <c r="A370" s="50" t="s">
        <v>149</v>
      </c>
      <c r="B370" s="50">
        <v>258293</v>
      </c>
      <c r="C370" s="50" t="s">
        <v>418</v>
      </c>
      <c r="D370" s="50" t="s">
        <v>4183</v>
      </c>
      <c r="E370" s="50" t="e">
        <f>VLOOKUP(B370,aa!B:F,5,0)</f>
        <v>#N/A</v>
      </c>
      <c r="F370" s="50" t="e">
        <f>VLOOKUP(B370,aa!B:J,9,0)</f>
        <v>#N/A</v>
      </c>
      <c r="G370" s="50" t="e">
        <f>VLOOKUP(B370,aa!B:L,11,0)</f>
        <v>#N/A</v>
      </c>
      <c r="H370" s="50" t="e">
        <f>VLOOKUP(B370,aa!B:O,14,0)</f>
        <v>#N/A</v>
      </c>
      <c r="I370" s="50" t="e">
        <f>VLOOKUP(B370,aa!B:R,17,0)</f>
        <v>#N/A</v>
      </c>
      <c r="K370" s="50" t="s">
        <v>675</v>
      </c>
      <c r="L370" s="50">
        <v>1082287</v>
      </c>
      <c r="M370" s="50">
        <v>1082287</v>
      </c>
      <c r="N370" s="50">
        <v>955927</v>
      </c>
      <c r="O370" s="50">
        <v>1081</v>
      </c>
      <c r="P370" s="50" t="s">
        <v>14605</v>
      </c>
      <c r="Q370" s="50">
        <v>126360</v>
      </c>
      <c r="R370" s="50">
        <v>156</v>
      </c>
      <c r="S370" s="50" t="s">
        <v>6750</v>
      </c>
      <c r="T370" s="50">
        <v>0</v>
      </c>
      <c r="U370" s="50">
        <v>0</v>
      </c>
      <c r="W370" s="50" t="s">
        <v>102</v>
      </c>
      <c r="X370" s="50" t="s">
        <v>103</v>
      </c>
      <c r="Y370" s="50" t="s">
        <v>104</v>
      </c>
      <c r="AA370" s="50" t="s">
        <v>11927</v>
      </c>
      <c r="AB370" s="50" t="s">
        <v>14606</v>
      </c>
      <c r="AC370" s="50" t="s">
        <v>1427</v>
      </c>
      <c r="AD370" s="50" t="s">
        <v>14607</v>
      </c>
      <c r="AE370" s="50" t="s">
        <v>109</v>
      </c>
      <c r="AF370" s="50" t="s">
        <v>102</v>
      </c>
      <c r="AG370" s="50" t="s">
        <v>109</v>
      </c>
      <c r="AH370" s="50" t="s">
        <v>102</v>
      </c>
      <c r="AI370" s="50" t="s">
        <v>14608</v>
      </c>
      <c r="AJ370" s="50" t="s">
        <v>7484</v>
      </c>
      <c r="AK370" s="50" t="s">
        <v>14609</v>
      </c>
      <c r="AL370" s="50" t="s">
        <v>14610</v>
      </c>
      <c r="AM370" s="50" t="s">
        <v>14611</v>
      </c>
      <c r="AN370" s="50" t="s">
        <v>14612</v>
      </c>
      <c r="AO370" s="50" t="s">
        <v>14613</v>
      </c>
      <c r="AP370" s="50" t="s">
        <v>14613</v>
      </c>
      <c r="AU370" s="50" t="s">
        <v>207</v>
      </c>
      <c r="AV370" s="50" t="s">
        <v>118</v>
      </c>
      <c r="AW370" s="50" t="s">
        <v>1103</v>
      </c>
      <c r="AX370" s="50" t="s">
        <v>119</v>
      </c>
      <c r="AY370" s="50" t="s">
        <v>170</v>
      </c>
      <c r="AZ370" s="50" t="s">
        <v>118</v>
      </c>
      <c r="BB370" s="50" t="s">
        <v>120</v>
      </c>
      <c r="BC370" s="50" t="s">
        <v>409</v>
      </c>
      <c r="BD370" s="50" t="s">
        <v>410</v>
      </c>
      <c r="BE370" s="50" t="s">
        <v>212</v>
      </c>
      <c r="BF370" s="50" t="s">
        <v>410</v>
      </c>
      <c r="BG370" s="50" t="s">
        <v>124</v>
      </c>
      <c r="BH370" s="50" t="s">
        <v>11959</v>
      </c>
      <c r="BI370" s="50" t="s">
        <v>12047</v>
      </c>
      <c r="BJ370" s="50" t="s">
        <v>127</v>
      </c>
      <c r="BK370" s="50" t="s">
        <v>14614</v>
      </c>
      <c r="BL370" s="50" t="s">
        <v>4196</v>
      </c>
      <c r="BM370" s="50" t="s">
        <v>14615</v>
      </c>
      <c r="BN370" s="50" t="s">
        <v>11925</v>
      </c>
      <c r="BO370" s="50" t="s">
        <v>866</v>
      </c>
      <c r="BP370" s="50" t="s">
        <v>350</v>
      </c>
      <c r="BQ370" s="50" t="s">
        <v>867</v>
      </c>
      <c r="BR370" s="50" t="s">
        <v>868</v>
      </c>
      <c r="BS370" s="50" t="s">
        <v>418</v>
      </c>
      <c r="BU370" s="50" t="s">
        <v>14616</v>
      </c>
      <c r="BV370" s="50" t="s">
        <v>14617</v>
      </c>
      <c r="BW370" s="50" t="s">
        <v>138</v>
      </c>
      <c r="BX370" s="50" t="s">
        <v>4200</v>
      </c>
      <c r="BY370" s="50" t="s">
        <v>14618</v>
      </c>
      <c r="BZ370" s="50" t="s">
        <v>4202</v>
      </c>
      <c r="CA370" s="50" t="s">
        <v>14617</v>
      </c>
      <c r="CB370" s="50" t="s">
        <v>4200</v>
      </c>
      <c r="CC370" s="50" t="s">
        <v>14618</v>
      </c>
      <c r="CD370" s="50" t="s">
        <v>14619</v>
      </c>
      <c r="CE370" s="50" t="s">
        <v>14620</v>
      </c>
      <c r="CF370" s="50" t="s">
        <v>14621</v>
      </c>
      <c r="CG370" s="50" t="s">
        <v>102</v>
      </c>
      <c r="CH370" s="50" t="s">
        <v>4203</v>
      </c>
      <c r="CJ370" s="50" t="s">
        <v>4204</v>
      </c>
      <c r="CL370" s="50" t="s">
        <v>409</v>
      </c>
      <c r="CM370" s="50" t="s">
        <v>410</v>
      </c>
      <c r="CN370" s="50" t="s">
        <v>4204</v>
      </c>
      <c r="CO370" s="50" t="s">
        <v>4205</v>
      </c>
      <c r="CP370" s="50" t="s">
        <v>4203</v>
      </c>
      <c r="CQ370" s="50" t="s">
        <v>4203</v>
      </c>
      <c r="CR370" s="50" t="s">
        <v>26040</v>
      </c>
    </row>
    <row r="371" spans="1:96">
      <c r="A371" s="50" t="s">
        <v>149</v>
      </c>
      <c r="B371" s="50">
        <v>1797713</v>
      </c>
      <c r="C371" s="50" t="s">
        <v>12423</v>
      </c>
      <c r="D371" s="50" t="s">
        <v>1868</v>
      </c>
      <c r="E371" s="50" t="e">
        <f>VLOOKUP(B371,aa!B:F,5,0)</f>
        <v>#N/A</v>
      </c>
      <c r="F371" s="50" t="e">
        <f>VLOOKUP(B371,aa!B:J,9,0)</f>
        <v>#N/A</v>
      </c>
      <c r="G371" s="50" t="e">
        <f>VLOOKUP(B371,aa!B:L,11,0)</f>
        <v>#N/A</v>
      </c>
      <c r="H371" s="50" t="e">
        <f>VLOOKUP(B371,aa!B:O,14,0)</f>
        <v>#N/A</v>
      </c>
      <c r="I371" s="50" t="e">
        <f>VLOOKUP(B371,aa!B:R,17,0)</f>
        <v>#N/A</v>
      </c>
      <c r="K371" s="50" t="s">
        <v>1870</v>
      </c>
      <c r="L371" s="50">
        <v>588433</v>
      </c>
      <c r="M371" s="50">
        <v>665844</v>
      </c>
      <c r="N371" s="50">
        <v>0</v>
      </c>
      <c r="O371" s="50">
        <v>0</v>
      </c>
      <c r="Q371" s="50">
        <v>158371</v>
      </c>
      <c r="R371" s="50">
        <v>180</v>
      </c>
      <c r="S371" s="50" t="s">
        <v>12942</v>
      </c>
      <c r="T371" s="50">
        <v>430062</v>
      </c>
      <c r="U371" s="50">
        <v>360</v>
      </c>
      <c r="V371" s="50" t="s">
        <v>12943</v>
      </c>
      <c r="W371" s="50" t="s">
        <v>102</v>
      </c>
      <c r="X371" s="50" t="s">
        <v>275</v>
      </c>
      <c r="Z371" s="50" t="s">
        <v>11938</v>
      </c>
      <c r="AA371" s="50" t="s">
        <v>109</v>
      </c>
      <c r="AB371" s="50" t="s">
        <v>102</v>
      </c>
      <c r="AC371" s="50" t="s">
        <v>109</v>
      </c>
      <c r="AD371" s="50" t="s">
        <v>102</v>
      </c>
      <c r="AE371" s="50" t="s">
        <v>109</v>
      </c>
      <c r="AF371" s="50" t="s">
        <v>102</v>
      </c>
      <c r="AG371" s="50" t="s">
        <v>109</v>
      </c>
      <c r="AH371" s="50" t="s">
        <v>102</v>
      </c>
      <c r="AI371" s="50" t="s">
        <v>102</v>
      </c>
      <c r="AJ371" s="50" t="s">
        <v>625</v>
      </c>
      <c r="AK371" s="50" t="s">
        <v>625</v>
      </c>
      <c r="AL371" s="50" t="s">
        <v>12944</v>
      </c>
      <c r="AM371" s="50" t="s">
        <v>12945</v>
      </c>
      <c r="AN371" s="50" t="s">
        <v>12946</v>
      </c>
      <c r="AO371" s="50" t="s">
        <v>12947</v>
      </c>
      <c r="AP371" s="50" t="s">
        <v>12947</v>
      </c>
      <c r="AU371" s="50" t="s">
        <v>102</v>
      </c>
      <c r="AW371" s="50" t="s">
        <v>248</v>
      </c>
      <c r="AX371" s="50" t="s">
        <v>119</v>
      </c>
      <c r="AZ371" s="50" t="s">
        <v>250</v>
      </c>
      <c r="BA371" s="50" t="s">
        <v>250</v>
      </c>
      <c r="BB371" s="50" t="s">
        <v>171</v>
      </c>
      <c r="BC371" s="50" t="s">
        <v>1759</v>
      </c>
      <c r="BD371" s="50" t="s">
        <v>410</v>
      </c>
      <c r="BE371" s="50" t="s">
        <v>212</v>
      </c>
      <c r="BF371" s="50" t="s">
        <v>410</v>
      </c>
      <c r="BG371" s="50" t="s">
        <v>124</v>
      </c>
      <c r="BH371" s="50" t="s">
        <v>11959</v>
      </c>
      <c r="BI371" s="50" t="s">
        <v>11960</v>
      </c>
      <c r="BJ371" s="50" t="s">
        <v>127</v>
      </c>
      <c r="BK371" s="50" t="s">
        <v>12948</v>
      </c>
      <c r="BL371" s="50" t="s">
        <v>1878</v>
      </c>
      <c r="BM371" s="50" t="s">
        <v>12949</v>
      </c>
      <c r="BN371" s="50" t="s">
        <v>12494</v>
      </c>
      <c r="BO371" s="50" t="s">
        <v>866</v>
      </c>
      <c r="BP371" s="50" t="s">
        <v>132</v>
      </c>
      <c r="BQ371" s="50" t="s">
        <v>867</v>
      </c>
      <c r="BR371" s="50" t="s">
        <v>868</v>
      </c>
      <c r="BS371" s="50" t="s">
        <v>418</v>
      </c>
      <c r="BU371" s="50" t="s">
        <v>12950</v>
      </c>
      <c r="BV371" s="50" t="s">
        <v>1885</v>
      </c>
      <c r="BX371" s="50" t="s">
        <v>1886</v>
      </c>
      <c r="BY371" s="50" t="s">
        <v>1887</v>
      </c>
      <c r="BZ371" s="50" t="s">
        <v>1886</v>
      </c>
      <c r="CA371" s="50" t="s">
        <v>12951</v>
      </c>
      <c r="CB371" s="50" t="s">
        <v>12952</v>
      </c>
      <c r="CC371" s="50" t="s">
        <v>1887</v>
      </c>
      <c r="CD371" s="50" t="s">
        <v>12953</v>
      </c>
      <c r="CE371" s="50" t="s">
        <v>12954</v>
      </c>
      <c r="CF371" s="50" t="s">
        <v>12955</v>
      </c>
      <c r="CG371" s="50" t="s">
        <v>102</v>
      </c>
      <c r="CH371" s="50" t="s">
        <v>1888</v>
      </c>
      <c r="CJ371" s="50" t="s">
        <v>1889</v>
      </c>
      <c r="CL371" s="50" t="s">
        <v>1759</v>
      </c>
      <c r="CM371" s="50" t="s">
        <v>410</v>
      </c>
      <c r="CN371" s="50" t="s">
        <v>1889</v>
      </c>
      <c r="CP371" s="50" t="s">
        <v>1888</v>
      </c>
      <c r="CQ371" s="50" t="s">
        <v>1888</v>
      </c>
      <c r="CR371" s="50" t="s">
        <v>26043</v>
      </c>
    </row>
    <row r="372" spans="1:96">
      <c r="A372" s="50" t="s">
        <v>93</v>
      </c>
      <c r="B372" s="50">
        <v>5017915</v>
      </c>
      <c r="C372" s="50" t="s">
        <v>293</v>
      </c>
      <c r="D372" s="50" t="s">
        <v>10308</v>
      </c>
      <c r="E372" s="50" t="e">
        <f>VLOOKUP(B372,aa!B:F,5,0)</f>
        <v>#N/A</v>
      </c>
      <c r="F372" s="50" t="e">
        <f>VLOOKUP(B372,aa!B:J,9,0)</f>
        <v>#N/A</v>
      </c>
      <c r="G372" s="50" t="e">
        <f>VLOOKUP(B372,aa!B:L,11,0)</f>
        <v>#N/A</v>
      </c>
      <c r="H372" s="50" t="e">
        <f>VLOOKUP(B372,aa!B:O,14,0)</f>
        <v>#N/A</v>
      </c>
      <c r="I372" s="50" t="e">
        <f>VLOOKUP(B372,aa!B:R,17,0)</f>
        <v>#N/A</v>
      </c>
      <c r="K372" s="50" t="s">
        <v>848</v>
      </c>
      <c r="L372" s="50">
        <v>353845</v>
      </c>
      <c r="M372" s="50">
        <v>417537</v>
      </c>
      <c r="N372" s="50">
        <v>0</v>
      </c>
      <c r="O372" s="50">
        <v>0</v>
      </c>
      <c r="Q372" s="50">
        <v>0</v>
      </c>
      <c r="R372" s="50">
        <v>0</v>
      </c>
      <c r="T372" s="50">
        <v>353845</v>
      </c>
      <c r="U372" s="50">
        <v>116</v>
      </c>
      <c r="V372" s="50" t="s">
        <v>16576</v>
      </c>
      <c r="W372" s="50" t="s">
        <v>102</v>
      </c>
      <c r="X372" s="50" t="s">
        <v>275</v>
      </c>
      <c r="Z372" s="50" t="s">
        <v>11927</v>
      </c>
      <c r="AA372" s="50" t="s">
        <v>109</v>
      </c>
      <c r="AB372" s="50" t="s">
        <v>102</v>
      </c>
      <c r="AC372" s="50" t="s">
        <v>109</v>
      </c>
      <c r="AD372" s="50" t="s">
        <v>102</v>
      </c>
      <c r="AE372" s="50" t="s">
        <v>109</v>
      </c>
      <c r="AF372" s="50" t="s">
        <v>102</v>
      </c>
      <c r="AG372" s="50" t="s">
        <v>109</v>
      </c>
      <c r="AH372" s="50" t="s">
        <v>102</v>
      </c>
      <c r="AI372" s="50" t="s">
        <v>102</v>
      </c>
      <c r="AJ372" s="50" t="s">
        <v>16054</v>
      </c>
      <c r="AK372" s="50" t="s">
        <v>16054</v>
      </c>
      <c r="AL372" s="50" t="s">
        <v>19259</v>
      </c>
      <c r="AM372" s="50" t="s">
        <v>19260</v>
      </c>
      <c r="AN372" s="50" t="s">
        <v>19261</v>
      </c>
      <c r="AO372" s="50" t="s">
        <v>18913</v>
      </c>
      <c r="AP372" s="50" t="s">
        <v>18913</v>
      </c>
      <c r="AU372" s="50" t="s">
        <v>102</v>
      </c>
      <c r="AW372" s="50" t="s">
        <v>102</v>
      </c>
      <c r="AX372" s="50" t="s">
        <v>119</v>
      </c>
      <c r="BA372" s="50" t="s">
        <v>250</v>
      </c>
      <c r="BB372" s="50" t="s">
        <v>120</v>
      </c>
      <c r="BC372" s="50" t="s">
        <v>7718</v>
      </c>
      <c r="BD372" s="50" t="s">
        <v>211</v>
      </c>
      <c r="BE372" s="50" t="s">
        <v>212</v>
      </c>
      <c r="BF372" s="50" t="s">
        <v>213</v>
      </c>
      <c r="BG372" s="50" t="s">
        <v>124</v>
      </c>
      <c r="BH372" s="50" t="s">
        <v>11959</v>
      </c>
      <c r="BI372" s="50" t="s">
        <v>11960</v>
      </c>
      <c r="BJ372" s="50" t="s">
        <v>127</v>
      </c>
      <c r="BK372" s="50" t="s">
        <v>19262</v>
      </c>
      <c r="BL372" s="50" t="s">
        <v>10314</v>
      </c>
      <c r="BM372" s="50" t="s">
        <v>19263</v>
      </c>
      <c r="BN372" s="50" t="s">
        <v>12494</v>
      </c>
      <c r="BO372" s="50" t="s">
        <v>3443</v>
      </c>
      <c r="BP372" s="50" t="s">
        <v>180</v>
      </c>
      <c r="BQ372" s="50" t="s">
        <v>3444</v>
      </c>
      <c r="BR372" s="50" t="s">
        <v>3445</v>
      </c>
      <c r="BS372" s="50" t="s">
        <v>10316</v>
      </c>
      <c r="BU372" s="50" t="s">
        <v>19264</v>
      </c>
      <c r="BV372" s="50" t="s">
        <v>10318</v>
      </c>
      <c r="BW372" s="50" t="s">
        <v>138</v>
      </c>
      <c r="BX372" s="50" t="s">
        <v>10319</v>
      </c>
      <c r="BY372" s="50" t="s">
        <v>19265</v>
      </c>
      <c r="BZ372" s="50" t="s">
        <v>10319</v>
      </c>
      <c r="CA372" s="50" t="s">
        <v>19266</v>
      </c>
      <c r="CB372" s="50" t="s">
        <v>10319</v>
      </c>
      <c r="CC372" s="50" t="s">
        <v>19265</v>
      </c>
      <c r="CD372" s="50" t="s">
        <v>19266</v>
      </c>
      <c r="CE372" s="50" t="s">
        <v>10319</v>
      </c>
      <c r="CF372" s="50" t="s">
        <v>19265</v>
      </c>
      <c r="CG372" s="50" t="s">
        <v>6290</v>
      </c>
      <c r="CH372" s="50" t="s">
        <v>19267</v>
      </c>
      <c r="CJ372" s="50" t="s">
        <v>7826</v>
      </c>
      <c r="CK372" s="50" t="s">
        <v>19267</v>
      </c>
      <c r="CL372" s="50" t="s">
        <v>7718</v>
      </c>
      <c r="CM372" s="50" t="s">
        <v>211</v>
      </c>
      <c r="CN372" s="50" t="s">
        <v>7826</v>
      </c>
      <c r="CP372" s="50" t="s">
        <v>10321</v>
      </c>
      <c r="CQ372" s="50" t="s">
        <v>10321</v>
      </c>
      <c r="CR372" s="50" t="s">
        <v>26046</v>
      </c>
    </row>
    <row r="373" spans="1:96">
      <c r="A373" s="50" t="s">
        <v>337</v>
      </c>
      <c r="B373" s="50">
        <v>5037530</v>
      </c>
      <c r="C373" s="50" t="s">
        <v>3562</v>
      </c>
      <c r="D373" s="50" t="s">
        <v>20252</v>
      </c>
      <c r="E373" s="50" t="e">
        <f>VLOOKUP(B373,aa!B:F,5,0)</f>
        <v>#N/A</v>
      </c>
      <c r="F373" s="50" t="e">
        <f>VLOOKUP(B373,aa!B:J,9,0)</f>
        <v>#N/A</v>
      </c>
      <c r="G373" s="50" t="e">
        <f>VLOOKUP(B373,aa!B:L,11,0)</f>
        <v>#N/A</v>
      </c>
      <c r="H373" s="50" t="e">
        <f>VLOOKUP(B373,aa!B:O,14,0)</f>
        <v>#N/A</v>
      </c>
      <c r="I373" s="50" t="e">
        <f>VLOOKUP(B373,aa!B:R,17,0)</f>
        <v>#N/A</v>
      </c>
      <c r="K373" s="50" t="s">
        <v>848</v>
      </c>
      <c r="L373" s="50">
        <v>635075</v>
      </c>
      <c r="M373" s="50">
        <v>749389</v>
      </c>
      <c r="N373" s="50">
        <v>0</v>
      </c>
      <c r="O373" s="50">
        <v>0</v>
      </c>
      <c r="Q373" s="50">
        <v>0</v>
      </c>
      <c r="R373" s="50">
        <v>0</v>
      </c>
      <c r="T373" s="50">
        <v>635075</v>
      </c>
      <c r="U373" s="50">
        <v>254</v>
      </c>
      <c r="V373" s="50" t="s">
        <v>3499</v>
      </c>
      <c r="W373" s="50" t="s">
        <v>102</v>
      </c>
      <c r="X373" s="50" t="s">
        <v>103</v>
      </c>
      <c r="Y373" s="50" t="s">
        <v>398</v>
      </c>
      <c r="AA373" s="50" t="s">
        <v>11927</v>
      </c>
      <c r="AB373" s="50" t="s">
        <v>20253</v>
      </c>
      <c r="AC373" s="50" t="s">
        <v>1408</v>
      </c>
      <c r="AD373" s="50" t="s">
        <v>20254</v>
      </c>
      <c r="AE373" s="50" t="s">
        <v>12289</v>
      </c>
      <c r="AF373" s="50" t="s">
        <v>20253</v>
      </c>
      <c r="AG373" s="50" t="s">
        <v>109</v>
      </c>
      <c r="AH373" s="50" t="s">
        <v>102</v>
      </c>
      <c r="AI373" s="50" t="s">
        <v>102</v>
      </c>
      <c r="AJ373" s="50" t="s">
        <v>12128</v>
      </c>
      <c r="AK373" s="50" t="s">
        <v>14238</v>
      </c>
      <c r="AL373" s="50" t="s">
        <v>20255</v>
      </c>
      <c r="AM373" s="50" t="s">
        <v>20256</v>
      </c>
      <c r="AN373" s="50" t="s">
        <v>20257</v>
      </c>
      <c r="AO373" s="50" t="s">
        <v>20258</v>
      </c>
      <c r="AP373" s="50" t="s">
        <v>20258</v>
      </c>
      <c r="AU373" s="50" t="s">
        <v>102</v>
      </c>
      <c r="AW373" s="50" t="s">
        <v>102</v>
      </c>
      <c r="AX373" s="50" t="s">
        <v>119</v>
      </c>
      <c r="BA373" s="50" t="s">
        <v>250</v>
      </c>
      <c r="BB373" s="50" t="s">
        <v>209</v>
      </c>
      <c r="BC373" s="50" t="s">
        <v>1729</v>
      </c>
      <c r="BD373" s="50" t="s">
        <v>730</v>
      </c>
      <c r="BE373" s="50" t="s">
        <v>622</v>
      </c>
      <c r="BF373" s="50" t="s">
        <v>730</v>
      </c>
      <c r="BG373" s="50" t="s">
        <v>124</v>
      </c>
      <c r="BH373" s="50" t="s">
        <v>11959</v>
      </c>
      <c r="BI373" s="50" t="s">
        <v>11960</v>
      </c>
      <c r="BJ373" s="50" t="s">
        <v>127</v>
      </c>
      <c r="BK373" s="50" t="s">
        <v>20259</v>
      </c>
      <c r="BL373" s="50" t="s">
        <v>20260</v>
      </c>
      <c r="BM373" s="50" t="s">
        <v>20261</v>
      </c>
      <c r="BN373" s="50" t="s">
        <v>12494</v>
      </c>
      <c r="BO373" s="50" t="s">
        <v>3910</v>
      </c>
      <c r="BP373" s="50" t="s">
        <v>350</v>
      </c>
      <c r="BQ373" s="50" t="s">
        <v>3911</v>
      </c>
      <c r="BR373" s="50" t="s">
        <v>3912</v>
      </c>
      <c r="BS373" s="50" t="s">
        <v>7862</v>
      </c>
      <c r="BU373" s="50" t="s">
        <v>20262</v>
      </c>
      <c r="BV373" s="50" t="s">
        <v>20263</v>
      </c>
      <c r="BW373" s="50" t="s">
        <v>354</v>
      </c>
      <c r="BX373" s="50" t="s">
        <v>17065</v>
      </c>
      <c r="BY373" s="50" t="s">
        <v>20264</v>
      </c>
      <c r="BZ373" s="50" t="s">
        <v>17065</v>
      </c>
      <c r="CA373" s="50" t="s">
        <v>20265</v>
      </c>
      <c r="CB373" s="50" t="s">
        <v>20266</v>
      </c>
      <c r="CC373" s="50" t="s">
        <v>20267</v>
      </c>
      <c r="CD373" s="50" t="s">
        <v>20265</v>
      </c>
      <c r="CE373" s="50" t="s">
        <v>20266</v>
      </c>
      <c r="CF373" s="50" t="s">
        <v>20267</v>
      </c>
      <c r="CG373" s="50" t="s">
        <v>6457</v>
      </c>
      <c r="CH373" s="50" t="s">
        <v>20268</v>
      </c>
      <c r="CJ373" s="50" t="s">
        <v>6855</v>
      </c>
      <c r="CK373" s="50" t="s">
        <v>20269</v>
      </c>
      <c r="CL373" s="50" t="s">
        <v>1729</v>
      </c>
      <c r="CM373" s="50" t="s">
        <v>730</v>
      </c>
      <c r="CN373" s="50" t="s">
        <v>6855</v>
      </c>
      <c r="CP373" s="50" t="s">
        <v>20270</v>
      </c>
      <c r="CQ373" s="50" t="s">
        <v>20270</v>
      </c>
    </row>
    <row r="374" spans="1:96">
      <c r="A374" s="50" t="s">
        <v>337</v>
      </c>
      <c r="B374" s="50">
        <v>3825980</v>
      </c>
      <c r="C374" s="50" t="s">
        <v>3562</v>
      </c>
      <c r="D374" s="50" t="s">
        <v>17042</v>
      </c>
      <c r="E374" s="50" t="e">
        <f>VLOOKUP(B374,aa!B:F,5,0)</f>
        <v>#N/A</v>
      </c>
      <c r="F374" s="50" t="e">
        <f>VLOOKUP(B374,aa!B:J,9,0)</f>
        <v>#N/A</v>
      </c>
      <c r="G374" s="50" t="e">
        <f>VLOOKUP(B374,aa!B:L,11,0)</f>
        <v>#N/A</v>
      </c>
      <c r="H374" s="50" t="e">
        <f>VLOOKUP(B374,aa!B:O,14,0)</f>
        <v>#N/A</v>
      </c>
      <c r="I374" s="50" t="e">
        <f>VLOOKUP(B374,aa!B:R,17,0)</f>
        <v>#N/A</v>
      </c>
      <c r="K374" s="50" t="s">
        <v>193</v>
      </c>
      <c r="L374" s="50">
        <v>1112265</v>
      </c>
      <c r="M374" s="50">
        <v>1248205</v>
      </c>
      <c r="N374" s="50">
        <v>357045</v>
      </c>
      <c r="O374" s="50">
        <v>595</v>
      </c>
      <c r="P374" s="50" t="s">
        <v>310</v>
      </c>
      <c r="Q374" s="50">
        <v>0</v>
      </c>
      <c r="R374" s="50">
        <v>0</v>
      </c>
      <c r="T374" s="50">
        <v>755220</v>
      </c>
      <c r="U374" s="50">
        <v>302</v>
      </c>
      <c r="V374" s="50" t="s">
        <v>17044</v>
      </c>
      <c r="W374" s="50" t="s">
        <v>102</v>
      </c>
      <c r="X374" s="50" t="s">
        <v>679</v>
      </c>
      <c r="Y374" s="50" t="s">
        <v>398</v>
      </c>
      <c r="Z374" s="50" t="s">
        <v>126</v>
      </c>
      <c r="AA374" s="50" t="s">
        <v>17045</v>
      </c>
      <c r="AB374" s="50" t="s">
        <v>17046</v>
      </c>
      <c r="AC374" s="50" t="s">
        <v>17047</v>
      </c>
      <c r="AD374" s="50" t="s">
        <v>17048</v>
      </c>
      <c r="AE374" s="50" t="s">
        <v>17049</v>
      </c>
      <c r="AF374" s="50" t="s">
        <v>17046</v>
      </c>
      <c r="AG374" s="50" t="s">
        <v>109</v>
      </c>
      <c r="AH374" s="50" t="s">
        <v>102</v>
      </c>
      <c r="AI374" s="50" t="s">
        <v>102</v>
      </c>
      <c r="AJ374" s="50" t="s">
        <v>17050</v>
      </c>
      <c r="AK374" s="50" t="s">
        <v>14238</v>
      </c>
      <c r="AL374" s="50" t="s">
        <v>17051</v>
      </c>
      <c r="AM374" s="50" t="s">
        <v>17052</v>
      </c>
      <c r="AN374" s="50" t="s">
        <v>17053</v>
      </c>
      <c r="AO374" s="50" t="s">
        <v>17054</v>
      </c>
      <c r="AP374" s="50" t="s">
        <v>17055</v>
      </c>
      <c r="AQ374" s="50" t="s">
        <v>343</v>
      </c>
      <c r="AU374" s="50" t="s">
        <v>247</v>
      </c>
      <c r="AV374" s="50" t="s">
        <v>118</v>
      </c>
      <c r="AW374" s="50" t="s">
        <v>102</v>
      </c>
      <c r="AX374" s="50" t="s">
        <v>119</v>
      </c>
      <c r="BA374" s="50" t="s">
        <v>250</v>
      </c>
      <c r="BB374" s="50" t="s">
        <v>120</v>
      </c>
      <c r="BC374" s="50" t="s">
        <v>1729</v>
      </c>
      <c r="BD374" s="50" t="s">
        <v>730</v>
      </c>
      <c r="BE374" s="50" t="s">
        <v>622</v>
      </c>
      <c r="BF374" s="50" t="s">
        <v>730</v>
      </c>
      <c r="BG374" s="50" t="s">
        <v>124</v>
      </c>
      <c r="BH374" s="50" t="s">
        <v>12636</v>
      </c>
      <c r="BI374" s="50" t="s">
        <v>17056</v>
      </c>
      <c r="BJ374" s="50" t="s">
        <v>127</v>
      </c>
      <c r="BK374" s="50" t="s">
        <v>17057</v>
      </c>
      <c r="BL374" s="50" t="s">
        <v>17058</v>
      </c>
      <c r="BM374" s="50" t="s">
        <v>17059</v>
      </c>
      <c r="BN374" s="50" t="s">
        <v>17043</v>
      </c>
      <c r="BO374" s="50" t="s">
        <v>3910</v>
      </c>
      <c r="BP374" s="50" t="s">
        <v>350</v>
      </c>
      <c r="BQ374" s="50" t="s">
        <v>3911</v>
      </c>
      <c r="BR374" s="50" t="s">
        <v>3912</v>
      </c>
      <c r="BS374" s="50" t="s">
        <v>7862</v>
      </c>
      <c r="BU374" s="50" t="s">
        <v>17060</v>
      </c>
      <c r="BV374" s="50" t="s">
        <v>17061</v>
      </c>
      <c r="BW374" s="50" t="s">
        <v>17062</v>
      </c>
      <c r="BX374" s="50" t="s">
        <v>17063</v>
      </c>
      <c r="BY374" s="50" t="s">
        <v>17064</v>
      </c>
      <c r="BZ374" s="50" t="s">
        <v>17065</v>
      </c>
      <c r="CA374" s="50" t="s">
        <v>17066</v>
      </c>
      <c r="CB374" s="50" t="s">
        <v>17067</v>
      </c>
      <c r="CC374" s="50" t="s">
        <v>17068</v>
      </c>
      <c r="CD374" s="50" t="s">
        <v>17069</v>
      </c>
      <c r="CE374" s="50" t="s">
        <v>17070</v>
      </c>
      <c r="CF374" s="50" t="s">
        <v>17071</v>
      </c>
      <c r="CG374" s="50" t="s">
        <v>1016</v>
      </c>
      <c r="CH374" s="50" t="s">
        <v>17072</v>
      </c>
      <c r="CJ374" s="50" t="s">
        <v>6855</v>
      </c>
      <c r="CK374" s="50" t="s">
        <v>17073</v>
      </c>
      <c r="CL374" s="50" t="s">
        <v>1729</v>
      </c>
      <c r="CM374" s="50" t="s">
        <v>730</v>
      </c>
      <c r="CN374" s="50" t="s">
        <v>6855</v>
      </c>
      <c r="CP374" s="50" t="s">
        <v>17074</v>
      </c>
      <c r="CQ374" s="50" t="s">
        <v>17074</v>
      </c>
    </row>
    <row r="375" spans="1:96">
      <c r="A375" s="50" t="s">
        <v>149</v>
      </c>
      <c r="B375" s="50">
        <v>3283922</v>
      </c>
      <c r="C375" s="50" t="s">
        <v>12491</v>
      </c>
      <c r="D375" s="50" t="s">
        <v>5212</v>
      </c>
      <c r="E375" s="50" t="e">
        <f>VLOOKUP(B375,aa!B:F,5,0)</f>
        <v>#N/A</v>
      </c>
      <c r="F375" s="50" t="e">
        <f>VLOOKUP(B375,aa!B:J,9,0)</f>
        <v>#N/A</v>
      </c>
      <c r="G375" s="50" t="e">
        <f>VLOOKUP(B375,aa!B:L,11,0)</f>
        <v>#N/A</v>
      </c>
      <c r="H375" s="50" t="e">
        <f>VLOOKUP(B375,aa!B:O,14,0)</f>
        <v>#N/A</v>
      </c>
      <c r="I375" s="50" t="e">
        <f>VLOOKUP(B375,aa!B:R,17,0)</f>
        <v>#N/A</v>
      </c>
      <c r="K375" s="50" t="s">
        <v>97</v>
      </c>
      <c r="L375" s="50">
        <v>761294</v>
      </c>
      <c r="M375" s="50">
        <v>761294</v>
      </c>
      <c r="N375" s="50">
        <v>761294</v>
      </c>
      <c r="O375" s="50">
        <v>1022</v>
      </c>
      <c r="P375" s="50" t="s">
        <v>15329</v>
      </c>
      <c r="Q375" s="50">
        <v>0</v>
      </c>
      <c r="R375" s="50">
        <v>0</v>
      </c>
      <c r="T375" s="50">
        <v>0</v>
      </c>
      <c r="U375" s="50">
        <v>0</v>
      </c>
      <c r="W375" s="50" t="s">
        <v>102</v>
      </c>
      <c r="X375" s="50" t="s">
        <v>103</v>
      </c>
      <c r="Y375" s="50" t="s">
        <v>104</v>
      </c>
      <c r="AA375" s="50" t="s">
        <v>11938</v>
      </c>
      <c r="AB375" s="50" t="s">
        <v>15330</v>
      </c>
      <c r="AC375" s="50" t="s">
        <v>12082</v>
      </c>
      <c r="AD375" s="50" t="s">
        <v>15330</v>
      </c>
      <c r="AE375" s="50" t="s">
        <v>109</v>
      </c>
      <c r="AF375" s="50" t="s">
        <v>102</v>
      </c>
      <c r="AG375" s="50" t="s">
        <v>109</v>
      </c>
      <c r="AH375" s="50" t="s">
        <v>102</v>
      </c>
      <c r="AI375" s="50" t="s">
        <v>15331</v>
      </c>
      <c r="AJ375" s="50" t="s">
        <v>15332</v>
      </c>
      <c r="AK375" s="50" t="s">
        <v>14415</v>
      </c>
      <c r="AL375" s="50" t="s">
        <v>15333</v>
      </c>
      <c r="AM375" s="50" t="s">
        <v>15334</v>
      </c>
      <c r="AN375" s="50" t="s">
        <v>15335</v>
      </c>
      <c r="AO375" s="50" t="s">
        <v>15336</v>
      </c>
      <c r="AP375" s="50" t="s">
        <v>15336</v>
      </c>
      <c r="AU375" s="50" t="s">
        <v>318</v>
      </c>
      <c r="AV375" s="50" t="s">
        <v>118</v>
      </c>
      <c r="AW375" s="50" t="s">
        <v>102</v>
      </c>
      <c r="AX375" s="50" t="s">
        <v>119</v>
      </c>
      <c r="BB375" s="50" t="s">
        <v>120</v>
      </c>
      <c r="BC375" s="50" t="s">
        <v>1407</v>
      </c>
      <c r="BD375" s="50" t="s">
        <v>449</v>
      </c>
      <c r="BE375" s="50" t="s">
        <v>122</v>
      </c>
      <c r="BF375" s="50" t="s">
        <v>450</v>
      </c>
      <c r="BG375" s="50" t="s">
        <v>124</v>
      </c>
      <c r="BH375" s="50" t="s">
        <v>12023</v>
      </c>
      <c r="BI375" s="50" t="s">
        <v>11889</v>
      </c>
      <c r="BJ375" s="50" t="s">
        <v>127</v>
      </c>
      <c r="BK375" s="50" t="s">
        <v>15337</v>
      </c>
      <c r="BL375" s="50" t="s">
        <v>5227</v>
      </c>
      <c r="BM375" s="50" t="s">
        <v>15338</v>
      </c>
      <c r="BN375" s="50" t="s">
        <v>13602</v>
      </c>
      <c r="BO375" s="50" t="s">
        <v>8788</v>
      </c>
      <c r="BP375" s="50" t="s">
        <v>350</v>
      </c>
      <c r="BQ375" s="50" t="s">
        <v>8789</v>
      </c>
      <c r="BR375" s="50" t="s">
        <v>8790</v>
      </c>
      <c r="BS375" s="50" t="s">
        <v>1006</v>
      </c>
      <c r="BU375" s="50" t="s">
        <v>15339</v>
      </c>
      <c r="BV375" s="50" t="s">
        <v>15340</v>
      </c>
      <c r="BW375" s="50" t="s">
        <v>138</v>
      </c>
      <c r="BX375" s="50" t="s">
        <v>15341</v>
      </c>
      <c r="BY375" s="50" t="s">
        <v>15342</v>
      </c>
      <c r="BZ375" s="50" t="s">
        <v>5233</v>
      </c>
      <c r="CA375" s="50" t="s">
        <v>15340</v>
      </c>
      <c r="CB375" s="50" t="s">
        <v>15341</v>
      </c>
      <c r="CC375" s="50" t="s">
        <v>15342</v>
      </c>
      <c r="CD375" s="50" t="s">
        <v>15343</v>
      </c>
      <c r="CE375" s="50" t="s">
        <v>15344</v>
      </c>
      <c r="CF375" s="50" t="s">
        <v>15345</v>
      </c>
      <c r="CG375" s="50" t="s">
        <v>102</v>
      </c>
      <c r="CH375" s="50" t="s">
        <v>5234</v>
      </c>
      <c r="CJ375" s="50" t="s">
        <v>5235</v>
      </c>
      <c r="CL375" s="50" t="s">
        <v>1407</v>
      </c>
      <c r="CM375" s="50" t="s">
        <v>449</v>
      </c>
      <c r="CN375" s="50" t="s">
        <v>5235</v>
      </c>
      <c r="CO375" s="50" t="s">
        <v>5236</v>
      </c>
      <c r="CP375" s="50" t="s">
        <v>5234</v>
      </c>
      <c r="CQ375" s="50" t="s">
        <v>5234</v>
      </c>
    </row>
    <row r="376" spans="1:96">
      <c r="A376" s="50" t="s">
        <v>337</v>
      </c>
      <c r="B376" s="50">
        <v>5042891</v>
      </c>
      <c r="C376" s="50" t="s">
        <v>985</v>
      </c>
      <c r="D376" s="50" t="s">
        <v>20375</v>
      </c>
      <c r="E376" s="50" t="e">
        <f>VLOOKUP(B376,aa!B:F,5,0)</f>
        <v>#N/A</v>
      </c>
      <c r="F376" s="50" t="e">
        <f>VLOOKUP(B376,aa!B:J,9,0)</f>
        <v>#N/A</v>
      </c>
      <c r="G376" s="50" t="e">
        <f>VLOOKUP(B376,aa!B:L,11,0)</f>
        <v>#N/A</v>
      </c>
      <c r="H376" s="50" t="e">
        <f>VLOOKUP(B376,aa!B:O,14,0)</f>
        <v>#N/A</v>
      </c>
      <c r="I376" s="50" t="e">
        <f>VLOOKUP(B376,aa!B:R,17,0)</f>
        <v>#N/A</v>
      </c>
      <c r="K376" s="50" t="s">
        <v>97</v>
      </c>
      <c r="L376" s="50">
        <v>59389</v>
      </c>
      <c r="M376" s="50">
        <v>59389</v>
      </c>
      <c r="N376" s="50">
        <v>59389</v>
      </c>
      <c r="O376" s="50">
        <v>108</v>
      </c>
      <c r="P376" s="50" t="s">
        <v>3431</v>
      </c>
      <c r="Q376" s="50">
        <v>0</v>
      </c>
      <c r="R376" s="50">
        <v>0</v>
      </c>
      <c r="T376" s="50">
        <v>0</v>
      </c>
      <c r="U376" s="50">
        <v>0</v>
      </c>
      <c r="W376" s="50" t="s">
        <v>102</v>
      </c>
      <c r="X376" s="50" t="s">
        <v>103</v>
      </c>
      <c r="Y376" s="50" t="s">
        <v>104</v>
      </c>
      <c r="AA376" s="50" t="s">
        <v>11888</v>
      </c>
      <c r="AB376" s="50" t="s">
        <v>20376</v>
      </c>
      <c r="AC376" s="50" t="s">
        <v>12327</v>
      </c>
      <c r="AD376" s="50" t="s">
        <v>20376</v>
      </c>
      <c r="AE376" s="50" t="s">
        <v>109</v>
      </c>
      <c r="AF376" s="50" t="s">
        <v>102</v>
      </c>
      <c r="AG376" s="50" t="s">
        <v>109</v>
      </c>
      <c r="AH376" s="50" t="s">
        <v>102</v>
      </c>
      <c r="AI376" s="50" t="s">
        <v>102</v>
      </c>
      <c r="AJ376" s="50" t="s">
        <v>4563</v>
      </c>
      <c r="AK376" s="50" t="s">
        <v>4563</v>
      </c>
      <c r="AL376" s="50" t="s">
        <v>20377</v>
      </c>
      <c r="AM376" s="50" t="s">
        <v>5650</v>
      </c>
      <c r="AN376" s="50" t="s">
        <v>20378</v>
      </c>
      <c r="AO376" s="50" t="s">
        <v>4840</v>
      </c>
      <c r="AP376" s="50" t="s">
        <v>4840</v>
      </c>
      <c r="AU376" s="50" t="s">
        <v>117</v>
      </c>
      <c r="AV376" s="50" t="s">
        <v>118</v>
      </c>
      <c r="AW376" s="50" t="s">
        <v>102</v>
      </c>
      <c r="AX376" s="50" t="s">
        <v>119</v>
      </c>
      <c r="BB376" s="50" t="s">
        <v>120</v>
      </c>
      <c r="BC376" s="50" t="s">
        <v>20379</v>
      </c>
      <c r="BD376" s="50" t="s">
        <v>621</v>
      </c>
      <c r="BE376" s="50" t="s">
        <v>622</v>
      </c>
      <c r="BF376" s="50" t="s">
        <v>976</v>
      </c>
      <c r="BG376" s="50" t="s">
        <v>124</v>
      </c>
      <c r="BH376" s="50" t="s">
        <v>11888</v>
      </c>
      <c r="BI376" s="50" t="s">
        <v>14455</v>
      </c>
      <c r="BJ376" s="50" t="s">
        <v>127</v>
      </c>
      <c r="BK376" s="50" t="s">
        <v>20380</v>
      </c>
      <c r="BL376" s="50" t="s">
        <v>20381</v>
      </c>
      <c r="BM376" s="50" t="s">
        <v>20382</v>
      </c>
      <c r="BN376" s="50" t="s">
        <v>13602</v>
      </c>
      <c r="BO376" s="50" t="s">
        <v>18506</v>
      </c>
      <c r="BP376" s="50" t="s">
        <v>132</v>
      </c>
      <c r="BQ376" s="50" t="s">
        <v>18507</v>
      </c>
      <c r="BR376" s="50" t="s">
        <v>18508</v>
      </c>
      <c r="BS376" s="50" t="s">
        <v>984</v>
      </c>
      <c r="BU376" s="50" t="s">
        <v>20383</v>
      </c>
      <c r="BV376" s="50" t="s">
        <v>20384</v>
      </c>
      <c r="BW376" s="50" t="s">
        <v>138</v>
      </c>
      <c r="BX376" s="50" t="s">
        <v>20385</v>
      </c>
      <c r="BY376" s="50" t="s">
        <v>20386</v>
      </c>
      <c r="BZ376" s="50" t="s">
        <v>20385</v>
      </c>
      <c r="CA376" s="50" t="s">
        <v>20384</v>
      </c>
      <c r="CB376" s="50" t="s">
        <v>20385</v>
      </c>
      <c r="CC376" s="50" t="s">
        <v>20386</v>
      </c>
      <c r="CD376" s="50" t="s">
        <v>20384</v>
      </c>
      <c r="CE376" s="50" t="s">
        <v>20385</v>
      </c>
      <c r="CF376" s="50" t="s">
        <v>20386</v>
      </c>
      <c r="CG376" s="50" t="s">
        <v>1221</v>
      </c>
      <c r="CH376" s="50" t="s">
        <v>20387</v>
      </c>
      <c r="CJ376" s="50" t="s">
        <v>18459</v>
      </c>
      <c r="CK376" s="50" t="s">
        <v>20388</v>
      </c>
      <c r="CL376" s="50" t="s">
        <v>20379</v>
      </c>
      <c r="CM376" s="50" t="s">
        <v>621</v>
      </c>
      <c r="CN376" s="50" t="s">
        <v>18459</v>
      </c>
      <c r="CP376" s="50" t="s">
        <v>20389</v>
      </c>
      <c r="CQ376" s="50" t="s">
        <v>20389</v>
      </c>
      <c r="CR376" s="50" t="s">
        <v>26040</v>
      </c>
    </row>
    <row r="377" spans="1:96">
      <c r="A377" s="50" t="s">
        <v>149</v>
      </c>
      <c r="B377" s="50">
        <v>1482482</v>
      </c>
      <c r="C377" s="50" t="s">
        <v>12491</v>
      </c>
      <c r="D377" s="50" t="s">
        <v>992</v>
      </c>
      <c r="E377" s="50" t="e">
        <f>VLOOKUP(B377,aa!B:F,5,0)</f>
        <v>#N/A</v>
      </c>
      <c r="F377" s="50" t="e">
        <f>VLOOKUP(B377,aa!B:J,9,0)</f>
        <v>#N/A</v>
      </c>
      <c r="G377" s="50" t="e">
        <f>VLOOKUP(B377,aa!B:L,11,0)</f>
        <v>#N/A</v>
      </c>
      <c r="H377" s="50" t="e">
        <f>VLOOKUP(B377,aa!B:O,14,0)</f>
        <v>#N/A</v>
      </c>
      <c r="I377" s="50" t="e">
        <f>VLOOKUP(B377,aa!B:R,17,0)</f>
        <v>#N/A</v>
      </c>
      <c r="K377" s="50" t="s">
        <v>152</v>
      </c>
      <c r="L377" s="50">
        <v>457350</v>
      </c>
      <c r="M377" s="50">
        <v>457350</v>
      </c>
      <c r="N377" s="50">
        <v>0</v>
      </c>
      <c r="O377" s="50">
        <v>0</v>
      </c>
      <c r="Q377" s="50">
        <v>457350</v>
      </c>
      <c r="R377" s="50">
        <v>605</v>
      </c>
      <c r="S377" s="50" t="s">
        <v>12493</v>
      </c>
      <c r="T377" s="50">
        <v>0</v>
      </c>
      <c r="U377" s="50">
        <v>0</v>
      </c>
      <c r="W377" s="50" t="s">
        <v>102</v>
      </c>
      <c r="X377" s="50" t="s">
        <v>275</v>
      </c>
      <c r="Z377" s="50" t="s">
        <v>12494</v>
      </c>
      <c r="AA377" s="50" t="s">
        <v>109</v>
      </c>
      <c r="AB377" s="50" t="s">
        <v>102</v>
      </c>
      <c r="AC377" s="50" t="s">
        <v>109</v>
      </c>
      <c r="AD377" s="50" t="s">
        <v>102</v>
      </c>
      <c r="AE377" s="50" t="s">
        <v>109</v>
      </c>
      <c r="AF377" s="50" t="s">
        <v>102</v>
      </c>
      <c r="AG377" s="50" t="s">
        <v>109</v>
      </c>
      <c r="AH377" s="50" t="s">
        <v>102</v>
      </c>
      <c r="AI377" s="50" t="s">
        <v>12495</v>
      </c>
      <c r="AJ377" s="50" t="s">
        <v>12496</v>
      </c>
      <c r="AK377" s="50" t="s">
        <v>12496</v>
      </c>
      <c r="AL377" s="50" t="s">
        <v>12497</v>
      </c>
      <c r="AM377" s="50" t="s">
        <v>12498</v>
      </c>
      <c r="AN377" s="50" t="s">
        <v>12499</v>
      </c>
      <c r="AO377" s="50" t="s">
        <v>12500</v>
      </c>
      <c r="AP377" s="50" t="s">
        <v>12500</v>
      </c>
      <c r="AU377" s="50" t="s">
        <v>102</v>
      </c>
      <c r="AW377" s="50" t="s">
        <v>104</v>
      </c>
      <c r="AX377" s="50" t="s">
        <v>119</v>
      </c>
      <c r="AY377" s="50" t="s">
        <v>170</v>
      </c>
      <c r="AZ377" s="50" t="s">
        <v>118</v>
      </c>
      <c r="BB377" s="50" t="s">
        <v>120</v>
      </c>
      <c r="BC377" s="50" t="s">
        <v>1002</v>
      </c>
      <c r="BD377" s="50" t="s">
        <v>320</v>
      </c>
      <c r="BE377" s="50" t="s">
        <v>122</v>
      </c>
      <c r="BF377" s="50" t="s">
        <v>123</v>
      </c>
      <c r="BG377" s="50" t="s">
        <v>124</v>
      </c>
      <c r="BH377" s="50" t="s">
        <v>12023</v>
      </c>
      <c r="BI377" s="50" t="s">
        <v>11889</v>
      </c>
      <c r="BJ377" s="50" t="s">
        <v>127</v>
      </c>
      <c r="BK377" s="50" t="s">
        <v>12501</v>
      </c>
      <c r="BL377" s="50" t="s">
        <v>1004</v>
      </c>
      <c r="BM377" s="50" t="s">
        <v>12502</v>
      </c>
      <c r="BN377" s="50" t="s">
        <v>12492</v>
      </c>
      <c r="BO377" s="50" t="s">
        <v>8788</v>
      </c>
      <c r="BP377" s="50" t="s">
        <v>350</v>
      </c>
      <c r="BQ377" s="50" t="s">
        <v>8789</v>
      </c>
      <c r="BR377" s="50" t="s">
        <v>8790</v>
      </c>
      <c r="BS377" s="50" t="s">
        <v>1006</v>
      </c>
      <c r="BU377" s="50" t="s">
        <v>12503</v>
      </c>
      <c r="BV377" s="50" t="s">
        <v>12504</v>
      </c>
      <c r="BW377" s="50" t="s">
        <v>138</v>
      </c>
      <c r="BX377" s="50" t="s">
        <v>1011</v>
      </c>
      <c r="BY377" s="50" t="s">
        <v>12505</v>
      </c>
      <c r="BZ377" s="50" t="s">
        <v>1011</v>
      </c>
      <c r="CA377" s="50" t="s">
        <v>12504</v>
      </c>
      <c r="CB377" s="50" t="s">
        <v>1011</v>
      </c>
      <c r="CC377" s="50" t="s">
        <v>12505</v>
      </c>
      <c r="CD377" s="50" t="s">
        <v>12504</v>
      </c>
      <c r="CE377" s="50" t="s">
        <v>1011</v>
      </c>
      <c r="CF377" s="50" t="s">
        <v>12505</v>
      </c>
      <c r="CG377" s="50" t="s">
        <v>1016</v>
      </c>
      <c r="CH377" s="50" t="s">
        <v>1020</v>
      </c>
      <c r="CJ377" s="50" t="s">
        <v>1018</v>
      </c>
      <c r="CK377" s="50" t="s">
        <v>1020</v>
      </c>
      <c r="CL377" s="50" t="s">
        <v>1002</v>
      </c>
      <c r="CM377" s="50" t="s">
        <v>320</v>
      </c>
      <c r="CN377" s="50" t="s">
        <v>1018</v>
      </c>
      <c r="CO377" s="50" t="s">
        <v>1019</v>
      </c>
      <c r="CP377" s="50" t="s">
        <v>1020</v>
      </c>
      <c r="CQ377" s="50" t="s">
        <v>1020</v>
      </c>
    </row>
    <row r="378" spans="1:96">
      <c r="A378" s="50" t="s">
        <v>93</v>
      </c>
      <c r="B378" s="50">
        <v>1644219</v>
      </c>
      <c r="C378" s="50" t="s">
        <v>12030</v>
      </c>
      <c r="D378" s="50" t="s">
        <v>1396</v>
      </c>
      <c r="E378" s="50" t="str">
        <f>VLOOKUP(B378,aa!B:F,5,0)</f>
        <v>Ei Mindspark</v>
      </c>
      <c r="F378" s="50">
        <f>VLOOKUP(B378,aa!B:J,9,0)</f>
        <v>362052</v>
      </c>
      <c r="G378" s="50">
        <f>VLOOKUP(B378,aa!B:L,11,0)</f>
        <v>0</v>
      </c>
      <c r="H378" s="50">
        <f>VLOOKUP(B378,aa!B:O,14,0)</f>
        <v>0</v>
      </c>
      <c r="I378" s="50">
        <f>VLOOKUP(B378,aa!B:R,17,0)</f>
        <v>362052</v>
      </c>
      <c r="K378" s="50" t="s">
        <v>848</v>
      </c>
      <c r="L378" s="50">
        <v>360018</v>
      </c>
      <c r="M378" s="50">
        <v>424821</v>
      </c>
      <c r="N378" s="50">
        <v>0</v>
      </c>
      <c r="O378" s="50">
        <v>0</v>
      </c>
      <c r="Q378" s="50">
        <v>0</v>
      </c>
      <c r="R378" s="50">
        <v>0</v>
      </c>
      <c r="T378" s="50">
        <v>360018</v>
      </c>
      <c r="U378" s="50">
        <v>177</v>
      </c>
      <c r="V378" s="50" t="s">
        <v>1399</v>
      </c>
      <c r="W378" s="50" t="s">
        <v>102</v>
      </c>
      <c r="X378" s="50" t="s">
        <v>103</v>
      </c>
      <c r="Y378" s="50" t="s">
        <v>155</v>
      </c>
      <c r="AA378" s="50" t="s">
        <v>11976</v>
      </c>
      <c r="AB378" s="50" t="s">
        <v>12712</v>
      </c>
      <c r="AC378" s="50" t="s">
        <v>12427</v>
      </c>
      <c r="AD378" s="50" t="s">
        <v>12712</v>
      </c>
      <c r="AE378" s="50" t="s">
        <v>12327</v>
      </c>
      <c r="AF378" s="50" t="s">
        <v>12712</v>
      </c>
      <c r="AG378" s="50" t="s">
        <v>12713</v>
      </c>
      <c r="AH378" s="50" t="s">
        <v>12712</v>
      </c>
      <c r="AI378" s="50" t="s">
        <v>12714</v>
      </c>
      <c r="AJ378" s="50" t="s">
        <v>12715</v>
      </c>
      <c r="AK378" s="50" t="s">
        <v>12716</v>
      </c>
      <c r="AL378" s="50" t="s">
        <v>12717</v>
      </c>
      <c r="AM378" s="50" t="s">
        <v>12718</v>
      </c>
      <c r="AN378" s="50" t="s">
        <v>12719</v>
      </c>
      <c r="AO378" s="50" t="s">
        <v>317</v>
      </c>
      <c r="AP378" s="50" t="s">
        <v>2147</v>
      </c>
      <c r="AT378" s="50" t="s">
        <v>169</v>
      </c>
      <c r="AU378" s="50" t="s">
        <v>102</v>
      </c>
      <c r="AW378" s="50" t="s">
        <v>102</v>
      </c>
      <c r="AX378" s="50" t="s">
        <v>119</v>
      </c>
      <c r="BA378" s="50" t="s">
        <v>250</v>
      </c>
      <c r="BB378" s="50" t="s">
        <v>120</v>
      </c>
      <c r="BC378" s="50" t="s">
        <v>1407</v>
      </c>
      <c r="BD378" s="50" t="s">
        <v>449</v>
      </c>
      <c r="BE378" s="50" t="s">
        <v>122</v>
      </c>
      <c r="BF378" s="50" t="s">
        <v>450</v>
      </c>
      <c r="BG378" s="50" t="s">
        <v>124</v>
      </c>
      <c r="BH378" s="50" t="s">
        <v>11976</v>
      </c>
      <c r="BI378" s="50" t="s">
        <v>12720</v>
      </c>
      <c r="BJ378" s="50" t="s">
        <v>127</v>
      </c>
      <c r="BK378" s="50" t="s">
        <v>12721</v>
      </c>
      <c r="BL378" s="50" t="s">
        <v>1410</v>
      </c>
      <c r="BM378" s="50" t="s">
        <v>12722</v>
      </c>
      <c r="BN378" s="50" t="s">
        <v>12711</v>
      </c>
      <c r="BO378" s="50" t="s">
        <v>131</v>
      </c>
      <c r="BP378" s="50" t="s">
        <v>350</v>
      </c>
      <c r="BQ378" s="50" t="s">
        <v>133</v>
      </c>
      <c r="BR378" s="50" t="s">
        <v>134</v>
      </c>
      <c r="BS378" s="50" t="s">
        <v>328</v>
      </c>
      <c r="BU378" s="50" t="s">
        <v>12723</v>
      </c>
      <c r="BV378" s="50" t="s">
        <v>12724</v>
      </c>
      <c r="BW378" s="50" t="s">
        <v>138</v>
      </c>
      <c r="BX378" s="50" t="s">
        <v>1414</v>
      </c>
      <c r="BY378" s="50" t="s">
        <v>1415</v>
      </c>
      <c r="BZ378" s="50" t="s">
        <v>1416</v>
      </c>
      <c r="CA378" s="50" t="s">
        <v>12724</v>
      </c>
      <c r="CB378" s="50" t="s">
        <v>1414</v>
      </c>
      <c r="CC378" s="50" t="s">
        <v>1415</v>
      </c>
      <c r="CD378" s="50" t="s">
        <v>12724</v>
      </c>
      <c r="CE378" s="50" t="s">
        <v>1414</v>
      </c>
      <c r="CF378" s="50" t="s">
        <v>1415</v>
      </c>
      <c r="CG378" s="50" t="s">
        <v>1417</v>
      </c>
      <c r="CH378" s="50" t="s">
        <v>12725</v>
      </c>
      <c r="CJ378" s="50" t="s">
        <v>1419</v>
      </c>
      <c r="CK378" s="50" t="s">
        <v>12726</v>
      </c>
      <c r="CL378" s="50" t="s">
        <v>1407</v>
      </c>
      <c r="CM378" s="50" t="s">
        <v>449</v>
      </c>
      <c r="CN378" s="50" t="s">
        <v>1419</v>
      </c>
      <c r="CO378" s="50" t="s">
        <v>1420</v>
      </c>
      <c r="CP378" s="50" t="s">
        <v>1418</v>
      </c>
      <c r="CQ378" s="50" t="s">
        <v>1418</v>
      </c>
    </row>
    <row r="379" spans="1:96">
      <c r="A379" s="50" t="s">
        <v>495</v>
      </c>
      <c r="B379" s="50">
        <v>2984015</v>
      </c>
      <c r="C379" s="50" t="s">
        <v>2525</v>
      </c>
      <c r="D379" s="50" t="s">
        <v>4575</v>
      </c>
      <c r="E379" s="50" t="str">
        <f>VLOOKUP(B379,aa!B:F,5,0)</f>
        <v>Ei Mindspark</v>
      </c>
      <c r="F379" s="50">
        <f>VLOOKUP(B379,aa!B:J,9,0)</f>
        <v>570090</v>
      </c>
      <c r="G379" s="50">
        <f>VLOOKUP(B379,aa!B:L,11,0)</f>
        <v>0</v>
      </c>
      <c r="H379" s="50">
        <f>VLOOKUP(B379,aa!B:O,14,0)</f>
        <v>0</v>
      </c>
      <c r="I379" s="50">
        <f>VLOOKUP(B379,aa!B:R,17,0)</f>
        <v>570090</v>
      </c>
      <c r="K379" s="50" t="s">
        <v>848</v>
      </c>
      <c r="L379" s="50">
        <v>367340</v>
      </c>
      <c r="M379" s="50">
        <v>433461</v>
      </c>
      <c r="N379" s="50">
        <v>0</v>
      </c>
      <c r="O379" s="50">
        <v>0</v>
      </c>
      <c r="Q379" s="50">
        <v>0</v>
      </c>
      <c r="R379" s="50">
        <v>0</v>
      </c>
      <c r="T379" s="50">
        <v>367340</v>
      </c>
      <c r="U379" s="50">
        <v>280</v>
      </c>
      <c r="V379" s="50" t="s">
        <v>14834</v>
      </c>
      <c r="W379" s="50" t="s">
        <v>102</v>
      </c>
      <c r="X379" s="50" t="s">
        <v>103</v>
      </c>
      <c r="Y379" s="50" t="s">
        <v>398</v>
      </c>
      <c r="AA379" s="50" t="s">
        <v>11927</v>
      </c>
      <c r="AB379" s="50" t="s">
        <v>14835</v>
      </c>
      <c r="AC379" s="50" t="s">
        <v>12695</v>
      </c>
      <c r="AD379" s="50" t="s">
        <v>14835</v>
      </c>
      <c r="AE379" s="50" t="s">
        <v>12084</v>
      </c>
      <c r="AF379" s="50" t="s">
        <v>14836</v>
      </c>
      <c r="AG379" s="50" t="s">
        <v>109</v>
      </c>
      <c r="AH379" s="50" t="s">
        <v>102</v>
      </c>
      <c r="AI379" s="50" t="s">
        <v>14837</v>
      </c>
      <c r="AJ379" s="50" t="s">
        <v>8488</v>
      </c>
      <c r="AK379" s="50" t="s">
        <v>12729</v>
      </c>
      <c r="AL379" s="50" t="s">
        <v>14838</v>
      </c>
      <c r="AM379" s="50" t="s">
        <v>14839</v>
      </c>
      <c r="AN379" s="50" t="s">
        <v>14840</v>
      </c>
      <c r="AO379" s="50" t="s">
        <v>14841</v>
      </c>
      <c r="AP379" s="50" t="s">
        <v>14841</v>
      </c>
      <c r="AU379" s="50" t="s">
        <v>102</v>
      </c>
      <c r="AW379" s="50" t="s">
        <v>102</v>
      </c>
      <c r="AX379" s="50" t="s">
        <v>119</v>
      </c>
      <c r="BA379" s="50" t="s">
        <v>250</v>
      </c>
      <c r="BB379" s="50" t="s">
        <v>120</v>
      </c>
      <c r="BC379" s="50" t="s">
        <v>2327</v>
      </c>
      <c r="BD379" s="50" t="s">
        <v>730</v>
      </c>
      <c r="BE379" s="50" t="s">
        <v>622</v>
      </c>
      <c r="BF379" s="50" t="s">
        <v>730</v>
      </c>
      <c r="BG379" s="50" t="s">
        <v>124</v>
      </c>
      <c r="BH379" s="50" t="s">
        <v>12492</v>
      </c>
      <c r="BI379" s="50" t="s">
        <v>14842</v>
      </c>
      <c r="BJ379" s="50" t="s">
        <v>127</v>
      </c>
      <c r="BK379" s="50" t="s">
        <v>14843</v>
      </c>
      <c r="BL379" s="50" t="s">
        <v>4588</v>
      </c>
      <c r="BM379" s="50" t="s">
        <v>14844</v>
      </c>
      <c r="BN379" s="50" t="s">
        <v>12711</v>
      </c>
      <c r="BO379" s="50" t="s">
        <v>734</v>
      </c>
      <c r="BP379" s="50" t="s">
        <v>350</v>
      </c>
      <c r="BQ379" s="50" t="s">
        <v>735</v>
      </c>
      <c r="BR379" s="50" t="s">
        <v>736</v>
      </c>
      <c r="BS379" s="50" t="s">
        <v>737</v>
      </c>
      <c r="BU379" s="50" t="s">
        <v>14845</v>
      </c>
      <c r="BV379" s="50" t="s">
        <v>14846</v>
      </c>
      <c r="BW379" s="50" t="s">
        <v>569</v>
      </c>
      <c r="BX379" s="50" t="s">
        <v>14847</v>
      </c>
      <c r="BY379" s="50" t="s">
        <v>14848</v>
      </c>
      <c r="BZ379" s="50" t="s">
        <v>4594</v>
      </c>
      <c r="CA379" s="50" t="s">
        <v>14849</v>
      </c>
      <c r="CB379" s="50" t="s">
        <v>14850</v>
      </c>
      <c r="CC379" s="50" t="s">
        <v>14851</v>
      </c>
      <c r="CD379" s="50" t="s">
        <v>14849</v>
      </c>
      <c r="CE379" s="50" t="s">
        <v>14850</v>
      </c>
      <c r="CF379" s="50" t="s">
        <v>14851</v>
      </c>
      <c r="CG379" s="50" t="s">
        <v>573</v>
      </c>
      <c r="CH379" s="50" t="s">
        <v>14852</v>
      </c>
      <c r="CJ379" s="50" t="s">
        <v>4602</v>
      </c>
      <c r="CK379" s="50" t="s">
        <v>4604</v>
      </c>
      <c r="CL379" s="50" t="s">
        <v>2327</v>
      </c>
      <c r="CM379" s="50" t="s">
        <v>730</v>
      </c>
      <c r="CN379" s="50" t="s">
        <v>4602</v>
      </c>
      <c r="CO379" s="50" t="s">
        <v>4603</v>
      </c>
      <c r="CP379" s="50" t="s">
        <v>4604</v>
      </c>
      <c r="CQ379" s="50" t="s">
        <v>4604</v>
      </c>
    </row>
    <row r="380" spans="1:96">
      <c r="A380" s="50" t="s">
        <v>149</v>
      </c>
      <c r="B380" s="50">
        <v>3368257</v>
      </c>
      <c r="C380" s="50" t="s">
        <v>11995</v>
      </c>
      <c r="D380" s="50" t="s">
        <v>5688</v>
      </c>
      <c r="E380" s="50" t="e">
        <f>VLOOKUP(B380,aa!B:F,5,0)</f>
        <v>#N/A</v>
      </c>
      <c r="F380" s="50" t="e">
        <f>VLOOKUP(B380,aa!B:J,9,0)</f>
        <v>#N/A</v>
      </c>
      <c r="G380" s="50" t="e">
        <f>VLOOKUP(B380,aa!B:L,11,0)</f>
        <v>#N/A</v>
      </c>
      <c r="H380" s="50" t="e">
        <f>VLOOKUP(B380,aa!B:O,14,0)</f>
        <v>#N/A</v>
      </c>
      <c r="I380" s="50" t="e">
        <f>VLOOKUP(B380,aa!B:R,17,0)</f>
        <v>#N/A</v>
      </c>
      <c r="K380" s="50" t="s">
        <v>2044</v>
      </c>
      <c r="L380" s="50">
        <v>234943</v>
      </c>
      <c r="M380" s="50">
        <v>234943</v>
      </c>
      <c r="N380" s="50">
        <v>99198</v>
      </c>
      <c r="O380" s="50">
        <v>127</v>
      </c>
      <c r="P380" s="50" t="s">
        <v>11321</v>
      </c>
      <c r="Q380" s="50">
        <v>135745</v>
      </c>
      <c r="R380" s="50">
        <v>127</v>
      </c>
      <c r="S380" s="50" t="s">
        <v>15730</v>
      </c>
      <c r="T380" s="50">
        <v>0</v>
      </c>
      <c r="U380" s="50">
        <v>0</v>
      </c>
      <c r="W380" s="50" t="s">
        <v>102</v>
      </c>
      <c r="X380" s="50" t="s">
        <v>103</v>
      </c>
      <c r="Y380" s="50" t="s">
        <v>398</v>
      </c>
      <c r="AA380" s="50" t="s">
        <v>8708</v>
      </c>
      <c r="AB380" s="50" t="s">
        <v>15731</v>
      </c>
      <c r="AC380" s="50" t="s">
        <v>12800</v>
      </c>
      <c r="AD380" s="50" t="s">
        <v>15732</v>
      </c>
      <c r="AE380" s="50" t="s">
        <v>12713</v>
      </c>
      <c r="AF380" s="50" t="s">
        <v>15732</v>
      </c>
      <c r="AG380" s="50" t="s">
        <v>109</v>
      </c>
      <c r="AH380" s="50" t="s">
        <v>102</v>
      </c>
      <c r="AI380" s="50" t="s">
        <v>102</v>
      </c>
      <c r="AJ380" s="50" t="s">
        <v>12427</v>
      </c>
      <c r="AK380" s="50" t="s">
        <v>15733</v>
      </c>
      <c r="AL380" s="50" t="s">
        <v>15734</v>
      </c>
      <c r="AM380" s="50" t="s">
        <v>15735</v>
      </c>
      <c r="AN380" s="50" t="s">
        <v>15736</v>
      </c>
      <c r="AO380" s="50" t="s">
        <v>11871</v>
      </c>
      <c r="AP380" s="50" t="s">
        <v>11871</v>
      </c>
      <c r="AU380" s="50" t="s">
        <v>318</v>
      </c>
      <c r="AV380" s="50" t="s">
        <v>118</v>
      </c>
      <c r="AW380" s="50" t="s">
        <v>155</v>
      </c>
      <c r="AX380" s="50" t="s">
        <v>119</v>
      </c>
      <c r="AY380" s="50" t="s">
        <v>170</v>
      </c>
      <c r="AZ380" s="50" t="s">
        <v>118</v>
      </c>
      <c r="BB380" s="50" t="s">
        <v>2565</v>
      </c>
      <c r="BC380" s="50" t="s">
        <v>284</v>
      </c>
      <c r="BD380" s="50" t="s">
        <v>285</v>
      </c>
      <c r="BE380" s="50" t="s">
        <v>212</v>
      </c>
      <c r="BF380" s="50" t="s">
        <v>286</v>
      </c>
      <c r="BG380" s="50" t="s">
        <v>124</v>
      </c>
      <c r="BH380" s="50" t="s">
        <v>11959</v>
      </c>
      <c r="BI380" s="50" t="s">
        <v>11960</v>
      </c>
      <c r="BJ380" s="50" t="s">
        <v>127</v>
      </c>
      <c r="BK380" s="50" t="s">
        <v>15737</v>
      </c>
      <c r="BL380" s="50" t="s">
        <v>5701</v>
      </c>
      <c r="BM380" s="50" t="s">
        <v>15738</v>
      </c>
      <c r="BN380" s="50" t="s">
        <v>12711</v>
      </c>
      <c r="BO380" s="50" t="s">
        <v>956</v>
      </c>
      <c r="BP380" s="50" t="s">
        <v>132</v>
      </c>
      <c r="BQ380" s="50" t="s">
        <v>958</v>
      </c>
      <c r="BR380" s="50" t="s">
        <v>959</v>
      </c>
      <c r="BS380" s="50" t="s">
        <v>293</v>
      </c>
      <c r="BU380" s="50" t="s">
        <v>15739</v>
      </c>
      <c r="BV380" s="50" t="s">
        <v>5704</v>
      </c>
      <c r="BW380" s="50" t="s">
        <v>138</v>
      </c>
      <c r="BX380" s="50" t="s">
        <v>5705</v>
      </c>
      <c r="BY380" s="50" t="s">
        <v>5706</v>
      </c>
      <c r="BZ380" s="50" t="s">
        <v>5707</v>
      </c>
      <c r="CA380" s="50" t="s">
        <v>5704</v>
      </c>
      <c r="CB380" s="50" t="s">
        <v>5705</v>
      </c>
      <c r="CC380" s="50" t="s">
        <v>5706</v>
      </c>
      <c r="CD380" s="50" t="s">
        <v>5704</v>
      </c>
      <c r="CE380" s="50" t="s">
        <v>5705</v>
      </c>
      <c r="CF380" s="50" t="s">
        <v>5706</v>
      </c>
      <c r="CG380" s="50" t="s">
        <v>907</v>
      </c>
      <c r="CH380" s="50" t="s">
        <v>5711</v>
      </c>
      <c r="CJ380" s="50" t="s">
        <v>5712</v>
      </c>
      <c r="CL380" s="50" t="s">
        <v>284</v>
      </c>
      <c r="CM380" s="50" t="s">
        <v>285</v>
      </c>
      <c r="CN380" s="50" t="s">
        <v>5712</v>
      </c>
      <c r="CP380" s="50" t="s">
        <v>5711</v>
      </c>
      <c r="CQ380" s="50" t="s">
        <v>5711</v>
      </c>
      <c r="CR380" s="50" t="s">
        <v>26040</v>
      </c>
    </row>
    <row r="381" spans="1:96">
      <c r="A381" s="50" t="s">
        <v>149</v>
      </c>
      <c r="B381" s="50">
        <v>3752732</v>
      </c>
      <c r="C381" s="50" t="s">
        <v>12507</v>
      </c>
      <c r="D381" s="50" t="s">
        <v>7315</v>
      </c>
      <c r="E381" s="50" t="str">
        <f>VLOOKUP(B381,aa!B:F,5,0)</f>
        <v>Ei CARES</v>
      </c>
      <c r="F381" s="50">
        <f>VLOOKUP(B381,aa!B:J,9,0)</f>
        <v>666991</v>
      </c>
      <c r="G381" s="50">
        <f>VLOOKUP(B381,aa!B:L,11,0)</f>
        <v>0</v>
      </c>
      <c r="H381" s="50">
        <f>VLOOKUP(B381,aa!B:O,14,0)</f>
        <v>666991</v>
      </c>
      <c r="I381" s="50">
        <f>VLOOKUP(B381,aa!B:R,17,0)</f>
        <v>0</v>
      </c>
      <c r="K381" s="50" t="s">
        <v>152</v>
      </c>
      <c r="L381" s="50">
        <v>441928</v>
      </c>
      <c r="M381" s="50">
        <v>441928</v>
      </c>
      <c r="N381" s="50">
        <v>0</v>
      </c>
      <c r="O381" s="50">
        <v>0</v>
      </c>
      <c r="Q381" s="50">
        <v>441928</v>
      </c>
      <c r="R381" s="50">
        <v>258</v>
      </c>
      <c r="S381" s="50" t="s">
        <v>16842</v>
      </c>
      <c r="T381" s="50">
        <v>0</v>
      </c>
      <c r="U381" s="50">
        <v>0</v>
      </c>
      <c r="W381" s="50" t="s">
        <v>102</v>
      </c>
      <c r="X381" s="50" t="s">
        <v>103</v>
      </c>
      <c r="Y381" s="50" t="s">
        <v>155</v>
      </c>
      <c r="AA381" s="50" t="s">
        <v>11959</v>
      </c>
      <c r="AB381" s="50" t="s">
        <v>16843</v>
      </c>
      <c r="AC381" s="50" t="s">
        <v>12082</v>
      </c>
      <c r="AD381" s="50" t="s">
        <v>16843</v>
      </c>
      <c r="AE381" s="50" t="s">
        <v>11888</v>
      </c>
      <c r="AF381" s="50" t="s">
        <v>16843</v>
      </c>
      <c r="AG381" s="50" t="s">
        <v>12084</v>
      </c>
      <c r="AH381" s="50" t="s">
        <v>16843</v>
      </c>
      <c r="AI381" s="50" t="s">
        <v>102</v>
      </c>
      <c r="AJ381" s="50" t="s">
        <v>1408</v>
      </c>
      <c r="AK381" s="50" t="s">
        <v>16844</v>
      </c>
      <c r="AL381" s="50" t="s">
        <v>16845</v>
      </c>
      <c r="AM381" s="50" t="s">
        <v>16846</v>
      </c>
      <c r="AN381" s="50" t="s">
        <v>16847</v>
      </c>
      <c r="AO381" s="50" t="s">
        <v>16848</v>
      </c>
      <c r="AP381" s="50" t="s">
        <v>16848</v>
      </c>
      <c r="AU381" s="50" t="s">
        <v>102</v>
      </c>
      <c r="AW381" s="50" t="s">
        <v>155</v>
      </c>
      <c r="AX381" s="50" t="s">
        <v>119</v>
      </c>
      <c r="AY381" s="50" t="s">
        <v>170</v>
      </c>
      <c r="AZ381" s="50" t="s">
        <v>118</v>
      </c>
      <c r="BB381" s="50" t="s">
        <v>120</v>
      </c>
      <c r="BC381" s="50" t="s">
        <v>7324</v>
      </c>
      <c r="BD381" s="50" t="s">
        <v>556</v>
      </c>
      <c r="BE381" s="50" t="s">
        <v>122</v>
      </c>
      <c r="BF381" s="50" t="s">
        <v>557</v>
      </c>
      <c r="BG381" s="50" t="s">
        <v>124</v>
      </c>
      <c r="BH381" s="50" t="s">
        <v>12492</v>
      </c>
      <c r="BI381" s="50" t="s">
        <v>11889</v>
      </c>
      <c r="BJ381" s="50" t="s">
        <v>127</v>
      </c>
      <c r="BK381" s="50" t="s">
        <v>16849</v>
      </c>
      <c r="BL381" s="50" t="s">
        <v>7326</v>
      </c>
      <c r="BM381" s="50" t="s">
        <v>16850</v>
      </c>
      <c r="BN381" s="50" t="s">
        <v>12711</v>
      </c>
      <c r="BO381" s="50" t="s">
        <v>1142</v>
      </c>
      <c r="BP381" s="50" t="s">
        <v>350</v>
      </c>
      <c r="BQ381" s="50" t="s">
        <v>1143</v>
      </c>
      <c r="BR381" s="50" t="s">
        <v>1144</v>
      </c>
      <c r="BS381" s="50" t="s">
        <v>566</v>
      </c>
      <c r="BU381" s="50" t="s">
        <v>16851</v>
      </c>
      <c r="BV381" s="50" t="s">
        <v>7329</v>
      </c>
      <c r="BW381" s="50" t="s">
        <v>138</v>
      </c>
      <c r="BX381" s="50" t="s">
        <v>16852</v>
      </c>
      <c r="BY381" s="50" t="s">
        <v>7331</v>
      </c>
      <c r="BZ381" s="50" t="s">
        <v>7330</v>
      </c>
      <c r="CA381" s="50" t="s">
        <v>7329</v>
      </c>
      <c r="CB381" s="50" t="s">
        <v>16852</v>
      </c>
      <c r="CC381" s="50" t="s">
        <v>7331</v>
      </c>
      <c r="CD381" s="50" t="s">
        <v>7329</v>
      </c>
      <c r="CE381" s="50" t="s">
        <v>16852</v>
      </c>
      <c r="CF381" s="50" t="s">
        <v>7331</v>
      </c>
      <c r="CG381" s="50" t="s">
        <v>7332</v>
      </c>
      <c r="CH381" s="50" t="s">
        <v>7315</v>
      </c>
      <c r="CJ381" s="50" t="s">
        <v>7334</v>
      </c>
      <c r="CL381" s="50" t="s">
        <v>7324</v>
      </c>
      <c r="CM381" s="50" t="s">
        <v>556</v>
      </c>
      <c r="CN381" s="50" t="s">
        <v>7334</v>
      </c>
      <c r="CP381" s="50" t="s">
        <v>7333</v>
      </c>
      <c r="CQ381" s="50" t="s">
        <v>7333</v>
      </c>
    </row>
    <row r="382" spans="1:96">
      <c r="A382" s="50" t="s">
        <v>337</v>
      </c>
      <c r="B382" s="50">
        <v>3757528</v>
      </c>
      <c r="C382" s="50" t="s">
        <v>12491</v>
      </c>
      <c r="D382" s="50" t="s">
        <v>16865</v>
      </c>
      <c r="E382" s="50" t="e">
        <f>VLOOKUP(B382,aa!B:F,5,0)</f>
        <v>#N/A</v>
      </c>
      <c r="F382" s="50" t="e">
        <f>VLOOKUP(B382,aa!B:J,9,0)</f>
        <v>#N/A</v>
      </c>
      <c r="G382" s="50" t="e">
        <f>VLOOKUP(B382,aa!B:L,11,0)</f>
        <v>#N/A</v>
      </c>
      <c r="H382" s="50" t="e">
        <f>VLOOKUP(B382,aa!B:O,14,0)</f>
        <v>#N/A</v>
      </c>
      <c r="I382" s="50" t="e">
        <f>VLOOKUP(B382,aa!B:R,17,0)</f>
        <v>#N/A</v>
      </c>
      <c r="K382" s="50" t="s">
        <v>97</v>
      </c>
      <c r="L382" s="50">
        <v>894687</v>
      </c>
      <c r="M382" s="50">
        <v>894687</v>
      </c>
      <c r="N382" s="50">
        <v>894687</v>
      </c>
      <c r="O382" s="50">
        <v>1627</v>
      </c>
      <c r="P382" s="50" t="s">
        <v>3431</v>
      </c>
      <c r="Q382" s="50">
        <v>0</v>
      </c>
      <c r="R382" s="50">
        <v>0</v>
      </c>
      <c r="T382" s="50">
        <v>0</v>
      </c>
      <c r="U382" s="50">
        <v>0</v>
      </c>
      <c r="W382" s="50" t="s">
        <v>102</v>
      </c>
      <c r="X382" s="50" t="s">
        <v>103</v>
      </c>
      <c r="Y382" s="50" t="s">
        <v>398</v>
      </c>
      <c r="AA382" s="50" t="s">
        <v>12711</v>
      </c>
      <c r="AB382" s="50" t="s">
        <v>16866</v>
      </c>
      <c r="AC382" s="50" t="s">
        <v>13033</v>
      </c>
      <c r="AD382" s="50" t="s">
        <v>16867</v>
      </c>
      <c r="AE382" s="50" t="s">
        <v>5651</v>
      </c>
      <c r="AF382" s="50" t="s">
        <v>16866</v>
      </c>
      <c r="AG382" s="50" t="s">
        <v>109</v>
      </c>
      <c r="AH382" s="50" t="s">
        <v>102</v>
      </c>
      <c r="AI382" s="50" t="s">
        <v>102</v>
      </c>
      <c r="AJ382" s="50" t="s">
        <v>13186</v>
      </c>
      <c r="AK382" s="50" t="s">
        <v>13110</v>
      </c>
      <c r="AL382" s="50" t="s">
        <v>16868</v>
      </c>
      <c r="AM382" s="50" t="s">
        <v>16869</v>
      </c>
      <c r="AN382" s="50" t="s">
        <v>16870</v>
      </c>
      <c r="AO382" s="50" t="s">
        <v>4840</v>
      </c>
      <c r="AP382" s="50" t="s">
        <v>861</v>
      </c>
      <c r="AR382" s="50" t="s">
        <v>169</v>
      </c>
      <c r="AU382" s="50" t="s">
        <v>318</v>
      </c>
      <c r="AV382" s="50" t="s">
        <v>118</v>
      </c>
      <c r="AW382" s="50" t="s">
        <v>102</v>
      </c>
      <c r="AX382" s="50" t="s">
        <v>119</v>
      </c>
      <c r="BB382" s="50" t="s">
        <v>120</v>
      </c>
      <c r="BC382" s="50" t="s">
        <v>1407</v>
      </c>
      <c r="BD382" s="50" t="s">
        <v>449</v>
      </c>
      <c r="BE382" s="50" t="s">
        <v>122</v>
      </c>
      <c r="BF382" s="50" t="s">
        <v>450</v>
      </c>
      <c r="BG382" s="50" t="s">
        <v>124</v>
      </c>
      <c r="BH382" s="50" t="s">
        <v>11938</v>
      </c>
      <c r="BI382" s="50" t="s">
        <v>11889</v>
      </c>
      <c r="BJ382" s="50" t="s">
        <v>127</v>
      </c>
      <c r="BK382" s="50" t="s">
        <v>16871</v>
      </c>
      <c r="BL382" s="50" t="s">
        <v>16872</v>
      </c>
      <c r="BM382" s="50" t="s">
        <v>16873</v>
      </c>
      <c r="BN382" s="50" t="s">
        <v>12711</v>
      </c>
      <c r="BO382" s="50" t="s">
        <v>131</v>
      </c>
      <c r="BP382" s="50" t="s">
        <v>350</v>
      </c>
      <c r="BQ382" s="50" t="s">
        <v>133</v>
      </c>
      <c r="BR382" s="50" t="s">
        <v>134</v>
      </c>
      <c r="BS382" s="50" t="s">
        <v>455</v>
      </c>
      <c r="BT382" s="50" t="s">
        <v>4765</v>
      </c>
      <c r="BU382" s="50" t="s">
        <v>16874</v>
      </c>
      <c r="BV382" s="50" t="s">
        <v>16875</v>
      </c>
      <c r="BW382" s="50" t="s">
        <v>138</v>
      </c>
      <c r="BX382" s="50" t="s">
        <v>16876</v>
      </c>
      <c r="BY382" s="50" t="s">
        <v>16877</v>
      </c>
      <c r="BZ382" s="50" t="s">
        <v>16878</v>
      </c>
      <c r="CA382" s="50" t="s">
        <v>16875</v>
      </c>
      <c r="CB382" s="50" t="s">
        <v>16876</v>
      </c>
      <c r="CC382" s="50" t="s">
        <v>16877</v>
      </c>
      <c r="CD382" s="50" t="s">
        <v>16879</v>
      </c>
      <c r="CE382" s="50" t="s">
        <v>16880</v>
      </c>
      <c r="CF382" s="50" t="s">
        <v>16881</v>
      </c>
      <c r="CG382" s="50" t="s">
        <v>16882</v>
      </c>
      <c r="CH382" s="50" t="s">
        <v>16883</v>
      </c>
      <c r="CJ382" s="50" t="s">
        <v>1419</v>
      </c>
      <c r="CK382" s="50" t="s">
        <v>16884</v>
      </c>
      <c r="CL382" s="50" t="s">
        <v>1407</v>
      </c>
      <c r="CM382" s="50" t="s">
        <v>449</v>
      </c>
      <c r="CN382" s="50" t="s">
        <v>1419</v>
      </c>
      <c r="CP382" s="50" t="s">
        <v>16884</v>
      </c>
      <c r="CQ382" s="50" t="s">
        <v>16884</v>
      </c>
    </row>
    <row r="383" spans="1:96">
      <c r="A383" s="50" t="s">
        <v>149</v>
      </c>
      <c r="B383" s="50">
        <v>4001826</v>
      </c>
      <c r="C383" s="50" t="s">
        <v>12121</v>
      </c>
      <c r="D383" s="50" t="s">
        <v>8532</v>
      </c>
      <c r="E383" s="50" t="e">
        <f>VLOOKUP(B383,aa!B:F,5,0)</f>
        <v>#N/A</v>
      </c>
      <c r="F383" s="50" t="e">
        <f>VLOOKUP(B383,aa!B:J,9,0)</f>
        <v>#N/A</v>
      </c>
      <c r="G383" s="50" t="e">
        <f>VLOOKUP(B383,aa!B:L,11,0)</f>
        <v>#N/A</v>
      </c>
      <c r="H383" s="50" t="e">
        <f>VLOOKUP(B383,aa!B:O,14,0)</f>
        <v>#N/A</v>
      </c>
      <c r="I383" s="50" t="e">
        <f>VLOOKUP(B383,aa!B:R,17,0)</f>
        <v>#N/A</v>
      </c>
      <c r="K383" s="50" t="s">
        <v>152</v>
      </c>
      <c r="L383" s="50">
        <v>358800</v>
      </c>
      <c r="M383" s="50">
        <v>358800</v>
      </c>
      <c r="N383" s="50">
        <v>0</v>
      </c>
      <c r="O383" s="50">
        <v>0</v>
      </c>
      <c r="Q383" s="50">
        <v>358800</v>
      </c>
      <c r="R383" s="50">
        <v>276</v>
      </c>
      <c r="S383" s="50" t="s">
        <v>8534</v>
      </c>
      <c r="T383" s="50">
        <v>0</v>
      </c>
      <c r="U383" s="50">
        <v>0</v>
      </c>
      <c r="W383" s="50" t="s">
        <v>102</v>
      </c>
      <c r="X383" s="50" t="s">
        <v>103</v>
      </c>
      <c r="Y383" s="50" t="s">
        <v>155</v>
      </c>
      <c r="AA383" s="50" t="s">
        <v>11959</v>
      </c>
      <c r="AB383" s="50" t="s">
        <v>17924</v>
      </c>
      <c r="AC383" s="50" t="s">
        <v>12082</v>
      </c>
      <c r="AD383" s="50" t="s">
        <v>17924</v>
      </c>
      <c r="AE383" s="50" t="s">
        <v>11888</v>
      </c>
      <c r="AF383" s="50" t="s">
        <v>17924</v>
      </c>
      <c r="AG383" s="50" t="s">
        <v>12084</v>
      </c>
      <c r="AH383" s="50" t="s">
        <v>17924</v>
      </c>
      <c r="AI383" s="50" t="s">
        <v>102</v>
      </c>
      <c r="AJ383" s="50" t="s">
        <v>15733</v>
      </c>
      <c r="AK383" s="50" t="s">
        <v>13964</v>
      </c>
      <c r="AL383" s="50" t="s">
        <v>17925</v>
      </c>
      <c r="AM383" s="50" t="s">
        <v>17926</v>
      </c>
      <c r="AN383" s="50" t="s">
        <v>17927</v>
      </c>
      <c r="AO383" s="50" t="s">
        <v>116</v>
      </c>
      <c r="AP383" s="50" t="s">
        <v>116</v>
      </c>
      <c r="AU383" s="50" t="s">
        <v>102</v>
      </c>
      <c r="AW383" s="50" t="s">
        <v>155</v>
      </c>
      <c r="AX383" s="50" t="s">
        <v>119</v>
      </c>
      <c r="AY383" s="50" t="s">
        <v>1138</v>
      </c>
      <c r="AZ383" s="50" t="s">
        <v>118</v>
      </c>
      <c r="BB383" s="50" t="s">
        <v>120</v>
      </c>
      <c r="BC383" s="50" t="s">
        <v>8540</v>
      </c>
      <c r="BD383" s="50" t="s">
        <v>556</v>
      </c>
      <c r="BE383" s="50" t="s">
        <v>122</v>
      </c>
      <c r="BF383" s="50" t="s">
        <v>557</v>
      </c>
      <c r="BG383" s="50" t="s">
        <v>124</v>
      </c>
      <c r="BH383" s="50" t="s">
        <v>12492</v>
      </c>
      <c r="BI383" s="50" t="s">
        <v>11889</v>
      </c>
      <c r="BJ383" s="50" t="s">
        <v>127</v>
      </c>
      <c r="BK383" s="50" t="s">
        <v>17928</v>
      </c>
      <c r="BL383" s="50" t="s">
        <v>8542</v>
      </c>
      <c r="BM383" s="50" t="s">
        <v>17929</v>
      </c>
      <c r="BN383" s="50" t="s">
        <v>12711</v>
      </c>
      <c r="BO383" s="50" t="s">
        <v>1142</v>
      </c>
      <c r="BP383" s="50" t="s">
        <v>350</v>
      </c>
      <c r="BQ383" s="50" t="s">
        <v>1143</v>
      </c>
      <c r="BR383" s="50" t="s">
        <v>1144</v>
      </c>
      <c r="BS383" s="50" t="s">
        <v>566</v>
      </c>
      <c r="BU383" s="50" t="s">
        <v>17930</v>
      </c>
      <c r="BV383" s="50" t="s">
        <v>17931</v>
      </c>
      <c r="BW383" s="50" t="s">
        <v>138</v>
      </c>
      <c r="BX383" s="50" t="s">
        <v>17932</v>
      </c>
      <c r="BY383" s="50" t="s">
        <v>8547</v>
      </c>
      <c r="BZ383" s="50" t="s">
        <v>8546</v>
      </c>
      <c r="CA383" s="50" t="s">
        <v>17931</v>
      </c>
      <c r="CB383" s="50" t="s">
        <v>17932</v>
      </c>
      <c r="CC383" s="50" t="s">
        <v>8547</v>
      </c>
      <c r="CD383" s="50" t="s">
        <v>17931</v>
      </c>
      <c r="CE383" s="50" t="s">
        <v>17932</v>
      </c>
      <c r="CF383" s="50" t="s">
        <v>8547</v>
      </c>
      <c r="CG383" s="50" t="s">
        <v>6457</v>
      </c>
      <c r="CH383" s="50" t="s">
        <v>8532</v>
      </c>
      <c r="CJ383" s="50" t="s">
        <v>6459</v>
      </c>
      <c r="CK383" s="50" t="s">
        <v>8540</v>
      </c>
      <c r="CL383" s="50" t="s">
        <v>8540</v>
      </c>
      <c r="CM383" s="50" t="s">
        <v>556</v>
      </c>
      <c r="CN383" s="50" t="s">
        <v>6459</v>
      </c>
      <c r="CP383" s="50" t="s">
        <v>8548</v>
      </c>
      <c r="CQ383" s="50" t="s">
        <v>8548</v>
      </c>
    </row>
    <row r="384" spans="1:96">
      <c r="A384" s="50" t="s">
        <v>149</v>
      </c>
      <c r="B384" s="50">
        <v>5017080</v>
      </c>
      <c r="C384" s="50" t="s">
        <v>11995</v>
      </c>
      <c r="D384" s="50" t="s">
        <v>9851</v>
      </c>
      <c r="E384" s="50" t="e">
        <f>VLOOKUP(B384,aa!B:F,5,0)</f>
        <v>#N/A</v>
      </c>
      <c r="F384" s="50" t="e">
        <f>VLOOKUP(B384,aa!B:J,9,0)</f>
        <v>#N/A</v>
      </c>
      <c r="G384" s="50" t="e">
        <f>VLOOKUP(B384,aa!B:L,11,0)</f>
        <v>#N/A</v>
      </c>
      <c r="H384" s="50" t="e">
        <f>VLOOKUP(B384,aa!B:O,14,0)</f>
        <v>#N/A</v>
      </c>
      <c r="I384" s="50" t="e">
        <f>VLOOKUP(B384,aa!B:R,17,0)</f>
        <v>#N/A</v>
      </c>
      <c r="K384" s="50" t="s">
        <v>2044</v>
      </c>
      <c r="L384" s="50">
        <v>116547</v>
      </c>
      <c r="M384" s="50">
        <v>116547</v>
      </c>
      <c r="N384" s="50">
        <v>49209</v>
      </c>
      <c r="O384" s="50">
        <v>63</v>
      </c>
      <c r="P384" s="50" t="s">
        <v>11321</v>
      </c>
      <c r="Q384" s="50">
        <v>67338</v>
      </c>
      <c r="R384" s="50">
        <v>63</v>
      </c>
      <c r="S384" s="50" t="s">
        <v>15730</v>
      </c>
      <c r="T384" s="50">
        <v>0</v>
      </c>
      <c r="U384" s="50">
        <v>0</v>
      </c>
      <c r="W384" s="50" t="s">
        <v>102</v>
      </c>
      <c r="X384" s="50" t="s">
        <v>103</v>
      </c>
      <c r="Y384" s="50" t="s">
        <v>398</v>
      </c>
      <c r="AA384" s="50" t="s">
        <v>8708</v>
      </c>
      <c r="AB384" s="50" t="s">
        <v>18993</v>
      </c>
      <c r="AC384" s="50" t="s">
        <v>12800</v>
      </c>
      <c r="AD384" s="50" t="s">
        <v>18994</v>
      </c>
      <c r="AE384" s="50" t="s">
        <v>12713</v>
      </c>
      <c r="AF384" s="50" t="s">
        <v>18994</v>
      </c>
      <c r="AG384" s="50" t="s">
        <v>109</v>
      </c>
      <c r="AH384" s="50" t="s">
        <v>102</v>
      </c>
      <c r="AI384" s="50" t="s">
        <v>102</v>
      </c>
      <c r="AJ384" s="50" t="s">
        <v>12427</v>
      </c>
      <c r="AK384" s="50" t="s">
        <v>12427</v>
      </c>
      <c r="AL384" s="50" t="s">
        <v>18995</v>
      </c>
      <c r="AM384" s="50" t="s">
        <v>18996</v>
      </c>
      <c r="AN384" s="50" t="s">
        <v>18997</v>
      </c>
      <c r="AO384" s="50" t="s">
        <v>11871</v>
      </c>
      <c r="AP384" s="50" t="s">
        <v>11871</v>
      </c>
      <c r="AU384" s="50" t="s">
        <v>318</v>
      </c>
      <c r="AV384" s="50" t="s">
        <v>118</v>
      </c>
      <c r="AW384" s="50" t="s">
        <v>155</v>
      </c>
      <c r="AX384" s="50" t="s">
        <v>119</v>
      </c>
      <c r="AY384" s="50" t="s">
        <v>170</v>
      </c>
      <c r="AZ384" s="50" t="s">
        <v>118</v>
      </c>
      <c r="BB384" s="50" t="s">
        <v>120</v>
      </c>
      <c r="BC384" s="50" t="s">
        <v>284</v>
      </c>
      <c r="BD384" s="50" t="s">
        <v>285</v>
      </c>
      <c r="BE384" s="50" t="s">
        <v>212</v>
      </c>
      <c r="BF384" s="50" t="s">
        <v>286</v>
      </c>
      <c r="BG384" s="50" t="s">
        <v>124</v>
      </c>
      <c r="BH384" s="50" t="s">
        <v>11959</v>
      </c>
      <c r="BI384" s="50" t="s">
        <v>11960</v>
      </c>
      <c r="BJ384" s="50" t="s">
        <v>127</v>
      </c>
      <c r="BK384" s="50" t="s">
        <v>18998</v>
      </c>
      <c r="BL384" s="50" t="s">
        <v>9859</v>
      </c>
      <c r="BM384" s="50" t="s">
        <v>18999</v>
      </c>
      <c r="BN384" s="50" t="s">
        <v>12711</v>
      </c>
      <c r="BO384" s="50" t="s">
        <v>956</v>
      </c>
      <c r="BP384" s="50" t="s">
        <v>505</v>
      </c>
      <c r="BQ384" s="50" t="s">
        <v>958</v>
      </c>
      <c r="BR384" s="50" t="s">
        <v>959</v>
      </c>
      <c r="BS384" s="50" t="s">
        <v>293</v>
      </c>
      <c r="BU384" s="50" t="s">
        <v>19000</v>
      </c>
      <c r="BV384" s="50" t="s">
        <v>5704</v>
      </c>
      <c r="BW384" s="50" t="s">
        <v>138</v>
      </c>
      <c r="BX384" s="50" t="s">
        <v>5705</v>
      </c>
      <c r="BY384" s="50" t="s">
        <v>5706</v>
      </c>
      <c r="BZ384" s="50" t="s">
        <v>5705</v>
      </c>
      <c r="CA384" s="50" t="s">
        <v>5704</v>
      </c>
      <c r="CB384" s="50" t="s">
        <v>5705</v>
      </c>
      <c r="CC384" s="50" t="s">
        <v>5706</v>
      </c>
      <c r="CD384" s="50" t="s">
        <v>5704</v>
      </c>
      <c r="CE384" s="50" t="s">
        <v>5705</v>
      </c>
      <c r="CF384" s="50" t="s">
        <v>5706</v>
      </c>
      <c r="CG384" s="50" t="s">
        <v>102</v>
      </c>
      <c r="CH384" s="50" t="s">
        <v>5711</v>
      </c>
      <c r="CJ384" s="50" t="s">
        <v>5712</v>
      </c>
      <c r="CL384" s="50" t="s">
        <v>284</v>
      </c>
      <c r="CM384" s="50" t="s">
        <v>285</v>
      </c>
      <c r="CN384" s="50" t="s">
        <v>5712</v>
      </c>
      <c r="CP384" s="50" t="s">
        <v>5711</v>
      </c>
      <c r="CQ384" s="50" t="s">
        <v>5711</v>
      </c>
      <c r="CR384" s="50" t="s">
        <v>26040</v>
      </c>
    </row>
    <row r="385" spans="1:96">
      <c r="A385" s="50" t="s">
        <v>149</v>
      </c>
      <c r="B385" s="50">
        <v>2457713</v>
      </c>
      <c r="C385" s="50" t="s">
        <v>293</v>
      </c>
      <c r="D385" s="50" t="s">
        <v>3456</v>
      </c>
      <c r="E385" s="50" t="str">
        <f>VLOOKUP(B385,aa!B:F,5,0)</f>
        <v>Ei CARES</v>
      </c>
      <c r="F385" s="50">
        <f>VLOOKUP(B385,aa!B:J,9,0)</f>
        <v>2378671</v>
      </c>
      <c r="G385" s="50">
        <f>VLOOKUP(B385,aa!B:L,11,0)</f>
        <v>0</v>
      </c>
      <c r="H385" s="50">
        <f>VLOOKUP(B385,aa!B:O,14,0)</f>
        <v>2378671</v>
      </c>
      <c r="I385" s="50">
        <f>VLOOKUP(B385,aa!B:R,17,0)</f>
        <v>0</v>
      </c>
      <c r="K385" s="50" t="s">
        <v>152</v>
      </c>
      <c r="L385" s="50">
        <v>2449642</v>
      </c>
      <c r="M385" s="50">
        <v>2449642</v>
      </c>
      <c r="N385" s="50">
        <v>0</v>
      </c>
      <c r="O385" s="50">
        <v>0</v>
      </c>
      <c r="Q385" s="50">
        <v>2449642</v>
      </c>
      <c r="R385" s="50">
        <v>1276</v>
      </c>
      <c r="S385" s="50" t="s">
        <v>14021</v>
      </c>
      <c r="T385" s="50">
        <v>0</v>
      </c>
      <c r="U385" s="50">
        <v>0</v>
      </c>
      <c r="W385" s="50" t="s">
        <v>102</v>
      </c>
      <c r="X385" s="50" t="s">
        <v>103</v>
      </c>
      <c r="Y385" s="50" t="s">
        <v>155</v>
      </c>
      <c r="AA385" s="50" t="s">
        <v>11927</v>
      </c>
      <c r="AB385" s="50" t="s">
        <v>14022</v>
      </c>
      <c r="AC385" s="50" t="s">
        <v>14023</v>
      </c>
      <c r="AD385" s="50" t="s">
        <v>14022</v>
      </c>
      <c r="AE385" s="50" t="s">
        <v>11930</v>
      </c>
      <c r="AF385" s="50" t="s">
        <v>14022</v>
      </c>
      <c r="AG385" s="50" t="s">
        <v>14024</v>
      </c>
      <c r="AH385" s="50" t="s">
        <v>14022</v>
      </c>
      <c r="AI385" s="50" t="s">
        <v>14025</v>
      </c>
      <c r="AJ385" s="50" t="s">
        <v>10030</v>
      </c>
      <c r="AK385" s="50" t="s">
        <v>14026</v>
      </c>
      <c r="AL385" s="50" t="s">
        <v>14027</v>
      </c>
      <c r="AM385" s="50" t="s">
        <v>14028</v>
      </c>
      <c r="AN385" s="50" t="s">
        <v>14029</v>
      </c>
      <c r="AO385" s="50" t="s">
        <v>14030</v>
      </c>
      <c r="AP385" s="50" t="s">
        <v>14030</v>
      </c>
      <c r="AU385" s="50" t="s">
        <v>102</v>
      </c>
      <c r="AW385" s="50" t="s">
        <v>155</v>
      </c>
      <c r="AX385" s="50" t="s">
        <v>447</v>
      </c>
      <c r="AY385" s="50" t="s">
        <v>170</v>
      </c>
      <c r="AZ385" s="50" t="s">
        <v>118</v>
      </c>
      <c r="BB385" s="50" t="s">
        <v>120</v>
      </c>
      <c r="BC385" s="50" t="s">
        <v>3465</v>
      </c>
      <c r="BD385" s="50" t="s">
        <v>211</v>
      </c>
      <c r="BE385" s="50" t="s">
        <v>212</v>
      </c>
      <c r="BF385" s="50" t="s">
        <v>213</v>
      </c>
      <c r="BG385" s="50" t="s">
        <v>124</v>
      </c>
      <c r="BH385" s="50" t="s">
        <v>12492</v>
      </c>
      <c r="BI385" s="50" t="s">
        <v>12047</v>
      </c>
      <c r="BJ385" s="50" t="s">
        <v>127</v>
      </c>
      <c r="BK385" s="50" t="s">
        <v>14031</v>
      </c>
      <c r="BL385" s="50" t="s">
        <v>3467</v>
      </c>
      <c r="BM385" s="50" t="s">
        <v>14032</v>
      </c>
      <c r="BN385" s="50" t="s">
        <v>14020</v>
      </c>
      <c r="BO385" s="50" t="s">
        <v>956</v>
      </c>
      <c r="BP385" s="50" t="s">
        <v>132</v>
      </c>
      <c r="BQ385" s="50" t="s">
        <v>958</v>
      </c>
      <c r="BR385" s="50" t="s">
        <v>959</v>
      </c>
      <c r="BS385" s="50" t="s">
        <v>2151</v>
      </c>
      <c r="BU385" s="50" t="s">
        <v>14033</v>
      </c>
      <c r="BV385" s="50" t="s">
        <v>14034</v>
      </c>
      <c r="BW385" s="50" t="s">
        <v>354</v>
      </c>
      <c r="BX385" s="50" t="s">
        <v>3473</v>
      </c>
      <c r="BY385" s="50" t="s">
        <v>14035</v>
      </c>
      <c r="BZ385" s="50" t="s">
        <v>3473</v>
      </c>
      <c r="CA385" s="50" t="s">
        <v>14036</v>
      </c>
      <c r="CB385" s="50" t="s">
        <v>3473</v>
      </c>
      <c r="CC385" s="50" t="s">
        <v>14037</v>
      </c>
      <c r="CD385" s="50" t="s">
        <v>14036</v>
      </c>
      <c r="CE385" s="50" t="s">
        <v>3473</v>
      </c>
      <c r="CF385" s="50" t="s">
        <v>14037</v>
      </c>
      <c r="CG385" s="50" t="s">
        <v>3474</v>
      </c>
      <c r="CH385" s="50" t="s">
        <v>3475</v>
      </c>
      <c r="CJ385" s="50" t="s">
        <v>3476</v>
      </c>
      <c r="CK385" s="50" t="s">
        <v>3475</v>
      </c>
      <c r="CL385" s="50" t="s">
        <v>3465</v>
      </c>
      <c r="CM385" s="50" t="s">
        <v>211</v>
      </c>
      <c r="CN385" s="50" t="s">
        <v>3476</v>
      </c>
      <c r="CO385" s="50" t="s">
        <v>3477</v>
      </c>
      <c r="CP385" s="50" t="s">
        <v>3475</v>
      </c>
      <c r="CQ385" s="50" t="s">
        <v>3475</v>
      </c>
    </row>
    <row r="386" spans="1:96">
      <c r="A386" s="50" t="s">
        <v>93</v>
      </c>
      <c r="B386" s="50">
        <v>20577</v>
      </c>
      <c r="C386" s="50" t="s">
        <v>3562</v>
      </c>
      <c r="D386" s="50" t="s">
        <v>2559</v>
      </c>
      <c r="E386" s="50" t="e">
        <f>VLOOKUP(B386,aa!B:F,5,0)</f>
        <v>#N/A</v>
      </c>
      <c r="F386" s="50" t="e">
        <f>VLOOKUP(B386,aa!B:J,9,0)</f>
        <v>#N/A</v>
      </c>
      <c r="G386" s="50" t="e">
        <f>VLOOKUP(B386,aa!B:L,11,0)</f>
        <v>#N/A</v>
      </c>
      <c r="H386" s="50" t="e">
        <f>VLOOKUP(B386,aa!B:O,14,0)</f>
        <v>#N/A</v>
      </c>
      <c r="I386" s="50" t="e">
        <f>VLOOKUP(B386,aa!B:R,17,0)</f>
        <v>#N/A</v>
      </c>
      <c r="K386" s="50" t="s">
        <v>848</v>
      </c>
      <c r="L386" s="50">
        <v>1076566</v>
      </c>
      <c r="M386" s="50">
        <v>1270348</v>
      </c>
      <c r="N386" s="50">
        <v>0</v>
      </c>
      <c r="O386" s="50">
        <v>0</v>
      </c>
      <c r="Q386" s="50">
        <v>0</v>
      </c>
      <c r="R386" s="50">
        <v>0</v>
      </c>
      <c r="T386" s="50">
        <v>1076566</v>
      </c>
      <c r="U386" s="50">
        <v>508</v>
      </c>
      <c r="V386" s="50" t="s">
        <v>2166</v>
      </c>
      <c r="W386" s="50" t="s">
        <v>102</v>
      </c>
      <c r="X386" s="50" t="s">
        <v>275</v>
      </c>
      <c r="Z386" s="50" t="s">
        <v>11959</v>
      </c>
      <c r="AA386" s="50" t="s">
        <v>109</v>
      </c>
      <c r="AB386" s="50" t="s">
        <v>102</v>
      </c>
      <c r="AC386" s="50" t="s">
        <v>109</v>
      </c>
      <c r="AD386" s="50" t="s">
        <v>102</v>
      </c>
      <c r="AE386" s="50" t="s">
        <v>109</v>
      </c>
      <c r="AF386" s="50" t="s">
        <v>102</v>
      </c>
      <c r="AG386" s="50" t="s">
        <v>109</v>
      </c>
      <c r="AH386" s="50" t="s">
        <v>102</v>
      </c>
      <c r="AI386" s="50" t="s">
        <v>102</v>
      </c>
      <c r="AJ386" s="50" t="s">
        <v>13455</v>
      </c>
      <c r="AK386" s="50" t="s">
        <v>12609</v>
      </c>
      <c r="AL386" s="50" t="s">
        <v>13456</v>
      </c>
      <c r="AM386" s="50" t="s">
        <v>13457</v>
      </c>
      <c r="AN386" s="50" t="s">
        <v>13458</v>
      </c>
      <c r="AO386" s="50" t="s">
        <v>13459</v>
      </c>
      <c r="AP386" s="50" t="s">
        <v>13460</v>
      </c>
      <c r="AT386" s="50" t="s">
        <v>169</v>
      </c>
      <c r="AU386" s="50" t="s">
        <v>102</v>
      </c>
      <c r="AW386" s="50" t="s">
        <v>102</v>
      </c>
      <c r="AX386" s="50" t="s">
        <v>119</v>
      </c>
      <c r="BA386" s="50" t="s">
        <v>250</v>
      </c>
      <c r="BB386" s="50" t="s">
        <v>2565</v>
      </c>
      <c r="BC386" s="50" t="s">
        <v>2327</v>
      </c>
      <c r="BD386" s="50" t="s">
        <v>730</v>
      </c>
      <c r="BE386" s="50" t="s">
        <v>622</v>
      </c>
      <c r="BF386" s="50" t="s">
        <v>730</v>
      </c>
      <c r="BG386" s="50" t="s">
        <v>124</v>
      </c>
      <c r="BH386" s="50" t="s">
        <v>11959</v>
      </c>
      <c r="BI386" s="50" t="s">
        <v>11960</v>
      </c>
      <c r="BJ386" s="50" t="s">
        <v>127</v>
      </c>
      <c r="BK386" s="50" t="s">
        <v>13461</v>
      </c>
      <c r="BL386" s="50" t="s">
        <v>2567</v>
      </c>
      <c r="BM386" s="50" t="s">
        <v>13462</v>
      </c>
      <c r="BN386" s="50" t="s">
        <v>11927</v>
      </c>
      <c r="BO386" s="50" t="s">
        <v>2262</v>
      </c>
      <c r="BP386" s="50" t="s">
        <v>350</v>
      </c>
      <c r="BQ386" s="50" t="s">
        <v>2263</v>
      </c>
      <c r="BR386" s="50" t="s">
        <v>2264</v>
      </c>
      <c r="BS386" s="50" t="s">
        <v>2569</v>
      </c>
      <c r="BU386" s="50" t="s">
        <v>13463</v>
      </c>
      <c r="BV386" s="50" t="s">
        <v>13464</v>
      </c>
      <c r="BW386" s="50" t="s">
        <v>354</v>
      </c>
      <c r="BX386" s="50" t="s">
        <v>13465</v>
      </c>
      <c r="BY386" s="50" t="s">
        <v>2573</v>
      </c>
      <c r="BZ386" s="50" t="s">
        <v>2574</v>
      </c>
      <c r="CA386" s="50" t="s">
        <v>13466</v>
      </c>
      <c r="CB386" s="50" t="s">
        <v>13467</v>
      </c>
      <c r="CC386" s="50" t="s">
        <v>13468</v>
      </c>
      <c r="CD386" s="50" t="s">
        <v>13469</v>
      </c>
      <c r="CE386" s="50" t="s">
        <v>13470</v>
      </c>
      <c r="CF386" s="50" t="s">
        <v>13471</v>
      </c>
      <c r="CG386" s="50" t="s">
        <v>2575</v>
      </c>
      <c r="CH386" s="50" t="s">
        <v>13472</v>
      </c>
      <c r="CJ386" s="50" t="s">
        <v>2272</v>
      </c>
      <c r="CK386" s="50" t="s">
        <v>2576</v>
      </c>
      <c r="CL386" s="50" t="s">
        <v>2327</v>
      </c>
      <c r="CM386" s="50" t="s">
        <v>730</v>
      </c>
      <c r="CN386" s="50" t="s">
        <v>2272</v>
      </c>
      <c r="CO386" s="50" t="s">
        <v>2577</v>
      </c>
      <c r="CP386" s="50" t="s">
        <v>2576</v>
      </c>
      <c r="CQ386" s="50" t="s">
        <v>2576</v>
      </c>
      <c r="CR386" s="50" t="s">
        <v>26055</v>
      </c>
    </row>
    <row r="387" spans="1:96">
      <c r="A387" s="50" t="s">
        <v>149</v>
      </c>
      <c r="B387" s="50">
        <v>3878188</v>
      </c>
      <c r="C387" s="50" t="s">
        <v>12018</v>
      </c>
      <c r="D387" s="50" t="s">
        <v>7773</v>
      </c>
      <c r="E387" s="50" t="e">
        <f>VLOOKUP(B387,aa!B:F,5,0)</f>
        <v>#N/A</v>
      </c>
      <c r="F387" s="50" t="e">
        <f>VLOOKUP(B387,aa!B:J,9,0)</f>
        <v>#N/A</v>
      </c>
      <c r="G387" s="50" t="e">
        <f>VLOOKUP(B387,aa!B:L,11,0)</f>
        <v>#N/A</v>
      </c>
      <c r="H387" s="50" t="e">
        <f>VLOOKUP(B387,aa!B:O,14,0)</f>
        <v>#N/A</v>
      </c>
      <c r="I387" s="50" t="e">
        <f>VLOOKUP(B387,aa!B:R,17,0)</f>
        <v>#N/A</v>
      </c>
      <c r="K387" s="50" t="s">
        <v>97</v>
      </c>
      <c r="L387" s="50">
        <v>354015</v>
      </c>
      <c r="M387" s="50">
        <v>354015</v>
      </c>
      <c r="N387" s="50">
        <v>354015</v>
      </c>
      <c r="O387" s="50">
        <v>493</v>
      </c>
      <c r="P387" s="50" t="s">
        <v>13170</v>
      </c>
      <c r="Q387" s="50">
        <v>0</v>
      </c>
      <c r="R387" s="50">
        <v>0</v>
      </c>
      <c r="T387" s="50">
        <v>0</v>
      </c>
      <c r="U387" s="50">
        <v>0</v>
      </c>
      <c r="W387" s="50" t="s">
        <v>102</v>
      </c>
      <c r="X387" s="50" t="s">
        <v>275</v>
      </c>
      <c r="Z387" s="50" t="s">
        <v>126</v>
      </c>
      <c r="AA387" s="50" t="s">
        <v>109</v>
      </c>
      <c r="AB387" s="50" t="s">
        <v>102</v>
      </c>
      <c r="AC387" s="50" t="s">
        <v>109</v>
      </c>
      <c r="AD387" s="50" t="s">
        <v>102</v>
      </c>
      <c r="AE387" s="50" t="s">
        <v>109</v>
      </c>
      <c r="AF387" s="50" t="s">
        <v>102</v>
      </c>
      <c r="AG387" s="50" t="s">
        <v>109</v>
      </c>
      <c r="AH387" s="50" t="s">
        <v>102</v>
      </c>
      <c r="AI387" s="50" t="s">
        <v>17217</v>
      </c>
      <c r="AJ387" s="50" t="s">
        <v>13832</v>
      </c>
      <c r="AK387" s="50" t="s">
        <v>13832</v>
      </c>
      <c r="AL387" s="50" t="s">
        <v>17218</v>
      </c>
      <c r="AM387" s="50" t="s">
        <v>17219</v>
      </c>
      <c r="AN387" s="50" t="s">
        <v>102</v>
      </c>
      <c r="AO387" s="50" t="s">
        <v>317</v>
      </c>
      <c r="AP387" s="50" t="s">
        <v>116</v>
      </c>
      <c r="AQ387" s="50" t="s">
        <v>343</v>
      </c>
      <c r="AU387" s="50" t="s">
        <v>318</v>
      </c>
      <c r="AV387" s="50" t="s">
        <v>118</v>
      </c>
      <c r="AW387" s="50" t="s">
        <v>102</v>
      </c>
      <c r="AX387" s="50" t="s">
        <v>119</v>
      </c>
      <c r="BB387" s="50" t="s">
        <v>120</v>
      </c>
      <c r="BC387" s="50" t="s">
        <v>7776</v>
      </c>
      <c r="BD387" s="50" t="s">
        <v>320</v>
      </c>
      <c r="BE387" s="50" t="s">
        <v>122</v>
      </c>
      <c r="BF387" s="50" t="s">
        <v>123</v>
      </c>
      <c r="BG387" s="50" t="s">
        <v>124</v>
      </c>
      <c r="BH387" s="50" t="s">
        <v>12023</v>
      </c>
      <c r="BI387" s="50" t="s">
        <v>11889</v>
      </c>
      <c r="BJ387" s="50" t="s">
        <v>127</v>
      </c>
      <c r="BK387" s="50" t="s">
        <v>17220</v>
      </c>
      <c r="BL387" s="50" t="s">
        <v>7778</v>
      </c>
      <c r="BM387" s="50" t="s">
        <v>17221</v>
      </c>
      <c r="BN387" s="50" t="s">
        <v>11927</v>
      </c>
      <c r="BO387" s="50" t="s">
        <v>593</v>
      </c>
      <c r="BP387" s="50" t="s">
        <v>350</v>
      </c>
      <c r="BQ387" s="50" t="s">
        <v>594</v>
      </c>
      <c r="BR387" s="50" t="s">
        <v>595</v>
      </c>
      <c r="BS387" s="50" t="s">
        <v>328</v>
      </c>
      <c r="BU387" s="50" t="s">
        <v>17222</v>
      </c>
      <c r="BV387" s="50" t="s">
        <v>7781</v>
      </c>
      <c r="BW387" s="50" t="s">
        <v>354</v>
      </c>
      <c r="BX387" s="50" t="s">
        <v>7782</v>
      </c>
      <c r="BY387" s="50" t="s">
        <v>7783</v>
      </c>
      <c r="BZ387" s="50" t="s">
        <v>7782</v>
      </c>
      <c r="CA387" s="50" t="s">
        <v>7781</v>
      </c>
      <c r="CB387" s="50" t="s">
        <v>7782</v>
      </c>
      <c r="CC387" s="50" t="s">
        <v>7783</v>
      </c>
      <c r="CD387" s="50" t="s">
        <v>17223</v>
      </c>
      <c r="CE387" s="50" t="s">
        <v>7782</v>
      </c>
      <c r="CF387" s="50" t="s">
        <v>17224</v>
      </c>
      <c r="CG387" s="50" t="s">
        <v>102</v>
      </c>
      <c r="CH387" s="50" t="s">
        <v>7784</v>
      </c>
      <c r="CJ387" s="50" t="s">
        <v>7785</v>
      </c>
      <c r="CL387" s="50" t="s">
        <v>7776</v>
      </c>
      <c r="CM387" s="50" t="s">
        <v>320</v>
      </c>
      <c r="CN387" s="50" t="s">
        <v>7785</v>
      </c>
      <c r="CP387" s="50" t="s">
        <v>7784</v>
      </c>
      <c r="CQ387" s="50" t="s">
        <v>7784</v>
      </c>
    </row>
    <row r="388" spans="1:96">
      <c r="A388" s="50" t="s">
        <v>337</v>
      </c>
      <c r="B388" s="50">
        <v>5018545</v>
      </c>
      <c r="C388" s="50" t="s">
        <v>293</v>
      </c>
      <c r="D388" s="50" t="s">
        <v>20017</v>
      </c>
      <c r="E388" s="50" t="e">
        <f>VLOOKUP(B388,aa!B:F,5,0)</f>
        <v>#N/A</v>
      </c>
      <c r="F388" s="50" t="e">
        <f>VLOOKUP(B388,aa!B:J,9,0)</f>
        <v>#N/A</v>
      </c>
      <c r="G388" s="50" t="e">
        <f>VLOOKUP(B388,aa!B:L,11,0)</f>
        <v>#N/A</v>
      </c>
      <c r="H388" s="50" t="e">
        <f>VLOOKUP(B388,aa!B:O,14,0)</f>
        <v>#N/A</v>
      </c>
      <c r="I388" s="50" t="e">
        <f>VLOOKUP(B388,aa!B:R,17,0)</f>
        <v>#N/A</v>
      </c>
      <c r="K388" s="50" t="s">
        <v>152</v>
      </c>
      <c r="L388" s="50">
        <v>353629</v>
      </c>
      <c r="M388" s="50">
        <v>353629</v>
      </c>
      <c r="N388" s="50">
        <v>0</v>
      </c>
      <c r="O388" s="50">
        <v>0</v>
      </c>
      <c r="Q388" s="50">
        <v>353629</v>
      </c>
      <c r="R388" s="50">
        <v>262</v>
      </c>
      <c r="S388" s="50" t="s">
        <v>397</v>
      </c>
      <c r="T388" s="50">
        <v>0</v>
      </c>
      <c r="U388" s="50">
        <v>0</v>
      </c>
      <c r="W388" s="50" t="s">
        <v>102</v>
      </c>
      <c r="X388" s="50" t="s">
        <v>103</v>
      </c>
      <c r="Y388" s="50" t="s">
        <v>398</v>
      </c>
      <c r="AA388" s="50" t="s">
        <v>8537</v>
      </c>
      <c r="AB388" s="50" t="s">
        <v>2302</v>
      </c>
      <c r="AC388" s="50" t="s">
        <v>12099</v>
      </c>
      <c r="AD388" s="50" t="s">
        <v>20018</v>
      </c>
      <c r="AE388" s="50" t="s">
        <v>12713</v>
      </c>
      <c r="AF388" s="50" t="s">
        <v>20019</v>
      </c>
      <c r="AG388" s="50" t="s">
        <v>109</v>
      </c>
      <c r="AH388" s="50" t="s">
        <v>102</v>
      </c>
      <c r="AI388" s="50" t="s">
        <v>102</v>
      </c>
      <c r="AJ388" s="50" t="s">
        <v>15564</v>
      </c>
      <c r="AK388" s="50" t="s">
        <v>12975</v>
      </c>
      <c r="AL388" s="50" t="s">
        <v>20020</v>
      </c>
      <c r="AM388" s="50" t="s">
        <v>20021</v>
      </c>
      <c r="AN388" s="50" t="s">
        <v>20022</v>
      </c>
      <c r="AO388" s="50" t="s">
        <v>18913</v>
      </c>
      <c r="AP388" s="50" t="s">
        <v>18913</v>
      </c>
      <c r="AU388" s="50" t="s">
        <v>102</v>
      </c>
      <c r="AW388" s="50" t="s">
        <v>155</v>
      </c>
      <c r="AX388" s="50" t="s">
        <v>119</v>
      </c>
      <c r="AY388" s="50" t="s">
        <v>1138</v>
      </c>
      <c r="AZ388" s="50" t="s">
        <v>118</v>
      </c>
      <c r="BB388" s="50" t="s">
        <v>120</v>
      </c>
      <c r="BC388" s="50" t="s">
        <v>758</v>
      </c>
      <c r="BD388" s="50" t="s">
        <v>211</v>
      </c>
      <c r="BE388" s="50" t="s">
        <v>212</v>
      </c>
      <c r="BF388" s="50" t="s">
        <v>213</v>
      </c>
      <c r="BG388" s="50" t="s">
        <v>124</v>
      </c>
      <c r="BH388" s="50" t="s">
        <v>11932</v>
      </c>
      <c r="BI388" s="50" t="s">
        <v>20023</v>
      </c>
      <c r="BJ388" s="50" t="s">
        <v>127</v>
      </c>
      <c r="BK388" s="50" t="s">
        <v>20024</v>
      </c>
      <c r="BL388" s="50" t="s">
        <v>20025</v>
      </c>
      <c r="BM388" s="50" t="s">
        <v>20026</v>
      </c>
      <c r="BN388" s="50" t="s">
        <v>11927</v>
      </c>
      <c r="BO388" s="50" t="s">
        <v>14067</v>
      </c>
      <c r="BP388" s="50" t="s">
        <v>132</v>
      </c>
      <c r="BQ388" s="50" t="s">
        <v>14068</v>
      </c>
      <c r="BR388" s="50" t="s">
        <v>14069</v>
      </c>
      <c r="BS388" s="50" t="s">
        <v>2463</v>
      </c>
      <c r="BU388" s="50" t="s">
        <v>20027</v>
      </c>
      <c r="BV388" s="50" t="s">
        <v>20028</v>
      </c>
      <c r="BW388" s="50" t="s">
        <v>138</v>
      </c>
      <c r="BX388" s="50" t="s">
        <v>20029</v>
      </c>
      <c r="BY388" s="50" t="s">
        <v>20030</v>
      </c>
      <c r="BZ388" s="50" t="s">
        <v>20029</v>
      </c>
      <c r="CA388" s="50" t="s">
        <v>20028</v>
      </c>
      <c r="CB388" s="50" t="s">
        <v>20029</v>
      </c>
      <c r="CC388" s="50" t="s">
        <v>20030</v>
      </c>
      <c r="CD388" s="50" t="s">
        <v>20028</v>
      </c>
      <c r="CE388" s="50" t="s">
        <v>20029</v>
      </c>
      <c r="CF388" s="50" t="s">
        <v>20030</v>
      </c>
      <c r="CG388" s="50" t="s">
        <v>20031</v>
      </c>
      <c r="CH388" s="50" t="s">
        <v>20032</v>
      </c>
      <c r="CJ388" s="50" t="s">
        <v>20033</v>
      </c>
      <c r="CK388" s="50" t="s">
        <v>20034</v>
      </c>
      <c r="CL388" s="50" t="s">
        <v>758</v>
      </c>
      <c r="CM388" s="50" t="s">
        <v>211</v>
      </c>
      <c r="CN388" s="50" t="s">
        <v>20033</v>
      </c>
      <c r="CP388" s="50" t="s">
        <v>20035</v>
      </c>
      <c r="CQ388" s="50" t="s">
        <v>20036</v>
      </c>
      <c r="CR388" s="50" t="s">
        <v>26044</v>
      </c>
    </row>
    <row r="389" spans="1:96">
      <c r="A389" s="50" t="s">
        <v>93</v>
      </c>
      <c r="B389" s="50">
        <v>2400949</v>
      </c>
      <c r="C389" s="50" t="s">
        <v>11898</v>
      </c>
      <c r="D389" s="50" t="s">
        <v>3226</v>
      </c>
      <c r="E389" s="50" t="str">
        <f>VLOOKUP(B389,aa!B:F,5,0)</f>
        <v>Ei CARES</v>
      </c>
      <c r="F389" s="50">
        <f>VLOOKUP(B389,aa!B:J,9,0)</f>
        <v>356170</v>
      </c>
      <c r="G389" s="50">
        <f>VLOOKUP(B389,aa!B:L,11,0)</f>
        <v>0</v>
      </c>
      <c r="H389" s="50">
        <f>VLOOKUP(B389,aa!B:O,14,0)</f>
        <v>356170</v>
      </c>
      <c r="I389" s="50">
        <f>VLOOKUP(B389,aa!B:R,17,0)</f>
        <v>0</v>
      </c>
      <c r="K389" s="50" t="s">
        <v>152</v>
      </c>
      <c r="L389" s="50">
        <v>399808</v>
      </c>
      <c r="M389" s="50">
        <v>399808</v>
      </c>
      <c r="N389" s="50">
        <v>0</v>
      </c>
      <c r="O389" s="50">
        <v>0</v>
      </c>
      <c r="Q389" s="50">
        <v>399808</v>
      </c>
      <c r="R389" s="50">
        <v>505</v>
      </c>
      <c r="S389" s="50" t="s">
        <v>13887</v>
      </c>
      <c r="T389" s="50">
        <v>0</v>
      </c>
      <c r="U389" s="50">
        <v>0</v>
      </c>
      <c r="W389" s="50" t="s">
        <v>102</v>
      </c>
      <c r="X389" s="50" t="s">
        <v>103</v>
      </c>
      <c r="Y389" s="50" t="s">
        <v>398</v>
      </c>
      <c r="AA389" s="50" t="s">
        <v>11959</v>
      </c>
      <c r="AB389" s="50" t="s">
        <v>13888</v>
      </c>
      <c r="AC389" s="50" t="s">
        <v>5651</v>
      </c>
      <c r="AD389" s="50" t="s">
        <v>13889</v>
      </c>
      <c r="AE389" s="50" t="s">
        <v>12084</v>
      </c>
      <c r="AF389" s="50" t="s">
        <v>13889</v>
      </c>
      <c r="AG389" s="50" t="s">
        <v>109</v>
      </c>
      <c r="AH389" s="50" t="s">
        <v>102</v>
      </c>
      <c r="AI389" s="50" t="s">
        <v>102</v>
      </c>
      <c r="AL389" s="50" t="s">
        <v>13890</v>
      </c>
      <c r="AM389" s="50" t="s">
        <v>102</v>
      </c>
      <c r="AN389" s="50" t="s">
        <v>13890</v>
      </c>
      <c r="AO389" s="50" t="s">
        <v>13891</v>
      </c>
      <c r="AP389" s="50" t="s">
        <v>13891</v>
      </c>
      <c r="AU389" s="50" t="s">
        <v>102</v>
      </c>
      <c r="AW389" s="50" t="s">
        <v>102</v>
      </c>
      <c r="AX389" s="50" t="s">
        <v>447</v>
      </c>
      <c r="AY389" s="50" t="s">
        <v>170</v>
      </c>
      <c r="AZ389" s="50" t="s">
        <v>118</v>
      </c>
      <c r="BB389" s="50" t="s">
        <v>120</v>
      </c>
      <c r="BC389" s="50" t="s">
        <v>3239</v>
      </c>
      <c r="BD389" s="50" t="s">
        <v>449</v>
      </c>
      <c r="BE389" s="50" t="s">
        <v>122</v>
      </c>
      <c r="BF389" s="50" t="s">
        <v>253</v>
      </c>
      <c r="BG389" s="50" t="s">
        <v>124</v>
      </c>
      <c r="BH389" s="50" t="s">
        <v>12023</v>
      </c>
      <c r="BI389" s="50" t="s">
        <v>11889</v>
      </c>
      <c r="BJ389" s="50" t="s">
        <v>127</v>
      </c>
      <c r="BK389" s="50" t="s">
        <v>13892</v>
      </c>
      <c r="BL389" s="50" t="s">
        <v>3241</v>
      </c>
      <c r="BM389" s="50" t="s">
        <v>13893</v>
      </c>
      <c r="BN389" s="50" t="s">
        <v>13886</v>
      </c>
      <c r="BO389" s="50" t="s">
        <v>3243</v>
      </c>
      <c r="BP389" s="50" t="s">
        <v>505</v>
      </c>
      <c r="BQ389" s="50" t="s">
        <v>3244</v>
      </c>
      <c r="BR389" s="50" t="s">
        <v>3245</v>
      </c>
      <c r="BS389" s="50" t="s">
        <v>3246</v>
      </c>
      <c r="BT389" s="50" t="s">
        <v>135</v>
      </c>
      <c r="BU389" s="50" t="s">
        <v>13894</v>
      </c>
      <c r="BV389" s="50" t="s">
        <v>3248</v>
      </c>
      <c r="BW389" s="50" t="s">
        <v>138</v>
      </c>
      <c r="BX389" s="50" t="s">
        <v>3249</v>
      </c>
      <c r="BY389" s="50" t="s">
        <v>3250</v>
      </c>
      <c r="BZ389" s="50" t="s">
        <v>3249</v>
      </c>
      <c r="CA389" s="50" t="s">
        <v>3248</v>
      </c>
      <c r="CB389" s="50" t="s">
        <v>3249</v>
      </c>
      <c r="CC389" s="50" t="s">
        <v>3250</v>
      </c>
      <c r="CD389" s="50" t="s">
        <v>13895</v>
      </c>
      <c r="CE389" s="50" t="s">
        <v>13896</v>
      </c>
      <c r="CF389" s="50" t="s">
        <v>13897</v>
      </c>
      <c r="CG389" s="50" t="s">
        <v>3251</v>
      </c>
      <c r="CH389" s="50" t="s">
        <v>13898</v>
      </c>
      <c r="CJ389" s="50" t="s">
        <v>3253</v>
      </c>
      <c r="CK389" s="50" t="s">
        <v>13898</v>
      </c>
      <c r="CL389" s="50" t="s">
        <v>3239</v>
      </c>
      <c r="CM389" s="50" t="s">
        <v>449</v>
      </c>
      <c r="CN389" s="50" t="s">
        <v>3253</v>
      </c>
      <c r="CP389" s="50" t="s">
        <v>3252</v>
      </c>
      <c r="CQ389" s="50" t="s">
        <v>3252</v>
      </c>
    </row>
    <row r="390" spans="1:96">
      <c r="A390" s="50" t="s">
        <v>149</v>
      </c>
      <c r="B390" s="50">
        <v>5014602</v>
      </c>
      <c r="C390" s="50" t="s">
        <v>18599</v>
      </c>
      <c r="D390" s="50" t="s">
        <v>23438</v>
      </c>
      <c r="E390" s="50" t="e">
        <f>VLOOKUP(B390,aa!B:F,5,0)</f>
        <v>#N/A</v>
      </c>
      <c r="F390" s="50" t="e">
        <f>VLOOKUP(B390,aa!B:J,9,0)</f>
        <v>#N/A</v>
      </c>
      <c r="G390" s="50" t="e">
        <f>VLOOKUP(B390,aa!B:L,11,0)</f>
        <v>#N/A</v>
      </c>
      <c r="H390" s="50" t="e">
        <f>VLOOKUP(B390,aa!B:O,14,0)</f>
        <v>#N/A</v>
      </c>
      <c r="I390" s="50" t="e">
        <f>VLOOKUP(B390,aa!B:R,17,0)</f>
        <v>#N/A</v>
      </c>
      <c r="K390" s="50" t="s">
        <v>2884</v>
      </c>
      <c r="L390" s="50">
        <v>0</v>
      </c>
      <c r="M390" s="50">
        <v>0</v>
      </c>
      <c r="N390" s="50">
        <v>0</v>
      </c>
      <c r="O390" s="50">
        <v>309</v>
      </c>
      <c r="P390" s="50" t="s">
        <v>102</v>
      </c>
      <c r="Q390" s="50">
        <v>0</v>
      </c>
      <c r="R390" s="50">
        <v>354</v>
      </c>
      <c r="S390" s="50" t="s">
        <v>102</v>
      </c>
      <c r="T390" s="50">
        <v>0</v>
      </c>
      <c r="U390" s="50">
        <v>379</v>
      </c>
      <c r="V390" s="50" t="s">
        <v>102</v>
      </c>
      <c r="W390" s="50" t="s">
        <v>102</v>
      </c>
      <c r="X390" s="50" t="s">
        <v>275</v>
      </c>
      <c r="Z390" s="50" t="s">
        <v>18601</v>
      </c>
      <c r="AA390" s="50" t="s">
        <v>109</v>
      </c>
      <c r="AB390" s="50" t="s">
        <v>102</v>
      </c>
      <c r="AC390" s="50" t="s">
        <v>109</v>
      </c>
      <c r="AD390" s="50" t="s">
        <v>102</v>
      </c>
      <c r="AE390" s="50" t="s">
        <v>109</v>
      </c>
      <c r="AF390" s="50" t="s">
        <v>102</v>
      </c>
      <c r="AG390" s="50" t="s">
        <v>109</v>
      </c>
      <c r="AH390" s="50" t="s">
        <v>102</v>
      </c>
      <c r="AI390" s="50" t="s">
        <v>102</v>
      </c>
      <c r="AL390" s="50" t="s">
        <v>102</v>
      </c>
      <c r="AM390" s="50" t="s">
        <v>102</v>
      </c>
      <c r="AN390" s="50" t="s">
        <v>102</v>
      </c>
      <c r="AO390" s="50" t="s">
        <v>115</v>
      </c>
      <c r="AP390" s="50" t="s">
        <v>115</v>
      </c>
      <c r="AU390" s="50" t="s">
        <v>18576</v>
      </c>
      <c r="AV390" s="50" t="s">
        <v>250</v>
      </c>
      <c r="AW390" s="50" t="s">
        <v>155</v>
      </c>
      <c r="AX390" s="50" t="s">
        <v>119</v>
      </c>
      <c r="AZ390" s="50" t="s">
        <v>250</v>
      </c>
      <c r="BA390" s="50" t="s">
        <v>250</v>
      </c>
      <c r="BB390" s="50" t="s">
        <v>9282</v>
      </c>
      <c r="BC390" s="50" t="s">
        <v>18602</v>
      </c>
      <c r="BD390" s="50" t="s">
        <v>449</v>
      </c>
      <c r="BE390" s="50" t="s">
        <v>122</v>
      </c>
      <c r="BF390" s="50" t="s">
        <v>253</v>
      </c>
      <c r="BG390" s="50" t="s">
        <v>124</v>
      </c>
      <c r="BH390" s="50" t="s">
        <v>18603</v>
      </c>
      <c r="BI390" s="50" t="s">
        <v>12963</v>
      </c>
      <c r="BJ390" s="50" t="s">
        <v>127</v>
      </c>
      <c r="BK390" s="50" t="s">
        <v>18604</v>
      </c>
      <c r="BL390" s="50" t="s">
        <v>9284</v>
      </c>
      <c r="BM390" s="50" t="s">
        <v>18605</v>
      </c>
      <c r="BN390" s="50" t="s">
        <v>18600</v>
      </c>
      <c r="BO390" s="50" t="s">
        <v>3267</v>
      </c>
      <c r="BP390" s="50" t="s">
        <v>350</v>
      </c>
      <c r="BQ390" s="50" t="s">
        <v>3268</v>
      </c>
      <c r="BR390" s="50" t="s">
        <v>3269</v>
      </c>
      <c r="BS390" s="50" t="s">
        <v>135</v>
      </c>
      <c r="BU390" s="50" t="s">
        <v>18606</v>
      </c>
      <c r="BV390" s="50" t="s">
        <v>18607</v>
      </c>
      <c r="BW390" s="50" t="s">
        <v>354</v>
      </c>
      <c r="BX390" s="50" t="s">
        <v>18608</v>
      </c>
      <c r="BY390" s="50" t="s">
        <v>18609</v>
      </c>
      <c r="BZ390" s="50" t="s">
        <v>9287</v>
      </c>
      <c r="CA390" s="50" t="s">
        <v>18607</v>
      </c>
      <c r="CB390" s="50" t="s">
        <v>18608</v>
      </c>
      <c r="CC390" s="50" t="s">
        <v>18610</v>
      </c>
      <c r="CD390" s="50" t="s">
        <v>18607</v>
      </c>
      <c r="CE390" s="50" t="s">
        <v>18608</v>
      </c>
      <c r="CF390" s="50" t="s">
        <v>18610</v>
      </c>
      <c r="CG390" s="50" t="s">
        <v>102</v>
      </c>
      <c r="CH390" s="50" t="s">
        <v>18611</v>
      </c>
      <c r="CJ390" s="50" t="s">
        <v>9102</v>
      </c>
      <c r="CL390" s="50" t="s">
        <v>9290</v>
      </c>
      <c r="CM390" s="50" t="s">
        <v>449</v>
      </c>
      <c r="CN390" s="50" t="s">
        <v>9291</v>
      </c>
      <c r="CP390" s="50" t="s">
        <v>9288</v>
      </c>
      <c r="CQ390" s="50" t="s">
        <v>9289</v>
      </c>
    </row>
    <row r="391" spans="1:96">
      <c r="A391" s="50" t="s">
        <v>495</v>
      </c>
      <c r="B391" s="50">
        <v>1933</v>
      </c>
      <c r="C391" s="50" t="s">
        <v>2525</v>
      </c>
      <c r="D391" s="50" t="s">
        <v>2249</v>
      </c>
      <c r="E391" s="50" t="e">
        <f>VLOOKUP(B391,aa!B:F,5,0)</f>
        <v>#N/A</v>
      </c>
      <c r="F391" s="50" t="e">
        <f>VLOOKUP(B391,aa!B:J,9,0)</f>
        <v>#N/A</v>
      </c>
      <c r="G391" s="50" t="e">
        <f>VLOOKUP(B391,aa!B:L,11,0)</f>
        <v>#N/A</v>
      </c>
      <c r="H391" s="50" t="e">
        <f>VLOOKUP(B391,aa!B:O,14,0)</f>
        <v>#N/A</v>
      </c>
      <c r="I391" s="50" t="e">
        <f>VLOOKUP(B391,aa!B:R,17,0)</f>
        <v>#N/A</v>
      </c>
      <c r="K391" s="50" t="s">
        <v>152</v>
      </c>
      <c r="L391" s="50">
        <v>1686539</v>
      </c>
      <c r="M391" s="50">
        <v>1686539</v>
      </c>
      <c r="N391" s="50">
        <v>0</v>
      </c>
      <c r="O391" s="50">
        <v>0</v>
      </c>
      <c r="Q391" s="50">
        <v>1686539</v>
      </c>
      <c r="R391" s="50">
        <v>992</v>
      </c>
      <c r="S391" s="50" t="s">
        <v>1469</v>
      </c>
      <c r="T391" s="50">
        <v>0</v>
      </c>
      <c r="U391" s="50">
        <v>0</v>
      </c>
      <c r="W391" s="50" t="s">
        <v>102</v>
      </c>
      <c r="X391" s="50" t="s">
        <v>103</v>
      </c>
      <c r="Y391" s="50" t="s">
        <v>104</v>
      </c>
      <c r="AA391" s="50" t="s">
        <v>7484</v>
      </c>
      <c r="AB391" s="50" t="s">
        <v>13187</v>
      </c>
      <c r="AC391" s="50" t="s">
        <v>12289</v>
      </c>
      <c r="AD391" s="50" t="s">
        <v>13187</v>
      </c>
      <c r="AE391" s="50" t="s">
        <v>109</v>
      </c>
      <c r="AF391" s="50" t="s">
        <v>102</v>
      </c>
      <c r="AG391" s="50" t="s">
        <v>109</v>
      </c>
      <c r="AH391" s="50" t="s">
        <v>102</v>
      </c>
      <c r="AI391" s="50" t="s">
        <v>13188</v>
      </c>
      <c r="AJ391" s="50" t="s">
        <v>12715</v>
      </c>
      <c r="AK391" s="50" t="s">
        <v>13189</v>
      </c>
      <c r="AL391" s="50" t="s">
        <v>13190</v>
      </c>
      <c r="AM391" s="50" t="s">
        <v>13191</v>
      </c>
      <c r="AN391" s="50" t="s">
        <v>13192</v>
      </c>
      <c r="AO391" s="50" t="s">
        <v>2257</v>
      </c>
      <c r="AP391" s="50" t="s">
        <v>13193</v>
      </c>
      <c r="AT391" s="50" t="s">
        <v>169</v>
      </c>
      <c r="AU391" s="50" t="s">
        <v>102</v>
      </c>
      <c r="AW391" s="50" t="s">
        <v>155</v>
      </c>
      <c r="AX391" s="50" t="s">
        <v>119</v>
      </c>
      <c r="AY391" s="50" t="s">
        <v>170</v>
      </c>
      <c r="AZ391" s="50" t="s">
        <v>118</v>
      </c>
      <c r="BB391" s="50" t="s">
        <v>1964</v>
      </c>
      <c r="BC391" s="50" t="s">
        <v>2258</v>
      </c>
      <c r="BD391" s="50" t="s">
        <v>730</v>
      </c>
      <c r="BE391" s="50" t="s">
        <v>622</v>
      </c>
      <c r="BF391" s="50" t="s">
        <v>730</v>
      </c>
      <c r="BG391" s="50" t="s">
        <v>124</v>
      </c>
      <c r="BH391" s="50" t="s">
        <v>11959</v>
      </c>
      <c r="BI391" s="50" t="s">
        <v>11960</v>
      </c>
      <c r="BJ391" s="50" t="s">
        <v>127</v>
      </c>
      <c r="BK391" s="50" t="s">
        <v>13194</v>
      </c>
      <c r="BL391" s="50" t="s">
        <v>2260</v>
      </c>
      <c r="BM391" s="50" t="s">
        <v>13195</v>
      </c>
      <c r="BN391" s="50" t="s">
        <v>13186</v>
      </c>
      <c r="BO391" s="50" t="s">
        <v>734</v>
      </c>
      <c r="BP391" s="50" t="s">
        <v>350</v>
      </c>
      <c r="BQ391" s="50" t="s">
        <v>735</v>
      </c>
      <c r="BR391" s="50" t="s">
        <v>736</v>
      </c>
      <c r="BS391" s="50" t="s">
        <v>737</v>
      </c>
      <c r="BU391" s="50" t="s">
        <v>13196</v>
      </c>
      <c r="BV391" s="50" t="s">
        <v>2266</v>
      </c>
      <c r="BW391" s="50" t="s">
        <v>598</v>
      </c>
      <c r="BX391" s="50" t="s">
        <v>2267</v>
      </c>
      <c r="BY391" s="50" t="s">
        <v>2268</v>
      </c>
      <c r="BZ391" s="50" t="s">
        <v>2269</v>
      </c>
      <c r="CA391" s="50" t="s">
        <v>2266</v>
      </c>
      <c r="CB391" s="50" t="s">
        <v>2267</v>
      </c>
      <c r="CC391" s="50" t="s">
        <v>2268</v>
      </c>
      <c r="CD391" s="50" t="s">
        <v>13197</v>
      </c>
      <c r="CE391" s="50" t="s">
        <v>13198</v>
      </c>
      <c r="CF391" s="50" t="s">
        <v>13199</v>
      </c>
      <c r="CG391" s="50" t="s">
        <v>2270</v>
      </c>
      <c r="CH391" s="50" t="s">
        <v>13200</v>
      </c>
      <c r="CJ391" s="50" t="s">
        <v>2272</v>
      </c>
      <c r="CK391" s="50" t="s">
        <v>13200</v>
      </c>
      <c r="CL391" s="50" t="s">
        <v>2258</v>
      </c>
      <c r="CM391" s="50" t="s">
        <v>2273</v>
      </c>
      <c r="CN391" s="50" t="s">
        <v>2272</v>
      </c>
      <c r="CO391" s="50" t="s">
        <v>2274</v>
      </c>
      <c r="CP391" s="50" t="s">
        <v>2271</v>
      </c>
      <c r="CQ391" s="50" t="s">
        <v>2271</v>
      </c>
    </row>
    <row r="392" spans="1:96">
      <c r="A392" s="50" t="s">
        <v>149</v>
      </c>
      <c r="B392" s="50">
        <v>1026343</v>
      </c>
      <c r="C392" s="50" t="s">
        <v>12018</v>
      </c>
      <c r="D392" s="50" t="s">
        <v>308</v>
      </c>
      <c r="E392" s="50" t="e">
        <f>VLOOKUP(B392,aa!B:F,5,0)</f>
        <v>#N/A</v>
      </c>
      <c r="F392" s="50" t="e">
        <f>VLOOKUP(B392,aa!B:J,9,0)</f>
        <v>#N/A</v>
      </c>
      <c r="G392" s="50" t="e">
        <f>VLOOKUP(B392,aa!B:L,11,0)</f>
        <v>#N/A</v>
      </c>
      <c r="H392" s="50" t="e">
        <f>VLOOKUP(B392,aa!B:O,14,0)</f>
        <v>#N/A</v>
      </c>
      <c r="I392" s="50" t="e">
        <f>VLOOKUP(B392,aa!B:R,17,0)</f>
        <v>#N/A</v>
      </c>
      <c r="K392" s="50" t="s">
        <v>97</v>
      </c>
      <c r="L392" s="50">
        <v>71400</v>
      </c>
      <c r="M392" s="50">
        <v>71400</v>
      </c>
      <c r="N392" s="50">
        <v>71400</v>
      </c>
      <c r="O392" s="50">
        <v>119</v>
      </c>
      <c r="P392" s="50" t="s">
        <v>310</v>
      </c>
      <c r="Q392" s="50">
        <v>0</v>
      </c>
      <c r="R392" s="50">
        <v>0</v>
      </c>
      <c r="T392" s="50">
        <v>0</v>
      </c>
      <c r="U392" s="50">
        <v>0</v>
      </c>
      <c r="W392" s="50" t="s">
        <v>102</v>
      </c>
      <c r="X392" s="50" t="s">
        <v>275</v>
      </c>
      <c r="Z392" s="50" t="s">
        <v>12019</v>
      </c>
      <c r="AA392" s="50" t="s">
        <v>109</v>
      </c>
      <c r="AB392" s="50" t="s">
        <v>102</v>
      </c>
      <c r="AC392" s="50" t="s">
        <v>109</v>
      </c>
      <c r="AD392" s="50" t="s">
        <v>102</v>
      </c>
      <c r="AE392" s="50" t="s">
        <v>109</v>
      </c>
      <c r="AF392" s="50" t="s">
        <v>102</v>
      </c>
      <c r="AG392" s="50" t="s">
        <v>109</v>
      </c>
      <c r="AH392" s="50" t="s">
        <v>102</v>
      </c>
      <c r="AI392" s="50" t="s">
        <v>102</v>
      </c>
      <c r="AJ392" s="50" t="s">
        <v>12020</v>
      </c>
      <c r="AK392" s="50" t="s">
        <v>12020</v>
      </c>
      <c r="AL392" s="50" t="s">
        <v>9118</v>
      </c>
      <c r="AM392" s="50" t="s">
        <v>12021</v>
      </c>
      <c r="AN392" s="50" t="s">
        <v>12022</v>
      </c>
      <c r="AO392" s="50" t="s">
        <v>317</v>
      </c>
      <c r="AP392" s="50" t="s">
        <v>317</v>
      </c>
      <c r="AU392" s="50" t="s">
        <v>318</v>
      </c>
      <c r="AV392" s="50" t="s">
        <v>118</v>
      </c>
      <c r="AW392" s="50" t="s">
        <v>102</v>
      </c>
      <c r="AX392" s="50" t="s">
        <v>119</v>
      </c>
      <c r="BB392" s="50" t="s">
        <v>120</v>
      </c>
      <c r="BC392" s="50" t="s">
        <v>319</v>
      </c>
      <c r="BD392" s="50" t="s">
        <v>320</v>
      </c>
      <c r="BE392" s="50" t="s">
        <v>122</v>
      </c>
      <c r="BF392" s="50" t="s">
        <v>123</v>
      </c>
      <c r="BG392" s="50" t="s">
        <v>124</v>
      </c>
      <c r="BH392" s="50" t="s">
        <v>12023</v>
      </c>
      <c r="BI392" s="50" t="s">
        <v>11889</v>
      </c>
      <c r="BJ392" s="50" t="s">
        <v>127</v>
      </c>
      <c r="BK392" s="50" t="s">
        <v>12024</v>
      </c>
      <c r="BL392" s="50" t="s">
        <v>323</v>
      </c>
      <c r="BM392" s="50" t="s">
        <v>12025</v>
      </c>
      <c r="BN392" s="50" t="s">
        <v>8537</v>
      </c>
      <c r="BO392" s="50" t="s">
        <v>593</v>
      </c>
      <c r="BP392" s="50" t="s">
        <v>350</v>
      </c>
      <c r="BQ392" s="50" t="s">
        <v>594</v>
      </c>
      <c r="BR392" s="50" t="s">
        <v>595</v>
      </c>
      <c r="BS392" s="50" t="s">
        <v>328</v>
      </c>
      <c r="BU392" s="50" t="s">
        <v>12026</v>
      </c>
      <c r="BV392" s="50" t="s">
        <v>6234</v>
      </c>
      <c r="BW392" s="50" t="s">
        <v>354</v>
      </c>
      <c r="BX392" s="50" t="s">
        <v>6235</v>
      </c>
      <c r="BY392" s="50" t="s">
        <v>6236</v>
      </c>
      <c r="BZ392" s="50" t="s">
        <v>333</v>
      </c>
      <c r="CA392" s="50" t="s">
        <v>6234</v>
      </c>
      <c r="CB392" s="50" t="s">
        <v>6235</v>
      </c>
      <c r="CC392" s="50" t="s">
        <v>6236</v>
      </c>
      <c r="CD392" s="50" t="s">
        <v>12027</v>
      </c>
      <c r="CE392" s="50" t="s">
        <v>6235</v>
      </c>
      <c r="CF392" s="50" t="s">
        <v>12028</v>
      </c>
      <c r="CG392" s="50" t="s">
        <v>334</v>
      </c>
      <c r="CH392" s="50" t="s">
        <v>335</v>
      </c>
      <c r="CJ392" s="50" t="s">
        <v>336</v>
      </c>
      <c r="CK392" s="50" t="s">
        <v>12029</v>
      </c>
      <c r="CL392" s="50" t="s">
        <v>319</v>
      </c>
      <c r="CM392" s="50" t="s">
        <v>320</v>
      </c>
      <c r="CN392" s="50" t="s">
        <v>336</v>
      </c>
      <c r="CP392" s="50" t="s">
        <v>335</v>
      </c>
      <c r="CQ392" s="50" t="s">
        <v>335</v>
      </c>
    </row>
    <row r="393" spans="1:96">
      <c r="A393" s="50" t="s">
        <v>149</v>
      </c>
      <c r="B393" s="50">
        <v>3472778</v>
      </c>
      <c r="C393" s="50" t="s">
        <v>12018</v>
      </c>
      <c r="D393" s="50" t="s">
        <v>6224</v>
      </c>
      <c r="E393" s="50" t="e">
        <f>VLOOKUP(B393,aa!B:F,5,0)</f>
        <v>#N/A</v>
      </c>
      <c r="F393" s="50" t="e">
        <f>VLOOKUP(B393,aa!B:J,9,0)</f>
        <v>#N/A</v>
      </c>
      <c r="G393" s="50" t="e">
        <f>VLOOKUP(B393,aa!B:L,11,0)</f>
        <v>#N/A</v>
      </c>
      <c r="H393" s="50" t="e">
        <f>VLOOKUP(B393,aa!B:O,14,0)</f>
        <v>#N/A</v>
      </c>
      <c r="I393" s="50" t="e">
        <f>VLOOKUP(B393,aa!B:R,17,0)</f>
        <v>#N/A</v>
      </c>
      <c r="K393" s="50" t="s">
        <v>97</v>
      </c>
      <c r="L393" s="50">
        <v>561000</v>
      </c>
      <c r="M393" s="50">
        <v>561000</v>
      </c>
      <c r="N393" s="50">
        <v>561000</v>
      </c>
      <c r="O393" s="50">
        <v>935</v>
      </c>
      <c r="P393" s="50" t="s">
        <v>310</v>
      </c>
      <c r="Q393" s="50">
        <v>0</v>
      </c>
      <c r="R393" s="50">
        <v>0</v>
      </c>
      <c r="T393" s="50">
        <v>0</v>
      </c>
      <c r="U393" s="50">
        <v>0</v>
      </c>
      <c r="W393" s="50" t="s">
        <v>102</v>
      </c>
      <c r="X393" s="50" t="s">
        <v>275</v>
      </c>
      <c r="Z393" s="50" t="s">
        <v>12019</v>
      </c>
      <c r="AA393" s="50" t="s">
        <v>109</v>
      </c>
      <c r="AB393" s="50" t="s">
        <v>102</v>
      </c>
      <c r="AC393" s="50" t="s">
        <v>109</v>
      </c>
      <c r="AD393" s="50" t="s">
        <v>102</v>
      </c>
      <c r="AE393" s="50" t="s">
        <v>109</v>
      </c>
      <c r="AF393" s="50" t="s">
        <v>102</v>
      </c>
      <c r="AG393" s="50" t="s">
        <v>109</v>
      </c>
      <c r="AH393" s="50" t="s">
        <v>102</v>
      </c>
      <c r="AI393" s="50" t="s">
        <v>102</v>
      </c>
      <c r="AJ393" s="50" t="s">
        <v>16162</v>
      </c>
      <c r="AK393" s="50" t="s">
        <v>16162</v>
      </c>
      <c r="AL393" s="50" t="s">
        <v>16163</v>
      </c>
      <c r="AM393" s="50" t="s">
        <v>16164</v>
      </c>
      <c r="AN393" s="50" t="s">
        <v>16165</v>
      </c>
      <c r="AO393" s="50" t="s">
        <v>317</v>
      </c>
      <c r="AP393" s="50" t="s">
        <v>317</v>
      </c>
      <c r="AU393" s="50" t="s">
        <v>318</v>
      </c>
      <c r="AV393" s="50" t="s">
        <v>118</v>
      </c>
      <c r="AW393" s="50" t="s">
        <v>102</v>
      </c>
      <c r="AX393" s="50" t="s">
        <v>119</v>
      </c>
      <c r="BB393" s="50" t="s">
        <v>120</v>
      </c>
      <c r="BC393" s="50" t="s">
        <v>319</v>
      </c>
      <c r="BD393" s="50" t="s">
        <v>320</v>
      </c>
      <c r="BE393" s="50" t="s">
        <v>122</v>
      </c>
      <c r="BF393" s="50" t="s">
        <v>123</v>
      </c>
      <c r="BG393" s="50" t="s">
        <v>124</v>
      </c>
      <c r="BH393" s="50" t="s">
        <v>12023</v>
      </c>
      <c r="BI393" s="50" t="s">
        <v>11889</v>
      </c>
      <c r="BJ393" s="50" t="s">
        <v>127</v>
      </c>
      <c r="BK393" s="50" t="s">
        <v>16166</v>
      </c>
      <c r="BL393" s="50" t="s">
        <v>6231</v>
      </c>
      <c r="BM393" s="50" t="s">
        <v>16167</v>
      </c>
      <c r="BN393" s="50" t="s">
        <v>8537</v>
      </c>
      <c r="BO393" s="50" t="s">
        <v>593</v>
      </c>
      <c r="BP393" s="50" t="s">
        <v>350</v>
      </c>
      <c r="BQ393" s="50" t="s">
        <v>594</v>
      </c>
      <c r="BR393" s="50" t="s">
        <v>595</v>
      </c>
      <c r="BS393" s="50" t="s">
        <v>328</v>
      </c>
      <c r="BU393" s="50" t="s">
        <v>16168</v>
      </c>
      <c r="BV393" s="50" t="s">
        <v>6234</v>
      </c>
      <c r="BW393" s="50" t="s">
        <v>354</v>
      </c>
      <c r="BX393" s="50" t="s">
        <v>6235</v>
      </c>
      <c r="BY393" s="50" t="s">
        <v>6236</v>
      </c>
      <c r="BZ393" s="50" t="s">
        <v>6235</v>
      </c>
      <c r="CA393" s="50" t="s">
        <v>6234</v>
      </c>
      <c r="CB393" s="50" t="s">
        <v>6235</v>
      </c>
      <c r="CC393" s="50" t="s">
        <v>6236</v>
      </c>
      <c r="CD393" s="50" t="s">
        <v>12027</v>
      </c>
      <c r="CE393" s="50" t="s">
        <v>6235</v>
      </c>
      <c r="CF393" s="50" t="s">
        <v>12028</v>
      </c>
      <c r="CG393" s="50" t="s">
        <v>1594</v>
      </c>
      <c r="CH393" s="50" t="s">
        <v>6237</v>
      </c>
      <c r="CJ393" s="50" t="s">
        <v>6238</v>
      </c>
      <c r="CK393" s="50" t="s">
        <v>16169</v>
      </c>
      <c r="CL393" s="50" t="s">
        <v>319</v>
      </c>
      <c r="CM393" s="50" t="s">
        <v>320</v>
      </c>
      <c r="CN393" s="50" t="s">
        <v>6238</v>
      </c>
      <c r="CP393" s="50" t="s">
        <v>6237</v>
      </c>
      <c r="CQ393" s="50" t="s">
        <v>6237</v>
      </c>
    </row>
    <row r="394" spans="1:96">
      <c r="A394" s="50" t="s">
        <v>149</v>
      </c>
      <c r="B394" s="50">
        <v>3999496</v>
      </c>
      <c r="C394" s="50" t="s">
        <v>11898</v>
      </c>
      <c r="D394" s="50" t="s">
        <v>8465</v>
      </c>
      <c r="E394" s="50" t="str">
        <f>VLOOKUP(B394,aa!B:F,5,0)</f>
        <v>Ei ASSET,Ei CARES</v>
      </c>
      <c r="F394" s="50">
        <f>VLOOKUP(B394,aa!B:J,9,0)</f>
        <v>614439</v>
      </c>
      <c r="G394" s="50">
        <f>VLOOKUP(B394,aa!B:L,11,0)</f>
        <v>224795</v>
      </c>
      <c r="H394" s="50">
        <f>VLOOKUP(B394,aa!B:O,14,0)</f>
        <v>389644</v>
      </c>
      <c r="I394" s="50">
        <f>VLOOKUP(B394,aa!B:R,17,0)</f>
        <v>0</v>
      </c>
      <c r="K394" s="50" t="s">
        <v>2044</v>
      </c>
      <c r="L394" s="50">
        <v>565818</v>
      </c>
      <c r="M394" s="50">
        <v>565818</v>
      </c>
      <c r="N394" s="50">
        <v>207296</v>
      </c>
      <c r="O394" s="50">
        <v>454</v>
      </c>
      <c r="P394" s="50" t="s">
        <v>17843</v>
      </c>
      <c r="Q394" s="50">
        <v>358522</v>
      </c>
      <c r="R394" s="50">
        <v>453</v>
      </c>
      <c r="S394" s="50" t="s">
        <v>15401</v>
      </c>
      <c r="T394" s="50">
        <v>0</v>
      </c>
      <c r="U394" s="50">
        <v>0</v>
      </c>
      <c r="W394" s="50" t="s">
        <v>102</v>
      </c>
      <c r="X394" s="50" t="s">
        <v>103</v>
      </c>
      <c r="Y394" s="50" t="s">
        <v>155</v>
      </c>
      <c r="AA394" s="50" t="s">
        <v>15564</v>
      </c>
      <c r="AB394" s="50" t="s">
        <v>17844</v>
      </c>
      <c r="AC394" s="50" t="s">
        <v>13174</v>
      </c>
      <c r="AD394" s="50" t="s">
        <v>17844</v>
      </c>
      <c r="AE394" s="50" t="s">
        <v>13034</v>
      </c>
      <c r="AF394" s="50" t="s">
        <v>17844</v>
      </c>
      <c r="AG394" s="50" t="s">
        <v>3849</v>
      </c>
      <c r="AH394" s="50" t="s">
        <v>17844</v>
      </c>
      <c r="AI394" s="50" t="s">
        <v>102</v>
      </c>
      <c r="AJ394" s="50" t="s">
        <v>11929</v>
      </c>
      <c r="AK394" s="50" t="s">
        <v>17302</v>
      </c>
      <c r="AL394" s="50" t="s">
        <v>17845</v>
      </c>
      <c r="AM394" s="50" t="s">
        <v>17846</v>
      </c>
      <c r="AN394" s="50" t="s">
        <v>17847</v>
      </c>
      <c r="AO394" s="50" t="s">
        <v>17848</v>
      </c>
      <c r="AP394" s="50" t="s">
        <v>17848</v>
      </c>
      <c r="AU394" s="50" t="s">
        <v>318</v>
      </c>
      <c r="AV394" s="50" t="s">
        <v>118</v>
      </c>
      <c r="AW394" s="50" t="s">
        <v>155</v>
      </c>
      <c r="AX394" s="50" t="s">
        <v>447</v>
      </c>
      <c r="AY394" s="50" t="s">
        <v>170</v>
      </c>
      <c r="AZ394" s="50" t="s">
        <v>118</v>
      </c>
      <c r="BB394" s="50" t="s">
        <v>120</v>
      </c>
      <c r="BC394" s="50" t="s">
        <v>4644</v>
      </c>
      <c r="BD394" s="50" t="s">
        <v>320</v>
      </c>
      <c r="BE394" s="50" t="s">
        <v>122</v>
      </c>
      <c r="BF394" s="50" t="s">
        <v>123</v>
      </c>
      <c r="BG394" s="50" t="s">
        <v>124</v>
      </c>
      <c r="BH394" s="50" t="s">
        <v>12023</v>
      </c>
      <c r="BI394" s="50" t="s">
        <v>11889</v>
      </c>
      <c r="BJ394" s="50" t="s">
        <v>127</v>
      </c>
      <c r="BK394" s="50" t="s">
        <v>17849</v>
      </c>
      <c r="BL394" s="50" t="s">
        <v>8475</v>
      </c>
      <c r="BM394" s="50" t="s">
        <v>17850</v>
      </c>
      <c r="BN394" s="50" t="s">
        <v>8537</v>
      </c>
      <c r="BO394" s="50" t="s">
        <v>593</v>
      </c>
      <c r="BP394" s="50" t="s">
        <v>505</v>
      </c>
      <c r="BQ394" s="50" t="s">
        <v>594</v>
      </c>
      <c r="BR394" s="50" t="s">
        <v>595</v>
      </c>
      <c r="BS394" s="50" t="s">
        <v>261</v>
      </c>
      <c r="BU394" s="50" t="s">
        <v>17851</v>
      </c>
      <c r="BV394" s="50" t="s">
        <v>8478</v>
      </c>
      <c r="BW394" s="50" t="s">
        <v>354</v>
      </c>
      <c r="BX394" s="50" t="s">
        <v>8479</v>
      </c>
      <c r="BY394" s="50" t="s">
        <v>8480</v>
      </c>
      <c r="BZ394" s="50" t="s">
        <v>8481</v>
      </c>
      <c r="CA394" s="50" t="s">
        <v>8478</v>
      </c>
      <c r="CB394" s="50" t="s">
        <v>8479</v>
      </c>
      <c r="CC394" s="50" t="s">
        <v>8480</v>
      </c>
      <c r="CD394" s="50" t="s">
        <v>17852</v>
      </c>
      <c r="CE394" s="50" t="s">
        <v>17853</v>
      </c>
      <c r="CF394" s="50" t="s">
        <v>17854</v>
      </c>
      <c r="CG394" s="50" t="s">
        <v>102</v>
      </c>
      <c r="CH394" s="50" t="s">
        <v>8482</v>
      </c>
      <c r="CJ394" s="50" t="s">
        <v>4655</v>
      </c>
      <c r="CL394" s="50" t="s">
        <v>4644</v>
      </c>
      <c r="CM394" s="50" t="s">
        <v>320</v>
      </c>
      <c r="CN394" s="50" t="s">
        <v>4655</v>
      </c>
      <c r="CP394" s="50" t="s">
        <v>8482</v>
      </c>
      <c r="CQ394" s="50" t="s">
        <v>8482</v>
      </c>
    </row>
    <row r="395" spans="1:96">
      <c r="A395" s="50" t="s">
        <v>149</v>
      </c>
      <c r="B395" s="50">
        <v>5018143</v>
      </c>
      <c r="C395" s="50" t="s">
        <v>11995</v>
      </c>
      <c r="D395" s="50" t="s">
        <v>10481</v>
      </c>
      <c r="E395" s="50" t="e">
        <f>VLOOKUP(B395,aa!B:F,5,0)</f>
        <v>#N/A</v>
      </c>
      <c r="F395" s="50" t="e">
        <f>VLOOKUP(B395,aa!B:J,9,0)</f>
        <v>#N/A</v>
      </c>
      <c r="G395" s="50" t="e">
        <f>VLOOKUP(B395,aa!B:L,11,0)</f>
        <v>#N/A</v>
      </c>
      <c r="H395" s="50" t="e">
        <f>VLOOKUP(B395,aa!B:O,14,0)</f>
        <v>#N/A</v>
      </c>
      <c r="I395" s="50" t="e">
        <f>VLOOKUP(B395,aa!B:R,17,0)</f>
        <v>#N/A</v>
      </c>
      <c r="K395" s="50" t="s">
        <v>1746</v>
      </c>
      <c r="L395" s="50">
        <v>0</v>
      </c>
      <c r="M395" s="50">
        <v>0</v>
      </c>
      <c r="N395" s="50">
        <v>0</v>
      </c>
      <c r="O395" s="50">
        <v>186</v>
      </c>
      <c r="P395" s="50" t="s">
        <v>102</v>
      </c>
      <c r="Q395" s="50">
        <v>0</v>
      </c>
      <c r="R395" s="50">
        <v>186</v>
      </c>
      <c r="S395" s="50" t="s">
        <v>102</v>
      </c>
      <c r="T395" s="50">
        <v>0</v>
      </c>
      <c r="U395" s="50">
        <v>256</v>
      </c>
      <c r="V395" s="50" t="s">
        <v>102</v>
      </c>
      <c r="W395" s="50" t="s">
        <v>102</v>
      </c>
      <c r="X395" s="50" t="s">
        <v>275</v>
      </c>
      <c r="Z395" s="50" t="s">
        <v>8537</v>
      </c>
      <c r="AA395" s="50" t="s">
        <v>109</v>
      </c>
      <c r="AB395" s="50" t="s">
        <v>102</v>
      </c>
      <c r="AC395" s="50" t="s">
        <v>109</v>
      </c>
      <c r="AD395" s="50" t="s">
        <v>102</v>
      </c>
      <c r="AE395" s="50" t="s">
        <v>109</v>
      </c>
      <c r="AF395" s="50" t="s">
        <v>102</v>
      </c>
      <c r="AG395" s="50" t="s">
        <v>109</v>
      </c>
      <c r="AH395" s="50" t="s">
        <v>102</v>
      </c>
      <c r="AI395" s="50" t="s">
        <v>102</v>
      </c>
      <c r="AL395" s="50" t="s">
        <v>102</v>
      </c>
      <c r="AM395" s="50" t="s">
        <v>102</v>
      </c>
      <c r="AN395" s="50" t="s">
        <v>102</v>
      </c>
      <c r="AO395" s="50" t="s">
        <v>115</v>
      </c>
      <c r="AP395" s="50" t="s">
        <v>115</v>
      </c>
      <c r="AU395" s="50" t="s">
        <v>6700</v>
      </c>
      <c r="AV395" s="50" t="s">
        <v>250</v>
      </c>
      <c r="AW395" s="50" t="s">
        <v>104</v>
      </c>
      <c r="AX395" s="50" t="s">
        <v>119</v>
      </c>
      <c r="AZ395" s="50" t="s">
        <v>250</v>
      </c>
      <c r="BA395" s="50" t="s">
        <v>250</v>
      </c>
      <c r="BB395" s="50" t="s">
        <v>209</v>
      </c>
      <c r="BC395" s="50" t="s">
        <v>284</v>
      </c>
      <c r="BD395" s="50" t="s">
        <v>285</v>
      </c>
      <c r="BE395" s="50" t="s">
        <v>212</v>
      </c>
      <c r="BF395" s="50" t="s">
        <v>286</v>
      </c>
      <c r="BG395" s="50" t="s">
        <v>124</v>
      </c>
      <c r="BH395" s="50" t="s">
        <v>11959</v>
      </c>
      <c r="BI395" s="50" t="s">
        <v>12047</v>
      </c>
      <c r="BJ395" s="50" t="s">
        <v>127</v>
      </c>
      <c r="BK395" s="50" t="s">
        <v>19397</v>
      </c>
      <c r="BL395" s="50" t="s">
        <v>10484</v>
      </c>
      <c r="BM395" s="50" t="s">
        <v>19398</v>
      </c>
      <c r="BN395" s="50" t="s">
        <v>8537</v>
      </c>
      <c r="BO395" s="50" t="s">
        <v>956</v>
      </c>
      <c r="BP395" s="50" t="s">
        <v>258</v>
      </c>
      <c r="BQ395" s="50" t="s">
        <v>958</v>
      </c>
      <c r="BR395" s="50" t="s">
        <v>959</v>
      </c>
      <c r="BS395" s="50" t="s">
        <v>4765</v>
      </c>
      <c r="BU395" s="50" t="s">
        <v>19399</v>
      </c>
      <c r="BV395" s="50" t="s">
        <v>3585</v>
      </c>
      <c r="BW395" s="50" t="s">
        <v>598</v>
      </c>
      <c r="BX395" s="50" t="s">
        <v>225</v>
      </c>
      <c r="BY395" s="50" t="s">
        <v>226</v>
      </c>
      <c r="CA395" s="50" t="s">
        <v>10476</v>
      </c>
      <c r="CB395" s="50" t="s">
        <v>19395</v>
      </c>
      <c r="CC395" s="50" t="s">
        <v>10477</v>
      </c>
      <c r="CD395" s="50" t="s">
        <v>10476</v>
      </c>
      <c r="CE395" s="50" t="s">
        <v>19395</v>
      </c>
      <c r="CF395" s="50" t="s">
        <v>10477</v>
      </c>
      <c r="CG395" s="50" t="s">
        <v>102</v>
      </c>
      <c r="CH395" s="50" t="s">
        <v>19396</v>
      </c>
      <c r="CJ395" s="50" t="s">
        <v>10479</v>
      </c>
      <c r="CL395" s="50" t="s">
        <v>284</v>
      </c>
      <c r="CM395" s="50" t="s">
        <v>285</v>
      </c>
      <c r="CN395" s="50" t="s">
        <v>10479</v>
      </c>
      <c r="CP395" s="50" t="s">
        <v>10480</v>
      </c>
      <c r="CQ395" s="50" t="s">
        <v>10480</v>
      </c>
      <c r="CR395" s="50" t="s">
        <v>26048</v>
      </c>
    </row>
    <row r="396" spans="1:96">
      <c r="A396" s="50" t="s">
        <v>149</v>
      </c>
      <c r="B396" s="50">
        <v>547865</v>
      </c>
      <c r="C396" s="50" t="s">
        <v>12018</v>
      </c>
      <c r="D396" s="50" t="s">
        <v>21082</v>
      </c>
      <c r="E396" s="50" t="e">
        <f>VLOOKUP(B396,aa!B:F,5,0)</f>
        <v>#N/A</v>
      </c>
      <c r="F396" s="50" t="e">
        <f>VLOOKUP(B396,aa!B:J,9,0)</f>
        <v>#N/A</v>
      </c>
      <c r="G396" s="50" t="e">
        <f>VLOOKUP(B396,aa!B:L,11,0)</f>
        <v>#N/A</v>
      </c>
      <c r="H396" s="50" t="e">
        <f>VLOOKUP(B396,aa!B:O,14,0)</f>
        <v>#N/A</v>
      </c>
      <c r="I396" s="50" t="e">
        <f>VLOOKUP(B396,aa!B:R,17,0)</f>
        <v>#N/A</v>
      </c>
      <c r="K396" s="50" t="s">
        <v>97</v>
      </c>
      <c r="L396" s="50">
        <v>622318</v>
      </c>
      <c r="M396" s="50">
        <v>622318</v>
      </c>
      <c r="N396" s="50">
        <v>622318</v>
      </c>
      <c r="O396" s="50">
        <v>535</v>
      </c>
      <c r="P396" s="50" t="s">
        <v>21083</v>
      </c>
      <c r="Q396" s="50">
        <v>0</v>
      </c>
      <c r="R396" s="50">
        <v>0</v>
      </c>
      <c r="T396" s="50">
        <v>0</v>
      </c>
      <c r="U396" s="50">
        <v>0</v>
      </c>
      <c r="W396" s="50" t="s">
        <v>102</v>
      </c>
      <c r="X396" s="50" t="s">
        <v>103</v>
      </c>
      <c r="Y396" s="50" t="s">
        <v>104</v>
      </c>
      <c r="AA396" s="50" t="s">
        <v>13529</v>
      </c>
      <c r="AB396" s="50" t="s">
        <v>21084</v>
      </c>
      <c r="AC396" s="50" t="s">
        <v>15295</v>
      </c>
      <c r="AD396" s="50" t="s">
        <v>21085</v>
      </c>
      <c r="AE396" s="50" t="s">
        <v>109</v>
      </c>
      <c r="AF396" s="50" t="s">
        <v>102</v>
      </c>
      <c r="AG396" s="50" t="s">
        <v>109</v>
      </c>
      <c r="AH396" s="50" t="s">
        <v>102</v>
      </c>
      <c r="AI396" s="50" t="s">
        <v>102</v>
      </c>
      <c r="AL396" s="50" t="s">
        <v>21086</v>
      </c>
      <c r="AM396" s="50" t="s">
        <v>102</v>
      </c>
      <c r="AN396" s="50" t="s">
        <v>21086</v>
      </c>
      <c r="AO396" s="50" t="s">
        <v>13193</v>
      </c>
      <c r="AP396" s="50" t="s">
        <v>13193</v>
      </c>
      <c r="AU396" s="50" t="s">
        <v>318</v>
      </c>
      <c r="AV396" s="50" t="s">
        <v>118</v>
      </c>
      <c r="AW396" s="50" t="s">
        <v>102</v>
      </c>
      <c r="AX396" s="50" t="s">
        <v>119</v>
      </c>
      <c r="BB396" s="50" t="s">
        <v>120</v>
      </c>
      <c r="BC396" s="50" t="s">
        <v>11027</v>
      </c>
      <c r="BD396" s="50" t="s">
        <v>345</v>
      </c>
      <c r="BE396" s="50" t="s">
        <v>122</v>
      </c>
      <c r="BF396" s="50" t="s">
        <v>346</v>
      </c>
      <c r="BG396" s="50" t="s">
        <v>124</v>
      </c>
      <c r="BH396" s="50" t="s">
        <v>12023</v>
      </c>
      <c r="BI396" s="50" t="s">
        <v>11889</v>
      </c>
      <c r="BJ396" s="50" t="s">
        <v>127</v>
      </c>
      <c r="BK396" s="50" t="s">
        <v>21087</v>
      </c>
      <c r="BL396" s="50" t="s">
        <v>11031</v>
      </c>
      <c r="BM396" s="50" t="s">
        <v>21088</v>
      </c>
      <c r="BN396" s="50" t="s">
        <v>8537</v>
      </c>
      <c r="BO396" s="50" t="s">
        <v>593</v>
      </c>
      <c r="BP396" s="50" t="s">
        <v>350</v>
      </c>
      <c r="BQ396" s="50" t="s">
        <v>594</v>
      </c>
      <c r="BR396" s="50" t="s">
        <v>595</v>
      </c>
      <c r="BS396" s="50" t="s">
        <v>328</v>
      </c>
      <c r="BU396" s="50" t="s">
        <v>21089</v>
      </c>
      <c r="BV396" s="50" t="s">
        <v>11041</v>
      </c>
      <c r="BW396" s="50" t="s">
        <v>598</v>
      </c>
      <c r="BX396" s="50" t="s">
        <v>11040</v>
      </c>
      <c r="BY396" s="50" t="s">
        <v>11042</v>
      </c>
      <c r="BZ396" s="50" t="s">
        <v>11040</v>
      </c>
      <c r="CA396" s="50" t="s">
        <v>21090</v>
      </c>
      <c r="CB396" s="50" t="s">
        <v>11040</v>
      </c>
      <c r="CC396" s="50" t="s">
        <v>11042</v>
      </c>
      <c r="CD396" s="50" t="s">
        <v>11041</v>
      </c>
      <c r="CE396" s="50" t="s">
        <v>11040</v>
      </c>
      <c r="CF396" s="50" t="s">
        <v>11042</v>
      </c>
      <c r="CG396" s="50" t="s">
        <v>11043</v>
      </c>
      <c r="CH396" s="50" t="s">
        <v>21091</v>
      </c>
      <c r="CJ396" s="50" t="s">
        <v>11045</v>
      </c>
      <c r="CK396" s="50" t="s">
        <v>11044</v>
      </c>
      <c r="CL396" s="50" t="s">
        <v>11027</v>
      </c>
      <c r="CM396" s="50" t="s">
        <v>345</v>
      </c>
      <c r="CN396" s="50" t="s">
        <v>11045</v>
      </c>
      <c r="CO396" s="50" t="s">
        <v>11046</v>
      </c>
      <c r="CP396" s="50" t="s">
        <v>11044</v>
      </c>
      <c r="CQ396" s="50" t="s">
        <v>11044</v>
      </c>
    </row>
    <row r="397" spans="1:96">
      <c r="A397" s="50" t="s">
        <v>149</v>
      </c>
      <c r="B397" s="50">
        <v>169040</v>
      </c>
      <c r="C397" s="50" t="s">
        <v>12058</v>
      </c>
      <c r="D397" s="50" t="s">
        <v>1517</v>
      </c>
      <c r="E397" s="50" t="e">
        <f>VLOOKUP(B397,aa!B:F,5,0)</f>
        <v>#N/A</v>
      </c>
      <c r="F397" s="50" t="e">
        <f>VLOOKUP(B397,aa!B:J,9,0)</f>
        <v>#N/A</v>
      </c>
      <c r="G397" s="50" t="e">
        <f>VLOOKUP(B397,aa!B:L,11,0)</f>
        <v>#N/A</v>
      </c>
      <c r="H397" s="50" t="e">
        <f>VLOOKUP(B397,aa!B:O,14,0)</f>
        <v>#N/A</v>
      </c>
      <c r="I397" s="50" t="e">
        <f>VLOOKUP(B397,aa!B:R,17,0)</f>
        <v>#N/A</v>
      </c>
      <c r="K397" s="50" t="s">
        <v>152</v>
      </c>
      <c r="L397" s="50">
        <v>670814</v>
      </c>
      <c r="M397" s="50">
        <v>670814</v>
      </c>
      <c r="N397" s="50">
        <v>0</v>
      </c>
      <c r="O397" s="50">
        <v>0</v>
      </c>
      <c r="Q397" s="50">
        <v>670814</v>
      </c>
      <c r="R397" s="50">
        <v>445</v>
      </c>
      <c r="S397" s="50" t="s">
        <v>12779</v>
      </c>
      <c r="T397" s="50">
        <v>0</v>
      </c>
      <c r="U397" s="50">
        <v>0</v>
      </c>
      <c r="W397" s="50" t="s">
        <v>102</v>
      </c>
      <c r="X397" s="50" t="s">
        <v>103</v>
      </c>
      <c r="Y397" s="50" t="s">
        <v>155</v>
      </c>
      <c r="AA397" s="50" t="s">
        <v>11959</v>
      </c>
      <c r="AB397" s="50" t="s">
        <v>12780</v>
      </c>
      <c r="AC397" s="50" t="s">
        <v>12781</v>
      </c>
      <c r="AD397" s="50" t="s">
        <v>12780</v>
      </c>
      <c r="AE397" s="50" t="s">
        <v>12782</v>
      </c>
      <c r="AF397" s="50" t="s">
        <v>12780</v>
      </c>
      <c r="AG397" s="50" t="s">
        <v>11886</v>
      </c>
      <c r="AH397" s="50" t="s">
        <v>12780</v>
      </c>
      <c r="AI397" s="50" t="s">
        <v>102</v>
      </c>
      <c r="AJ397" s="50" t="s">
        <v>12783</v>
      </c>
      <c r="AK397" s="50" t="s">
        <v>12783</v>
      </c>
      <c r="AL397" s="50" t="s">
        <v>12784</v>
      </c>
      <c r="AM397" s="50" t="s">
        <v>12785</v>
      </c>
      <c r="AN397" s="50" t="s">
        <v>12786</v>
      </c>
      <c r="AO397" s="50" t="s">
        <v>12787</v>
      </c>
      <c r="AP397" s="50" t="s">
        <v>12787</v>
      </c>
      <c r="AU397" s="50" t="s">
        <v>102</v>
      </c>
      <c r="AW397" s="50" t="s">
        <v>3536</v>
      </c>
      <c r="AX397" s="50" t="s">
        <v>119</v>
      </c>
      <c r="AY397" s="50" t="s">
        <v>170</v>
      </c>
      <c r="AZ397" s="50" t="s">
        <v>118</v>
      </c>
      <c r="BB397" s="50" t="s">
        <v>171</v>
      </c>
      <c r="BC397" s="50" t="s">
        <v>375</v>
      </c>
      <c r="BD397" s="50" t="s">
        <v>376</v>
      </c>
      <c r="BE397" s="50" t="s">
        <v>174</v>
      </c>
      <c r="BF397" s="50" t="s">
        <v>376</v>
      </c>
      <c r="BG397" s="50" t="s">
        <v>124</v>
      </c>
      <c r="BH397" s="50" t="s">
        <v>11938</v>
      </c>
      <c r="BI397" s="50" t="s">
        <v>12788</v>
      </c>
      <c r="BJ397" s="50" t="s">
        <v>127</v>
      </c>
      <c r="BK397" s="50" t="s">
        <v>12789</v>
      </c>
      <c r="BL397" s="50" t="s">
        <v>1531</v>
      </c>
      <c r="BM397" s="50" t="s">
        <v>12790</v>
      </c>
      <c r="BN397" s="50" t="s">
        <v>11938</v>
      </c>
      <c r="BO397" s="50" t="s">
        <v>12071</v>
      </c>
      <c r="BP397" s="50" t="s">
        <v>180</v>
      </c>
      <c r="BQ397" s="50" t="s">
        <v>12072</v>
      </c>
      <c r="BR397" s="50" t="s">
        <v>12073</v>
      </c>
      <c r="BS397" s="50" t="s">
        <v>183</v>
      </c>
      <c r="BU397" s="50" t="s">
        <v>12791</v>
      </c>
      <c r="BV397" s="50" t="s">
        <v>12792</v>
      </c>
      <c r="BW397" s="50" t="s">
        <v>138</v>
      </c>
      <c r="BX397" s="50" t="s">
        <v>1536</v>
      </c>
      <c r="BY397" s="50" t="s">
        <v>1537</v>
      </c>
      <c r="BZ397" s="50" t="s">
        <v>1536</v>
      </c>
      <c r="CA397" s="50" t="s">
        <v>12793</v>
      </c>
      <c r="CB397" s="50" t="s">
        <v>12794</v>
      </c>
      <c r="CC397" s="50" t="s">
        <v>12795</v>
      </c>
      <c r="CD397" s="50" t="s">
        <v>12796</v>
      </c>
      <c r="CE397" s="50" t="s">
        <v>1536</v>
      </c>
      <c r="CF397" s="50" t="s">
        <v>12797</v>
      </c>
      <c r="CG397" s="50" t="s">
        <v>1538</v>
      </c>
      <c r="CH397" s="50" t="s">
        <v>12798</v>
      </c>
      <c r="CJ397" s="50" t="s">
        <v>1540</v>
      </c>
      <c r="CK397" s="50" t="s">
        <v>1539</v>
      </c>
      <c r="CL397" s="50" t="s">
        <v>375</v>
      </c>
      <c r="CM397" s="50" t="s">
        <v>376</v>
      </c>
      <c r="CN397" s="50" t="s">
        <v>1540</v>
      </c>
      <c r="CP397" s="50" t="s">
        <v>1539</v>
      </c>
      <c r="CQ397" s="50" t="s">
        <v>1539</v>
      </c>
      <c r="CR397" s="50" t="s">
        <v>26047</v>
      </c>
    </row>
    <row r="398" spans="1:96">
      <c r="A398" s="50" t="s">
        <v>149</v>
      </c>
      <c r="B398" s="50">
        <v>2104860</v>
      </c>
      <c r="C398" s="50" t="s">
        <v>418</v>
      </c>
      <c r="D398" s="50" t="s">
        <v>2697</v>
      </c>
      <c r="E398" s="50" t="e">
        <f>VLOOKUP(B398,aa!B:F,5,0)</f>
        <v>#N/A</v>
      </c>
      <c r="F398" s="50" t="e">
        <f>VLOOKUP(B398,aa!B:J,9,0)</f>
        <v>#N/A</v>
      </c>
      <c r="G398" s="50" t="e">
        <f>VLOOKUP(B398,aa!B:L,11,0)</f>
        <v>#N/A</v>
      </c>
      <c r="H398" s="50" t="e">
        <f>VLOOKUP(B398,aa!B:O,14,0)</f>
        <v>#N/A</v>
      </c>
      <c r="I398" s="50" t="e">
        <f>VLOOKUP(B398,aa!B:R,17,0)</f>
        <v>#N/A</v>
      </c>
      <c r="K398" s="50" t="s">
        <v>152</v>
      </c>
      <c r="L398" s="50">
        <v>430441</v>
      </c>
      <c r="M398" s="50">
        <v>430441</v>
      </c>
      <c r="N398" s="50">
        <v>0</v>
      </c>
      <c r="O398" s="50">
        <v>0</v>
      </c>
      <c r="Q398" s="50">
        <v>430441</v>
      </c>
      <c r="R398" s="50">
        <v>246</v>
      </c>
      <c r="S398" s="50" t="s">
        <v>1376</v>
      </c>
      <c r="T398" s="50">
        <v>0</v>
      </c>
      <c r="U398" s="50">
        <v>0</v>
      </c>
      <c r="W398" s="50" t="s">
        <v>102</v>
      </c>
      <c r="X398" s="50" t="s">
        <v>103</v>
      </c>
      <c r="Y398" s="50" t="s">
        <v>155</v>
      </c>
      <c r="AA398" s="50" t="s">
        <v>12541</v>
      </c>
      <c r="AB398" s="50" t="s">
        <v>13541</v>
      </c>
      <c r="AC398" s="50" t="s">
        <v>12289</v>
      </c>
      <c r="AD398" s="50" t="s">
        <v>13541</v>
      </c>
      <c r="AE398" s="50" t="s">
        <v>12084</v>
      </c>
      <c r="AF398" s="50" t="s">
        <v>13541</v>
      </c>
      <c r="AG398" s="50" t="s">
        <v>11886</v>
      </c>
      <c r="AH398" s="50" t="s">
        <v>13541</v>
      </c>
      <c r="AI398" s="50" t="s">
        <v>13542</v>
      </c>
      <c r="AJ398" s="50" t="s">
        <v>12695</v>
      </c>
      <c r="AK398" s="50" t="s">
        <v>12696</v>
      </c>
      <c r="AL398" s="50" t="s">
        <v>13543</v>
      </c>
      <c r="AM398" s="50" t="s">
        <v>13544</v>
      </c>
      <c r="AN398" s="50" t="s">
        <v>13545</v>
      </c>
      <c r="AO398" s="50" t="s">
        <v>1383</v>
      </c>
      <c r="AP398" s="50" t="s">
        <v>1383</v>
      </c>
      <c r="AU398" s="50" t="s">
        <v>102</v>
      </c>
      <c r="AW398" s="50" t="s">
        <v>1384</v>
      </c>
      <c r="AX398" s="50" t="s">
        <v>119</v>
      </c>
      <c r="AZ398" s="50" t="s">
        <v>250</v>
      </c>
      <c r="BB398" s="50" t="s">
        <v>120</v>
      </c>
      <c r="BC398" s="50" t="s">
        <v>2704</v>
      </c>
      <c r="BD398" s="50" t="s">
        <v>410</v>
      </c>
      <c r="BE398" s="50" t="s">
        <v>212</v>
      </c>
      <c r="BF398" s="50" t="s">
        <v>410</v>
      </c>
      <c r="BG398" s="50" t="s">
        <v>124</v>
      </c>
      <c r="BH398" s="50" t="s">
        <v>12128</v>
      </c>
      <c r="BI398" s="50" t="s">
        <v>11960</v>
      </c>
      <c r="BJ398" s="50" t="s">
        <v>127</v>
      </c>
      <c r="BK398" s="50" t="s">
        <v>13546</v>
      </c>
      <c r="BL398" s="50" t="s">
        <v>2706</v>
      </c>
      <c r="BM398" s="50" t="s">
        <v>13547</v>
      </c>
      <c r="BN398" s="50" t="s">
        <v>11938</v>
      </c>
      <c r="BO398" s="50" t="s">
        <v>866</v>
      </c>
      <c r="BP398" s="50" t="s">
        <v>132</v>
      </c>
      <c r="BQ398" s="50" t="s">
        <v>867</v>
      </c>
      <c r="BR398" s="50" t="s">
        <v>868</v>
      </c>
      <c r="BS398" s="50" t="s">
        <v>418</v>
      </c>
      <c r="BU398" s="50" t="s">
        <v>13548</v>
      </c>
      <c r="BV398" s="50" t="s">
        <v>12703</v>
      </c>
      <c r="BX398" s="50" t="s">
        <v>1391</v>
      </c>
      <c r="BY398" s="50" t="s">
        <v>12704</v>
      </c>
      <c r="BZ398" s="50" t="s">
        <v>1391</v>
      </c>
      <c r="CA398" s="50" t="s">
        <v>13549</v>
      </c>
      <c r="CB398" s="50" t="s">
        <v>13550</v>
      </c>
      <c r="CC398" s="50" t="s">
        <v>12704</v>
      </c>
      <c r="CD398" s="50" t="s">
        <v>13551</v>
      </c>
      <c r="CE398" s="50" t="s">
        <v>13552</v>
      </c>
      <c r="CF398" s="50" t="s">
        <v>12704</v>
      </c>
      <c r="CG398" s="50" t="s">
        <v>102</v>
      </c>
      <c r="CH398" s="50" t="s">
        <v>2709</v>
      </c>
      <c r="CJ398" s="50" t="s">
        <v>2710</v>
      </c>
      <c r="CL398" s="50" t="s">
        <v>2704</v>
      </c>
      <c r="CM398" s="50" t="s">
        <v>1711</v>
      </c>
      <c r="CN398" s="50" t="s">
        <v>2710</v>
      </c>
      <c r="CO398" s="50" t="s">
        <v>1395</v>
      </c>
      <c r="CP398" s="50" t="s">
        <v>2709</v>
      </c>
      <c r="CQ398" s="50" t="s">
        <v>2709</v>
      </c>
      <c r="CR398" s="50" t="s">
        <v>26046</v>
      </c>
    </row>
    <row r="399" spans="1:96">
      <c r="A399" s="50" t="s">
        <v>149</v>
      </c>
      <c r="B399" s="50">
        <v>3495816</v>
      </c>
      <c r="C399" s="50" t="s">
        <v>12058</v>
      </c>
      <c r="D399" s="50" t="s">
        <v>6406</v>
      </c>
      <c r="E399" s="50" t="e">
        <f>VLOOKUP(B399,aa!B:F,5,0)</f>
        <v>#N/A</v>
      </c>
      <c r="F399" s="50" t="e">
        <f>VLOOKUP(B399,aa!B:J,9,0)</f>
        <v>#N/A</v>
      </c>
      <c r="G399" s="50" t="e">
        <f>VLOOKUP(B399,aa!B:L,11,0)</f>
        <v>#N/A</v>
      </c>
      <c r="H399" s="50" t="e">
        <f>VLOOKUP(B399,aa!B:O,14,0)</f>
        <v>#N/A</v>
      </c>
      <c r="I399" s="50" t="e">
        <f>VLOOKUP(B399,aa!B:R,17,0)</f>
        <v>#N/A</v>
      </c>
      <c r="K399" s="50" t="s">
        <v>152</v>
      </c>
      <c r="L399" s="50">
        <v>230674</v>
      </c>
      <c r="M399" s="50">
        <v>230674</v>
      </c>
      <c r="N399" s="50">
        <v>0</v>
      </c>
      <c r="O399" s="50">
        <v>0</v>
      </c>
      <c r="Q399" s="50">
        <v>230674</v>
      </c>
      <c r="R399" s="50">
        <v>157</v>
      </c>
      <c r="S399" s="50" t="s">
        <v>12779</v>
      </c>
      <c r="T399" s="50">
        <v>0</v>
      </c>
      <c r="U399" s="50">
        <v>0</v>
      </c>
      <c r="W399" s="50" t="s">
        <v>102</v>
      </c>
      <c r="X399" s="50" t="s">
        <v>103</v>
      </c>
      <c r="Y399" s="50" t="s">
        <v>155</v>
      </c>
      <c r="AA399" s="50" t="s">
        <v>11959</v>
      </c>
      <c r="AB399" s="50" t="s">
        <v>16272</v>
      </c>
      <c r="AC399" s="50" t="s">
        <v>12781</v>
      </c>
      <c r="AD399" s="50" t="s">
        <v>16272</v>
      </c>
      <c r="AE399" s="50" t="s">
        <v>14373</v>
      </c>
      <c r="AF399" s="50" t="s">
        <v>16272</v>
      </c>
      <c r="AG399" s="50" t="s">
        <v>11886</v>
      </c>
      <c r="AH399" s="50" t="s">
        <v>16272</v>
      </c>
      <c r="AI399" s="50" t="s">
        <v>16273</v>
      </c>
      <c r="AJ399" s="50" t="s">
        <v>16185</v>
      </c>
      <c r="AK399" s="50" t="s">
        <v>16185</v>
      </c>
      <c r="AL399" s="50" t="s">
        <v>16274</v>
      </c>
      <c r="AM399" s="50" t="s">
        <v>16275</v>
      </c>
      <c r="AN399" s="50" t="s">
        <v>16276</v>
      </c>
      <c r="AO399" s="50" t="s">
        <v>12787</v>
      </c>
      <c r="AP399" s="50" t="s">
        <v>12787</v>
      </c>
      <c r="AU399" s="50" t="s">
        <v>102</v>
      </c>
      <c r="AW399" s="50" t="s">
        <v>3536</v>
      </c>
      <c r="AX399" s="50" t="s">
        <v>119</v>
      </c>
      <c r="AY399" s="50" t="s">
        <v>170</v>
      </c>
      <c r="AZ399" s="50" t="s">
        <v>118</v>
      </c>
      <c r="BB399" s="50" t="s">
        <v>171</v>
      </c>
      <c r="BC399" s="50" t="s">
        <v>2820</v>
      </c>
      <c r="BD399" s="50" t="s">
        <v>376</v>
      </c>
      <c r="BE399" s="50" t="s">
        <v>174</v>
      </c>
      <c r="BF399" s="50" t="s">
        <v>376</v>
      </c>
      <c r="BG399" s="50" t="s">
        <v>124</v>
      </c>
      <c r="BH399" s="50" t="s">
        <v>11938</v>
      </c>
      <c r="BI399" s="50" t="s">
        <v>12788</v>
      </c>
      <c r="BJ399" s="50" t="s">
        <v>127</v>
      </c>
      <c r="BK399" s="50" t="s">
        <v>16277</v>
      </c>
      <c r="BL399" s="50" t="s">
        <v>6416</v>
      </c>
      <c r="BM399" s="50" t="s">
        <v>16278</v>
      </c>
      <c r="BN399" s="50" t="s">
        <v>11938</v>
      </c>
      <c r="BO399" s="50" t="s">
        <v>12071</v>
      </c>
      <c r="BP399" s="50" t="s">
        <v>180</v>
      </c>
      <c r="BQ399" s="50" t="s">
        <v>12072</v>
      </c>
      <c r="BR399" s="50" t="s">
        <v>12073</v>
      </c>
      <c r="BS399" s="50" t="s">
        <v>183</v>
      </c>
      <c r="BU399" s="50" t="s">
        <v>16279</v>
      </c>
      <c r="BV399" s="50" t="s">
        <v>12792</v>
      </c>
      <c r="BW399" s="50" t="s">
        <v>138</v>
      </c>
      <c r="BX399" s="50" t="s">
        <v>1536</v>
      </c>
      <c r="BY399" s="50" t="s">
        <v>1537</v>
      </c>
      <c r="BZ399" s="50" t="s">
        <v>6419</v>
      </c>
      <c r="CA399" s="50" t="s">
        <v>12792</v>
      </c>
      <c r="CB399" s="50" t="s">
        <v>12794</v>
      </c>
      <c r="CC399" s="50" t="s">
        <v>1537</v>
      </c>
      <c r="CD399" s="50" t="s">
        <v>12796</v>
      </c>
      <c r="CE399" s="50" t="s">
        <v>1536</v>
      </c>
      <c r="CF399" s="50" t="s">
        <v>12797</v>
      </c>
      <c r="CG399" s="50" t="s">
        <v>6370</v>
      </c>
      <c r="CH399" s="50" t="s">
        <v>16280</v>
      </c>
      <c r="CJ399" s="50" t="s">
        <v>1644</v>
      </c>
      <c r="CK399" s="50" t="s">
        <v>6420</v>
      </c>
      <c r="CL399" s="50" t="s">
        <v>2820</v>
      </c>
      <c r="CM399" s="50" t="s">
        <v>376</v>
      </c>
      <c r="CN399" s="50" t="s">
        <v>1644</v>
      </c>
      <c r="CO399" s="50" t="s">
        <v>6421</v>
      </c>
      <c r="CP399" s="50" t="s">
        <v>6420</v>
      </c>
      <c r="CQ399" s="50" t="s">
        <v>6420</v>
      </c>
      <c r="CR399" s="50" t="s">
        <v>26047</v>
      </c>
    </row>
    <row r="400" spans="1:96">
      <c r="A400" s="50" t="s">
        <v>149</v>
      </c>
      <c r="B400" s="50">
        <v>3513471</v>
      </c>
      <c r="C400" s="50" t="s">
        <v>11995</v>
      </c>
      <c r="D400" s="50" t="s">
        <v>6460</v>
      </c>
      <c r="E400" s="50" t="e">
        <f>VLOOKUP(B400,aa!B:F,5,0)</f>
        <v>#N/A</v>
      </c>
      <c r="F400" s="50" t="e">
        <f>VLOOKUP(B400,aa!B:J,9,0)</f>
        <v>#N/A</v>
      </c>
      <c r="G400" s="50" t="e">
        <f>VLOOKUP(B400,aa!B:L,11,0)</f>
        <v>#N/A</v>
      </c>
      <c r="H400" s="50" t="e">
        <f>VLOOKUP(B400,aa!B:O,14,0)</f>
        <v>#N/A</v>
      </c>
      <c r="I400" s="50" t="e">
        <f>VLOOKUP(B400,aa!B:R,17,0)</f>
        <v>#N/A</v>
      </c>
      <c r="K400" s="50" t="s">
        <v>675</v>
      </c>
      <c r="L400" s="50">
        <v>1847432</v>
      </c>
      <c r="M400" s="50">
        <v>1847432</v>
      </c>
      <c r="N400" s="50">
        <v>200450</v>
      </c>
      <c r="O400" s="50">
        <v>211</v>
      </c>
      <c r="P400" s="50" t="s">
        <v>936</v>
      </c>
      <c r="Q400" s="50">
        <v>1646982</v>
      </c>
      <c r="R400" s="50">
        <v>915</v>
      </c>
      <c r="S400" s="50" t="s">
        <v>3005</v>
      </c>
      <c r="T400" s="50">
        <v>0</v>
      </c>
      <c r="U400" s="50">
        <v>0</v>
      </c>
      <c r="W400" s="50" t="s">
        <v>102</v>
      </c>
      <c r="X400" s="50" t="s">
        <v>275</v>
      </c>
      <c r="Z400" s="50" t="s">
        <v>11932</v>
      </c>
      <c r="AA400" s="50" t="s">
        <v>109</v>
      </c>
      <c r="AB400" s="50" t="s">
        <v>102</v>
      </c>
      <c r="AC400" s="50" t="s">
        <v>109</v>
      </c>
      <c r="AD400" s="50" t="s">
        <v>102</v>
      </c>
      <c r="AE400" s="50" t="s">
        <v>109</v>
      </c>
      <c r="AF400" s="50" t="s">
        <v>102</v>
      </c>
      <c r="AG400" s="50" t="s">
        <v>109</v>
      </c>
      <c r="AH400" s="50" t="s">
        <v>102</v>
      </c>
      <c r="AI400" s="50" t="s">
        <v>16306</v>
      </c>
      <c r="AJ400" s="50" t="s">
        <v>4294</v>
      </c>
      <c r="AK400" s="50" t="s">
        <v>4294</v>
      </c>
      <c r="AL400" s="50" t="s">
        <v>16307</v>
      </c>
      <c r="AM400" s="50" t="s">
        <v>16308</v>
      </c>
      <c r="AN400" s="50" t="s">
        <v>2202</v>
      </c>
      <c r="AO400" s="50" t="s">
        <v>16309</v>
      </c>
      <c r="AP400" s="50" t="s">
        <v>16309</v>
      </c>
      <c r="AU400" s="50" t="s">
        <v>247</v>
      </c>
      <c r="AV400" s="50" t="s">
        <v>118</v>
      </c>
      <c r="AW400" s="50" t="s">
        <v>655</v>
      </c>
      <c r="AX400" s="50" t="s">
        <v>119</v>
      </c>
      <c r="AY400" s="50" t="s">
        <v>170</v>
      </c>
      <c r="AZ400" s="50" t="s">
        <v>118</v>
      </c>
      <c r="BB400" s="50" t="s">
        <v>120</v>
      </c>
      <c r="BC400" s="50" t="s">
        <v>284</v>
      </c>
      <c r="BD400" s="50" t="s">
        <v>285</v>
      </c>
      <c r="BE400" s="50" t="s">
        <v>212</v>
      </c>
      <c r="BF400" s="50" t="s">
        <v>286</v>
      </c>
      <c r="BG400" s="50" t="s">
        <v>124</v>
      </c>
      <c r="BH400" s="50" t="s">
        <v>12636</v>
      </c>
      <c r="BI400" s="50" t="s">
        <v>11889</v>
      </c>
      <c r="BJ400" s="50" t="s">
        <v>127</v>
      </c>
      <c r="BK400" s="50" t="s">
        <v>16310</v>
      </c>
      <c r="BL400" s="50" t="s">
        <v>6473</v>
      </c>
      <c r="BM400" s="50" t="s">
        <v>16311</v>
      </c>
      <c r="BN400" s="50" t="s">
        <v>11938</v>
      </c>
      <c r="BO400" s="50" t="s">
        <v>290</v>
      </c>
      <c r="BP400" s="50" t="s">
        <v>132</v>
      </c>
      <c r="BQ400" s="50" t="s">
        <v>291</v>
      </c>
      <c r="BR400" s="50" t="s">
        <v>292</v>
      </c>
      <c r="BS400" s="50" t="s">
        <v>4765</v>
      </c>
      <c r="BU400" s="50" t="s">
        <v>16312</v>
      </c>
      <c r="BV400" s="50" t="s">
        <v>16313</v>
      </c>
      <c r="BW400" s="50" t="s">
        <v>138</v>
      </c>
      <c r="BX400" s="50" t="s">
        <v>6477</v>
      </c>
      <c r="BY400" s="50" t="s">
        <v>6478</v>
      </c>
      <c r="CA400" s="50" t="s">
        <v>16313</v>
      </c>
      <c r="CB400" s="50" t="s">
        <v>6477</v>
      </c>
      <c r="CC400" s="50" t="s">
        <v>6478</v>
      </c>
      <c r="CD400" s="50" t="s">
        <v>16314</v>
      </c>
      <c r="CE400" s="50" t="s">
        <v>16315</v>
      </c>
      <c r="CF400" s="50" t="s">
        <v>16316</v>
      </c>
      <c r="CG400" s="50" t="s">
        <v>102</v>
      </c>
      <c r="CH400" s="50" t="s">
        <v>6483</v>
      </c>
      <c r="CJ400" s="50" t="s">
        <v>6484</v>
      </c>
      <c r="CL400" s="50" t="s">
        <v>284</v>
      </c>
      <c r="CM400" s="50" t="s">
        <v>285</v>
      </c>
      <c r="CN400" s="50" t="s">
        <v>6484</v>
      </c>
      <c r="CO400" s="50" t="s">
        <v>6485</v>
      </c>
      <c r="CP400" s="50" t="s">
        <v>6483</v>
      </c>
      <c r="CQ400" s="50" t="s">
        <v>6483</v>
      </c>
      <c r="CR400" s="50" t="s">
        <v>26040</v>
      </c>
    </row>
    <row r="401" spans="1:96">
      <c r="A401" s="50" t="s">
        <v>337</v>
      </c>
      <c r="B401" s="50">
        <v>5016446</v>
      </c>
      <c r="C401" s="50" t="s">
        <v>418</v>
      </c>
      <c r="D401" s="50" t="s">
        <v>18863</v>
      </c>
      <c r="E401" s="50" t="e">
        <f>VLOOKUP(B401,aa!B:F,5,0)</f>
        <v>#N/A</v>
      </c>
      <c r="F401" s="50" t="e">
        <f>VLOOKUP(B401,aa!B:J,9,0)</f>
        <v>#N/A</v>
      </c>
      <c r="G401" s="50" t="e">
        <f>VLOOKUP(B401,aa!B:L,11,0)</f>
        <v>#N/A</v>
      </c>
      <c r="H401" s="50" t="e">
        <f>VLOOKUP(B401,aa!B:O,14,0)</f>
        <v>#N/A</v>
      </c>
      <c r="I401" s="50" t="e">
        <f>VLOOKUP(B401,aa!B:R,17,0)</f>
        <v>#N/A</v>
      </c>
      <c r="K401" s="50" t="s">
        <v>848</v>
      </c>
      <c r="L401" s="50">
        <v>432390</v>
      </c>
      <c r="M401" s="50">
        <v>510220</v>
      </c>
      <c r="N401" s="50">
        <v>0</v>
      </c>
      <c r="O401" s="50">
        <v>0</v>
      </c>
      <c r="Q401" s="50">
        <v>0</v>
      </c>
      <c r="R401" s="50">
        <v>0</v>
      </c>
      <c r="T401" s="50">
        <v>432390</v>
      </c>
      <c r="U401" s="50">
        <v>188</v>
      </c>
      <c r="V401" s="50" t="s">
        <v>12188</v>
      </c>
      <c r="W401" s="50" t="s">
        <v>102</v>
      </c>
      <c r="X401" s="50" t="s">
        <v>103</v>
      </c>
      <c r="Y401" s="50" t="s">
        <v>104</v>
      </c>
      <c r="AA401" s="50" t="s">
        <v>11948</v>
      </c>
      <c r="AB401" s="50" t="s">
        <v>18864</v>
      </c>
      <c r="AC401" s="50" t="s">
        <v>13034</v>
      </c>
      <c r="AD401" s="50" t="s">
        <v>18864</v>
      </c>
      <c r="AE401" s="50" t="s">
        <v>109</v>
      </c>
      <c r="AF401" s="50" t="s">
        <v>102</v>
      </c>
      <c r="AG401" s="50" t="s">
        <v>109</v>
      </c>
      <c r="AH401" s="50" t="s">
        <v>102</v>
      </c>
      <c r="AI401" s="50" t="s">
        <v>18865</v>
      </c>
      <c r="AJ401" s="50" t="s">
        <v>8488</v>
      </c>
      <c r="AK401" s="50" t="s">
        <v>16162</v>
      </c>
      <c r="AL401" s="50" t="s">
        <v>18866</v>
      </c>
      <c r="AM401" s="50" t="s">
        <v>18867</v>
      </c>
      <c r="AN401" s="50" t="s">
        <v>18868</v>
      </c>
      <c r="AO401" s="50" t="s">
        <v>18869</v>
      </c>
      <c r="AP401" s="50" t="s">
        <v>18869</v>
      </c>
      <c r="AU401" s="50" t="s">
        <v>102</v>
      </c>
      <c r="AW401" s="50" t="s">
        <v>102</v>
      </c>
      <c r="AX401" s="50" t="s">
        <v>119</v>
      </c>
      <c r="BA401" s="50" t="s">
        <v>250</v>
      </c>
      <c r="BB401" s="50" t="s">
        <v>120</v>
      </c>
      <c r="BC401" s="50" t="s">
        <v>409</v>
      </c>
      <c r="BD401" s="50" t="s">
        <v>410</v>
      </c>
      <c r="BE401" s="50" t="s">
        <v>212</v>
      </c>
      <c r="BF401" s="50" t="s">
        <v>410</v>
      </c>
      <c r="BG401" s="50" t="s">
        <v>124</v>
      </c>
      <c r="BH401" s="50" t="s">
        <v>13680</v>
      </c>
      <c r="BI401" s="50" t="s">
        <v>12047</v>
      </c>
      <c r="BJ401" s="50" t="s">
        <v>127</v>
      </c>
      <c r="BK401" s="50" t="s">
        <v>18870</v>
      </c>
      <c r="BL401" s="50" t="s">
        <v>18871</v>
      </c>
      <c r="BM401" s="50" t="s">
        <v>18872</v>
      </c>
      <c r="BN401" s="50" t="s">
        <v>11938</v>
      </c>
      <c r="BO401" s="50" t="s">
        <v>1699</v>
      </c>
      <c r="BP401" s="50" t="s">
        <v>132</v>
      </c>
      <c r="BQ401" s="50" t="s">
        <v>1700</v>
      </c>
      <c r="BR401" s="50" t="s">
        <v>1701</v>
      </c>
      <c r="BS401" s="50" t="s">
        <v>1702</v>
      </c>
      <c r="BU401" s="50" t="s">
        <v>18873</v>
      </c>
      <c r="BV401" s="50" t="s">
        <v>18874</v>
      </c>
      <c r="BW401" s="50" t="s">
        <v>138</v>
      </c>
      <c r="BX401" s="50" t="s">
        <v>18875</v>
      </c>
      <c r="BY401" s="50" t="s">
        <v>18876</v>
      </c>
      <c r="BZ401" s="50" t="s">
        <v>18877</v>
      </c>
      <c r="CA401" s="50" t="s">
        <v>18878</v>
      </c>
      <c r="CB401" s="50" t="s">
        <v>18875</v>
      </c>
      <c r="CC401" s="50" t="s">
        <v>18876</v>
      </c>
      <c r="CD401" s="50" t="s">
        <v>18878</v>
      </c>
      <c r="CE401" s="50" t="s">
        <v>18875</v>
      </c>
      <c r="CF401" s="50" t="s">
        <v>18876</v>
      </c>
      <c r="CG401" s="50" t="s">
        <v>2270</v>
      </c>
      <c r="CH401" s="50" t="s">
        <v>18879</v>
      </c>
      <c r="CJ401" s="50" t="s">
        <v>18880</v>
      </c>
      <c r="CK401" s="50" t="s">
        <v>18879</v>
      </c>
      <c r="CL401" s="50" t="s">
        <v>409</v>
      </c>
      <c r="CM401" s="50" t="s">
        <v>410</v>
      </c>
      <c r="CN401" s="50" t="s">
        <v>18880</v>
      </c>
      <c r="CO401" s="50" t="s">
        <v>18881</v>
      </c>
      <c r="CP401" s="50" t="s">
        <v>18882</v>
      </c>
      <c r="CQ401" s="50" t="s">
        <v>18882</v>
      </c>
      <c r="CR401" s="50" t="s">
        <v>26047</v>
      </c>
    </row>
    <row r="402" spans="1:96">
      <c r="A402" s="50" t="s">
        <v>337</v>
      </c>
      <c r="B402" s="50">
        <v>5053374</v>
      </c>
      <c r="C402" s="50" t="s">
        <v>11995</v>
      </c>
      <c r="D402" s="50" t="s">
        <v>20551</v>
      </c>
      <c r="E402" s="50" t="str">
        <f>VLOOKUP(B402,aa!B:F,5,0)</f>
        <v>Ei CARES, Ei Mindspark</v>
      </c>
      <c r="F402" s="50">
        <f>VLOOKUP(B402,aa!B:J,9,0)</f>
        <v>1378278</v>
      </c>
      <c r="G402" s="50">
        <f>VLOOKUP(B402,aa!B:L,11,0)</f>
        <v>0</v>
      </c>
      <c r="H402" s="50">
        <f>VLOOKUP(B402,aa!B:O,14,0)</f>
        <v>839824</v>
      </c>
      <c r="I402" s="50">
        <f>VLOOKUP(B402,aa!B:R,17,0)</f>
        <v>538454</v>
      </c>
      <c r="K402" s="50" t="s">
        <v>17790</v>
      </c>
      <c r="L402" s="50">
        <v>835041</v>
      </c>
      <c r="M402" s="50">
        <v>902023</v>
      </c>
      <c r="N402" s="50">
        <v>0</v>
      </c>
      <c r="O402" s="50">
        <v>0</v>
      </c>
      <c r="Q402" s="50">
        <v>462917</v>
      </c>
      <c r="R402" s="50">
        <v>464</v>
      </c>
      <c r="S402" s="50" t="s">
        <v>20553</v>
      </c>
      <c r="T402" s="50">
        <v>372124</v>
      </c>
      <c r="U402" s="50">
        <v>220</v>
      </c>
      <c r="V402" s="50" t="s">
        <v>20554</v>
      </c>
      <c r="W402" s="50" t="s">
        <v>102</v>
      </c>
      <c r="X402" s="50" t="s">
        <v>679</v>
      </c>
      <c r="Y402" s="50" t="s">
        <v>155</v>
      </c>
      <c r="Z402" s="50" t="s">
        <v>20555</v>
      </c>
      <c r="AA402" s="50" t="s">
        <v>20556</v>
      </c>
      <c r="AB402" s="50" t="s">
        <v>20557</v>
      </c>
      <c r="AC402" s="50" t="s">
        <v>13728</v>
      </c>
      <c r="AD402" s="50" t="s">
        <v>20558</v>
      </c>
      <c r="AE402" s="50" t="s">
        <v>13730</v>
      </c>
      <c r="AF402" s="50" t="s">
        <v>20558</v>
      </c>
      <c r="AG402" s="50" t="s">
        <v>12216</v>
      </c>
      <c r="AH402" s="50" t="s">
        <v>20559</v>
      </c>
      <c r="AI402" s="50" t="s">
        <v>20560</v>
      </c>
      <c r="AJ402" s="50" t="s">
        <v>20561</v>
      </c>
      <c r="AK402" s="50" t="s">
        <v>20562</v>
      </c>
      <c r="AL402" s="50" t="s">
        <v>20563</v>
      </c>
      <c r="AM402" s="50" t="s">
        <v>20564</v>
      </c>
      <c r="AN402" s="50" t="s">
        <v>20565</v>
      </c>
      <c r="AO402" s="50" t="s">
        <v>20566</v>
      </c>
      <c r="AP402" s="50" t="s">
        <v>20566</v>
      </c>
      <c r="AU402" s="50" t="s">
        <v>102</v>
      </c>
      <c r="AW402" s="50" t="s">
        <v>655</v>
      </c>
      <c r="AX402" s="50" t="s">
        <v>249</v>
      </c>
      <c r="AY402" s="50" t="s">
        <v>1138</v>
      </c>
      <c r="AZ402" s="50" t="s">
        <v>2203</v>
      </c>
      <c r="BA402" s="50" t="s">
        <v>250</v>
      </c>
      <c r="BB402" s="50" t="s">
        <v>120</v>
      </c>
      <c r="BC402" s="50" t="s">
        <v>284</v>
      </c>
      <c r="BD402" s="50" t="s">
        <v>285</v>
      </c>
      <c r="BE402" s="50" t="s">
        <v>212</v>
      </c>
      <c r="BF402" s="50" t="s">
        <v>286</v>
      </c>
      <c r="BG402" s="50" t="s">
        <v>124</v>
      </c>
      <c r="BH402" s="50" t="s">
        <v>12128</v>
      </c>
      <c r="BI402" s="50" t="s">
        <v>12963</v>
      </c>
      <c r="BJ402" s="50" t="s">
        <v>127</v>
      </c>
      <c r="BK402" s="50" t="s">
        <v>20567</v>
      </c>
      <c r="BL402" s="50" t="s">
        <v>20568</v>
      </c>
      <c r="BM402" s="50" t="s">
        <v>20569</v>
      </c>
      <c r="BN402" s="50" t="s">
        <v>20552</v>
      </c>
      <c r="BO402" s="50" t="s">
        <v>17684</v>
      </c>
      <c r="BP402" s="50" t="s">
        <v>505</v>
      </c>
      <c r="BQ402" s="50" t="s">
        <v>17685</v>
      </c>
      <c r="BR402" s="50" t="s">
        <v>17686</v>
      </c>
      <c r="BS402" s="50" t="s">
        <v>17687</v>
      </c>
      <c r="BU402" s="50" t="s">
        <v>20570</v>
      </c>
      <c r="BV402" s="50" t="s">
        <v>20571</v>
      </c>
      <c r="BW402" s="50" t="s">
        <v>138</v>
      </c>
      <c r="BX402" s="50" t="s">
        <v>20572</v>
      </c>
      <c r="BY402" s="50" t="s">
        <v>20573</v>
      </c>
      <c r="BZ402" s="50" t="s">
        <v>20572</v>
      </c>
      <c r="CA402" s="50" t="s">
        <v>20574</v>
      </c>
      <c r="CB402" s="50" t="s">
        <v>20572</v>
      </c>
      <c r="CC402" s="50" t="s">
        <v>20573</v>
      </c>
      <c r="CD402" s="50" t="s">
        <v>20574</v>
      </c>
      <c r="CE402" s="50" t="s">
        <v>20572</v>
      </c>
      <c r="CF402" s="50" t="s">
        <v>20573</v>
      </c>
      <c r="CG402" s="50" t="s">
        <v>8526</v>
      </c>
      <c r="CH402" s="50" t="s">
        <v>20575</v>
      </c>
      <c r="CJ402" s="50" t="s">
        <v>20576</v>
      </c>
      <c r="CK402" s="50" t="s">
        <v>20577</v>
      </c>
      <c r="CL402" s="50" t="s">
        <v>284</v>
      </c>
      <c r="CM402" s="50" t="s">
        <v>285</v>
      </c>
      <c r="CN402" s="50" t="s">
        <v>20576</v>
      </c>
      <c r="CP402" s="50" t="s">
        <v>20578</v>
      </c>
      <c r="CQ402" s="50" t="s">
        <v>20578</v>
      </c>
    </row>
    <row r="403" spans="1:96">
      <c r="A403" s="50" t="s">
        <v>337</v>
      </c>
      <c r="B403" s="50">
        <v>3997396</v>
      </c>
      <c r="C403" s="50" t="s">
        <v>985</v>
      </c>
      <c r="D403" s="50" t="s">
        <v>17756</v>
      </c>
      <c r="E403" s="50" t="e">
        <f>VLOOKUP(B403,aa!B:F,5,0)</f>
        <v>#N/A</v>
      </c>
      <c r="F403" s="50" t="e">
        <f>VLOOKUP(B403,aa!B:J,9,0)</f>
        <v>#N/A</v>
      </c>
      <c r="G403" s="50" t="e">
        <f>VLOOKUP(B403,aa!B:L,11,0)</f>
        <v>#N/A</v>
      </c>
      <c r="H403" s="50" t="e">
        <f>VLOOKUP(B403,aa!B:O,14,0)</f>
        <v>#N/A</v>
      </c>
      <c r="I403" s="50" t="e">
        <f>VLOOKUP(B403,aa!B:R,17,0)</f>
        <v>#N/A</v>
      </c>
      <c r="K403" s="50" t="s">
        <v>152</v>
      </c>
      <c r="L403" s="50">
        <v>457430</v>
      </c>
      <c r="M403" s="50">
        <v>457430</v>
      </c>
      <c r="N403" s="50">
        <v>0</v>
      </c>
      <c r="O403" s="50">
        <v>0</v>
      </c>
      <c r="Q403" s="50">
        <v>457430</v>
      </c>
      <c r="R403" s="50">
        <v>295</v>
      </c>
      <c r="S403" s="50" t="s">
        <v>17757</v>
      </c>
      <c r="T403" s="50">
        <v>0</v>
      </c>
      <c r="U403" s="50">
        <v>0</v>
      </c>
      <c r="W403" s="50" t="s">
        <v>102</v>
      </c>
      <c r="X403" s="50" t="s">
        <v>103</v>
      </c>
      <c r="Y403" s="50" t="s">
        <v>398</v>
      </c>
      <c r="AA403" s="50" t="s">
        <v>15939</v>
      </c>
      <c r="AB403" s="50" t="s">
        <v>17758</v>
      </c>
      <c r="AC403" s="50" t="s">
        <v>12040</v>
      </c>
      <c r="AD403" s="50" t="s">
        <v>17759</v>
      </c>
      <c r="AE403" s="50" t="s">
        <v>12289</v>
      </c>
      <c r="AF403" s="50" t="s">
        <v>17759</v>
      </c>
      <c r="AG403" s="50" t="s">
        <v>109</v>
      </c>
      <c r="AH403" s="50" t="s">
        <v>102</v>
      </c>
      <c r="AI403" s="50" t="s">
        <v>102</v>
      </c>
      <c r="AJ403" s="50" t="s">
        <v>112</v>
      </c>
      <c r="AK403" s="50" t="s">
        <v>12062</v>
      </c>
      <c r="AL403" s="50" t="s">
        <v>17760</v>
      </c>
      <c r="AM403" s="50" t="s">
        <v>17761</v>
      </c>
      <c r="AN403" s="50" t="s">
        <v>17762</v>
      </c>
      <c r="AO403" s="50" t="s">
        <v>17763</v>
      </c>
      <c r="AP403" s="50" t="s">
        <v>17763</v>
      </c>
      <c r="AU403" s="50" t="s">
        <v>102</v>
      </c>
      <c r="AW403" s="50" t="s">
        <v>102</v>
      </c>
      <c r="AX403" s="50" t="s">
        <v>447</v>
      </c>
      <c r="AY403" s="50" t="s">
        <v>170</v>
      </c>
      <c r="AZ403" s="50" t="s">
        <v>118</v>
      </c>
      <c r="BB403" s="50" t="s">
        <v>120</v>
      </c>
      <c r="BC403" s="50" t="s">
        <v>17764</v>
      </c>
      <c r="BD403" s="50" t="s">
        <v>621</v>
      </c>
      <c r="BE403" s="50" t="s">
        <v>622</v>
      </c>
      <c r="BF403" s="50" t="s">
        <v>976</v>
      </c>
      <c r="BG403" s="50" t="s">
        <v>124</v>
      </c>
      <c r="BH403" s="50" t="s">
        <v>12023</v>
      </c>
      <c r="BI403" s="50" t="s">
        <v>12047</v>
      </c>
      <c r="BJ403" s="50" t="s">
        <v>127</v>
      </c>
      <c r="BK403" s="50" t="s">
        <v>17765</v>
      </c>
      <c r="BL403" s="50" t="s">
        <v>17766</v>
      </c>
      <c r="BM403" s="50" t="s">
        <v>17767</v>
      </c>
      <c r="BN403" s="50" t="s">
        <v>15939</v>
      </c>
      <c r="BO403" s="50" t="s">
        <v>13638</v>
      </c>
      <c r="BP403" s="50" t="s">
        <v>132</v>
      </c>
      <c r="BQ403" s="50" t="s">
        <v>13639</v>
      </c>
      <c r="BR403" s="50" t="s">
        <v>13640</v>
      </c>
      <c r="BS403" s="50" t="s">
        <v>2847</v>
      </c>
      <c r="BU403" s="50" t="s">
        <v>17768</v>
      </c>
      <c r="BV403" s="50" t="s">
        <v>17769</v>
      </c>
      <c r="BW403" s="50" t="s">
        <v>138</v>
      </c>
      <c r="BX403" s="50" t="s">
        <v>17770</v>
      </c>
      <c r="BY403" s="50" t="s">
        <v>17771</v>
      </c>
      <c r="BZ403" s="50" t="s">
        <v>17772</v>
      </c>
      <c r="CA403" s="50" t="s">
        <v>17769</v>
      </c>
      <c r="CB403" s="50" t="s">
        <v>17770</v>
      </c>
      <c r="CC403" s="50" t="s">
        <v>17771</v>
      </c>
      <c r="CD403" s="50" t="s">
        <v>17773</v>
      </c>
      <c r="CE403" s="50" t="s">
        <v>17770</v>
      </c>
      <c r="CF403" s="50" t="s">
        <v>17774</v>
      </c>
      <c r="CG403" s="50" t="s">
        <v>3918</v>
      </c>
      <c r="CH403" s="50" t="s">
        <v>17775</v>
      </c>
      <c r="CJ403" s="50" t="s">
        <v>17776</v>
      </c>
      <c r="CK403" s="50" t="s">
        <v>17777</v>
      </c>
      <c r="CL403" s="50" t="s">
        <v>17764</v>
      </c>
      <c r="CM403" s="50" t="s">
        <v>621</v>
      </c>
      <c r="CN403" s="50" t="s">
        <v>17776</v>
      </c>
      <c r="CO403" s="50" t="s">
        <v>17778</v>
      </c>
      <c r="CP403" s="50" t="s">
        <v>17779</v>
      </c>
      <c r="CQ403" s="50" t="s">
        <v>17779</v>
      </c>
    </row>
    <row r="404" spans="1:96">
      <c r="A404" s="50" t="s">
        <v>93</v>
      </c>
      <c r="B404" s="50">
        <v>3475635</v>
      </c>
      <c r="C404" s="50" t="s">
        <v>1279</v>
      </c>
      <c r="D404" s="50" t="s">
        <v>16179</v>
      </c>
      <c r="E404" s="50" t="str">
        <f>VLOOKUP(B404,aa!B:F,5,0)</f>
        <v>Ei ASSET</v>
      </c>
      <c r="F404" s="50">
        <f>VLOOKUP(B404,aa!B:J,9,0)</f>
        <v>758175</v>
      </c>
      <c r="G404" s="50">
        <f>VLOOKUP(B404,aa!B:L,11,0)</f>
        <v>758175</v>
      </c>
      <c r="H404" s="50">
        <f>VLOOKUP(B404,aa!B:O,14,0)</f>
        <v>0</v>
      </c>
      <c r="I404" s="50">
        <f>VLOOKUP(B404,aa!B:R,17,0)</f>
        <v>0</v>
      </c>
      <c r="K404" s="50" t="s">
        <v>193</v>
      </c>
      <c r="L404" s="50">
        <v>1167673</v>
      </c>
      <c r="M404" s="50">
        <v>1229600</v>
      </c>
      <c r="N404" s="50">
        <v>823632</v>
      </c>
      <c r="O404" s="50">
        <v>1098</v>
      </c>
      <c r="P404" s="50" t="s">
        <v>101</v>
      </c>
      <c r="Q404" s="50">
        <v>0</v>
      </c>
      <c r="R404" s="50">
        <v>0</v>
      </c>
      <c r="T404" s="50">
        <v>344041</v>
      </c>
      <c r="U404" s="50">
        <v>172</v>
      </c>
      <c r="V404" s="50" t="s">
        <v>7192</v>
      </c>
      <c r="W404" s="50" t="s">
        <v>102</v>
      </c>
      <c r="X404" s="50" t="s">
        <v>103</v>
      </c>
      <c r="Y404" s="50" t="s">
        <v>104</v>
      </c>
      <c r="AA404" s="50" t="s">
        <v>16181</v>
      </c>
      <c r="AB404" s="50" t="s">
        <v>16182</v>
      </c>
      <c r="AC404" s="50" t="s">
        <v>16183</v>
      </c>
      <c r="AD404" s="50" t="s">
        <v>16182</v>
      </c>
      <c r="AE404" s="50" t="s">
        <v>109</v>
      </c>
      <c r="AF404" s="50" t="s">
        <v>102</v>
      </c>
      <c r="AG404" s="50" t="s">
        <v>109</v>
      </c>
      <c r="AH404" s="50" t="s">
        <v>102</v>
      </c>
      <c r="AI404" s="50" t="s">
        <v>16184</v>
      </c>
      <c r="AJ404" s="50" t="s">
        <v>8488</v>
      </c>
      <c r="AK404" s="50" t="s">
        <v>16185</v>
      </c>
      <c r="AL404" s="50" t="s">
        <v>16186</v>
      </c>
      <c r="AM404" s="50" t="s">
        <v>16187</v>
      </c>
      <c r="AN404" s="50" t="s">
        <v>16188</v>
      </c>
      <c r="AO404" s="50" t="s">
        <v>16189</v>
      </c>
      <c r="AP404" s="50" t="s">
        <v>16189</v>
      </c>
      <c r="AU404" s="50" t="s">
        <v>247</v>
      </c>
      <c r="AV404" s="50" t="s">
        <v>118</v>
      </c>
      <c r="AW404" s="50" t="s">
        <v>102</v>
      </c>
      <c r="AX404" s="50" t="s">
        <v>119</v>
      </c>
      <c r="BA404" s="50" t="s">
        <v>250</v>
      </c>
      <c r="BB404" s="50" t="s">
        <v>171</v>
      </c>
      <c r="BC404" s="50" t="s">
        <v>6280</v>
      </c>
      <c r="BD404" s="50" t="s">
        <v>621</v>
      </c>
      <c r="BE404" s="50" t="s">
        <v>622</v>
      </c>
      <c r="BF404" s="50" t="s">
        <v>976</v>
      </c>
      <c r="BG404" s="50" t="s">
        <v>124</v>
      </c>
      <c r="BH404" s="50" t="s">
        <v>16190</v>
      </c>
      <c r="BI404" s="50" t="s">
        <v>16191</v>
      </c>
      <c r="BJ404" s="50" t="s">
        <v>127</v>
      </c>
      <c r="BK404" s="50" t="s">
        <v>16192</v>
      </c>
      <c r="BL404" s="50" t="s">
        <v>6282</v>
      </c>
      <c r="BM404" s="50" t="s">
        <v>16193</v>
      </c>
      <c r="BN404" s="50" t="s">
        <v>16180</v>
      </c>
      <c r="BO404" s="50" t="s">
        <v>13638</v>
      </c>
      <c r="BP404" s="50" t="s">
        <v>16194</v>
      </c>
      <c r="BQ404" s="50" t="s">
        <v>13639</v>
      </c>
      <c r="BR404" s="50" t="s">
        <v>13640</v>
      </c>
      <c r="BS404" s="50" t="s">
        <v>1342</v>
      </c>
      <c r="BU404" s="50" t="s">
        <v>16195</v>
      </c>
      <c r="BV404" s="50" t="s">
        <v>16196</v>
      </c>
      <c r="BW404" s="50" t="s">
        <v>598</v>
      </c>
      <c r="BX404" s="50" t="s">
        <v>6286</v>
      </c>
      <c r="BY404" s="50" t="s">
        <v>16197</v>
      </c>
      <c r="BZ404" s="50" t="s">
        <v>6286</v>
      </c>
      <c r="CA404" s="50" t="s">
        <v>16198</v>
      </c>
      <c r="CB404" s="50" t="s">
        <v>6286</v>
      </c>
      <c r="CC404" s="50" t="s">
        <v>16199</v>
      </c>
      <c r="CD404" s="50" t="s">
        <v>16200</v>
      </c>
      <c r="CE404" s="50" t="s">
        <v>16201</v>
      </c>
      <c r="CF404" s="50" t="s">
        <v>16202</v>
      </c>
      <c r="CG404" s="50" t="s">
        <v>6290</v>
      </c>
      <c r="CH404" s="50" t="s">
        <v>16203</v>
      </c>
      <c r="CJ404" s="50" t="s">
        <v>11203</v>
      </c>
      <c r="CK404" s="50" t="s">
        <v>16203</v>
      </c>
      <c r="CL404" s="50" t="s">
        <v>6280</v>
      </c>
      <c r="CM404" s="50" t="s">
        <v>621</v>
      </c>
      <c r="CN404" s="50" t="s">
        <v>11203</v>
      </c>
      <c r="CO404" s="50" t="s">
        <v>6293</v>
      </c>
      <c r="CP404" s="50" t="s">
        <v>6294</v>
      </c>
      <c r="CQ404" s="50" t="s">
        <v>6295</v>
      </c>
    </row>
    <row r="405" spans="1:96">
      <c r="A405" s="50" t="s">
        <v>93</v>
      </c>
      <c r="B405" s="50">
        <v>579462</v>
      </c>
      <c r="C405" s="50" t="s">
        <v>1279</v>
      </c>
      <c r="D405" s="50" t="s">
        <v>21162</v>
      </c>
      <c r="E405" s="50" t="str">
        <f>VLOOKUP(B405,aa!B:F,5,0)</f>
        <v>Ei ASSET</v>
      </c>
      <c r="F405" s="50">
        <f>VLOOKUP(B405,aa!B:J,9,0)</f>
        <v>273900</v>
      </c>
      <c r="G405" s="50">
        <f>VLOOKUP(B405,aa!B:L,11,0)</f>
        <v>273900</v>
      </c>
      <c r="H405" s="50">
        <f>VLOOKUP(B405,aa!B:O,14,0)</f>
        <v>0</v>
      </c>
      <c r="I405" s="50">
        <f>VLOOKUP(B405,aa!B:R,17,0)</f>
        <v>0</v>
      </c>
      <c r="K405" s="50" t="s">
        <v>193</v>
      </c>
      <c r="L405" s="50">
        <v>372804</v>
      </c>
      <c r="M405" s="50">
        <v>395487</v>
      </c>
      <c r="N405" s="50">
        <v>246789</v>
      </c>
      <c r="O405" s="50">
        <v>329</v>
      </c>
      <c r="P405" s="50" t="s">
        <v>101</v>
      </c>
      <c r="Q405" s="50">
        <v>0</v>
      </c>
      <c r="R405" s="50">
        <v>0</v>
      </c>
      <c r="T405" s="50">
        <v>126015</v>
      </c>
      <c r="U405" s="50">
        <v>63</v>
      </c>
      <c r="V405" s="50" t="s">
        <v>7192</v>
      </c>
      <c r="W405" s="50" t="s">
        <v>102</v>
      </c>
      <c r="X405" s="50" t="s">
        <v>103</v>
      </c>
      <c r="Y405" s="50" t="s">
        <v>104</v>
      </c>
      <c r="AA405" s="50" t="s">
        <v>21164</v>
      </c>
      <c r="AB405" s="50" t="s">
        <v>21165</v>
      </c>
      <c r="AC405" s="50" t="s">
        <v>21166</v>
      </c>
      <c r="AD405" s="50" t="s">
        <v>21165</v>
      </c>
      <c r="AE405" s="50" t="s">
        <v>109</v>
      </c>
      <c r="AF405" s="50" t="s">
        <v>102</v>
      </c>
      <c r="AG405" s="50" t="s">
        <v>109</v>
      </c>
      <c r="AH405" s="50" t="s">
        <v>102</v>
      </c>
      <c r="AI405" s="50" t="s">
        <v>21167</v>
      </c>
      <c r="AJ405" s="50" t="s">
        <v>21168</v>
      </c>
      <c r="AK405" s="50" t="s">
        <v>21168</v>
      </c>
      <c r="AL405" s="50" t="s">
        <v>21169</v>
      </c>
      <c r="AM405" s="50" t="s">
        <v>21170</v>
      </c>
      <c r="AN405" s="50" t="s">
        <v>21171</v>
      </c>
      <c r="AO405" s="50" t="s">
        <v>16189</v>
      </c>
      <c r="AP405" s="50" t="s">
        <v>16189</v>
      </c>
      <c r="AU405" s="50" t="s">
        <v>247</v>
      </c>
      <c r="AV405" s="50" t="s">
        <v>118</v>
      </c>
      <c r="AW405" s="50" t="s">
        <v>102</v>
      </c>
      <c r="AX405" s="50" t="s">
        <v>119</v>
      </c>
      <c r="BA405" s="50" t="s">
        <v>250</v>
      </c>
      <c r="BB405" s="50" t="s">
        <v>171</v>
      </c>
      <c r="BC405" s="50" t="s">
        <v>6280</v>
      </c>
      <c r="BD405" s="50" t="s">
        <v>621</v>
      </c>
      <c r="BE405" s="50" t="s">
        <v>622</v>
      </c>
      <c r="BF405" s="50" t="s">
        <v>976</v>
      </c>
      <c r="BG405" s="50" t="s">
        <v>124</v>
      </c>
      <c r="BH405" s="50" t="s">
        <v>18193</v>
      </c>
      <c r="BI405" s="50" t="s">
        <v>21172</v>
      </c>
      <c r="BJ405" s="50" t="s">
        <v>127</v>
      </c>
      <c r="BK405" s="50" t="s">
        <v>21173</v>
      </c>
      <c r="BL405" s="50" t="s">
        <v>11196</v>
      </c>
      <c r="BM405" s="50" t="s">
        <v>21174</v>
      </c>
      <c r="BN405" s="50" t="s">
        <v>21163</v>
      </c>
      <c r="BO405" s="50" t="s">
        <v>13638</v>
      </c>
      <c r="BP405" s="50" t="s">
        <v>132</v>
      </c>
      <c r="BQ405" s="50" t="s">
        <v>13639</v>
      </c>
      <c r="BR405" s="50" t="s">
        <v>13640</v>
      </c>
      <c r="BS405" s="50" t="s">
        <v>1342</v>
      </c>
      <c r="BU405" s="50" t="s">
        <v>21175</v>
      </c>
      <c r="BV405" s="50" t="s">
        <v>16196</v>
      </c>
      <c r="BW405" s="50" t="s">
        <v>1282</v>
      </c>
      <c r="BX405" s="50" t="s">
        <v>6286</v>
      </c>
      <c r="BY405" s="50" t="s">
        <v>6287</v>
      </c>
      <c r="BZ405" s="50" t="s">
        <v>11199</v>
      </c>
      <c r="CA405" s="50" t="s">
        <v>16196</v>
      </c>
      <c r="CB405" s="50" t="s">
        <v>6286</v>
      </c>
      <c r="CC405" s="50" t="s">
        <v>21176</v>
      </c>
      <c r="CD405" s="50" t="s">
        <v>21177</v>
      </c>
      <c r="CE405" s="50" t="s">
        <v>21178</v>
      </c>
      <c r="CF405" s="50" t="s">
        <v>21179</v>
      </c>
      <c r="CG405" s="50" t="s">
        <v>5811</v>
      </c>
      <c r="CH405" s="50" t="s">
        <v>21180</v>
      </c>
      <c r="CJ405" s="50" t="s">
        <v>8522</v>
      </c>
      <c r="CK405" s="50" t="s">
        <v>21180</v>
      </c>
      <c r="CL405" s="50" t="s">
        <v>6280</v>
      </c>
      <c r="CM405" s="50" t="s">
        <v>621</v>
      </c>
      <c r="CN405" s="50" t="s">
        <v>8522</v>
      </c>
      <c r="CO405" s="50" t="s">
        <v>6293</v>
      </c>
      <c r="CP405" s="50" t="s">
        <v>11204</v>
      </c>
      <c r="CQ405" s="50" t="s">
        <v>11204</v>
      </c>
    </row>
    <row r="406" spans="1:96">
      <c r="A406" s="50" t="s">
        <v>337</v>
      </c>
      <c r="B406" s="50">
        <v>3472699</v>
      </c>
      <c r="C406" s="50" t="s">
        <v>12030</v>
      </c>
      <c r="D406" s="50" t="s">
        <v>16145</v>
      </c>
      <c r="E406" s="50" t="e">
        <f>VLOOKUP(B406,aa!B:F,5,0)</f>
        <v>#N/A</v>
      </c>
      <c r="F406" s="50" t="e">
        <f>VLOOKUP(B406,aa!B:J,9,0)</f>
        <v>#N/A</v>
      </c>
      <c r="G406" s="50" t="e">
        <f>VLOOKUP(B406,aa!B:L,11,0)</f>
        <v>#N/A</v>
      </c>
      <c r="H406" s="50" t="e">
        <f>VLOOKUP(B406,aa!B:O,14,0)</f>
        <v>#N/A</v>
      </c>
      <c r="I406" s="50" t="e">
        <f>VLOOKUP(B406,aa!B:R,17,0)</f>
        <v>#N/A</v>
      </c>
      <c r="K406" s="50" t="s">
        <v>97</v>
      </c>
      <c r="L406" s="50">
        <v>418800</v>
      </c>
      <c r="M406" s="50">
        <v>418800</v>
      </c>
      <c r="N406" s="50">
        <v>418800</v>
      </c>
      <c r="O406" s="50">
        <v>698</v>
      </c>
      <c r="P406" s="50" t="s">
        <v>310</v>
      </c>
      <c r="Q406" s="50">
        <v>0</v>
      </c>
      <c r="R406" s="50">
        <v>0</v>
      </c>
      <c r="T406" s="50">
        <v>0</v>
      </c>
      <c r="U406" s="50">
        <v>0</v>
      </c>
      <c r="W406" s="50" t="s">
        <v>102</v>
      </c>
      <c r="X406" s="50" t="s">
        <v>103</v>
      </c>
      <c r="Y406" s="50" t="s">
        <v>104</v>
      </c>
      <c r="AA406" s="50" t="s">
        <v>12427</v>
      </c>
      <c r="AB406" s="50" t="s">
        <v>8503</v>
      </c>
      <c r="AC406" s="50" t="s">
        <v>12427</v>
      </c>
      <c r="AD406" s="50" t="s">
        <v>8503</v>
      </c>
      <c r="AE406" s="50" t="s">
        <v>109</v>
      </c>
      <c r="AF406" s="50" t="s">
        <v>102</v>
      </c>
      <c r="AG406" s="50" t="s">
        <v>109</v>
      </c>
      <c r="AH406" s="50" t="s">
        <v>102</v>
      </c>
      <c r="AI406" s="50" t="s">
        <v>14701</v>
      </c>
      <c r="AJ406" s="50" t="s">
        <v>11932</v>
      </c>
      <c r="AK406" s="50" t="s">
        <v>15177</v>
      </c>
      <c r="AL406" s="50" t="s">
        <v>16146</v>
      </c>
      <c r="AM406" s="50" t="s">
        <v>9643</v>
      </c>
      <c r="AN406" s="50" t="s">
        <v>16147</v>
      </c>
      <c r="AO406" s="50" t="s">
        <v>317</v>
      </c>
      <c r="AP406" s="50" t="s">
        <v>317</v>
      </c>
      <c r="AU406" s="50" t="s">
        <v>318</v>
      </c>
      <c r="AV406" s="50" t="s">
        <v>118</v>
      </c>
      <c r="AW406" s="50" t="s">
        <v>102</v>
      </c>
      <c r="AX406" s="50" t="s">
        <v>119</v>
      </c>
      <c r="BB406" s="50" t="s">
        <v>120</v>
      </c>
      <c r="BC406" s="50" t="s">
        <v>16148</v>
      </c>
      <c r="BD406" s="50" t="s">
        <v>2800</v>
      </c>
      <c r="BE406" s="50" t="s">
        <v>122</v>
      </c>
      <c r="BF406" s="50" t="s">
        <v>346</v>
      </c>
      <c r="BG406" s="50" t="s">
        <v>124</v>
      </c>
      <c r="BH406" s="50" t="s">
        <v>12023</v>
      </c>
      <c r="BI406" s="50" t="s">
        <v>11889</v>
      </c>
      <c r="BJ406" s="50" t="s">
        <v>127</v>
      </c>
      <c r="BK406" s="50" t="s">
        <v>16149</v>
      </c>
      <c r="BL406" s="50" t="s">
        <v>16150</v>
      </c>
      <c r="BM406" s="50" t="s">
        <v>16151</v>
      </c>
      <c r="BN406" s="50" t="s">
        <v>16054</v>
      </c>
      <c r="BO406" s="50" t="s">
        <v>4845</v>
      </c>
      <c r="BP406" s="50" t="s">
        <v>350</v>
      </c>
      <c r="BQ406" s="50" t="s">
        <v>4846</v>
      </c>
      <c r="BR406" s="50" t="s">
        <v>4847</v>
      </c>
      <c r="BS406" s="50" t="s">
        <v>328</v>
      </c>
      <c r="BT406" s="50" t="s">
        <v>5574</v>
      </c>
      <c r="BU406" s="50" t="s">
        <v>16152</v>
      </c>
      <c r="BV406" s="50" t="s">
        <v>16153</v>
      </c>
      <c r="BW406" s="50" t="s">
        <v>569</v>
      </c>
      <c r="BX406" s="50" t="s">
        <v>16154</v>
      </c>
      <c r="BY406" s="50" t="s">
        <v>16155</v>
      </c>
      <c r="BZ406" s="50" t="s">
        <v>16156</v>
      </c>
      <c r="CA406" s="50" t="s">
        <v>16157</v>
      </c>
      <c r="CB406" s="50" t="s">
        <v>16158</v>
      </c>
      <c r="CC406" s="50" t="s">
        <v>16155</v>
      </c>
      <c r="CD406" s="50" t="s">
        <v>16157</v>
      </c>
      <c r="CE406" s="50" t="s">
        <v>16158</v>
      </c>
      <c r="CF406" s="50" t="s">
        <v>16155</v>
      </c>
      <c r="CG406" s="50" t="s">
        <v>3841</v>
      </c>
      <c r="CH406" s="50" t="s">
        <v>16159</v>
      </c>
      <c r="CJ406" s="50" t="s">
        <v>16160</v>
      </c>
      <c r="CK406" s="50" t="s">
        <v>16159</v>
      </c>
      <c r="CL406" s="50" t="s">
        <v>16148</v>
      </c>
      <c r="CM406" s="50" t="s">
        <v>2800</v>
      </c>
      <c r="CN406" s="50" t="s">
        <v>16160</v>
      </c>
      <c r="CP406" s="50" t="s">
        <v>16161</v>
      </c>
      <c r="CQ406" s="50" t="s">
        <v>16161</v>
      </c>
    </row>
    <row r="407" spans="1:96">
      <c r="A407" s="50" t="s">
        <v>337</v>
      </c>
      <c r="B407" s="50">
        <v>541153</v>
      </c>
      <c r="C407" s="50" t="s">
        <v>12030</v>
      </c>
      <c r="D407" s="50" t="s">
        <v>21071</v>
      </c>
      <c r="E407" s="50" t="e">
        <f>VLOOKUP(B407,aa!B:F,5,0)</f>
        <v>#N/A</v>
      </c>
      <c r="F407" s="50" t="e">
        <f>VLOOKUP(B407,aa!B:J,9,0)</f>
        <v>#N/A</v>
      </c>
      <c r="G407" s="50" t="e">
        <f>VLOOKUP(B407,aa!B:L,11,0)</f>
        <v>#N/A</v>
      </c>
      <c r="H407" s="50" t="e">
        <f>VLOOKUP(B407,aa!B:O,14,0)</f>
        <v>#N/A</v>
      </c>
      <c r="I407" s="50" t="e">
        <f>VLOOKUP(B407,aa!B:R,17,0)</f>
        <v>#N/A</v>
      </c>
      <c r="K407" s="50" t="s">
        <v>97</v>
      </c>
      <c r="L407" s="50">
        <v>358200</v>
      </c>
      <c r="M407" s="50">
        <v>358200</v>
      </c>
      <c r="N407" s="50">
        <v>358200</v>
      </c>
      <c r="O407" s="50">
        <v>597</v>
      </c>
      <c r="P407" s="50" t="s">
        <v>310</v>
      </c>
      <c r="Q407" s="50">
        <v>0</v>
      </c>
      <c r="R407" s="50">
        <v>0</v>
      </c>
      <c r="T407" s="50">
        <v>0</v>
      </c>
      <c r="U407" s="50">
        <v>0</v>
      </c>
      <c r="W407" s="50" t="s">
        <v>102</v>
      </c>
      <c r="X407" s="50" t="s">
        <v>103</v>
      </c>
      <c r="Y407" s="50" t="s">
        <v>104</v>
      </c>
      <c r="AA407" s="50" t="s">
        <v>8708</v>
      </c>
      <c r="AB407" s="50" t="s">
        <v>21072</v>
      </c>
      <c r="AC407" s="50" t="s">
        <v>8708</v>
      </c>
      <c r="AD407" s="50" t="s">
        <v>21072</v>
      </c>
      <c r="AE407" s="50" t="s">
        <v>109</v>
      </c>
      <c r="AF407" s="50" t="s">
        <v>102</v>
      </c>
      <c r="AG407" s="50" t="s">
        <v>109</v>
      </c>
      <c r="AH407" s="50" t="s">
        <v>102</v>
      </c>
      <c r="AI407" s="50" t="s">
        <v>9458</v>
      </c>
      <c r="AJ407" s="50" t="s">
        <v>11932</v>
      </c>
      <c r="AK407" s="50" t="s">
        <v>13034</v>
      </c>
      <c r="AL407" s="50" t="s">
        <v>21073</v>
      </c>
      <c r="AM407" s="50" t="s">
        <v>21074</v>
      </c>
      <c r="AN407" s="50" t="s">
        <v>21075</v>
      </c>
      <c r="AO407" s="50" t="s">
        <v>317</v>
      </c>
      <c r="AP407" s="50" t="s">
        <v>317</v>
      </c>
      <c r="AU407" s="50" t="s">
        <v>318</v>
      </c>
      <c r="AV407" s="50" t="s">
        <v>118</v>
      </c>
      <c r="AW407" s="50" t="s">
        <v>102</v>
      </c>
      <c r="AX407" s="50" t="s">
        <v>119</v>
      </c>
      <c r="BB407" s="50" t="s">
        <v>120</v>
      </c>
      <c r="BC407" s="50" t="s">
        <v>16148</v>
      </c>
      <c r="BD407" s="50" t="s">
        <v>2800</v>
      </c>
      <c r="BE407" s="50" t="s">
        <v>122</v>
      </c>
      <c r="BF407" s="50" t="s">
        <v>346</v>
      </c>
      <c r="BG407" s="50" t="s">
        <v>124</v>
      </c>
      <c r="BH407" s="50" t="s">
        <v>12023</v>
      </c>
      <c r="BI407" s="50" t="s">
        <v>11889</v>
      </c>
      <c r="BJ407" s="50" t="s">
        <v>127</v>
      </c>
      <c r="BK407" s="50" t="s">
        <v>21076</v>
      </c>
      <c r="BL407" s="50" t="s">
        <v>21077</v>
      </c>
      <c r="BM407" s="50" t="s">
        <v>21078</v>
      </c>
      <c r="BN407" s="50" t="s">
        <v>16054</v>
      </c>
      <c r="BO407" s="50" t="s">
        <v>4845</v>
      </c>
      <c r="BP407" s="50" t="s">
        <v>350</v>
      </c>
      <c r="BQ407" s="50" t="s">
        <v>4846</v>
      </c>
      <c r="BR407" s="50" t="s">
        <v>4847</v>
      </c>
      <c r="BS407" s="50" t="s">
        <v>328</v>
      </c>
      <c r="BU407" s="50" t="s">
        <v>21079</v>
      </c>
      <c r="BV407" s="50" t="s">
        <v>16153</v>
      </c>
      <c r="BW407" s="50" t="s">
        <v>569</v>
      </c>
      <c r="BX407" s="50" t="s">
        <v>16154</v>
      </c>
      <c r="BY407" s="50" t="s">
        <v>16155</v>
      </c>
      <c r="BZ407" s="50" t="s">
        <v>16156</v>
      </c>
      <c r="CA407" s="50" t="s">
        <v>16153</v>
      </c>
      <c r="CB407" s="50" t="s">
        <v>16154</v>
      </c>
      <c r="CC407" s="50" t="s">
        <v>16155</v>
      </c>
      <c r="CD407" s="50" t="s">
        <v>16153</v>
      </c>
      <c r="CE407" s="50" t="s">
        <v>16154</v>
      </c>
      <c r="CF407" s="50" t="s">
        <v>16155</v>
      </c>
      <c r="CG407" s="50" t="s">
        <v>3841</v>
      </c>
      <c r="CH407" s="50" t="s">
        <v>21080</v>
      </c>
      <c r="CJ407" s="50" t="s">
        <v>21081</v>
      </c>
      <c r="CK407" s="50" t="s">
        <v>21080</v>
      </c>
      <c r="CL407" s="50" t="s">
        <v>16148</v>
      </c>
      <c r="CM407" s="50" t="s">
        <v>2800</v>
      </c>
      <c r="CN407" s="50" t="s">
        <v>21081</v>
      </c>
      <c r="CP407" s="50" t="s">
        <v>21080</v>
      </c>
      <c r="CQ407" s="50" t="s">
        <v>21080</v>
      </c>
    </row>
    <row r="408" spans="1:96">
      <c r="A408" s="50" t="s">
        <v>93</v>
      </c>
      <c r="B408" s="50">
        <v>620889</v>
      </c>
      <c r="C408" s="50" t="s">
        <v>12030</v>
      </c>
      <c r="D408" s="50" t="s">
        <v>11363</v>
      </c>
      <c r="E408" s="50" t="e">
        <f>VLOOKUP(B408,aa!B:F,5,0)</f>
        <v>#N/A</v>
      </c>
      <c r="F408" s="50" t="e">
        <f>VLOOKUP(B408,aa!B:J,9,0)</f>
        <v>#N/A</v>
      </c>
      <c r="G408" s="50" t="e">
        <f>VLOOKUP(B408,aa!B:L,11,0)</f>
        <v>#N/A</v>
      </c>
      <c r="H408" s="50" t="e">
        <f>VLOOKUP(B408,aa!B:O,14,0)</f>
        <v>#N/A</v>
      </c>
      <c r="I408" s="50" t="e">
        <f>VLOOKUP(B408,aa!B:R,17,0)</f>
        <v>#N/A</v>
      </c>
      <c r="K408" s="50" t="s">
        <v>97</v>
      </c>
      <c r="L408" s="50">
        <v>345000</v>
      </c>
      <c r="M408" s="50">
        <v>345000</v>
      </c>
      <c r="N408" s="50">
        <v>345000</v>
      </c>
      <c r="O408" s="50">
        <v>460</v>
      </c>
      <c r="P408" s="50" t="s">
        <v>101</v>
      </c>
      <c r="Q408" s="50">
        <v>0</v>
      </c>
      <c r="R408" s="50">
        <v>0</v>
      </c>
      <c r="T408" s="50">
        <v>0</v>
      </c>
      <c r="U408" s="50">
        <v>0</v>
      </c>
      <c r="W408" s="50" t="s">
        <v>102</v>
      </c>
      <c r="X408" s="50" t="s">
        <v>275</v>
      </c>
      <c r="Z408" s="50" t="s">
        <v>12289</v>
      </c>
      <c r="AA408" s="50" t="s">
        <v>109</v>
      </c>
      <c r="AB408" s="50" t="s">
        <v>102</v>
      </c>
      <c r="AC408" s="50" t="s">
        <v>109</v>
      </c>
      <c r="AD408" s="50" t="s">
        <v>102</v>
      </c>
      <c r="AE408" s="50" t="s">
        <v>109</v>
      </c>
      <c r="AF408" s="50" t="s">
        <v>102</v>
      </c>
      <c r="AG408" s="50" t="s">
        <v>109</v>
      </c>
      <c r="AH408" s="50" t="s">
        <v>102</v>
      </c>
      <c r="AI408" s="50" t="s">
        <v>21270</v>
      </c>
      <c r="AJ408" s="50" t="s">
        <v>14193</v>
      </c>
      <c r="AK408" s="50" t="s">
        <v>14193</v>
      </c>
      <c r="AL408" s="50" t="s">
        <v>21271</v>
      </c>
      <c r="AM408" s="50" t="s">
        <v>21272</v>
      </c>
      <c r="AN408" s="50" t="s">
        <v>101</v>
      </c>
      <c r="AO408" s="50" t="s">
        <v>116</v>
      </c>
      <c r="AP408" s="50" t="s">
        <v>116</v>
      </c>
      <c r="AU408" s="50" t="s">
        <v>117</v>
      </c>
      <c r="AV408" s="50" t="s">
        <v>118</v>
      </c>
      <c r="AW408" s="50" t="s">
        <v>102</v>
      </c>
      <c r="AX408" s="50" t="s">
        <v>119</v>
      </c>
      <c r="BB408" s="50" t="s">
        <v>1664</v>
      </c>
      <c r="BC408" s="50" t="s">
        <v>11368</v>
      </c>
      <c r="BD408" s="50" t="s">
        <v>2800</v>
      </c>
      <c r="BE408" s="50" t="s">
        <v>122</v>
      </c>
      <c r="BF408" s="50" t="s">
        <v>346</v>
      </c>
      <c r="BG408" s="50" t="s">
        <v>124</v>
      </c>
      <c r="BH408" s="50" t="s">
        <v>12023</v>
      </c>
      <c r="BI408" s="50" t="s">
        <v>11889</v>
      </c>
      <c r="BJ408" s="50" t="s">
        <v>127</v>
      </c>
      <c r="BK408" s="50" t="s">
        <v>21273</v>
      </c>
      <c r="BL408" s="50" t="s">
        <v>11370</v>
      </c>
      <c r="BM408" s="50" t="s">
        <v>21274</v>
      </c>
      <c r="BN408" s="50" t="s">
        <v>16054</v>
      </c>
      <c r="BO408" s="50" t="s">
        <v>4845</v>
      </c>
      <c r="BP408" s="50" t="s">
        <v>505</v>
      </c>
      <c r="BQ408" s="50" t="s">
        <v>4846</v>
      </c>
      <c r="BR408" s="50" t="s">
        <v>4847</v>
      </c>
      <c r="BS408" s="50" t="s">
        <v>8756</v>
      </c>
      <c r="BT408" s="50" t="s">
        <v>5743</v>
      </c>
      <c r="BU408" s="50" t="s">
        <v>21275</v>
      </c>
      <c r="BV408" s="50" t="s">
        <v>21276</v>
      </c>
      <c r="BW408" s="50" t="s">
        <v>569</v>
      </c>
      <c r="BX408" s="50" t="s">
        <v>11374</v>
      </c>
      <c r="BY408" s="50" t="s">
        <v>11375</v>
      </c>
      <c r="BZ408" s="50" t="s">
        <v>11376</v>
      </c>
      <c r="CA408" s="50" t="s">
        <v>21277</v>
      </c>
      <c r="CB408" s="50" t="s">
        <v>21278</v>
      </c>
      <c r="CC408" s="50" t="s">
        <v>21279</v>
      </c>
      <c r="CD408" s="50" t="s">
        <v>11373</v>
      </c>
      <c r="CE408" s="50" t="s">
        <v>11374</v>
      </c>
      <c r="CF408" s="50" t="s">
        <v>11375</v>
      </c>
      <c r="CG408" s="50" t="s">
        <v>11377</v>
      </c>
      <c r="CH408" s="50" t="s">
        <v>11378</v>
      </c>
      <c r="CJ408" s="50" t="s">
        <v>11379</v>
      </c>
      <c r="CK408" s="50" t="s">
        <v>21280</v>
      </c>
      <c r="CL408" s="50" t="s">
        <v>11368</v>
      </c>
      <c r="CM408" s="50" t="s">
        <v>2800</v>
      </c>
      <c r="CN408" s="50" t="s">
        <v>11379</v>
      </c>
      <c r="CP408" s="50" t="s">
        <v>11378</v>
      </c>
      <c r="CQ408" s="50" t="s">
        <v>11378</v>
      </c>
    </row>
    <row r="409" spans="1:96">
      <c r="A409" s="50" t="s">
        <v>93</v>
      </c>
      <c r="B409" s="50">
        <v>1822220</v>
      </c>
      <c r="C409" s="50" t="s">
        <v>11898</v>
      </c>
      <c r="D409" s="50" t="s">
        <v>1980</v>
      </c>
      <c r="E409" s="50" t="e">
        <f>VLOOKUP(B409,aa!B:F,5,0)</f>
        <v>#N/A</v>
      </c>
      <c r="F409" s="50" t="e">
        <f>VLOOKUP(B409,aa!B:J,9,0)</f>
        <v>#N/A</v>
      </c>
      <c r="G409" s="50" t="e">
        <f>VLOOKUP(B409,aa!B:L,11,0)</f>
        <v>#N/A</v>
      </c>
      <c r="H409" s="50" t="e">
        <f>VLOOKUP(B409,aa!B:O,14,0)</f>
        <v>#N/A</v>
      </c>
      <c r="I409" s="50" t="e">
        <f>VLOOKUP(B409,aa!B:R,17,0)</f>
        <v>#N/A</v>
      </c>
      <c r="K409" s="50" t="s">
        <v>97</v>
      </c>
      <c r="L409" s="50">
        <v>325080</v>
      </c>
      <c r="M409" s="50">
        <v>325080</v>
      </c>
      <c r="N409" s="50">
        <v>325080</v>
      </c>
      <c r="O409" s="50">
        <v>200</v>
      </c>
      <c r="P409" s="50" t="s">
        <v>12984</v>
      </c>
      <c r="Q409" s="50">
        <v>0</v>
      </c>
      <c r="R409" s="50">
        <v>0</v>
      </c>
      <c r="T409" s="50">
        <v>0</v>
      </c>
      <c r="U409" s="50">
        <v>0</v>
      </c>
      <c r="W409" s="50" t="s">
        <v>102</v>
      </c>
      <c r="X409" s="50" t="s">
        <v>275</v>
      </c>
      <c r="Z409" s="50" t="s">
        <v>126</v>
      </c>
      <c r="AA409" s="50" t="s">
        <v>109</v>
      </c>
      <c r="AB409" s="50" t="s">
        <v>102</v>
      </c>
      <c r="AC409" s="50" t="s">
        <v>109</v>
      </c>
      <c r="AD409" s="50" t="s">
        <v>102</v>
      </c>
      <c r="AE409" s="50" t="s">
        <v>109</v>
      </c>
      <c r="AF409" s="50" t="s">
        <v>102</v>
      </c>
      <c r="AG409" s="50" t="s">
        <v>109</v>
      </c>
      <c r="AH409" s="50" t="s">
        <v>102</v>
      </c>
      <c r="AI409" s="50" t="s">
        <v>12985</v>
      </c>
      <c r="AJ409" s="50" t="s">
        <v>12541</v>
      </c>
      <c r="AK409" s="50" t="s">
        <v>12541</v>
      </c>
      <c r="AL409" s="50" t="s">
        <v>12986</v>
      </c>
      <c r="AM409" s="50" t="s">
        <v>12987</v>
      </c>
      <c r="AN409" s="50" t="s">
        <v>102</v>
      </c>
      <c r="AO409" s="50" t="s">
        <v>12988</v>
      </c>
      <c r="AP409" s="50" t="s">
        <v>12989</v>
      </c>
      <c r="AQ409" s="50" t="s">
        <v>343</v>
      </c>
      <c r="AU409" s="50" t="s">
        <v>318</v>
      </c>
      <c r="AV409" s="50" t="s">
        <v>118</v>
      </c>
      <c r="AW409" s="50" t="s">
        <v>102</v>
      </c>
      <c r="AX409" s="50" t="s">
        <v>119</v>
      </c>
      <c r="BB409" s="50" t="s">
        <v>120</v>
      </c>
      <c r="BC409" s="50" t="s">
        <v>251</v>
      </c>
      <c r="BD409" s="50" t="s">
        <v>252</v>
      </c>
      <c r="BE409" s="50" t="s">
        <v>122</v>
      </c>
      <c r="BF409" s="50" t="s">
        <v>253</v>
      </c>
      <c r="BG409" s="50" t="s">
        <v>124</v>
      </c>
      <c r="BH409" s="50" t="s">
        <v>7484</v>
      </c>
      <c r="BI409" s="50" t="s">
        <v>12435</v>
      </c>
      <c r="BJ409" s="50" t="s">
        <v>127</v>
      </c>
      <c r="BK409" s="50" t="s">
        <v>12990</v>
      </c>
      <c r="BL409" s="50" t="s">
        <v>1990</v>
      </c>
      <c r="BM409" s="50" t="s">
        <v>12991</v>
      </c>
      <c r="BN409" s="50" t="s">
        <v>7484</v>
      </c>
      <c r="BO409" s="50" t="s">
        <v>12453</v>
      </c>
      <c r="BP409" s="50" t="s">
        <v>350</v>
      </c>
      <c r="BQ409" s="50" t="s">
        <v>12454</v>
      </c>
      <c r="BR409" s="50" t="s">
        <v>12455</v>
      </c>
      <c r="BS409" s="50" t="s">
        <v>1995</v>
      </c>
      <c r="BT409" s="50" t="s">
        <v>135</v>
      </c>
      <c r="BU409" s="50" t="s">
        <v>12992</v>
      </c>
      <c r="BV409" s="50" t="s">
        <v>12993</v>
      </c>
      <c r="BW409" s="50" t="s">
        <v>138</v>
      </c>
      <c r="BX409" s="50" t="s">
        <v>12994</v>
      </c>
      <c r="BY409" s="50" t="s">
        <v>12995</v>
      </c>
      <c r="BZ409" s="50" t="s">
        <v>1998</v>
      </c>
      <c r="CA409" s="50" t="s">
        <v>12993</v>
      </c>
      <c r="CB409" s="50" t="s">
        <v>12994</v>
      </c>
      <c r="CC409" s="50" t="s">
        <v>12995</v>
      </c>
      <c r="CD409" s="50" t="s">
        <v>12993</v>
      </c>
      <c r="CE409" s="50" t="s">
        <v>12994</v>
      </c>
      <c r="CF409" s="50" t="s">
        <v>12995</v>
      </c>
      <c r="CG409" s="50" t="s">
        <v>1999</v>
      </c>
      <c r="CH409" s="50" t="s">
        <v>12996</v>
      </c>
      <c r="CJ409" s="50" t="s">
        <v>2001</v>
      </c>
      <c r="CK409" s="50" t="s">
        <v>12997</v>
      </c>
      <c r="CL409" s="50" t="s">
        <v>251</v>
      </c>
      <c r="CM409" s="50" t="s">
        <v>252</v>
      </c>
      <c r="CN409" s="50" t="s">
        <v>2001</v>
      </c>
      <c r="CP409" s="50" t="s">
        <v>2000</v>
      </c>
      <c r="CQ409" s="50" t="s">
        <v>2002</v>
      </c>
    </row>
    <row r="410" spans="1:96">
      <c r="A410" s="50" t="s">
        <v>149</v>
      </c>
      <c r="B410" s="50">
        <v>420525</v>
      </c>
      <c r="C410" s="50" t="s">
        <v>2151</v>
      </c>
      <c r="D410" s="50" t="s">
        <v>8894</v>
      </c>
      <c r="E410" s="50" t="e">
        <f>VLOOKUP(B410,aa!B:F,5,0)</f>
        <v>#N/A</v>
      </c>
      <c r="F410" s="50" t="e">
        <f>VLOOKUP(B410,aa!B:J,9,0)</f>
        <v>#N/A</v>
      </c>
      <c r="G410" s="50" t="e">
        <f>VLOOKUP(B410,aa!B:L,11,0)</f>
        <v>#N/A</v>
      </c>
      <c r="H410" s="50" t="e">
        <f>VLOOKUP(B410,aa!B:O,14,0)</f>
        <v>#N/A</v>
      </c>
      <c r="I410" s="50" t="e">
        <f>VLOOKUP(B410,aa!B:R,17,0)</f>
        <v>#N/A</v>
      </c>
      <c r="K410" s="50" t="s">
        <v>193</v>
      </c>
      <c r="L410" s="50">
        <v>4844438</v>
      </c>
      <c r="M410" s="50">
        <v>5552852</v>
      </c>
      <c r="N410" s="50">
        <v>908805</v>
      </c>
      <c r="O410" s="50">
        <v>1907</v>
      </c>
      <c r="P410" s="50" t="s">
        <v>2886</v>
      </c>
      <c r="Q410" s="50">
        <v>0</v>
      </c>
      <c r="R410" s="50">
        <v>0</v>
      </c>
      <c r="T410" s="50">
        <v>3935633</v>
      </c>
      <c r="U410" s="50">
        <v>2236</v>
      </c>
      <c r="V410" s="50" t="s">
        <v>5818</v>
      </c>
      <c r="W410" s="50" t="s">
        <v>102</v>
      </c>
      <c r="X410" s="50" t="s">
        <v>103</v>
      </c>
      <c r="Y410" s="50" t="s">
        <v>5317</v>
      </c>
      <c r="AA410" s="50" t="s">
        <v>18285</v>
      </c>
      <c r="AB410" s="50" t="s">
        <v>18286</v>
      </c>
      <c r="AC410" s="50" t="s">
        <v>18287</v>
      </c>
      <c r="AD410" s="50" t="s">
        <v>18288</v>
      </c>
      <c r="AE410" s="50" t="s">
        <v>12595</v>
      </c>
      <c r="AF410" s="50" t="s">
        <v>18289</v>
      </c>
      <c r="AG410" s="50" t="s">
        <v>109</v>
      </c>
      <c r="AH410" s="50" t="s">
        <v>102</v>
      </c>
      <c r="AI410" s="50" t="s">
        <v>18290</v>
      </c>
      <c r="AJ410" s="50" t="s">
        <v>18291</v>
      </c>
      <c r="AK410" s="50" t="s">
        <v>18292</v>
      </c>
      <c r="AL410" s="50" t="s">
        <v>18293</v>
      </c>
      <c r="AM410" s="50" t="s">
        <v>18294</v>
      </c>
      <c r="AN410" s="50" t="s">
        <v>18295</v>
      </c>
      <c r="AO410" s="50" t="s">
        <v>18296</v>
      </c>
      <c r="AP410" s="50" t="s">
        <v>18296</v>
      </c>
      <c r="AU410" s="50" t="s">
        <v>247</v>
      </c>
      <c r="AV410" s="50" t="s">
        <v>118</v>
      </c>
      <c r="AW410" s="50" t="s">
        <v>102</v>
      </c>
      <c r="AX410" s="50" t="s">
        <v>119</v>
      </c>
      <c r="BA410" s="50" t="s">
        <v>250</v>
      </c>
      <c r="BB410" s="50" t="s">
        <v>171</v>
      </c>
      <c r="BC410" s="50" t="s">
        <v>920</v>
      </c>
      <c r="BD410" s="50" t="s">
        <v>211</v>
      </c>
      <c r="BE410" s="50" t="s">
        <v>212</v>
      </c>
      <c r="BF410" s="50" t="s">
        <v>213</v>
      </c>
      <c r="BG410" s="50" t="s">
        <v>124</v>
      </c>
      <c r="BH410" s="50" t="s">
        <v>13308</v>
      </c>
      <c r="BI410" s="50" t="s">
        <v>11889</v>
      </c>
      <c r="BJ410" s="50" t="s">
        <v>127</v>
      </c>
      <c r="BK410" s="50" t="s">
        <v>18297</v>
      </c>
      <c r="BL410" s="50" t="s">
        <v>8908</v>
      </c>
      <c r="BM410" s="50" t="s">
        <v>18298</v>
      </c>
      <c r="BN410" s="50" t="s">
        <v>7484</v>
      </c>
      <c r="BO410" s="50" t="s">
        <v>415</v>
      </c>
      <c r="BP410" s="50" t="s">
        <v>7992</v>
      </c>
      <c r="BQ410" s="50" t="s">
        <v>416</v>
      </c>
      <c r="BR410" s="50" t="s">
        <v>417</v>
      </c>
      <c r="BS410" s="50" t="s">
        <v>2151</v>
      </c>
      <c r="BU410" s="50" t="s">
        <v>18299</v>
      </c>
      <c r="BV410" s="50" t="s">
        <v>8911</v>
      </c>
      <c r="BW410" s="50" t="s">
        <v>138</v>
      </c>
      <c r="BX410" s="50" t="s">
        <v>8912</v>
      </c>
      <c r="BY410" s="50" t="s">
        <v>8913</v>
      </c>
      <c r="BZ410" s="50" t="s">
        <v>8912</v>
      </c>
      <c r="CA410" s="50" t="s">
        <v>8911</v>
      </c>
      <c r="CB410" s="50" t="s">
        <v>8912</v>
      </c>
      <c r="CC410" s="50" t="s">
        <v>8913</v>
      </c>
      <c r="CD410" s="50" t="s">
        <v>8911</v>
      </c>
      <c r="CE410" s="50" t="s">
        <v>8912</v>
      </c>
      <c r="CF410" s="50" t="s">
        <v>8913</v>
      </c>
      <c r="CG410" s="50" t="s">
        <v>8917</v>
      </c>
      <c r="CH410" s="50" t="s">
        <v>8918</v>
      </c>
      <c r="CJ410" s="50" t="s">
        <v>8919</v>
      </c>
      <c r="CK410" s="50" t="s">
        <v>8918</v>
      </c>
      <c r="CL410" s="50" t="s">
        <v>920</v>
      </c>
      <c r="CM410" s="50" t="s">
        <v>211</v>
      </c>
      <c r="CN410" s="50" t="s">
        <v>8919</v>
      </c>
      <c r="CO410" s="50" t="s">
        <v>8920</v>
      </c>
      <c r="CP410" s="50" t="s">
        <v>8918</v>
      </c>
      <c r="CQ410" s="50" t="s">
        <v>8918</v>
      </c>
      <c r="CR410" s="50" t="s">
        <v>26040</v>
      </c>
    </row>
    <row r="411" spans="1:96">
      <c r="A411" s="50" t="s">
        <v>149</v>
      </c>
      <c r="B411" s="50">
        <v>1131322</v>
      </c>
      <c r="C411" s="50" t="s">
        <v>11995</v>
      </c>
      <c r="D411" s="50" t="s">
        <v>516</v>
      </c>
      <c r="E411" s="50" t="e">
        <f>VLOOKUP(B411,aa!B:F,5,0)</f>
        <v>#N/A</v>
      </c>
      <c r="F411" s="50" t="e">
        <f>VLOOKUP(B411,aa!B:J,9,0)</f>
        <v>#N/A</v>
      </c>
      <c r="G411" s="50" t="e">
        <f>VLOOKUP(B411,aa!B:L,11,0)</f>
        <v>#N/A</v>
      </c>
      <c r="H411" s="50" t="e">
        <f>VLOOKUP(B411,aa!B:O,14,0)</f>
        <v>#N/A</v>
      </c>
      <c r="I411" s="50" t="e">
        <f>VLOOKUP(B411,aa!B:R,17,0)</f>
        <v>#N/A</v>
      </c>
      <c r="K411" s="50" t="s">
        <v>97</v>
      </c>
      <c r="L411" s="50">
        <v>360715</v>
      </c>
      <c r="M411" s="50">
        <v>360715</v>
      </c>
      <c r="N411" s="50">
        <v>360715</v>
      </c>
      <c r="O411" s="50">
        <v>633</v>
      </c>
      <c r="P411" s="50" t="s">
        <v>519</v>
      </c>
      <c r="Q411" s="50">
        <v>0</v>
      </c>
      <c r="R411" s="50">
        <v>0</v>
      </c>
      <c r="T411" s="50">
        <v>0</v>
      </c>
      <c r="U411" s="50">
        <v>0</v>
      </c>
      <c r="W411" s="50" t="s">
        <v>102</v>
      </c>
      <c r="X411" s="50" t="s">
        <v>275</v>
      </c>
      <c r="Z411" s="50" t="s">
        <v>3679</v>
      </c>
      <c r="AA411" s="50" t="s">
        <v>109</v>
      </c>
      <c r="AB411" s="50" t="s">
        <v>102</v>
      </c>
      <c r="AC411" s="50" t="s">
        <v>109</v>
      </c>
      <c r="AD411" s="50" t="s">
        <v>102</v>
      </c>
      <c r="AE411" s="50" t="s">
        <v>109</v>
      </c>
      <c r="AF411" s="50" t="s">
        <v>102</v>
      </c>
      <c r="AG411" s="50" t="s">
        <v>109</v>
      </c>
      <c r="AH411" s="50" t="s">
        <v>102</v>
      </c>
      <c r="AI411" s="50" t="s">
        <v>12144</v>
      </c>
      <c r="AJ411" s="50" t="s">
        <v>12145</v>
      </c>
      <c r="AK411" s="50" t="s">
        <v>12145</v>
      </c>
      <c r="AL411" s="50" t="s">
        <v>12146</v>
      </c>
      <c r="AM411" s="50" t="s">
        <v>12147</v>
      </c>
      <c r="AN411" s="50" t="s">
        <v>1205</v>
      </c>
      <c r="AO411" s="50" t="s">
        <v>12148</v>
      </c>
      <c r="AP411" s="50" t="s">
        <v>12148</v>
      </c>
      <c r="AU411" s="50" t="s">
        <v>318</v>
      </c>
      <c r="AV411" s="50" t="s">
        <v>118</v>
      </c>
      <c r="AW411" s="50" t="s">
        <v>102</v>
      </c>
      <c r="AX411" s="50" t="s">
        <v>119</v>
      </c>
      <c r="BB411" s="50" t="s">
        <v>120</v>
      </c>
      <c r="BC411" s="50" t="s">
        <v>284</v>
      </c>
      <c r="BD411" s="50" t="s">
        <v>285</v>
      </c>
      <c r="BE411" s="50" t="s">
        <v>212</v>
      </c>
      <c r="BF411" s="50" t="s">
        <v>286</v>
      </c>
      <c r="BG411" s="50" t="s">
        <v>124</v>
      </c>
      <c r="BH411" s="50" t="s">
        <v>11959</v>
      </c>
      <c r="BI411" s="50" t="s">
        <v>11889</v>
      </c>
      <c r="BJ411" s="50" t="s">
        <v>127</v>
      </c>
      <c r="BK411" s="50" t="s">
        <v>12149</v>
      </c>
      <c r="BL411" s="50" t="s">
        <v>527</v>
      </c>
      <c r="BM411" s="50" t="s">
        <v>12150</v>
      </c>
      <c r="BN411" s="50" t="s">
        <v>12128</v>
      </c>
      <c r="BO411" s="50" t="s">
        <v>956</v>
      </c>
      <c r="BP411" s="50" t="s">
        <v>132</v>
      </c>
      <c r="BQ411" s="50" t="s">
        <v>958</v>
      </c>
      <c r="BR411" s="50" t="s">
        <v>959</v>
      </c>
      <c r="BS411" s="50" t="s">
        <v>293</v>
      </c>
      <c r="BU411" s="50" t="s">
        <v>12151</v>
      </c>
      <c r="BV411" s="50" t="s">
        <v>12152</v>
      </c>
      <c r="BW411" s="50" t="s">
        <v>138</v>
      </c>
      <c r="BX411" s="50" t="s">
        <v>12153</v>
      </c>
      <c r="BY411" s="50" t="s">
        <v>532</v>
      </c>
      <c r="CA411" s="50" t="s">
        <v>12152</v>
      </c>
      <c r="CB411" s="50" t="s">
        <v>12153</v>
      </c>
      <c r="CC411" s="50" t="s">
        <v>532</v>
      </c>
      <c r="CD411" s="50" t="s">
        <v>12152</v>
      </c>
      <c r="CE411" s="50" t="s">
        <v>12153</v>
      </c>
      <c r="CF411" s="50" t="s">
        <v>532</v>
      </c>
      <c r="CG411" s="50" t="s">
        <v>102</v>
      </c>
      <c r="CH411" s="50" t="s">
        <v>538</v>
      </c>
      <c r="CJ411" s="50" t="s">
        <v>539</v>
      </c>
      <c r="CL411" s="50" t="s">
        <v>284</v>
      </c>
      <c r="CM411" s="50" t="s">
        <v>285</v>
      </c>
      <c r="CN411" s="50" t="s">
        <v>539</v>
      </c>
      <c r="CO411" s="50" t="s">
        <v>540</v>
      </c>
      <c r="CP411" s="50" t="s">
        <v>538</v>
      </c>
      <c r="CQ411" s="50" t="s">
        <v>538</v>
      </c>
      <c r="CR411" s="50" t="s">
        <v>26043</v>
      </c>
    </row>
    <row r="412" spans="1:96">
      <c r="A412" s="50" t="s">
        <v>93</v>
      </c>
      <c r="B412" s="50">
        <v>1720050</v>
      </c>
      <c r="C412" s="50" t="s">
        <v>12423</v>
      </c>
      <c r="D412" s="50" t="s">
        <v>1567</v>
      </c>
      <c r="E412" s="50" t="e">
        <f>VLOOKUP(B412,aa!B:F,5,0)</f>
        <v>#N/A</v>
      </c>
      <c r="F412" s="50" t="e">
        <f>VLOOKUP(B412,aa!B:J,9,0)</f>
        <v>#N/A</v>
      </c>
      <c r="G412" s="50" t="e">
        <f>VLOOKUP(B412,aa!B:L,11,0)</f>
        <v>#N/A</v>
      </c>
      <c r="H412" s="50" t="e">
        <f>VLOOKUP(B412,aa!B:O,14,0)</f>
        <v>#N/A</v>
      </c>
      <c r="I412" s="50" t="e">
        <f>VLOOKUP(B412,aa!B:R,17,0)</f>
        <v>#N/A</v>
      </c>
      <c r="K412" s="50" t="s">
        <v>848</v>
      </c>
      <c r="L412" s="50">
        <v>840496</v>
      </c>
      <c r="M412" s="50">
        <v>991785</v>
      </c>
      <c r="N412" s="50">
        <v>0</v>
      </c>
      <c r="O412" s="50">
        <v>0</v>
      </c>
      <c r="Q412" s="50">
        <v>0</v>
      </c>
      <c r="R412" s="50">
        <v>0</v>
      </c>
      <c r="T412" s="50">
        <v>840496</v>
      </c>
      <c r="U412" s="50">
        <v>761</v>
      </c>
      <c r="V412" s="50" t="s">
        <v>1569</v>
      </c>
      <c r="W412" s="50" t="s">
        <v>102</v>
      </c>
      <c r="X412" s="50" t="s">
        <v>103</v>
      </c>
      <c r="Y412" s="50" t="s">
        <v>155</v>
      </c>
      <c r="AA412" s="50" t="s">
        <v>11932</v>
      </c>
      <c r="AB412" s="50" t="s">
        <v>12815</v>
      </c>
      <c r="AC412" s="50" t="s">
        <v>12816</v>
      </c>
      <c r="AD412" s="50" t="s">
        <v>12815</v>
      </c>
      <c r="AE412" s="50" t="s">
        <v>12211</v>
      </c>
      <c r="AF412" s="50" t="s">
        <v>12815</v>
      </c>
      <c r="AG412" s="50" t="s">
        <v>12817</v>
      </c>
      <c r="AH412" s="50" t="s">
        <v>12815</v>
      </c>
      <c r="AI412" s="50" t="s">
        <v>12818</v>
      </c>
      <c r="AJ412" s="50" t="s">
        <v>12819</v>
      </c>
      <c r="AK412" s="50" t="s">
        <v>12820</v>
      </c>
      <c r="AL412" s="50" t="s">
        <v>12821</v>
      </c>
      <c r="AM412" s="50" t="s">
        <v>12822</v>
      </c>
      <c r="AN412" s="50" t="s">
        <v>12823</v>
      </c>
      <c r="AO412" s="50" t="s">
        <v>1578</v>
      </c>
      <c r="AP412" s="50" t="s">
        <v>1578</v>
      </c>
      <c r="AU412" s="50" t="s">
        <v>102</v>
      </c>
      <c r="AW412" s="50" t="s">
        <v>102</v>
      </c>
      <c r="AX412" s="50" t="s">
        <v>119</v>
      </c>
      <c r="BA412" s="50" t="s">
        <v>250</v>
      </c>
      <c r="BB412" s="50" t="s">
        <v>209</v>
      </c>
      <c r="BC412" s="50" t="s">
        <v>862</v>
      </c>
      <c r="BD412" s="50" t="s">
        <v>410</v>
      </c>
      <c r="BE412" s="50" t="s">
        <v>212</v>
      </c>
      <c r="BF412" s="50" t="s">
        <v>410</v>
      </c>
      <c r="BG412" s="50" t="s">
        <v>124</v>
      </c>
      <c r="BH412" s="50" t="s">
        <v>12128</v>
      </c>
      <c r="BI412" s="50" t="s">
        <v>11960</v>
      </c>
      <c r="BJ412" s="50" t="s">
        <v>127</v>
      </c>
      <c r="BK412" s="50" t="s">
        <v>12824</v>
      </c>
      <c r="BL412" s="50" t="s">
        <v>1580</v>
      </c>
      <c r="BM412" s="50" t="s">
        <v>12825</v>
      </c>
      <c r="BN412" s="50" t="s">
        <v>12128</v>
      </c>
      <c r="BO412" s="50" t="s">
        <v>1582</v>
      </c>
      <c r="BP412" s="50" t="s">
        <v>132</v>
      </c>
      <c r="BQ412" s="50" t="s">
        <v>1583</v>
      </c>
      <c r="BR412" s="50" t="s">
        <v>1584</v>
      </c>
      <c r="BS412" s="50" t="s">
        <v>1585</v>
      </c>
      <c r="BU412" s="50" t="s">
        <v>12826</v>
      </c>
      <c r="BV412" s="50" t="s">
        <v>12827</v>
      </c>
      <c r="BW412" s="50" t="s">
        <v>354</v>
      </c>
      <c r="BX412" s="50" t="s">
        <v>1588</v>
      </c>
      <c r="BY412" s="50" t="s">
        <v>1593</v>
      </c>
      <c r="BZ412" s="50" t="s">
        <v>1590</v>
      </c>
      <c r="CA412" s="50" t="s">
        <v>12828</v>
      </c>
      <c r="CB412" s="50" t="s">
        <v>1588</v>
      </c>
      <c r="CC412" s="50" t="s">
        <v>12829</v>
      </c>
      <c r="CD412" s="50" t="s">
        <v>12830</v>
      </c>
      <c r="CE412" s="50" t="s">
        <v>1588</v>
      </c>
      <c r="CF412" s="50" t="s">
        <v>12829</v>
      </c>
      <c r="CG412" s="50" t="s">
        <v>1594</v>
      </c>
      <c r="CH412" s="50" t="s">
        <v>12831</v>
      </c>
      <c r="CJ412" s="50" t="s">
        <v>1371</v>
      </c>
      <c r="CK412" s="50" t="s">
        <v>12832</v>
      </c>
      <c r="CL412" s="50" t="s">
        <v>862</v>
      </c>
      <c r="CM412" s="50" t="s">
        <v>410</v>
      </c>
      <c r="CN412" s="50" t="s">
        <v>1371</v>
      </c>
      <c r="CO412" s="50" t="s">
        <v>1596</v>
      </c>
      <c r="CP412" s="50" t="s">
        <v>1595</v>
      </c>
      <c r="CQ412" s="50" t="s">
        <v>1595</v>
      </c>
      <c r="CR412" s="50" t="s">
        <v>26043</v>
      </c>
    </row>
    <row r="413" spans="1:96">
      <c r="A413" s="50" t="s">
        <v>149</v>
      </c>
      <c r="B413" s="50">
        <v>2516584</v>
      </c>
      <c r="C413" s="50" t="s">
        <v>11995</v>
      </c>
      <c r="D413" s="50" t="s">
        <v>3883</v>
      </c>
      <c r="E413" s="50" t="e">
        <f>VLOOKUP(B413,aa!B:F,5,0)</f>
        <v>#N/A</v>
      </c>
      <c r="F413" s="50" t="e">
        <f>VLOOKUP(B413,aa!B:J,9,0)</f>
        <v>#N/A</v>
      </c>
      <c r="G413" s="50" t="e">
        <f>VLOOKUP(B413,aa!B:L,11,0)</f>
        <v>#N/A</v>
      </c>
      <c r="H413" s="50" t="e">
        <f>VLOOKUP(B413,aa!B:O,14,0)</f>
        <v>#N/A</v>
      </c>
      <c r="I413" s="50" t="e">
        <f>VLOOKUP(B413,aa!B:R,17,0)</f>
        <v>#N/A</v>
      </c>
      <c r="K413" s="50" t="s">
        <v>97</v>
      </c>
      <c r="L413" s="50">
        <v>421119</v>
      </c>
      <c r="M413" s="50">
        <v>421119</v>
      </c>
      <c r="N413" s="50">
        <v>421119</v>
      </c>
      <c r="O413" s="50">
        <v>739</v>
      </c>
      <c r="P413" s="50" t="s">
        <v>519</v>
      </c>
      <c r="Q413" s="50">
        <v>0</v>
      </c>
      <c r="R413" s="50">
        <v>0</v>
      </c>
      <c r="T413" s="50">
        <v>0</v>
      </c>
      <c r="U413" s="50">
        <v>0</v>
      </c>
      <c r="W413" s="50" t="s">
        <v>102</v>
      </c>
      <c r="X413" s="50" t="s">
        <v>275</v>
      </c>
      <c r="Z413" s="50" t="s">
        <v>3679</v>
      </c>
      <c r="AA413" s="50" t="s">
        <v>109</v>
      </c>
      <c r="AB413" s="50" t="s">
        <v>102</v>
      </c>
      <c r="AC413" s="50" t="s">
        <v>109</v>
      </c>
      <c r="AD413" s="50" t="s">
        <v>102</v>
      </c>
      <c r="AE413" s="50" t="s">
        <v>109</v>
      </c>
      <c r="AF413" s="50" t="s">
        <v>102</v>
      </c>
      <c r="AG413" s="50" t="s">
        <v>109</v>
      </c>
      <c r="AH413" s="50" t="s">
        <v>102</v>
      </c>
      <c r="AI413" s="50" t="s">
        <v>14372</v>
      </c>
      <c r="AJ413" s="50" t="s">
        <v>14373</v>
      </c>
      <c r="AK413" s="50" t="s">
        <v>14373</v>
      </c>
      <c r="AL413" s="50" t="s">
        <v>14374</v>
      </c>
      <c r="AM413" s="50" t="s">
        <v>14375</v>
      </c>
      <c r="AN413" s="50" t="s">
        <v>102</v>
      </c>
      <c r="AO413" s="50" t="s">
        <v>12148</v>
      </c>
      <c r="AP413" s="50" t="s">
        <v>12148</v>
      </c>
      <c r="AU413" s="50" t="s">
        <v>318</v>
      </c>
      <c r="AV413" s="50" t="s">
        <v>118</v>
      </c>
      <c r="AW413" s="50" t="s">
        <v>102</v>
      </c>
      <c r="AX413" s="50" t="s">
        <v>119</v>
      </c>
      <c r="BB413" s="50" t="s">
        <v>120</v>
      </c>
      <c r="BC413" s="50" t="s">
        <v>284</v>
      </c>
      <c r="BD413" s="50" t="s">
        <v>285</v>
      </c>
      <c r="BE413" s="50" t="s">
        <v>212</v>
      </c>
      <c r="BF413" s="50" t="s">
        <v>286</v>
      </c>
      <c r="BG413" s="50" t="s">
        <v>124</v>
      </c>
      <c r="BH413" s="50" t="s">
        <v>11959</v>
      </c>
      <c r="BI413" s="50" t="s">
        <v>11889</v>
      </c>
      <c r="BJ413" s="50" t="s">
        <v>127</v>
      </c>
      <c r="BK413" s="50" t="s">
        <v>14376</v>
      </c>
      <c r="BL413" s="50" t="s">
        <v>3889</v>
      </c>
      <c r="BM413" s="50" t="s">
        <v>14377</v>
      </c>
      <c r="BN413" s="50" t="s">
        <v>12128</v>
      </c>
      <c r="BO413" s="50" t="s">
        <v>956</v>
      </c>
      <c r="BP413" s="50" t="s">
        <v>132</v>
      </c>
      <c r="BQ413" s="50" t="s">
        <v>958</v>
      </c>
      <c r="BR413" s="50" t="s">
        <v>959</v>
      </c>
      <c r="BS413" s="50" t="s">
        <v>293</v>
      </c>
      <c r="BU413" s="50" t="s">
        <v>14378</v>
      </c>
      <c r="BV413" s="50" t="s">
        <v>14379</v>
      </c>
      <c r="BW413" s="50" t="s">
        <v>138</v>
      </c>
      <c r="BX413" s="50" t="s">
        <v>14380</v>
      </c>
      <c r="BY413" s="50" t="s">
        <v>3897</v>
      </c>
      <c r="CA413" s="50" t="s">
        <v>14379</v>
      </c>
      <c r="CB413" s="50" t="s">
        <v>14380</v>
      </c>
      <c r="CC413" s="50" t="s">
        <v>3897</v>
      </c>
      <c r="CD413" s="50" t="s">
        <v>14379</v>
      </c>
      <c r="CE413" s="50" t="s">
        <v>14380</v>
      </c>
      <c r="CF413" s="50" t="s">
        <v>3897</v>
      </c>
      <c r="CG413" s="50" t="s">
        <v>102</v>
      </c>
      <c r="CH413" s="50" t="s">
        <v>3898</v>
      </c>
      <c r="CJ413" s="50" t="s">
        <v>3899</v>
      </c>
      <c r="CL413" s="50" t="s">
        <v>284</v>
      </c>
      <c r="CM413" s="50" t="s">
        <v>285</v>
      </c>
      <c r="CN413" s="50" t="s">
        <v>3899</v>
      </c>
      <c r="CO413" s="50" t="s">
        <v>540</v>
      </c>
      <c r="CP413" s="50" t="s">
        <v>3898</v>
      </c>
      <c r="CQ413" s="50" t="s">
        <v>3898</v>
      </c>
      <c r="CR413" s="50" t="s">
        <v>26043</v>
      </c>
    </row>
    <row r="414" spans="1:96">
      <c r="A414" s="50" t="s">
        <v>149</v>
      </c>
      <c r="B414" s="50">
        <v>3513547</v>
      </c>
      <c r="C414" s="50" t="s">
        <v>11995</v>
      </c>
      <c r="D414" s="50" t="s">
        <v>6486</v>
      </c>
      <c r="E414" s="50" t="e">
        <f>VLOOKUP(B414,aa!B:F,5,0)</f>
        <v>#N/A</v>
      </c>
      <c r="F414" s="50" t="e">
        <f>VLOOKUP(B414,aa!B:J,9,0)</f>
        <v>#N/A</v>
      </c>
      <c r="G414" s="50" t="e">
        <f>VLOOKUP(B414,aa!B:L,11,0)</f>
        <v>#N/A</v>
      </c>
      <c r="H414" s="50" t="e">
        <f>VLOOKUP(B414,aa!B:O,14,0)</f>
        <v>#N/A</v>
      </c>
      <c r="I414" s="50" t="e">
        <f>VLOOKUP(B414,aa!B:R,17,0)</f>
        <v>#N/A</v>
      </c>
      <c r="K414" s="50" t="s">
        <v>97</v>
      </c>
      <c r="L414" s="50">
        <v>569280</v>
      </c>
      <c r="M414" s="50">
        <v>569280</v>
      </c>
      <c r="N414" s="50">
        <v>569280</v>
      </c>
      <c r="O414" s="50">
        <v>999</v>
      </c>
      <c r="P414" s="50" t="s">
        <v>519</v>
      </c>
      <c r="Q414" s="50">
        <v>0</v>
      </c>
      <c r="R414" s="50">
        <v>0</v>
      </c>
      <c r="T414" s="50">
        <v>0</v>
      </c>
      <c r="U414" s="50">
        <v>0</v>
      </c>
      <c r="W414" s="50" t="s">
        <v>102</v>
      </c>
      <c r="X414" s="50" t="s">
        <v>275</v>
      </c>
      <c r="Z414" s="50" t="s">
        <v>3679</v>
      </c>
      <c r="AA414" s="50" t="s">
        <v>109</v>
      </c>
      <c r="AB414" s="50" t="s">
        <v>102</v>
      </c>
      <c r="AC414" s="50" t="s">
        <v>109</v>
      </c>
      <c r="AD414" s="50" t="s">
        <v>102</v>
      </c>
      <c r="AE414" s="50" t="s">
        <v>109</v>
      </c>
      <c r="AF414" s="50" t="s">
        <v>102</v>
      </c>
      <c r="AG414" s="50" t="s">
        <v>109</v>
      </c>
      <c r="AH414" s="50" t="s">
        <v>102</v>
      </c>
      <c r="AI414" s="50" t="s">
        <v>16317</v>
      </c>
      <c r="AJ414" s="50" t="s">
        <v>14373</v>
      </c>
      <c r="AK414" s="50" t="s">
        <v>14373</v>
      </c>
      <c r="AL414" s="50" t="s">
        <v>16318</v>
      </c>
      <c r="AM414" s="50" t="s">
        <v>16319</v>
      </c>
      <c r="AN414" s="50" t="s">
        <v>102</v>
      </c>
      <c r="AO414" s="50" t="s">
        <v>12148</v>
      </c>
      <c r="AP414" s="50" t="s">
        <v>12148</v>
      </c>
      <c r="AU414" s="50" t="s">
        <v>318</v>
      </c>
      <c r="AV414" s="50" t="s">
        <v>118</v>
      </c>
      <c r="AW414" s="50" t="s">
        <v>102</v>
      </c>
      <c r="AX414" s="50" t="s">
        <v>119</v>
      </c>
      <c r="BB414" s="50" t="s">
        <v>120</v>
      </c>
      <c r="BC414" s="50" t="s">
        <v>284</v>
      </c>
      <c r="BD414" s="50" t="s">
        <v>285</v>
      </c>
      <c r="BE414" s="50" t="s">
        <v>212</v>
      </c>
      <c r="BF414" s="50" t="s">
        <v>286</v>
      </c>
      <c r="BG414" s="50" t="s">
        <v>124</v>
      </c>
      <c r="BH414" s="50" t="s">
        <v>11959</v>
      </c>
      <c r="BI414" s="50" t="s">
        <v>11889</v>
      </c>
      <c r="BJ414" s="50" t="s">
        <v>127</v>
      </c>
      <c r="BK414" s="50" t="s">
        <v>16320</v>
      </c>
      <c r="BL414" s="50" t="s">
        <v>6492</v>
      </c>
      <c r="BM414" s="50" t="s">
        <v>16321</v>
      </c>
      <c r="BN414" s="50" t="s">
        <v>12128</v>
      </c>
      <c r="BO414" s="50" t="s">
        <v>956</v>
      </c>
      <c r="BP414" s="50" t="s">
        <v>132</v>
      </c>
      <c r="BQ414" s="50" t="s">
        <v>958</v>
      </c>
      <c r="BR414" s="50" t="s">
        <v>959</v>
      </c>
      <c r="BS414" s="50" t="s">
        <v>293</v>
      </c>
      <c r="BU414" s="50" t="s">
        <v>16322</v>
      </c>
      <c r="BV414" s="50" t="s">
        <v>16323</v>
      </c>
      <c r="BW414" s="50" t="s">
        <v>569</v>
      </c>
      <c r="BX414" s="50" t="s">
        <v>16324</v>
      </c>
      <c r="BY414" s="50" t="s">
        <v>6497</v>
      </c>
      <c r="CA414" s="50" t="s">
        <v>16323</v>
      </c>
      <c r="CB414" s="50" t="s">
        <v>16324</v>
      </c>
      <c r="CC414" s="50" t="s">
        <v>6497</v>
      </c>
      <c r="CD414" s="50" t="s">
        <v>16323</v>
      </c>
      <c r="CE414" s="50" t="s">
        <v>16324</v>
      </c>
      <c r="CF414" s="50" t="s">
        <v>6497</v>
      </c>
      <c r="CG414" s="50" t="s">
        <v>102</v>
      </c>
      <c r="CH414" s="50" t="s">
        <v>6498</v>
      </c>
      <c r="CJ414" s="50" t="s">
        <v>6499</v>
      </c>
      <c r="CL414" s="50" t="s">
        <v>284</v>
      </c>
      <c r="CM414" s="50" t="s">
        <v>285</v>
      </c>
      <c r="CN414" s="50" t="s">
        <v>6499</v>
      </c>
      <c r="CO414" s="50" t="s">
        <v>6500</v>
      </c>
      <c r="CP414" s="50" t="s">
        <v>6498</v>
      </c>
      <c r="CQ414" s="50" t="s">
        <v>6498</v>
      </c>
      <c r="CR414" s="50" t="s">
        <v>26043</v>
      </c>
    </row>
    <row r="415" spans="1:96">
      <c r="A415" s="50" t="s">
        <v>149</v>
      </c>
      <c r="B415" s="50">
        <v>3848229</v>
      </c>
      <c r="C415" s="50" t="s">
        <v>11995</v>
      </c>
      <c r="D415" s="50" t="s">
        <v>7674</v>
      </c>
      <c r="E415" s="50" t="e">
        <f>VLOOKUP(B415,aa!B:F,5,0)</f>
        <v>#N/A</v>
      </c>
      <c r="F415" s="50" t="e">
        <f>VLOOKUP(B415,aa!B:J,9,0)</f>
        <v>#N/A</v>
      </c>
      <c r="G415" s="50" t="e">
        <f>VLOOKUP(B415,aa!B:L,11,0)</f>
        <v>#N/A</v>
      </c>
      <c r="H415" s="50" t="e">
        <f>VLOOKUP(B415,aa!B:O,14,0)</f>
        <v>#N/A</v>
      </c>
      <c r="I415" s="50" t="e">
        <f>VLOOKUP(B415,aa!B:R,17,0)</f>
        <v>#N/A</v>
      </c>
      <c r="K415" s="50" t="s">
        <v>97</v>
      </c>
      <c r="L415" s="50">
        <v>360145</v>
      </c>
      <c r="M415" s="50">
        <v>360145</v>
      </c>
      <c r="N415" s="50">
        <v>360145</v>
      </c>
      <c r="O415" s="50">
        <v>632</v>
      </c>
      <c r="P415" s="50" t="s">
        <v>519</v>
      </c>
      <c r="Q415" s="50">
        <v>0</v>
      </c>
      <c r="R415" s="50">
        <v>0</v>
      </c>
      <c r="T415" s="50">
        <v>0</v>
      </c>
      <c r="U415" s="50">
        <v>0</v>
      </c>
      <c r="W415" s="50" t="s">
        <v>102</v>
      </c>
      <c r="X415" s="50" t="s">
        <v>275</v>
      </c>
      <c r="Z415" s="50" t="s">
        <v>3679</v>
      </c>
      <c r="AA415" s="50" t="s">
        <v>109</v>
      </c>
      <c r="AB415" s="50" t="s">
        <v>102</v>
      </c>
      <c r="AC415" s="50" t="s">
        <v>109</v>
      </c>
      <c r="AD415" s="50" t="s">
        <v>102</v>
      </c>
      <c r="AE415" s="50" t="s">
        <v>109</v>
      </c>
      <c r="AF415" s="50" t="s">
        <v>102</v>
      </c>
      <c r="AG415" s="50" t="s">
        <v>109</v>
      </c>
      <c r="AH415" s="50" t="s">
        <v>102</v>
      </c>
      <c r="AI415" s="50" t="s">
        <v>17142</v>
      </c>
      <c r="AJ415" s="50" t="s">
        <v>12145</v>
      </c>
      <c r="AK415" s="50" t="s">
        <v>12145</v>
      </c>
      <c r="AL415" s="50" t="s">
        <v>17143</v>
      </c>
      <c r="AM415" s="50" t="s">
        <v>17144</v>
      </c>
      <c r="AN415" s="50" t="s">
        <v>102</v>
      </c>
      <c r="AO415" s="50" t="s">
        <v>12148</v>
      </c>
      <c r="AP415" s="50" t="s">
        <v>12148</v>
      </c>
      <c r="AU415" s="50" t="s">
        <v>318</v>
      </c>
      <c r="AV415" s="50" t="s">
        <v>118</v>
      </c>
      <c r="AW415" s="50" t="s">
        <v>102</v>
      </c>
      <c r="AX415" s="50" t="s">
        <v>119</v>
      </c>
      <c r="BB415" s="50" t="s">
        <v>120</v>
      </c>
      <c r="BC415" s="50" t="s">
        <v>284</v>
      </c>
      <c r="BD415" s="50" t="s">
        <v>285</v>
      </c>
      <c r="BE415" s="50" t="s">
        <v>212</v>
      </c>
      <c r="BF415" s="50" t="s">
        <v>286</v>
      </c>
      <c r="BG415" s="50" t="s">
        <v>124</v>
      </c>
      <c r="BH415" s="50" t="s">
        <v>11959</v>
      </c>
      <c r="BI415" s="50" t="s">
        <v>11889</v>
      </c>
      <c r="BJ415" s="50" t="s">
        <v>127</v>
      </c>
      <c r="BK415" s="50" t="s">
        <v>17145</v>
      </c>
      <c r="BL415" s="50" t="s">
        <v>7680</v>
      </c>
      <c r="BM415" s="50" t="s">
        <v>17146</v>
      </c>
      <c r="BN415" s="50" t="s">
        <v>12128</v>
      </c>
      <c r="BO415" s="50" t="s">
        <v>956</v>
      </c>
      <c r="BP415" s="50" t="s">
        <v>132</v>
      </c>
      <c r="BQ415" s="50" t="s">
        <v>958</v>
      </c>
      <c r="BR415" s="50" t="s">
        <v>959</v>
      </c>
      <c r="BS415" s="50" t="s">
        <v>293</v>
      </c>
      <c r="BU415" s="50" t="s">
        <v>17147</v>
      </c>
      <c r="BV415" s="50" t="s">
        <v>17148</v>
      </c>
      <c r="BW415" s="50" t="s">
        <v>569</v>
      </c>
      <c r="BX415" s="50" t="s">
        <v>17149</v>
      </c>
      <c r="BY415" s="50" t="s">
        <v>17150</v>
      </c>
      <c r="CA415" s="50" t="s">
        <v>17148</v>
      </c>
      <c r="CB415" s="50" t="s">
        <v>17149</v>
      </c>
      <c r="CC415" s="50" t="s">
        <v>17150</v>
      </c>
      <c r="CD415" s="50" t="s">
        <v>17148</v>
      </c>
      <c r="CE415" s="50" t="s">
        <v>17149</v>
      </c>
      <c r="CF415" s="50" t="s">
        <v>17150</v>
      </c>
      <c r="CG415" s="50" t="s">
        <v>102</v>
      </c>
      <c r="CH415" s="50" t="s">
        <v>7688</v>
      </c>
      <c r="CJ415" s="50" t="s">
        <v>7689</v>
      </c>
      <c r="CL415" s="50" t="s">
        <v>284</v>
      </c>
      <c r="CM415" s="50" t="s">
        <v>285</v>
      </c>
      <c r="CN415" s="50" t="s">
        <v>7689</v>
      </c>
      <c r="CO415" s="50" t="s">
        <v>6500</v>
      </c>
      <c r="CP415" s="50" t="s">
        <v>7688</v>
      </c>
      <c r="CQ415" s="50" t="s">
        <v>7688</v>
      </c>
      <c r="CR415" s="50" t="s">
        <v>26043</v>
      </c>
    </row>
    <row r="416" spans="1:96">
      <c r="A416" s="50" t="s">
        <v>149</v>
      </c>
      <c r="B416" s="50">
        <v>19282</v>
      </c>
      <c r="C416" s="50" t="s">
        <v>2151</v>
      </c>
      <c r="D416" s="50" t="s">
        <v>2227</v>
      </c>
      <c r="E416" s="50" t="e">
        <f>VLOOKUP(B416,aa!B:F,5,0)</f>
        <v>#N/A</v>
      </c>
      <c r="F416" s="50" t="e">
        <f>VLOOKUP(B416,aa!B:J,9,0)</f>
        <v>#N/A</v>
      </c>
      <c r="G416" s="50" t="e">
        <f>VLOOKUP(B416,aa!B:L,11,0)</f>
        <v>#N/A</v>
      </c>
      <c r="H416" s="50" t="e">
        <f>VLOOKUP(B416,aa!B:O,14,0)</f>
        <v>#N/A</v>
      </c>
      <c r="I416" s="50" t="e">
        <f>VLOOKUP(B416,aa!B:R,17,0)</f>
        <v>#N/A</v>
      </c>
      <c r="K416" s="50" t="s">
        <v>3549</v>
      </c>
      <c r="L416" s="50">
        <v>619831</v>
      </c>
      <c r="M416" s="50">
        <v>666504</v>
      </c>
      <c r="N416" s="50">
        <v>360536</v>
      </c>
      <c r="O416" s="50">
        <v>502</v>
      </c>
      <c r="P416" s="50" t="s">
        <v>13170</v>
      </c>
      <c r="Q416" s="50">
        <v>0</v>
      </c>
      <c r="R416" s="50">
        <v>0</v>
      </c>
      <c r="T416" s="50">
        <v>259295</v>
      </c>
      <c r="U416" s="50">
        <v>142</v>
      </c>
      <c r="V416" s="50" t="s">
        <v>13171</v>
      </c>
      <c r="W416" s="50" t="s">
        <v>102</v>
      </c>
      <c r="X416" s="50" t="s">
        <v>103</v>
      </c>
      <c r="Y416" s="50" t="s">
        <v>155</v>
      </c>
      <c r="AA416" s="50" t="s">
        <v>12023</v>
      </c>
      <c r="AB416" s="50" t="s">
        <v>13172</v>
      </c>
      <c r="AC416" s="50" t="s">
        <v>1408</v>
      </c>
      <c r="AD416" s="50" t="s">
        <v>13172</v>
      </c>
      <c r="AE416" s="50" t="s">
        <v>12888</v>
      </c>
      <c r="AF416" s="50" t="s">
        <v>13172</v>
      </c>
      <c r="AG416" s="50" t="s">
        <v>11886</v>
      </c>
      <c r="AH416" s="50" t="s">
        <v>13172</v>
      </c>
      <c r="AI416" s="50" t="s">
        <v>13173</v>
      </c>
      <c r="AJ416" s="50" t="s">
        <v>13174</v>
      </c>
      <c r="AK416" s="50" t="s">
        <v>12859</v>
      </c>
      <c r="AL416" s="50" t="s">
        <v>13175</v>
      </c>
      <c r="AM416" s="50" t="s">
        <v>13176</v>
      </c>
      <c r="AN416" s="50" t="s">
        <v>13177</v>
      </c>
      <c r="AO416" s="50" t="s">
        <v>13178</v>
      </c>
      <c r="AP416" s="50" t="s">
        <v>13178</v>
      </c>
      <c r="AU416" s="50" t="s">
        <v>318</v>
      </c>
      <c r="AV416" s="50" t="s">
        <v>250</v>
      </c>
      <c r="AW416" s="50" t="s">
        <v>102</v>
      </c>
      <c r="AX416" s="50" t="s">
        <v>119</v>
      </c>
      <c r="BA416" s="50" t="s">
        <v>250</v>
      </c>
      <c r="BB416" s="50" t="s">
        <v>209</v>
      </c>
      <c r="BC416" s="50" t="s">
        <v>920</v>
      </c>
      <c r="BD416" s="50" t="s">
        <v>211</v>
      </c>
      <c r="BE416" s="50" t="s">
        <v>212</v>
      </c>
      <c r="BF416" s="50" t="s">
        <v>213</v>
      </c>
      <c r="BG416" s="50" t="s">
        <v>124</v>
      </c>
      <c r="BH416" s="50" t="s">
        <v>11959</v>
      </c>
      <c r="BI416" s="50" t="s">
        <v>11960</v>
      </c>
      <c r="BJ416" s="50" t="s">
        <v>127</v>
      </c>
      <c r="BK416" s="50" t="s">
        <v>13179</v>
      </c>
      <c r="BL416" s="50" t="s">
        <v>2238</v>
      </c>
      <c r="BM416" s="50" t="s">
        <v>13180</v>
      </c>
      <c r="BN416" s="50" t="s">
        <v>12887</v>
      </c>
      <c r="BO416" s="50" t="s">
        <v>956</v>
      </c>
      <c r="BP416" s="50" t="s">
        <v>505</v>
      </c>
      <c r="BQ416" s="50" t="s">
        <v>958</v>
      </c>
      <c r="BR416" s="50" t="s">
        <v>959</v>
      </c>
      <c r="BS416" s="50" t="s">
        <v>2151</v>
      </c>
      <c r="BU416" s="50" t="s">
        <v>13181</v>
      </c>
      <c r="BV416" s="50" t="s">
        <v>3585</v>
      </c>
      <c r="BW416" s="50" t="s">
        <v>598</v>
      </c>
      <c r="BX416" s="50" t="s">
        <v>225</v>
      </c>
      <c r="BY416" s="50" t="s">
        <v>8332</v>
      </c>
      <c r="BZ416" s="50" t="s">
        <v>958</v>
      </c>
      <c r="CA416" s="50" t="s">
        <v>2244</v>
      </c>
      <c r="CB416" s="50" t="s">
        <v>2245</v>
      </c>
      <c r="CC416" s="50" t="s">
        <v>2246</v>
      </c>
      <c r="CD416" s="50" t="s">
        <v>13182</v>
      </c>
      <c r="CE416" s="50" t="s">
        <v>13183</v>
      </c>
      <c r="CF416" s="50" t="s">
        <v>13184</v>
      </c>
      <c r="CG416" s="50" t="s">
        <v>102</v>
      </c>
      <c r="CH416" s="50" t="s">
        <v>13185</v>
      </c>
      <c r="CJ416" s="50" t="s">
        <v>2248</v>
      </c>
      <c r="CL416" s="50" t="s">
        <v>920</v>
      </c>
      <c r="CM416" s="50" t="s">
        <v>211</v>
      </c>
      <c r="CN416" s="50" t="s">
        <v>2248</v>
      </c>
      <c r="CO416" s="50" t="s">
        <v>2190</v>
      </c>
      <c r="CP416" s="50" t="s">
        <v>2247</v>
      </c>
      <c r="CQ416" s="50" t="s">
        <v>2247</v>
      </c>
      <c r="CR416" s="50" t="s">
        <v>26040</v>
      </c>
    </row>
    <row r="417" spans="1:96">
      <c r="A417" s="50" t="s">
        <v>337</v>
      </c>
      <c r="B417" s="50">
        <v>46864</v>
      </c>
      <c r="C417" s="50" t="s">
        <v>183</v>
      </c>
      <c r="D417" s="50" t="s">
        <v>18389</v>
      </c>
      <c r="E417" s="50" t="e">
        <f>VLOOKUP(B417,aa!B:F,5,0)</f>
        <v>#N/A</v>
      </c>
      <c r="F417" s="50" t="e">
        <f>VLOOKUP(B417,aa!B:J,9,0)</f>
        <v>#N/A</v>
      </c>
      <c r="G417" s="50" t="e">
        <f>VLOOKUP(B417,aa!B:L,11,0)</f>
        <v>#N/A</v>
      </c>
      <c r="H417" s="50" t="e">
        <f>VLOOKUP(B417,aa!B:O,14,0)</f>
        <v>#N/A</v>
      </c>
      <c r="I417" s="50" t="e">
        <f>VLOOKUP(B417,aa!B:R,17,0)</f>
        <v>#N/A</v>
      </c>
      <c r="K417" s="50" t="s">
        <v>152</v>
      </c>
      <c r="L417" s="50">
        <v>131597</v>
      </c>
      <c r="M417" s="50">
        <v>131597</v>
      </c>
      <c r="N417" s="50">
        <v>0</v>
      </c>
      <c r="O417" s="50">
        <v>0</v>
      </c>
      <c r="Q417" s="50">
        <v>131597</v>
      </c>
      <c r="R417" s="50">
        <v>209</v>
      </c>
      <c r="S417" s="50" t="s">
        <v>7219</v>
      </c>
      <c r="T417" s="50">
        <v>0</v>
      </c>
      <c r="U417" s="50">
        <v>0</v>
      </c>
      <c r="W417" s="50" t="s">
        <v>102</v>
      </c>
      <c r="X417" s="50" t="s">
        <v>103</v>
      </c>
      <c r="Y417" s="50" t="s">
        <v>104</v>
      </c>
      <c r="AA417" s="50" t="s">
        <v>1761</v>
      </c>
      <c r="AB417" s="50" t="s">
        <v>18390</v>
      </c>
      <c r="AC417" s="50" t="s">
        <v>12099</v>
      </c>
      <c r="AD417" s="50" t="s">
        <v>18390</v>
      </c>
      <c r="AE417" s="50" t="s">
        <v>109</v>
      </c>
      <c r="AF417" s="50" t="s">
        <v>102</v>
      </c>
      <c r="AG417" s="50" t="s">
        <v>109</v>
      </c>
      <c r="AH417" s="50" t="s">
        <v>102</v>
      </c>
      <c r="AI417" s="50" t="s">
        <v>102</v>
      </c>
      <c r="AJ417" s="50" t="s">
        <v>15139</v>
      </c>
      <c r="AK417" s="50" t="s">
        <v>15139</v>
      </c>
      <c r="AL417" s="50" t="s">
        <v>18391</v>
      </c>
      <c r="AM417" s="50" t="s">
        <v>18392</v>
      </c>
      <c r="AN417" s="50" t="s">
        <v>18393</v>
      </c>
      <c r="AO417" s="50" t="s">
        <v>18394</v>
      </c>
      <c r="AP417" s="50" t="s">
        <v>18394</v>
      </c>
      <c r="AU417" s="50" t="s">
        <v>102</v>
      </c>
      <c r="AW417" s="50" t="s">
        <v>104</v>
      </c>
      <c r="AX417" s="50" t="s">
        <v>447</v>
      </c>
      <c r="AY417" s="50" t="s">
        <v>170</v>
      </c>
      <c r="AZ417" s="50" t="s">
        <v>118</v>
      </c>
      <c r="BB417" s="50" t="s">
        <v>171</v>
      </c>
      <c r="BC417" s="50" t="s">
        <v>18395</v>
      </c>
      <c r="BD417" s="50" t="s">
        <v>376</v>
      </c>
      <c r="BE417" s="50" t="s">
        <v>174</v>
      </c>
      <c r="BF417" s="50" t="s">
        <v>376</v>
      </c>
      <c r="BG417" s="50" t="s">
        <v>124</v>
      </c>
      <c r="BH417" s="50" t="s">
        <v>1331</v>
      </c>
      <c r="BI417" s="50" t="s">
        <v>12931</v>
      </c>
      <c r="BJ417" s="50" t="s">
        <v>127</v>
      </c>
      <c r="BK417" s="50" t="s">
        <v>18396</v>
      </c>
      <c r="BL417" s="50" t="s">
        <v>18397</v>
      </c>
      <c r="BM417" s="50" t="s">
        <v>18398</v>
      </c>
      <c r="BN417" s="50" t="s">
        <v>1761</v>
      </c>
      <c r="BO417" s="50" t="s">
        <v>5026</v>
      </c>
      <c r="BP417" s="50" t="s">
        <v>180</v>
      </c>
      <c r="BQ417" s="50" t="s">
        <v>5027</v>
      </c>
      <c r="BR417" s="50" t="s">
        <v>5028</v>
      </c>
      <c r="BS417" s="50" t="s">
        <v>1834</v>
      </c>
      <c r="BU417" s="50" t="s">
        <v>18399</v>
      </c>
      <c r="BV417" s="50" t="s">
        <v>18400</v>
      </c>
      <c r="BW417" s="50" t="s">
        <v>138</v>
      </c>
      <c r="BX417" s="50" t="s">
        <v>18401</v>
      </c>
      <c r="BY417" s="50" t="s">
        <v>18402</v>
      </c>
      <c r="BZ417" s="50" t="s">
        <v>18403</v>
      </c>
      <c r="CA417" s="50" t="s">
        <v>18400</v>
      </c>
      <c r="CB417" s="50" t="s">
        <v>18401</v>
      </c>
      <c r="CC417" s="50" t="s">
        <v>18402</v>
      </c>
      <c r="CD417" s="50" t="s">
        <v>18400</v>
      </c>
      <c r="CE417" s="50" t="s">
        <v>18401</v>
      </c>
      <c r="CF417" s="50" t="s">
        <v>18402</v>
      </c>
      <c r="CG417" s="50" t="s">
        <v>6205</v>
      </c>
      <c r="CH417" s="50" t="s">
        <v>18404</v>
      </c>
      <c r="CJ417" s="50" t="s">
        <v>18405</v>
      </c>
      <c r="CK417" s="50" t="s">
        <v>18404</v>
      </c>
      <c r="CL417" s="50" t="s">
        <v>18395</v>
      </c>
      <c r="CM417" s="50" t="s">
        <v>376</v>
      </c>
      <c r="CN417" s="50" t="s">
        <v>18405</v>
      </c>
      <c r="CP417" s="50" t="s">
        <v>18406</v>
      </c>
      <c r="CQ417" s="50" t="s">
        <v>18406</v>
      </c>
      <c r="CR417" s="50" t="s">
        <v>26046</v>
      </c>
    </row>
    <row r="418" spans="1:96">
      <c r="A418" s="50" t="s">
        <v>149</v>
      </c>
      <c r="B418" s="50">
        <v>1019428</v>
      </c>
      <c r="C418" s="50" t="s">
        <v>11947</v>
      </c>
      <c r="D418" s="50" t="s">
        <v>191</v>
      </c>
      <c r="E418" s="50" t="str">
        <f>VLOOKUP(B418,aa!B:F,5,0)</f>
        <v>Ei ASSET,Ei Mindspark</v>
      </c>
      <c r="F418" s="50">
        <f>VLOOKUP(B418,aa!B:J,9,0)</f>
        <v>0</v>
      </c>
      <c r="G418" s="50">
        <f>VLOOKUP(B418,aa!B:L,11,0)</f>
        <v>0</v>
      </c>
      <c r="H418" s="50">
        <f>VLOOKUP(B418,aa!B:O,14,0)</f>
        <v>0</v>
      </c>
      <c r="I418" s="50">
        <f>VLOOKUP(B418,aa!B:R,17,0)</f>
        <v>0</v>
      </c>
      <c r="K418" s="50" t="s">
        <v>193</v>
      </c>
      <c r="L418" s="50">
        <v>751622</v>
      </c>
      <c r="M418" s="50">
        <v>842809</v>
      </c>
      <c r="N418" s="50">
        <v>245029</v>
      </c>
      <c r="O418" s="50">
        <v>788</v>
      </c>
      <c r="P418" s="50" t="s">
        <v>195</v>
      </c>
      <c r="Q418" s="50">
        <v>0</v>
      </c>
      <c r="R418" s="50">
        <v>0</v>
      </c>
      <c r="T418" s="50">
        <v>506593</v>
      </c>
      <c r="U418" s="50">
        <v>797</v>
      </c>
      <c r="V418" s="50" t="s">
        <v>11949</v>
      </c>
      <c r="W418" s="50" t="s">
        <v>102</v>
      </c>
      <c r="X418" s="50" t="s">
        <v>103</v>
      </c>
      <c r="Y418" s="50" t="s">
        <v>104</v>
      </c>
      <c r="AA418" s="50" t="s">
        <v>11950</v>
      </c>
      <c r="AB418" s="50" t="s">
        <v>11951</v>
      </c>
      <c r="AC418" s="50" t="s">
        <v>11952</v>
      </c>
      <c r="AD418" s="50" t="s">
        <v>11951</v>
      </c>
      <c r="AE418" s="50" t="s">
        <v>109</v>
      </c>
      <c r="AF418" s="50" t="s">
        <v>102</v>
      </c>
      <c r="AG418" s="50" t="s">
        <v>109</v>
      </c>
      <c r="AH418" s="50" t="s">
        <v>102</v>
      </c>
      <c r="AI418" s="50" t="s">
        <v>11953</v>
      </c>
      <c r="AJ418" s="50" t="s">
        <v>11954</v>
      </c>
      <c r="AK418" s="50" t="s">
        <v>11954</v>
      </c>
      <c r="AL418" s="50" t="s">
        <v>11955</v>
      </c>
      <c r="AM418" s="50" t="s">
        <v>11956</v>
      </c>
      <c r="AN418" s="50" t="s">
        <v>11957</v>
      </c>
      <c r="AO418" s="50" t="s">
        <v>11958</v>
      </c>
      <c r="AP418" s="50" t="s">
        <v>11958</v>
      </c>
      <c r="AU418" s="50" t="s">
        <v>207</v>
      </c>
      <c r="AV418" s="50" t="s">
        <v>118</v>
      </c>
      <c r="AW418" s="50" t="s">
        <v>102</v>
      </c>
      <c r="AX418" s="50" t="s">
        <v>119</v>
      </c>
      <c r="BA418" s="50" t="s">
        <v>250</v>
      </c>
      <c r="BB418" s="50" t="s">
        <v>209</v>
      </c>
      <c r="BC418" s="50" t="s">
        <v>210</v>
      </c>
      <c r="BD418" s="50" t="s">
        <v>211</v>
      </c>
      <c r="BE418" s="50" t="s">
        <v>212</v>
      </c>
      <c r="BF418" s="50" t="s">
        <v>213</v>
      </c>
      <c r="BG418" s="50" t="s">
        <v>124</v>
      </c>
      <c r="BH418" s="50" t="s">
        <v>11959</v>
      </c>
      <c r="BI418" s="50" t="s">
        <v>11960</v>
      </c>
      <c r="BJ418" s="50" t="s">
        <v>127</v>
      </c>
      <c r="BK418" s="50" t="s">
        <v>11961</v>
      </c>
      <c r="BL418" s="50" t="s">
        <v>217</v>
      </c>
      <c r="BM418" s="50" t="s">
        <v>11962</v>
      </c>
      <c r="BN418" s="50" t="s">
        <v>11948</v>
      </c>
      <c r="BO418" s="50" t="s">
        <v>1880</v>
      </c>
      <c r="BP418" s="50" t="s">
        <v>2901</v>
      </c>
      <c r="BQ418" s="50" t="s">
        <v>1882</v>
      </c>
      <c r="BR418" s="50" t="s">
        <v>1883</v>
      </c>
      <c r="BS418" s="50" t="s">
        <v>222</v>
      </c>
      <c r="BU418" s="50" t="s">
        <v>11963</v>
      </c>
      <c r="BV418" s="50" t="s">
        <v>11964</v>
      </c>
      <c r="BW418" s="50" t="s">
        <v>138</v>
      </c>
      <c r="BX418" s="50" t="s">
        <v>225</v>
      </c>
      <c r="BY418" s="50" t="s">
        <v>226</v>
      </c>
      <c r="BZ418" s="50" t="s">
        <v>227</v>
      </c>
      <c r="CA418" s="50" t="s">
        <v>11965</v>
      </c>
      <c r="CB418" s="50" t="s">
        <v>11966</v>
      </c>
      <c r="CC418" s="50" t="s">
        <v>11967</v>
      </c>
      <c r="CD418" s="50" t="s">
        <v>11968</v>
      </c>
      <c r="CE418" s="50" t="s">
        <v>11969</v>
      </c>
      <c r="CF418" s="50" t="s">
        <v>11967</v>
      </c>
      <c r="CG418" s="50" t="s">
        <v>102</v>
      </c>
      <c r="CH418" s="50" t="s">
        <v>228</v>
      </c>
      <c r="CJ418" s="50" t="s">
        <v>229</v>
      </c>
      <c r="CL418" s="50" t="s">
        <v>210</v>
      </c>
      <c r="CM418" s="50" t="s">
        <v>211</v>
      </c>
      <c r="CN418" s="50" t="s">
        <v>229</v>
      </c>
      <c r="CO418" s="50" t="s">
        <v>230</v>
      </c>
      <c r="CP418" s="50" t="s">
        <v>228</v>
      </c>
      <c r="CQ418" s="50" t="s">
        <v>228</v>
      </c>
    </row>
    <row r="419" spans="1:96">
      <c r="A419" s="50" t="s">
        <v>149</v>
      </c>
      <c r="B419" s="50">
        <v>1315210</v>
      </c>
      <c r="C419" s="50" t="s">
        <v>11947</v>
      </c>
      <c r="D419" s="50" t="s">
        <v>766</v>
      </c>
      <c r="E419" s="50" t="str">
        <f>VLOOKUP(B419,aa!B:F,5,0)</f>
        <v>Ei ASSET,Ei Mindspark</v>
      </c>
      <c r="F419" s="50">
        <f>VLOOKUP(B419,aa!B:J,9,0)</f>
        <v>0</v>
      </c>
      <c r="G419" s="50">
        <f>VLOOKUP(B419,aa!B:L,11,0)</f>
        <v>0</v>
      </c>
      <c r="H419" s="50">
        <f>VLOOKUP(B419,aa!B:O,14,0)</f>
        <v>0</v>
      </c>
      <c r="I419" s="50">
        <f>VLOOKUP(B419,aa!B:R,17,0)</f>
        <v>0</v>
      </c>
      <c r="K419" s="50" t="s">
        <v>193</v>
      </c>
      <c r="L419" s="50">
        <v>734542</v>
      </c>
      <c r="M419" s="50">
        <v>823326</v>
      </c>
      <c r="N419" s="50">
        <v>241297</v>
      </c>
      <c r="O419" s="50">
        <v>776</v>
      </c>
      <c r="P419" s="50" t="s">
        <v>195</v>
      </c>
      <c r="Q419" s="50">
        <v>0</v>
      </c>
      <c r="R419" s="50">
        <v>0</v>
      </c>
      <c r="T419" s="50">
        <v>493245</v>
      </c>
      <c r="U419" s="50">
        <v>776</v>
      </c>
      <c r="V419" s="50" t="s">
        <v>11949</v>
      </c>
      <c r="W419" s="50" t="s">
        <v>102</v>
      </c>
      <c r="X419" s="50" t="s">
        <v>103</v>
      </c>
      <c r="Y419" s="50" t="s">
        <v>104</v>
      </c>
      <c r="AA419" s="50" t="s">
        <v>11950</v>
      </c>
      <c r="AB419" s="50" t="s">
        <v>12354</v>
      </c>
      <c r="AC419" s="50" t="s">
        <v>11952</v>
      </c>
      <c r="AD419" s="50" t="s">
        <v>12354</v>
      </c>
      <c r="AE419" s="50" t="s">
        <v>109</v>
      </c>
      <c r="AF419" s="50" t="s">
        <v>102</v>
      </c>
      <c r="AG419" s="50" t="s">
        <v>109</v>
      </c>
      <c r="AH419" s="50" t="s">
        <v>102</v>
      </c>
      <c r="AI419" s="50" t="s">
        <v>12355</v>
      </c>
      <c r="AJ419" s="50" t="s">
        <v>11954</v>
      </c>
      <c r="AK419" s="50" t="s">
        <v>11954</v>
      </c>
      <c r="AL419" s="50" t="s">
        <v>12356</v>
      </c>
      <c r="AM419" s="50" t="s">
        <v>12357</v>
      </c>
      <c r="AN419" s="50" t="s">
        <v>12358</v>
      </c>
      <c r="AO419" s="50" t="s">
        <v>11958</v>
      </c>
      <c r="AP419" s="50" t="s">
        <v>11958</v>
      </c>
      <c r="AU419" s="50" t="s">
        <v>207</v>
      </c>
      <c r="AV419" s="50" t="s">
        <v>118</v>
      </c>
      <c r="AW419" s="50" t="s">
        <v>102</v>
      </c>
      <c r="AX419" s="50" t="s">
        <v>119</v>
      </c>
      <c r="BA419" s="50" t="s">
        <v>250</v>
      </c>
      <c r="BB419" s="50" t="s">
        <v>120</v>
      </c>
      <c r="BC419" s="50" t="s">
        <v>758</v>
      </c>
      <c r="BD419" s="50" t="s">
        <v>211</v>
      </c>
      <c r="BE419" s="50" t="s">
        <v>212</v>
      </c>
      <c r="BF419" s="50" t="s">
        <v>213</v>
      </c>
      <c r="BG419" s="50" t="s">
        <v>124</v>
      </c>
      <c r="BH419" s="50" t="s">
        <v>11959</v>
      </c>
      <c r="BI419" s="50" t="s">
        <v>11960</v>
      </c>
      <c r="BJ419" s="50" t="s">
        <v>127</v>
      </c>
      <c r="BK419" s="50" t="s">
        <v>12359</v>
      </c>
      <c r="BL419" s="50" t="s">
        <v>774</v>
      </c>
      <c r="BM419" s="50" t="s">
        <v>12360</v>
      </c>
      <c r="BN419" s="50" t="s">
        <v>11948</v>
      </c>
      <c r="BO419" s="50" t="s">
        <v>1880</v>
      </c>
      <c r="BP419" s="50" t="s">
        <v>7992</v>
      </c>
      <c r="BQ419" s="50" t="s">
        <v>1882</v>
      </c>
      <c r="BR419" s="50" t="s">
        <v>1883</v>
      </c>
      <c r="BS419" s="50" t="s">
        <v>222</v>
      </c>
      <c r="BU419" s="50" t="s">
        <v>12361</v>
      </c>
      <c r="BV419" s="50" t="s">
        <v>224</v>
      </c>
      <c r="BW419" s="50" t="s">
        <v>138</v>
      </c>
      <c r="BX419" s="50" t="s">
        <v>225</v>
      </c>
      <c r="BY419" s="50" t="s">
        <v>226</v>
      </c>
      <c r="BZ419" s="50" t="s">
        <v>777</v>
      </c>
      <c r="CA419" s="50" t="s">
        <v>12362</v>
      </c>
      <c r="CB419" s="50" t="s">
        <v>12363</v>
      </c>
      <c r="CC419" s="50" t="s">
        <v>12364</v>
      </c>
      <c r="CD419" s="50" t="s">
        <v>12365</v>
      </c>
      <c r="CE419" s="50" t="s">
        <v>12363</v>
      </c>
      <c r="CF419" s="50" t="s">
        <v>12366</v>
      </c>
      <c r="CG419" s="50" t="s">
        <v>102</v>
      </c>
      <c r="CH419" s="50" t="s">
        <v>778</v>
      </c>
      <c r="CJ419" s="50" t="s">
        <v>779</v>
      </c>
      <c r="CL419" s="50" t="s">
        <v>758</v>
      </c>
      <c r="CM419" s="50" t="s">
        <v>211</v>
      </c>
      <c r="CN419" s="50" t="s">
        <v>779</v>
      </c>
      <c r="CO419" s="50" t="s">
        <v>230</v>
      </c>
      <c r="CP419" s="50" t="s">
        <v>778</v>
      </c>
      <c r="CQ419" s="50" t="s">
        <v>780</v>
      </c>
    </row>
    <row r="420" spans="1:96">
      <c r="A420" s="50" t="s">
        <v>149</v>
      </c>
      <c r="B420" s="50">
        <v>1316481</v>
      </c>
      <c r="C420" s="50" t="s">
        <v>11947</v>
      </c>
      <c r="D420" s="50" t="s">
        <v>781</v>
      </c>
      <c r="E420" s="50" t="str">
        <f>VLOOKUP(B420,aa!B:F,5,0)</f>
        <v>Ei ASSET,Ei Mindspark</v>
      </c>
      <c r="F420" s="50">
        <f>VLOOKUP(B420,aa!B:J,9,0)</f>
        <v>0</v>
      </c>
      <c r="G420" s="50">
        <f>VLOOKUP(B420,aa!B:L,11,0)</f>
        <v>0</v>
      </c>
      <c r="H420" s="50">
        <f>VLOOKUP(B420,aa!B:O,14,0)</f>
        <v>0</v>
      </c>
      <c r="I420" s="50">
        <f>VLOOKUP(B420,aa!B:R,17,0)</f>
        <v>0</v>
      </c>
      <c r="K420" s="50" t="s">
        <v>193</v>
      </c>
      <c r="L420" s="50">
        <v>891367</v>
      </c>
      <c r="M420" s="50">
        <v>1000631</v>
      </c>
      <c r="N420" s="50">
        <v>284345</v>
      </c>
      <c r="O420" s="50">
        <v>914</v>
      </c>
      <c r="P420" s="50" t="s">
        <v>195</v>
      </c>
      <c r="Q420" s="50">
        <v>0</v>
      </c>
      <c r="R420" s="50">
        <v>0</v>
      </c>
      <c r="T420" s="50">
        <v>607022</v>
      </c>
      <c r="U420" s="50">
        <v>955</v>
      </c>
      <c r="V420" s="50" t="s">
        <v>11949</v>
      </c>
      <c r="W420" s="50" t="s">
        <v>102</v>
      </c>
      <c r="X420" s="50" t="s">
        <v>103</v>
      </c>
      <c r="Y420" s="50" t="s">
        <v>104</v>
      </c>
      <c r="AA420" s="50" t="s">
        <v>11950</v>
      </c>
      <c r="AB420" s="50" t="s">
        <v>12367</v>
      </c>
      <c r="AC420" s="50" t="s">
        <v>11952</v>
      </c>
      <c r="AD420" s="50" t="s">
        <v>12367</v>
      </c>
      <c r="AE420" s="50" t="s">
        <v>109</v>
      </c>
      <c r="AF420" s="50" t="s">
        <v>102</v>
      </c>
      <c r="AG420" s="50" t="s">
        <v>109</v>
      </c>
      <c r="AH420" s="50" t="s">
        <v>102</v>
      </c>
      <c r="AI420" s="50" t="s">
        <v>12368</v>
      </c>
      <c r="AJ420" s="50" t="s">
        <v>11954</v>
      </c>
      <c r="AK420" s="50" t="s">
        <v>11954</v>
      </c>
      <c r="AL420" s="50" t="s">
        <v>12369</v>
      </c>
      <c r="AM420" s="50" t="s">
        <v>12370</v>
      </c>
      <c r="AN420" s="50" t="s">
        <v>12371</v>
      </c>
      <c r="AO420" s="50" t="s">
        <v>12372</v>
      </c>
      <c r="AP420" s="50" t="s">
        <v>12372</v>
      </c>
      <c r="AU420" s="50" t="s">
        <v>207</v>
      </c>
      <c r="AV420" s="50" t="s">
        <v>118</v>
      </c>
      <c r="AW420" s="50" t="s">
        <v>102</v>
      </c>
      <c r="AX420" s="50" t="s">
        <v>119</v>
      </c>
      <c r="BA420" s="50" t="s">
        <v>250</v>
      </c>
      <c r="BB420" s="50" t="s">
        <v>120</v>
      </c>
      <c r="BC420" s="50" t="s">
        <v>788</v>
      </c>
      <c r="BD420" s="50" t="s">
        <v>211</v>
      </c>
      <c r="BE420" s="50" t="s">
        <v>212</v>
      </c>
      <c r="BF420" s="50" t="s">
        <v>213</v>
      </c>
      <c r="BG420" s="50" t="s">
        <v>124</v>
      </c>
      <c r="BH420" s="50" t="s">
        <v>11959</v>
      </c>
      <c r="BI420" s="50" t="s">
        <v>11960</v>
      </c>
      <c r="BJ420" s="50" t="s">
        <v>127</v>
      </c>
      <c r="BK420" s="50" t="s">
        <v>12373</v>
      </c>
      <c r="BL420" s="50" t="s">
        <v>790</v>
      </c>
      <c r="BM420" s="50" t="s">
        <v>12374</v>
      </c>
      <c r="BN420" s="50" t="s">
        <v>11948</v>
      </c>
      <c r="BO420" s="50" t="s">
        <v>1880</v>
      </c>
      <c r="BP420" s="50" t="s">
        <v>180</v>
      </c>
      <c r="BQ420" s="50" t="s">
        <v>1882</v>
      </c>
      <c r="BR420" s="50" t="s">
        <v>1883</v>
      </c>
      <c r="BS420" s="50" t="s">
        <v>222</v>
      </c>
      <c r="BU420" s="50" t="s">
        <v>12375</v>
      </c>
      <c r="BV420" s="50" t="s">
        <v>12376</v>
      </c>
      <c r="BW420" s="50" t="s">
        <v>138</v>
      </c>
      <c r="BX420" s="50" t="s">
        <v>225</v>
      </c>
      <c r="BY420" s="50" t="s">
        <v>226</v>
      </c>
      <c r="BZ420" s="50" t="s">
        <v>793</v>
      </c>
      <c r="CA420" s="50" t="s">
        <v>12377</v>
      </c>
      <c r="CB420" s="50" t="s">
        <v>12378</v>
      </c>
      <c r="CC420" s="50" t="s">
        <v>12379</v>
      </c>
      <c r="CD420" s="50" t="s">
        <v>12380</v>
      </c>
      <c r="CE420" s="50" t="s">
        <v>12378</v>
      </c>
      <c r="CF420" s="50" t="s">
        <v>12379</v>
      </c>
      <c r="CG420" s="50" t="s">
        <v>102</v>
      </c>
      <c r="CH420" s="50" t="s">
        <v>794</v>
      </c>
      <c r="CJ420" s="50" t="s">
        <v>795</v>
      </c>
      <c r="CL420" s="50" t="s">
        <v>788</v>
      </c>
      <c r="CM420" s="50" t="s">
        <v>211</v>
      </c>
      <c r="CN420" s="50" t="s">
        <v>795</v>
      </c>
      <c r="CO420" s="50" t="s">
        <v>230</v>
      </c>
      <c r="CP420" s="50" t="s">
        <v>794</v>
      </c>
      <c r="CQ420" s="50" t="s">
        <v>794</v>
      </c>
    </row>
    <row r="421" spans="1:96">
      <c r="A421" s="50" t="s">
        <v>149</v>
      </c>
      <c r="B421" s="50">
        <v>1330320</v>
      </c>
      <c r="C421" s="50" t="s">
        <v>11947</v>
      </c>
      <c r="D421" s="50" t="s">
        <v>831</v>
      </c>
      <c r="E421" s="50" t="str">
        <f>VLOOKUP(B421,aa!B:F,5,0)</f>
        <v>Ei ASSET,Ei Mindspark</v>
      </c>
      <c r="F421" s="50">
        <f>VLOOKUP(B421,aa!B:J,9,0)</f>
        <v>0</v>
      </c>
      <c r="G421" s="50">
        <f>VLOOKUP(B421,aa!B:L,11,0)</f>
        <v>0</v>
      </c>
      <c r="H421" s="50">
        <f>VLOOKUP(B421,aa!B:O,14,0)</f>
        <v>0</v>
      </c>
      <c r="I421" s="50">
        <f>VLOOKUP(B421,aa!B:R,17,0)</f>
        <v>0</v>
      </c>
      <c r="K421" s="50" t="s">
        <v>193</v>
      </c>
      <c r="L421" s="50">
        <v>866253</v>
      </c>
      <c r="M421" s="50">
        <v>970940</v>
      </c>
      <c r="N421" s="50">
        <v>284656</v>
      </c>
      <c r="O421" s="50">
        <v>915</v>
      </c>
      <c r="P421" s="50" t="s">
        <v>195</v>
      </c>
      <c r="Q421" s="50">
        <v>0</v>
      </c>
      <c r="R421" s="50">
        <v>0</v>
      </c>
      <c r="T421" s="50">
        <v>581597</v>
      </c>
      <c r="U421" s="50">
        <v>915</v>
      </c>
      <c r="V421" s="50" t="s">
        <v>11949</v>
      </c>
      <c r="W421" s="50" t="s">
        <v>102</v>
      </c>
      <c r="X421" s="50" t="s">
        <v>103</v>
      </c>
      <c r="Y421" s="50" t="s">
        <v>104</v>
      </c>
      <c r="AA421" s="50" t="s">
        <v>11950</v>
      </c>
      <c r="AB421" s="50" t="s">
        <v>12413</v>
      </c>
      <c r="AC421" s="50" t="s">
        <v>11952</v>
      </c>
      <c r="AD421" s="50" t="s">
        <v>12413</v>
      </c>
      <c r="AE421" s="50" t="s">
        <v>109</v>
      </c>
      <c r="AF421" s="50" t="s">
        <v>102</v>
      </c>
      <c r="AG421" s="50" t="s">
        <v>109</v>
      </c>
      <c r="AH421" s="50" t="s">
        <v>102</v>
      </c>
      <c r="AI421" s="50" t="s">
        <v>12368</v>
      </c>
      <c r="AJ421" s="50" t="s">
        <v>11954</v>
      </c>
      <c r="AK421" s="50" t="s">
        <v>11954</v>
      </c>
      <c r="AL421" s="50" t="s">
        <v>12414</v>
      </c>
      <c r="AM421" s="50" t="s">
        <v>12370</v>
      </c>
      <c r="AN421" s="50" t="s">
        <v>12415</v>
      </c>
      <c r="AO421" s="50" t="s">
        <v>12372</v>
      </c>
      <c r="AP421" s="50" t="s">
        <v>12372</v>
      </c>
      <c r="AU421" s="50" t="s">
        <v>207</v>
      </c>
      <c r="AV421" s="50" t="s">
        <v>118</v>
      </c>
      <c r="AW421" s="50" t="s">
        <v>102</v>
      </c>
      <c r="AX421" s="50" t="s">
        <v>119</v>
      </c>
      <c r="BA421" s="50" t="s">
        <v>250</v>
      </c>
      <c r="BB421" s="50" t="s">
        <v>120</v>
      </c>
      <c r="BC421" s="50" t="s">
        <v>838</v>
      </c>
      <c r="BD421" s="50" t="s">
        <v>211</v>
      </c>
      <c r="BE421" s="50" t="s">
        <v>212</v>
      </c>
      <c r="BF421" s="50" t="s">
        <v>213</v>
      </c>
      <c r="BG421" s="50" t="s">
        <v>124</v>
      </c>
      <c r="BH421" s="50" t="s">
        <v>11959</v>
      </c>
      <c r="BI421" s="50" t="s">
        <v>11960</v>
      </c>
      <c r="BJ421" s="50" t="s">
        <v>127</v>
      </c>
      <c r="BK421" s="50" t="s">
        <v>12416</v>
      </c>
      <c r="BL421" s="50" t="s">
        <v>840</v>
      </c>
      <c r="BM421" s="50" t="s">
        <v>12417</v>
      </c>
      <c r="BN421" s="50" t="s">
        <v>11948</v>
      </c>
      <c r="BO421" s="50" t="s">
        <v>1880</v>
      </c>
      <c r="BP421" s="50" t="s">
        <v>7992</v>
      </c>
      <c r="BQ421" s="50" t="s">
        <v>1882</v>
      </c>
      <c r="BR421" s="50" t="s">
        <v>1883</v>
      </c>
      <c r="BS421" s="50" t="s">
        <v>222</v>
      </c>
      <c r="BU421" s="50" t="s">
        <v>12418</v>
      </c>
      <c r="BV421" s="50" t="s">
        <v>12376</v>
      </c>
      <c r="BW421" s="50" t="s">
        <v>138</v>
      </c>
      <c r="BX421" s="50" t="s">
        <v>225</v>
      </c>
      <c r="BY421" s="50" t="s">
        <v>226</v>
      </c>
      <c r="BZ421" s="50" t="s">
        <v>843</v>
      </c>
      <c r="CA421" s="50" t="s">
        <v>12419</v>
      </c>
      <c r="CB421" s="50" t="s">
        <v>12420</v>
      </c>
      <c r="CC421" s="50" t="s">
        <v>12421</v>
      </c>
      <c r="CD421" s="50" t="s">
        <v>12422</v>
      </c>
      <c r="CE421" s="50" t="s">
        <v>12420</v>
      </c>
      <c r="CF421" s="50" t="s">
        <v>12421</v>
      </c>
      <c r="CG421" s="50" t="s">
        <v>102</v>
      </c>
      <c r="CH421" s="50" t="s">
        <v>844</v>
      </c>
      <c r="CJ421" s="50" t="s">
        <v>845</v>
      </c>
      <c r="CL421" s="50" t="s">
        <v>838</v>
      </c>
      <c r="CM421" s="50" t="s">
        <v>211</v>
      </c>
      <c r="CN421" s="50" t="s">
        <v>845</v>
      </c>
      <c r="CO421" s="50" t="s">
        <v>230</v>
      </c>
      <c r="CP421" s="50" t="s">
        <v>844</v>
      </c>
      <c r="CQ421" s="50" t="s">
        <v>844</v>
      </c>
    </row>
    <row r="422" spans="1:96">
      <c r="A422" s="50" t="s">
        <v>149</v>
      </c>
      <c r="B422" s="50">
        <v>1805376</v>
      </c>
      <c r="C422" s="50" t="s">
        <v>11947</v>
      </c>
      <c r="D422" s="50" t="s">
        <v>1890</v>
      </c>
      <c r="E422" s="50" t="str">
        <f>VLOOKUP(B422,aa!B:F,5,0)</f>
        <v>Ei ASSET,Ei Mindspark</v>
      </c>
      <c r="F422" s="50">
        <f>VLOOKUP(B422,aa!B:J,9,0)</f>
        <v>0</v>
      </c>
      <c r="G422" s="50">
        <f>VLOOKUP(B422,aa!B:L,11,0)</f>
        <v>0</v>
      </c>
      <c r="H422" s="50">
        <f>VLOOKUP(B422,aa!B:O,14,0)</f>
        <v>0</v>
      </c>
      <c r="I422" s="50">
        <f>VLOOKUP(B422,aa!B:R,17,0)</f>
        <v>0</v>
      </c>
      <c r="K422" s="50" t="s">
        <v>193</v>
      </c>
      <c r="L422" s="50">
        <v>955527</v>
      </c>
      <c r="M422" s="50">
        <v>1070991</v>
      </c>
      <c r="N422" s="50">
        <v>314059</v>
      </c>
      <c r="O422" s="50">
        <v>1010</v>
      </c>
      <c r="P422" s="50" t="s">
        <v>195</v>
      </c>
      <c r="Q422" s="50">
        <v>0</v>
      </c>
      <c r="R422" s="50">
        <v>0</v>
      </c>
      <c r="T422" s="50">
        <v>641468</v>
      </c>
      <c r="U422" s="50">
        <v>1010</v>
      </c>
      <c r="V422" s="50" t="s">
        <v>12956</v>
      </c>
      <c r="W422" s="50" t="s">
        <v>102</v>
      </c>
      <c r="X422" s="50" t="s">
        <v>103</v>
      </c>
      <c r="Y422" s="50" t="s">
        <v>104</v>
      </c>
      <c r="AA422" s="50" t="s">
        <v>11950</v>
      </c>
      <c r="AB422" s="50" t="s">
        <v>12957</v>
      </c>
      <c r="AC422" s="50" t="s">
        <v>11952</v>
      </c>
      <c r="AD422" s="50" t="s">
        <v>12957</v>
      </c>
      <c r="AE422" s="50" t="s">
        <v>109</v>
      </c>
      <c r="AF422" s="50" t="s">
        <v>102</v>
      </c>
      <c r="AG422" s="50" t="s">
        <v>109</v>
      </c>
      <c r="AH422" s="50" t="s">
        <v>102</v>
      </c>
      <c r="AI422" s="50" t="s">
        <v>12958</v>
      </c>
      <c r="AJ422" s="50" t="s">
        <v>11954</v>
      </c>
      <c r="AK422" s="50" t="s">
        <v>11954</v>
      </c>
      <c r="AL422" s="50" t="s">
        <v>12959</v>
      </c>
      <c r="AM422" s="50" t="s">
        <v>12960</v>
      </c>
      <c r="AN422" s="50" t="s">
        <v>12961</v>
      </c>
      <c r="AO422" s="50" t="s">
        <v>12962</v>
      </c>
      <c r="AP422" s="50" t="s">
        <v>12962</v>
      </c>
      <c r="AU422" s="50" t="s">
        <v>207</v>
      </c>
      <c r="AV422" s="50" t="s">
        <v>118</v>
      </c>
      <c r="AW422" s="50" t="s">
        <v>102</v>
      </c>
      <c r="AX422" s="50" t="s">
        <v>119</v>
      </c>
      <c r="BA422" s="50" t="s">
        <v>250</v>
      </c>
      <c r="BB422" s="50" t="s">
        <v>120</v>
      </c>
      <c r="BC422" s="50" t="s">
        <v>1897</v>
      </c>
      <c r="BD422" s="50" t="s">
        <v>621</v>
      </c>
      <c r="BE422" s="50" t="s">
        <v>622</v>
      </c>
      <c r="BF422" s="50" t="s">
        <v>976</v>
      </c>
      <c r="BG422" s="50" t="s">
        <v>124</v>
      </c>
      <c r="BH422" s="50" t="s">
        <v>11948</v>
      </c>
      <c r="BI422" s="50" t="s">
        <v>12963</v>
      </c>
      <c r="BJ422" s="50" t="s">
        <v>127</v>
      </c>
      <c r="BK422" s="50" t="s">
        <v>12964</v>
      </c>
      <c r="BL422" s="50" t="s">
        <v>1899</v>
      </c>
      <c r="BM422" s="50" t="s">
        <v>12965</v>
      </c>
      <c r="BN422" s="50" t="s">
        <v>11948</v>
      </c>
      <c r="BO422" s="50" t="s">
        <v>415</v>
      </c>
      <c r="BP422" s="50" t="s">
        <v>7992</v>
      </c>
      <c r="BQ422" s="50" t="s">
        <v>416</v>
      </c>
      <c r="BR422" s="50" t="s">
        <v>417</v>
      </c>
      <c r="BS422" s="50" t="s">
        <v>984</v>
      </c>
      <c r="BU422" s="50" t="s">
        <v>12966</v>
      </c>
      <c r="BV422" s="50" t="s">
        <v>3585</v>
      </c>
      <c r="BW422" s="50" t="s">
        <v>598</v>
      </c>
      <c r="BX422" s="50" t="s">
        <v>225</v>
      </c>
      <c r="BY422" s="50" t="s">
        <v>226</v>
      </c>
      <c r="CA422" s="50" t="s">
        <v>12967</v>
      </c>
      <c r="CB422" s="50" t="s">
        <v>12968</v>
      </c>
      <c r="CC422" s="50" t="s">
        <v>12969</v>
      </c>
      <c r="CD422" s="50" t="s">
        <v>12970</v>
      </c>
      <c r="CE422" s="50" t="s">
        <v>12971</v>
      </c>
      <c r="CF422" s="50" t="s">
        <v>12969</v>
      </c>
      <c r="CG422" s="50" t="s">
        <v>102</v>
      </c>
      <c r="CH422" s="50" t="s">
        <v>1902</v>
      </c>
      <c r="CJ422" s="50" t="s">
        <v>1903</v>
      </c>
      <c r="CL422" s="50" t="s">
        <v>1897</v>
      </c>
      <c r="CM422" s="50" t="s">
        <v>621</v>
      </c>
      <c r="CN422" s="50" t="s">
        <v>1903</v>
      </c>
      <c r="CO422" s="50" t="s">
        <v>230</v>
      </c>
      <c r="CP422" s="50" t="s">
        <v>1902</v>
      </c>
      <c r="CQ422" s="50" t="s">
        <v>1902</v>
      </c>
    </row>
    <row r="423" spans="1:96">
      <c r="A423" s="50" t="s">
        <v>337</v>
      </c>
      <c r="B423" s="50">
        <v>2133172</v>
      </c>
      <c r="C423" s="50" t="s">
        <v>2525</v>
      </c>
      <c r="D423" s="50" t="s">
        <v>13577</v>
      </c>
      <c r="E423" s="50" t="e">
        <f>VLOOKUP(B423,aa!B:F,5,0)</f>
        <v>#N/A</v>
      </c>
      <c r="F423" s="50" t="e">
        <f>VLOOKUP(B423,aa!B:J,9,0)</f>
        <v>#N/A</v>
      </c>
      <c r="G423" s="50" t="e">
        <f>VLOOKUP(B423,aa!B:L,11,0)</f>
        <v>#N/A</v>
      </c>
      <c r="H423" s="50" t="e">
        <f>VLOOKUP(B423,aa!B:O,14,0)</f>
        <v>#N/A</v>
      </c>
      <c r="I423" s="50" t="e">
        <f>VLOOKUP(B423,aa!B:R,17,0)</f>
        <v>#N/A</v>
      </c>
      <c r="K423" s="50" t="s">
        <v>13578</v>
      </c>
      <c r="L423" s="50">
        <v>300000</v>
      </c>
      <c r="M423" s="50">
        <v>354000</v>
      </c>
      <c r="N423" s="50">
        <v>0</v>
      </c>
      <c r="O423" s="50">
        <v>0</v>
      </c>
      <c r="P423" s="50" t="s">
        <v>102</v>
      </c>
      <c r="Q423" s="50">
        <v>0</v>
      </c>
      <c r="R423" s="50">
        <v>0</v>
      </c>
      <c r="S423" s="50" t="s">
        <v>102</v>
      </c>
      <c r="T423" s="50">
        <v>0</v>
      </c>
      <c r="U423" s="50">
        <v>0</v>
      </c>
      <c r="V423" s="50" t="s">
        <v>102</v>
      </c>
      <c r="W423" s="50" t="s">
        <v>13579</v>
      </c>
      <c r="Y423" s="50" t="s">
        <v>115</v>
      </c>
      <c r="Z423" s="50" t="s">
        <v>11948</v>
      </c>
      <c r="AA423" s="50" t="s">
        <v>11948</v>
      </c>
      <c r="AB423" s="50" t="s">
        <v>102</v>
      </c>
      <c r="AC423" s="50" t="s">
        <v>11948</v>
      </c>
      <c r="AD423" s="50" t="s">
        <v>102</v>
      </c>
      <c r="AE423" s="50" t="s">
        <v>11948</v>
      </c>
      <c r="AF423" s="50" t="s">
        <v>102</v>
      </c>
      <c r="AG423" s="50" t="s">
        <v>11948</v>
      </c>
      <c r="AH423" s="50" t="s">
        <v>102</v>
      </c>
      <c r="AI423" s="50" t="s">
        <v>102</v>
      </c>
      <c r="AJ423" s="50" t="s">
        <v>11948</v>
      </c>
      <c r="AK423" s="50" t="s">
        <v>11948</v>
      </c>
      <c r="AL423" s="50" t="s">
        <v>13579</v>
      </c>
      <c r="AM423" s="50" t="s">
        <v>102</v>
      </c>
      <c r="AN423" s="50" t="s">
        <v>13579</v>
      </c>
      <c r="AO423" s="50" t="s">
        <v>102</v>
      </c>
      <c r="AP423" s="50" t="s">
        <v>102</v>
      </c>
      <c r="AQ423" s="50" t="s">
        <v>102</v>
      </c>
      <c r="AR423" s="50" t="s">
        <v>102</v>
      </c>
      <c r="AS423" s="50" t="s">
        <v>102</v>
      </c>
      <c r="AT423" s="50" t="s">
        <v>102</v>
      </c>
      <c r="AU423" s="50" t="s">
        <v>102</v>
      </c>
      <c r="AW423" s="50" t="s">
        <v>102</v>
      </c>
      <c r="BB423" s="50" t="s">
        <v>120</v>
      </c>
      <c r="BC423" s="50" t="s">
        <v>2327</v>
      </c>
      <c r="BE423" s="50" t="s">
        <v>622</v>
      </c>
      <c r="BF423" s="50" t="s">
        <v>730</v>
      </c>
      <c r="BG423" s="50" t="s">
        <v>124</v>
      </c>
      <c r="BH423" s="50" t="s">
        <v>11948</v>
      </c>
      <c r="BI423" s="50" t="s">
        <v>11948</v>
      </c>
      <c r="BJ423" s="50" t="s">
        <v>13580</v>
      </c>
      <c r="BK423" s="50" t="s">
        <v>13581</v>
      </c>
      <c r="BN423" s="50" t="s">
        <v>11948</v>
      </c>
      <c r="BO423" s="50" t="s">
        <v>225</v>
      </c>
      <c r="BP423" s="50" t="s">
        <v>225</v>
      </c>
      <c r="BQ423" s="50" t="s">
        <v>225</v>
      </c>
      <c r="BR423" s="50" t="s">
        <v>506</v>
      </c>
      <c r="BS423" s="50" t="s">
        <v>737</v>
      </c>
      <c r="BT423" s="50" t="s">
        <v>737</v>
      </c>
      <c r="BU423" s="50" t="s">
        <v>11948</v>
      </c>
      <c r="CG423" s="50" t="s">
        <v>102</v>
      </c>
    </row>
    <row r="424" spans="1:96">
      <c r="A424" s="50" t="s">
        <v>149</v>
      </c>
      <c r="B424" s="50">
        <v>2379270</v>
      </c>
      <c r="C424" s="50" t="s">
        <v>11947</v>
      </c>
      <c r="D424" s="50" t="s">
        <v>3093</v>
      </c>
      <c r="E424" s="50" t="str">
        <f>VLOOKUP(B424,aa!B:F,5,0)</f>
        <v>Ei ASSET,Ei Mindspark</v>
      </c>
      <c r="F424" s="50">
        <f>VLOOKUP(B424,aa!B:J,9,0)</f>
        <v>0</v>
      </c>
      <c r="G424" s="50">
        <f>VLOOKUP(B424,aa!B:L,11,0)</f>
        <v>0</v>
      </c>
      <c r="H424" s="50">
        <f>VLOOKUP(B424,aa!B:O,14,0)</f>
        <v>0</v>
      </c>
      <c r="I424" s="50">
        <f>VLOOKUP(B424,aa!B:R,17,0)</f>
        <v>0</v>
      </c>
      <c r="K424" s="50" t="s">
        <v>193</v>
      </c>
      <c r="L424" s="50">
        <v>933556</v>
      </c>
      <c r="M424" s="50">
        <v>1048312</v>
      </c>
      <c r="N424" s="50">
        <v>296024</v>
      </c>
      <c r="O424" s="50">
        <v>952</v>
      </c>
      <c r="P424" s="50" t="s">
        <v>195</v>
      </c>
      <c r="Q424" s="50">
        <v>0</v>
      </c>
      <c r="R424" s="50">
        <v>0</v>
      </c>
      <c r="T424" s="50">
        <v>637532</v>
      </c>
      <c r="U424" s="50">
        <v>1003</v>
      </c>
      <c r="V424" s="50" t="s">
        <v>11949</v>
      </c>
      <c r="W424" s="50" t="s">
        <v>102</v>
      </c>
      <c r="X424" s="50" t="s">
        <v>103</v>
      </c>
      <c r="Y424" s="50" t="s">
        <v>104</v>
      </c>
      <c r="AA424" s="50" t="s">
        <v>11950</v>
      </c>
      <c r="AB424" s="50" t="s">
        <v>13791</v>
      </c>
      <c r="AC424" s="50" t="s">
        <v>11952</v>
      </c>
      <c r="AD424" s="50" t="s">
        <v>13791</v>
      </c>
      <c r="AE424" s="50" t="s">
        <v>109</v>
      </c>
      <c r="AF424" s="50" t="s">
        <v>102</v>
      </c>
      <c r="AG424" s="50" t="s">
        <v>109</v>
      </c>
      <c r="AH424" s="50" t="s">
        <v>102</v>
      </c>
      <c r="AI424" s="50" t="s">
        <v>13792</v>
      </c>
      <c r="AJ424" s="50" t="s">
        <v>11954</v>
      </c>
      <c r="AK424" s="50" t="s">
        <v>11954</v>
      </c>
      <c r="AL424" s="50" t="s">
        <v>13793</v>
      </c>
      <c r="AM424" s="50" t="s">
        <v>13794</v>
      </c>
      <c r="AN424" s="50" t="s">
        <v>13795</v>
      </c>
      <c r="AO424" s="50" t="s">
        <v>11958</v>
      </c>
      <c r="AP424" s="50" t="s">
        <v>11958</v>
      </c>
      <c r="AU424" s="50" t="s">
        <v>207</v>
      </c>
      <c r="AV424" s="50" t="s">
        <v>118</v>
      </c>
      <c r="AW424" s="50" t="s">
        <v>102</v>
      </c>
      <c r="AX424" s="50" t="s">
        <v>119</v>
      </c>
      <c r="BA424" s="50" t="s">
        <v>250</v>
      </c>
      <c r="BB424" s="50" t="s">
        <v>120</v>
      </c>
      <c r="BC424" s="50" t="s">
        <v>920</v>
      </c>
      <c r="BD424" s="50" t="s">
        <v>211</v>
      </c>
      <c r="BE424" s="50" t="s">
        <v>212</v>
      </c>
      <c r="BF424" s="50" t="s">
        <v>213</v>
      </c>
      <c r="BG424" s="50" t="s">
        <v>124</v>
      </c>
      <c r="BH424" s="50" t="s">
        <v>11959</v>
      </c>
      <c r="BI424" s="50" t="s">
        <v>11960</v>
      </c>
      <c r="BJ424" s="50" t="s">
        <v>127</v>
      </c>
      <c r="BK424" s="50" t="s">
        <v>13796</v>
      </c>
      <c r="BL424" s="50" t="s">
        <v>3101</v>
      </c>
      <c r="BM424" s="50" t="s">
        <v>13797</v>
      </c>
      <c r="BN424" s="50" t="s">
        <v>11948</v>
      </c>
      <c r="BO424" s="50" t="s">
        <v>1880</v>
      </c>
      <c r="BP424" s="50" t="s">
        <v>180</v>
      </c>
      <c r="BQ424" s="50" t="s">
        <v>1882</v>
      </c>
      <c r="BR424" s="50" t="s">
        <v>1883</v>
      </c>
      <c r="BS424" s="50" t="s">
        <v>222</v>
      </c>
      <c r="BU424" s="50" t="s">
        <v>13798</v>
      </c>
      <c r="BV424" s="50" t="s">
        <v>224</v>
      </c>
      <c r="BW424" s="50" t="s">
        <v>138</v>
      </c>
      <c r="BX424" s="50" t="s">
        <v>225</v>
      </c>
      <c r="BY424" s="50" t="s">
        <v>226</v>
      </c>
      <c r="BZ424" s="50" t="s">
        <v>3104</v>
      </c>
      <c r="CA424" s="50" t="s">
        <v>13799</v>
      </c>
      <c r="CB424" s="50" t="s">
        <v>13800</v>
      </c>
      <c r="CC424" s="50" t="s">
        <v>13801</v>
      </c>
      <c r="CD424" s="50" t="s">
        <v>13802</v>
      </c>
      <c r="CE424" s="50" t="s">
        <v>13803</v>
      </c>
      <c r="CF424" s="50" t="s">
        <v>13801</v>
      </c>
      <c r="CG424" s="50" t="s">
        <v>102</v>
      </c>
      <c r="CH424" s="50" t="s">
        <v>3105</v>
      </c>
      <c r="CJ424" s="50" t="s">
        <v>3106</v>
      </c>
      <c r="CL424" s="50" t="s">
        <v>920</v>
      </c>
      <c r="CM424" s="50" t="s">
        <v>211</v>
      </c>
      <c r="CN424" s="50" t="s">
        <v>3106</v>
      </c>
      <c r="CO424" s="50" t="s">
        <v>230</v>
      </c>
      <c r="CP424" s="50" t="s">
        <v>3105</v>
      </c>
      <c r="CQ424" s="50" t="s">
        <v>3105</v>
      </c>
    </row>
    <row r="425" spans="1:96">
      <c r="A425" s="50" t="s">
        <v>149</v>
      </c>
      <c r="B425" s="50">
        <v>2509774</v>
      </c>
      <c r="C425" s="50" t="s">
        <v>11947</v>
      </c>
      <c r="D425" s="50" t="s">
        <v>3866</v>
      </c>
      <c r="E425" s="50" t="str">
        <f>VLOOKUP(B425,aa!B:F,5,0)</f>
        <v>Ei ASSET,Ei Mindspark</v>
      </c>
      <c r="F425" s="50">
        <f>VLOOKUP(B425,aa!B:J,9,0)</f>
        <v>0</v>
      </c>
      <c r="G425" s="50">
        <f>VLOOKUP(B425,aa!B:L,11,0)</f>
        <v>0</v>
      </c>
      <c r="H425" s="50">
        <f>VLOOKUP(B425,aa!B:O,14,0)</f>
        <v>0</v>
      </c>
      <c r="I425" s="50">
        <f>VLOOKUP(B425,aa!B:R,17,0)</f>
        <v>0</v>
      </c>
      <c r="K425" s="50" t="s">
        <v>193</v>
      </c>
      <c r="L425" s="50">
        <v>565801</v>
      </c>
      <c r="M425" s="50">
        <v>637309</v>
      </c>
      <c r="N425" s="50">
        <v>168535</v>
      </c>
      <c r="O425" s="50">
        <v>542</v>
      </c>
      <c r="P425" s="50" t="s">
        <v>195</v>
      </c>
      <c r="Q425" s="50">
        <v>0</v>
      </c>
      <c r="R425" s="50">
        <v>0</v>
      </c>
      <c r="T425" s="50">
        <v>397266</v>
      </c>
      <c r="U425" s="50">
        <v>625</v>
      </c>
      <c r="V425" s="50" t="s">
        <v>11949</v>
      </c>
      <c r="W425" s="50" t="s">
        <v>102</v>
      </c>
      <c r="X425" s="50" t="s">
        <v>103</v>
      </c>
      <c r="Y425" s="50" t="s">
        <v>104</v>
      </c>
      <c r="AA425" s="50" t="s">
        <v>11950</v>
      </c>
      <c r="AB425" s="50" t="s">
        <v>14321</v>
      </c>
      <c r="AC425" s="50" t="s">
        <v>11952</v>
      </c>
      <c r="AD425" s="50" t="s">
        <v>14321</v>
      </c>
      <c r="AE425" s="50" t="s">
        <v>109</v>
      </c>
      <c r="AF425" s="50" t="s">
        <v>102</v>
      </c>
      <c r="AG425" s="50" t="s">
        <v>109</v>
      </c>
      <c r="AH425" s="50" t="s">
        <v>102</v>
      </c>
      <c r="AI425" s="50" t="s">
        <v>14322</v>
      </c>
      <c r="AJ425" s="50" t="s">
        <v>11954</v>
      </c>
      <c r="AK425" s="50" t="s">
        <v>11954</v>
      </c>
      <c r="AL425" s="50" t="s">
        <v>14323</v>
      </c>
      <c r="AM425" s="50" t="s">
        <v>14324</v>
      </c>
      <c r="AN425" s="50" t="s">
        <v>14325</v>
      </c>
      <c r="AO425" s="50" t="s">
        <v>11958</v>
      </c>
      <c r="AP425" s="50" t="s">
        <v>11958</v>
      </c>
      <c r="AU425" s="50" t="s">
        <v>207</v>
      </c>
      <c r="AV425" s="50" t="s">
        <v>118</v>
      </c>
      <c r="AW425" s="50" t="s">
        <v>102</v>
      </c>
      <c r="AX425" s="50" t="s">
        <v>119</v>
      </c>
      <c r="BA425" s="50" t="s">
        <v>250</v>
      </c>
      <c r="BB425" s="50" t="s">
        <v>120</v>
      </c>
      <c r="BC425" s="50" t="s">
        <v>210</v>
      </c>
      <c r="BD425" s="50" t="s">
        <v>211</v>
      </c>
      <c r="BE425" s="50" t="s">
        <v>212</v>
      </c>
      <c r="BF425" s="50" t="s">
        <v>213</v>
      </c>
      <c r="BG425" s="50" t="s">
        <v>124</v>
      </c>
      <c r="BH425" s="50" t="s">
        <v>11959</v>
      </c>
      <c r="BI425" s="50" t="s">
        <v>11960</v>
      </c>
      <c r="BJ425" s="50" t="s">
        <v>127</v>
      </c>
      <c r="BK425" s="50" t="s">
        <v>14326</v>
      </c>
      <c r="BL425" s="50" t="s">
        <v>3874</v>
      </c>
      <c r="BM425" s="50" t="s">
        <v>14327</v>
      </c>
      <c r="BN425" s="50" t="s">
        <v>11948</v>
      </c>
      <c r="BO425" s="50" t="s">
        <v>1880</v>
      </c>
      <c r="BP425" s="50" t="s">
        <v>180</v>
      </c>
      <c r="BQ425" s="50" t="s">
        <v>1882</v>
      </c>
      <c r="BR425" s="50" t="s">
        <v>1883</v>
      </c>
      <c r="BS425" s="50" t="s">
        <v>222</v>
      </c>
      <c r="BU425" s="50" t="s">
        <v>14328</v>
      </c>
      <c r="BV425" s="50" t="s">
        <v>224</v>
      </c>
      <c r="BW425" s="50" t="s">
        <v>138</v>
      </c>
      <c r="BX425" s="50" t="s">
        <v>225</v>
      </c>
      <c r="BY425" s="50" t="s">
        <v>226</v>
      </c>
      <c r="BZ425" s="50" t="s">
        <v>3877</v>
      </c>
      <c r="CA425" s="50" t="s">
        <v>14329</v>
      </c>
      <c r="CB425" s="50" t="s">
        <v>14330</v>
      </c>
      <c r="CC425" s="50" t="s">
        <v>14331</v>
      </c>
      <c r="CD425" s="50" t="s">
        <v>14332</v>
      </c>
      <c r="CE425" s="50" t="s">
        <v>14330</v>
      </c>
      <c r="CF425" s="50" t="s">
        <v>14331</v>
      </c>
      <c r="CG425" s="50" t="s">
        <v>102</v>
      </c>
      <c r="CH425" s="50" t="s">
        <v>3878</v>
      </c>
      <c r="CJ425" s="50" t="s">
        <v>229</v>
      </c>
      <c r="CL425" s="50" t="s">
        <v>210</v>
      </c>
      <c r="CM425" s="50" t="s">
        <v>211</v>
      </c>
      <c r="CN425" s="50" t="s">
        <v>229</v>
      </c>
      <c r="CO425" s="50" t="s">
        <v>230</v>
      </c>
      <c r="CP425" s="50" t="s">
        <v>3878</v>
      </c>
      <c r="CQ425" s="50" t="s">
        <v>3878</v>
      </c>
    </row>
    <row r="426" spans="1:96">
      <c r="A426" s="50" t="s">
        <v>337</v>
      </c>
      <c r="B426" s="50">
        <v>3316968</v>
      </c>
      <c r="C426" s="50" t="s">
        <v>418</v>
      </c>
      <c r="D426" s="50" t="s">
        <v>15559</v>
      </c>
      <c r="E426" s="50" t="e">
        <f>VLOOKUP(B426,aa!B:F,5,0)</f>
        <v>#N/A</v>
      </c>
      <c r="F426" s="50" t="e">
        <f>VLOOKUP(B426,aa!B:J,9,0)</f>
        <v>#N/A</v>
      </c>
      <c r="G426" s="50" t="e">
        <f>VLOOKUP(B426,aa!B:L,11,0)</f>
        <v>#N/A</v>
      </c>
      <c r="H426" s="50" t="e">
        <f>VLOOKUP(B426,aa!B:O,14,0)</f>
        <v>#N/A</v>
      </c>
      <c r="I426" s="50" t="e">
        <f>VLOOKUP(B426,aa!B:R,17,0)</f>
        <v>#N/A</v>
      </c>
      <c r="K426" s="50" t="s">
        <v>2044</v>
      </c>
      <c r="L426" s="50">
        <v>1943468</v>
      </c>
      <c r="M426" s="50">
        <v>1943468</v>
      </c>
      <c r="N426" s="50">
        <v>622736</v>
      </c>
      <c r="O426" s="50">
        <v>682</v>
      </c>
      <c r="P426" s="50" t="s">
        <v>15560</v>
      </c>
      <c r="Q426" s="50">
        <v>1320732</v>
      </c>
      <c r="R426" s="50">
        <v>720</v>
      </c>
      <c r="S426" s="50" t="s">
        <v>15561</v>
      </c>
      <c r="T426" s="50">
        <v>0</v>
      </c>
      <c r="U426" s="50">
        <v>0</v>
      </c>
      <c r="W426" s="50" t="s">
        <v>102</v>
      </c>
      <c r="X426" s="50" t="s">
        <v>103</v>
      </c>
      <c r="Y426" s="50" t="s">
        <v>398</v>
      </c>
      <c r="AA426" s="50" t="s">
        <v>11948</v>
      </c>
      <c r="AB426" s="50" t="s">
        <v>15562</v>
      </c>
      <c r="AC426" s="50" t="s">
        <v>15295</v>
      </c>
      <c r="AD426" s="50" t="s">
        <v>15563</v>
      </c>
      <c r="AE426" s="50" t="s">
        <v>12292</v>
      </c>
      <c r="AF426" s="50" t="s">
        <v>15563</v>
      </c>
      <c r="AG426" s="50" t="s">
        <v>109</v>
      </c>
      <c r="AH426" s="50" t="s">
        <v>102</v>
      </c>
      <c r="AI426" s="50" t="s">
        <v>102</v>
      </c>
      <c r="AJ426" s="50" t="s">
        <v>15564</v>
      </c>
      <c r="AK426" s="50" t="s">
        <v>8747</v>
      </c>
      <c r="AL426" s="50" t="s">
        <v>15565</v>
      </c>
      <c r="AM426" s="50" t="s">
        <v>15566</v>
      </c>
      <c r="AN426" s="50" t="s">
        <v>15567</v>
      </c>
      <c r="AO426" s="50" t="s">
        <v>15568</v>
      </c>
      <c r="AP426" s="50" t="s">
        <v>15568</v>
      </c>
      <c r="AU426" s="50" t="s">
        <v>318</v>
      </c>
      <c r="AV426" s="50" t="s">
        <v>118</v>
      </c>
      <c r="AW426" s="50" t="s">
        <v>155</v>
      </c>
      <c r="AX426" s="50" t="s">
        <v>447</v>
      </c>
      <c r="AY426" s="50" t="s">
        <v>170</v>
      </c>
      <c r="AZ426" s="50" t="s">
        <v>118</v>
      </c>
      <c r="BB426" s="50" t="s">
        <v>120</v>
      </c>
      <c r="BC426" s="50" t="s">
        <v>15569</v>
      </c>
      <c r="BD426" s="50" t="s">
        <v>15570</v>
      </c>
      <c r="BE426" s="50" t="s">
        <v>212</v>
      </c>
      <c r="BF426" s="50" t="s">
        <v>213</v>
      </c>
      <c r="BG426" s="50" t="s">
        <v>124</v>
      </c>
      <c r="BH426" s="50" t="s">
        <v>11959</v>
      </c>
      <c r="BI426" s="50" t="s">
        <v>12435</v>
      </c>
      <c r="BJ426" s="50" t="s">
        <v>127</v>
      </c>
      <c r="BK426" s="50" t="s">
        <v>15571</v>
      </c>
      <c r="BL426" s="50" t="s">
        <v>15572</v>
      </c>
      <c r="BM426" s="50" t="s">
        <v>15573</v>
      </c>
      <c r="BN426" s="50" t="s">
        <v>11948</v>
      </c>
      <c r="BO426" s="50" t="s">
        <v>15574</v>
      </c>
      <c r="BP426" s="50" t="s">
        <v>505</v>
      </c>
      <c r="BQ426" s="50" t="s">
        <v>15575</v>
      </c>
      <c r="BR426" s="50" t="s">
        <v>15576</v>
      </c>
      <c r="BS426" s="50" t="s">
        <v>7225</v>
      </c>
      <c r="BU426" s="50" t="s">
        <v>15577</v>
      </c>
      <c r="BV426" s="50" t="s">
        <v>15578</v>
      </c>
      <c r="BW426" s="50" t="s">
        <v>138</v>
      </c>
      <c r="BX426" s="50" t="s">
        <v>15579</v>
      </c>
      <c r="BY426" s="50" t="s">
        <v>15580</v>
      </c>
      <c r="BZ426" s="50" t="s">
        <v>15581</v>
      </c>
      <c r="CA426" s="50" t="s">
        <v>15578</v>
      </c>
      <c r="CB426" s="50" t="s">
        <v>15582</v>
      </c>
      <c r="CC426" s="50" t="s">
        <v>15580</v>
      </c>
      <c r="CD426" s="50" t="s">
        <v>15578</v>
      </c>
      <c r="CE426" s="50" t="s">
        <v>15582</v>
      </c>
      <c r="CF426" s="50" t="s">
        <v>15580</v>
      </c>
      <c r="CG426" s="50" t="s">
        <v>15583</v>
      </c>
      <c r="CH426" s="50" t="s">
        <v>15584</v>
      </c>
      <c r="CJ426" s="50" t="s">
        <v>15585</v>
      </c>
      <c r="CK426" s="50" t="s">
        <v>15586</v>
      </c>
      <c r="CL426" s="50" t="s">
        <v>15569</v>
      </c>
      <c r="CM426" s="50" t="s">
        <v>15570</v>
      </c>
      <c r="CN426" s="50" t="s">
        <v>15585</v>
      </c>
      <c r="CP426" s="50" t="s">
        <v>15587</v>
      </c>
      <c r="CQ426" s="50" t="s">
        <v>15587</v>
      </c>
      <c r="CR426" s="50" t="s">
        <v>26047</v>
      </c>
    </row>
    <row r="427" spans="1:96">
      <c r="A427" s="50" t="s">
        <v>149</v>
      </c>
      <c r="B427" s="50">
        <v>3347570</v>
      </c>
      <c r="C427" s="50" t="s">
        <v>11947</v>
      </c>
      <c r="D427" s="50" t="s">
        <v>5584</v>
      </c>
      <c r="E427" s="50" t="str">
        <f>VLOOKUP(B427,aa!B:F,5,0)</f>
        <v>Ei ASSET,Ei Mindspark</v>
      </c>
      <c r="F427" s="50">
        <f>VLOOKUP(B427,aa!B:J,9,0)</f>
        <v>0</v>
      </c>
      <c r="G427" s="50">
        <f>VLOOKUP(B427,aa!B:L,11,0)</f>
        <v>0</v>
      </c>
      <c r="H427" s="50">
        <f>VLOOKUP(B427,aa!B:O,14,0)</f>
        <v>0</v>
      </c>
      <c r="I427" s="50">
        <f>VLOOKUP(B427,aa!B:R,17,0)</f>
        <v>0</v>
      </c>
      <c r="K427" s="50" t="s">
        <v>193</v>
      </c>
      <c r="L427" s="50">
        <v>492901</v>
      </c>
      <c r="M427" s="50">
        <v>552462</v>
      </c>
      <c r="N427" s="50">
        <v>162005</v>
      </c>
      <c r="O427" s="50">
        <v>521</v>
      </c>
      <c r="P427" s="50" t="s">
        <v>195</v>
      </c>
      <c r="Q427" s="50">
        <v>0</v>
      </c>
      <c r="R427" s="50">
        <v>0</v>
      </c>
      <c r="T427" s="50">
        <v>330896</v>
      </c>
      <c r="U427" s="50">
        <v>521</v>
      </c>
      <c r="V427" s="50" t="s">
        <v>12956</v>
      </c>
      <c r="W427" s="50" t="s">
        <v>102</v>
      </c>
      <c r="X427" s="50" t="s">
        <v>103</v>
      </c>
      <c r="Y427" s="50" t="s">
        <v>104</v>
      </c>
      <c r="AA427" s="50" t="s">
        <v>11950</v>
      </c>
      <c r="AB427" s="50" t="s">
        <v>15651</v>
      </c>
      <c r="AC427" s="50" t="s">
        <v>15652</v>
      </c>
      <c r="AD427" s="50" t="s">
        <v>15651</v>
      </c>
      <c r="AE427" s="50" t="s">
        <v>109</v>
      </c>
      <c r="AF427" s="50" t="s">
        <v>102</v>
      </c>
      <c r="AG427" s="50" t="s">
        <v>109</v>
      </c>
      <c r="AH427" s="50" t="s">
        <v>102</v>
      </c>
      <c r="AI427" s="50" t="s">
        <v>15653</v>
      </c>
      <c r="AJ427" s="50" t="s">
        <v>11954</v>
      </c>
      <c r="AK427" s="50" t="s">
        <v>11954</v>
      </c>
      <c r="AL427" s="50" t="s">
        <v>15654</v>
      </c>
      <c r="AM427" s="50" t="s">
        <v>15655</v>
      </c>
      <c r="AN427" s="50" t="s">
        <v>15656</v>
      </c>
      <c r="AO427" s="50" t="s">
        <v>12962</v>
      </c>
      <c r="AP427" s="50" t="s">
        <v>12962</v>
      </c>
      <c r="AU427" s="50" t="s">
        <v>207</v>
      </c>
      <c r="AV427" s="50" t="s">
        <v>118</v>
      </c>
      <c r="AW427" s="50" t="s">
        <v>102</v>
      </c>
      <c r="AX427" s="50" t="s">
        <v>119</v>
      </c>
      <c r="BA427" s="50" t="s">
        <v>250</v>
      </c>
      <c r="BB427" s="50" t="s">
        <v>120</v>
      </c>
      <c r="BC427" s="50" t="s">
        <v>5591</v>
      </c>
      <c r="BD427" s="50" t="s">
        <v>211</v>
      </c>
      <c r="BE427" s="50" t="s">
        <v>212</v>
      </c>
      <c r="BF427" s="50" t="s">
        <v>213</v>
      </c>
      <c r="BG427" s="50" t="s">
        <v>124</v>
      </c>
      <c r="BH427" s="50" t="s">
        <v>11959</v>
      </c>
      <c r="BI427" s="50" t="s">
        <v>11960</v>
      </c>
      <c r="BJ427" s="50" t="s">
        <v>127</v>
      </c>
      <c r="BK427" s="50" t="s">
        <v>15657</v>
      </c>
      <c r="BL427" s="50" t="s">
        <v>5593</v>
      </c>
      <c r="BM427" s="50" t="s">
        <v>15658</v>
      </c>
      <c r="BN427" s="50" t="s">
        <v>11948</v>
      </c>
      <c r="BO427" s="50" t="s">
        <v>1880</v>
      </c>
      <c r="BP427" s="50" t="s">
        <v>7992</v>
      </c>
      <c r="BQ427" s="50" t="s">
        <v>1882</v>
      </c>
      <c r="BR427" s="50" t="s">
        <v>1883</v>
      </c>
      <c r="BS427" s="50" t="s">
        <v>222</v>
      </c>
      <c r="BU427" s="50" t="s">
        <v>15659</v>
      </c>
      <c r="BV427" s="50" t="s">
        <v>15660</v>
      </c>
      <c r="BW427" s="50" t="s">
        <v>138</v>
      </c>
      <c r="BX427" s="50" t="s">
        <v>225</v>
      </c>
      <c r="BY427" s="50" t="s">
        <v>226</v>
      </c>
      <c r="BZ427" s="50" t="s">
        <v>5596</v>
      </c>
      <c r="CA427" s="50" t="s">
        <v>15661</v>
      </c>
      <c r="CB427" s="50" t="s">
        <v>15662</v>
      </c>
      <c r="CC427" s="50" t="s">
        <v>15663</v>
      </c>
      <c r="CD427" s="50" t="s">
        <v>15664</v>
      </c>
      <c r="CE427" s="50" t="s">
        <v>15662</v>
      </c>
      <c r="CF427" s="50" t="s">
        <v>15663</v>
      </c>
      <c r="CG427" s="50" t="s">
        <v>102</v>
      </c>
      <c r="CH427" s="50" t="s">
        <v>5597</v>
      </c>
      <c r="CJ427" s="50" t="s">
        <v>5598</v>
      </c>
      <c r="CL427" s="50" t="s">
        <v>5591</v>
      </c>
      <c r="CM427" s="50" t="s">
        <v>211</v>
      </c>
      <c r="CN427" s="50" t="s">
        <v>5598</v>
      </c>
      <c r="CO427" s="50" t="s">
        <v>230</v>
      </c>
      <c r="CP427" s="50" t="s">
        <v>5597</v>
      </c>
      <c r="CQ427" s="50" t="s">
        <v>5597</v>
      </c>
    </row>
    <row r="428" spans="1:96">
      <c r="A428" s="50" t="s">
        <v>149</v>
      </c>
      <c r="B428" s="50">
        <v>3347647</v>
      </c>
      <c r="C428" s="50" t="s">
        <v>11947</v>
      </c>
      <c r="D428" s="50" t="s">
        <v>5599</v>
      </c>
      <c r="E428" s="50" t="str">
        <f>VLOOKUP(B428,aa!B:F,5,0)</f>
        <v>Ei ASSET,Ei Mindspark</v>
      </c>
      <c r="F428" s="50">
        <f>VLOOKUP(B428,aa!B:J,9,0)</f>
        <v>0</v>
      </c>
      <c r="G428" s="50">
        <f>VLOOKUP(B428,aa!B:L,11,0)</f>
        <v>0</v>
      </c>
      <c r="H428" s="50">
        <f>VLOOKUP(B428,aa!B:O,14,0)</f>
        <v>0</v>
      </c>
      <c r="I428" s="50">
        <f>VLOOKUP(B428,aa!B:R,17,0)</f>
        <v>0</v>
      </c>
      <c r="K428" s="50" t="s">
        <v>193</v>
      </c>
      <c r="L428" s="50">
        <v>686245</v>
      </c>
      <c r="M428" s="50">
        <v>769194</v>
      </c>
      <c r="N428" s="50">
        <v>225417</v>
      </c>
      <c r="O428" s="50">
        <v>725</v>
      </c>
      <c r="P428" s="50" t="s">
        <v>195</v>
      </c>
      <c r="Q428" s="50">
        <v>0</v>
      </c>
      <c r="R428" s="50">
        <v>0</v>
      </c>
      <c r="T428" s="50">
        <v>460828</v>
      </c>
      <c r="U428" s="50">
        <v>725</v>
      </c>
      <c r="V428" s="50" t="s">
        <v>11949</v>
      </c>
      <c r="W428" s="50" t="s">
        <v>102</v>
      </c>
      <c r="X428" s="50" t="s">
        <v>103</v>
      </c>
      <c r="Y428" s="50" t="s">
        <v>104</v>
      </c>
      <c r="AA428" s="50" t="s">
        <v>11950</v>
      </c>
      <c r="AB428" s="50" t="s">
        <v>15665</v>
      </c>
      <c r="AC428" s="50" t="s">
        <v>11952</v>
      </c>
      <c r="AD428" s="50" t="s">
        <v>15665</v>
      </c>
      <c r="AE428" s="50" t="s">
        <v>109</v>
      </c>
      <c r="AF428" s="50" t="s">
        <v>102</v>
      </c>
      <c r="AG428" s="50" t="s">
        <v>109</v>
      </c>
      <c r="AH428" s="50" t="s">
        <v>102</v>
      </c>
      <c r="AI428" s="50" t="s">
        <v>15666</v>
      </c>
      <c r="AJ428" s="50" t="s">
        <v>11954</v>
      </c>
      <c r="AK428" s="50" t="s">
        <v>11954</v>
      </c>
      <c r="AL428" s="50" t="s">
        <v>15667</v>
      </c>
      <c r="AM428" s="50" t="s">
        <v>15668</v>
      </c>
      <c r="AN428" s="50" t="s">
        <v>15669</v>
      </c>
      <c r="AO428" s="50" t="s">
        <v>15670</v>
      </c>
      <c r="AP428" s="50" t="s">
        <v>15670</v>
      </c>
      <c r="AU428" s="50" t="s">
        <v>207</v>
      </c>
      <c r="AV428" s="50" t="s">
        <v>118</v>
      </c>
      <c r="AW428" s="50" t="s">
        <v>102</v>
      </c>
      <c r="AX428" s="50" t="s">
        <v>119</v>
      </c>
      <c r="BA428" s="50" t="s">
        <v>250</v>
      </c>
      <c r="BB428" s="50" t="s">
        <v>120</v>
      </c>
      <c r="BC428" s="50" t="s">
        <v>5606</v>
      </c>
      <c r="BD428" s="50" t="s">
        <v>211</v>
      </c>
      <c r="BE428" s="50" t="s">
        <v>212</v>
      </c>
      <c r="BF428" s="50" t="s">
        <v>213</v>
      </c>
      <c r="BG428" s="50" t="s">
        <v>124</v>
      </c>
      <c r="BH428" s="50" t="s">
        <v>11959</v>
      </c>
      <c r="BI428" s="50" t="s">
        <v>11960</v>
      </c>
      <c r="BJ428" s="50" t="s">
        <v>127</v>
      </c>
      <c r="BK428" s="50" t="s">
        <v>15671</v>
      </c>
      <c r="BL428" s="50" t="s">
        <v>5608</v>
      </c>
      <c r="BM428" s="50" t="s">
        <v>15672</v>
      </c>
      <c r="BN428" s="50" t="s">
        <v>11948</v>
      </c>
      <c r="BO428" s="50" t="s">
        <v>1880</v>
      </c>
      <c r="BP428" s="50" t="s">
        <v>7992</v>
      </c>
      <c r="BQ428" s="50" t="s">
        <v>1882</v>
      </c>
      <c r="BR428" s="50" t="s">
        <v>1883</v>
      </c>
      <c r="BS428" s="50" t="s">
        <v>222</v>
      </c>
      <c r="BU428" s="50" t="s">
        <v>15673</v>
      </c>
      <c r="BV428" s="50" t="s">
        <v>12376</v>
      </c>
      <c r="BW428" s="50" t="s">
        <v>138</v>
      </c>
      <c r="BX428" s="50" t="s">
        <v>225</v>
      </c>
      <c r="BY428" s="50" t="s">
        <v>226</v>
      </c>
      <c r="BZ428" s="50" t="s">
        <v>5611</v>
      </c>
      <c r="CA428" s="50" t="s">
        <v>15674</v>
      </c>
      <c r="CB428" s="50" t="s">
        <v>15675</v>
      </c>
      <c r="CC428" s="50" t="s">
        <v>15676</v>
      </c>
      <c r="CD428" s="50" t="s">
        <v>15677</v>
      </c>
      <c r="CE428" s="50" t="s">
        <v>15678</v>
      </c>
      <c r="CF428" s="50" t="s">
        <v>15676</v>
      </c>
      <c r="CG428" s="50" t="s">
        <v>102</v>
      </c>
      <c r="CH428" s="50" t="s">
        <v>5612</v>
      </c>
      <c r="CJ428" s="50" t="s">
        <v>5613</v>
      </c>
      <c r="CL428" s="50" t="s">
        <v>5606</v>
      </c>
      <c r="CM428" s="50" t="s">
        <v>211</v>
      </c>
      <c r="CN428" s="50" t="s">
        <v>5613</v>
      </c>
      <c r="CO428" s="50" t="s">
        <v>230</v>
      </c>
      <c r="CP428" s="50" t="s">
        <v>5612</v>
      </c>
      <c r="CQ428" s="50" t="s">
        <v>5612</v>
      </c>
    </row>
    <row r="429" spans="1:96">
      <c r="A429" s="50" t="s">
        <v>149</v>
      </c>
      <c r="B429" s="50">
        <v>3347753</v>
      </c>
      <c r="C429" s="50" t="s">
        <v>11947</v>
      </c>
      <c r="D429" s="50" t="s">
        <v>5614</v>
      </c>
      <c r="E429" s="50" t="str">
        <f>VLOOKUP(B429,aa!B:F,5,0)</f>
        <v>Ei ASSET,Ei Mindspark</v>
      </c>
      <c r="F429" s="50">
        <f>VLOOKUP(B429,aa!B:J,9,0)</f>
        <v>0</v>
      </c>
      <c r="G429" s="50">
        <f>VLOOKUP(B429,aa!B:L,11,0)</f>
        <v>0</v>
      </c>
      <c r="H429" s="50">
        <f>VLOOKUP(B429,aa!B:O,14,0)</f>
        <v>0</v>
      </c>
      <c r="I429" s="50">
        <f>VLOOKUP(B429,aa!B:R,17,0)</f>
        <v>0</v>
      </c>
      <c r="K429" s="50" t="s">
        <v>193</v>
      </c>
      <c r="L429" s="50">
        <v>738445</v>
      </c>
      <c r="M429" s="50">
        <v>827687</v>
      </c>
      <c r="N429" s="50">
        <v>242658</v>
      </c>
      <c r="O429" s="50">
        <v>780</v>
      </c>
      <c r="P429" s="50" t="s">
        <v>195</v>
      </c>
      <c r="Q429" s="50">
        <v>0</v>
      </c>
      <c r="R429" s="50">
        <v>0</v>
      </c>
      <c r="T429" s="50">
        <v>495787</v>
      </c>
      <c r="U429" s="50">
        <v>780</v>
      </c>
      <c r="V429" s="50" t="s">
        <v>11949</v>
      </c>
      <c r="W429" s="50" t="s">
        <v>102</v>
      </c>
      <c r="X429" s="50" t="s">
        <v>103</v>
      </c>
      <c r="Y429" s="50" t="s">
        <v>104</v>
      </c>
      <c r="AA429" s="50" t="s">
        <v>11950</v>
      </c>
      <c r="AB429" s="50" t="s">
        <v>15679</v>
      </c>
      <c r="AC429" s="50" t="s">
        <v>11952</v>
      </c>
      <c r="AD429" s="50" t="s">
        <v>15679</v>
      </c>
      <c r="AE429" s="50" t="s">
        <v>109</v>
      </c>
      <c r="AF429" s="50" t="s">
        <v>102</v>
      </c>
      <c r="AG429" s="50" t="s">
        <v>109</v>
      </c>
      <c r="AH429" s="50" t="s">
        <v>102</v>
      </c>
      <c r="AI429" s="50" t="s">
        <v>15680</v>
      </c>
      <c r="AJ429" s="50" t="s">
        <v>11954</v>
      </c>
      <c r="AK429" s="50" t="s">
        <v>11954</v>
      </c>
      <c r="AL429" s="50" t="s">
        <v>15681</v>
      </c>
      <c r="AM429" s="50" t="s">
        <v>15682</v>
      </c>
      <c r="AN429" s="50" t="s">
        <v>15683</v>
      </c>
      <c r="AO429" s="50" t="s">
        <v>12372</v>
      </c>
      <c r="AP429" s="50" t="s">
        <v>12372</v>
      </c>
      <c r="AU429" s="50" t="s">
        <v>207</v>
      </c>
      <c r="AV429" s="50" t="s">
        <v>118</v>
      </c>
      <c r="AW429" s="50" t="s">
        <v>102</v>
      </c>
      <c r="AX429" s="50" t="s">
        <v>119</v>
      </c>
      <c r="BA429" s="50" t="s">
        <v>250</v>
      </c>
      <c r="BB429" s="50" t="s">
        <v>120</v>
      </c>
      <c r="BC429" s="50" t="s">
        <v>5622</v>
      </c>
      <c r="BD429" s="50" t="s">
        <v>211</v>
      </c>
      <c r="BE429" s="50" t="s">
        <v>212</v>
      </c>
      <c r="BF429" s="50" t="s">
        <v>213</v>
      </c>
      <c r="BG429" s="50" t="s">
        <v>124</v>
      </c>
      <c r="BH429" s="50" t="s">
        <v>11959</v>
      </c>
      <c r="BI429" s="50" t="s">
        <v>11960</v>
      </c>
      <c r="BJ429" s="50" t="s">
        <v>127</v>
      </c>
      <c r="BK429" s="50" t="s">
        <v>15684</v>
      </c>
      <c r="BL429" s="50" t="s">
        <v>5624</v>
      </c>
      <c r="BM429" s="50" t="s">
        <v>15685</v>
      </c>
      <c r="BN429" s="50" t="s">
        <v>11948</v>
      </c>
      <c r="BO429" s="50" t="s">
        <v>1880</v>
      </c>
      <c r="BP429" s="50" t="s">
        <v>7992</v>
      </c>
      <c r="BQ429" s="50" t="s">
        <v>1882</v>
      </c>
      <c r="BR429" s="50" t="s">
        <v>1883</v>
      </c>
      <c r="BS429" s="50" t="s">
        <v>222</v>
      </c>
      <c r="BU429" s="50" t="s">
        <v>15686</v>
      </c>
      <c r="BV429" s="50" t="s">
        <v>224</v>
      </c>
      <c r="BW429" s="50" t="s">
        <v>138</v>
      </c>
      <c r="BX429" s="50" t="s">
        <v>225</v>
      </c>
      <c r="BY429" s="50" t="s">
        <v>226</v>
      </c>
      <c r="BZ429" s="50" t="s">
        <v>5627</v>
      </c>
      <c r="CA429" s="50" t="s">
        <v>15687</v>
      </c>
      <c r="CB429" s="50" t="s">
        <v>15688</v>
      </c>
      <c r="CC429" s="50" t="s">
        <v>15689</v>
      </c>
      <c r="CD429" s="50" t="s">
        <v>15690</v>
      </c>
      <c r="CE429" s="50" t="s">
        <v>225</v>
      </c>
      <c r="CF429" s="50" t="s">
        <v>15689</v>
      </c>
      <c r="CG429" s="50" t="s">
        <v>102</v>
      </c>
      <c r="CH429" s="50" t="s">
        <v>5628</v>
      </c>
      <c r="CJ429" s="50" t="s">
        <v>5629</v>
      </c>
      <c r="CL429" s="50" t="s">
        <v>5622</v>
      </c>
      <c r="CM429" s="50" t="s">
        <v>211</v>
      </c>
      <c r="CN429" s="50" t="s">
        <v>5629</v>
      </c>
      <c r="CO429" s="50" t="s">
        <v>230</v>
      </c>
      <c r="CP429" s="50" t="s">
        <v>5628</v>
      </c>
      <c r="CQ429" s="50" t="s">
        <v>5628</v>
      </c>
    </row>
    <row r="430" spans="1:96">
      <c r="A430" s="50" t="s">
        <v>149</v>
      </c>
      <c r="B430" s="50">
        <v>3347883</v>
      </c>
      <c r="C430" s="50" t="s">
        <v>11947</v>
      </c>
      <c r="D430" s="50" t="s">
        <v>5630</v>
      </c>
      <c r="E430" s="50" t="str">
        <f>VLOOKUP(B430,aa!B:F,5,0)</f>
        <v>Ei ASSET,Ei Mindspark</v>
      </c>
      <c r="F430" s="50">
        <f>VLOOKUP(B430,aa!B:J,9,0)</f>
        <v>0</v>
      </c>
      <c r="G430" s="50">
        <f>VLOOKUP(B430,aa!B:L,11,0)</f>
        <v>0</v>
      </c>
      <c r="H430" s="50">
        <f>VLOOKUP(B430,aa!B:O,14,0)</f>
        <v>0</v>
      </c>
      <c r="I430" s="50">
        <f>VLOOKUP(B430,aa!B:R,17,0)</f>
        <v>0</v>
      </c>
      <c r="K430" s="50" t="s">
        <v>193</v>
      </c>
      <c r="L430" s="50">
        <v>555640</v>
      </c>
      <c r="M430" s="50">
        <v>622800</v>
      </c>
      <c r="N430" s="50">
        <v>182528</v>
      </c>
      <c r="O430" s="50">
        <v>587</v>
      </c>
      <c r="P430" s="50" t="s">
        <v>195</v>
      </c>
      <c r="Q430" s="50">
        <v>0</v>
      </c>
      <c r="R430" s="50">
        <v>0</v>
      </c>
      <c r="T430" s="50">
        <v>373112</v>
      </c>
      <c r="U430" s="50">
        <v>587</v>
      </c>
      <c r="V430" s="50" t="s">
        <v>11949</v>
      </c>
      <c r="W430" s="50" t="s">
        <v>102</v>
      </c>
      <c r="X430" s="50" t="s">
        <v>103</v>
      </c>
      <c r="Y430" s="50" t="s">
        <v>104</v>
      </c>
      <c r="AA430" s="50" t="s">
        <v>11950</v>
      </c>
      <c r="AB430" s="50" t="s">
        <v>15691</v>
      </c>
      <c r="AC430" s="50" t="s">
        <v>11952</v>
      </c>
      <c r="AD430" s="50" t="s">
        <v>15691</v>
      </c>
      <c r="AE430" s="50" t="s">
        <v>109</v>
      </c>
      <c r="AF430" s="50" t="s">
        <v>102</v>
      </c>
      <c r="AG430" s="50" t="s">
        <v>109</v>
      </c>
      <c r="AH430" s="50" t="s">
        <v>102</v>
      </c>
      <c r="AI430" s="50" t="s">
        <v>15692</v>
      </c>
      <c r="AJ430" s="50" t="s">
        <v>11954</v>
      </c>
      <c r="AK430" s="50" t="s">
        <v>11954</v>
      </c>
      <c r="AL430" s="50" t="s">
        <v>15693</v>
      </c>
      <c r="AM430" s="50" t="s">
        <v>15694</v>
      </c>
      <c r="AN430" s="50" t="s">
        <v>15695</v>
      </c>
      <c r="AO430" s="50" t="s">
        <v>11958</v>
      </c>
      <c r="AP430" s="50" t="s">
        <v>11958</v>
      </c>
      <c r="AU430" s="50" t="s">
        <v>207</v>
      </c>
      <c r="AV430" s="50" t="s">
        <v>118</v>
      </c>
      <c r="AW430" s="50" t="s">
        <v>102</v>
      </c>
      <c r="AX430" s="50" t="s">
        <v>119</v>
      </c>
      <c r="BA430" s="50" t="s">
        <v>250</v>
      </c>
      <c r="BB430" s="50" t="s">
        <v>209</v>
      </c>
      <c r="BC430" s="50" t="s">
        <v>5637</v>
      </c>
      <c r="BD430" s="50" t="s">
        <v>211</v>
      </c>
      <c r="BE430" s="50" t="s">
        <v>212</v>
      </c>
      <c r="BF430" s="50" t="s">
        <v>213</v>
      </c>
      <c r="BG430" s="50" t="s">
        <v>124</v>
      </c>
      <c r="BH430" s="50" t="s">
        <v>11959</v>
      </c>
      <c r="BI430" s="50" t="s">
        <v>11960</v>
      </c>
      <c r="BJ430" s="50" t="s">
        <v>127</v>
      </c>
      <c r="BK430" s="50" t="s">
        <v>15696</v>
      </c>
      <c r="BL430" s="50" t="s">
        <v>5639</v>
      </c>
      <c r="BM430" s="50" t="s">
        <v>15697</v>
      </c>
      <c r="BN430" s="50" t="s">
        <v>11948</v>
      </c>
      <c r="BO430" s="50" t="s">
        <v>1880</v>
      </c>
      <c r="BP430" s="50" t="s">
        <v>7992</v>
      </c>
      <c r="BQ430" s="50" t="s">
        <v>1882</v>
      </c>
      <c r="BR430" s="50" t="s">
        <v>1883</v>
      </c>
      <c r="BS430" s="50" t="s">
        <v>222</v>
      </c>
      <c r="BU430" s="50" t="s">
        <v>15698</v>
      </c>
      <c r="BV430" s="50" t="s">
        <v>15699</v>
      </c>
      <c r="BW430" s="50" t="s">
        <v>138</v>
      </c>
      <c r="BX430" s="50" t="s">
        <v>225</v>
      </c>
      <c r="BY430" s="50" t="s">
        <v>226</v>
      </c>
      <c r="BZ430" s="50" t="s">
        <v>5642</v>
      </c>
      <c r="CA430" s="50" t="s">
        <v>15700</v>
      </c>
      <c r="CB430" s="50" t="s">
        <v>15701</v>
      </c>
      <c r="CC430" s="50" t="s">
        <v>15702</v>
      </c>
      <c r="CD430" s="50" t="s">
        <v>15703</v>
      </c>
      <c r="CE430" s="50" t="s">
        <v>15704</v>
      </c>
      <c r="CF430" s="50" t="s">
        <v>15702</v>
      </c>
      <c r="CG430" s="50" t="s">
        <v>102</v>
      </c>
      <c r="CH430" s="50" t="s">
        <v>5643</v>
      </c>
      <c r="CJ430" s="50" t="s">
        <v>5644</v>
      </c>
      <c r="CL430" s="50" t="s">
        <v>5637</v>
      </c>
      <c r="CM430" s="50" t="s">
        <v>211</v>
      </c>
      <c r="CN430" s="50" t="s">
        <v>5644</v>
      </c>
      <c r="CO430" s="50" t="s">
        <v>230</v>
      </c>
      <c r="CP430" s="50" t="s">
        <v>5643</v>
      </c>
      <c r="CQ430" s="50" t="s">
        <v>5643</v>
      </c>
    </row>
    <row r="431" spans="1:96">
      <c r="A431" s="50" t="s">
        <v>149</v>
      </c>
      <c r="B431" s="50">
        <v>3370385</v>
      </c>
      <c r="C431" s="50" t="s">
        <v>11947</v>
      </c>
      <c r="D431" s="50" t="s">
        <v>5713</v>
      </c>
      <c r="E431" s="50" t="str">
        <f>VLOOKUP(B431,aa!B:F,5,0)</f>
        <v>Ei ASSET,Ei Mindspark</v>
      </c>
      <c r="F431" s="50">
        <f>VLOOKUP(B431,aa!B:J,9,0)</f>
        <v>0</v>
      </c>
      <c r="G431" s="50">
        <f>VLOOKUP(B431,aa!B:L,11,0)</f>
        <v>0</v>
      </c>
      <c r="H431" s="50">
        <f>VLOOKUP(B431,aa!B:O,14,0)</f>
        <v>0</v>
      </c>
      <c r="I431" s="50">
        <f>VLOOKUP(B431,aa!B:R,17,0)</f>
        <v>0</v>
      </c>
      <c r="K431" s="50" t="s">
        <v>193</v>
      </c>
      <c r="L431" s="50">
        <v>713334</v>
      </c>
      <c r="M431" s="50">
        <v>799532</v>
      </c>
      <c r="N431" s="50">
        <v>234456</v>
      </c>
      <c r="O431" s="50">
        <v>754</v>
      </c>
      <c r="P431" s="50" t="s">
        <v>195</v>
      </c>
      <c r="Q431" s="50">
        <v>0</v>
      </c>
      <c r="R431" s="50">
        <v>0</v>
      </c>
      <c r="T431" s="50">
        <v>478878</v>
      </c>
      <c r="U431" s="50">
        <v>754</v>
      </c>
      <c r="V431" s="50" t="s">
        <v>12956</v>
      </c>
      <c r="W431" s="50" t="s">
        <v>102</v>
      </c>
      <c r="X431" s="50" t="s">
        <v>103</v>
      </c>
      <c r="Y431" s="50" t="s">
        <v>104</v>
      </c>
      <c r="AA431" s="50" t="s">
        <v>11950</v>
      </c>
      <c r="AB431" s="50" t="s">
        <v>15740</v>
      </c>
      <c r="AC431" s="50" t="s">
        <v>11952</v>
      </c>
      <c r="AD431" s="50" t="s">
        <v>15740</v>
      </c>
      <c r="AE431" s="50" t="s">
        <v>109</v>
      </c>
      <c r="AF431" s="50" t="s">
        <v>102</v>
      </c>
      <c r="AG431" s="50" t="s">
        <v>109</v>
      </c>
      <c r="AH431" s="50" t="s">
        <v>102</v>
      </c>
      <c r="AI431" s="50" t="s">
        <v>15741</v>
      </c>
      <c r="AJ431" s="50" t="s">
        <v>11954</v>
      </c>
      <c r="AK431" s="50" t="s">
        <v>11954</v>
      </c>
      <c r="AL431" s="50" t="s">
        <v>15742</v>
      </c>
      <c r="AM431" s="50" t="s">
        <v>15743</v>
      </c>
      <c r="AN431" s="50" t="s">
        <v>15744</v>
      </c>
      <c r="AO431" s="50" t="s">
        <v>12962</v>
      </c>
      <c r="AP431" s="50" t="s">
        <v>12962</v>
      </c>
      <c r="AU431" s="50" t="s">
        <v>207</v>
      </c>
      <c r="AV431" s="50" t="s">
        <v>118</v>
      </c>
      <c r="AW431" s="50" t="s">
        <v>102</v>
      </c>
      <c r="AX431" s="50" t="s">
        <v>119</v>
      </c>
      <c r="BA431" s="50" t="s">
        <v>250</v>
      </c>
      <c r="BB431" s="50" t="s">
        <v>120</v>
      </c>
      <c r="BC431" s="50" t="s">
        <v>5720</v>
      </c>
      <c r="BD431" s="50" t="s">
        <v>211</v>
      </c>
      <c r="BE431" s="50" t="s">
        <v>212</v>
      </c>
      <c r="BF431" s="50" t="s">
        <v>213</v>
      </c>
      <c r="BG431" s="50" t="s">
        <v>124</v>
      </c>
      <c r="BH431" s="50" t="s">
        <v>11959</v>
      </c>
      <c r="BI431" s="50" t="s">
        <v>11960</v>
      </c>
      <c r="BJ431" s="50" t="s">
        <v>127</v>
      </c>
      <c r="BK431" s="50" t="s">
        <v>15745</v>
      </c>
      <c r="BL431" s="50" t="s">
        <v>5722</v>
      </c>
      <c r="BM431" s="50" t="s">
        <v>15746</v>
      </c>
      <c r="BN431" s="50" t="s">
        <v>11948</v>
      </c>
      <c r="BO431" s="50" t="s">
        <v>1880</v>
      </c>
      <c r="BP431" s="50" t="s">
        <v>7992</v>
      </c>
      <c r="BQ431" s="50" t="s">
        <v>1882</v>
      </c>
      <c r="BR431" s="50" t="s">
        <v>1883</v>
      </c>
      <c r="BS431" s="50" t="s">
        <v>222</v>
      </c>
      <c r="BU431" s="50" t="s">
        <v>15747</v>
      </c>
      <c r="BV431" s="50" t="s">
        <v>15748</v>
      </c>
      <c r="BW431" s="50" t="s">
        <v>138</v>
      </c>
      <c r="BX431" s="50" t="s">
        <v>225</v>
      </c>
      <c r="BY431" s="50" t="s">
        <v>226</v>
      </c>
      <c r="BZ431" s="50" t="s">
        <v>5725</v>
      </c>
      <c r="CA431" s="50" t="s">
        <v>15749</v>
      </c>
      <c r="CB431" s="50" t="s">
        <v>15750</v>
      </c>
      <c r="CC431" s="50" t="s">
        <v>15751</v>
      </c>
      <c r="CD431" s="50" t="s">
        <v>15752</v>
      </c>
      <c r="CE431" s="50" t="s">
        <v>15750</v>
      </c>
      <c r="CF431" s="50" t="s">
        <v>15751</v>
      </c>
      <c r="CG431" s="50" t="s">
        <v>102</v>
      </c>
      <c r="CH431" s="50" t="s">
        <v>5726</v>
      </c>
      <c r="CJ431" s="50" t="s">
        <v>5727</v>
      </c>
      <c r="CL431" s="50" t="s">
        <v>5720</v>
      </c>
      <c r="CM431" s="50" t="s">
        <v>211</v>
      </c>
      <c r="CN431" s="50" t="s">
        <v>5727</v>
      </c>
      <c r="CO431" s="50" t="s">
        <v>230</v>
      </c>
      <c r="CP431" s="50" t="s">
        <v>5726</v>
      </c>
      <c r="CQ431" s="50" t="s">
        <v>5726</v>
      </c>
    </row>
    <row r="432" spans="1:96">
      <c r="A432" s="50" t="s">
        <v>149</v>
      </c>
      <c r="B432" s="50">
        <v>3552349</v>
      </c>
      <c r="C432" s="50" t="s">
        <v>418</v>
      </c>
      <c r="D432" s="50" t="s">
        <v>16432</v>
      </c>
      <c r="E432" s="50" t="str">
        <f>VLOOKUP(B432,aa!B:F,5,0)</f>
        <v>Ei CARES</v>
      </c>
      <c r="F432" s="50">
        <f>VLOOKUP(B432,aa!B:J,9,0)</f>
        <v>1828750</v>
      </c>
      <c r="G432" s="50">
        <f>VLOOKUP(B432,aa!B:L,11,0)</f>
        <v>0</v>
      </c>
      <c r="H432" s="50">
        <f>VLOOKUP(B432,aa!B:O,14,0)</f>
        <v>1828750</v>
      </c>
      <c r="I432" s="50">
        <f>VLOOKUP(B432,aa!B:R,17,0)</f>
        <v>0</v>
      </c>
      <c r="K432" s="50" t="s">
        <v>152</v>
      </c>
      <c r="L432" s="50">
        <v>1772038</v>
      </c>
      <c r="M432" s="50">
        <v>1772038</v>
      </c>
      <c r="N432" s="50">
        <v>0</v>
      </c>
      <c r="O432" s="50">
        <v>0</v>
      </c>
      <c r="Q432" s="50">
        <v>1772038</v>
      </c>
      <c r="R432" s="50">
        <v>533</v>
      </c>
      <c r="S432" s="50" t="s">
        <v>16433</v>
      </c>
      <c r="T432" s="50">
        <v>0</v>
      </c>
      <c r="U432" s="50">
        <v>0</v>
      </c>
      <c r="W432" s="50" t="s">
        <v>102</v>
      </c>
      <c r="X432" s="50" t="s">
        <v>103</v>
      </c>
      <c r="Y432" s="50" t="s">
        <v>155</v>
      </c>
      <c r="AA432" s="50" t="s">
        <v>16434</v>
      </c>
      <c r="AB432" s="50" t="s">
        <v>16435</v>
      </c>
      <c r="AC432" s="50" t="s">
        <v>11999</v>
      </c>
      <c r="AD432" s="50" t="s">
        <v>16435</v>
      </c>
      <c r="AE432" s="50" t="s">
        <v>13833</v>
      </c>
      <c r="AF432" s="50" t="s">
        <v>16435</v>
      </c>
      <c r="AG432" s="50" t="s">
        <v>16436</v>
      </c>
      <c r="AH432" s="50" t="s">
        <v>16435</v>
      </c>
      <c r="AI432" s="50" t="s">
        <v>102</v>
      </c>
      <c r="AJ432" s="50" t="s">
        <v>15221</v>
      </c>
      <c r="AK432" s="50" t="s">
        <v>13964</v>
      </c>
      <c r="AL432" s="50" t="s">
        <v>16437</v>
      </c>
      <c r="AM432" s="50" t="s">
        <v>16438</v>
      </c>
      <c r="AN432" s="50" t="s">
        <v>16439</v>
      </c>
      <c r="AO432" s="50" t="s">
        <v>16440</v>
      </c>
      <c r="AP432" s="50" t="s">
        <v>16440</v>
      </c>
      <c r="AU432" s="50" t="s">
        <v>102</v>
      </c>
      <c r="AW432" s="50" t="s">
        <v>155</v>
      </c>
      <c r="AX432" s="50" t="s">
        <v>119</v>
      </c>
      <c r="AY432" s="50" t="s">
        <v>170</v>
      </c>
      <c r="AZ432" s="50" t="s">
        <v>118</v>
      </c>
      <c r="BB432" s="50" t="s">
        <v>120</v>
      </c>
      <c r="BC432" s="50" t="s">
        <v>409</v>
      </c>
      <c r="BD432" s="50" t="s">
        <v>410</v>
      </c>
      <c r="BE432" s="50" t="s">
        <v>212</v>
      </c>
      <c r="BF432" s="50" t="s">
        <v>410</v>
      </c>
      <c r="BG432" s="50" t="s">
        <v>124</v>
      </c>
      <c r="BH432" s="50" t="s">
        <v>11948</v>
      </c>
      <c r="BI432" s="50" t="s">
        <v>11889</v>
      </c>
      <c r="BJ432" s="50" t="s">
        <v>127</v>
      </c>
      <c r="BK432" s="50" t="s">
        <v>16441</v>
      </c>
      <c r="BL432" s="50" t="s">
        <v>6660</v>
      </c>
      <c r="BM432" s="50" t="s">
        <v>16442</v>
      </c>
      <c r="BN432" s="50" t="s">
        <v>11948</v>
      </c>
      <c r="BO432" s="50" t="s">
        <v>415</v>
      </c>
      <c r="BP432" s="50" t="s">
        <v>180</v>
      </c>
      <c r="BQ432" s="50" t="s">
        <v>416</v>
      </c>
      <c r="BR432" s="50" t="s">
        <v>417</v>
      </c>
      <c r="BS432" s="50" t="s">
        <v>222</v>
      </c>
      <c r="BU432" s="50" t="s">
        <v>16443</v>
      </c>
      <c r="BV432" s="50" t="s">
        <v>6666</v>
      </c>
      <c r="BW432" s="50" t="s">
        <v>354</v>
      </c>
      <c r="BX432" s="50" t="s">
        <v>6667</v>
      </c>
      <c r="BY432" s="50" t="s">
        <v>16444</v>
      </c>
      <c r="BZ432" s="50" t="s">
        <v>6667</v>
      </c>
      <c r="CA432" s="50" t="s">
        <v>16445</v>
      </c>
      <c r="CB432" s="50" t="s">
        <v>16446</v>
      </c>
      <c r="CC432" s="50" t="s">
        <v>16444</v>
      </c>
      <c r="CD432" s="50" t="s">
        <v>16445</v>
      </c>
      <c r="CE432" s="50" t="s">
        <v>16446</v>
      </c>
      <c r="CF432" s="50" t="s">
        <v>16444</v>
      </c>
      <c r="CG432" s="50" t="s">
        <v>907</v>
      </c>
      <c r="CH432" s="50" t="s">
        <v>6670</v>
      </c>
      <c r="CJ432" s="50" t="s">
        <v>6671</v>
      </c>
      <c r="CK432" s="50" t="s">
        <v>6670</v>
      </c>
      <c r="CL432" s="50" t="s">
        <v>409</v>
      </c>
      <c r="CM432" s="50" t="s">
        <v>410</v>
      </c>
      <c r="CN432" s="50" t="s">
        <v>6671</v>
      </c>
      <c r="CP432" s="50" t="s">
        <v>6670</v>
      </c>
      <c r="CQ432" s="50" t="s">
        <v>6670</v>
      </c>
      <c r="CR432" s="50" t="s">
        <v>26045</v>
      </c>
    </row>
    <row r="433" spans="1:96">
      <c r="A433" s="50" t="s">
        <v>149</v>
      </c>
      <c r="B433" s="50">
        <v>3837686</v>
      </c>
      <c r="C433" s="50" t="s">
        <v>11947</v>
      </c>
      <c r="D433" s="50" t="s">
        <v>7631</v>
      </c>
      <c r="E433" s="50" t="str">
        <f>VLOOKUP(B433,aa!B:F,5,0)</f>
        <v>Ei ASSET,Ei Mindspark</v>
      </c>
      <c r="F433" s="50">
        <f>VLOOKUP(B433,aa!B:J,9,0)</f>
        <v>0</v>
      </c>
      <c r="G433" s="50">
        <f>VLOOKUP(B433,aa!B:L,11,0)</f>
        <v>0</v>
      </c>
      <c r="H433" s="50">
        <f>VLOOKUP(B433,aa!B:O,14,0)</f>
        <v>0</v>
      </c>
      <c r="I433" s="50">
        <f>VLOOKUP(B433,aa!B:R,17,0)</f>
        <v>0</v>
      </c>
      <c r="K433" s="50" t="s">
        <v>193</v>
      </c>
      <c r="L433" s="50">
        <v>473287</v>
      </c>
      <c r="M433" s="50">
        <v>530493</v>
      </c>
      <c r="N433" s="50">
        <v>155475</v>
      </c>
      <c r="O433" s="50">
        <v>500</v>
      </c>
      <c r="P433" s="50" t="s">
        <v>195</v>
      </c>
      <c r="Q433" s="50">
        <v>0</v>
      </c>
      <c r="R433" s="50">
        <v>0</v>
      </c>
      <c r="T433" s="50">
        <v>317812</v>
      </c>
      <c r="U433" s="50">
        <v>500</v>
      </c>
      <c r="V433" s="50" t="s">
        <v>11949</v>
      </c>
      <c r="W433" s="50" t="s">
        <v>102</v>
      </c>
      <c r="X433" s="50" t="s">
        <v>103</v>
      </c>
      <c r="Y433" s="50" t="s">
        <v>104</v>
      </c>
      <c r="AA433" s="50" t="s">
        <v>11950</v>
      </c>
      <c r="AB433" s="50" t="s">
        <v>17098</v>
      </c>
      <c r="AC433" s="50" t="s">
        <v>11952</v>
      </c>
      <c r="AD433" s="50" t="s">
        <v>17098</v>
      </c>
      <c r="AE433" s="50" t="s">
        <v>109</v>
      </c>
      <c r="AF433" s="50" t="s">
        <v>102</v>
      </c>
      <c r="AG433" s="50" t="s">
        <v>109</v>
      </c>
      <c r="AH433" s="50" t="s">
        <v>102</v>
      </c>
      <c r="AI433" s="50" t="s">
        <v>17099</v>
      </c>
      <c r="AJ433" s="50" t="s">
        <v>11954</v>
      </c>
      <c r="AK433" s="50" t="s">
        <v>11954</v>
      </c>
      <c r="AL433" s="50" t="s">
        <v>17100</v>
      </c>
      <c r="AM433" s="50" t="s">
        <v>17101</v>
      </c>
      <c r="AN433" s="50" t="s">
        <v>17102</v>
      </c>
      <c r="AO433" s="50" t="s">
        <v>11958</v>
      </c>
      <c r="AP433" s="50" t="s">
        <v>11958</v>
      </c>
      <c r="AU433" s="50" t="s">
        <v>207</v>
      </c>
      <c r="AV433" s="50" t="s">
        <v>118</v>
      </c>
      <c r="AW433" s="50" t="s">
        <v>102</v>
      </c>
      <c r="AX433" s="50" t="s">
        <v>119</v>
      </c>
      <c r="BA433" s="50" t="s">
        <v>250</v>
      </c>
      <c r="BB433" s="50" t="s">
        <v>120</v>
      </c>
      <c r="BC433" s="50" t="s">
        <v>5637</v>
      </c>
      <c r="BD433" s="50" t="s">
        <v>211</v>
      </c>
      <c r="BE433" s="50" t="s">
        <v>212</v>
      </c>
      <c r="BF433" s="50" t="s">
        <v>213</v>
      </c>
      <c r="BG433" s="50" t="s">
        <v>124</v>
      </c>
      <c r="BH433" s="50" t="s">
        <v>11959</v>
      </c>
      <c r="BI433" s="50" t="s">
        <v>11960</v>
      </c>
      <c r="BJ433" s="50" t="s">
        <v>127</v>
      </c>
      <c r="BK433" s="50" t="s">
        <v>17103</v>
      </c>
      <c r="BL433" s="50" t="s">
        <v>7639</v>
      </c>
      <c r="BM433" s="50" t="s">
        <v>17104</v>
      </c>
      <c r="BN433" s="50" t="s">
        <v>11948</v>
      </c>
      <c r="BO433" s="50" t="s">
        <v>1880</v>
      </c>
      <c r="BP433" s="50" t="s">
        <v>7992</v>
      </c>
      <c r="BQ433" s="50" t="s">
        <v>1882</v>
      </c>
      <c r="BR433" s="50" t="s">
        <v>1883</v>
      </c>
      <c r="BS433" s="50" t="s">
        <v>222</v>
      </c>
      <c r="BU433" s="50" t="s">
        <v>17105</v>
      </c>
      <c r="BV433" s="50" t="s">
        <v>224</v>
      </c>
      <c r="BW433" s="50" t="s">
        <v>138</v>
      </c>
      <c r="BX433" s="50" t="s">
        <v>225</v>
      </c>
      <c r="BY433" s="50" t="s">
        <v>226</v>
      </c>
      <c r="BZ433" s="50" t="s">
        <v>7642</v>
      </c>
      <c r="CA433" s="50" t="s">
        <v>17106</v>
      </c>
      <c r="CB433" s="50" t="s">
        <v>17107</v>
      </c>
      <c r="CC433" s="50" t="s">
        <v>17108</v>
      </c>
      <c r="CD433" s="50" t="s">
        <v>17109</v>
      </c>
      <c r="CE433" s="50" t="s">
        <v>17107</v>
      </c>
      <c r="CF433" s="50" t="s">
        <v>17108</v>
      </c>
      <c r="CG433" s="50" t="s">
        <v>102</v>
      </c>
      <c r="CH433" s="50" t="s">
        <v>7643</v>
      </c>
      <c r="CJ433" s="50" t="s">
        <v>7644</v>
      </c>
      <c r="CL433" s="50" t="s">
        <v>5637</v>
      </c>
      <c r="CM433" s="50" t="s">
        <v>211</v>
      </c>
      <c r="CN433" s="50" t="s">
        <v>7644</v>
      </c>
      <c r="CO433" s="50" t="s">
        <v>230</v>
      </c>
      <c r="CP433" s="50" t="s">
        <v>7643</v>
      </c>
      <c r="CQ433" s="50" t="s">
        <v>7643</v>
      </c>
    </row>
    <row r="434" spans="1:96">
      <c r="A434" s="50" t="s">
        <v>149</v>
      </c>
      <c r="B434" s="50">
        <v>3886024</v>
      </c>
      <c r="C434" s="50" t="s">
        <v>11947</v>
      </c>
      <c r="D434" s="50" t="s">
        <v>17247</v>
      </c>
      <c r="E434" s="50" t="str">
        <f>VLOOKUP(B434,aa!B:F,5,0)</f>
        <v>Ei ASSET,Ei Mindspark</v>
      </c>
      <c r="F434" s="50">
        <f>VLOOKUP(B434,aa!B:J,9,0)</f>
        <v>0</v>
      </c>
      <c r="G434" s="50">
        <f>VLOOKUP(B434,aa!B:L,11,0)</f>
        <v>0</v>
      </c>
      <c r="H434" s="50">
        <f>VLOOKUP(B434,aa!B:O,14,0)</f>
        <v>0</v>
      </c>
      <c r="I434" s="50">
        <f>VLOOKUP(B434,aa!B:R,17,0)</f>
        <v>0</v>
      </c>
      <c r="K434" s="50" t="s">
        <v>193</v>
      </c>
      <c r="L434" s="50">
        <v>246109</v>
      </c>
      <c r="M434" s="50">
        <v>275856</v>
      </c>
      <c r="N434" s="50">
        <v>80847</v>
      </c>
      <c r="O434" s="50">
        <v>260</v>
      </c>
      <c r="P434" s="50" t="s">
        <v>195</v>
      </c>
      <c r="Q434" s="50">
        <v>0</v>
      </c>
      <c r="R434" s="50">
        <v>0</v>
      </c>
      <c r="T434" s="50">
        <v>165262</v>
      </c>
      <c r="U434" s="50">
        <v>260</v>
      </c>
      <c r="V434" s="50" t="s">
        <v>11949</v>
      </c>
      <c r="W434" s="50" t="s">
        <v>102</v>
      </c>
      <c r="X434" s="50" t="s">
        <v>103</v>
      </c>
      <c r="Y434" s="50" t="s">
        <v>104</v>
      </c>
      <c r="AA434" s="50" t="s">
        <v>11950</v>
      </c>
      <c r="AB434" s="50" t="s">
        <v>17248</v>
      </c>
      <c r="AC434" s="50" t="s">
        <v>11952</v>
      </c>
      <c r="AD434" s="50" t="s">
        <v>17248</v>
      </c>
      <c r="AE434" s="50" t="s">
        <v>109</v>
      </c>
      <c r="AF434" s="50" t="s">
        <v>102</v>
      </c>
      <c r="AG434" s="50" t="s">
        <v>109</v>
      </c>
      <c r="AH434" s="50" t="s">
        <v>102</v>
      </c>
      <c r="AI434" s="50" t="s">
        <v>17249</v>
      </c>
      <c r="AJ434" s="50" t="s">
        <v>11954</v>
      </c>
      <c r="AK434" s="50" t="s">
        <v>11954</v>
      </c>
      <c r="AL434" s="50" t="s">
        <v>17250</v>
      </c>
      <c r="AM434" s="50" t="s">
        <v>17251</v>
      </c>
      <c r="AN434" s="50" t="s">
        <v>17252</v>
      </c>
      <c r="AO434" s="50" t="s">
        <v>11958</v>
      </c>
      <c r="AP434" s="50" t="s">
        <v>11958</v>
      </c>
      <c r="AU434" s="50" t="s">
        <v>207</v>
      </c>
      <c r="AV434" s="50" t="s">
        <v>118</v>
      </c>
      <c r="AW434" s="50" t="s">
        <v>102</v>
      </c>
      <c r="AX434" s="50" t="s">
        <v>119</v>
      </c>
      <c r="BA434" s="50" t="s">
        <v>250</v>
      </c>
      <c r="BB434" s="50" t="s">
        <v>209</v>
      </c>
      <c r="BC434" s="50" t="s">
        <v>920</v>
      </c>
      <c r="BD434" s="50" t="s">
        <v>211</v>
      </c>
      <c r="BE434" s="50" t="s">
        <v>212</v>
      </c>
      <c r="BF434" s="50" t="s">
        <v>213</v>
      </c>
      <c r="BG434" s="50" t="s">
        <v>124</v>
      </c>
      <c r="BH434" s="50" t="s">
        <v>11959</v>
      </c>
      <c r="BI434" s="50" t="s">
        <v>11960</v>
      </c>
      <c r="BJ434" s="50" t="s">
        <v>127</v>
      </c>
      <c r="BK434" s="50" t="s">
        <v>17253</v>
      </c>
      <c r="BL434" s="50" t="s">
        <v>7821</v>
      </c>
      <c r="BM434" s="50" t="s">
        <v>17254</v>
      </c>
      <c r="BN434" s="50" t="s">
        <v>11948</v>
      </c>
      <c r="BO434" s="50" t="s">
        <v>1880</v>
      </c>
      <c r="BP434" s="50" t="s">
        <v>7992</v>
      </c>
      <c r="BQ434" s="50" t="s">
        <v>1882</v>
      </c>
      <c r="BR434" s="50" t="s">
        <v>1883</v>
      </c>
      <c r="BS434" s="50" t="s">
        <v>222</v>
      </c>
      <c r="BU434" s="50" t="s">
        <v>17255</v>
      </c>
      <c r="BV434" s="50" t="s">
        <v>224</v>
      </c>
      <c r="BW434" s="50" t="s">
        <v>138</v>
      </c>
      <c r="BX434" s="50" t="s">
        <v>225</v>
      </c>
      <c r="BY434" s="50" t="s">
        <v>17256</v>
      </c>
      <c r="BZ434" s="50" t="s">
        <v>7824</v>
      </c>
      <c r="CA434" s="50" t="s">
        <v>17257</v>
      </c>
      <c r="CB434" s="50" t="s">
        <v>17258</v>
      </c>
      <c r="CC434" s="50" t="s">
        <v>17259</v>
      </c>
      <c r="CD434" s="50" t="s">
        <v>17260</v>
      </c>
      <c r="CE434" s="50" t="s">
        <v>17258</v>
      </c>
      <c r="CF434" s="50" t="s">
        <v>17259</v>
      </c>
      <c r="CG434" s="50" t="s">
        <v>102</v>
      </c>
      <c r="CH434" s="50" t="s">
        <v>7825</v>
      </c>
      <c r="CJ434" s="50" t="s">
        <v>7826</v>
      </c>
      <c r="CL434" s="50" t="s">
        <v>920</v>
      </c>
      <c r="CM434" s="50" t="s">
        <v>211</v>
      </c>
      <c r="CN434" s="50" t="s">
        <v>7826</v>
      </c>
      <c r="CO434" s="50" t="s">
        <v>230</v>
      </c>
      <c r="CP434" s="50" t="s">
        <v>7825</v>
      </c>
      <c r="CQ434" s="50" t="s">
        <v>7825</v>
      </c>
    </row>
    <row r="435" spans="1:96">
      <c r="A435" s="50" t="s">
        <v>149</v>
      </c>
      <c r="B435" s="50">
        <v>411876</v>
      </c>
      <c r="C435" s="50" t="s">
        <v>2151</v>
      </c>
      <c r="D435" s="50" t="s">
        <v>8700</v>
      </c>
      <c r="E435" s="50" t="str">
        <f>VLOOKUP(B435,aa!B:F,5,0)</f>
        <v>Ei Mindspark</v>
      </c>
      <c r="F435" s="50">
        <f>VLOOKUP(B435,aa!B:J,9,0)</f>
        <v>469229</v>
      </c>
      <c r="G435" s="50">
        <f>VLOOKUP(B435,aa!B:L,11,0)</f>
        <v>0</v>
      </c>
      <c r="H435" s="50">
        <f>VLOOKUP(B435,aa!B:O,14,0)</f>
        <v>0</v>
      </c>
      <c r="I435" s="50">
        <f>VLOOKUP(B435,aa!B:R,17,0)</f>
        <v>469229</v>
      </c>
      <c r="K435" s="50" t="s">
        <v>848</v>
      </c>
      <c r="L435" s="50">
        <v>668488</v>
      </c>
      <c r="M435" s="50">
        <v>788816</v>
      </c>
      <c r="N435" s="50">
        <v>0</v>
      </c>
      <c r="O435" s="50">
        <v>0</v>
      </c>
      <c r="Q435" s="50">
        <v>0</v>
      </c>
      <c r="R435" s="50">
        <v>0</v>
      </c>
      <c r="T435" s="50">
        <v>668488</v>
      </c>
      <c r="U435" s="50">
        <v>326</v>
      </c>
      <c r="V435" s="50" t="s">
        <v>3029</v>
      </c>
      <c r="W435" s="50" t="s">
        <v>102</v>
      </c>
      <c r="X435" s="50" t="s">
        <v>103</v>
      </c>
      <c r="Y435" s="50" t="s">
        <v>398</v>
      </c>
      <c r="AA435" s="50" t="s">
        <v>15564</v>
      </c>
      <c r="AB435" s="50" t="s">
        <v>18122</v>
      </c>
      <c r="AC435" s="50" t="s">
        <v>18123</v>
      </c>
      <c r="AD435" s="50" t="s">
        <v>18124</v>
      </c>
      <c r="AE435" s="50" t="s">
        <v>12063</v>
      </c>
      <c r="AF435" s="50" t="s">
        <v>18124</v>
      </c>
      <c r="AG435" s="50" t="s">
        <v>109</v>
      </c>
      <c r="AH435" s="50" t="s">
        <v>102</v>
      </c>
      <c r="AI435" s="50" t="s">
        <v>18125</v>
      </c>
      <c r="AJ435" s="50" t="s">
        <v>12819</v>
      </c>
      <c r="AK435" s="50" t="s">
        <v>6895</v>
      </c>
      <c r="AL435" s="50" t="s">
        <v>18126</v>
      </c>
      <c r="AM435" s="50" t="s">
        <v>18127</v>
      </c>
      <c r="AN435" s="50" t="s">
        <v>18128</v>
      </c>
      <c r="AO435" s="50" t="s">
        <v>18129</v>
      </c>
      <c r="AP435" s="50" t="s">
        <v>18129</v>
      </c>
      <c r="AU435" s="50" t="s">
        <v>102</v>
      </c>
      <c r="AW435" s="50" t="s">
        <v>102</v>
      </c>
      <c r="AX435" s="50" t="s">
        <v>119</v>
      </c>
      <c r="BA435" s="50" t="s">
        <v>250</v>
      </c>
      <c r="BB435" s="50" t="s">
        <v>2565</v>
      </c>
      <c r="BC435" s="50" t="s">
        <v>920</v>
      </c>
      <c r="BD435" s="50" t="s">
        <v>211</v>
      </c>
      <c r="BE435" s="50" t="s">
        <v>212</v>
      </c>
      <c r="BF435" s="50" t="s">
        <v>213</v>
      </c>
      <c r="BG435" s="50" t="s">
        <v>124</v>
      </c>
      <c r="BH435" s="50" t="s">
        <v>11948</v>
      </c>
      <c r="BI435" s="50" t="s">
        <v>12047</v>
      </c>
      <c r="BJ435" s="50" t="s">
        <v>127</v>
      </c>
      <c r="BK435" s="50" t="s">
        <v>18130</v>
      </c>
      <c r="BL435" s="50" t="s">
        <v>8710</v>
      </c>
      <c r="BM435" s="50" t="s">
        <v>18131</v>
      </c>
      <c r="BN435" s="50" t="s">
        <v>11948</v>
      </c>
      <c r="BO435" s="50" t="s">
        <v>415</v>
      </c>
      <c r="BP435" s="50" t="s">
        <v>180</v>
      </c>
      <c r="BQ435" s="50" t="s">
        <v>416</v>
      </c>
      <c r="BR435" s="50" t="s">
        <v>417</v>
      </c>
      <c r="BS435" s="50" t="s">
        <v>2151</v>
      </c>
      <c r="BU435" s="50" t="s">
        <v>18132</v>
      </c>
      <c r="BV435" s="50" t="s">
        <v>18133</v>
      </c>
      <c r="BW435" s="50" t="s">
        <v>138</v>
      </c>
      <c r="BX435" s="50" t="s">
        <v>18134</v>
      </c>
      <c r="BY435" s="50" t="s">
        <v>18135</v>
      </c>
      <c r="BZ435" s="50" t="s">
        <v>8716</v>
      </c>
      <c r="CA435" s="50" t="s">
        <v>18133</v>
      </c>
      <c r="CB435" s="50" t="s">
        <v>18134</v>
      </c>
      <c r="CC435" s="50" t="s">
        <v>18135</v>
      </c>
      <c r="CD435" s="50" t="s">
        <v>18133</v>
      </c>
      <c r="CE435" s="50" t="s">
        <v>18134</v>
      </c>
      <c r="CF435" s="50" t="s">
        <v>18135</v>
      </c>
      <c r="CG435" s="50" t="s">
        <v>102</v>
      </c>
      <c r="CH435" s="50" t="s">
        <v>8717</v>
      </c>
      <c r="CJ435" s="50" t="s">
        <v>5392</v>
      </c>
      <c r="CL435" s="50" t="s">
        <v>920</v>
      </c>
      <c r="CM435" s="50" t="s">
        <v>211</v>
      </c>
      <c r="CN435" s="50" t="s">
        <v>5392</v>
      </c>
      <c r="CO435" s="50" t="s">
        <v>8718</v>
      </c>
      <c r="CP435" s="50" t="s">
        <v>8717</v>
      </c>
      <c r="CQ435" s="50" t="s">
        <v>8717</v>
      </c>
    </row>
    <row r="436" spans="1:96">
      <c r="A436" s="50" t="s">
        <v>149</v>
      </c>
      <c r="B436" s="50">
        <v>5017215</v>
      </c>
      <c r="C436" s="50" t="s">
        <v>2151</v>
      </c>
      <c r="D436" s="50" t="s">
        <v>9921</v>
      </c>
      <c r="E436" s="50" t="str">
        <f>VLOOKUP(B436,aa!B:F,5,0)</f>
        <v>Ei Mindspark</v>
      </c>
      <c r="F436" s="50">
        <f>VLOOKUP(B436,aa!B:J,9,0)</f>
        <v>300036</v>
      </c>
      <c r="G436" s="50">
        <f>VLOOKUP(B436,aa!B:L,11,0)</f>
        <v>0</v>
      </c>
      <c r="H436" s="50">
        <f>VLOOKUP(B436,aa!B:O,14,0)</f>
        <v>0</v>
      </c>
      <c r="I436" s="50">
        <f>VLOOKUP(B436,aa!B:R,17,0)</f>
        <v>300036</v>
      </c>
      <c r="K436" s="50" t="s">
        <v>848</v>
      </c>
      <c r="L436" s="50">
        <v>194805</v>
      </c>
      <c r="M436" s="50">
        <v>229870</v>
      </c>
      <c r="N436" s="50">
        <v>0</v>
      </c>
      <c r="O436" s="50">
        <v>0</v>
      </c>
      <c r="Q436" s="50">
        <v>0</v>
      </c>
      <c r="R436" s="50">
        <v>0</v>
      </c>
      <c r="T436" s="50">
        <v>194805</v>
      </c>
      <c r="U436" s="50">
        <v>95</v>
      </c>
      <c r="V436" s="50" t="s">
        <v>3029</v>
      </c>
      <c r="W436" s="50" t="s">
        <v>102</v>
      </c>
      <c r="X436" s="50" t="s">
        <v>103</v>
      </c>
      <c r="Y436" s="50" t="s">
        <v>398</v>
      </c>
      <c r="AA436" s="50" t="s">
        <v>15564</v>
      </c>
      <c r="AB436" s="50" t="s">
        <v>19015</v>
      </c>
      <c r="AC436" s="50" t="s">
        <v>18123</v>
      </c>
      <c r="AD436" s="50" t="s">
        <v>19016</v>
      </c>
      <c r="AE436" s="50" t="s">
        <v>12063</v>
      </c>
      <c r="AF436" s="50" t="s">
        <v>19016</v>
      </c>
      <c r="AG436" s="50" t="s">
        <v>109</v>
      </c>
      <c r="AH436" s="50" t="s">
        <v>102</v>
      </c>
      <c r="AI436" s="50" t="s">
        <v>19017</v>
      </c>
      <c r="AJ436" s="50" t="s">
        <v>12890</v>
      </c>
      <c r="AK436" s="50" t="s">
        <v>12043</v>
      </c>
      <c r="AL436" s="50" t="s">
        <v>19018</v>
      </c>
      <c r="AM436" s="50" t="s">
        <v>19019</v>
      </c>
      <c r="AN436" s="50" t="s">
        <v>19020</v>
      </c>
      <c r="AO436" s="50" t="s">
        <v>18129</v>
      </c>
      <c r="AP436" s="50" t="s">
        <v>18129</v>
      </c>
      <c r="AU436" s="50" t="s">
        <v>102</v>
      </c>
      <c r="AW436" s="50" t="s">
        <v>102</v>
      </c>
      <c r="AX436" s="50" t="s">
        <v>119</v>
      </c>
      <c r="BA436" s="50" t="s">
        <v>250</v>
      </c>
      <c r="BB436" s="50" t="s">
        <v>1242</v>
      </c>
      <c r="BC436" s="50" t="s">
        <v>920</v>
      </c>
      <c r="BD436" s="50" t="s">
        <v>211</v>
      </c>
      <c r="BE436" s="50" t="s">
        <v>212</v>
      </c>
      <c r="BF436" s="50" t="s">
        <v>213</v>
      </c>
      <c r="BG436" s="50" t="s">
        <v>124</v>
      </c>
      <c r="BH436" s="50" t="s">
        <v>11948</v>
      </c>
      <c r="BI436" s="50" t="s">
        <v>11960</v>
      </c>
      <c r="BJ436" s="50" t="s">
        <v>127</v>
      </c>
      <c r="BK436" s="50" t="s">
        <v>19021</v>
      </c>
      <c r="BL436" s="50" t="s">
        <v>9929</v>
      </c>
      <c r="BM436" s="50" t="s">
        <v>19022</v>
      </c>
      <c r="BN436" s="50" t="s">
        <v>11948</v>
      </c>
      <c r="BO436" s="50" t="s">
        <v>415</v>
      </c>
      <c r="BP436" s="50" t="s">
        <v>180</v>
      </c>
      <c r="BQ436" s="50" t="s">
        <v>416</v>
      </c>
      <c r="BR436" s="50" t="s">
        <v>417</v>
      </c>
      <c r="BS436" s="50" t="s">
        <v>2151</v>
      </c>
      <c r="BU436" s="50" t="s">
        <v>19023</v>
      </c>
      <c r="BV436" s="50" t="s">
        <v>19024</v>
      </c>
      <c r="BW436" s="50" t="s">
        <v>598</v>
      </c>
      <c r="BX436" s="50" t="s">
        <v>19025</v>
      </c>
      <c r="BY436" s="50" t="s">
        <v>19026</v>
      </c>
      <c r="BZ436" s="50" t="s">
        <v>9935</v>
      </c>
      <c r="CA436" s="50" t="s">
        <v>19024</v>
      </c>
      <c r="CB436" s="50" t="s">
        <v>19025</v>
      </c>
      <c r="CC436" s="50" t="s">
        <v>19026</v>
      </c>
      <c r="CD436" s="50" t="s">
        <v>19024</v>
      </c>
      <c r="CE436" s="50" t="s">
        <v>19025</v>
      </c>
      <c r="CF436" s="50" t="s">
        <v>19026</v>
      </c>
      <c r="CG436" s="50" t="s">
        <v>9936</v>
      </c>
      <c r="CH436" s="50" t="s">
        <v>19027</v>
      </c>
      <c r="CJ436" s="50" t="s">
        <v>9938</v>
      </c>
      <c r="CK436" s="50" t="s">
        <v>9937</v>
      </c>
      <c r="CL436" s="50" t="s">
        <v>920</v>
      </c>
      <c r="CM436" s="50" t="s">
        <v>211</v>
      </c>
      <c r="CN436" s="50" t="s">
        <v>9938</v>
      </c>
      <c r="CO436" s="50" t="s">
        <v>8718</v>
      </c>
      <c r="CP436" s="50" t="s">
        <v>9937</v>
      </c>
      <c r="CQ436" s="50" t="s">
        <v>9937</v>
      </c>
    </row>
    <row r="437" spans="1:96">
      <c r="A437" s="50" t="s">
        <v>149</v>
      </c>
      <c r="B437" s="50">
        <v>632896</v>
      </c>
      <c r="C437" s="50" t="s">
        <v>11947</v>
      </c>
      <c r="D437" s="50" t="s">
        <v>11434</v>
      </c>
      <c r="E437" s="50" t="str">
        <f>VLOOKUP(B437,aa!B:F,5,0)</f>
        <v>Ei ASSET,Ei Mindspark</v>
      </c>
      <c r="F437" s="50">
        <f>VLOOKUP(B437,aa!B:J,9,0)</f>
        <v>0</v>
      </c>
      <c r="G437" s="50">
        <f>VLOOKUP(B437,aa!B:L,11,0)</f>
        <v>0</v>
      </c>
      <c r="H437" s="50">
        <f>VLOOKUP(B437,aa!B:O,14,0)</f>
        <v>0</v>
      </c>
      <c r="I437" s="50">
        <f>VLOOKUP(B437,aa!B:R,17,0)</f>
        <v>0</v>
      </c>
      <c r="K437" s="50" t="s">
        <v>193</v>
      </c>
      <c r="L437" s="50">
        <v>1101370</v>
      </c>
      <c r="M437" s="50">
        <v>1236034</v>
      </c>
      <c r="N437" s="50">
        <v>353239</v>
      </c>
      <c r="O437" s="50">
        <v>1136</v>
      </c>
      <c r="P437" s="50" t="s">
        <v>195</v>
      </c>
      <c r="Q437" s="50">
        <v>0</v>
      </c>
      <c r="R437" s="50">
        <v>0</v>
      </c>
      <c r="T437" s="50">
        <v>748131</v>
      </c>
      <c r="U437" s="50">
        <v>1177</v>
      </c>
      <c r="V437" s="50" t="s">
        <v>11949</v>
      </c>
      <c r="W437" s="50" t="s">
        <v>102</v>
      </c>
      <c r="X437" s="50" t="s">
        <v>103</v>
      </c>
      <c r="Y437" s="50" t="s">
        <v>104</v>
      </c>
      <c r="AA437" s="50" t="s">
        <v>11950</v>
      </c>
      <c r="AB437" s="50" t="s">
        <v>21333</v>
      </c>
      <c r="AC437" s="50" t="s">
        <v>15652</v>
      </c>
      <c r="AD437" s="50" t="s">
        <v>21333</v>
      </c>
      <c r="AE437" s="50" t="s">
        <v>109</v>
      </c>
      <c r="AF437" s="50" t="s">
        <v>102</v>
      </c>
      <c r="AG437" s="50" t="s">
        <v>109</v>
      </c>
      <c r="AH437" s="50" t="s">
        <v>102</v>
      </c>
      <c r="AI437" s="50" t="s">
        <v>21334</v>
      </c>
      <c r="AJ437" s="50" t="s">
        <v>11954</v>
      </c>
      <c r="AK437" s="50" t="s">
        <v>11954</v>
      </c>
      <c r="AL437" s="50" t="s">
        <v>21335</v>
      </c>
      <c r="AM437" s="50" t="s">
        <v>21336</v>
      </c>
      <c r="AN437" s="50" t="s">
        <v>21337</v>
      </c>
      <c r="AO437" s="50" t="s">
        <v>11958</v>
      </c>
      <c r="AP437" s="50" t="s">
        <v>11958</v>
      </c>
      <c r="AU437" s="50" t="s">
        <v>207</v>
      </c>
      <c r="AV437" s="50" t="s">
        <v>118</v>
      </c>
      <c r="AW437" s="50" t="s">
        <v>102</v>
      </c>
      <c r="AX437" s="50" t="s">
        <v>119</v>
      </c>
      <c r="BA437" s="50" t="s">
        <v>250</v>
      </c>
      <c r="BB437" s="50" t="s">
        <v>120</v>
      </c>
      <c r="BC437" s="50" t="s">
        <v>5637</v>
      </c>
      <c r="BD437" s="50" t="s">
        <v>211</v>
      </c>
      <c r="BE437" s="50" t="s">
        <v>212</v>
      </c>
      <c r="BF437" s="50" t="s">
        <v>213</v>
      </c>
      <c r="BG437" s="50" t="s">
        <v>124</v>
      </c>
      <c r="BH437" s="50" t="s">
        <v>11959</v>
      </c>
      <c r="BI437" s="50" t="s">
        <v>11960</v>
      </c>
      <c r="BJ437" s="50" t="s">
        <v>127</v>
      </c>
      <c r="BK437" s="50" t="s">
        <v>21338</v>
      </c>
      <c r="BL437" s="50" t="s">
        <v>11442</v>
      </c>
      <c r="BM437" s="50" t="s">
        <v>21339</v>
      </c>
      <c r="BN437" s="50" t="s">
        <v>11948</v>
      </c>
      <c r="BO437" s="50" t="s">
        <v>1880</v>
      </c>
      <c r="BP437" s="50" t="s">
        <v>7992</v>
      </c>
      <c r="BQ437" s="50" t="s">
        <v>1882</v>
      </c>
      <c r="BR437" s="50" t="s">
        <v>1883</v>
      </c>
      <c r="BS437" s="50" t="s">
        <v>222</v>
      </c>
      <c r="BU437" s="50" t="s">
        <v>21340</v>
      </c>
      <c r="BV437" s="50" t="s">
        <v>15660</v>
      </c>
      <c r="BW437" s="50" t="s">
        <v>138</v>
      </c>
      <c r="BX437" s="50" t="s">
        <v>225</v>
      </c>
      <c r="BY437" s="50" t="s">
        <v>226</v>
      </c>
      <c r="BZ437" s="50" t="s">
        <v>11445</v>
      </c>
      <c r="CA437" s="50" t="s">
        <v>21341</v>
      </c>
      <c r="CB437" s="50" t="s">
        <v>21342</v>
      </c>
      <c r="CC437" s="50" t="s">
        <v>21343</v>
      </c>
      <c r="CD437" s="50" t="s">
        <v>21344</v>
      </c>
      <c r="CE437" s="50" t="s">
        <v>21342</v>
      </c>
      <c r="CF437" s="50" t="s">
        <v>21345</v>
      </c>
      <c r="CG437" s="50" t="s">
        <v>102</v>
      </c>
      <c r="CH437" s="50" t="s">
        <v>11446</v>
      </c>
      <c r="CJ437" s="50" t="s">
        <v>7644</v>
      </c>
      <c r="CL437" s="50" t="s">
        <v>5637</v>
      </c>
      <c r="CM437" s="50" t="s">
        <v>211</v>
      </c>
      <c r="CN437" s="50" t="s">
        <v>7644</v>
      </c>
      <c r="CO437" s="50" t="s">
        <v>230</v>
      </c>
      <c r="CP437" s="50" t="s">
        <v>11446</v>
      </c>
      <c r="CQ437" s="50" t="s">
        <v>11446</v>
      </c>
    </row>
    <row r="438" spans="1:96">
      <c r="A438" s="50" t="s">
        <v>149</v>
      </c>
      <c r="B438" s="50">
        <v>770229</v>
      </c>
      <c r="C438" s="50" t="s">
        <v>11995</v>
      </c>
      <c r="D438" s="50" t="s">
        <v>11650</v>
      </c>
      <c r="E438" s="50" t="e">
        <f>VLOOKUP(B438,aa!B:F,5,0)</f>
        <v>#N/A</v>
      </c>
      <c r="F438" s="50" t="e">
        <f>VLOOKUP(B438,aa!B:J,9,0)</f>
        <v>#N/A</v>
      </c>
      <c r="G438" s="50" t="e">
        <f>VLOOKUP(B438,aa!B:L,11,0)</f>
        <v>#N/A</v>
      </c>
      <c r="H438" s="50" t="e">
        <f>VLOOKUP(B438,aa!B:O,14,0)</f>
        <v>#N/A</v>
      </c>
      <c r="I438" s="50" t="e">
        <f>VLOOKUP(B438,aa!B:R,17,0)</f>
        <v>#N/A</v>
      </c>
      <c r="K438" s="50" t="s">
        <v>152</v>
      </c>
      <c r="L438" s="50">
        <v>2014584</v>
      </c>
      <c r="M438" s="50">
        <v>2014584</v>
      </c>
      <c r="N438" s="50">
        <v>0</v>
      </c>
      <c r="O438" s="50">
        <v>0</v>
      </c>
      <c r="Q438" s="50">
        <v>2014584</v>
      </c>
      <c r="R438" s="50">
        <v>1300</v>
      </c>
      <c r="S438" s="50" t="s">
        <v>8766</v>
      </c>
      <c r="T438" s="50">
        <v>0</v>
      </c>
      <c r="U438" s="50">
        <v>0</v>
      </c>
      <c r="W438" s="50" t="s">
        <v>102</v>
      </c>
      <c r="X438" s="50" t="s">
        <v>103</v>
      </c>
      <c r="Y438" s="50" t="s">
        <v>398</v>
      </c>
      <c r="AA438" s="50" t="s">
        <v>12040</v>
      </c>
      <c r="AB438" s="50" t="s">
        <v>21477</v>
      </c>
      <c r="AC438" s="50" t="s">
        <v>12099</v>
      </c>
      <c r="AD438" s="50" t="s">
        <v>21478</v>
      </c>
      <c r="AE438" s="50" t="s">
        <v>12713</v>
      </c>
      <c r="AF438" s="50" t="s">
        <v>21478</v>
      </c>
      <c r="AG438" s="50" t="s">
        <v>109</v>
      </c>
      <c r="AH438" s="50" t="s">
        <v>102</v>
      </c>
      <c r="AI438" s="50" t="s">
        <v>21479</v>
      </c>
      <c r="AJ438" s="50" t="s">
        <v>13385</v>
      </c>
      <c r="AK438" s="50" t="s">
        <v>16844</v>
      </c>
      <c r="AL438" s="50" t="s">
        <v>21480</v>
      </c>
      <c r="AM438" s="50" t="s">
        <v>21481</v>
      </c>
      <c r="AN438" s="50" t="s">
        <v>21482</v>
      </c>
      <c r="AO438" s="50" t="s">
        <v>21483</v>
      </c>
      <c r="AP438" s="50" t="s">
        <v>21483</v>
      </c>
      <c r="AU438" s="50" t="s">
        <v>102</v>
      </c>
      <c r="AW438" s="50" t="s">
        <v>155</v>
      </c>
      <c r="AX438" s="50" t="s">
        <v>119</v>
      </c>
      <c r="AY438" s="50" t="s">
        <v>170</v>
      </c>
      <c r="AZ438" s="50" t="s">
        <v>118</v>
      </c>
      <c r="BB438" s="50" t="s">
        <v>120</v>
      </c>
      <c r="BC438" s="50" t="s">
        <v>284</v>
      </c>
      <c r="BD438" s="50" t="s">
        <v>285</v>
      </c>
      <c r="BE438" s="50" t="s">
        <v>212</v>
      </c>
      <c r="BF438" s="50" t="s">
        <v>286</v>
      </c>
      <c r="BG438" s="50" t="s">
        <v>124</v>
      </c>
      <c r="BH438" s="50" t="s">
        <v>11959</v>
      </c>
      <c r="BI438" s="50" t="s">
        <v>12047</v>
      </c>
      <c r="BJ438" s="50" t="s">
        <v>127</v>
      </c>
      <c r="BK438" s="50" t="s">
        <v>21484</v>
      </c>
      <c r="BL438" s="50" t="s">
        <v>11661</v>
      </c>
      <c r="BM438" s="50" t="s">
        <v>21485</v>
      </c>
      <c r="BN438" s="50" t="s">
        <v>11948</v>
      </c>
      <c r="BO438" s="50" t="s">
        <v>290</v>
      </c>
      <c r="BP438" s="50" t="s">
        <v>132</v>
      </c>
      <c r="BQ438" s="50" t="s">
        <v>291</v>
      </c>
      <c r="BR438" s="50" t="s">
        <v>292</v>
      </c>
      <c r="BS438" s="50" t="s">
        <v>4765</v>
      </c>
      <c r="BU438" s="50" t="s">
        <v>21486</v>
      </c>
      <c r="BV438" s="50" t="s">
        <v>11664</v>
      </c>
      <c r="BW438" s="50" t="s">
        <v>354</v>
      </c>
      <c r="BX438" s="50" t="s">
        <v>11665</v>
      </c>
      <c r="BY438" s="50" t="s">
        <v>11666</v>
      </c>
      <c r="CA438" s="50" t="s">
        <v>11664</v>
      </c>
      <c r="CB438" s="50" t="s">
        <v>11665</v>
      </c>
      <c r="CC438" s="50" t="s">
        <v>11666</v>
      </c>
      <c r="CD438" s="50" t="s">
        <v>21487</v>
      </c>
      <c r="CE438" s="50" t="s">
        <v>21488</v>
      </c>
      <c r="CF438" s="50" t="s">
        <v>21489</v>
      </c>
      <c r="CG438" s="50" t="s">
        <v>102</v>
      </c>
      <c r="CH438" s="50" t="s">
        <v>21490</v>
      </c>
      <c r="CJ438" s="50" t="s">
        <v>3899</v>
      </c>
      <c r="CL438" s="50" t="s">
        <v>284</v>
      </c>
      <c r="CM438" s="50" t="s">
        <v>285</v>
      </c>
      <c r="CN438" s="50" t="s">
        <v>3899</v>
      </c>
      <c r="CO438" s="50" t="s">
        <v>11668</v>
      </c>
      <c r="CP438" s="50" t="s">
        <v>11669</v>
      </c>
      <c r="CQ438" s="50" t="s">
        <v>11669</v>
      </c>
      <c r="CR438" s="50" t="s">
        <v>26044</v>
      </c>
    </row>
    <row r="439" spans="1:96">
      <c r="A439" s="50" t="s">
        <v>149</v>
      </c>
      <c r="B439" s="50">
        <v>771752</v>
      </c>
      <c r="C439" s="50" t="s">
        <v>11947</v>
      </c>
      <c r="D439" s="50" t="s">
        <v>11670</v>
      </c>
      <c r="E439" s="50" t="e">
        <f>VLOOKUP(B439,aa!B:F,5,0)</f>
        <v>#N/A</v>
      </c>
      <c r="F439" s="50" t="e">
        <f>VLOOKUP(B439,aa!B:J,9,0)</f>
        <v>#N/A</v>
      </c>
      <c r="G439" s="50" t="e">
        <f>VLOOKUP(B439,aa!B:L,11,0)</f>
        <v>#N/A</v>
      </c>
      <c r="H439" s="50" t="e">
        <f>VLOOKUP(B439,aa!B:O,14,0)</f>
        <v>#N/A</v>
      </c>
      <c r="I439" s="50" t="e">
        <f>VLOOKUP(B439,aa!B:R,17,0)</f>
        <v>#N/A</v>
      </c>
      <c r="K439" s="50" t="s">
        <v>193</v>
      </c>
      <c r="L439" s="50">
        <v>759153</v>
      </c>
      <c r="M439" s="50">
        <v>850912</v>
      </c>
      <c r="N439" s="50">
        <v>249382</v>
      </c>
      <c r="O439" s="50">
        <v>802</v>
      </c>
      <c r="P439" s="50" t="s">
        <v>195</v>
      </c>
      <c r="Q439" s="50">
        <v>0</v>
      </c>
      <c r="R439" s="50">
        <v>0</v>
      </c>
      <c r="T439" s="50">
        <v>509771</v>
      </c>
      <c r="U439" s="50">
        <v>802</v>
      </c>
      <c r="V439" s="50" t="s">
        <v>11949</v>
      </c>
      <c r="W439" s="50" t="s">
        <v>102</v>
      </c>
      <c r="X439" s="50" t="s">
        <v>103</v>
      </c>
      <c r="Y439" s="50" t="s">
        <v>104</v>
      </c>
      <c r="AA439" s="50" t="s">
        <v>11950</v>
      </c>
      <c r="AB439" s="50" t="s">
        <v>21491</v>
      </c>
      <c r="AC439" s="50" t="s">
        <v>11952</v>
      </c>
      <c r="AD439" s="50" t="s">
        <v>21491</v>
      </c>
      <c r="AE439" s="50" t="s">
        <v>109</v>
      </c>
      <c r="AF439" s="50" t="s">
        <v>102</v>
      </c>
      <c r="AG439" s="50" t="s">
        <v>109</v>
      </c>
      <c r="AH439" s="50" t="s">
        <v>102</v>
      </c>
      <c r="AI439" s="50" t="s">
        <v>21492</v>
      </c>
      <c r="AJ439" s="50" t="s">
        <v>11954</v>
      </c>
      <c r="AK439" s="50" t="s">
        <v>11954</v>
      </c>
      <c r="AL439" s="50" t="s">
        <v>21493</v>
      </c>
      <c r="AM439" s="50" t="s">
        <v>21494</v>
      </c>
      <c r="AN439" s="50" t="s">
        <v>21495</v>
      </c>
      <c r="AO439" s="50" t="s">
        <v>11958</v>
      </c>
      <c r="AP439" s="50" t="s">
        <v>11958</v>
      </c>
      <c r="AU439" s="50" t="s">
        <v>207</v>
      </c>
      <c r="AV439" s="50" t="s">
        <v>118</v>
      </c>
      <c r="AW439" s="50" t="s">
        <v>102</v>
      </c>
      <c r="AX439" s="50" t="s">
        <v>119</v>
      </c>
      <c r="BA439" s="50" t="s">
        <v>250</v>
      </c>
      <c r="BB439" s="50" t="s">
        <v>120</v>
      </c>
      <c r="BC439" s="50" t="s">
        <v>920</v>
      </c>
      <c r="BD439" s="50" t="s">
        <v>211</v>
      </c>
      <c r="BE439" s="50" t="s">
        <v>212</v>
      </c>
      <c r="BF439" s="50" t="s">
        <v>213</v>
      </c>
      <c r="BG439" s="50" t="s">
        <v>124</v>
      </c>
      <c r="BH439" s="50" t="s">
        <v>11959</v>
      </c>
      <c r="BI439" s="50" t="s">
        <v>11960</v>
      </c>
      <c r="BJ439" s="50" t="s">
        <v>127</v>
      </c>
      <c r="BK439" s="50" t="s">
        <v>21496</v>
      </c>
      <c r="BL439" s="50" t="s">
        <v>11678</v>
      </c>
      <c r="BM439" s="50" t="s">
        <v>21497</v>
      </c>
      <c r="BN439" s="50" t="s">
        <v>11948</v>
      </c>
      <c r="BO439" s="50" t="s">
        <v>1880</v>
      </c>
      <c r="BP439" s="50" t="s">
        <v>7992</v>
      </c>
      <c r="BQ439" s="50" t="s">
        <v>1882</v>
      </c>
      <c r="BR439" s="50" t="s">
        <v>1883</v>
      </c>
      <c r="BS439" s="50" t="s">
        <v>222</v>
      </c>
      <c r="BU439" s="50" t="s">
        <v>21498</v>
      </c>
      <c r="BV439" s="50" t="s">
        <v>224</v>
      </c>
      <c r="BW439" s="50" t="s">
        <v>138</v>
      </c>
      <c r="BX439" s="50" t="s">
        <v>225</v>
      </c>
      <c r="BY439" s="50" t="s">
        <v>226</v>
      </c>
      <c r="BZ439" s="50" t="s">
        <v>11681</v>
      </c>
      <c r="CA439" s="50" t="s">
        <v>21499</v>
      </c>
      <c r="CB439" s="50" t="s">
        <v>21500</v>
      </c>
      <c r="CC439" s="50" t="s">
        <v>21501</v>
      </c>
      <c r="CD439" s="50" t="s">
        <v>21502</v>
      </c>
      <c r="CE439" s="50" t="s">
        <v>21503</v>
      </c>
      <c r="CF439" s="50" t="s">
        <v>21501</v>
      </c>
      <c r="CG439" s="50" t="s">
        <v>102</v>
      </c>
      <c r="CH439" s="50" t="s">
        <v>11682</v>
      </c>
      <c r="CJ439" s="50" t="s">
        <v>5985</v>
      </c>
      <c r="CL439" s="50" t="s">
        <v>920</v>
      </c>
      <c r="CM439" s="50" t="s">
        <v>211</v>
      </c>
      <c r="CN439" s="50" t="s">
        <v>5985</v>
      </c>
      <c r="CO439" s="50" t="s">
        <v>230</v>
      </c>
      <c r="CP439" s="50" t="s">
        <v>11682</v>
      </c>
      <c r="CQ439" s="50" t="s">
        <v>11682</v>
      </c>
    </row>
    <row r="440" spans="1:96">
      <c r="A440" s="50" t="s">
        <v>149</v>
      </c>
      <c r="B440" s="50">
        <v>1312595</v>
      </c>
      <c r="C440" s="50" t="s">
        <v>11947</v>
      </c>
      <c r="D440" s="50" t="s">
        <v>751</v>
      </c>
      <c r="E440" s="50" t="str">
        <f>VLOOKUP(B440,aa!B:F,5,0)</f>
        <v>Ei ASSET,Ei Mindspark</v>
      </c>
      <c r="F440" s="50">
        <f>VLOOKUP(B440,aa!B:J,9,0)</f>
        <v>0</v>
      </c>
      <c r="G440" s="50">
        <f>VLOOKUP(B440,aa!B:L,11,0)</f>
        <v>0</v>
      </c>
      <c r="H440" s="50">
        <f>VLOOKUP(B440,aa!B:O,14,0)</f>
        <v>0</v>
      </c>
      <c r="I440" s="50">
        <f>VLOOKUP(B440,aa!B:R,17,0)</f>
        <v>0</v>
      </c>
      <c r="K440" s="50" t="s">
        <v>193</v>
      </c>
      <c r="L440" s="50">
        <v>602483</v>
      </c>
      <c r="M440" s="50">
        <v>676508</v>
      </c>
      <c r="N440" s="50">
        <v>191234</v>
      </c>
      <c r="O440" s="50">
        <v>615</v>
      </c>
      <c r="P440" s="50" t="s">
        <v>195</v>
      </c>
      <c r="Q440" s="50">
        <v>0</v>
      </c>
      <c r="R440" s="50">
        <v>0</v>
      </c>
      <c r="T440" s="50">
        <v>411249</v>
      </c>
      <c r="U440" s="50">
        <v>647</v>
      </c>
      <c r="V440" s="50" t="s">
        <v>11949</v>
      </c>
      <c r="W440" s="50" t="s">
        <v>102</v>
      </c>
      <c r="X440" s="50" t="s">
        <v>103</v>
      </c>
      <c r="Y440" s="50" t="s">
        <v>104</v>
      </c>
      <c r="AA440" s="50" t="s">
        <v>11950</v>
      </c>
      <c r="AB440" s="50" t="s">
        <v>12340</v>
      </c>
      <c r="AC440" s="50" t="s">
        <v>11952</v>
      </c>
      <c r="AD440" s="50" t="s">
        <v>12340</v>
      </c>
      <c r="AE440" s="50" t="s">
        <v>109</v>
      </c>
      <c r="AF440" s="50" t="s">
        <v>102</v>
      </c>
      <c r="AG440" s="50" t="s">
        <v>109</v>
      </c>
      <c r="AH440" s="50" t="s">
        <v>102</v>
      </c>
      <c r="AI440" s="50" t="s">
        <v>12341</v>
      </c>
      <c r="AJ440" s="50" t="s">
        <v>11954</v>
      </c>
      <c r="AK440" s="50" t="s">
        <v>11954</v>
      </c>
      <c r="AL440" s="50" t="s">
        <v>12342</v>
      </c>
      <c r="AM440" s="50" t="s">
        <v>12343</v>
      </c>
      <c r="AN440" s="50" t="s">
        <v>12344</v>
      </c>
      <c r="AO440" s="50" t="s">
        <v>11958</v>
      </c>
      <c r="AP440" s="50" t="s">
        <v>11958</v>
      </c>
      <c r="AU440" s="50" t="s">
        <v>207</v>
      </c>
      <c r="AV440" s="50" t="s">
        <v>118</v>
      </c>
      <c r="AW440" s="50" t="s">
        <v>102</v>
      </c>
      <c r="AX440" s="50" t="s">
        <v>119</v>
      </c>
      <c r="BA440" s="50" t="s">
        <v>250</v>
      </c>
      <c r="BB440" s="50" t="s">
        <v>209</v>
      </c>
      <c r="BC440" s="50" t="s">
        <v>758</v>
      </c>
      <c r="BD440" s="50" t="s">
        <v>211</v>
      </c>
      <c r="BE440" s="50" t="s">
        <v>212</v>
      </c>
      <c r="BF440" s="50" t="s">
        <v>213</v>
      </c>
      <c r="BG440" s="50" t="s">
        <v>124</v>
      </c>
      <c r="BH440" s="50" t="s">
        <v>11959</v>
      </c>
      <c r="BI440" s="50" t="s">
        <v>11960</v>
      </c>
      <c r="BJ440" s="50" t="s">
        <v>127</v>
      </c>
      <c r="BK440" s="50" t="s">
        <v>12345</v>
      </c>
      <c r="BL440" s="50" t="s">
        <v>760</v>
      </c>
      <c r="BM440" s="50" t="s">
        <v>12346</v>
      </c>
      <c r="BN440" s="50" t="s">
        <v>12339</v>
      </c>
      <c r="BO440" s="50" t="s">
        <v>1880</v>
      </c>
      <c r="BP440" s="50" t="s">
        <v>505</v>
      </c>
      <c r="BQ440" s="50" t="s">
        <v>1882</v>
      </c>
      <c r="BR440" s="50" t="s">
        <v>1883</v>
      </c>
      <c r="BS440" s="50" t="s">
        <v>222</v>
      </c>
      <c r="BU440" s="50" t="s">
        <v>12347</v>
      </c>
      <c r="BV440" s="50" t="s">
        <v>12348</v>
      </c>
      <c r="BW440" s="50" t="s">
        <v>138</v>
      </c>
      <c r="BX440" s="50" t="s">
        <v>225</v>
      </c>
      <c r="BY440" s="50" t="s">
        <v>226</v>
      </c>
      <c r="BZ440" s="50" t="s">
        <v>763</v>
      </c>
      <c r="CA440" s="50" t="s">
        <v>12349</v>
      </c>
      <c r="CB440" s="50" t="s">
        <v>12350</v>
      </c>
      <c r="CC440" s="50" t="s">
        <v>12351</v>
      </c>
      <c r="CD440" s="50" t="s">
        <v>12352</v>
      </c>
      <c r="CE440" s="50" t="s">
        <v>12353</v>
      </c>
      <c r="CF440" s="50" t="s">
        <v>12351</v>
      </c>
      <c r="CG440" s="50" t="s">
        <v>102</v>
      </c>
      <c r="CH440" s="50" t="s">
        <v>764</v>
      </c>
      <c r="CJ440" s="50" t="s">
        <v>765</v>
      </c>
      <c r="CL440" s="50" t="s">
        <v>758</v>
      </c>
      <c r="CM440" s="50" t="s">
        <v>211</v>
      </c>
      <c r="CN440" s="50" t="s">
        <v>765</v>
      </c>
      <c r="CO440" s="50" t="s">
        <v>230</v>
      </c>
      <c r="CP440" s="50" t="s">
        <v>764</v>
      </c>
      <c r="CQ440" s="50" t="s">
        <v>764</v>
      </c>
    </row>
    <row r="441" spans="1:96">
      <c r="A441" s="50" t="s">
        <v>149</v>
      </c>
      <c r="B441" s="50">
        <v>3399635</v>
      </c>
      <c r="C441" s="50" t="s">
        <v>11947</v>
      </c>
      <c r="D441" s="50" t="s">
        <v>5861</v>
      </c>
      <c r="E441" s="50" t="str">
        <f>VLOOKUP(B441,aa!B:F,5,0)</f>
        <v>Ei ASSET,Ei Mindspark</v>
      </c>
      <c r="F441" s="50">
        <f>VLOOKUP(B441,aa!B:J,9,0)</f>
        <v>0</v>
      </c>
      <c r="G441" s="50">
        <f>VLOOKUP(B441,aa!B:L,11,0)</f>
        <v>0</v>
      </c>
      <c r="H441" s="50">
        <f>VLOOKUP(B441,aa!B:O,14,0)</f>
        <v>0</v>
      </c>
      <c r="I441" s="50">
        <f>VLOOKUP(B441,aa!B:R,17,0)</f>
        <v>0</v>
      </c>
      <c r="K441" s="50" t="s">
        <v>193</v>
      </c>
      <c r="L441" s="50">
        <v>978758</v>
      </c>
      <c r="M441" s="50">
        <v>1097060</v>
      </c>
      <c r="N441" s="50">
        <v>321522</v>
      </c>
      <c r="O441" s="50">
        <v>1034</v>
      </c>
      <c r="P441" s="50" t="s">
        <v>195</v>
      </c>
      <c r="Q441" s="50">
        <v>0</v>
      </c>
      <c r="R441" s="50">
        <v>0</v>
      </c>
      <c r="T441" s="50">
        <v>657236</v>
      </c>
      <c r="U441" s="50">
        <v>1034</v>
      </c>
      <c r="V441" s="50" t="s">
        <v>11949</v>
      </c>
      <c r="W441" s="50" t="s">
        <v>102</v>
      </c>
      <c r="X441" s="50" t="s">
        <v>103</v>
      </c>
      <c r="Y441" s="50" t="s">
        <v>104</v>
      </c>
      <c r="AA441" s="50" t="s">
        <v>11950</v>
      </c>
      <c r="AB441" s="50" t="s">
        <v>15842</v>
      </c>
      <c r="AC441" s="50" t="s">
        <v>11952</v>
      </c>
      <c r="AD441" s="50" t="s">
        <v>15842</v>
      </c>
      <c r="AE441" s="50" t="s">
        <v>109</v>
      </c>
      <c r="AF441" s="50" t="s">
        <v>102</v>
      </c>
      <c r="AG441" s="50" t="s">
        <v>109</v>
      </c>
      <c r="AH441" s="50" t="s">
        <v>102</v>
      </c>
      <c r="AI441" s="50" t="s">
        <v>15843</v>
      </c>
      <c r="AJ441" s="50" t="s">
        <v>11954</v>
      </c>
      <c r="AK441" s="50" t="s">
        <v>11954</v>
      </c>
      <c r="AL441" s="50" t="s">
        <v>15844</v>
      </c>
      <c r="AM441" s="50" t="s">
        <v>15845</v>
      </c>
      <c r="AN441" s="50" t="s">
        <v>15846</v>
      </c>
      <c r="AO441" s="50" t="s">
        <v>11958</v>
      </c>
      <c r="AP441" s="50" t="s">
        <v>11958</v>
      </c>
      <c r="AU441" s="50" t="s">
        <v>207</v>
      </c>
      <c r="AV441" s="50" t="s">
        <v>118</v>
      </c>
      <c r="AW441" s="50" t="s">
        <v>102</v>
      </c>
      <c r="AX441" s="50" t="s">
        <v>119</v>
      </c>
      <c r="BA441" s="50" t="s">
        <v>250</v>
      </c>
      <c r="BB441" s="50" t="s">
        <v>120</v>
      </c>
      <c r="BC441" s="50" t="s">
        <v>758</v>
      </c>
      <c r="BD441" s="50" t="s">
        <v>211</v>
      </c>
      <c r="BE441" s="50" t="s">
        <v>212</v>
      </c>
      <c r="BF441" s="50" t="s">
        <v>213</v>
      </c>
      <c r="BG441" s="50" t="s">
        <v>124</v>
      </c>
      <c r="BH441" s="50" t="s">
        <v>11959</v>
      </c>
      <c r="BI441" s="50" t="s">
        <v>11960</v>
      </c>
      <c r="BJ441" s="50" t="s">
        <v>127</v>
      </c>
      <c r="BK441" s="50" t="s">
        <v>15847</v>
      </c>
      <c r="BL441" s="50" t="s">
        <v>5869</v>
      </c>
      <c r="BM441" s="50" t="s">
        <v>15848</v>
      </c>
      <c r="BN441" s="50" t="s">
        <v>12339</v>
      </c>
      <c r="BO441" s="50" t="s">
        <v>1880</v>
      </c>
      <c r="BP441" s="50" t="s">
        <v>7992</v>
      </c>
      <c r="BQ441" s="50" t="s">
        <v>1882</v>
      </c>
      <c r="BR441" s="50" t="s">
        <v>1883</v>
      </c>
      <c r="BS441" s="50" t="s">
        <v>222</v>
      </c>
      <c r="BU441" s="50" t="s">
        <v>15849</v>
      </c>
      <c r="BV441" s="50" t="s">
        <v>11964</v>
      </c>
      <c r="BW441" s="50" t="s">
        <v>138</v>
      </c>
      <c r="BX441" s="50" t="s">
        <v>225</v>
      </c>
      <c r="BY441" s="50" t="s">
        <v>226</v>
      </c>
      <c r="BZ441" s="50" t="s">
        <v>5872</v>
      </c>
      <c r="CA441" s="50" t="s">
        <v>15850</v>
      </c>
      <c r="CB441" s="50" t="s">
        <v>15851</v>
      </c>
      <c r="CC441" s="50" t="s">
        <v>15852</v>
      </c>
      <c r="CD441" s="50" t="s">
        <v>15853</v>
      </c>
      <c r="CE441" s="50" t="s">
        <v>15851</v>
      </c>
      <c r="CF441" s="50" t="s">
        <v>15854</v>
      </c>
      <c r="CG441" s="50" t="s">
        <v>102</v>
      </c>
      <c r="CH441" s="50" t="s">
        <v>5873</v>
      </c>
      <c r="CJ441" s="50" t="s">
        <v>765</v>
      </c>
      <c r="CL441" s="50" t="s">
        <v>758</v>
      </c>
      <c r="CM441" s="50" t="s">
        <v>211</v>
      </c>
      <c r="CN441" s="50" t="s">
        <v>765</v>
      </c>
      <c r="CO441" s="50" t="s">
        <v>230</v>
      </c>
      <c r="CP441" s="50" t="s">
        <v>5873</v>
      </c>
      <c r="CQ441" s="50" t="s">
        <v>5873</v>
      </c>
    </row>
    <row r="442" spans="1:96">
      <c r="A442" s="50" t="s">
        <v>149</v>
      </c>
      <c r="B442" s="50">
        <v>20238</v>
      </c>
      <c r="C442" s="50" t="s">
        <v>12121</v>
      </c>
      <c r="D442" s="50" t="s">
        <v>2427</v>
      </c>
      <c r="E442" s="50" t="str">
        <f>VLOOKUP(B442,aa!B:F,5,0)</f>
        <v>Ei Mindspark</v>
      </c>
      <c r="F442" s="50">
        <f>VLOOKUP(B442,aa!B:J,9,0)</f>
        <v>2456259</v>
      </c>
      <c r="G442" s="50">
        <f>VLOOKUP(B442,aa!B:L,11,0)</f>
        <v>0</v>
      </c>
      <c r="H442" s="50">
        <f>VLOOKUP(B442,aa!B:O,14,0)</f>
        <v>0</v>
      </c>
      <c r="I442" s="50">
        <f>VLOOKUP(B442,aa!B:R,17,0)</f>
        <v>2456259</v>
      </c>
      <c r="K442" s="50" t="s">
        <v>193</v>
      </c>
      <c r="L442" s="50">
        <v>2719265</v>
      </c>
      <c r="M442" s="50">
        <v>3150845</v>
      </c>
      <c r="N442" s="50">
        <v>321600</v>
      </c>
      <c r="O442" s="50">
        <v>268</v>
      </c>
      <c r="P442" s="50" t="s">
        <v>880</v>
      </c>
      <c r="Q442" s="50">
        <v>0</v>
      </c>
      <c r="R442" s="50">
        <v>0</v>
      </c>
      <c r="T442" s="50">
        <v>2397665</v>
      </c>
      <c r="U442" s="50">
        <v>972</v>
      </c>
      <c r="V442" s="50" t="s">
        <v>13319</v>
      </c>
      <c r="W442" s="50" t="s">
        <v>102</v>
      </c>
      <c r="X442" s="50" t="s">
        <v>103</v>
      </c>
      <c r="Y442" s="50" t="s">
        <v>801</v>
      </c>
      <c r="AA442" s="50" t="s">
        <v>13320</v>
      </c>
      <c r="AB442" s="50" t="s">
        <v>13321</v>
      </c>
      <c r="AC442" s="50" t="s">
        <v>13322</v>
      </c>
      <c r="AD442" s="50" t="s">
        <v>13321</v>
      </c>
      <c r="AE442" s="50" t="s">
        <v>13323</v>
      </c>
      <c r="AF442" s="50" t="s">
        <v>13324</v>
      </c>
      <c r="AG442" s="50" t="s">
        <v>13325</v>
      </c>
      <c r="AH442" s="50" t="s">
        <v>13324</v>
      </c>
      <c r="AI442" s="50" t="s">
        <v>13326</v>
      </c>
      <c r="AJ442" s="50" t="s">
        <v>13327</v>
      </c>
      <c r="AK442" s="50" t="s">
        <v>13328</v>
      </c>
      <c r="AL442" s="50" t="s">
        <v>13329</v>
      </c>
      <c r="AM442" s="50" t="s">
        <v>13330</v>
      </c>
      <c r="AN442" s="50" t="s">
        <v>13331</v>
      </c>
      <c r="AO442" s="50" t="s">
        <v>13332</v>
      </c>
      <c r="AP442" s="50" t="s">
        <v>13332</v>
      </c>
      <c r="AU442" s="50" t="s">
        <v>247</v>
      </c>
      <c r="AV442" s="50" t="s">
        <v>118</v>
      </c>
      <c r="AW442" s="50" t="s">
        <v>102</v>
      </c>
      <c r="AX442" s="50" t="s">
        <v>119</v>
      </c>
      <c r="BA442" s="50" t="s">
        <v>250</v>
      </c>
      <c r="BB442" s="50" t="s">
        <v>120</v>
      </c>
      <c r="BC442" s="50" t="s">
        <v>555</v>
      </c>
      <c r="BD442" s="50" t="s">
        <v>556</v>
      </c>
      <c r="BE442" s="50" t="s">
        <v>122</v>
      </c>
      <c r="BF442" s="50" t="s">
        <v>557</v>
      </c>
      <c r="BG442" s="50" t="s">
        <v>124</v>
      </c>
      <c r="BH442" s="50" t="s">
        <v>11959</v>
      </c>
      <c r="BI442" s="50" t="s">
        <v>11889</v>
      </c>
      <c r="BJ442" s="50" t="s">
        <v>127</v>
      </c>
      <c r="BK442" s="50" t="s">
        <v>13333</v>
      </c>
      <c r="BL442" s="50" t="s">
        <v>2436</v>
      </c>
      <c r="BM442" s="50" t="s">
        <v>13334</v>
      </c>
      <c r="BN442" s="50" t="s">
        <v>13318</v>
      </c>
      <c r="BO442" s="50" t="s">
        <v>1142</v>
      </c>
      <c r="BP442" s="50" t="s">
        <v>350</v>
      </c>
      <c r="BQ442" s="50" t="s">
        <v>1143</v>
      </c>
      <c r="BR442" s="50" t="s">
        <v>1144</v>
      </c>
      <c r="BS442" s="50" t="s">
        <v>566</v>
      </c>
      <c r="BU442" s="50" t="s">
        <v>13335</v>
      </c>
      <c r="BV442" s="50" t="s">
        <v>2439</v>
      </c>
      <c r="BW442" s="50" t="s">
        <v>138</v>
      </c>
      <c r="BX442" s="50" t="s">
        <v>2442</v>
      </c>
      <c r="BY442" s="50" t="s">
        <v>2441</v>
      </c>
      <c r="BZ442" s="50" t="s">
        <v>2442</v>
      </c>
      <c r="CA442" s="50" t="s">
        <v>2439</v>
      </c>
      <c r="CB442" s="50" t="s">
        <v>2442</v>
      </c>
      <c r="CC442" s="50" t="s">
        <v>2441</v>
      </c>
      <c r="CD442" s="50" t="s">
        <v>2439</v>
      </c>
      <c r="CE442" s="50" t="s">
        <v>2442</v>
      </c>
      <c r="CF442" s="50" t="s">
        <v>2441</v>
      </c>
      <c r="CG442" s="50" t="s">
        <v>102</v>
      </c>
      <c r="CH442" s="50" t="s">
        <v>13336</v>
      </c>
      <c r="CJ442" s="50" t="s">
        <v>2447</v>
      </c>
      <c r="CL442" s="50" t="s">
        <v>555</v>
      </c>
      <c r="CM442" s="50" t="s">
        <v>556</v>
      </c>
      <c r="CN442" s="50" t="s">
        <v>2447</v>
      </c>
      <c r="CO442" s="50" t="s">
        <v>2448</v>
      </c>
      <c r="CP442" s="50" t="s">
        <v>2446</v>
      </c>
      <c r="CQ442" s="50" t="s">
        <v>2446</v>
      </c>
    </row>
    <row r="443" spans="1:96">
      <c r="A443" s="50" t="s">
        <v>337</v>
      </c>
      <c r="B443" s="50">
        <v>5045565</v>
      </c>
      <c r="C443" s="50" t="s">
        <v>183</v>
      </c>
      <c r="D443" s="50" t="s">
        <v>20458</v>
      </c>
      <c r="E443" s="50" t="e">
        <f>VLOOKUP(B443,aa!B:F,5,0)</f>
        <v>#N/A</v>
      </c>
      <c r="F443" s="50" t="e">
        <f>VLOOKUP(B443,aa!B:J,9,0)</f>
        <v>#N/A</v>
      </c>
      <c r="G443" s="50" t="e">
        <f>VLOOKUP(B443,aa!B:L,11,0)</f>
        <v>#N/A</v>
      </c>
      <c r="H443" s="50" t="e">
        <f>VLOOKUP(B443,aa!B:O,14,0)</f>
        <v>#N/A</v>
      </c>
      <c r="I443" s="50" t="e">
        <f>VLOOKUP(B443,aa!B:R,17,0)</f>
        <v>#N/A</v>
      </c>
      <c r="K443" s="50" t="s">
        <v>152</v>
      </c>
      <c r="L443" s="50">
        <v>76188</v>
      </c>
      <c r="M443" s="50">
        <v>76188</v>
      </c>
      <c r="N443" s="50">
        <v>0</v>
      </c>
      <c r="O443" s="50">
        <v>0</v>
      </c>
      <c r="Q443" s="50">
        <v>76188</v>
      </c>
      <c r="R443" s="50">
        <v>121</v>
      </c>
      <c r="S443" s="50" t="s">
        <v>7219</v>
      </c>
      <c r="T443" s="50">
        <v>0</v>
      </c>
      <c r="U443" s="50">
        <v>0</v>
      </c>
      <c r="W443" s="50" t="s">
        <v>102</v>
      </c>
      <c r="X443" s="50" t="s">
        <v>275</v>
      </c>
      <c r="Z443" s="50" t="s">
        <v>11932</v>
      </c>
      <c r="AA443" s="50" t="s">
        <v>109</v>
      </c>
      <c r="AB443" s="50" t="s">
        <v>102</v>
      </c>
      <c r="AC443" s="50" t="s">
        <v>109</v>
      </c>
      <c r="AD443" s="50" t="s">
        <v>102</v>
      </c>
      <c r="AE443" s="50" t="s">
        <v>109</v>
      </c>
      <c r="AF443" s="50" t="s">
        <v>102</v>
      </c>
      <c r="AG443" s="50" t="s">
        <v>109</v>
      </c>
      <c r="AH443" s="50" t="s">
        <v>102</v>
      </c>
      <c r="AI443" s="50" t="s">
        <v>102</v>
      </c>
      <c r="AJ443" s="50" t="s">
        <v>4563</v>
      </c>
      <c r="AK443" s="50" t="s">
        <v>4563</v>
      </c>
      <c r="AL443" s="50" t="s">
        <v>20459</v>
      </c>
      <c r="AM443" s="50" t="s">
        <v>20459</v>
      </c>
      <c r="AN443" s="50" t="s">
        <v>102</v>
      </c>
      <c r="AO443" s="50" t="s">
        <v>18394</v>
      </c>
      <c r="AP443" s="50" t="s">
        <v>18394</v>
      </c>
      <c r="AU443" s="50" t="s">
        <v>102</v>
      </c>
      <c r="AW443" s="50" t="s">
        <v>104</v>
      </c>
      <c r="AX443" s="50" t="s">
        <v>447</v>
      </c>
      <c r="AY443" s="50" t="s">
        <v>170</v>
      </c>
      <c r="AZ443" s="50" t="s">
        <v>118</v>
      </c>
      <c r="BB443" s="50" t="s">
        <v>1964</v>
      </c>
      <c r="BC443" s="50" t="s">
        <v>18395</v>
      </c>
      <c r="BD443" s="50" t="s">
        <v>376</v>
      </c>
      <c r="BE443" s="50" t="s">
        <v>174</v>
      </c>
      <c r="BF443" s="50" t="s">
        <v>376</v>
      </c>
      <c r="BG443" s="50" t="s">
        <v>124</v>
      </c>
      <c r="BH443" s="50" t="s">
        <v>1331</v>
      </c>
      <c r="BI443" s="50" t="s">
        <v>12931</v>
      </c>
      <c r="BJ443" s="50" t="s">
        <v>127</v>
      </c>
      <c r="BK443" s="50" t="s">
        <v>20460</v>
      </c>
      <c r="BL443" s="50" t="s">
        <v>20461</v>
      </c>
      <c r="BM443" s="50" t="s">
        <v>20462</v>
      </c>
      <c r="BN443" s="50" t="s">
        <v>15564</v>
      </c>
      <c r="BO443" s="50" t="s">
        <v>5026</v>
      </c>
      <c r="BP443" s="50" t="s">
        <v>180</v>
      </c>
      <c r="BQ443" s="50" t="s">
        <v>5027</v>
      </c>
      <c r="BR443" s="50" t="s">
        <v>5028</v>
      </c>
      <c r="BS443" s="50" t="s">
        <v>1834</v>
      </c>
      <c r="BU443" s="50" t="s">
        <v>20463</v>
      </c>
      <c r="BV443" s="50" t="s">
        <v>20464</v>
      </c>
      <c r="BW443" s="50" t="s">
        <v>138</v>
      </c>
      <c r="BX443" s="50" t="s">
        <v>18401</v>
      </c>
      <c r="BY443" s="50" t="s">
        <v>20465</v>
      </c>
      <c r="BZ443" s="50" t="s">
        <v>20466</v>
      </c>
      <c r="CA443" s="50" t="s">
        <v>20464</v>
      </c>
      <c r="CB443" s="50" t="s">
        <v>20466</v>
      </c>
      <c r="CC443" s="50" t="s">
        <v>20465</v>
      </c>
      <c r="CD443" s="50" t="s">
        <v>20464</v>
      </c>
      <c r="CE443" s="50" t="s">
        <v>20466</v>
      </c>
      <c r="CF443" s="50" t="s">
        <v>20465</v>
      </c>
      <c r="CG443" s="50" t="s">
        <v>364</v>
      </c>
      <c r="CH443" s="50" t="s">
        <v>20467</v>
      </c>
      <c r="CJ443" s="50" t="s">
        <v>18405</v>
      </c>
      <c r="CK443" s="50" t="s">
        <v>20467</v>
      </c>
      <c r="CL443" s="50" t="s">
        <v>18395</v>
      </c>
      <c r="CM443" s="50" t="s">
        <v>376</v>
      </c>
      <c r="CN443" s="50" t="s">
        <v>18405</v>
      </c>
      <c r="CP443" s="50" t="s">
        <v>20468</v>
      </c>
      <c r="CQ443" s="50" t="s">
        <v>20468</v>
      </c>
      <c r="CR443" s="50" t="s">
        <v>26046</v>
      </c>
    </row>
    <row r="444" spans="1:96">
      <c r="A444" s="50" t="s">
        <v>149</v>
      </c>
      <c r="B444" s="50">
        <v>5014778</v>
      </c>
      <c r="C444" s="50" t="s">
        <v>13158</v>
      </c>
      <c r="D444" s="50" t="s">
        <v>9292</v>
      </c>
      <c r="E444" s="50" t="e">
        <f>VLOOKUP(B444,aa!B:F,5,0)</f>
        <v>#N/A</v>
      </c>
      <c r="F444" s="50" t="e">
        <f>VLOOKUP(B444,aa!B:J,9,0)</f>
        <v>#N/A</v>
      </c>
      <c r="G444" s="50" t="e">
        <f>VLOOKUP(B444,aa!B:L,11,0)</f>
        <v>#N/A</v>
      </c>
      <c r="H444" s="50" t="e">
        <f>VLOOKUP(B444,aa!B:O,14,0)</f>
        <v>#N/A</v>
      </c>
      <c r="I444" s="50" t="e">
        <f>VLOOKUP(B444,aa!B:R,17,0)</f>
        <v>#N/A</v>
      </c>
      <c r="K444" s="50" t="s">
        <v>675</v>
      </c>
      <c r="L444" s="50">
        <v>648470</v>
      </c>
      <c r="M444" s="50">
        <v>648470</v>
      </c>
      <c r="N444" s="50">
        <v>116500</v>
      </c>
      <c r="O444" s="50">
        <v>620</v>
      </c>
      <c r="P444" s="50" t="s">
        <v>18613</v>
      </c>
      <c r="Q444" s="50">
        <v>531970</v>
      </c>
      <c r="R444" s="50">
        <v>380</v>
      </c>
      <c r="S444" s="50" t="s">
        <v>4289</v>
      </c>
      <c r="T444" s="50">
        <v>0</v>
      </c>
      <c r="U444" s="50">
        <v>0</v>
      </c>
      <c r="W444" s="50" t="s">
        <v>102</v>
      </c>
      <c r="X444" s="50" t="s">
        <v>679</v>
      </c>
      <c r="Y444" s="50" t="s">
        <v>104</v>
      </c>
      <c r="Z444" s="50" t="s">
        <v>12040</v>
      </c>
      <c r="AA444" s="50" t="s">
        <v>15486</v>
      </c>
      <c r="AB444" s="50" t="s">
        <v>18614</v>
      </c>
      <c r="AC444" s="50" t="s">
        <v>13263</v>
      </c>
      <c r="AD444" s="50" t="s">
        <v>18614</v>
      </c>
      <c r="AE444" s="50" t="s">
        <v>109</v>
      </c>
      <c r="AF444" s="50" t="s">
        <v>102</v>
      </c>
      <c r="AG444" s="50" t="s">
        <v>109</v>
      </c>
      <c r="AH444" s="50" t="s">
        <v>102</v>
      </c>
      <c r="AI444" s="50" t="s">
        <v>102</v>
      </c>
      <c r="AJ444" s="50" t="s">
        <v>12086</v>
      </c>
      <c r="AK444" s="50" t="s">
        <v>12086</v>
      </c>
      <c r="AL444" s="50" t="s">
        <v>18615</v>
      </c>
      <c r="AM444" s="50" t="s">
        <v>18616</v>
      </c>
      <c r="AN444" s="50" t="s">
        <v>18617</v>
      </c>
      <c r="AO444" s="50" t="s">
        <v>18618</v>
      </c>
      <c r="AP444" s="50" t="s">
        <v>18618</v>
      </c>
      <c r="AU444" s="50" t="s">
        <v>588</v>
      </c>
      <c r="AV444" s="50" t="s">
        <v>2203</v>
      </c>
      <c r="AW444" s="50" t="s">
        <v>655</v>
      </c>
      <c r="AX444" s="50" t="s">
        <v>119</v>
      </c>
      <c r="AZ444" s="50" t="s">
        <v>250</v>
      </c>
      <c r="BB444" s="50" t="s">
        <v>120</v>
      </c>
      <c r="BC444" s="50" t="s">
        <v>284</v>
      </c>
      <c r="BD444" s="50" t="s">
        <v>285</v>
      </c>
      <c r="BE444" s="50" t="s">
        <v>212</v>
      </c>
      <c r="BF444" s="50" t="s">
        <v>286</v>
      </c>
      <c r="BG444" s="50" t="s">
        <v>124</v>
      </c>
      <c r="BH444" s="50" t="s">
        <v>11959</v>
      </c>
      <c r="BI444" s="50" t="s">
        <v>12963</v>
      </c>
      <c r="BJ444" s="50" t="s">
        <v>127</v>
      </c>
      <c r="BK444" s="50" t="s">
        <v>18619</v>
      </c>
      <c r="BL444" s="50" t="s">
        <v>9301</v>
      </c>
      <c r="BM444" s="50" t="s">
        <v>18620</v>
      </c>
      <c r="BN444" s="50" t="s">
        <v>18612</v>
      </c>
      <c r="BO444" s="50" t="s">
        <v>290</v>
      </c>
      <c r="BP444" s="50" t="s">
        <v>132</v>
      </c>
      <c r="BQ444" s="50" t="s">
        <v>291</v>
      </c>
      <c r="BR444" s="50" t="s">
        <v>292</v>
      </c>
      <c r="BS444" s="50" t="s">
        <v>293</v>
      </c>
      <c r="BU444" s="50" t="s">
        <v>18621</v>
      </c>
      <c r="BV444" s="50" t="s">
        <v>18622</v>
      </c>
      <c r="BW444" s="50" t="s">
        <v>598</v>
      </c>
      <c r="BX444" s="50" t="s">
        <v>18623</v>
      </c>
      <c r="BY444" s="50" t="s">
        <v>18624</v>
      </c>
      <c r="BZ444" s="50" t="s">
        <v>9307</v>
      </c>
      <c r="CA444" s="50" t="s">
        <v>9308</v>
      </c>
      <c r="CB444" s="50" t="s">
        <v>9309</v>
      </c>
      <c r="CC444" s="50" t="s">
        <v>18625</v>
      </c>
      <c r="CD444" s="50" t="s">
        <v>18626</v>
      </c>
      <c r="CE444" s="50" t="s">
        <v>9312</v>
      </c>
      <c r="CF444" s="50" t="s">
        <v>9310</v>
      </c>
      <c r="CG444" s="50" t="s">
        <v>102</v>
      </c>
      <c r="CH444" s="50" t="s">
        <v>18627</v>
      </c>
      <c r="CJ444" s="50" t="s">
        <v>9314</v>
      </c>
      <c r="CL444" s="50" t="s">
        <v>284</v>
      </c>
      <c r="CM444" s="50" t="s">
        <v>285</v>
      </c>
      <c r="CN444" s="50" t="s">
        <v>9314</v>
      </c>
      <c r="CP444" s="50" t="s">
        <v>9316</v>
      </c>
      <c r="CQ444" s="50" t="s">
        <v>9316</v>
      </c>
    </row>
    <row r="445" spans="1:96">
      <c r="A445" s="50" t="s">
        <v>149</v>
      </c>
      <c r="B445" s="50">
        <v>3745576</v>
      </c>
      <c r="C445" s="50" t="s">
        <v>2525</v>
      </c>
      <c r="D445" s="50" t="s">
        <v>7252</v>
      </c>
      <c r="E445" s="50" t="e">
        <f>VLOOKUP(B445,aa!B:F,5,0)</f>
        <v>#N/A</v>
      </c>
      <c r="F445" s="50" t="e">
        <f>VLOOKUP(B445,aa!B:J,9,0)</f>
        <v>#N/A</v>
      </c>
      <c r="G445" s="50" t="e">
        <f>VLOOKUP(B445,aa!B:L,11,0)</f>
        <v>#N/A</v>
      </c>
      <c r="H445" s="50" t="e">
        <f>VLOOKUP(B445,aa!B:O,14,0)</f>
        <v>#N/A</v>
      </c>
      <c r="I445" s="50" t="e">
        <f>VLOOKUP(B445,aa!B:R,17,0)</f>
        <v>#N/A</v>
      </c>
      <c r="K445" s="50" t="s">
        <v>193</v>
      </c>
      <c r="L445" s="50">
        <v>1272931</v>
      </c>
      <c r="M445" s="50">
        <v>1444808</v>
      </c>
      <c r="N445" s="50">
        <v>318060</v>
      </c>
      <c r="O445" s="50">
        <v>540</v>
      </c>
      <c r="P445" s="50" t="s">
        <v>16809</v>
      </c>
      <c r="Q445" s="50">
        <v>0</v>
      </c>
      <c r="R445" s="50">
        <v>0</v>
      </c>
      <c r="T445" s="50">
        <v>954871</v>
      </c>
      <c r="U445" s="50">
        <v>682</v>
      </c>
      <c r="V445" s="50" t="s">
        <v>4289</v>
      </c>
      <c r="W445" s="50" t="s">
        <v>102</v>
      </c>
      <c r="X445" s="50" t="s">
        <v>679</v>
      </c>
      <c r="Y445" s="50" t="s">
        <v>398</v>
      </c>
      <c r="Z445" s="50" t="s">
        <v>126</v>
      </c>
      <c r="AA445" s="50" t="s">
        <v>16810</v>
      </c>
      <c r="AB445" s="50" t="s">
        <v>16811</v>
      </c>
      <c r="AC445" s="50" t="s">
        <v>12593</v>
      </c>
      <c r="AD445" s="50" t="s">
        <v>16812</v>
      </c>
      <c r="AE445" s="50" t="s">
        <v>12216</v>
      </c>
      <c r="AF445" s="50" t="s">
        <v>16812</v>
      </c>
      <c r="AG445" s="50" t="s">
        <v>109</v>
      </c>
      <c r="AH445" s="50" t="s">
        <v>102</v>
      </c>
      <c r="AI445" s="50" t="s">
        <v>102</v>
      </c>
      <c r="AJ445" s="50" t="s">
        <v>12063</v>
      </c>
      <c r="AK445" s="50" t="s">
        <v>12063</v>
      </c>
      <c r="AL445" s="50" t="s">
        <v>16813</v>
      </c>
      <c r="AM445" s="50" t="s">
        <v>16814</v>
      </c>
      <c r="AN445" s="50" t="s">
        <v>16815</v>
      </c>
      <c r="AO445" s="50" t="s">
        <v>16816</v>
      </c>
      <c r="AP445" s="50" t="s">
        <v>16817</v>
      </c>
      <c r="AQ445" s="50" t="s">
        <v>343</v>
      </c>
      <c r="AT445" s="50" t="s">
        <v>169</v>
      </c>
      <c r="AU445" s="50" t="s">
        <v>207</v>
      </c>
      <c r="AV445" s="50" t="s">
        <v>250</v>
      </c>
      <c r="AW445" s="50" t="s">
        <v>102</v>
      </c>
      <c r="AX445" s="50" t="s">
        <v>119</v>
      </c>
      <c r="BA445" s="50" t="s">
        <v>250</v>
      </c>
      <c r="BB445" s="50" t="s">
        <v>120</v>
      </c>
      <c r="BC445" s="50" t="s">
        <v>7266</v>
      </c>
      <c r="BD445" s="50" t="s">
        <v>730</v>
      </c>
      <c r="BE445" s="50" t="s">
        <v>622</v>
      </c>
      <c r="BF445" s="50" t="s">
        <v>730</v>
      </c>
      <c r="BG445" s="50" t="s">
        <v>124</v>
      </c>
      <c r="BH445" s="50" t="s">
        <v>16818</v>
      </c>
      <c r="BI445" s="50" t="s">
        <v>11889</v>
      </c>
      <c r="BJ445" s="50" t="s">
        <v>127</v>
      </c>
      <c r="BK445" s="50" t="s">
        <v>16819</v>
      </c>
      <c r="BL445" s="50" t="s">
        <v>7268</v>
      </c>
      <c r="BM445" s="50" t="s">
        <v>16820</v>
      </c>
      <c r="BN445" s="50" t="s">
        <v>16808</v>
      </c>
      <c r="BO445" s="50" t="s">
        <v>3606</v>
      </c>
      <c r="BP445" s="50" t="s">
        <v>350</v>
      </c>
      <c r="BQ445" s="50" t="s">
        <v>3607</v>
      </c>
      <c r="BR445" s="50" t="s">
        <v>3608</v>
      </c>
      <c r="BS445" s="50" t="s">
        <v>2525</v>
      </c>
      <c r="BU445" s="50" t="s">
        <v>16821</v>
      </c>
      <c r="BV445" s="50" t="s">
        <v>16822</v>
      </c>
      <c r="BW445" s="50" t="s">
        <v>354</v>
      </c>
      <c r="BX445" s="50" t="s">
        <v>7274</v>
      </c>
      <c r="BY445" s="50" t="s">
        <v>10188</v>
      </c>
      <c r="BZ445" s="50" t="s">
        <v>7274</v>
      </c>
      <c r="CA445" s="50" t="s">
        <v>16823</v>
      </c>
      <c r="CB445" s="50" t="s">
        <v>16824</v>
      </c>
      <c r="CC445" s="50" t="s">
        <v>16825</v>
      </c>
      <c r="CD445" s="50" t="s">
        <v>16826</v>
      </c>
      <c r="CE445" s="50" t="s">
        <v>16827</v>
      </c>
      <c r="CF445" s="50" t="s">
        <v>16828</v>
      </c>
      <c r="CG445" s="50" t="s">
        <v>102</v>
      </c>
      <c r="CH445" s="50" t="s">
        <v>7281</v>
      </c>
      <c r="CJ445" s="50" t="s">
        <v>7282</v>
      </c>
      <c r="CL445" s="50" t="s">
        <v>7266</v>
      </c>
      <c r="CM445" s="50" t="s">
        <v>730</v>
      </c>
      <c r="CN445" s="50" t="s">
        <v>7282</v>
      </c>
      <c r="CP445" s="50" t="s">
        <v>7281</v>
      </c>
      <c r="CQ445" s="50" t="s">
        <v>7281</v>
      </c>
    </row>
    <row r="446" spans="1:96">
      <c r="A446" s="50" t="s">
        <v>149</v>
      </c>
      <c r="B446" s="50">
        <v>1649456</v>
      </c>
      <c r="C446" s="50" t="s">
        <v>12121</v>
      </c>
      <c r="D446" s="50" t="s">
        <v>1421</v>
      </c>
      <c r="E446" s="50" t="e">
        <f>VLOOKUP(B446,aa!B:F,5,0)</f>
        <v>#N/A</v>
      </c>
      <c r="F446" s="50" t="e">
        <f>VLOOKUP(B446,aa!B:J,9,0)</f>
        <v>#N/A</v>
      </c>
      <c r="G446" s="50" t="e">
        <f>VLOOKUP(B446,aa!B:L,11,0)</f>
        <v>#N/A</v>
      </c>
      <c r="H446" s="50" t="e">
        <f>VLOOKUP(B446,aa!B:O,14,0)</f>
        <v>#N/A</v>
      </c>
      <c r="I446" s="50" t="e">
        <f>VLOOKUP(B446,aa!B:R,17,0)</f>
        <v>#N/A</v>
      </c>
      <c r="K446" s="50" t="s">
        <v>152</v>
      </c>
      <c r="L446" s="50">
        <v>1015162</v>
      </c>
      <c r="M446" s="50">
        <v>1015162</v>
      </c>
      <c r="N446" s="50">
        <v>0</v>
      </c>
      <c r="O446" s="50">
        <v>0</v>
      </c>
      <c r="Q446" s="50">
        <v>1015162</v>
      </c>
      <c r="R446" s="50">
        <v>752</v>
      </c>
      <c r="S446" s="50" t="s">
        <v>397</v>
      </c>
      <c r="T446" s="50">
        <v>0</v>
      </c>
      <c r="U446" s="50">
        <v>0</v>
      </c>
      <c r="W446" s="50" t="s">
        <v>102</v>
      </c>
      <c r="X446" s="50" t="s">
        <v>103</v>
      </c>
      <c r="Y446" s="50" t="s">
        <v>155</v>
      </c>
      <c r="AA446" s="50" t="s">
        <v>11976</v>
      </c>
      <c r="AB446" s="50" t="s">
        <v>12727</v>
      </c>
      <c r="AC446" s="50" t="s">
        <v>12082</v>
      </c>
      <c r="AD446" s="50" t="s">
        <v>12727</v>
      </c>
      <c r="AE446" s="50" t="s">
        <v>5651</v>
      </c>
      <c r="AF446" s="50" t="s">
        <v>12727</v>
      </c>
      <c r="AG446" s="50" t="s">
        <v>11888</v>
      </c>
      <c r="AH446" s="50" t="s">
        <v>12727</v>
      </c>
      <c r="AI446" s="50" t="s">
        <v>102</v>
      </c>
      <c r="AJ446" s="50" t="s">
        <v>12728</v>
      </c>
      <c r="AK446" s="50" t="s">
        <v>12729</v>
      </c>
      <c r="AL446" s="50" t="s">
        <v>12730</v>
      </c>
      <c r="AM446" s="50" t="s">
        <v>12731</v>
      </c>
      <c r="AN446" s="50" t="s">
        <v>12732</v>
      </c>
      <c r="AO446" s="50" t="s">
        <v>12733</v>
      </c>
      <c r="AP446" s="50" t="s">
        <v>12733</v>
      </c>
      <c r="AU446" s="50" t="s">
        <v>102</v>
      </c>
      <c r="AW446" s="50" t="s">
        <v>155</v>
      </c>
      <c r="AX446" s="50" t="s">
        <v>119</v>
      </c>
      <c r="AY446" s="50" t="s">
        <v>170</v>
      </c>
      <c r="AZ446" s="50" t="s">
        <v>118</v>
      </c>
      <c r="BB446" s="50" t="s">
        <v>120</v>
      </c>
      <c r="BC446" s="50" t="s">
        <v>1433</v>
      </c>
      <c r="BD446" s="50" t="s">
        <v>556</v>
      </c>
      <c r="BE446" s="50" t="s">
        <v>122</v>
      </c>
      <c r="BF446" s="50" t="s">
        <v>557</v>
      </c>
      <c r="BG446" s="50" t="s">
        <v>124</v>
      </c>
      <c r="BH446" s="50" t="s">
        <v>11959</v>
      </c>
      <c r="BI446" s="50" t="s">
        <v>11889</v>
      </c>
      <c r="BJ446" s="50" t="s">
        <v>127</v>
      </c>
      <c r="BK446" s="50" t="s">
        <v>12734</v>
      </c>
      <c r="BL446" s="50" t="s">
        <v>1435</v>
      </c>
      <c r="BM446" s="50" t="s">
        <v>12735</v>
      </c>
      <c r="BN446" s="50" t="s">
        <v>7439</v>
      </c>
      <c r="BO446" s="50" t="s">
        <v>1142</v>
      </c>
      <c r="BP446" s="50" t="s">
        <v>350</v>
      </c>
      <c r="BQ446" s="50" t="s">
        <v>1143</v>
      </c>
      <c r="BR446" s="50" t="s">
        <v>1144</v>
      </c>
      <c r="BS446" s="50" t="s">
        <v>566</v>
      </c>
      <c r="BU446" s="50" t="s">
        <v>12736</v>
      </c>
      <c r="BV446" s="50" t="s">
        <v>1438</v>
      </c>
      <c r="BW446" s="50" t="s">
        <v>138</v>
      </c>
      <c r="BX446" s="50" t="s">
        <v>1439</v>
      </c>
      <c r="BY446" s="50" t="s">
        <v>1440</v>
      </c>
      <c r="BZ446" s="50" t="s">
        <v>1441</v>
      </c>
      <c r="CA446" s="50" t="s">
        <v>1438</v>
      </c>
      <c r="CB446" s="50" t="s">
        <v>1439</v>
      </c>
      <c r="CC446" s="50" t="s">
        <v>1440</v>
      </c>
      <c r="CD446" s="50" t="s">
        <v>1438</v>
      </c>
      <c r="CE446" s="50" t="s">
        <v>1439</v>
      </c>
      <c r="CF446" s="50" t="s">
        <v>1440</v>
      </c>
      <c r="CG446" s="50" t="s">
        <v>102</v>
      </c>
      <c r="CH446" s="50" t="s">
        <v>1421</v>
      </c>
      <c r="CJ446" s="50" t="s">
        <v>1445</v>
      </c>
      <c r="CL446" s="50" t="s">
        <v>1433</v>
      </c>
      <c r="CM446" s="50" t="s">
        <v>556</v>
      </c>
      <c r="CN446" s="50" t="s">
        <v>1445</v>
      </c>
      <c r="CP446" s="50" t="s">
        <v>1444</v>
      </c>
      <c r="CQ446" s="50" t="s">
        <v>1444</v>
      </c>
    </row>
    <row r="447" spans="1:96">
      <c r="A447" s="50" t="s">
        <v>149</v>
      </c>
      <c r="B447" s="50">
        <v>5002504</v>
      </c>
      <c r="C447" s="50" t="s">
        <v>18464</v>
      </c>
      <c r="D447" s="50" t="s">
        <v>9076</v>
      </c>
      <c r="E447" s="50" t="e">
        <f>VLOOKUP(B447,aa!B:F,5,0)</f>
        <v>#N/A</v>
      </c>
      <c r="F447" s="50" t="e">
        <f>VLOOKUP(B447,aa!B:J,9,0)</f>
        <v>#N/A</v>
      </c>
      <c r="G447" s="50" t="e">
        <f>VLOOKUP(B447,aa!B:L,11,0)</f>
        <v>#N/A</v>
      </c>
      <c r="H447" s="50" t="e">
        <f>VLOOKUP(B447,aa!B:O,14,0)</f>
        <v>#N/A</v>
      </c>
      <c r="I447" s="50" t="e">
        <f>VLOOKUP(B447,aa!B:R,17,0)</f>
        <v>#N/A</v>
      </c>
      <c r="K447" s="50" t="s">
        <v>1746</v>
      </c>
      <c r="L447" s="50">
        <v>0</v>
      </c>
      <c r="M447" s="50">
        <v>0</v>
      </c>
      <c r="N447" s="50">
        <v>0</v>
      </c>
      <c r="O447" s="50">
        <v>385</v>
      </c>
      <c r="P447" s="50" t="s">
        <v>102</v>
      </c>
      <c r="Q447" s="50">
        <v>0</v>
      </c>
      <c r="R447" s="50">
        <v>385</v>
      </c>
      <c r="S447" s="50" t="s">
        <v>102</v>
      </c>
      <c r="T447" s="50">
        <v>0</v>
      </c>
      <c r="U447" s="50">
        <v>525</v>
      </c>
      <c r="V447" s="50" t="s">
        <v>102</v>
      </c>
      <c r="W447" s="50" t="s">
        <v>102</v>
      </c>
      <c r="X447" s="50" t="s">
        <v>275</v>
      </c>
      <c r="Z447" s="50" t="s">
        <v>12819</v>
      </c>
      <c r="AA447" s="50" t="s">
        <v>109</v>
      </c>
      <c r="AB447" s="50" t="s">
        <v>102</v>
      </c>
      <c r="AC447" s="50" t="s">
        <v>109</v>
      </c>
      <c r="AD447" s="50" t="s">
        <v>102</v>
      </c>
      <c r="AE447" s="50" t="s">
        <v>109</v>
      </c>
      <c r="AF447" s="50" t="s">
        <v>102</v>
      </c>
      <c r="AG447" s="50" t="s">
        <v>109</v>
      </c>
      <c r="AH447" s="50" t="s">
        <v>102</v>
      </c>
      <c r="AI447" s="50" t="s">
        <v>102</v>
      </c>
      <c r="AL447" s="50" t="s">
        <v>102</v>
      </c>
      <c r="AM447" s="50" t="s">
        <v>102</v>
      </c>
      <c r="AN447" s="50" t="s">
        <v>102</v>
      </c>
      <c r="AO447" s="50" t="s">
        <v>115</v>
      </c>
      <c r="AP447" s="50" t="s">
        <v>115</v>
      </c>
      <c r="AU447" s="50" t="s">
        <v>6700</v>
      </c>
      <c r="AV447" s="50" t="s">
        <v>250</v>
      </c>
      <c r="AW447" s="50" t="s">
        <v>155</v>
      </c>
      <c r="AX447" s="50" t="s">
        <v>119</v>
      </c>
      <c r="AZ447" s="50" t="s">
        <v>250</v>
      </c>
      <c r="BA447" s="50" t="s">
        <v>250</v>
      </c>
      <c r="BB447" s="50" t="s">
        <v>120</v>
      </c>
      <c r="BC447" s="50" t="s">
        <v>9082</v>
      </c>
      <c r="BD447" s="50" t="s">
        <v>1244</v>
      </c>
      <c r="BE447" s="50" t="s">
        <v>122</v>
      </c>
      <c r="BF447" s="50" t="s">
        <v>1244</v>
      </c>
      <c r="BG447" s="50" t="s">
        <v>124</v>
      </c>
      <c r="BH447" s="50" t="s">
        <v>6715</v>
      </c>
      <c r="BI447" s="50" t="s">
        <v>11889</v>
      </c>
      <c r="BJ447" s="50" t="s">
        <v>127</v>
      </c>
      <c r="BK447" s="50" t="s">
        <v>18465</v>
      </c>
      <c r="BL447" s="50" t="s">
        <v>9085</v>
      </c>
      <c r="BM447" s="50" t="s">
        <v>18466</v>
      </c>
      <c r="BN447" s="50" t="s">
        <v>7439</v>
      </c>
      <c r="BO447" s="50" t="s">
        <v>18467</v>
      </c>
      <c r="BP447" s="50" t="s">
        <v>505</v>
      </c>
      <c r="BQ447" s="50" t="s">
        <v>18468</v>
      </c>
      <c r="BR447" s="50" t="s">
        <v>18469</v>
      </c>
      <c r="BS447" s="50" t="s">
        <v>261</v>
      </c>
      <c r="BU447" s="50" t="s">
        <v>18470</v>
      </c>
      <c r="BV447" s="50" t="s">
        <v>18471</v>
      </c>
      <c r="BW447" s="50" t="s">
        <v>354</v>
      </c>
      <c r="BX447" s="50" t="s">
        <v>10448</v>
      </c>
      <c r="BY447" s="50" t="s">
        <v>9098</v>
      </c>
      <c r="BZ447" s="50" t="s">
        <v>9095</v>
      </c>
      <c r="CA447" s="50" t="s">
        <v>18471</v>
      </c>
      <c r="CB447" s="50" t="s">
        <v>10448</v>
      </c>
      <c r="CC447" s="50" t="s">
        <v>9098</v>
      </c>
      <c r="CD447" s="50" t="s">
        <v>18471</v>
      </c>
      <c r="CE447" s="50" t="s">
        <v>10448</v>
      </c>
      <c r="CF447" s="50" t="s">
        <v>9098</v>
      </c>
      <c r="CG447" s="50" t="s">
        <v>102</v>
      </c>
      <c r="CH447" s="50" t="s">
        <v>18472</v>
      </c>
      <c r="CJ447" s="50" t="s">
        <v>9102</v>
      </c>
      <c r="CL447" s="50" t="s">
        <v>9082</v>
      </c>
      <c r="CM447" s="50" t="s">
        <v>1244</v>
      </c>
      <c r="CN447" s="50" t="s">
        <v>9102</v>
      </c>
      <c r="CP447" s="50" t="s">
        <v>9103</v>
      </c>
      <c r="CQ447" s="50" t="s">
        <v>9103</v>
      </c>
    </row>
    <row r="448" spans="1:96">
      <c r="A448" s="50" t="s">
        <v>337</v>
      </c>
      <c r="B448" s="50">
        <v>5044593</v>
      </c>
      <c r="C448" s="50" t="s">
        <v>632</v>
      </c>
      <c r="D448" s="50" t="s">
        <v>20409</v>
      </c>
      <c r="E448" s="50" t="e">
        <f>VLOOKUP(B448,aa!B:F,5,0)</f>
        <v>#N/A</v>
      </c>
      <c r="F448" s="50" t="e">
        <f>VLOOKUP(B448,aa!B:J,9,0)</f>
        <v>#N/A</v>
      </c>
      <c r="G448" s="50" t="e">
        <f>VLOOKUP(B448,aa!B:L,11,0)</f>
        <v>#N/A</v>
      </c>
      <c r="H448" s="50" t="e">
        <f>VLOOKUP(B448,aa!B:O,14,0)</f>
        <v>#N/A</v>
      </c>
      <c r="I448" s="50" t="e">
        <f>VLOOKUP(B448,aa!B:R,17,0)</f>
        <v>#N/A</v>
      </c>
      <c r="K448" s="50" t="s">
        <v>152</v>
      </c>
      <c r="L448" s="50">
        <v>112206</v>
      </c>
      <c r="M448" s="50">
        <v>112206</v>
      </c>
      <c r="N448" s="50">
        <v>0</v>
      </c>
      <c r="O448" s="50">
        <v>0</v>
      </c>
      <c r="Q448" s="50">
        <v>112206</v>
      </c>
      <c r="R448" s="50">
        <v>187</v>
      </c>
      <c r="S448" s="50" t="s">
        <v>310</v>
      </c>
      <c r="T448" s="50">
        <v>0</v>
      </c>
      <c r="U448" s="50">
        <v>0</v>
      </c>
      <c r="W448" s="50" t="s">
        <v>102</v>
      </c>
      <c r="X448" s="50" t="s">
        <v>103</v>
      </c>
      <c r="Y448" s="50" t="s">
        <v>398</v>
      </c>
      <c r="AA448" s="50" t="s">
        <v>12890</v>
      </c>
      <c r="AB448" s="50" t="s">
        <v>20410</v>
      </c>
      <c r="AC448" s="50" t="s">
        <v>12800</v>
      </c>
      <c r="AD448" s="50" t="s">
        <v>20411</v>
      </c>
      <c r="AE448" s="50" t="s">
        <v>12713</v>
      </c>
      <c r="AF448" s="50" t="s">
        <v>20410</v>
      </c>
      <c r="AG448" s="50" t="s">
        <v>109</v>
      </c>
      <c r="AH448" s="50" t="s">
        <v>102</v>
      </c>
      <c r="AI448" s="50" t="s">
        <v>102</v>
      </c>
      <c r="AJ448" s="50" t="s">
        <v>1408</v>
      </c>
      <c r="AK448" s="50" t="s">
        <v>19723</v>
      </c>
      <c r="AL448" s="50" t="s">
        <v>20412</v>
      </c>
      <c r="AM448" s="50" t="s">
        <v>20413</v>
      </c>
      <c r="AN448" s="50" t="s">
        <v>20414</v>
      </c>
      <c r="AO448" s="50" t="s">
        <v>3677</v>
      </c>
      <c r="AP448" s="50" t="s">
        <v>3677</v>
      </c>
      <c r="AU448" s="50" t="s">
        <v>102</v>
      </c>
      <c r="AW448" s="50" t="s">
        <v>104</v>
      </c>
      <c r="AX448" s="50" t="s">
        <v>119</v>
      </c>
      <c r="AY448" s="50" t="s">
        <v>170</v>
      </c>
      <c r="AZ448" s="50" t="s">
        <v>118</v>
      </c>
      <c r="BB448" s="50" t="s">
        <v>18534</v>
      </c>
      <c r="BC448" s="50" t="s">
        <v>623</v>
      </c>
      <c r="BD448" s="50" t="s">
        <v>621</v>
      </c>
      <c r="BE448" s="50" t="s">
        <v>622</v>
      </c>
      <c r="BF448" s="50" t="s">
        <v>623</v>
      </c>
      <c r="BG448" s="50" t="s">
        <v>124</v>
      </c>
      <c r="BH448" s="50" t="s">
        <v>11976</v>
      </c>
      <c r="BI448" s="50" t="s">
        <v>12047</v>
      </c>
      <c r="BJ448" s="50" t="s">
        <v>127</v>
      </c>
      <c r="BK448" s="50" t="s">
        <v>20415</v>
      </c>
      <c r="BL448" s="50" t="s">
        <v>20416</v>
      </c>
      <c r="BM448" s="50" t="s">
        <v>20417</v>
      </c>
      <c r="BN448" s="50" t="s">
        <v>7439</v>
      </c>
      <c r="BO448" s="50" t="s">
        <v>2284</v>
      </c>
      <c r="BP448" s="50" t="s">
        <v>180</v>
      </c>
      <c r="BQ448" s="50" t="s">
        <v>2285</v>
      </c>
      <c r="BR448" s="50" t="s">
        <v>2286</v>
      </c>
      <c r="BS448" s="50" t="s">
        <v>1342</v>
      </c>
      <c r="BU448" s="50" t="s">
        <v>20418</v>
      </c>
      <c r="BV448" s="50" t="s">
        <v>20419</v>
      </c>
      <c r="BW448" s="50" t="s">
        <v>138</v>
      </c>
      <c r="BX448" s="50" t="s">
        <v>20420</v>
      </c>
      <c r="BY448" s="50" t="s">
        <v>20421</v>
      </c>
      <c r="BZ448" s="50" t="s">
        <v>20420</v>
      </c>
      <c r="CA448" s="50" t="s">
        <v>20422</v>
      </c>
      <c r="CB448" s="50" t="s">
        <v>20420</v>
      </c>
      <c r="CC448" s="50" t="s">
        <v>20421</v>
      </c>
      <c r="CD448" s="50" t="s">
        <v>20422</v>
      </c>
      <c r="CE448" s="50" t="s">
        <v>20420</v>
      </c>
      <c r="CF448" s="50" t="s">
        <v>20421</v>
      </c>
      <c r="CG448" s="50" t="s">
        <v>14701</v>
      </c>
      <c r="CH448" s="50" t="s">
        <v>20423</v>
      </c>
      <c r="CJ448" s="50" t="s">
        <v>3177</v>
      </c>
      <c r="CK448" s="50" t="s">
        <v>20423</v>
      </c>
      <c r="CL448" s="50" t="s">
        <v>623</v>
      </c>
      <c r="CM448" s="50" t="s">
        <v>621</v>
      </c>
      <c r="CN448" s="50" t="s">
        <v>3177</v>
      </c>
      <c r="CP448" s="50" t="s">
        <v>20423</v>
      </c>
      <c r="CQ448" s="50" t="s">
        <v>20423</v>
      </c>
    </row>
    <row r="449" spans="1:96">
      <c r="A449" s="50" t="s">
        <v>149</v>
      </c>
      <c r="B449" s="50">
        <v>522044</v>
      </c>
      <c r="C449" s="50" t="s">
        <v>985</v>
      </c>
      <c r="D449" s="50" t="s">
        <v>10912</v>
      </c>
      <c r="E449" s="50" t="e">
        <f>VLOOKUP(B449,aa!B:F,5,0)</f>
        <v>#N/A</v>
      </c>
      <c r="F449" s="50" t="e">
        <f>VLOOKUP(B449,aa!B:J,9,0)</f>
        <v>#N/A</v>
      </c>
      <c r="G449" s="50" t="e">
        <f>VLOOKUP(B449,aa!B:L,11,0)</f>
        <v>#N/A</v>
      </c>
      <c r="H449" s="50" t="e">
        <f>VLOOKUP(B449,aa!B:O,14,0)</f>
        <v>#N/A</v>
      </c>
      <c r="I449" s="50" t="e">
        <f>VLOOKUP(B449,aa!B:R,17,0)</f>
        <v>#N/A</v>
      </c>
      <c r="K449" s="50" t="s">
        <v>643</v>
      </c>
      <c r="L449" s="50">
        <v>2138114</v>
      </c>
      <c r="M449" s="50">
        <v>2288993</v>
      </c>
      <c r="N449" s="50">
        <v>0</v>
      </c>
      <c r="O449" s="50">
        <v>0</v>
      </c>
      <c r="Q449" s="50">
        <v>1299900</v>
      </c>
      <c r="R449" s="50">
        <v>619</v>
      </c>
      <c r="S449" s="50" t="s">
        <v>2987</v>
      </c>
      <c r="T449" s="50">
        <v>838214</v>
      </c>
      <c r="U449" s="50">
        <v>471</v>
      </c>
      <c r="V449" s="50" t="s">
        <v>4042</v>
      </c>
      <c r="W449" s="50" t="s">
        <v>102</v>
      </c>
      <c r="X449" s="50" t="s">
        <v>103</v>
      </c>
      <c r="Y449" s="50" t="s">
        <v>155</v>
      </c>
      <c r="AA449" s="50" t="s">
        <v>12819</v>
      </c>
      <c r="AB449" s="50" t="s">
        <v>21005</v>
      </c>
      <c r="AC449" s="50" t="s">
        <v>12888</v>
      </c>
      <c r="AD449" s="50" t="s">
        <v>21005</v>
      </c>
      <c r="AE449" s="50" t="s">
        <v>1427</v>
      </c>
      <c r="AF449" s="50" t="s">
        <v>21005</v>
      </c>
      <c r="AG449" s="50" t="s">
        <v>11886</v>
      </c>
      <c r="AH449" s="50" t="s">
        <v>21005</v>
      </c>
      <c r="AI449" s="50" t="s">
        <v>21006</v>
      </c>
      <c r="AJ449" s="50" t="s">
        <v>21007</v>
      </c>
      <c r="AK449" s="50" t="s">
        <v>21008</v>
      </c>
      <c r="AL449" s="50" t="s">
        <v>21009</v>
      </c>
      <c r="AM449" s="50" t="s">
        <v>21010</v>
      </c>
      <c r="AN449" s="50" t="s">
        <v>21011</v>
      </c>
      <c r="AO449" s="50" t="s">
        <v>21012</v>
      </c>
      <c r="AP449" s="50" t="s">
        <v>21012</v>
      </c>
      <c r="AU449" s="50" t="s">
        <v>102</v>
      </c>
      <c r="AW449" s="50" t="s">
        <v>3536</v>
      </c>
      <c r="AX449" s="50" t="s">
        <v>119</v>
      </c>
      <c r="AZ449" s="50" t="s">
        <v>250</v>
      </c>
      <c r="BA449" s="50" t="s">
        <v>250</v>
      </c>
      <c r="BB449" s="50" t="s">
        <v>171</v>
      </c>
      <c r="BC449" s="50" t="s">
        <v>2127</v>
      </c>
      <c r="BD449" s="50" t="s">
        <v>621</v>
      </c>
      <c r="BE449" s="50" t="s">
        <v>622</v>
      </c>
      <c r="BF449" s="50" t="s">
        <v>976</v>
      </c>
      <c r="BG449" s="50" t="s">
        <v>124</v>
      </c>
      <c r="BH449" s="50" t="s">
        <v>11932</v>
      </c>
      <c r="BI449" s="50" t="s">
        <v>11960</v>
      </c>
      <c r="BJ449" s="50" t="s">
        <v>127</v>
      </c>
      <c r="BK449" s="50" t="s">
        <v>21013</v>
      </c>
      <c r="BL449" s="50" t="s">
        <v>10924</v>
      </c>
      <c r="BM449" s="50" t="s">
        <v>21014</v>
      </c>
      <c r="BN449" s="50" t="s">
        <v>11932</v>
      </c>
      <c r="BO449" s="50" t="s">
        <v>981</v>
      </c>
      <c r="BP449" s="50" t="s">
        <v>132</v>
      </c>
      <c r="BQ449" s="50" t="s">
        <v>982</v>
      </c>
      <c r="BR449" s="50" t="s">
        <v>983</v>
      </c>
      <c r="BS449" s="50" t="s">
        <v>984</v>
      </c>
      <c r="BU449" s="50" t="s">
        <v>21015</v>
      </c>
      <c r="BV449" s="50" t="s">
        <v>10927</v>
      </c>
      <c r="BX449" s="50" t="s">
        <v>10928</v>
      </c>
      <c r="BY449" s="50" t="s">
        <v>10929</v>
      </c>
      <c r="BZ449" s="50" t="s">
        <v>10930</v>
      </c>
      <c r="CA449" s="50" t="s">
        <v>10927</v>
      </c>
      <c r="CB449" s="50" t="s">
        <v>10928</v>
      </c>
      <c r="CC449" s="50" t="s">
        <v>10929</v>
      </c>
      <c r="CD449" s="50" t="s">
        <v>21016</v>
      </c>
      <c r="CE449" s="50" t="s">
        <v>21017</v>
      </c>
      <c r="CF449" s="50" t="s">
        <v>21018</v>
      </c>
      <c r="CG449" s="50" t="s">
        <v>102</v>
      </c>
      <c r="CH449" s="50" t="s">
        <v>21019</v>
      </c>
      <c r="CJ449" s="50" t="s">
        <v>9544</v>
      </c>
      <c r="CL449" s="50" t="s">
        <v>2127</v>
      </c>
      <c r="CM449" s="50" t="s">
        <v>621</v>
      </c>
      <c r="CN449" s="50" t="s">
        <v>9544</v>
      </c>
      <c r="CO449" s="50" t="s">
        <v>10932</v>
      </c>
      <c r="CP449" s="50" t="s">
        <v>10931</v>
      </c>
      <c r="CQ449" s="50" t="s">
        <v>10931</v>
      </c>
      <c r="CR449" s="50" t="s">
        <v>26044</v>
      </c>
    </row>
    <row r="450" spans="1:96">
      <c r="A450" s="50" t="s">
        <v>93</v>
      </c>
      <c r="B450" s="50">
        <v>2546862</v>
      </c>
      <c r="C450" s="50" t="s">
        <v>11995</v>
      </c>
      <c r="D450" s="50" t="s">
        <v>3984</v>
      </c>
      <c r="E450" s="50" t="e">
        <f>VLOOKUP(B450,aa!B:F,5,0)</f>
        <v>#N/A</v>
      </c>
      <c r="F450" s="50" t="e">
        <f>VLOOKUP(B450,aa!B:J,9,0)</f>
        <v>#N/A</v>
      </c>
      <c r="G450" s="50" t="e">
        <f>VLOOKUP(B450,aa!B:L,11,0)</f>
        <v>#N/A</v>
      </c>
      <c r="H450" s="50" t="e">
        <f>VLOOKUP(B450,aa!B:O,14,0)</f>
        <v>#N/A</v>
      </c>
      <c r="I450" s="50" t="e">
        <f>VLOOKUP(B450,aa!B:R,17,0)</f>
        <v>#N/A</v>
      </c>
      <c r="K450" s="50" t="s">
        <v>97</v>
      </c>
      <c r="L450" s="50">
        <v>389928</v>
      </c>
      <c r="M450" s="50">
        <v>389928</v>
      </c>
      <c r="N450" s="50">
        <v>389928</v>
      </c>
      <c r="O450" s="50">
        <v>557</v>
      </c>
      <c r="P450" s="50" t="s">
        <v>799</v>
      </c>
      <c r="Q450" s="50">
        <v>0</v>
      </c>
      <c r="R450" s="50">
        <v>0</v>
      </c>
      <c r="T450" s="50">
        <v>0</v>
      </c>
      <c r="U450" s="50">
        <v>0</v>
      </c>
      <c r="W450" s="50" t="s">
        <v>102</v>
      </c>
      <c r="X450" s="50" t="s">
        <v>103</v>
      </c>
      <c r="Y450" s="50" t="s">
        <v>104</v>
      </c>
      <c r="AA450" s="50" t="s">
        <v>12737</v>
      </c>
      <c r="AB450" s="50" t="s">
        <v>14453</v>
      </c>
      <c r="AC450" s="50" t="s">
        <v>14415</v>
      </c>
      <c r="AD450" s="50" t="s">
        <v>14453</v>
      </c>
      <c r="AE450" s="50" t="s">
        <v>109</v>
      </c>
      <c r="AF450" s="50" t="s">
        <v>102</v>
      </c>
      <c r="AG450" s="50" t="s">
        <v>109</v>
      </c>
      <c r="AH450" s="50" t="s">
        <v>102</v>
      </c>
      <c r="AI450" s="50" t="s">
        <v>14454</v>
      </c>
      <c r="AJ450" s="50" t="s">
        <v>13244</v>
      </c>
      <c r="AK450" s="50" t="s">
        <v>14455</v>
      </c>
      <c r="AL450" s="50" t="s">
        <v>14456</v>
      </c>
      <c r="AM450" s="50" t="s">
        <v>14457</v>
      </c>
      <c r="AN450" s="50" t="s">
        <v>102</v>
      </c>
      <c r="AO450" s="50" t="s">
        <v>3305</v>
      </c>
      <c r="AP450" s="50" t="s">
        <v>3305</v>
      </c>
      <c r="AU450" s="50" t="s">
        <v>117</v>
      </c>
      <c r="AV450" s="50" t="s">
        <v>118</v>
      </c>
      <c r="AW450" s="50" t="s">
        <v>102</v>
      </c>
      <c r="AX450" s="50" t="s">
        <v>119</v>
      </c>
      <c r="BB450" s="50" t="s">
        <v>120</v>
      </c>
      <c r="BC450" s="50" t="s">
        <v>284</v>
      </c>
      <c r="BD450" s="50" t="s">
        <v>285</v>
      </c>
      <c r="BE450" s="50" t="s">
        <v>212</v>
      </c>
      <c r="BF450" s="50" t="s">
        <v>286</v>
      </c>
      <c r="BG450" s="50" t="s">
        <v>124</v>
      </c>
      <c r="BH450" s="50" t="s">
        <v>11959</v>
      </c>
      <c r="BI450" s="50" t="s">
        <v>11960</v>
      </c>
      <c r="BJ450" s="50" t="s">
        <v>127</v>
      </c>
      <c r="BK450" s="50" t="s">
        <v>14458</v>
      </c>
      <c r="BL450" s="50" t="s">
        <v>3995</v>
      </c>
      <c r="BM450" s="50" t="s">
        <v>14459</v>
      </c>
      <c r="BN450" s="50" t="s">
        <v>12819</v>
      </c>
      <c r="BO450" s="50" t="s">
        <v>3997</v>
      </c>
      <c r="BP450" s="50" t="s">
        <v>132</v>
      </c>
      <c r="BQ450" s="50" t="s">
        <v>3998</v>
      </c>
      <c r="BR450" s="50" t="s">
        <v>3999</v>
      </c>
      <c r="BS450" s="50" t="s">
        <v>3362</v>
      </c>
      <c r="BU450" s="50" t="s">
        <v>14460</v>
      </c>
      <c r="BV450" s="50" t="s">
        <v>14461</v>
      </c>
      <c r="BW450" s="50" t="s">
        <v>138</v>
      </c>
      <c r="BX450" s="50" t="s">
        <v>4002</v>
      </c>
      <c r="BY450" s="50" t="s">
        <v>4003</v>
      </c>
      <c r="BZ450" s="50" t="s">
        <v>4002</v>
      </c>
      <c r="CA450" s="50" t="s">
        <v>14462</v>
      </c>
      <c r="CB450" s="50" t="s">
        <v>4002</v>
      </c>
      <c r="CC450" s="50" t="s">
        <v>4003</v>
      </c>
      <c r="CD450" s="50" t="s">
        <v>14463</v>
      </c>
      <c r="CE450" s="50" t="s">
        <v>14464</v>
      </c>
      <c r="CF450" s="50" t="s">
        <v>14465</v>
      </c>
      <c r="CG450" s="50" t="s">
        <v>573</v>
      </c>
      <c r="CH450" s="50" t="s">
        <v>14466</v>
      </c>
      <c r="CJ450" s="50" t="s">
        <v>4005</v>
      </c>
      <c r="CK450" s="50" t="s">
        <v>4004</v>
      </c>
      <c r="CL450" s="50" t="s">
        <v>284</v>
      </c>
      <c r="CM450" s="50" t="s">
        <v>285</v>
      </c>
      <c r="CN450" s="50" t="s">
        <v>4005</v>
      </c>
      <c r="CO450" s="50" t="s">
        <v>4006</v>
      </c>
      <c r="CP450" s="50" t="s">
        <v>4004</v>
      </c>
      <c r="CQ450" s="50" t="s">
        <v>4004</v>
      </c>
      <c r="CR450" s="50" t="s">
        <v>26044</v>
      </c>
    </row>
    <row r="451" spans="1:96">
      <c r="A451" s="50" t="s">
        <v>149</v>
      </c>
      <c r="B451" s="50">
        <v>24299</v>
      </c>
      <c r="C451" s="50" t="s">
        <v>11947</v>
      </c>
      <c r="D451" s="50" t="s">
        <v>3300</v>
      </c>
      <c r="E451" s="50" t="e">
        <f>VLOOKUP(B451,aa!B:F,5,0)</f>
        <v>#N/A</v>
      </c>
      <c r="F451" s="50" t="e">
        <f>VLOOKUP(B451,aa!B:J,9,0)</f>
        <v>#N/A</v>
      </c>
      <c r="G451" s="50" t="e">
        <f>VLOOKUP(B451,aa!B:L,11,0)</f>
        <v>#N/A</v>
      </c>
      <c r="H451" s="50" t="e">
        <f>VLOOKUP(B451,aa!B:O,14,0)</f>
        <v>#N/A</v>
      </c>
      <c r="I451" s="50" t="e">
        <f>VLOOKUP(B451,aa!B:R,17,0)</f>
        <v>#N/A</v>
      </c>
      <c r="K451" s="50" t="s">
        <v>97</v>
      </c>
      <c r="L451" s="50">
        <v>55436</v>
      </c>
      <c r="M451" s="50">
        <v>55436</v>
      </c>
      <c r="N451" s="50">
        <v>55436</v>
      </c>
      <c r="O451" s="50">
        <v>72</v>
      </c>
      <c r="P451" s="50" t="s">
        <v>13937</v>
      </c>
      <c r="Q451" s="50">
        <v>0</v>
      </c>
      <c r="R451" s="50">
        <v>0</v>
      </c>
      <c r="T451" s="50">
        <v>0</v>
      </c>
      <c r="U451" s="50">
        <v>0</v>
      </c>
      <c r="W451" s="50" t="s">
        <v>102</v>
      </c>
      <c r="X451" s="50" t="s">
        <v>275</v>
      </c>
      <c r="Z451" s="50" t="s">
        <v>12911</v>
      </c>
      <c r="AA451" s="50" t="s">
        <v>109</v>
      </c>
      <c r="AB451" s="50" t="s">
        <v>102</v>
      </c>
      <c r="AC451" s="50" t="s">
        <v>109</v>
      </c>
      <c r="AD451" s="50" t="s">
        <v>102</v>
      </c>
      <c r="AE451" s="50" t="s">
        <v>109</v>
      </c>
      <c r="AF451" s="50" t="s">
        <v>102</v>
      </c>
      <c r="AG451" s="50" t="s">
        <v>109</v>
      </c>
      <c r="AH451" s="50" t="s">
        <v>102</v>
      </c>
      <c r="AI451" s="50" t="s">
        <v>102</v>
      </c>
      <c r="AJ451" s="50" t="s">
        <v>1165</v>
      </c>
      <c r="AK451" s="50" t="s">
        <v>1165</v>
      </c>
      <c r="AL451" s="50" t="s">
        <v>13938</v>
      </c>
      <c r="AM451" s="50" t="s">
        <v>13939</v>
      </c>
      <c r="AN451" s="50" t="s">
        <v>13940</v>
      </c>
      <c r="AO451" s="50" t="s">
        <v>13941</v>
      </c>
      <c r="AP451" s="50" t="s">
        <v>13941</v>
      </c>
      <c r="AU451" s="50" t="s">
        <v>117</v>
      </c>
      <c r="AV451" s="50" t="s">
        <v>118</v>
      </c>
      <c r="AW451" s="50" t="s">
        <v>102</v>
      </c>
      <c r="AX451" s="50" t="s">
        <v>119</v>
      </c>
      <c r="BB451" s="50" t="s">
        <v>120</v>
      </c>
      <c r="BC451" s="50" t="s">
        <v>920</v>
      </c>
      <c r="BD451" s="50" t="s">
        <v>211</v>
      </c>
      <c r="BE451" s="50" t="s">
        <v>212</v>
      </c>
      <c r="BF451" s="50" t="s">
        <v>213</v>
      </c>
      <c r="BG451" s="50" t="s">
        <v>124</v>
      </c>
      <c r="BH451" s="50" t="s">
        <v>11932</v>
      </c>
      <c r="BI451" s="50" t="s">
        <v>11960</v>
      </c>
      <c r="BJ451" s="50" t="s">
        <v>127</v>
      </c>
      <c r="BK451" s="50" t="s">
        <v>13942</v>
      </c>
      <c r="BL451" s="50" t="s">
        <v>3308</v>
      </c>
      <c r="BM451" s="50" t="s">
        <v>13943</v>
      </c>
      <c r="BN451" s="50" t="s">
        <v>12911</v>
      </c>
      <c r="BO451" s="50" t="s">
        <v>1880</v>
      </c>
      <c r="BP451" s="50" t="s">
        <v>180</v>
      </c>
      <c r="BQ451" s="50" t="s">
        <v>1882</v>
      </c>
      <c r="BR451" s="50" t="s">
        <v>1883</v>
      </c>
      <c r="BS451" s="50" t="s">
        <v>2151</v>
      </c>
      <c r="BU451" s="50" t="s">
        <v>13944</v>
      </c>
      <c r="BV451" s="50" t="s">
        <v>13945</v>
      </c>
      <c r="BX451" s="50" t="s">
        <v>3312</v>
      </c>
      <c r="BY451" s="50" t="s">
        <v>3313</v>
      </c>
      <c r="BZ451" s="50" t="s">
        <v>3314</v>
      </c>
      <c r="CA451" s="50" t="s">
        <v>13945</v>
      </c>
      <c r="CB451" s="50" t="s">
        <v>3312</v>
      </c>
      <c r="CC451" s="50" t="s">
        <v>3313</v>
      </c>
      <c r="CD451" s="50" t="s">
        <v>13946</v>
      </c>
      <c r="CE451" s="50" t="s">
        <v>13947</v>
      </c>
      <c r="CF451" s="50" t="s">
        <v>13948</v>
      </c>
      <c r="CG451" s="50" t="s">
        <v>102</v>
      </c>
      <c r="CH451" s="50" t="s">
        <v>3315</v>
      </c>
      <c r="CJ451" s="50" t="s">
        <v>2248</v>
      </c>
      <c r="CL451" s="50" t="s">
        <v>920</v>
      </c>
      <c r="CM451" s="50" t="s">
        <v>211</v>
      </c>
      <c r="CN451" s="50" t="s">
        <v>2248</v>
      </c>
      <c r="CP451" s="50" t="s">
        <v>3315</v>
      </c>
      <c r="CQ451" s="50" t="s">
        <v>3315</v>
      </c>
      <c r="CR451" s="50" t="s">
        <v>26044</v>
      </c>
    </row>
    <row r="452" spans="1:96">
      <c r="A452" s="50" t="s">
        <v>149</v>
      </c>
      <c r="B452" s="50">
        <v>376207</v>
      </c>
      <c r="C452" s="50" t="s">
        <v>11947</v>
      </c>
      <c r="D452" s="50" t="s">
        <v>7351</v>
      </c>
      <c r="E452" s="50" t="e">
        <f>VLOOKUP(B452,aa!B:F,5,0)</f>
        <v>#N/A</v>
      </c>
      <c r="F452" s="50" t="e">
        <f>VLOOKUP(B452,aa!B:J,9,0)</f>
        <v>#N/A</v>
      </c>
      <c r="G452" s="50" t="e">
        <f>VLOOKUP(B452,aa!B:L,11,0)</f>
        <v>#N/A</v>
      </c>
      <c r="H452" s="50" t="e">
        <f>VLOOKUP(B452,aa!B:O,14,0)</f>
        <v>#N/A</v>
      </c>
      <c r="I452" s="50" t="e">
        <f>VLOOKUP(B452,aa!B:R,17,0)</f>
        <v>#N/A</v>
      </c>
      <c r="K452" s="50" t="s">
        <v>193</v>
      </c>
      <c r="L452" s="50">
        <v>1347435</v>
      </c>
      <c r="M452" s="50">
        <v>1559802</v>
      </c>
      <c r="N452" s="50">
        <v>167621</v>
      </c>
      <c r="O452" s="50">
        <v>419</v>
      </c>
      <c r="P452" s="50" t="s">
        <v>6051</v>
      </c>
      <c r="Q452" s="50">
        <v>0</v>
      </c>
      <c r="R452" s="50">
        <v>0</v>
      </c>
      <c r="T452" s="50">
        <v>1179814</v>
      </c>
      <c r="U452" s="50">
        <v>696</v>
      </c>
      <c r="V452" s="50" t="s">
        <v>2007</v>
      </c>
      <c r="W452" s="50" t="s">
        <v>102</v>
      </c>
      <c r="X452" s="50" t="s">
        <v>103</v>
      </c>
      <c r="Y452" s="50" t="s">
        <v>104</v>
      </c>
      <c r="AA452" s="50" t="s">
        <v>1408</v>
      </c>
      <c r="AB452" s="50" t="s">
        <v>16886</v>
      </c>
      <c r="AC452" s="50" t="s">
        <v>12211</v>
      </c>
      <c r="AD452" s="50" t="s">
        <v>16886</v>
      </c>
      <c r="AE452" s="50" t="s">
        <v>109</v>
      </c>
      <c r="AF452" s="50" t="s">
        <v>102</v>
      </c>
      <c r="AG452" s="50" t="s">
        <v>109</v>
      </c>
      <c r="AH452" s="50" t="s">
        <v>102</v>
      </c>
      <c r="AI452" s="50" t="s">
        <v>16887</v>
      </c>
      <c r="AJ452" s="50" t="s">
        <v>13075</v>
      </c>
      <c r="AK452" s="50" t="s">
        <v>16888</v>
      </c>
      <c r="AL452" s="50" t="s">
        <v>16889</v>
      </c>
      <c r="AM452" s="50" t="s">
        <v>16890</v>
      </c>
      <c r="AN452" s="50" t="s">
        <v>16891</v>
      </c>
      <c r="AO452" s="50" t="s">
        <v>16892</v>
      </c>
      <c r="AP452" s="50" t="s">
        <v>16892</v>
      </c>
      <c r="AU452" s="50" t="s">
        <v>207</v>
      </c>
      <c r="AV452" s="50" t="s">
        <v>118</v>
      </c>
      <c r="AW452" s="50" t="s">
        <v>102</v>
      </c>
      <c r="AX452" s="50" t="s">
        <v>119</v>
      </c>
      <c r="BA452" s="50" t="s">
        <v>250</v>
      </c>
      <c r="BB452" s="50" t="s">
        <v>209</v>
      </c>
      <c r="BC452" s="50" t="s">
        <v>920</v>
      </c>
      <c r="BD452" s="50" t="s">
        <v>211</v>
      </c>
      <c r="BE452" s="50" t="s">
        <v>212</v>
      </c>
      <c r="BF452" s="50" t="s">
        <v>213</v>
      </c>
      <c r="BG452" s="50" t="s">
        <v>124</v>
      </c>
      <c r="BH452" s="50" t="s">
        <v>16893</v>
      </c>
      <c r="BI452" s="50" t="s">
        <v>11960</v>
      </c>
      <c r="BJ452" s="50" t="s">
        <v>127</v>
      </c>
      <c r="BK452" s="50" t="s">
        <v>16894</v>
      </c>
      <c r="BL452" s="50" t="s">
        <v>7363</v>
      </c>
      <c r="BM452" s="50" t="s">
        <v>16895</v>
      </c>
      <c r="BN452" s="50" t="s">
        <v>16885</v>
      </c>
      <c r="BO452" s="50" t="s">
        <v>1880</v>
      </c>
      <c r="BP452" s="50" t="s">
        <v>350</v>
      </c>
      <c r="BQ452" s="50" t="s">
        <v>1882</v>
      </c>
      <c r="BR452" s="50" t="s">
        <v>1883</v>
      </c>
      <c r="BS452" s="50" t="s">
        <v>483</v>
      </c>
      <c r="BU452" s="50" t="s">
        <v>16896</v>
      </c>
      <c r="BV452" s="50" t="s">
        <v>5980</v>
      </c>
      <c r="BW452" s="50" t="s">
        <v>138</v>
      </c>
      <c r="BX452" s="50" t="s">
        <v>5981</v>
      </c>
      <c r="BY452" s="50" t="s">
        <v>5982</v>
      </c>
      <c r="BZ452" s="50" t="s">
        <v>5981</v>
      </c>
      <c r="CA452" s="50" t="s">
        <v>5980</v>
      </c>
      <c r="CB452" s="50" t="s">
        <v>5981</v>
      </c>
      <c r="CC452" s="50" t="s">
        <v>5982</v>
      </c>
      <c r="CD452" s="50" t="s">
        <v>5980</v>
      </c>
      <c r="CE452" s="50" t="s">
        <v>5981</v>
      </c>
      <c r="CF452" s="50" t="s">
        <v>5982</v>
      </c>
      <c r="CG452" s="50" t="s">
        <v>102</v>
      </c>
      <c r="CH452" s="50" t="s">
        <v>16897</v>
      </c>
      <c r="CJ452" s="50" t="s">
        <v>5985</v>
      </c>
      <c r="CL452" s="50" t="s">
        <v>920</v>
      </c>
      <c r="CM452" s="50" t="s">
        <v>211</v>
      </c>
      <c r="CN452" s="50" t="s">
        <v>5985</v>
      </c>
      <c r="CO452" s="50" t="s">
        <v>5986</v>
      </c>
      <c r="CP452" s="50" t="s">
        <v>7366</v>
      </c>
      <c r="CQ452" s="50" t="s">
        <v>7366</v>
      </c>
      <c r="CR452" s="50" t="s">
        <v>26040</v>
      </c>
    </row>
    <row r="453" spans="1:96">
      <c r="A453" s="50" t="s">
        <v>337</v>
      </c>
      <c r="B453" s="50">
        <v>5049594</v>
      </c>
      <c r="C453" s="50" t="s">
        <v>384</v>
      </c>
      <c r="D453" s="50" t="s">
        <v>20492</v>
      </c>
      <c r="E453" s="50" t="str">
        <f>VLOOKUP(B453,aa!B:F,5,0)</f>
        <v>Ei CARES</v>
      </c>
      <c r="F453" s="50">
        <f>VLOOKUP(B453,aa!B:J,9,0)</f>
        <v>298914</v>
      </c>
      <c r="G453" s="50">
        <f>VLOOKUP(B453,aa!B:L,11,0)</f>
        <v>0</v>
      </c>
      <c r="H453" s="50">
        <f>VLOOKUP(B453,aa!B:O,14,0)</f>
        <v>298914</v>
      </c>
      <c r="I453" s="50">
        <f>VLOOKUP(B453,aa!B:R,17,0)</f>
        <v>0</v>
      </c>
      <c r="K453" s="50" t="s">
        <v>152</v>
      </c>
      <c r="L453" s="50">
        <v>169600</v>
      </c>
      <c r="M453" s="50">
        <v>169600</v>
      </c>
      <c r="N453" s="50">
        <v>0</v>
      </c>
      <c r="O453" s="50">
        <v>0</v>
      </c>
      <c r="Q453" s="50">
        <v>169600</v>
      </c>
      <c r="R453" s="50">
        <v>255</v>
      </c>
      <c r="S453" s="50" t="s">
        <v>20494</v>
      </c>
      <c r="T453" s="50">
        <v>0</v>
      </c>
      <c r="U453" s="50">
        <v>0</v>
      </c>
      <c r="W453" s="50" t="s">
        <v>102</v>
      </c>
      <c r="X453" s="50" t="s">
        <v>679</v>
      </c>
      <c r="Y453" s="50" t="s">
        <v>398</v>
      </c>
      <c r="Z453" s="50" t="s">
        <v>12019</v>
      </c>
      <c r="AA453" s="50" t="s">
        <v>20495</v>
      </c>
      <c r="AB453" s="50" t="s">
        <v>20496</v>
      </c>
      <c r="AC453" s="50" t="s">
        <v>15488</v>
      </c>
      <c r="AD453" s="50" t="s">
        <v>20497</v>
      </c>
      <c r="AE453" s="50" t="s">
        <v>13263</v>
      </c>
      <c r="AF453" s="50" t="s">
        <v>20498</v>
      </c>
      <c r="AG453" s="50" t="s">
        <v>109</v>
      </c>
      <c r="AH453" s="50" t="s">
        <v>102</v>
      </c>
      <c r="AI453" s="50" t="s">
        <v>102</v>
      </c>
      <c r="AJ453" s="50" t="s">
        <v>12911</v>
      </c>
      <c r="AK453" s="50" t="s">
        <v>18922</v>
      </c>
      <c r="AL453" s="50" t="s">
        <v>20499</v>
      </c>
      <c r="AM453" s="50" t="s">
        <v>20500</v>
      </c>
      <c r="AN453" s="50" t="s">
        <v>20501</v>
      </c>
      <c r="AO453" s="50" t="s">
        <v>20502</v>
      </c>
      <c r="AP453" s="50" t="s">
        <v>20502</v>
      </c>
      <c r="AU453" s="50" t="s">
        <v>102</v>
      </c>
      <c r="AW453" s="50" t="s">
        <v>104</v>
      </c>
      <c r="AX453" s="50" t="s">
        <v>447</v>
      </c>
      <c r="AY453" s="50" t="s">
        <v>170</v>
      </c>
      <c r="AZ453" s="50" t="s">
        <v>118</v>
      </c>
      <c r="BB453" s="50" t="s">
        <v>120</v>
      </c>
      <c r="BC453" s="50" t="s">
        <v>20503</v>
      </c>
      <c r="BD453" s="50" t="s">
        <v>376</v>
      </c>
      <c r="BE453" s="50" t="s">
        <v>174</v>
      </c>
      <c r="BF453" s="50" t="s">
        <v>376</v>
      </c>
      <c r="BG453" s="50" t="s">
        <v>124</v>
      </c>
      <c r="BH453" s="50" t="s">
        <v>12911</v>
      </c>
      <c r="BI453" s="50" t="s">
        <v>20504</v>
      </c>
      <c r="BJ453" s="50" t="s">
        <v>127</v>
      </c>
      <c r="BK453" s="50" t="s">
        <v>20505</v>
      </c>
      <c r="BL453" s="50" t="s">
        <v>20506</v>
      </c>
      <c r="BM453" s="50" t="s">
        <v>20507</v>
      </c>
      <c r="BN453" s="50" t="s">
        <v>20493</v>
      </c>
      <c r="BO453" s="50" t="s">
        <v>13780</v>
      </c>
      <c r="BP453" s="50" t="s">
        <v>505</v>
      </c>
      <c r="BQ453" s="50" t="s">
        <v>13781</v>
      </c>
      <c r="BR453" s="50" t="s">
        <v>13782</v>
      </c>
      <c r="BS453" s="50" t="s">
        <v>13783</v>
      </c>
      <c r="BU453" s="50" t="s">
        <v>20508</v>
      </c>
      <c r="BV453" s="50" t="s">
        <v>20509</v>
      </c>
      <c r="BW453" s="50" t="s">
        <v>138</v>
      </c>
      <c r="BX453" s="50" t="s">
        <v>20510</v>
      </c>
      <c r="BY453" s="50" t="s">
        <v>20511</v>
      </c>
      <c r="BZ453" s="50" t="s">
        <v>20512</v>
      </c>
      <c r="CA453" s="50" t="s">
        <v>20513</v>
      </c>
      <c r="CB453" s="50" t="s">
        <v>20510</v>
      </c>
      <c r="CC453" s="50" t="s">
        <v>20511</v>
      </c>
      <c r="CD453" s="50" t="s">
        <v>20513</v>
      </c>
      <c r="CE453" s="50" t="s">
        <v>20510</v>
      </c>
      <c r="CF453" s="50" t="s">
        <v>20511</v>
      </c>
      <c r="CG453" s="50" t="s">
        <v>6370</v>
      </c>
      <c r="CH453" s="50" t="s">
        <v>20514</v>
      </c>
      <c r="CJ453" s="50" t="s">
        <v>20515</v>
      </c>
      <c r="CK453" s="50" t="s">
        <v>20514</v>
      </c>
      <c r="CL453" s="50" t="s">
        <v>20503</v>
      </c>
      <c r="CM453" s="50" t="s">
        <v>376</v>
      </c>
      <c r="CN453" s="50" t="s">
        <v>20515</v>
      </c>
      <c r="CP453" s="50" t="s">
        <v>20514</v>
      </c>
      <c r="CQ453" s="50" t="s">
        <v>20514</v>
      </c>
      <c r="CR453" s="50" t="s">
        <v>26045</v>
      </c>
    </row>
    <row r="454" spans="1:96">
      <c r="A454" s="50" t="s">
        <v>495</v>
      </c>
      <c r="B454" s="50">
        <v>128171</v>
      </c>
      <c r="C454" s="50" t="s">
        <v>2525</v>
      </c>
      <c r="D454" s="50" t="s">
        <v>715</v>
      </c>
      <c r="E454" s="50" t="str">
        <f>VLOOKUP(B454,aa!B:F,5,0)</f>
        <v>Ei ASSET</v>
      </c>
      <c r="F454" s="50">
        <f>VLOOKUP(B454,aa!B:J,9,0)</f>
        <v>150000</v>
      </c>
      <c r="G454" s="50">
        <f>VLOOKUP(B454,aa!B:L,11,0)</f>
        <v>150000</v>
      </c>
      <c r="H454" s="50">
        <f>VLOOKUP(B454,aa!B:O,14,0)</f>
        <v>0</v>
      </c>
      <c r="I454" s="50">
        <f>VLOOKUP(B454,aa!B:R,17,0)</f>
        <v>0</v>
      </c>
      <c r="K454" s="50" t="s">
        <v>152</v>
      </c>
      <c r="L454" s="50">
        <v>1652638</v>
      </c>
      <c r="M454" s="50">
        <v>1652638</v>
      </c>
      <c r="N454" s="50">
        <v>0</v>
      </c>
      <c r="O454" s="50">
        <v>0</v>
      </c>
      <c r="Q454" s="50">
        <v>1652638</v>
      </c>
      <c r="R454" s="50">
        <v>1757</v>
      </c>
      <c r="S454" s="50" t="s">
        <v>12325</v>
      </c>
      <c r="T454" s="50">
        <v>0</v>
      </c>
      <c r="U454" s="50">
        <v>0</v>
      </c>
      <c r="W454" s="50" t="s">
        <v>102</v>
      </c>
      <c r="X454" s="50" t="s">
        <v>103</v>
      </c>
      <c r="Y454" s="50" t="s">
        <v>104</v>
      </c>
      <c r="AA454" s="50" t="s">
        <v>8708</v>
      </c>
      <c r="AB454" s="50" t="s">
        <v>12326</v>
      </c>
      <c r="AC454" s="50" t="s">
        <v>12327</v>
      </c>
      <c r="AD454" s="50" t="s">
        <v>12326</v>
      </c>
      <c r="AE454" s="50" t="s">
        <v>109</v>
      </c>
      <c r="AF454" s="50" t="s">
        <v>102</v>
      </c>
      <c r="AG454" s="50" t="s">
        <v>109</v>
      </c>
      <c r="AH454" s="50" t="s">
        <v>102</v>
      </c>
      <c r="AI454" s="50" t="s">
        <v>12328</v>
      </c>
      <c r="AJ454" s="50" t="s">
        <v>12329</v>
      </c>
      <c r="AK454" s="50" t="s">
        <v>12330</v>
      </c>
      <c r="AL454" s="50" t="s">
        <v>12331</v>
      </c>
      <c r="AM454" s="50" t="s">
        <v>12332</v>
      </c>
      <c r="AN454" s="50" t="s">
        <v>12333</v>
      </c>
      <c r="AO454" s="50" t="s">
        <v>727</v>
      </c>
      <c r="AP454" s="50" t="s">
        <v>728</v>
      </c>
      <c r="AR454" s="50" t="s">
        <v>169</v>
      </c>
      <c r="AT454" s="50" t="s">
        <v>169</v>
      </c>
      <c r="AU454" s="50" t="s">
        <v>102</v>
      </c>
      <c r="AW454" s="50" t="s">
        <v>155</v>
      </c>
      <c r="AX454" s="50" t="s">
        <v>119</v>
      </c>
      <c r="AY454" s="50" t="s">
        <v>170</v>
      </c>
      <c r="AZ454" s="50" t="s">
        <v>118</v>
      </c>
      <c r="BB454" s="50" t="s">
        <v>120</v>
      </c>
      <c r="BC454" s="50" t="s">
        <v>729</v>
      </c>
      <c r="BD454" s="50" t="s">
        <v>730</v>
      </c>
      <c r="BE454" s="50" t="s">
        <v>622</v>
      </c>
      <c r="BF454" s="50" t="s">
        <v>730</v>
      </c>
      <c r="BG454" s="50" t="s">
        <v>124</v>
      </c>
      <c r="BH454" s="50" t="s">
        <v>12023</v>
      </c>
      <c r="BI454" s="50" t="s">
        <v>11889</v>
      </c>
      <c r="BJ454" s="50" t="s">
        <v>127</v>
      </c>
      <c r="BK454" s="50" t="s">
        <v>12334</v>
      </c>
      <c r="BL454" s="50" t="s">
        <v>732</v>
      </c>
      <c r="BM454" s="50" t="s">
        <v>12335</v>
      </c>
      <c r="BN454" s="50" t="s">
        <v>12324</v>
      </c>
      <c r="BO454" s="50" t="s">
        <v>734</v>
      </c>
      <c r="BP454" s="50" t="s">
        <v>350</v>
      </c>
      <c r="BQ454" s="50" t="s">
        <v>735</v>
      </c>
      <c r="BR454" s="50" t="s">
        <v>736</v>
      </c>
      <c r="BS454" s="50" t="s">
        <v>737</v>
      </c>
      <c r="BU454" s="50" t="s">
        <v>12336</v>
      </c>
      <c r="BV454" s="50" t="s">
        <v>739</v>
      </c>
      <c r="BW454" s="50" t="s">
        <v>138</v>
      </c>
      <c r="BX454" s="50" t="s">
        <v>740</v>
      </c>
      <c r="BY454" s="50" t="s">
        <v>741</v>
      </c>
      <c r="BZ454" s="50" t="s">
        <v>742</v>
      </c>
      <c r="CA454" s="50" t="s">
        <v>739</v>
      </c>
      <c r="CB454" s="50" t="s">
        <v>740</v>
      </c>
      <c r="CC454" s="50" t="s">
        <v>741</v>
      </c>
      <c r="CD454" s="50" t="s">
        <v>739</v>
      </c>
      <c r="CE454" s="50" t="s">
        <v>740</v>
      </c>
      <c r="CF454" s="50" t="s">
        <v>741</v>
      </c>
      <c r="CG454" s="50" t="s">
        <v>746</v>
      </c>
      <c r="CH454" s="50" t="s">
        <v>12337</v>
      </c>
      <c r="CJ454" s="50" t="s">
        <v>748</v>
      </c>
      <c r="CK454" s="50" t="s">
        <v>12338</v>
      </c>
      <c r="CL454" s="50" t="s">
        <v>729</v>
      </c>
      <c r="CM454" s="50" t="s">
        <v>730</v>
      </c>
      <c r="CN454" s="50" t="s">
        <v>748</v>
      </c>
      <c r="CO454" s="50" t="s">
        <v>750</v>
      </c>
      <c r="CP454" s="50" t="s">
        <v>747</v>
      </c>
      <c r="CQ454" s="50" t="s">
        <v>749</v>
      </c>
    </row>
    <row r="455" spans="1:96">
      <c r="A455" s="50" t="s">
        <v>149</v>
      </c>
      <c r="B455" s="50">
        <v>1337248</v>
      </c>
      <c r="C455" s="50" t="s">
        <v>12423</v>
      </c>
      <c r="D455" s="50" t="s">
        <v>846</v>
      </c>
      <c r="E455" s="50" t="e">
        <f>VLOOKUP(B455,aa!B:F,5,0)</f>
        <v>#N/A</v>
      </c>
      <c r="F455" s="50" t="e">
        <f>VLOOKUP(B455,aa!B:J,9,0)</f>
        <v>#N/A</v>
      </c>
      <c r="G455" s="50" t="e">
        <f>VLOOKUP(B455,aa!B:L,11,0)</f>
        <v>#N/A</v>
      </c>
      <c r="H455" s="50" t="e">
        <f>VLOOKUP(B455,aa!B:O,14,0)</f>
        <v>#N/A</v>
      </c>
      <c r="I455" s="50" t="e">
        <f>VLOOKUP(B455,aa!B:R,17,0)</f>
        <v>#N/A</v>
      </c>
      <c r="K455" s="50" t="s">
        <v>848</v>
      </c>
      <c r="L455" s="50">
        <v>602234</v>
      </c>
      <c r="M455" s="50">
        <v>710636</v>
      </c>
      <c r="N455" s="50">
        <v>0</v>
      </c>
      <c r="O455" s="50">
        <v>0</v>
      </c>
      <c r="Q455" s="50">
        <v>0</v>
      </c>
      <c r="R455" s="50">
        <v>0</v>
      </c>
      <c r="T455" s="50">
        <v>602234</v>
      </c>
      <c r="U455" s="50">
        <v>412</v>
      </c>
      <c r="V455" s="50" t="s">
        <v>12424</v>
      </c>
      <c r="W455" s="50" t="s">
        <v>102</v>
      </c>
      <c r="X455" s="50" t="s">
        <v>103</v>
      </c>
      <c r="Y455" s="50" t="s">
        <v>155</v>
      </c>
      <c r="AA455" s="50" t="s">
        <v>12425</v>
      </c>
      <c r="AB455" s="50" t="s">
        <v>12426</v>
      </c>
      <c r="AC455" s="50" t="s">
        <v>12427</v>
      </c>
      <c r="AD455" s="50" t="s">
        <v>12426</v>
      </c>
      <c r="AE455" s="50" t="s">
        <v>12084</v>
      </c>
      <c r="AF455" s="50" t="s">
        <v>12426</v>
      </c>
      <c r="AG455" s="50" t="s">
        <v>11886</v>
      </c>
      <c r="AH455" s="50" t="s">
        <v>12426</v>
      </c>
      <c r="AI455" s="50" t="s">
        <v>12428</v>
      </c>
      <c r="AJ455" s="50" t="s">
        <v>12429</v>
      </c>
      <c r="AK455" s="50" t="s">
        <v>12430</v>
      </c>
      <c r="AL455" s="50" t="s">
        <v>12431</v>
      </c>
      <c r="AM455" s="50" t="s">
        <v>12432</v>
      </c>
      <c r="AN455" s="50" t="s">
        <v>12433</v>
      </c>
      <c r="AO455" s="50" t="s">
        <v>12434</v>
      </c>
      <c r="AP455" s="50" t="s">
        <v>12434</v>
      </c>
      <c r="AU455" s="50" t="s">
        <v>102</v>
      </c>
      <c r="AW455" s="50" t="s">
        <v>102</v>
      </c>
      <c r="AX455" s="50" t="s">
        <v>119</v>
      </c>
      <c r="BA455" s="50" t="s">
        <v>250</v>
      </c>
      <c r="BB455" s="50" t="s">
        <v>120</v>
      </c>
      <c r="BC455" s="50" t="s">
        <v>862</v>
      </c>
      <c r="BD455" s="50" t="s">
        <v>410</v>
      </c>
      <c r="BE455" s="50" t="s">
        <v>212</v>
      </c>
      <c r="BF455" s="50" t="s">
        <v>410</v>
      </c>
      <c r="BG455" s="50" t="s">
        <v>124</v>
      </c>
      <c r="BH455" s="50" t="s">
        <v>12425</v>
      </c>
      <c r="BI455" s="50" t="s">
        <v>12435</v>
      </c>
      <c r="BJ455" s="50" t="s">
        <v>127</v>
      </c>
      <c r="BK455" s="50" t="s">
        <v>12436</v>
      </c>
      <c r="BL455" s="50" t="s">
        <v>864</v>
      </c>
      <c r="BM455" s="50" t="s">
        <v>12437</v>
      </c>
      <c r="BN455" s="50" t="s">
        <v>12324</v>
      </c>
      <c r="BO455" s="50" t="s">
        <v>866</v>
      </c>
      <c r="BP455" s="50" t="s">
        <v>132</v>
      </c>
      <c r="BQ455" s="50" t="s">
        <v>867</v>
      </c>
      <c r="BR455" s="50" t="s">
        <v>868</v>
      </c>
      <c r="BS455" s="50" t="s">
        <v>418</v>
      </c>
      <c r="BU455" s="50" t="s">
        <v>12438</v>
      </c>
      <c r="BV455" s="50" t="s">
        <v>870</v>
      </c>
      <c r="BX455" s="50" t="s">
        <v>871</v>
      </c>
      <c r="BY455" s="50" t="s">
        <v>872</v>
      </c>
      <c r="BZ455" s="50" t="s">
        <v>873</v>
      </c>
      <c r="CA455" s="50" t="s">
        <v>870</v>
      </c>
      <c r="CB455" s="50" t="s">
        <v>871</v>
      </c>
      <c r="CC455" s="50" t="s">
        <v>872</v>
      </c>
      <c r="CD455" s="50" t="s">
        <v>12439</v>
      </c>
      <c r="CE455" s="50" t="s">
        <v>12440</v>
      </c>
      <c r="CF455" s="50" t="s">
        <v>12441</v>
      </c>
      <c r="CG455" s="50" t="s">
        <v>102</v>
      </c>
      <c r="CH455" s="50" t="s">
        <v>874</v>
      </c>
      <c r="CJ455" s="50" t="s">
        <v>875</v>
      </c>
      <c r="CL455" s="50" t="s">
        <v>862</v>
      </c>
      <c r="CM455" s="50" t="s">
        <v>410</v>
      </c>
      <c r="CN455" s="50" t="s">
        <v>875</v>
      </c>
      <c r="CO455" s="50" t="s">
        <v>876</v>
      </c>
      <c r="CP455" s="50" t="s">
        <v>874</v>
      </c>
      <c r="CQ455" s="50" t="s">
        <v>874</v>
      </c>
      <c r="CR455" s="50" t="s">
        <v>26040</v>
      </c>
    </row>
    <row r="456" spans="1:96">
      <c r="A456" s="50" t="s">
        <v>149</v>
      </c>
      <c r="B456" s="50">
        <v>2560999</v>
      </c>
      <c r="C456" s="50" t="s">
        <v>13158</v>
      </c>
      <c r="D456" s="50" t="s">
        <v>4067</v>
      </c>
      <c r="E456" s="50" t="e">
        <f>VLOOKUP(B456,aa!B:F,5,0)</f>
        <v>#N/A</v>
      </c>
      <c r="F456" s="50" t="e">
        <f>VLOOKUP(B456,aa!B:J,9,0)</f>
        <v>#N/A</v>
      </c>
      <c r="G456" s="50" t="e">
        <f>VLOOKUP(B456,aa!B:L,11,0)</f>
        <v>#N/A</v>
      </c>
      <c r="H456" s="50" t="e">
        <f>VLOOKUP(B456,aa!B:O,14,0)</f>
        <v>#N/A</v>
      </c>
      <c r="I456" s="50" t="e">
        <f>VLOOKUP(B456,aa!B:R,17,0)</f>
        <v>#N/A</v>
      </c>
      <c r="K456" s="50" t="s">
        <v>97</v>
      </c>
      <c r="L456" s="50">
        <v>0</v>
      </c>
      <c r="M456" s="50">
        <v>0</v>
      </c>
      <c r="N456" s="50">
        <v>0</v>
      </c>
      <c r="O456" s="50">
        <v>394</v>
      </c>
      <c r="P456" s="50" t="s">
        <v>102</v>
      </c>
      <c r="Q456" s="50">
        <v>0</v>
      </c>
      <c r="R456" s="50">
        <v>0</v>
      </c>
      <c r="T456" s="50">
        <v>0</v>
      </c>
      <c r="U456" s="50">
        <v>0</v>
      </c>
      <c r="W456" s="50" t="s">
        <v>102</v>
      </c>
      <c r="X456" s="50" t="s">
        <v>275</v>
      </c>
      <c r="Z456" s="50" t="s">
        <v>14534</v>
      </c>
      <c r="AA456" s="50" t="s">
        <v>109</v>
      </c>
      <c r="AB456" s="50" t="s">
        <v>102</v>
      </c>
      <c r="AC456" s="50" t="s">
        <v>109</v>
      </c>
      <c r="AD456" s="50" t="s">
        <v>102</v>
      </c>
      <c r="AE456" s="50" t="s">
        <v>109</v>
      </c>
      <c r="AF456" s="50" t="s">
        <v>102</v>
      </c>
      <c r="AG456" s="50" t="s">
        <v>109</v>
      </c>
      <c r="AH456" s="50" t="s">
        <v>102</v>
      </c>
      <c r="AI456" s="50" t="s">
        <v>102</v>
      </c>
      <c r="AL456" s="50" t="s">
        <v>102</v>
      </c>
      <c r="AM456" s="50" t="s">
        <v>102</v>
      </c>
      <c r="AN456" s="50" t="s">
        <v>102</v>
      </c>
      <c r="AO456" s="50" t="s">
        <v>115</v>
      </c>
      <c r="AP456" s="50" t="s">
        <v>115</v>
      </c>
      <c r="AU456" s="50" t="s">
        <v>318</v>
      </c>
      <c r="AV456" s="50" t="s">
        <v>118</v>
      </c>
      <c r="AW456" s="50" t="s">
        <v>102</v>
      </c>
      <c r="AX456" s="50" t="s">
        <v>119</v>
      </c>
      <c r="BB456" s="50" t="s">
        <v>120</v>
      </c>
      <c r="BC456" s="50" t="s">
        <v>1407</v>
      </c>
      <c r="BD456" s="50" t="s">
        <v>449</v>
      </c>
      <c r="BE456" s="50" t="s">
        <v>122</v>
      </c>
      <c r="BF456" s="50" t="s">
        <v>450</v>
      </c>
      <c r="BG456" s="50" t="s">
        <v>124</v>
      </c>
      <c r="BH456" s="50" t="s">
        <v>12911</v>
      </c>
      <c r="BI456" s="50" t="s">
        <v>11889</v>
      </c>
      <c r="BJ456" s="50" t="s">
        <v>127</v>
      </c>
      <c r="BK456" s="50" t="s">
        <v>14535</v>
      </c>
      <c r="BL456" s="50" t="s">
        <v>4070</v>
      </c>
      <c r="BM456" s="50" t="s">
        <v>14536</v>
      </c>
      <c r="BN456" s="50" t="s">
        <v>12324</v>
      </c>
      <c r="BO456" s="50" t="s">
        <v>1108</v>
      </c>
      <c r="BP456" s="50" t="s">
        <v>350</v>
      </c>
      <c r="BQ456" s="50" t="s">
        <v>1109</v>
      </c>
      <c r="BR456" s="50" t="s">
        <v>1110</v>
      </c>
      <c r="BS456" s="50" t="s">
        <v>1111</v>
      </c>
      <c r="BU456" s="50" t="s">
        <v>14537</v>
      </c>
      <c r="BV456" s="50" t="s">
        <v>224</v>
      </c>
      <c r="BW456" s="50" t="s">
        <v>598</v>
      </c>
      <c r="BX456" s="50" t="s">
        <v>225</v>
      </c>
      <c r="BY456" s="50" t="s">
        <v>226</v>
      </c>
      <c r="BZ456" s="50" t="s">
        <v>4076</v>
      </c>
      <c r="CA456" s="50" t="s">
        <v>14538</v>
      </c>
      <c r="CB456" s="50" t="s">
        <v>14539</v>
      </c>
      <c r="CC456" s="50" t="s">
        <v>14540</v>
      </c>
      <c r="CD456" s="50" t="s">
        <v>14541</v>
      </c>
      <c r="CE456" s="50" t="s">
        <v>14542</v>
      </c>
      <c r="CF456" s="50" t="s">
        <v>14540</v>
      </c>
      <c r="CG456" s="50" t="s">
        <v>102</v>
      </c>
      <c r="CH456" s="50" t="s">
        <v>14543</v>
      </c>
      <c r="CJ456" s="50" t="s">
        <v>4078</v>
      </c>
      <c r="CL456" s="50" t="s">
        <v>1407</v>
      </c>
      <c r="CM456" s="50" t="s">
        <v>449</v>
      </c>
      <c r="CN456" s="50" t="s">
        <v>4078</v>
      </c>
      <c r="CP456" s="50" t="s">
        <v>4077</v>
      </c>
      <c r="CQ456" s="50" t="s">
        <v>4077</v>
      </c>
    </row>
    <row r="457" spans="1:96">
      <c r="A457" s="50" t="s">
        <v>495</v>
      </c>
      <c r="B457" s="50">
        <v>3302667</v>
      </c>
      <c r="C457" s="50" t="s">
        <v>2525</v>
      </c>
      <c r="D457" s="50" t="s">
        <v>5394</v>
      </c>
      <c r="E457" s="50" t="str">
        <f>VLOOKUP(B457,aa!B:F,5,0)</f>
        <v>Ei ASSET, Ei CARES</v>
      </c>
      <c r="F457" s="50">
        <f>VLOOKUP(B457,aa!B:J,9,0)</f>
        <v>591327</v>
      </c>
      <c r="G457" s="50">
        <f>VLOOKUP(B457,aa!B:L,11,0)</f>
        <v>67500</v>
      </c>
      <c r="H457" s="50">
        <f>VLOOKUP(B457,aa!B:O,14,0)</f>
        <v>523827</v>
      </c>
      <c r="I457" s="50">
        <f>VLOOKUP(B457,aa!B:R,17,0)</f>
        <v>0</v>
      </c>
      <c r="K457" s="50" t="s">
        <v>152</v>
      </c>
      <c r="L457" s="50">
        <v>493638</v>
      </c>
      <c r="M457" s="50">
        <v>493638</v>
      </c>
      <c r="N457" s="50">
        <v>0</v>
      </c>
      <c r="O457" s="50">
        <v>0</v>
      </c>
      <c r="Q457" s="50">
        <v>493638</v>
      </c>
      <c r="R457" s="50">
        <v>524</v>
      </c>
      <c r="S457" s="50" t="s">
        <v>15452</v>
      </c>
      <c r="T457" s="50">
        <v>0</v>
      </c>
      <c r="U457" s="50">
        <v>0</v>
      </c>
      <c r="W457" s="50" t="s">
        <v>102</v>
      </c>
      <c r="X457" s="50" t="s">
        <v>103</v>
      </c>
      <c r="Y457" s="50" t="s">
        <v>104</v>
      </c>
      <c r="AA457" s="50" t="s">
        <v>8708</v>
      </c>
      <c r="AB457" s="50" t="s">
        <v>15453</v>
      </c>
      <c r="AC457" s="50" t="s">
        <v>12327</v>
      </c>
      <c r="AD457" s="50" t="s">
        <v>15453</v>
      </c>
      <c r="AE457" s="50" t="s">
        <v>109</v>
      </c>
      <c r="AF457" s="50" t="s">
        <v>102</v>
      </c>
      <c r="AG457" s="50" t="s">
        <v>109</v>
      </c>
      <c r="AH457" s="50" t="s">
        <v>102</v>
      </c>
      <c r="AI457" s="50" t="s">
        <v>15454</v>
      </c>
      <c r="AJ457" s="50" t="s">
        <v>12429</v>
      </c>
      <c r="AK457" s="50" t="s">
        <v>11952</v>
      </c>
      <c r="AL457" s="50" t="s">
        <v>15455</v>
      </c>
      <c r="AM457" s="50" t="s">
        <v>15456</v>
      </c>
      <c r="AN457" s="50" t="s">
        <v>15457</v>
      </c>
      <c r="AO457" s="50" t="s">
        <v>727</v>
      </c>
      <c r="AP457" s="50" t="s">
        <v>15458</v>
      </c>
      <c r="AT457" s="50" t="s">
        <v>169</v>
      </c>
      <c r="AU457" s="50" t="s">
        <v>102</v>
      </c>
      <c r="AW457" s="50" t="s">
        <v>155</v>
      </c>
      <c r="AX457" s="50" t="s">
        <v>119</v>
      </c>
      <c r="AY457" s="50" t="s">
        <v>170</v>
      </c>
      <c r="AZ457" s="50" t="s">
        <v>118</v>
      </c>
      <c r="BB457" s="50" t="s">
        <v>120</v>
      </c>
      <c r="BC457" s="50" t="s">
        <v>729</v>
      </c>
      <c r="BD457" s="50" t="s">
        <v>730</v>
      </c>
      <c r="BE457" s="50" t="s">
        <v>622</v>
      </c>
      <c r="BF457" s="50" t="s">
        <v>730</v>
      </c>
      <c r="BG457" s="50" t="s">
        <v>124</v>
      </c>
      <c r="BH457" s="50" t="s">
        <v>12023</v>
      </c>
      <c r="BI457" s="50" t="s">
        <v>11889</v>
      </c>
      <c r="BJ457" s="50" t="s">
        <v>127</v>
      </c>
      <c r="BK457" s="50" t="s">
        <v>15459</v>
      </c>
      <c r="BL457" s="50" t="s">
        <v>5403</v>
      </c>
      <c r="BM457" s="50" t="s">
        <v>15460</v>
      </c>
      <c r="BN457" s="50" t="s">
        <v>12324</v>
      </c>
      <c r="BO457" s="50" t="s">
        <v>734</v>
      </c>
      <c r="BP457" s="50" t="s">
        <v>350</v>
      </c>
      <c r="BQ457" s="50" t="s">
        <v>735</v>
      </c>
      <c r="BR457" s="50" t="s">
        <v>736</v>
      </c>
      <c r="BS457" s="50" t="s">
        <v>737</v>
      </c>
      <c r="BU457" s="50" t="s">
        <v>15461</v>
      </c>
      <c r="BV457" s="50" t="s">
        <v>5410</v>
      </c>
      <c r="BW457" s="50" t="s">
        <v>138</v>
      </c>
      <c r="BX457" s="50" t="s">
        <v>15462</v>
      </c>
      <c r="BY457" s="50" t="s">
        <v>15463</v>
      </c>
      <c r="BZ457" s="50" t="s">
        <v>5409</v>
      </c>
      <c r="CA457" s="50" t="s">
        <v>5410</v>
      </c>
      <c r="CB457" s="50" t="s">
        <v>15462</v>
      </c>
      <c r="CC457" s="50" t="s">
        <v>15463</v>
      </c>
      <c r="CD457" s="50" t="s">
        <v>15464</v>
      </c>
      <c r="CE457" s="50" t="s">
        <v>15465</v>
      </c>
      <c r="CF457" s="50" t="s">
        <v>15466</v>
      </c>
      <c r="CG457" s="50" t="s">
        <v>5412</v>
      </c>
      <c r="CH457" s="50" t="s">
        <v>15467</v>
      </c>
      <c r="CJ457" s="50" t="s">
        <v>3970</v>
      </c>
      <c r="CK457" s="50" t="s">
        <v>15468</v>
      </c>
      <c r="CL457" s="50" t="s">
        <v>729</v>
      </c>
      <c r="CM457" s="50" t="s">
        <v>730</v>
      </c>
      <c r="CN457" s="50" t="s">
        <v>3970</v>
      </c>
      <c r="CO457" s="50" t="s">
        <v>5414</v>
      </c>
      <c r="CP457" s="50" t="s">
        <v>5413</v>
      </c>
      <c r="CQ457" s="50" t="s">
        <v>5413</v>
      </c>
    </row>
    <row r="458" spans="1:96">
      <c r="A458" s="50" t="s">
        <v>93</v>
      </c>
      <c r="B458" s="50">
        <v>5018147</v>
      </c>
      <c r="C458" s="50" t="s">
        <v>13158</v>
      </c>
      <c r="D458" s="50" t="s">
        <v>10501</v>
      </c>
      <c r="E458" s="50" t="e">
        <f>VLOOKUP(B458,aa!B:F,5,0)</f>
        <v>#N/A</v>
      </c>
      <c r="F458" s="50" t="e">
        <f>VLOOKUP(B458,aa!B:J,9,0)</f>
        <v>#N/A</v>
      </c>
      <c r="G458" s="50" t="e">
        <f>VLOOKUP(B458,aa!B:L,11,0)</f>
        <v>#N/A</v>
      </c>
      <c r="H458" s="50" t="e">
        <f>VLOOKUP(B458,aa!B:O,14,0)</f>
        <v>#N/A</v>
      </c>
      <c r="I458" s="50" t="e">
        <f>VLOOKUP(B458,aa!B:R,17,0)</f>
        <v>#N/A</v>
      </c>
      <c r="K458" s="50" t="s">
        <v>97</v>
      </c>
      <c r="L458" s="50">
        <v>0</v>
      </c>
      <c r="M458" s="50">
        <v>0</v>
      </c>
      <c r="N458" s="50">
        <v>0</v>
      </c>
      <c r="O458" s="50">
        <v>110</v>
      </c>
      <c r="P458" s="50" t="s">
        <v>102</v>
      </c>
      <c r="Q458" s="50">
        <v>0</v>
      </c>
      <c r="R458" s="50">
        <v>0</v>
      </c>
      <c r="T458" s="50">
        <v>0</v>
      </c>
      <c r="U458" s="50">
        <v>0</v>
      </c>
      <c r="W458" s="50" t="s">
        <v>102</v>
      </c>
      <c r="X458" s="50" t="s">
        <v>275</v>
      </c>
      <c r="Z458" s="50" t="s">
        <v>14534</v>
      </c>
      <c r="AA458" s="50" t="s">
        <v>109</v>
      </c>
      <c r="AB458" s="50" t="s">
        <v>102</v>
      </c>
      <c r="AC458" s="50" t="s">
        <v>109</v>
      </c>
      <c r="AD458" s="50" t="s">
        <v>102</v>
      </c>
      <c r="AE458" s="50" t="s">
        <v>109</v>
      </c>
      <c r="AF458" s="50" t="s">
        <v>102</v>
      </c>
      <c r="AG458" s="50" t="s">
        <v>109</v>
      </c>
      <c r="AH458" s="50" t="s">
        <v>102</v>
      </c>
      <c r="AI458" s="50" t="s">
        <v>102</v>
      </c>
      <c r="AL458" s="50" t="s">
        <v>102</v>
      </c>
      <c r="AM458" s="50" t="s">
        <v>102</v>
      </c>
      <c r="AN458" s="50" t="s">
        <v>102</v>
      </c>
      <c r="AO458" s="50" t="s">
        <v>115</v>
      </c>
      <c r="AP458" s="50" t="s">
        <v>115</v>
      </c>
      <c r="AU458" s="50" t="s">
        <v>318</v>
      </c>
      <c r="AV458" s="50" t="s">
        <v>118</v>
      </c>
      <c r="AW458" s="50" t="s">
        <v>102</v>
      </c>
      <c r="AX458" s="50" t="s">
        <v>119</v>
      </c>
      <c r="BB458" s="50" t="s">
        <v>120</v>
      </c>
      <c r="BC458" s="50" t="s">
        <v>1407</v>
      </c>
      <c r="BD458" s="50" t="s">
        <v>449</v>
      </c>
      <c r="BE458" s="50" t="s">
        <v>122</v>
      </c>
      <c r="BF458" s="50" t="s">
        <v>450</v>
      </c>
      <c r="BG458" s="50" t="s">
        <v>124</v>
      </c>
      <c r="BH458" s="50" t="s">
        <v>2483</v>
      </c>
      <c r="BI458" s="50" t="s">
        <v>11889</v>
      </c>
      <c r="BJ458" s="50" t="s">
        <v>127</v>
      </c>
      <c r="BK458" s="50" t="s">
        <v>19416</v>
      </c>
      <c r="BL458" s="50" t="s">
        <v>10504</v>
      </c>
      <c r="BM458" s="50" t="s">
        <v>19417</v>
      </c>
      <c r="BN458" s="50" t="s">
        <v>12324</v>
      </c>
      <c r="BO458" s="50" t="s">
        <v>1108</v>
      </c>
      <c r="BP458" s="50" t="s">
        <v>505</v>
      </c>
      <c r="BQ458" s="50" t="s">
        <v>1109</v>
      </c>
      <c r="BR458" s="50" t="s">
        <v>1110</v>
      </c>
      <c r="BS458" s="50" t="s">
        <v>1111</v>
      </c>
      <c r="BU458" s="50" t="s">
        <v>19418</v>
      </c>
      <c r="BV458" s="50" t="s">
        <v>224</v>
      </c>
      <c r="BW458" s="50" t="s">
        <v>598</v>
      </c>
      <c r="BX458" s="50" t="s">
        <v>225</v>
      </c>
      <c r="BY458" s="50" t="s">
        <v>226</v>
      </c>
      <c r="BZ458" s="50" t="s">
        <v>4076</v>
      </c>
      <c r="CA458" s="50" t="s">
        <v>14538</v>
      </c>
      <c r="CB458" s="50" t="s">
        <v>14539</v>
      </c>
      <c r="CC458" s="50" t="s">
        <v>14540</v>
      </c>
      <c r="CD458" s="50" t="s">
        <v>14541</v>
      </c>
      <c r="CE458" s="50" t="s">
        <v>14542</v>
      </c>
      <c r="CF458" s="50" t="s">
        <v>14540</v>
      </c>
      <c r="CG458" s="50" t="s">
        <v>102</v>
      </c>
      <c r="CH458" s="50" t="s">
        <v>14543</v>
      </c>
      <c r="CJ458" s="50" t="s">
        <v>4078</v>
      </c>
      <c r="CL458" s="50" t="s">
        <v>1407</v>
      </c>
      <c r="CM458" s="50" t="s">
        <v>449</v>
      </c>
      <c r="CN458" s="50" t="s">
        <v>4078</v>
      </c>
      <c r="CP458" s="50" t="s">
        <v>4077</v>
      </c>
      <c r="CQ458" s="50" t="s">
        <v>4077</v>
      </c>
    </row>
    <row r="459" spans="1:96">
      <c r="A459" s="50" t="s">
        <v>93</v>
      </c>
      <c r="B459" s="50">
        <v>5018148</v>
      </c>
      <c r="C459" s="50" t="s">
        <v>13158</v>
      </c>
      <c r="D459" s="50" t="s">
        <v>10507</v>
      </c>
      <c r="E459" s="50" t="e">
        <f>VLOOKUP(B459,aa!B:F,5,0)</f>
        <v>#N/A</v>
      </c>
      <c r="F459" s="50" t="e">
        <f>VLOOKUP(B459,aa!B:J,9,0)</f>
        <v>#N/A</v>
      </c>
      <c r="G459" s="50" t="e">
        <f>VLOOKUP(B459,aa!B:L,11,0)</f>
        <v>#N/A</v>
      </c>
      <c r="H459" s="50" t="e">
        <f>VLOOKUP(B459,aa!B:O,14,0)</f>
        <v>#N/A</v>
      </c>
      <c r="I459" s="50" t="e">
        <f>VLOOKUP(B459,aa!B:R,17,0)</f>
        <v>#N/A</v>
      </c>
      <c r="K459" s="50" t="s">
        <v>97</v>
      </c>
      <c r="L459" s="50">
        <v>0</v>
      </c>
      <c r="M459" s="50">
        <v>0</v>
      </c>
      <c r="N459" s="50">
        <v>0</v>
      </c>
      <c r="O459" s="50">
        <v>29</v>
      </c>
      <c r="P459" s="50" t="s">
        <v>102</v>
      </c>
      <c r="Q459" s="50">
        <v>0</v>
      </c>
      <c r="R459" s="50">
        <v>0</v>
      </c>
      <c r="T459" s="50">
        <v>0</v>
      </c>
      <c r="U459" s="50">
        <v>0</v>
      </c>
      <c r="W459" s="50" t="s">
        <v>102</v>
      </c>
      <c r="X459" s="50" t="s">
        <v>275</v>
      </c>
      <c r="Z459" s="50" t="s">
        <v>14534</v>
      </c>
      <c r="AA459" s="50" t="s">
        <v>109</v>
      </c>
      <c r="AB459" s="50" t="s">
        <v>102</v>
      </c>
      <c r="AC459" s="50" t="s">
        <v>109</v>
      </c>
      <c r="AD459" s="50" t="s">
        <v>102</v>
      </c>
      <c r="AE459" s="50" t="s">
        <v>109</v>
      </c>
      <c r="AF459" s="50" t="s">
        <v>102</v>
      </c>
      <c r="AG459" s="50" t="s">
        <v>109</v>
      </c>
      <c r="AH459" s="50" t="s">
        <v>102</v>
      </c>
      <c r="AI459" s="50" t="s">
        <v>102</v>
      </c>
      <c r="AL459" s="50" t="s">
        <v>102</v>
      </c>
      <c r="AM459" s="50" t="s">
        <v>102</v>
      </c>
      <c r="AN459" s="50" t="s">
        <v>102</v>
      </c>
      <c r="AO459" s="50" t="s">
        <v>115</v>
      </c>
      <c r="AP459" s="50" t="s">
        <v>115</v>
      </c>
      <c r="AU459" s="50" t="s">
        <v>318</v>
      </c>
      <c r="AV459" s="50" t="s">
        <v>118</v>
      </c>
      <c r="AW459" s="50" t="s">
        <v>102</v>
      </c>
      <c r="AX459" s="50" t="s">
        <v>119</v>
      </c>
      <c r="BB459" s="50" t="s">
        <v>120</v>
      </c>
      <c r="BC459" s="50" t="s">
        <v>1407</v>
      </c>
      <c r="BD459" s="50" t="s">
        <v>449</v>
      </c>
      <c r="BE459" s="50" t="s">
        <v>122</v>
      </c>
      <c r="BF459" s="50" t="s">
        <v>450</v>
      </c>
      <c r="BG459" s="50" t="s">
        <v>124</v>
      </c>
      <c r="BH459" s="50" t="s">
        <v>2483</v>
      </c>
      <c r="BI459" s="50" t="s">
        <v>11889</v>
      </c>
      <c r="BJ459" s="50" t="s">
        <v>127</v>
      </c>
      <c r="BK459" s="50" t="s">
        <v>19419</v>
      </c>
      <c r="BL459" s="50" t="s">
        <v>10510</v>
      </c>
      <c r="BM459" s="50" t="s">
        <v>19420</v>
      </c>
      <c r="BN459" s="50" t="s">
        <v>12324</v>
      </c>
      <c r="BO459" s="50" t="s">
        <v>1108</v>
      </c>
      <c r="BP459" s="50" t="s">
        <v>350</v>
      </c>
      <c r="BQ459" s="50" t="s">
        <v>1109</v>
      </c>
      <c r="BR459" s="50" t="s">
        <v>1110</v>
      </c>
      <c r="BS459" s="50" t="s">
        <v>1111</v>
      </c>
      <c r="BU459" s="50" t="s">
        <v>19421</v>
      </c>
      <c r="BV459" s="50" t="s">
        <v>224</v>
      </c>
      <c r="BW459" s="50" t="s">
        <v>598</v>
      </c>
      <c r="BX459" s="50" t="s">
        <v>225</v>
      </c>
      <c r="BY459" s="50" t="s">
        <v>226</v>
      </c>
      <c r="BZ459" s="50" t="s">
        <v>4076</v>
      </c>
      <c r="CA459" s="50" t="s">
        <v>14538</v>
      </c>
      <c r="CB459" s="50" t="s">
        <v>14539</v>
      </c>
      <c r="CC459" s="50" t="s">
        <v>14540</v>
      </c>
      <c r="CD459" s="50" t="s">
        <v>14541</v>
      </c>
      <c r="CE459" s="50" t="s">
        <v>14542</v>
      </c>
      <c r="CF459" s="50" t="s">
        <v>14540</v>
      </c>
      <c r="CG459" s="50" t="s">
        <v>102</v>
      </c>
      <c r="CH459" s="50" t="s">
        <v>14543</v>
      </c>
      <c r="CJ459" s="50" t="s">
        <v>4078</v>
      </c>
      <c r="CL459" s="50" t="s">
        <v>1407</v>
      </c>
      <c r="CM459" s="50" t="s">
        <v>449</v>
      </c>
      <c r="CN459" s="50" t="s">
        <v>4078</v>
      </c>
      <c r="CP459" s="50" t="s">
        <v>4077</v>
      </c>
      <c r="CQ459" s="50" t="s">
        <v>4077</v>
      </c>
    </row>
    <row r="460" spans="1:96">
      <c r="A460" s="50" t="s">
        <v>93</v>
      </c>
      <c r="B460" s="50">
        <v>5018150</v>
      </c>
      <c r="C460" s="50" t="s">
        <v>13158</v>
      </c>
      <c r="D460" s="50" t="s">
        <v>19422</v>
      </c>
      <c r="E460" s="50" t="e">
        <f>VLOOKUP(B460,aa!B:F,5,0)</f>
        <v>#N/A</v>
      </c>
      <c r="F460" s="50" t="e">
        <f>VLOOKUP(B460,aa!B:J,9,0)</f>
        <v>#N/A</v>
      </c>
      <c r="G460" s="50" t="e">
        <f>VLOOKUP(B460,aa!B:L,11,0)</f>
        <v>#N/A</v>
      </c>
      <c r="H460" s="50" t="e">
        <f>VLOOKUP(B460,aa!B:O,14,0)</f>
        <v>#N/A</v>
      </c>
      <c r="I460" s="50" t="e">
        <f>VLOOKUP(B460,aa!B:R,17,0)</f>
        <v>#N/A</v>
      </c>
      <c r="K460" s="50" t="s">
        <v>97</v>
      </c>
      <c r="L460" s="50">
        <v>0</v>
      </c>
      <c r="M460" s="50">
        <v>0</v>
      </c>
      <c r="N460" s="50">
        <v>0</v>
      </c>
      <c r="O460" s="50">
        <v>73</v>
      </c>
      <c r="P460" s="50" t="s">
        <v>102</v>
      </c>
      <c r="Q460" s="50">
        <v>0</v>
      </c>
      <c r="R460" s="50">
        <v>0</v>
      </c>
      <c r="T460" s="50">
        <v>0</v>
      </c>
      <c r="U460" s="50">
        <v>0</v>
      </c>
      <c r="W460" s="50" t="s">
        <v>102</v>
      </c>
      <c r="X460" s="50" t="s">
        <v>275</v>
      </c>
      <c r="Z460" s="50" t="s">
        <v>14534</v>
      </c>
      <c r="AA460" s="50" t="s">
        <v>109</v>
      </c>
      <c r="AB460" s="50" t="s">
        <v>102</v>
      </c>
      <c r="AC460" s="50" t="s">
        <v>109</v>
      </c>
      <c r="AD460" s="50" t="s">
        <v>102</v>
      </c>
      <c r="AE460" s="50" t="s">
        <v>109</v>
      </c>
      <c r="AF460" s="50" t="s">
        <v>102</v>
      </c>
      <c r="AG460" s="50" t="s">
        <v>109</v>
      </c>
      <c r="AH460" s="50" t="s">
        <v>102</v>
      </c>
      <c r="AI460" s="50" t="s">
        <v>102</v>
      </c>
      <c r="AL460" s="50" t="s">
        <v>102</v>
      </c>
      <c r="AM460" s="50" t="s">
        <v>102</v>
      </c>
      <c r="AN460" s="50" t="s">
        <v>102</v>
      </c>
      <c r="AO460" s="50" t="s">
        <v>115</v>
      </c>
      <c r="AP460" s="50" t="s">
        <v>115</v>
      </c>
      <c r="AU460" s="50" t="s">
        <v>318</v>
      </c>
      <c r="AV460" s="50" t="s">
        <v>118</v>
      </c>
      <c r="AW460" s="50" t="s">
        <v>102</v>
      </c>
      <c r="AX460" s="50" t="s">
        <v>119</v>
      </c>
      <c r="BB460" s="50" t="s">
        <v>120</v>
      </c>
      <c r="BC460" s="50" t="s">
        <v>3058</v>
      </c>
      <c r="BD460" s="50" t="s">
        <v>320</v>
      </c>
      <c r="BE460" s="50" t="s">
        <v>122</v>
      </c>
      <c r="BF460" s="50" t="s">
        <v>123</v>
      </c>
      <c r="BG460" s="50" t="s">
        <v>124</v>
      </c>
      <c r="BH460" s="50" t="s">
        <v>12324</v>
      </c>
      <c r="BI460" s="50" t="s">
        <v>11889</v>
      </c>
      <c r="BJ460" s="50" t="s">
        <v>127</v>
      </c>
      <c r="BK460" s="50" t="s">
        <v>19423</v>
      </c>
      <c r="BL460" s="50" t="s">
        <v>10516</v>
      </c>
      <c r="BM460" s="50" t="s">
        <v>19424</v>
      </c>
      <c r="BN460" s="50" t="s">
        <v>12324</v>
      </c>
      <c r="BO460" s="50" t="s">
        <v>1108</v>
      </c>
      <c r="BP460" s="50" t="s">
        <v>180</v>
      </c>
      <c r="BQ460" s="50" t="s">
        <v>1109</v>
      </c>
      <c r="BR460" s="50" t="s">
        <v>1110</v>
      </c>
      <c r="BS460" s="50" t="s">
        <v>1111</v>
      </c>
      <c r="BU460" s="50" t="s">
        <v>19425</v>
      </c>
      <c r="BV460" s="50" t="s">
        <v>224</v>
      </c>
      <c r="BW460" s="50" t="s">
        <v>598</v>
      </c>
      <c r="BX460" s="50" t="s">
        <v>225</v>
      </c>
      <c r="BY460" s="50" t="s">
        <v>226</v>
      </c>
      <c r="BZ460" s="50" t="s">
        <v>10519</v>
      </c>
      <c r="CA460" s="50" t="s">
        <v>19426</v>
      </c>
      <c r="CB460" s="50" t="s">
        <v>10519</v>
      </c>
      <c r="CC460" s="50" t="s">
        <v>19427</v>
      </c>
      <c r="CD460" s="50" t="s">
        <v>19428</v>
      </c>
      <c r="CE460" s="50" t="s">
        <v>19429</v>
      </c>
      <c r="CF460" s="50" t="s">
        <v>19427</v>
      </c>
      <c r="CG460" s="50" t="s">
        <v>102</v>
      </c>
      <c r="CH460" s="50" t="s">
        <v>19430</v>
      </c>
      <c r="CJ460" s="50" t="s">
        <v>3070</v>
      </c>
      <c r="CL460" s="50" t="s">
        <v>3058</v>
      </c>
      <c r="CM460" s="50" t="s">
        <v>320</v>
      </c>
      <c r="CN460" s="50" t="s">
        <v>3070</v>
      </c>
      <c r="CP460" s="50" t="s">
        <v>10520</v>
      </c>
      <c r="CQ460" s="50" t="s">
        <v>10520</v>
      </c>
    </row>
    <row r="461" spans="1:96">
      <c r="A461" s="50" t="s">
        <v>93</v>
      </c>
      <c r="B461" s="50">
        <v>5018151</v>
      </c>
      <c r="C461" s="50" t="s">
        <v>13158</v>
      </c>
      <c r="D461" s="50" t="s">
        <v>18935</v>
      </c>
      <c r="E461" s="50" t="e">
        <f>VLOOKUP(B461,aa!B:F,5,0)</f>
        <v>#N/A</v>
      </c>
      <c r="F461" s="50" t="e">
        <f>VLOOKUP(B461,aa!B:J,9,0)</f>
        <v>#N/A</v>
      </c>
      <c r="G461" s="50" t="e">
        <f>VLOOKUP(B461,aa!B:L,11,0)</f>
        <v>#N/A</v>
      </c>
      <c r="H461" s="50" t="e">
        <f>VLOOKUP(B461,aa!B:O,14,0)</f>
        <v>#N/A</v>
      </c>
      <c r="I461" s="50" t="e">
        <f>VLOOKUP(B461,aa!B:R,17,0)</f>
        <v>#N/A</v>
      </c>
      <c r="K461" s="50" t="s">
        <v>97</v>
      </c>
      <c r="L461" s="50">
        <v>0</v>
      </c>
      <c r="M461" s="50">
        <v>0</v>
      </c>
      <c r="N461" s="50">
        <v>0</v>
      </c>
      <c r="O461" s="50">
        <v>16</v>
      </c>
      <c r="P461" s="50" t="s">
        <v>102</v>
      </c>
      <c r="Q461" s="50">
        <v>0</v>
      </c>
      <c r="R461" s="50">
        <v>0</v>
      </c>
      <c r="T461" s="50">
        <v>0</v>
      </c>
      <c r="U461" s="50">
        <v>0</v>
      </c>
      <c r="W461" s="50" t="s">
        <v>102</v>
      </c>
      <c r="X461" s="50" t="s">
        <v>275</v>
      </c>
      <c r="Z461" s="50" t="s">
        <v>14534</v>
      </c>
      <c r="AA461" s="50" t="s">
        <v>109</v>
      </c>
      <c r="AB461" s="50" t="s">
        <v>102</v>
      </c>
      <c r="AC461" s="50" t="s">
        <v>109</v>
      </c>
      <c r="AD461" s="50" t="s">
        <v>102</v>
      </c>
      <c r="AE461" s="50" t="s">
        <v>109</v>
      </c>
      <c r="AF461" s="50" t="s">
        <v>102</v>
      </c>
      <c r="AG461" s="50" t="s">
        <v>109</v>
      </c>
      <c r="AH461" s="50" t="s">
        <v>102</v>
      </c>
      <c r="AI461" s="50" t="s">
        <v>102</v>
      </c>
      <c r="AL461" s="50" t="s">
        <v>102</v>
      </c>
      <c r="AM461" s="50" t="s">
        <v>102</v>
      </c>
      <c r="AN461" s="50" t="s">
        <v>102</v>
      </c>
      <c r="AO461" s="50" t="s">
        <v>115</v>
      </c>
      <c r="AP461" s="50" t="s">
        <v>115</v>
      </c>
      <c r="AU461" s="50" t="s">
        <v>318</v>
      </c>
      <c r="AV461" s="50" t="s">
        <v>118</v>
      </c>
      <c r="AW461" s="50" t="s">
        <v>102</v>
      </c>
      <c r="AX461" s="50" t="s">
        <v>119</v>
      </c>
      <c r="BB461" s="50" t="s">
        <v>120</v>
      </c>
      <c r="BC461" s="50" t="s">
        <v>3058</v>
      </c>
      <c r="BD461" s="50" t="s">
        <v>320</v>
      </c>
      <c r="BE461" s="50" t="s">
        <v>122</v>
      </c>
      <c r="BF461" s="50" t="s">
        <v>123</v>
      </c>
      <c r="BG461" s="50" t="s">
        <v>124</v>
      </c>
      <c r="BH461" s="50" t="s">
        <v>12911</v>
      </c>
      <c r="BI461" s="50" t="s">
        <v>11889</v>
      </c>
      <c r="BJ461" s="50" t="s">
        <v>127</v>
      </c>
      <c r="BK461" s="50" t="s">
        <v>19431</v>
      </c>
      <c r="BL461" s="50" t="s">
        <v>10524</v>
      </c>
      <c r="BM461" s="50" t="s">
        <v>19432</v>
      </c>
      <c r="BN461" s="50" t="s">
        <v>12324</v>
      </c>
      <c r="BO461" s="50" t="s">
        <v>1108</v>
      </c>
      <c r="BP461" s="50" t="s">
        <v>180</v>
      </c>
      <c r="BQ461" s="50" t="s">
        <v>1109</v>
      </c>
      <c r="BR461" s="50" t="s">
        <v>1110</v>
      </c>
      <c r="BS461" s="50" t="s">
        <v>1111</v>
      </c>
      <c r="BU461" s="50" t="s">
        <v>19433</v>
      </c>
      <c r="BV461" s="50" t="s">
        <v>224</v>
      </c>
      <c r="BW461" s="50" t="s">
        <v>598</v>
      </c>
      <c r="BX461" s="50" t="s">
        <v>225</v>
      </c>
      <c r="BY461" s="50" t="s">
        <v>226</v>
      </c>
      <c r="BZ461" s="50" t="s">
        <v>10519</v>
      </c>
      <c r="CA461" s="50" t="s">
        <v>19426</v>
      </c>
      <c r="CB461" s="50" t="s">
        <v>10519</v>
      </c>
      <c r="CC461" s="50" t="s">
        <v>19427</v>
      </c>
      <c r="CD461" s="50" t="s">
        <v>19428</v>
      </c>
      <c r="CE461" s="50" t="s">
        <v>19429</v>
      </c>
      <c r="CF461" s="50" t="s">
        <v>19427</v>
      </c>
      <c r="CG461" s="50" t="s">
        <v>102</v>
      </c>
      <c r="CH461" s="50" t="s">
        <v>19430</v>
      </c>
      <c r="CJ461" s="50" t="s">
        <v>3070</v>
      </c>
      <c r="CL461" s="50" t="s">
        <v>3058</v>
      </c>
      <c r="CM461" s="50" t="s">
        <v>320</v>
      </c>
      <c r="CN461" s="50" t="s">
        <v>3070</v>
      </c>
      <c r="CP461" s="50" t="s">
        <v>10527</v>
      </c>
      <c r="CQ461" s="50" t="s">
        <v>10527</v>
      </c>
    </row>
    <row r="462" spans="1:96">
      <c r="A462" s="50" t="s">
        <v>93</v>
      </c>
      <c r="B462" s="50">
        <v>5018152</v>
      </c>
      <c r="C462" s="50" t="s">
        <v>13158</v>
      </c>
      <c r="D462" s="50" t="s">
        <v>19422</v>
      </c>
      <c r="E462" s="50" t="e">
        <f>VLOOKUP(B462,aa!B:F,5,0)</f>
        <v>#N/A</v>
      </c>
      <c r="F462" s="50" t="e">
        <f>VLOOKUP(B462,aa!B:J,9,0)</f>
        <v>#N/A</v>
      </c>
      <c r="G462" s="50" t="e">
        <f>VLOOKUP(B462,aa!B:L,11,0)</f>
        <v>#N/A</v>
      </c>
      <c r="H462" s="50" t="e">
        <f>VLOOKUP(B462,aa!B:O,14,0)</f>
        <v>#N/A</v>
      </c>
      <c r="I462" s="50" t="e">
        <f>VLOOKUP(B462,aa!B:R,17,0)</f>
        <v>#N/A</v>
      </c>
      <c r="K462" s="50" t="s">
        <v>97</v>
      </c>
      <c r="L462" s="50">
        <v>0</v>
      </c>
      <c r="M462" s="50">
        <v>0</v>
      </c>
      <c r="N462" s="50">
        <v>0</v>
      </c>
      <c r="O462" s="50">
        <v>144</v>
      </c>
      <c r="P462" s="50" t="s">
        <v>102</v>
      </c>
      <c r="Q462" s="50">
        <v>0</v>
      </c>
      <c r="R462" s="50">
        <v>0</v>
      </c>
      <c r="T462" s="50">
        <v>0</v>
      </c>
      <c r="U462" s="50">
        <v>0</v>
      </c>
      <c r="W462" s="50" t="s">
        <v>102</v>
      </c>
      <c r="X462" s="50" t="s">
        <v>275</v>
      </c>
      <c r="Z462" s="50" t="s">
        <v>14534</v>
      </c>
      <c r="AA462" s="50" t="s">
        <v>109</v>
      </c>
      <c r="AB462" s="50" t="s">
        <v>102</v>
      </c>
      <c r="AC462" s="50" t="s">
        <v>109</v>
      </c>
      <c r="AD462" s="50" t="s">
        <v>102</v>
      </c>
      <c r="AE462" s="50" t="s">
        <v>109</v>
      </c>
      <c r="AF462" s="50" t="s">
        <v>102</v>
      </c>
      <c r="AG462" s="50" t="s">
        <v>109</v>
      </c>
      <c r="AH462" s="50" t="s">
        <v>102</v>
      </c>
      <c r="AI462" s="50" t="s">
        <v>102</v>
      </c>
      <c r="AL462" s="50" t="s">
        <v>102</v>
      </c>
      <c r="AM462" s="50" t="s">
        <v>102</v>
      </c>
      <c r="AN462" s="50" t="s">
        <v>102</v>
      </c>
      <c r="AO462" s="50" t="s">
        <v>115</v>
      </c>
      <c r="AP462" s="50" t="s">
        <v>115</v>
      </c>
      <c r="AU462" s="50" t="s">
        <v>318</v>
      </c>
      <c r="AV462" s="50" t="s">
        <v>118</v>
      </c>
      <c r="AW462" s="50" t="s">
        <v>102</v>
      </c>
      <c r="AX462" s="50" t="s">
        <v>119</v>
      </c>
      <c r="BB462" s="50" t="s">
        <v>3678</v>
      </c>
      <c r="BC462" s="50" t="s">
        <v>4153</v>
      </c>
      <c r="BD462" s="50" t="s">
        <v>320</v>
      </c>
      <c r="BE462" s="50" t="s">
        <v>122</v>
      </c>
      <c r="BF462" s="50" t="s">
        <v>123</v>
      </c>
      <c r="BG462" s="50" t="s">
        <v>124</v>
      </c>
      <c r="BH462" s="50" t="s">
        <v>2483</v>
      </c>
      <c r="BI462" s="50" t="s">
        <v>11889</v>
      </c>
      <c r="BJ462" s="50" t="s">
        <v>127</v>
      </c>
      <c r="BK462" s="50" t="s">
        <v>19434</v>
      </c>
      <c r="BL462" s="50" t="s">
        <v>10531</v>
      </c>
      <c r="BM462" s="50" t="s">
        <v>19435</v>
      </c>
      <c r="BN462" s="50" t="s">
        <v>12324</v>
      </c>
      <c r="BO462" s="50" t="s">
        <v>1108</v>
      </c>
      <c r="BP462" s="50" t="s">
        <v>350</v>
      </c>
      <c r="BQ462" s="50" t="s">
        <v>1109</v>
      </c>
      <c r="BR462" s="50" t="s">
        <v>1110</v>
      </c>
      <c r="BS462" s="50" t="s">
        <v>1111</v>
      </c>
      <c r="BU462" s="50" t="s">
        <v>19436</v>
      </c>
      <c r="BV462" s="50" t="s">
        <v>224</v>
      </c>
      <c r="BW462" s="50" t="s">
        <v>598</v>
      </c>
      <c r="BX462" s="50" t="s">
        <v>225</v>
      </c>
      <c r="BY462" s="50" t="s">
        <v>226</v>
      </c>
      <c r="BZ462" s="50" t="s">
        <v>9785</v>
      </c>
      <c r="CA462" s="50" t="s">
        <v>19437</v>
      </c>
      <c r="CB462" s="50" t="s">
        <v>9785</v>
      </c>
      <c r="CC462" s="50" t="s">
        <v>19438</v>
      </c>
      <c r="CD462" s="50" t="s">
        <v>19439</v>
      </c>
      <c r="CE462" s="50" t="s">
        <v>19440</v>
      </c>
      <c r="CF462" s="50" t="s">
        <v>19438</v>
      </c>
      <c r="CG462" s="50" t="s">
        <v>102</v>
      </c>
      <c r="CH462" s="50" t="s">
        <v>19441</v>
      </c>
      <c r="CJ462" s="50" t="s">
        <v>4160</v>
      </c>
      <c r="CL462" s="50" t="s">
        <v>4153</v>
      </c>
      <c r="CM462" s="50" t="s">
        <v>320</v>
      </c>
      <c r="CN462" s="50" t="s">
        <v>4160</v>
      </c>
      <c r="CP462" s="50" t="s">
        <v>10536</v>
      </c>
      <c r="CQ462" s="50" t="s">
        <v>10536</v>
      </c>
    </row>
    <row r="463" spans="1:96">
      <c r="A463" s="50" t="s">
        <v>93</v>
      </c>
      <c r="B463" s="50">
        <v>5018153</v>
      </c>
      <c r="C463" s="50" t="s">
        <v>13158</v>
      </c>
      <c r="D463" s="50" t="s">
        <v>10537</v>
      </c>
      <c r="E463" s="50" t="e">
        <f>VLOOKUP(B463,aa!B:F,5,0)</f>
        <v>#N/A</v>
      </c>
      <c r="F463" s="50" t="e">
        <f>VLOOKUP(B463,aa!B:J,9,0)</f>
        <v>#N/A</v>
      </c>
      <c r="G463" s="50" t="e">
        <f>VLOOKUP(B463,aa!B:L,11,0)</f>
        <v>#N/A</v>
      </c>
      <c r="H463" s="50" t="e">
        <f>VLOOKUP(B463,aa!B:O,14,0)</f>
        <v>#N/A</v>
      </c>
      <c r="I463" s="50" t="e">
        <f>VLOOKUP(B463,aa!B:R,17,0)</f>
        <v>#N/A</v>
      </c>
      <c r="K463" s="50" t="s">
        <v>97</v>
      </c>
      <c r="L463" s="50">
        <v>1539059</v>
      </c>
      <c r="M463" s="50">
        <v>1539059</v>
      </c>
      <c r="N463" s="50">
        <v>1539059</v>
      </c>
      <c r="O463" s="50">
        <v>1509</v>
      </c>
      <c r="P463" s="50" t="s">
        <v>19442</v>
      </c>
      <c r="Q463" s="50">
        <v>0</v>
      </c>
      <c r="R463" s="50">
        <v>0</v>
      </c>
      <c r="T463" s="50">
        <v>0</v>
      </c>
      <c r="U463" s="50">
        <v>0</v>
      </c>
      <c r="W463" s="50" t="s">
        <v>102</v>
      </c>
      <c r="X463" s="50" t="s">
        <v>103</v>
      </c>
      <c r="Y463" s="50" t="s">
        <v>104</v>
      </c>
      <c r="AA463" s="50" t="s">
        <v>12312</v>
      </c>
      <c r="AB463" s="50" t="s">
        <v>19443</v>
      </c>
      <c r="AC463" s="50" t="s">
        <v>12427</v>
      </c>
      <c r="AD463" s="50" t="s">
        <v>19443</v>
      </c>
      <c r="AE463" s="50" t="s">
        <v>109</v>
      </c>
      <c r="AF463" s="50" t="s">
        <v>102</v>
      </c>
      <c r="AG463" s="50" t="s">
        <v>109</v>
      </c>
      <c r="AH463" s="50" t="s">
        <v>102</v>
      </c>
      <c r="AI463" s="50" t="s">
        <v>102</v>
      </c>
      <c r="AL463" s="50" t="s">
        <v>19444</v>
      </c>
      <c r="AM463" s="50" t="s">
        <v>102</v>
      </c>
      <c r="AN463" s="50" t="s">
        <v>19444</v>
      </c>
      <c r="AO463" s="50" t="s">
        <v>19445</v>
      </c>
      <c r="AP463" s="50" t="s">
        <v>19445</v>
      </c>
      <c r="AU463" s="50" t="s">
        <v>318</v>
      </c>
      <c r="AV463" s="50" t="s">
        <v>118</v>
      </c>
      <c r="AW463" s="50" t="s">
        <v>102</v>
      </c>
      <c r="AX463" s="50" t="s">
        <v>119</v>
      </c>
      <c r="BB463" s="50" t="s">
        <v>120</v>
      </c>
      <c r="BC463" s="50" t="s">
        <v>1407</v>
      </c>
      <c r="BD463" s="50" t="s">
        <v>449</v>
      </c>
      <c r="BE463" s="50" t="s">
        <v>122</v>
      </c>
      <c r="BF463" s="50" t="s">
        <v>450</v>
      </c>
      <c r="BG463" s="50" t="s">
        <v>124</v>
      </c>
      <c r="BH463" s="50" t="s">
        <v>12425</v>
      </c>
      <c r="BI463" s="50" t="s">
        <v>11889</v>
      </c>
      <c r="BJ463" s="50" t="s">
        <v>127</v>
      </c>
      <c r="BK463" s="50" t="s">
        <v>19446</v>
      </c>
      <c r="BL463" s="50" t="s">
        <v>10548</v>
      </c>
      <c r="BM463" s="50" t="s">
        <v>19447</v>
      </c>
      <c r="BN463" s="50" t="s">
        <v>12324</v>
      </c>
      <c r="BO463" s="50" t="s">
        <v>1108</v>
      </c>
      <c r="BP463" s="50" t="s">
        <v>350</v>
      </c>
      <c r="BQ463" s="50" t="s">
        <v>1109</v>
      </c>
      <c r="BR463" s="50" t="s">
        <v>1110</v>
      </c>
      <c r="BS463" s="50" t="s">
        <v>1111</v>
      </c>
      <c r="BU463" s="50" t="s">
        <v>19448</v>
      </c>
      <c r="BV463" s="50" t="s">
        <v>19449</v>
      </c>
      <c r="BW463" s="50" t="s">
        <v>569</v>
      </c>
      <c r="BX463" s="50" t="s">
        <v>19450</v>
      </c>
      <c r="BY463" s="50" t="s">
        <v>19451</v>
      </c>
      <c r="CA463" s="50" t="s">
        <v>19452</v>
      </c>
      <c r="CB463" s="50" t="s">
        <v>5917</v>
      </c>
      <c r="CC463" s="50" t="s">
        <v>19453</v>
      </c>
      <c r="CD463" s="50" t="s">
        <v>19454</v>
      </c>
      <c r="CE463" s="50" t="s">
        <v>19450</v>
      </c>
      <c r="CF463" s="50" t="s">
        <v>19451</v>
      </c>
      <c r="CG463" s="50" t="s">
        <v>102</v>
      </c>
      <c r="CH463" s="50" t="s">
        <v>19455</v>
      </c>
      <c r="CJ463" s="50" t="s">
        <v>1419</v>
      </c>
      <c r="CL463" s="50" t="s">
        <v>1407</v>
      </c>
      <c r="CM463" s="50" t="s">
        <v>449</v>
      </c>
      <c r="CN463" s="50" t="s">
        <v>1419</v>
      </c>
      <c r="CO463" s="50" t="s">
        <v>5919</v>
      </c>
      <c r="CP463" s="50" t="s">
        <v>10551</v>
      </c>
      <c r="CQ463" s="50" t="s">
        <v>10551</v>
      </c>
    </row>
    <row r="464" spans="1:96">
      <c r="A464" s="50" t="s">
        <v>337</v>
      </c>
      <c r="B464" s="50">
        <v>5054739</v>
      </c>
      <c r="C464" s="50" t="s">
        <v>384</v>
      </c>
      <c r="D464" s="50" t="s">
        <v>20596</v>
      </c>
      <c r="E464" s="50" t="str">
        <f>VLOOKUP(B464,aa!B:F,5,0)</f>
        <v>Ei CARES</v>
      </c>
      <c r="F464" s="50">
        <f>VLOOKUP(B464,aa!B:J,9,0)</f>
        <v>460037</v>
      </c>
      <c r="G464" s="50">
        <f>VLOOKUP(B464,aa!B:L,11,0)</f>
        <v>0</v>
      </c>
      <c r="H464" s="50">
        <f>VLOOKUP(B464,aa!B:O,14,0)</f>
        <v>460037</v>
      </c>
      <c r="I464" s="50">
        <f>VLOOKUP(B464,aa!B:R,17,0)</f>
        <v>0</v>
      </c>
      <c r="K464" s="50" t="s">
        <v>152</v>
      </c>
      <c r="L464" s="50">
        <v>94913</v>
      </c>
      <c r="M464" s="50">
        <v>94913</v>
      </c>
      <c r="N464" s="50">
        <v>0</v>
      </c>
      <c r="O464" s="50">
        <v>0</v>
      </c>
      <c r="Q464" s="50">
        <v>94913</v>
      </c>
      <c r="R464" s="50">
        <v>184</v>
      </c>
      <c r="S464" s="50" t="s">
        <v>20598</v>
      </c>
      <c r="T464" s="50">
        <v>0</v>
      </c>
      <c r="U464" s="50">
        <v>0</v>
      </c>
      <c r="W464" s="50" t="s">
        <v>102</v>
      </c>
      <c r="X464" s="50" t="s">
        <v>679</v>
      </c>
      <c r="Y464" s="50" t="s">
        <v>155</v>
      </c>
      <c r="Z464" s="50" t="s">
        <v>20599</v>
      </c>
      <c r="AA464" s="50" t="s">
        <v>20600</v>
      </c>
      <c r="AB464" s="50" t="s">
        <v>20601</v>
      </c>
      <c r="AC464" s="50" t="s">
        <v>17049</v>
      </c>
      <c r="AD464" s="50" t="s">
        <v>20601</v>
      </c>
      <c r="AE464" s="50" t="s">
        <v>20602</v>
      </c>
      <c r="AF464" s="50" t="s">
        <v>20601</v>
      </c>
      <c r="AG464" s="50" t="s">
        <v>20603</v>
      </c>
      <c r="AH464" s="50" t="s">
        <v>20601</v>
      </c>
      <c r="AI464" s="50" t="s">
        <v>102</v>
      </c>
      <c r="AJ464" s="50" t="s">
        <v>12324</v>
      </c>
      <c r="AK464" s="50" t="s">
        <v>15642</v>
      </c>
      <c r="AL464" s="50" t="s">
        <v>20604</v>
      </c>
      <c r="AM464" s="50" t="s">
        <v>20605</v>
      </c>
      <c r="AN464" s="50" t="s">
        <v>20606</v>
      </c>
      <c r="AO464" s="50" t="s">
        <v>20607</v>
      </c>
      <c r="AP464" s="50" t="s">
        <v>20607</v>
      </c>
      <c r="AU464" s="50" t="s">
        <v>102</v>
      </c>
      <c r="AW464" s="50" t="s">
        <v>104</v>
      </c>
      <c r="AX464" s="50" t="s">
        <v>447</v>
      </c>
      <c r="AY464" s="50" t="s">
        <v>170</v>
      </c>
      <c r="AZ464" s="50" t="s">
        <v>118</v>
      </c>
      <c r="BB464" s="50" t="s">
        <v>1964</v>
      </c>
      <c r="BC464" s="50" t="s">
        <v>19597</v>
      </c>
      <c r="BD464" s="50" t="s">
        <v>376</v>
      </c>
      <c r="BE464" s="50" t="s">
        <v>174</v>
      </c>
      <c r="BF464" s="50" t="s">
        <v>376</v>
      </c>
      <c r="BG464" s="50" t="s">
        <v>124</v>
      </c>
      <c r="BH464" s="50" t="s">
        <v>12324</v>
      </c>
      <c r="BI464" s="50" t="s">
        <v>11889</v>
      </c>
      <c r="BJ464" s="50" t="s">
        <v>127</v>
      </c>
      <c r="BK464" s="50" t="s">
        <v>20608</v>
      </c>
      <c r="BL464" s="50" t="s">
        <v>20609</v>
      </c>
      <c r="BM464" s="50" t="s">
        <v>20610</v>
      </c>
      <c r="BN464" s="50" t="s">
        <v>20597</v>
      </c>
      <c r="BO464" s="50" t="s">
        <v>13780</v>
      </c>
      <c r="BP464" s="50" t="s">
        <v>180</v>
      </c>
      <c r="BQ464" s="50" t="s">
        <v>13781</v>
      </c>
      <c r="BR464" s="50" t="s">
        <v>13782</v>
      </c>
      <c r="BS464" s="50" t="s">
        <v>13783</v>
      </c>
      <c r="BU464" s="50" t="s">
        <v>20611</v>
      </c>
      <c r="BV464" s="50" t="s">
        <v>20612</v>
      </c>
      <c r="BW464" s="50" t="s">
        <v>3121</v>
      </c>
      <c r="BX464" s="50" t="s">
        <v>20613</v>
      </c>
      <c r="BY464" s="50" t="s">
        <v>20614</v>
      </c>
      <c r="BZ464" s="50" t="s">
        <v>20615</v>
      </c>
      <c r="CA464" s="50" t="s">
        <v>20612</v>
      </c>
      <c r="CB464" s="50" t="s">
        <v>20613</v>
      </c>
      <c r="CC464" s="50" t="s">
        <v>20614</v>
      </c>
      <c r="CD464" s="50" t="s">
        <v>20612</v>
      </c>
      <c r="CE464" s="50" t="s">
        <v>20613</v>
      </c>
      <c r="CF464" s="50" t="s">
        <v>20614</v>
      </c>
      <c r="CG464" s="50" t="s">
        <v>6370</v>
      </c>
      <c r="CH464" s="50" t="s">
        <v>20616</v>
      </c>
      <c r="CJ464" s="50" t="s">
        <v>20617</v>
      </c>
      <c r="CK464" s="50" t="s">
        <v>20618</v>
      </c>
      <c r="CL464" s="50" t="s">
        <v>19597</v>
      </c>
      <c r="CM464" s="50" t="s">
        <v>376</v>
      </c>
      <c r="CN464" s="50" t="s">
        <v>20617</v>
      </c>
      <c r="CP464" s="50" t="s">
        <v>20616</v>
      </c>
      <c r="CQ464" s="50" t="s">
        <v>20616</v>
      </c>
    </row>
    <row r="465" spans="1:96">
      <c r="A465" s="50" t="s">
        <v>149</v>
      </c>
      <c r="B465" s="50">
        <v>2565214</v>
      </c>
      <c r="C465" s="50" t="s">
        <v>13158</v>
      </c>
      <c r="D465" s="50" t="s">
        <v>14582</v>
      </c>
      <c r="E465" s="50" t="e">
        <f>VLOOKUP(B465,aa!B:F,5,0)</f>
        <v>#N/A</v>
      </c>
      <c r="F465" s="50" t="e">
        <f>VLOOKUP(B465,aa!B:J,9,0)</f>
        <v>#N/A</v>
      </c>
      <c r="G465" s="50" t="e">
        <f>VLOOKUP(B465,aa!B:L,11,0)</f>
        <v>#N/A</v>
      </c>
      <c r="H465" s="50" t="e">
        <f>VLOOKUP(B465,aa!B:O,14,0)</f>
        <v>#N/A</v>
      </c>
      <c r="I465" s="50" t="e">
        <f>VLOOKUP(B465,aa!B:R,17,0)</f>
        <v>#N/A</v>
      </c>
      <c r="K465" s="50" t="s">
        <v>97</v>
      </c>
      <c r="L465" s="50">
        <v>0</v>
      </c>
      <c r="M465" s="50">
        <v>0</v>
      </c>
      <c r="N465" s="50">
        <v>0</v>
      </c>
      <c r="O465" s="50">
        <v>514</v>
      </c>
      <c r="P465" s="50" t="s">
        <v>102</v>
      </c>
      <c r="Q465" s="50">
        <v>0</v>
      </c>
      <c r="R465" s="50">
        <v>0</v>
      </c>
      <c r="T465" s="50">
        <v>0</v>
      </c>
      <c r="U465" s="50">
        <v>0</v>
      </c>
      <c r="W465" s="50" t="s">
        <v>102</v>
      </c>
      <c r="X465" s="50" t="s">
        <v>275</v>
      </c>
      <c r="Z465" s="50" t="s">
        <v>14584</v>
      </c>
      <c r="AA465" s="50" t="s">
        <v>109</v>
      </c>
      <c r="AB465" s="50" t="s">
        <v>102</v>
      </c>
      <c r="AC465" s="50" t="s">
        <v>109</v>
      </c>
      <c r="AD465" s="50" t="s">
        <v>102</v>
      </c>
      <c r="AE465" s="50" t="s">
        <v>109</v>
      </c>
      <c r="AF465" s="50" t="s">
        <v>102</v>
      </c>
      <c r="AG465" s="50" t="s">
        <v>109</v>
      </c>
      <c r="AH465" s="50" t="s">
        <v>102</v>
      </c>
      <c r="AI465" s="50" t="s">
        <v>102</v>
      </c>
      <c r="AL465" s="50" t="s">
        <v>102</v>
      </c>
      <c r="AM465" s="50" t="s">
        <v>102</v>
      </c>
      <c r="AN465" s="50" t="s">
        <v>102</v>
      </c>
      <c r="AO465" s="50" t="s">
        <v>115</v>
      </c>
      <c r="AP465" s="50" t="s">
        <v>115</v>
      </c>
      <c r="AU465" s="50" t="s">
        <v>3439</v>
      </c>
      <c r="AV465" s="50" t="s">
        <v>118</v>
      </c>
      <c r="AW465" s="50" t="s">
        <v>102</v>
      </c>
      <c r="AX465" s="50" t="s">
        <v>119</v>
      </c>
      <c r="BB465" s="50" t="s">
        <v>120</v>
      </c>
      <c r="BC465" s="50" t="s">
        <v>4153</v>
      </c>
      <c r="BD465" s="50" t="s">
        <v>320</v>
      </c>
      <c r="BE465" s="50" t="s">
        <v>122</v>
      </c>
      <c r="BF465" s="50" t="s">
        <v>123</v>
      </c>
      <c r="BG465" s="50" t="s">
        <v>124</v>
      </c>
      <c r="BH465" s="50" t="s">
        <v>14585</v>
      </c>
      <c r="BI465" s="50" t="s">
        <v>11889</v>
      </c>
      <c r="BJ465" s="50" t="s">
        <v>127</v>
      </c>
      <c r="BK465" s="50" t="s">
        <v>14586</v>
      </c>
      <c r="BL465" s="50" t="s">
        <v>4155</v>
      </c>
      <c r="BM465" s="50" t="s">
        <v>14587</v>
      </c>
      <c r="BN465" s="50" t="s">
        <v>14583</v>
      </c>
      <c r="BO465" s="50" t="s">
        <v>14588</v>
      </c>
      <c r="BP465" s="50" t="s">
        <v>696</v>
      </c>
      <c r="BQ465" s="50" t="s">
        <v>14589</v>
      </c>
      <c r="BR465" s="50" t="s">
        <v>14590</v>
      </c>
      <c r="BS465" s="50" t="s">
        <v>1111</v>
      </c>
      <c r="BU465" s="50" t="s">
        <v>14591</v>
      </c>
      <c r="BV465" s="50" t="s">
        <v>224</v>
      </c>
      <c r="BW465" s="50" t="s">
        <v>598</v>
      </c>
      <c r="BX465" s="50" t="s">
        <v>225</v>
      </c>
      <c r="BY465" s="50" t="s">
        <v>226</v>
      </c>
      <c r="BZ465" s="50" t="s">
        <v>4158</v>
      </c>
      <c r="CA465" s="50" t="s">
        <v>14592</v>
      </c>
      <c r="CB465" s="50" t="s">
        <v>9785</v>
      </c>
      <c r="CC465" s="50" t="s">
        <v>14593</v>
      </c>
      <c r="CD465" s="50" t="s">
        <v>14594</v>
      </c>
      <c r="CE465" s="50" t="s">
        <v>14595</v>
      </c>
      <c r="CF465" s="50" t="s">
        <v>14593</v>
      </c>
      <c r="CG465" s="50" t="s">
        <v>102</v>
      </c>
      <c r="CH465" s="50" t="s">
        <v>14596</v>
      </c>
      <c r="CJ465" s="50" t="s">
        <v>4160</v>
      </c>
      <c r="CL465" s="50" t="s">
        <v>4153</v>
      </c>
      <c r="CM465" s="50" t="s">
        <v>320</v>
      </c>
      <c r="CN465" s="50" t="s">
        <v>4160</v>
      </c>
      <c r="CP465" s="50" t="s">
        <v>4159</v>
      </c>
      <c r="CQ465" s="50" t="s">
        <v>4159</v>
      </c>
    </row>
    <row r="466" spans="1:96">
      <c r="A466" s="50" t="s">
        <v>149</v>
      </c>
      <c r="B466" s="50">
        <v>5016674</v>
      </c>
      <c r="C466" s="50" t="s">
        <v>13158</v>
      </c>
      <c r="D466" s="50" t="s">
        <v>18935</v>
      </c>
      <c r="E466" s="50" t="e">
        <f>VLOOKUP(B466,aa!B:F,5,0)</f>
        <v>#N/A</v>
      </c>
      <c r="F466" s="50" t="e">
        <f>VLOOKUP(B466,aa!B:J,9,0)</f>
        <v>#N/A</v>
      </c>
      <c r="G466" s="50" t="e">
        <f>VLOOKUP(B466,aa!B:L,11,0)</f>
        <v>#N/A</v>
      </c>
      <c r="H466" s="50" t="e">
        <f>VLOOKUP(B466,aa!B:O,14,0)</f>
        <v>#N/A</v>
      </c>
      <c r="I466" s="50" t="e">
        <f>VLOOKUP(B466,aa!B:R,17,0)</f>
        <v>#N/A</v>
      </c>
      <c r="K466" s="50" t="s">
        <v>97</v>
      </c>
      <c r="L466" s="50">
        <v>0</v>
      </c>
      <c r="M466" s="50">
        <v>0</v>
      </c>
      <c r="N466" s="50">
        <v>0</v>
      </c>
      <c r="O466" s="50">
        <v>17</v>
      </c>
      <c r="P466" s="50" t="s">
        <v>102</v>
      </c>
      <c r="Q466" s="50">
        <v>0</v>
      </c>
      <c r="R466" s="50">
        <v>0</v>
      </c>
      <c r="T466" s="50">
        <v>0</v>
      </c>
      <c r="U466" s="50">
        <v>0</v>
      </c>
      <c r="W466" s="50" t="s">
        <v>102</v>
      </c>
      <c r="X466" s="50" t="s">
        <v>275</v>
      </c>
      <c r="Z466" s="50" t="s">
        <v>14584</v>
      </c>
      <c r="AA466" s="50" t="s">
        <v>109</v>
      </c>
      <c r="AB466" s="50" t="s">
        <v>102</v>
      </c>
      <c r="AC466" s="50" t="s">
        <v>109</v>
      </c>
      <c r="AD466" s="50" t="s">
        <v>102</v>
      </c>
      <c r="AE466" s="50" t="s">
        <v>109</v>
      </c>
      <c r="AF466" s="50" t="s">
        <v>102</v>
      </c>
      <c r="AG466" s="50" t="s">
        <v>109</v>
      </c>
      <c r="AH466" s="50" t="s">
        <v>102</v>
      </c>
      <c r="AI466" s="50" t="s">
        <v>102</v>
      </c>
      <c r="AL466" s="50" t="s">
        <v>102</v>
      </c>
      <c r="AM466" s="50" t="s">
        <v>102</v>
      </c>
      <c r="AN466" s="50" t="s">
        <v>102</v>
      </c>
      <c r="AO466" s="50" t="s">
        <v>115</v>
      </c>
      <c r="AP466" s="50" t="s">
        <v>115</v>
      </c>
      <c r="AU466" s="50" t="s">
        <v>3439</v>
      </c>
      <c r="AV466" s="50" t="s">
        <v>118</v>
      </c>
      <c r="AW466" s="50" t="s">
        <v>102</v>
      </c>
      <c r="AX466" s="50" t="s">
        <v>119</v>
      </c>
      <c r="BB466" s="50" t="s">
        <v>120</v>
      </c>
      <c r="BC466" s="50" t="s">
        <v>4153</v>
      </c>
      <c r="BD466" s="50" t="s">
        <v>320</v>
      </c>
      <c r="BE466" s="50" t="s">
        <v>122</v>
      </c>
      <c r="BF466" s="50" t="s">
        <v>123</v>
      </c>
      <c r="BG466" s="50" t="s">
        <v>124</v>
      </c>
      <c r="BH466" s="50" t="s">
        <v>14585</v>
      </c>
      <c r="BI466" s="50" t="s">
        <v>11889</v>
      </c>
      <c r="BJ466" s="50" t="s">
        <v>127</v>
      </c>
      <c r="BK466" s="50" t="s">
        <v>18936</v>
      </c>
      <c r="BL466" s="50" t="s">
        <v>9782</v>
      </c>
      <c r="BM466" s="50" t="s">
        <v>18937</v>
      </c>
      <c r="BN466" s="50" t="s">
        <v>14583</v>
      </c>
      <c r="BO466" s="50" t="s">
        <v>14588</v>
      </c>
      <c r="BP466" s="50" t="s">
        <v>696</v>
      </c>
      <c r="BQ466" s="50" t="s">
        <v>14589</v>
      </c>
      <c r="BR466" s="50" t="s">
        <v>14590</v>
      </c>
      <c r="BS466" s="50" t="s">
        <v>1111</v>
      </c>
      <c r="BU466" s="50" t="s">
        <v>18938</v>
      </c>
      <c r="BV466" s="50" t="s">
        <v>224</v>
      </c>
      <c r="BW466" s="50" t="s">
        <v>598</v>
      </c>
      <c r="BX466" s="50" t="s">
        <v>225</v>
      </c>
      <c r="BY466" s="50" t="s">
        <v>226</v>
      </c>
      <c r="BZ466" s="50" t="s">
        <v>9785</v>
      </c>
      <c r="CA466" s="50" t="s">
        <v>14592</v>
      </c>
      <c r="CB466" s="50" t="s">
        <v>9785</v>
      </c>
      <c r="CC466" s="50" t="s">
        <v>14593</v>
      </c>
      <c r="CD466" s="50" t="s">
        <v>14594</v>
      </c>
      <c r="CE466" s="50" t="s">
        <v>14595</v>
      </c>
      <c r="CF466" s="50" t="s">
        <v>14593</v>
      </c>
      <c r="CG466" s="50" t="s">
        <v>102</v>
      </c>
      <c r="CH466" s="50" t="s">
        <v>18939</v>
      </c>
      <c r="CJ466" s="50" t="s">
        <v>4160</v>
      </c>
      <c r="CL466" s="50" t="s">
        <v>4153</v>
      </c>
      <c r="CM466" s="50" t="s">
        <v>320</v>
      </c>
      <c r="CN466" s="50" t="s">
        <v>4160</v>
      </c>
      <c r="CP466" s="50" t="s">
        <v>9786</v>
      </c>
      <c r="CQ466" s="50" t="s">
        <v>9786</v>
      </c>
    </row>
    <row r="467" spans="1:96">
      <c r="A467" s="50" t="s">
        <v>149</v>
      </c>
      <c r="B467" s="50">
        <v>3182761</v>
      </c>
      <c r="C467" s="50" t="s">
        <v>12121</v>
      </c>
      <c r="D467" s="50" t="s">
        <v>4924</v>
      </c>
      <c r="E467" s="50" t="e">
        <f>VLOOKUP(B467,aa!B:F,5,0)</f>
        <v>#N/A</v>
      </c>
      <c r="F467" s="50" t="e">
        <f>VLOOKUP(B467,aa!B:J,9,0)</f>
        <v>#N/A</v>
      </c>
      <c r="G467" s="50" t="e">
        <f>VLOOKUP(B467,aa!B:L,11,0)</f>
        <v>#N/A</v>
      </c>
      <c r="H467" s="50" t="e">
        <f>VLOOKUP(B467,aa!B:O,14,0)</f>
        <v>#N/A</v>
      </c>
      <c r="I467" s="50" t="e">
        <f>VLOOKUP(B467,aa!B:R,17,0)</f>
        <v>#N/A</v>
      </c>
      <c r="K467" s="50" t="s">
        <v>152</v>
      </c>
      <c r="L467" s="50">
        <v>787800</v>
      </c>
      <c r="M467" s="50">
        <v>787800</v>
      </c>
      <c r="N467" s="50">
        <v>0</v>
      </c>
      <c r="O467" s="50">
        <v>0</v>
      </c>
      <c r="Q467" s="50">
        <v>787800</v>
      </c>
      <c r="R467" s="50">
        <v>505</v>
      </c>
      <c r="S467" s="50" t="s">
        <v>544</v>
      </c>
      <c r="T467" s="50">
        <v>0</v>
      </c>
      <c r="U467" s="50">
        <v>0</v>
      </c>
      <c r="W467" s="50" t="s">
        <v>102</v>
      </c>
      <c r="X467" s="50" t="s">
        <v>103</v>
      </c>
      <c r="Y467" s="50" t="s">
        <v>155</v>
      </c>
      <c r="AA467" s="50" t="s">
        <v>11976</v>
      </c>
      <c r="AB467" s="50" t="s">
        <v>15140</v>
      </c>
      <c r="AC467" s="50" t="s">
        <v>5651</v>
      </c>
      <c r="AD467" s="50" t="s">
        <v>15140</v>
      </c>
      <c r="AE467" s="50" t="s">
        <v>12327</v>
      </c>
      <c r="AF467" s="50" t="s">
        <v>15140</v>
      </c>
      <c r="AG467" s="50" t="s">
        <v>11886</v>
      </c>
      <c r="AH467" s="50" t="s">
        <v>15140</v>
      </c>
      <c r="AI467" s="50" t="s">
        <v>102</v>
      </c>
      <c r="AJ467" s="50" t="s">
        <v>12430</v>
      </c>
      <c r="AK467" s="50" t="s">
        <v>15141</v>
      </c>
      <c r="AL467" s="50" t="s">
        <v>15142</v>
      </c>
      <c r="AM467" s="50" t="s">
        <v>15143</v>
      </c>
      <c r="AN467" s="50" t="s">
        <v>15144</v>
      </c>
      <c r="AO467" s="50" t="s">
        <v>554</v>
      </c>
      <c r="AP467" s="50" t="s">
        <v>554</v>
      </c>
      <c r="AU467" s="50" t="s">
        <v>102</v>
      </c>
      <c r="AW467" s="50" t="s">
        <v>155</v>
      </c>
      <c r="AX467" s="50" t="s">
        <v>119</v>
      </c>
      <c r="AY467" s="50" t="s">
        <v>170</v>
      </c>
      <c r="AZ467" s="50" t="s">
        <v>118</v>
      </c>
      <c r="BB467" s="50" t="s">
        <v>120</v>
      </c>
      <c r="BC467" s="50" t="s">
        <v>555</v>
      </c>
      <c r="BD467" s="50" t="s">
        <v>556</v>
      </c>
      <c r="BE467" s="50" t="s">
        <v>122</v>
      </c>
      <c r="BF467" s="50" t="s">
        <v>557</v>
      </c>
      <c r="BG467" s="50" t="s">
        <v>124</v>
      </c>
      <c r="BH467" s="50" t="s">
        <v>11959</v>
      </c>
      <c r="BI467" s="50" t="s">
        <v>11889</v>
      </c>
      <c r="BJ467" s="50" t="s">
        <v>127</v>
      </c>
      <c r="BK467" s="50" t="s">
        <v>15145</v>
      </c>
      <c r="BL467" s="50" t="s">
        <v>4931</v>
      </c>
      <c r="BM467" s="50" t="s">
        <v>15146</v>
      </c>
      <c r="BN467" s="50" t="s">
        <v>15139</v>
      </c>
      <c r="BO467" s="50" t="s">
        <v>1142</v>
      </c>
      <c r="BP467" s="50" t="s">
        <v>350</v>
      </c>
      <c r="BQ467" s="50" t="s">
        <v>1143</v>
      </c>
      <c r="BR467" s="50" t="s">
        <v>1144</v>
      </c>
      <c r="BS467" s="50" t="s">
        <v>566</v>
      </c>
      <c r="BU467" s="50" t="s">
        <v>15147</v>
      </c>
      <c r="BV467" s="50" t="s">
        <v>4934</v>
      </c>
      <c r="BW467" s="50" t="s">
        <v>138</v>
      </c>
      <c r="BX467" s="50" t="s">
        <v>4935</v>
      </c>
      <c r="BY467" s="50" t="s">
        <v>4936</v>
      </c>
      <c r="BZ467" s="50" t="s">
        <v>4935</v>
      </c>
      <c r="CA467" s="50" t="s">
        <v>4934</v>
      </c>
      <c r="CB467" s="50" t="s">
        <v>4935</v>
      </c>
      <c r="CC467" s="50" t="s">
        <v>4936</v>
      </c>
      <c r="CD467" s="50" t="s">
        <v>4934</v>
      </c>
      <c r="CE467" s="50" t="s">
        <v>4935</v>
      </c>
      <c r="CF467" s="50" t="s">
        <v>4936</v>
      </c>
      <c r="CG467" s="50" t="s">
        <v>4937</v>
      </c>
      <c r="CH467" s="50" t="s">
        <v>15148</v>
      </c>
      <c r="CJ467" s="50" t="s">
        <v>1154</v>
      </c>
      <c r="CK467" s="50" t="s">
        <v>15149</v>
      </c>
      <c r="CL467" s="50" t="s">
        <v>555</v>
      </c>
      <c r="CM467" s="50" t="s">
        <v>556</v>
      </c>
      <c r="CN467" s="50" t="s">
        <v>1154</v>
      </c>
      <c r="CP467" s="50" t="s">
        <v>4938</v>
      </c>
      <c r="CQ467" s="50" t="s">
        <v>4938</v>
      </c>
    </row>
    <row r="468" spans="1:96">
      <c r="A468" s="50" t="s">
        <v>93</v>
      </c>
      <c r="B468" s="50">
        <v>5016188</v>
      </c>
      <c r="C468" s="50" t="s">
        <v>2525</v>
      </c>
      <c r="D468" s="50" t="s">
        <v>3351</v>
      </c>
      <c r="E468" s="50" t="e">
        <f>VLOOKUP(B468,aa!B:F,5,0)</f>
        <v>#N/A</v>
      </c>
      <c r="F468" s="50" t="e">
        <f>VLOOKUP(B468,aa!B:J,9,0)</f>
        <v>#N/A</v>
      </c>
      <c r="G468" s="50" t="e">
        <f>VLOOKUP(B468,aa!B:L,11,0)</f>
        <v>#N/A</v>
      </c>
      <c r="H468" s="50" t="e">
        <f>VLOOKUP(B468,aa!B:O,14,0)</f>
        <v>#N/A</v>
      </c>
      <c r="I468" s="50" t="e">
        <f>VLOOKUP(B468,aa!B:R,17,0)</f>
        <v>#N/A</v>
      </c>
      <c r="K468" s="50" t="s">
        <v>97</v>
      </c>
      <c r="L468" s="50">
        <v>203400</v>
      </c>
      <c r="M468" s="50">
        <v>203400</v>
      </c>
      <c r="N468" s="50">
        <v>203400</v>
      </c>
      <c r="O468" s="50">
        <v>226</v>
      </c>
      <c r="P468" s="50" t="s">
        <v>2451</v>
      </c>
      <c r="Q468" s="50">
        <v>0</v>
      </c>
      <c r="R468" s="50">
        <v>0</v>
      </c>
      <c r="T468" s="50">
        <v>0</v>
      </c>
      <c r="U468" s="50">
        <v>0</v>
      </c>
      <c r="W468" s="50" t="s">
        <v>102</v>
      </c>
      <c r="X468" s="50" t="s">
        <v>103</v>
      </c>
      <c r="Y468" s="50" t="s">
        <v>104</v>
      </c>
      <c r="AA468" s="50" t="s">
        <v>8488</v>
      </c>
      <c r="AB468" s="50" t="s">
        <v>18795</v>
      </c>
      <c r="AC468" s="50" t="s">
        <v>3679</v>
      </c>
      <c r="AD468" s="50" t="s">
        <v>18795</v>
      </c>
      <c r="AE468" s="50" t="s">
        <v>109</v>
      </c>
      <c r="AF468" s="50" t="s">
        <v>102</v>
      </c>
      <c r="AG468" s="50" t="s">
        <v>109</v>
      </c>
      <c r="AH468" s="50" t="s">
        <v>102</v>
      </c>
      <c r="AI468" s="50" t="s">
        <v>102</v>
      </c>
      <c r="AJ468" s="50" t="s">
        <v>18796</v>
      </c>
      <c r="AK468" s="50" t="s">
        <v>16421</v>
      </c>
      <c r="AL468" s="50" t="s">
        <v>18797</v>
      </c>
      <c r="AM468" s="50" t="s">
        <v>18797</v>
      </c>
      <c r="AN468" s="50" t="s">
        <v>102</v>
      </c>
      <c r="AO468" s="50" t="s">
        <v>554</v>
      </c>
      <c r="AP468" s="50" t="s">
        <v>554</v>
      </c>
      <c r="AU468" s="50" t="s">
        <v>318</v>
      </c>
      <c r="AV468" s="50" t="s">
        <v>118</v>
      </c>
      <c r="AW468" s="50" t="s">
        <v>102</v>
      </c>
      <c r="AX468" s="50" t="s">
        <v>119</v>
      </c>
      <c r="BB468" s="50" t="s">
        <v>1964</v>
      </c>
      <c r="BC468" s="50" t="s">
        <v>1729</v>
      </c>
      <c r="BD468" s="50" t="s">
        <v>730</v>
      </c>
      <c r="BE468" s="50" t="s">
        <v>622</v>
      </c>
      <c r="BF468" s="50" t="s">
        <v>730</v>
      </c>
      <c r="BG468" s="50" t="s">
        <v>124</v>
      </c>
      <c r="BH468" s="50" t="s">
        <v>11959</v>
      </c>
      <c r="BI468" s="50" t="s">
        <v>11960</v>
      </c>
      <c r="BJ468" s="50" t="s">
        <v>127</v>
      </c>
      <c r="BK468" s="50" t="s">
        <v>18798</v>
      </c>
      <c r="BL468" s="50" t="s">
        <v>9598</v>
      </c>
      <c r="BM468" s="50" t="s">
        <v>18799</v>
      </c>
      <c r="BN468" s="50" t="s">
        <v>15139</v>
      </c>
      <c r="BO468" s="50" t="s">
        <v>3910</v>
      </c>
      <c r="BP468" s="50" t="s">
        <v>350</v>
      </c>
      <c r="BQ468" s="50" t="s">
        <v>3911</v>
      </c>
      <c r="BR468" s="50" t="s">
        <v>3912</v>
      </c>
      <c r="BS468" s="50" t="s">
        <v>2569</v>
      </c>
      <c r="BU468" s="50" t="s">
        <v>18800</v>
      </c>
      <c r="BV468" s="50" t="s">
        <v>9601</v>
      </c>
      <c r="BW468" s="50" t="s">
        <v>138</v>
      </c>
      <c r="BX468" s="50" t="s">
        <v>9602</v>
      </c>
      <c r="BY468" s="50" t="s">
        <v>9603</v>
      </c>
      <c r="BZ468" s="50" t="s">
        <v>9604</v>
      </c>
      <c r="CA468" s="50" t="s">
        <v>9601</v>
      </c>
      <c r="CB468" s="50" t="s">
        <v>9602</v>
      </c>
      <c r="CC468" s="50" t="s">
        <v>9603</v>
      </c>
      <c r="CD468" s="50" t="s">
        <v>9601</v>
      </c>
      <c r="CE468" s="50" t="s">
        <v>9602</v>
      </c>
      <c r="CF468" s="50" t="s">
        <v>9603</v>
      </c>
      <c r="CG468" s="50" t="s">
        <v>9607</v>
      </c>
      <c r="CH468" s="50" t="s">
        <v>9608</v>
      </c>
      <c r="CJ468" s="50" t="s">
        <v>7932</v>
      </c>
      <c r="CK468" s="50" t="s">
        <v>9608</v>
      </c>
      <c r="CL468" s="50" t="s">
        <v>1729</v>
      </c>
      <c r="CM468" s="50" t="s">
        <v>730</v>
      </c>
      <c r="CN468" s="50" t="s">
        <v>9610</v>
      </c>
      <c r="CP468" s="50" t="s">
        <v>9608</v>
      </c>
      <c r="CQ468" s="50" t="s">
        <v>9609</v>
      </c>
      <c r="CR468" s="50" t="s">
        <v>26046</v>
      </c>
    </row>
    <row r="469" spans="1:96">
      <c r="A469" s="50" t="s">
        <v>149</v>
      </c>
      <c r="B469" s="50">
        <v>34736</v>
      </c>
      <c r="C469" s="50" t="s">
        <v>12423</v>
      </c>
      <c r="D469" s="50" t="s">
        <v>6256</v>
      </c>
      <c r="E469" s="50" t="e">
        <f>VLOOKUP(B469,aa!B:F,5,0)</f>
        <v>#N/A</v>
      </c>
      <c r="F469" s="50" t="e">
        <f>VLOOKUP(B469,aa!B:J,9,0)</f>
        <v>#N/A</v>
      </c>
      <c r="G469" s="50" t="e">
        <f>VLOOKUP(B469,aa!B:L,11,0)</f>
        <v>#N/A</v>
      </c>
      <c r="H469" s="50" t="e">
        <f>VLOOKUP(B469,aa!B:O,14,0)</f>
        <v>#N/A</v>
      </c>
      <c r="I469" s="50" t="e">
        <f>VLOOKUP(B469,aa!B:R,17,0)</f>
        <v>#N/A</v>
      </c>
      <c r="K469" s="50" t="s">
        <v>848</v>
      </c>
      <c r="L469" s="50">
        <v>334402</v>
      </c>
      <c r="M469" s="50">
        <v>394594</v>
      </c>
      <c r="N469" s="50">
        <v>0</v>
      </c>
      <c r="O469" s="50">
        <v>0</v>
      </c>
      <c r="Q469" s="50">
        <v>0</v>
      </c>
      <c r="R469" s="50">
        <v>0</v>
      </c>
      <c r="T469" s="50">
        <v>334402</v>
      </c>
      <c r="U469" s="50">
        <v>188</v>
      </c>
      <c r="V469" s="50" t="s">
        <v>16170</v>
      </c>
      <c r="W469" s="50" t="s">
        <v>102</v>
      </c>
      <c r="X469" s="50" t="s">
        <v>103</v>
      </c>
      <c r="Y469" s="50" t="s">
        <v>104</v>
      </c>
      <c r="AA469" s="50" t="s">
        <v>3679</v>
      </c>
      <c r="AB469" s="50" t="s">
        <v>16171</v>
      </c>
      <c r="AC469" s="50" t="s">
        <v>12289</v>
      </c>
      <c r="AD469" s="50" t="s">
        <v>16171</v>
      </c>
      <c r="AE469" s="50" t="s">
        <v>109</v>
      </c>
      <c r="AF469" s="50" t="s">
        <v>102</v>
      </c>
      <c r="AG469" s="50" t="s">
        <v>109</v>
      </c>
      <c r="AH469" s="50" t="s">
        <v>102</v>
      </c>
      <c r="AI469" s="50" t="s">
        <v>16172</v>
      </c>
      <c r="AJ469" s="50" t="s">
        <v>12425</v>
      </c>
      <c r="AK469" s="50" t="s">
        <v>15177</v>
      </c>
      <c r="AL469" s="50" t="s">
        <v>16173</v>
      </c>
      <c r="AM469" s="50" t="s">
        <v>16174</v>
      </c>
      <c r="AN469" s="50" t="s">
        <v>16175</v>
      </c>
      <c r="AO469" s="50" t="s">
        <v>1001</v>
      </c>
      <c r="AP469" s="50" t="s">
        <v>1001</v>
      </c>
      <c r="AU469" s="50" t="s">
        <v>102</v>
      </c>
      <c r="AW469" s="50" t="s">
        <v>102</v>
      </c>
      <c r="AX469" s="50" t="s">
        <v>119</v>
      </c>
      <c r="BA469" s="50" t="s">
        <v>250</v>
      </c>
      <c r="BB469" s="50" t="s">
        <v>209</v>
      </c>
      <c r="BC469" s="50" t="s">
        <v>1759</v>
      </c>
      <c r="BD469" s="50" t="s">
        <v>410</v>
      </c>
      <c r="BE469" s="50" t="s">
        <v>212</v>
      </c>
      <c r="BF469" s="50" t="s">
        <v>410</v>
      </c>
      <c r="BG469" s="50" t="s">
        <v>124</v>
      </c>
      <c r="BH469" s="50" t="s">
        <v>15139</v>
      </c>
      <c r="BI469" s="50" t="s">
        <v>12047</v>
      </c>
      <c r="BJ469" s="50" t="s">
        <v>127</v>
      </c>
      <c r="BK469" s="50" t="s">
        <v>16176</v>
      </c>
      <c r="BL469" s="50" t="s">
        <v>6265</v>
      </c>
      <c r="BM469" s="50" t="s">
        <v>16177</v>
      </c>
      <c r="BN469" s="50" t="s">
        <v>8708</v>
      </c>
      <c r="BO469" s="50" t="s">
        <v>866</v>
      </c>
      <c r="BP469" s="50" t="s">
        <v>132</v>
      </c>
      <c r="BQ469" s="50" t="s">
        <v>867</v>
      </c>
      <c r="BR469" s="50" t="s">
        <v>868</v>
      </c>
      <c r="BS469" s="50" t="s">
        <v>418</v>
      </c>
      <c r="BU469" s="50" t="s">
        <v>16178</v>
      </c>
      <c r="BV469" s="50" t="s">
        <v>6268</v>
      </c>
      <c r="BW469" s="50" t="s">
        <v>138</v>
      </c>
      <c r="BX469" s="50" t="s">
        <v>6269</v>
      </c>
      <c r="BY469" s="50" t="s">
        <v>6270</v>
      </c>
      <c r="BZ469" s="50" t="s">
        <v>4530</v>
      </c>
      <c r="CA469" s="50" t="s">
        <v>6268</v>
      </c>
      <c r="CB469" s="50" t="s">
        <v>6269</v>
      </c>
      <c r="CC469" s="50" t="s">
        <v>6270</v>
      </c>
      <c r="CD469" s="50" t="s">
        <v>6268</v>
      </c>
      <c r="CE469" s="50" t="s">
        <v>6269</v>
      </c>
      <c r="CF469" s="50" t="s">
        <v>6270</v>
      </c>
      <c r="CG469" s="50" t="s">
        <v>102</v>
      </c>
      <c r="CH469" s="50" t="s">
        <v>6271</v>
      </c>
      <c r="CJ469" s="50" t="s">
        <v>6272</v>
      </c>
      <c r="CL469" s="50" t="s">
        <v>1759</v>
      </c>
      <c r="CM469" s="50" t="s">
        <v>410</v>
      </c>
      <c r="CN469" s="50" t="s">
        <v>6272</v>
      </c>
      <c r="CO469" s="50" t="s">
        <v>6273</v>
      </c>
      <c r="CP469" s="50" t="s">
        <v>6271</v>
      </c>
      <c r="CQ469" s="50" t="s">
        <v>6271</v>
      </c>
      <c r="CR469" s="50" t="s">
        <v>26044</v>
      </c>
    </row>
    <row r="470" spans="1:96">
      <c r="A470" s="50" t="s">
        <v>149</v>
      </c>
      <c r="B470" s="50">
        <v>165035</v>
      </c>
      <c r="C470" s="50" t="s">
        <v>12507</v>
      </c>
      <c r="D470" s="50" t="s">
        <v>1446</v>
      </c>
      <c r="E470" s="50" t="e">
        <f>VLOOKUP(B470,aa!B:F,5,0)</f>
        <v>#N/A</v>
      </c>
      <c r="F470" s="50" t="e">
        <f>VLOOKUP(B470,aa!B:J,9,0)</f>
        <v>#N/A</v>
      </c>
      <c r="G470" s="50" t="e">
        <f>VLOOKUP(B470,aa!B:L,11,0)</f>
        <v>#N/A</v>
      </c>
      <c r="H470" s="50" t="e">
        <f>VLOOKUP(B470,aa!B:O,14,0)</f>
        <v>#N/A</v>
      </c>
      <c r="I470" s="50" t="e">
        <f>VLOOKUP(B470,aa!B:R,17,0)</f>
        <v>#N/A</v>
      </c>
      <c r="K470" s="50" t="s">
        <v>848</v>
      </c>
      <c r="L470" s="50">
        <v>527823</v>
      </c>
      <c r="M470" s="50">
        <v>622831</v>
      </c>
      <c r="N470" s="50">
        <v>0</v>
      </c>
      <c r="O470" s="50">
        <v>0</v>
      </c>
      <c r="Q470" s="50">
        <v>0</v>
      </c>
      <c r="R470" s="50">
        <v>0</v>
      </c>
      <c r="T470" s="50">
        <v>527823</v>
      </c>
      <c r="U470" s="50">
        <v>173</v>
      </c>
      <c r="V470" s="50" t="s">
        <v>1652</v>
      </c>
      <c r="W470" s="50" t="s">
        <v>102</v>
      </c>
      <c r="X470" s="50" t="s">
        <v>275</v>
      </c>
      <c r="Z470" s="50" t="s">
        <v>12737</v>
      </c>
      <c r="AA470" s="50" t="s">
        <v>109</v>
      </c>
      <c r="AB470" s="50" t="s">
        <v>102</v>
      </c>
      <c r="AC470" s="50" t="s">
        <v>109</v>
      </c>
      <c r="AD470" s="50" t="s">
        <v>102</v>
      </c>
      <c r="AE470" s="50" t="s">
        <v>109</v>
      </c>
      <c r="AF470" s="50" t="s">
        <v>102</v>
      </c>
      <c r="AG470" s="50" t="s">
        <v>109</v>
      </c>
      <c r="AH470" s="50" t="s">
        <v>102</v>
      </c>
      <c r="AI470" s="50" t="s">
        <v>12738</v>
      </c>
      <c r="AJ470" s="50" t="s">
        <v>12695</v>
      </c>
      <c r="AK470" s="50" t="s">
        <v>12695</v>
      </c>
      <c r="AL470" s="50" t="s">
        <v>12739</v>
      </c>
      <c r="AM470" s="50" t="s">
        <v>12740</v>
      </c>
      <c r="AN470" s="50" t="s">
        <v>102</v>
      </c>
      <c r="AO470" s="50" t="s">
        <v>102</v>
      </c>
      <c r="AU470" s="50" t="s">
        <v>102</v>
      </c>
      <c r="AW470" s="50" t="s">
        <v>102</v>
      </c>
      <c r="AX470" s="50" t="s">
        <v>119</v>
      </c>
      <c r="BA470" s="50" t="s">
        <v>250</v>
      </c>
      <c r="BB470" s="50" t="s">
        <v>120</v>
      </c>
      <c r="BC470" s="50" t="s">
        <v>1067</v>
      </c>
      <c r="BD470" s="50" t="s">
        <v>556</v>
      </c>
      <c r="BE470" s="50" t="s">
        <v>122</v>
      </c>
      <c r="BF470" s="50" t="s">
        <v>557</v>
      </c>
      <c r="BG470" s="50" t="s">
        <v>124</v>
      </c>
      <c r="BH470" s="50" t="s">
        <v>11976</v>
      </c>
      <c r="BI470" s="50" t="s">
        <v>11889</v>
      </c>
      <c r="BJ470" s="50" t="s">
        <v>127</v>
      </c>
      <c r="BK470" s="50" t="s">
        <v>12741</v>
      </c>
      <c r="BL470" s="50" t="s">
        <v>1457</v>
      </c>
      <c r="BM470" s="50" t="s">
        <v>12742</v>
      </c>
      <c r="BN470" s="50" t="s">
        <v>12425</v>
      </c>
      <c r="BO470" s="50" t="s">
        <v>12743</v>
      </c>
      <c r="BP470" s="50" t="s">
        <v>350</v>
      </c>
      <c r="BQ470" s="50" t="s">
        <v>12744</v>
      </c>
      <c r="BR470" s="50" t="s">
        <v>12745</v>
      </c>
      <c r="BS470" s="50" t="s">
        <v>1075</v>
      </c>
      <c r="BU470" s="50" t="s">
        <v>12746</v>
      </c>
      <c r="BV470" s="50" t="s">
        <v>12747</v>
      </c>
      <c r="BW470" s="50" t="s">
        <v>569</v>
      </c>
      <c r="BX470" s="50" t="s">
        <v>1463</v>
      </c>
      <c r="BY470" s="50" t="s">
        <v>1462</v>
      </c>
      <c r="BZ470" s="50" t="s">
        <v>1463</v>
      </c>
      <c r="CA470" s="50" t="s">
        <v>12747</v>
      </c>
      <c r="CB470" s="50" t="s">
        <v>1463</v>
      </c>
      <c r="CC470" s="50" t="s">
        <v>1462</v>
      </c>
      <c r="CD470" s="50" t="s">
        <v>12747</v>
      </c>
      <c r="CE470" s="50" t="s">
        <v>1463</v>
      </c>
      <c r="CF470" s="50" t="s">
        <v>1462</v>
      </c>
      <c r="CG470" s="50" t="s">
        <v>102</v>
      </c>
      <c r="CH470" s="50" t="s">
        <v>1446</v>
      </c>
      <c r="CJ470" s="50" t="s">
        <v>1465</v>
      </c>
      <c r="CL470" s="50" t="s">
        <v>1067</v>
      </c>
      <c r="CM470" s="50" t="s">
        <v>556</v>
      </c>
      <c r="CN470" s="50" t="s">
        <v>1465</v>
      </c>
      <c r="CP470" s="50" t="s">
        <v>1464</v>
      </c>
      <c r="CQ470" s="50" t="s">
        <v>1464</v>
      </c>
    </row>
    <row r="471" spans="1:96">
      <c r="A471" s="50" t="s">
        <v>149</v>
      </c>
      <c r="B471" s="50">
        <v>2009619</v>
      </c>
      <c r="C471" s="50" t="s">
        <v>12507</v>
      </c>
      <c r="D471" s="50" t="s">
        <v>2361</v>
      </c>
      <c r="E471" s="50" t="str">
        <f>VLOOKUP(B471,aa!B:F,5,0)</f>
        <v>Ei CARES</v>
      </c>
      <c r="F471" s="50">
        <f>VLOOKUP(B471,aa!B:J,9,0)</f>
        <v>286308</v>
      </c>
      <c r="G471" s="50">
        <f>VLOOKUP(B471,aa!B:L,11,0)</f>
        <v>0</v>
      </c>
      <c r="H471" s="50">
        <f>VLOOKUP(B471,aa!B:O,14,0)</f>
        <v>286308</v>
      </c>
      <c r="I471" s="50">
        <f>VLOOKUP(B471,aa!B:R,17,0)</f>
        <v>0</v>
      </c>
      <c r="K471" s="50" t="s">
        <v>152</v>
      </c>
      <c r="L471" s="50">
        <v>255725</v>
      </c>
      <c r="M471" s="50">
        <v>255725</v>
      </c>
      <c r="N471" s="50">
        <v>0</v>
      </c>
      <c r="O471" s="50">
        <v>0</v>
      </c>
      <c r="Q471" s="50">
        <v>255725</v>
      </c>
      <c r="R471" s="50">
        <v>393</v>
      </c>
      <c r="S471" s="50" t="s">
        <v>2363</v>
      </c>
      <c r="T471" s="50">
        <v>0</v>
      </c>
      <c r="U471" s="50">
        <v>0</v>
      </c>
      <c r="W471" s="50" t="s">
        <v>102</v>
      </c>
      <c r="X471" s="50" t="s">
        <v>103</v>
      </c>
      <c r="Y471" s="50" t="s">
        <v>398</v>
      </c>
      <c r="AA471" s="50" t="s">
        <v>12480</v>
      </c>
      <c r="AB471" s="50" t="s">
        <v>13240</v>
      </c>
      <c r="AC471" s="50" t="s">
        <v>12289</v>
      </c>
      <c r="AD471" s="50" t="s">
        <v>13241</v>
      </c>
      <c r="AE471" s="50" t="s">
        <v>13242</v>
      </c>
      <c r="AF471" s="50" t="s">
        <v>13241</v>
      </c>
      <c r="AG471" s="50" t="s">
        <v>109</v>
      </c>
      <c r="AH471" s="50" t="s">
        <v>102</v>
      </c>
      <c r="AI471" s="50" t="s">
        <v>13243</v>
      </c>
      <c r="AJ471" s="50" t="s">
        <v>13244</v>
      </c>
      <c r="AK471" s="50" t="s">
        <v>13245</v>
      </c>
      <c r="AL471" s="50" t="s">
        <v>13246</v>
      </c>
      <c r="AM471" s="50" t="s">
        <v>13247</v>
      </c>
      <c r="AN471" s="50" t="s">
        <v>13248</v>
      </c>
      <c r="AO471" s="50" t="s">
        <v>2371</v>
      </c>
      <c r="AP471" s="50" t="s">
        <v>2372</v>
      </c>
      <c r="AT471" s="50" t="s">
        <v>169</v>
      </c>
      <c r="AU471" s="50" t="s">
        <v>102</v>
      </c>
      <c r="AW471" s="50" t="s">
        <v>104</v>
      </c>
      <c r="AX471" s="50" t="s">
        <v>447</v>
      </c>
      <c r="AY471" s="50" t="s">
        <v>170</v>
      </c>
      <c r="AZ471" s="50" t="s">
        <v>118</v>
      </c>
      <c r="BB471" s="50" t="s">
        <v>120</v>
      </c>
      <c r="BC471" s="50" t="s">
        <v>2373</v>
      </c>
      <c r="BD471" s="50" t="s">
        <v>556</v>
      </c>
      <c r="BE471" s="50" t="s">
        <v>122</v>
      </c>
      <c r="BF471" s="50" t="s">
        <v>557</v>
      </c>
      <c r="BG471" s="50" t="s">
        <v>124</v>
      </c>
      <c r="BH471" s="50" t="s">
        <v>12023</v>
      </c>
      <c r="BI471" s="50" t="s">
        <v>11889</v>
      </c>
      <c r="BJ471" s="50" t="s">
        <v>127</v>
      </c>
      <c r="BK471" s="50" t="s">
        <v>13249</v>
      </c>
      <c r="BL471" s="50" t="s">
        <v>2375</v>
      </c>
      <c r="BM471" s="50" t="s">
        <v>13250</v>
      </c>
      <c r="BN471" s="50" t="s">
        <v>12425</v>
      </c>
      <c r="BO471" s="50" t="s">
        <v>12743</v>
      </c>
      <c r="BP471" s="50" t="s">
        <v>350</v>
      </c>
      <c r="BQ471" s="50" t="s">
        <v>12744</v>
      </c>
      <c r="BR471" s="50" t="s">
        <v>12745</v>
      </c>
      <c r="BS471" s="50" t="s">
        <v>1075</v>
      </c>
      <c r="BU471" s="50" t="s">
        <v>13251</v>
      </c>
      <c r="BV471" s="50" t="s">
        <v>13252</v>
      </c>
      <c r="BW471" s="50" t="s">
        <v>569</v>
      </c>
      <c r="BX471" s="50" t="s">
        <v>13253</v>
      </c>
      <c r="BY471" s="50" t="s">
        <v>2380</v>
      </c>
      <c r="BZ471" s="50" t="s">
        <v>2381</v>
      </c>
      <c r="CA471" s="50" t="s">
        <v>13254</v>
      </c>
      <c r="CB471" s="50" t="s">
        <v>13255</v>
      </c>
      <c r="CC471" s="50" t="s">
        <v>2380</v>
      </c>
      <c r="CD471" s="50" t="s">
        <v>13254</v>
      </c>
      <c r="CE471" s="50" t="s">
        <v>13255</v>
      </c>
      <c r="CF471" s="50" t="s">
        <v>2380</v>
      </c>
      <c r="CG471" s="50" t="s">
        <v>102</v>
      </c>
      <c r="CH471" s="50" t="s">
        <v>13256</v>
      </c>
      <c r="CJ471" s="50" t="s">
        <v>2383</v>
      </c>
      <c r="CL471" s="50" t="s">
        <v>2373</v>
      </c>
      <c r="CM471" s="50" t="s">
        <v>556</v>
      </c>
      <c r="CN471" s="50" t="s">
        <v>2383</v>
      </c>
      <c r="CO471" s="50" t="s">
        <v>1155</v>
      </c>
      <c r="CP471" s="50" t="s">
        <v>2382</v>
      </c>
      <c r="CQ471" s="50" t="s">
        <v>2382</v>
      </c>
    </row>
    <row r="472" spans="1:96">
      <c r="A472" s="50" t="s">
        <v>149</v>
      </c>
      <c r="B472" s="50">
        <v>2282758</v>
      </c>
      <c r="C472" s="50" t="s">
        <v>12121</v>
      </c>
      <c r="D472" s="50" t="s">
        <v>2943</v>
      </c>
      <c r="E472" s="50" t="str">
        <f>VLOOKUP(B472,aa!B:F,5,0)</f>
        <v>Ei ASSET, Ei CARES</v>
      </c>
      <c r="F472" s="50">
        <f>VLOOKUP(B472,aa!B:J,9,0)</f>
        <v>1825632</v>
      </c>
      <c r="G472" s="50">
        <f>VLOOKUP(B472,aa!B:L,11,0)</f>
        <v>1192464</v>
      </c>
      <c r="H472" s="50">
        <f>VLOOKUP(B472,aa!B:O,14,0)</f>
        <v>633168</v>
      </c>
      <c r="I472" s="50">
        <f>VLOOKUP(B472,aa!B:R,17,0)</f>
        <v>0</v>
      </c>
      <c r="K472" s="50" t="s">
        <v>675</v>
      </c>
      <c r="L472" s="50">
        <v>1814607</v>
      </c>
      <c r="M472" s="50">
        <v>1814607</v>
      </c>
      <c r="N472" s="50">
        <v>1181439</v>
      </c>
      <c r="O472" s="50">
        <v>987</v>
      </c>
      <c r="P472" s="50" t="s">
        <v>2716</v>
      </c>
      <c r="Q472" s="50">
        <v>633168</v>
      </c>
      <c r="R472" s="50">
        <v>287</v>
      </c>
      <c r="S472" s="50" t="s">
        <v>13669</v>
      </c>
      <c r="T472" s="50">
        <v>0</v>
      </c>
      <c r="U472" s="50">
        <v>0</v>
      </c>
      <c r="W472" s="50" t="s">
        <v>102</v>
      </c>
      <c r="X472" s="50" t="s">
        <v>103</v>
      </c>
      <c r="Y472" s="50" t="s">
        <v>155</v>
      </c>
      <c r="AA472" s="50" t="s">
        <v>13670</v>
      </c>
      <c r="AB472" s="50" t="s">
        <v>13671</v>
      </c>
      <c r="AC472" s="50" t="s">
        <v>13672</v>
      </c>
      <c r="AD472" s="50" t="s">
        <v>13671</v>
      </c>
      <c r="AE472" s="50" t="s">
        <v>13673</v>
      </c>
      <c r="AF472" s="50" t="s">
        <v>13671</v>
      </c>
      <c r="AG472" s="50" t="s">
        <v>13674</v>
      </c>
      <c r="AH472" s="50" t="s">
        <v>13671</v>
      </c>
      <c r="AI472" s="50" t="s">
        <v>102</v>
      </c>
      <c r="AJ472" s="50" t="s">
        <v>1604</v>
      </c>
      <c r="AK472" s="50" t="s">
        <v>13675</v>
      </c>
      <c r="AL472" s="50" t="s">
        <v>13676</v>
      </c>
      <c r="AM472" s="50" t="s">
        <v>13677</v>
      </c>
      <c r="AN472" s="50" t="s">
        <v>13678</v>
      </c>
      <c r="AO472" s="50" t="s">
        <v>13679</v>
      </c>
      <c r="AP472" s="50" t="s">
        <v>13679</v>
      </c>
      <c r="AU472" s="50" t="s">
        <v>207</v>
      </c>
      <c r="AV472" s="50" t="s">
        <v>118</v>
      </c>
      <c r="AW472" s="50" t="s">
        <v>655</v>
      </c>
      <c r="AX472" s="50" t="s">
        <v>249</v>
      </c>
      <c r="AY472" s="50" t="s">
        <v>170</v>
      </c>
      <c r="AZ472" s="50" t="s">
        <v>118</v>
      </c>
      <c r="BB472" s="50" t="s">
        <v>120</v>
      </c>
      <c r="BC472" s="50" t="s">
        <v>2955</v>
      </c>
      <c r="BD472" s="50" t="s">
        <v>449</v>
      </c>
      <c r="BE472" s="50" t="s">
        <v>122</v>
      </c>
      <c r="BF472" s="50" t="s">
        <v>253</v>
      </c>
      <c r="BG472" s="50" t="s">
        <v>124</v>
      </c>
      <c r="BH472" s="50" t="s">
        <v>13680</v>
      </c>
      <c r="BI472" s="50" t="s">
        <v>11889</v>
      </c>
      <c r="BJ472" s="50" t="s">
        <v>127</v>
      </c>
      <c r="BK472" s="50" t="s">
        <v>13681</v>
      </c>
      <c r="BL472" s="50" t="s">
        <v>2957</v>
      </c>
      <c r="BM472" s="50" t="s">
        <v>13682</v>
      </c>
      <c r="BN472" s="50" t="s">
        <v>12425</v>
      </c>
      <c r="BO472" s="50" t="s">
        <v>1142</v>
      </c>
      <c r="BP472" s="50" t="s">
        <v>350</v>
      </c>
      <c r="BQ472" s="50" t="s">
        <v>1143</v>
      </c>
      <c r="BR472" s="50" t="s">
        <v>1144</v>
      </c>
      <c r="BS472" s="50" t="s">
        <v>566</v>
      </c>
      <c r="BU472" s="50" t="s">
        <v>13683</v>
      </c>
      <c r="BV472" s="50" t="s">
        <v>2960</v>
      </c>
      <c r="BW472" s="50" t="s">
        <v>138</v>
      </c>
      <c r="BX472" s="50" t="s">
        <v>2961</v>
      </c>
      <c r="BY472" s="50" t="s">
        <v>2962</v>
      </c>
      <c r="BZ472" s="50" t="s">
        <v>2961</v>
      </c>
      <c r="CA472" s="50" t="s">
        <v>2960</v>
      </c>
      <c r="CB472" s="50" t="s">
        <v>2961</v>
      </c>
      <c r="CC472" s="50" t="s">
        <v>2962</v>
      </c>
      <c r="CD472" s="50" t="s">
        <v>2960</v>
      </c>
      <c r="CE472" s="50" t="s">
        <v>2961</v>
      </c>
      <c r="CF472" s="50" t="s">
        <v>2962</v>
      </c>
      <c r="CG472" s="50" t="s">
        <v>102</v>
      </c>
      <c r="CH472" s="50" t="s">
        <v>13684</v>
      </c>
      <c r="CJ472" s="50" t="s">
        <v>2964</v>
      </c>
      <c r="CL472" s="50" t="s">
        <v>2955</v>
      </c>
      <c r="CM472" s="50" t="s">
        <v>449</v>
      </c>
      <c r="CN472" s="50" t="s">
        <v>2964</v>
      </c>
      <c r="CO472" s="50" t="s">
        <v>2965</v>
      </c>
      <c r="CP472" s="50" t="s">
        <v>2963</v>
      </c>
      <c r="CQ472" s="50" t="s">
        <v>2963</v>
      </c>
    </row>
    <row r="473" spans="1:96">
      <c r="A473" s="50" t="s">
        <v>93</v>
      </c>
      <c r="B473" s="50">
        <v>2475745</v>
      </c>
      <c r="C473" s="50" t="s">
        <v>293</v>
      </c>
      <c r="D473" s="50" t="s">
        <v>3672</v>
      </c>
      <c r="E473" s="50" t="e">
        <f>VLOOKUP(B473,aa!B:F,5,0)</f>
        <v>#N/A</v>
      </c>
      <c r="F473" s="50" t="e">
        <f>VLOOKUP(B473,aa!B:J,9,0)</f>
        <v>#N/A</v>
      </c>
      <c r="G473" s="50" t="e">
        <f>VLOOKUP(B473,aa!B:L,11,0)</f>
        <v>#N/A</v>
      </c>
      <c r="H473" s="50" t="e">
        <f>VLOOKUP(B473,aa!B:O,14,0)</f>
        <v>#N/A</v>
      </c>
      <c r="I473" s="50" t="e">
        <f>VLOOKUP(B473,aa!B:R,17,0)</f>
        <v>#N/A</v>
      </c>
      <c r="K473" s="50" t="s">
        <v>848</v>
      </c>
      <c r="L473" s="50">
        <v>520730</v>
      </c>
      <c r="M473" s="50">
        <v>614461</v>
      </c>
      <c r="N473" s="50">
        <v>0</v>
      </c>
      <c r="O473" s="50">
        <v>0</v>
      </c>
      <c r="Q473" s="50">
        <v>0</v>
      </c>
      <c r="R473" s="50">
        <v>0</v>
      </c>
      <c r="T473" s="50">
        <v>520730</v>
      </c>
      <c r="U473" s="50">
        <v>256</v>
      </c>
      <c r="V473" s="50" t="s">
        <v>1399</v>
      </c>
      <c r="W473" s="50" t="s">
        <v>102</v>
      </c>
      <c r="X473" s="50" t="s">
        <v>275</v>
      </c>
      <c r="Z473" s="50" t="s">
        <v>12082</v>
      </c>
      <c r="AA473" s="50" t="s">
        <v>109</v>
      </c>
      <c r="AB473" s="50" t="s">
        <v>102</v>
      </c>
      <c r="AC473" s="50" t="s">
        <v>109</v>
      </c>
      <c r="AD473" s="50" t="s">
        <v>102</v>
      </c>
      <c r="AE473" s="50" t="s">
        <v>109</v>
      </c>
      <c r="AF473" s="50" t="s">
        <v>102</v>
      </c>
      <c r="AG473" s="50" t="s">
        <v>109</v>
      </c>
      <c r="AH473" s="50" t="s">
        <v>102</v>
      </c>
      <c r="AI473" s="50" t="s">
        <v>14192</v>
      </c>
      <c r="AJ473" s="50" t="s">
        <v>14193</v>
      </c>
      <c r="AK473" s="50" t="s">
        <v>14193</v>
      </c>
      <c r="AL473" s="50" t="s">
        <v>3675</v>
      </c>
      <c r="AM473" s="50" t="s">
        <v>14194</v>
      </c>
      <c r="AN473" s="50" t="s">
        <v>889</v>
      </c>
      <c r="AO473" s="50" t="s">
        <v>3677</v>
      </c>
      <c r="AP473" s="50" t="s">
        <v>3677</v>
      </c>
      <c r="AU473" s="50" t="s">
        <v>102</v>
      </c>
      <c r="AW473" s="50" t="s">
        <v>102</v>
      </c>
      <c r="AX473" s="50" t="s">
        <v>119</v>
      </c>
      <c r="BA473" s="50" t="s">
        <v>250</v>
      </c>
      <c r="BB473" s="50" t="s">
        <v>3678</v>
      </c>
      <c r="BC473" s="50" t="s">
        <v>920</v>
      </c>
      <c r="BD473" s="50" t="s">
        <v>211</v>
      </c>
      <c r="BE473" s="50" t="s">
        <v>212</v>
      </c>
      <c r="BF473" s="50" t="s">
        <v>213</v>
      </c>
      <c r="BG473" s="50" t="s">
        <v>124</v>
      </c>
      <c r="BH473" s="50" t="s">
        <v>12082</v>
      </c>
      <c r="BI473" s="50" t="s">
        <v>12720</v>
      </c>
      <c r="BJ473" s="50" t="s">
        <v>127</v>
      </c>
      <c r="BK473" s="50" t="s">
        <v>14195</v>
      </c>
      <c r="BL473" s="50" t="s">
        <v>3681</v>
      </c>
      <c r="BM473" s="50" t="s">
        <v>14196</v>
      </c>
      <c r="BN473" s="50" t="s">
        <v>12425</v>
      </c>
      <c r="BO473" s="50" t="s">
        <v>1309</v>
      </c>
      <c r="BP473" s="50" t="s">
        <v>180</v>
      </c>
      <c r="BQ473" s="50" t="s">
        <v>1310</v>
      </c>
      <c r="BR473" s="50" t="s">
        <v>1311</v>
      </c>
      <c r="BS473" s="50" t="s">
        <v>1312</v>
      </c>
      <c r="BT473" s="50" t="s">
        <v>2151</v>
      </c>
      <c r="BU473" s="50" t="s">
        <v>14197</v>
      </c>
      <c r="BV473" s="50" t="s">
        <v>14198</v>
      </c>
      <c r="BW473" s="50" t="s">
        <v>598</v>
      </c>
      <c r="BX473" s="50" t="s">
        <v>14199</v>
      </c>
      <c r="BY473" s="50" t="s">
        <v>3686</v>
      </c>
      <c r="BZ473" s="50" t="s">
        <v>3687</v>
      </c>
      <c r="CA473" s="50" t="s">
        <v>14200</v>
      </c>
      <c r="CB473" s="50" t="s">
        <v>3685</v>
      </c>
      <c r="CC473" s="50" t="s">
        <v>14201</v>
      </c>
      <c r="CD473" s="50" t="s">
        <v>14202</v>
      </c>
      <c r="CE473" s="50" t="s">
        <v>14203</v>
      </c>
      <c r="CF473" s="50" t="s">
        <v>14204</v>
      </c>
      <c r="CG473" s="50" t="s">
        <v>3688</v>
      </c>
      <c r="CH473" s="50" t="s">
        <v>3689</v>
      </c>
      <c r="CJ473" s="50" t="s">
        <v>3690</v>
      </c>
      <c r="CK473" s="50" t="s">
        <v>14205</v>
      </c>
      <c r="CL473" s="50" t="s">
        <v>920</v>
      </c>
      <c r="CM473" s="50" t="s">
        <v>2474</v>
      </c>
      <c r="CN473" s="50" t="s">
        <v>3690</v>
      </c>
      <c r="CP473" s="50" t="s">
        <v>3689</v>
      </c>
      <c r="CQ473" s="50" t="s">
        <v>3689</v>
      </c>
      <c r="CR473" s="50" t="s">
        <v>26047</v>
      </c>
    </row>
    <row r="474" spans="1:96">
      <c r="A474" s="50" t="s">
        <v>149</v>
      </c>
      <c r="B474" s="50">
        <v>5016606</v>
      </c>
      <c r="C474" s="50" t="s">
        <v>11995</v>
      </c>
      <c r="D474" s="50" t="s">
        <v>9730</v>
      </c>
      <c r="E474" s="50" t="e">
        <f>VLOOKUP(B474,aa!B:F,5,0)</f>
        <v>#N/A</v>
      </c>
      <c r="F474" s="50" t="e">
        <f>VLOOKUP(B474,aa!B:J,9,0)</f>
        <v>#N/A</v>
      </c>
      <c r="G474" s="50" t="e">
        <f>VLOOKUP(B474,aa!B:L,11,0)</f>
        <v>#N/A</v>
      </c>
      <c r="H474" s="50" t="e">
        <f>VLOOKUP(B474,aa!B:O,14,0)</f>
        <v>#N/A</v>
      </c>
      <c r="I474" s="50" t="e">
        <f>VLOOKUP(B474,aa!B:R,17,0)</f>
        <v>#N/A</v>
      </c>
      <c r="K474" s="50" t="s">
        <v>97</v>
      </c>
      <c r="L474" s="50">
        <v>599130</v>
      </c>
      <c r="M474" s="50">
        <v>599130</v>
      </c>
      <c r="N474" s="50">
        <v>599130</v>
      </c>
      <c r="O474" s="50">
        <v>799</v>
      </c>
      <c r="P474" s="50" t="s">
        <v>101</v>
      </c>
      <c r="Q474" s="50">
        <v>0</v>
      </c>
      <c r="R474" s="50">
        <v>0</v>
      </c>
      <c r="T474" s="50">
        <v>0</v>
      </c>
      <c r="U474" s="50">
        <v>0</v>
      </c>
      <c r="W474" s="50" t="s">
        <v>102</v>
      </c>
      <c r="X474" s="50" t="s">
        <v>103</v>
      </c>
      <c r="Y474" s="50" t="s">
        <v>104</v>
      </c>
      <c r="AA474" s="50" t="s">
        <v>8708</v>
      </c>
      <c r="AB474" s="50" t="s">
        <v>18909</v>
      </c>
      <c r="AC474" s="50" t="s">
        <v>12800</v>
      </c>
      <c r="AD474" s="50" t="s">
        <v>18909</v>
      </c>
      <c r="AE474" s="50" t="s">
        <v>109</v>
      </c>
      <c r="AF474" s="50" t="s">
        <v>102</v>
      </c>
      <c r="AG474" s="50" t="s">
        <v>109</v>
      </c>
      <c r="AH474" s="50" t="s">
        <v>102</v>
      </c>
      <c r="AI474" s="50" t="s">
        <v>18910</v>
      </c>
      <c r="AJ474" s="50" t="s">
        <v>13033</v>
      </c>
      <c r="AK474" s="50" t="s">
        <v>12783</v>
      </c>
      <c r="AL474" s="50" t="s">
        <v>18911</v>
      </c>
      <c r="AM474" s="50" t="s">
        <v>18912</v>
      </c>
      <c r="AN474" s="50" t="s">
        <v>17505</v>
      </c>
      <c r="AO474" s="50" t="s">
        <v>18913</v>
      </c>
      <c r="AP474" s="50" t="s">
        <v>18913</v>
      </c>
      <c r="AU474" s="50" t="s">
        <v>318</v>
      </c>
      <c r="AV474" s="50" t="s">
        <v>118</v>
      </c>
      <c r="AW474" s="50" t="s">
        <v>102</v>
      </c>
      <c r="AX474" s="50" t="s">
        <v>119</v>
      </c>
      <c r="BB474" s="50" t="s">
        <v>120</v>
      </c>
      <c r="BC474" s="50" t="s">
        <v>284</v>
      </c>
      <c r="BD474" s="50" t="s">
        <v>285</v>
      </c>
      <c r="BE474" s="50" t="s">
        <v>212</v>
      </c>
      <c r="BF474" s="50" t="s">
        <v>286</v>
      </c>
      <c r="BG474" s="50" t="s">
        <v>124</v>
      </c>
      <c r="BH474" s="50" t="s">
        <v>12023</v>
      </c>
      <c r="BI474" s="50" t="s">
        <v>11889</v>
      </c>
      <c r="BJ474" s="50" t="s">
        <v>127</v>
      </c>
      <c r="BK474" s="50" t="s">
        <v>18914</v>
      </c>
      <c r="BL474" s="50" t="s">
        <v>9738</v>
      </c>
      <c r="BM474" s="50" t="s">
        <v>18915</v>
      </c>
      <c r="BN474" s="50" t="s">
        <v>12425</v>
      </c>
      <c r="BO474" s="50" t="s">
        <v>956</v>
      </c>
      <c r="BP474" s="50" t="s">
        <v>132</v>
      </c>
      <c r="BQ474" s="50" t="s">
        <v>958</v>
      </c>
      <c r="BR474" s="50" t="s">
        <v>959</v>
      </c>
      <c r="BS474" s="50" t="s">
        <v>293</v>
      </c>
      <c r="BU474" s="50" t="s">
        <v>18916</v>
      </c>
      <c r="BV474" s="50" t="s">
        <v>9741</v>
      </c>
      <c r="BX474" s="50" t="s">
        <v>9742</v>
      </c>
      <c r="BY474" s="50" t="s">
        <v>9743</v>
      </c>
      <c r="BZ474" s="50" t="s">
        <v>9742</v>
      </c>
      <c r="CA474" s="50" t="s">
        <v>9741</v>
      </c>
      <c r="CB474" s="50" t="s">
        <v>9742</v>
      </c>
      <c r="CC474" s="50" t="s">
        <v>9743</v>
      </c>
      <c r="CD474" s="50" t="s">
        <v>9741</v>
      </c>
      <c r="CE474" s="50" t="s">
        <v>9742</v>
      </c>
      <c r="CF474" s="50" t="s">
        <v>9743</v>
      </c>
      <c r="CG474" s="50" t="s">
        <v>9744</v>
      </c>
      <c r="CH474" s="50" t="s">
        <v>18917</v>
      </c>
      <c r="CJ474" s="50" t="s">
        <v>9746</v>
      </c>
      <c r="CK474" s="50" t="s">
        <v>18918</v>
      </c>
      <c r="CL474" s="50" t="s">
        <v>284</v>
      </c>
      <c r="CM474" s="50" t="s">
        <v>285</v>
      </c>
      <c r="CN474" s="50" t="s">
        <v>9746</v>
      </c>
      <c r="CO474" s="50" t="s">
        <v>6404</v>
      </c>
      <c r="CP474" s="50" t="s">
        <v>9745</v>
      </c>
      <c r="CQ474" s="50" t="s">
        <v>9745</v>
      </c>
      <c r="CR474" s="50" t="s">
        <v>26042</v>
      </c>
    </row>
    <row r="475" spans="1:96">
      <c r="A475" s="50" t="s">
        <v>337</v>
      </c>
      <c r="B475" s="50">
        <v>5055085</v>
      </c>
      <c r="C475" s="50" t="s">
        <v>16075</v>
      </c>
      <c r="D475" s="50" t="s">
        <v>20619</v>
      </c>
      <c r="E475" s="50" t="str">
        <f>VLOOKUP(B475,aa!B:F,5,0)</f>
        <v>Ei CARES, Ei Mindspark</v>
      </c>
      <c r="F475" s="50">
        <f>VLOOKUP(B475,aa!B:J,9,0)</f>
        <v>770330</v>
      </c>
      <c r="G475" s="50">
        <f>VLOOKUP(B475,aa!B:L,11,0)</f>
        <v>0</v>
      </c>
      <c r="H475" s="50">
        <f>VLOOKUP(B475,aa!B:O,14,0)</f>
        <v>311155</v>
      </c>
      <c r="I475" s="50">
        <f>VLOOKUP(B475,aa!B:R,17,0)</f>
        <v>459175</v>
      </c>
      <c r="K475" s="50" t="s">
        <v>152</v>
      </c>
      <c r="L475" s="50">
        <v>156277</v>
      </c>
      <c r="M475" s="50">
        <v>156277</v>
      </c>
      <c r="N475" s="50">
        <v>0</v>
      </c>
      <c r="O475" s="50">
        <v>0</v>
      </c>
      <c r="Q475" s="50">
        <v>156277</v>
      </c>
      <c r="R475" s="50">
        <v>141</v>
      </c>
      <c r="S475" s="50" t="s">
        <v>20620</v>
      </c>
      <c r="T475" s="50">
        <v>0</v>
      </c>
      <c r="U475" s="50">
        <v>0</v>
      </c>
      <c r="W475" s="50" t="s">
        <v>102</v>
      </c>
      <c r="X475" s="50" t="s">
        <v>103</v>
      </c>
      <c r="Y475" s="50" t="s">
        <v>398</v>
      </c>
      <c r="AA475" s="50" t="s">
        <v>12425</v>
      </c>
      <c r="AB475" s="50" t="s">
        <v>20621</v>
      </c>
      <c r="AC475" s="50" t="s">
        <v>17783</v>
      </c>
      <c r="AD475" s="50" t="s">
        <v>20622</v>
      </c>
      <c r="AE475" s="50" t="s">
        <v>15933</v>
      </c>
      <c r="AF475" s="50" t="s">
        <v>20622</v>
      </c>
      <c r="AG475" s="50" t="s">
        <v>109</v>
      </c>
      <c r="AH475" s="50" t="s">
        <v>102</v>
      </c>
      <c r="AI475" s="50" t="s">
        <v>102</v>
      </c>
      <c r="AJ475" s="50" t="s">
        <v>2483</v>
      </c>
      <c r="AK475" s="50" t="s">
        <v>12859</v>
      </c>
      <c r="AL475" s="50" t="s">
        <v>20623</v>
      </c>
      <c r="AM475" s="50" t="s">
        <v>20623</v>
      </c>
      <c r="AN475" s="50" t="s">
        <v>102</v>
      </c>
      <c r="AO475" s="50" t="s">
        <v>20624</v>
      </c>
      <c r="AP475" s="50" t="s">
        <v>20624</v>
      </c>
      <c r="AU475" s="50" t="s">
        <v>102</v>
      </c>
      <c r="AW475" s="50" t="s">
        <v>102</v>
      </c>
      <c r="AX475" s="50" t="s">
        <v>447</v>
      </c>
      <c r="AY475" s="50" t="s">
        <v>170</v>
      </c>
      <c r="AZ475" s="50" t="s">
        <v>118</v>
      </c>
      <c r="BB475" s="50" t="s">
        <v>120</v>
      </c>
      <c r="BC475" s="50" t="s">
        <v>20625</v>
      </c>
      <c r="BD475" s="50" t="s">
        <v>376</v>
      </c>
      <c r="BE475" s="50" t="s">
        <v>174</v>
      </c>
      <c r="BF475" s="50" t="s">
        <v>376</v>
      </c>
      <c r="BG475" s="50" t="s">
        <v>124</v>
      </c>
      <c r="BH475" s="50" t="s">
        <v>12425</v>
      </c>
      <c r="BI475" s="50" t="s">
        <v>11889</v>
      </c>
      <c r="BJ475" s="50" t="s">
        <v>127</v>
      </c>
      <c r="BK475" s="50" t="s">
        <v>20626</v>
      </c>
      <c r="BL475" s="50" t="s">
        <v>20627</v>
      </c>
      <c r="BM475" s="50" t="s">
        <v>20628</v>
      </c>
      <c r="BN475" s="50" t="s">
        <v>12425</v>
      </c>
      <c r="BO475" s="50" t="s">
        <v>13780</v>
      </c>
      <c r="BP475" s="50" t="s">
        <v>180</v>
      </c>
      <c r="BQ475" s="50" t="s">
        <v>13781</v>
      </c>
      <c r="BR475" s="50" t="s">
        <v>13782</v>
      </c>
      <c r="BS475" s="50" t="s">
        <v>13783</v>
      </c>
      <c r="BU475" s="50" t="s">
        <v>20629</v>
      </c>
      <c r="BV475" s="50" t="s">
        <v>20630</v>
      </c>
      <c r="BW475" s="50" t="s">
        <v>354</v>
      </c>
      <c r="BX475" s="50" t="s">
        <v>20631</v>
      </c>
      <c r="BY475" s="50" t="s">
        <v>20632</v>
      </c>
      <c r="BZ475" s="50" t="s">
        <v>20633</v>
      </c>
      <c r="CA475" s="50" t="s">
        <v>20630</v>
      </c>
      <c r="CB475" s="50" t="s">
        <v>20631</v>
      </c>
      <c r="CC475" s="50" t="s">
        <v>20632</v>
      </c>
      <c r="CD475" s="50" t="s">
        <v>20630</v>
      </c>
      <c r="CE475" s="50" t="s">
        <v>20631</v>
      </c>
      <c r="CF475" s="50" t="s">
        <v>20632</v>
      </c>
      <c r="CG475" s="50" t="s">
        <v>6370</v>
      </c>
      <c r="CH475" s="50" t="s">
        <v>20634</v>
      </c>
      <c r="CJ475" s="50" t="s">
        <v>20635</v>
      </c>
      <c r="CK475" s="50" t="s">
        <v>20634</v>
      </c>
      <c r="CL475" s="50" t="s">
        <v>20625</v>
      </c>
      <c r="CM475" s="50" t="s">
        <v>376</v>
      </c>
      <c r="CN475" s="50" t="s">
        <v>20635</v>
      </c>
      <c r="CP475" s="50" t="s">
        <v>20634</v>
      </c>
      <c r="CQ475" s="50" t="s">
        <v>20636</v>
      </c>
    </row>
    <row r="476" spans="1:96">
      <c r="A476" s="50" t="s">
        <v>149</v>
      </c>
      <c r="B476" s="50">
        <v>525210</v>
      </c>
      <c r="C476" s="50" t="s">
        <v>11995</v>
      </c>
      <c r="D476" s="50" t="s">
        <v>6374</v>
      </c>
      <c r="E476" s="50" t="e">
        <f>VLOOKUP(B476,aa!B:F,5,0)</f>
        <v>#N/A</v>
      </c>
      <c r="F476" s="50" t="e">
        <f>VLOOKUP(B476,aa!B:J,9,0)</f>
        <v>#N/A</v>
      </c>
      <c r="G476" s="50" t="e">
        <f>VLOOKUP(B476,aa!B:L,11,0)</f>
        <v>#N/A</v>
      </c>
      <c r="H476" s="50" t="e">
        <f>VLOOKUP(B476,aa!B:O,14,0)</f>
        <v>#N/A</v>
      </c>
      <c r="I476" s="50" t="e">
        <f>VLOOKUP(B476,aa!B:R,17,0)</f>
        <v>#N/A</v>
      </c>
      <c r="K476" s="50" t="s">
        <v>97</v>
      </c>
      <c r="L476" s="50">
        <v>1630174</v>
      </c>
      <c r="M476" s="50">
        <v>1630174</v>
      </c>
      <c r="N476" s="50">
        <v>1630174</v>
      </c>
      <c r="O476" s="50">
        <v>2174</v>
      </c>
      <c r="P476" s="50" t="s">
        <v>101</v>
      </c>
      <c r="Q476" s="50">
        <v>0</v>
      </c>
      <c r="R476" s="50">
        <v>0</v>
      </c>
      <c r="T476" s="50">
        <v>0</v>
      </c>
      <c r="U476" s="50">
        <v>0</v>
      </c>
      <c r="W476" s="50" t="s">
        <v>102</v>
      </c>
      <c r="X476" s="50" t="s">
        <v>103</v>
      </c>
      <c r="Y476" s="50" t="s">
        <v>104</v>
      </c>
      <c r="AA476" s="50" t="s">
        <v>8708</v>
      </c>
      <c r="AB476" s="50" t="s">
        <v>21020</v>
      </c>
      <c r="AC476" s="50" t="s">
        <v>12800</v>
      </c>
      <c r="AD476" s="50" t="s">
        <v>21020</v>
      </c>
      <c r="AE476" s="50" t="s">
        <v>109</v>
      </c>
      <c r="AF476" s="50" t="s">
        <v>102</v>
      </c>
      <c r="AG476" s="50" t="s">
        <v>109</v>
      </c>
      <c r="AH476" s="50" t="s">
        <v>102</v>
      </c>
      <c r="AI476" s="50" t="s">
        <v>21021</v>
      </c>
      <c r="AJ476" s="50" t="s">
        <v>12873</v>
      </c>
      <c r="AK476" s="50" t="s">
        <v>12873</v>
      </c>
      <c r="AL476" s="50" t="s">
        <v>21022</v>
      </c>
      <c r="AM476" s="50" t="s">
        <v>21023</v>
      </c>
      <c r="AN476" s="50" t="s">
        <v>21024</v>
      </c>
      <c r="AO476" s="50" t="s">
        <v>18913</v>
      </c>
      <c r="AP476" s="50" t="s">
        <v>18913</v>
      </c>
      <c r="AU476" s="50" t="s">
        <v>318</v>
      </c>
      <c r="AV476" s="50" t="s">
        <v>118</v>
      </c>
      <c r="AW476" s="50" t="s">
        <v>102</v>
      </c>
      <c r="AX476" s="50" t="s">
        <v>119</v>
      </c>
      <c r="BB476" s="50" t="s">
        <v>120</v>
      </c>
      <c r="BC476" s="50" t="s">
        <v>284</v>
      </c>
      <c r="BD476" s="50" t="s">
        <v>285</v>
      </c>
      <c r="BE476" s="50" t="s">
        <v>212</v>
      </c>
      <c r="BF476" s="50" t="s">
        <v>286</v>
      </c>
      <c r="BG476" s="50" t="s">
        <v>124</v>
      </c>
      <c r="BH476" s="50" t="s">
        <v>12023</v>
      </c>
      <c r="BI476" s="50" t="s">
        <v>11889</v>
      </c>
      <c r="BJ476" s="50" t="s">
        <v>127</v>
      </c>
      <c r="BK476" s="50" t="s">
        <v>21025</v>
      </c>
      <c r="BL476" s="50" t="s">
        <v>10940</v>
      </c>
      <c r="BM476" s="50" t="s">
        <v>21026</v>
      </c>
      <c r="BN476" s="50" t="s">
        <v>12425</v>
      </c>
      <c r="BO476" s="50" t="s">
        <v>956</v>
      </c>
      <c r="BP476" s="50" t="s">
        <v>132</v>
      </c>
      <c r="BQ476" s="50" t="s">
        <v>958</v>
      </c>
      <c r="BR476" s="50" t="s">
        <v>959</v>
      </c>
      <c r="BS476" s="50" t="s">
        <v>293</v>
      </c>
      <c r="BU476" s="50" t="s">
        <v>21027</v>
      </c>
      <c r="BV476" s="50" t="s">
        <v>21028</v>
      </c>
      <c r="BW476" s="50" t="s">
        <v>138</v>
      </c>
      <c r="BX476" s="50" t="s">
        <v>10944</v>
      </c>
      <c r="BY476" s="50" t="s">
        <v>10945</v>
      </c>
      <c r="BZ476" s="50" t="s">
        <v>10944</v>
      </c>
      <c r="CA476" s="50" t="s">
        <v>21028</v>
      </c>
      <c r="CB476" s="50" t="s">
        <v>10944</v>
      </c>
      <c r="CC476" s="50" t="s">
        <v>10945</v>
      </c>
      <c r="CD476" s="50" t="s">
        <v>21028</v>
      </c>
      <c r="CE476" s="50" t="s">
        <v>10944</v>
      </c>
      <c r="CF476" s="50" t="s">
        <v>10945</v>
      </c>
      <c r="CG476" s="50" t="s">
        <v>10744</v>
      </c>
      <c r="CH476" s="50" t="s">
        <v>10949</v>
      </c>
      <c r="CJ476" s="50" t="s">
        <v>10950</v>
      </c>
      <c r="CK476" s="50" t="s">
        <v>10949</v>
      </c>
      <c r="CL476" s="50" t="s">
        <v>284</v>
      </c>
      <c r="CM476" s="50" t="s">
        <v>285</v>
      </c>
      <c r="CN476" s="50" t="s">
        <v>10950</v>
      </c>
      <c r="CO476" s="50" t="s">
        <v>10747</v>
      </c>
      <c r="CP476" s="50" t="s">
        <v>10748</v>
      </c>
      <c r="CQ476" s="50" t="s">
        <v>10749</v>
      </c>
      <c r="CR476" s="50" t="s">
        <v>26042</v>
      </c>
    </row>
    <row r="477" spans="1:96">
      <c r="A477" s="50" t="s">
        <v>149</v>
      </c>
      <c r="B477" s="50">
        <v>6662</v>
      </c>
      <c r="C477" s="50" t="s">
        <v>183</v>
      </c>
      <c r="D477" s="50" t="s">
        <v>11532</v>
      </c>
      <c r="E477" s="50" t="e">
        <f>VLOOKUP(B477,aa!B:F,5,0)</f>
        <v>#N/A</v>
      </c>
      <c r="F477" s="50" t="e">
        <f>VLOOKUP(B477,aa!B:J,9,0)</f>
        <v>#N/A</v>
      </c>
      <c r="G477" s="50" t="e">
        <f>VLOOKUP(B477,aa!B:L,11,0)</f>
        <v>#N/A</v>
      </c>
      <c r="H477" s="50" t="e">
        <f>VLOOKUP(B477,aa!B:O,14,0)</f>
        <v>#N/A</v>
      </c>
      <c r="I477" s="50" t="e">
        <f>VLOOKUP(B477,aa!B:R,17,0)</f>
        <v>#N/A</v>
      </c>
      <c r="K477" s="50" t="s">
        <v>848</v>
      </c>
      <c r="L477" s="50">
        <v>344873</v>
      </c>
      <c r="M477" s="50">
        <v>406950</v>
      </c>
      <c r="N477" s="50">
        <v>0</v>
      </c>
      <c r="O477" s="50">
        <v>0</v>
      </c>
      <c r="Q477" s="50">
        <v>0</v>
      </c>
      <c r="R477" s="50">
        <v>0</v>
      </c>
      <c r="T477" s="50">
        <v>344873</v>
      </c>
      <c r="U477" s="50">
        <v>220</v>
      </c>
      <c r="V477" s="50" t="s">
        <v>21414</v>
      </c>
      <c r="W477" s="50" t="s">
        <v>102</v>
      </c>
      <c r="X477" s="50" t="s">
        <v>103</v>
      </c>
      <c r="Y477" s="50" t="s">
        <v>398</v>
      </c>
      <c r="AA477" s="50" t="s">
        <v>1547</v>
      </c>
      <c r="AB477" s="50" t="s">
        <v>21415</v>
      </c>
      <c r="AC477" s="50" t="s">
        <v>13110</v>
      </c>
      <c r="AD477" s="50" t="s">
        <v>21416</v>
      </c>
      <c r="AE477" s="50" t="s">
        <v>11886</v>
      </c>
      <c r="AF477" s="50" t="s">
        <v>21416</v>
      </c>
      <c r="AG477" s="50" t="s">
        <v>109</v>
      </c>
      <c r="AH477" s="50" t="s">
        <v>102</v>
      </c>
      <c r="AI477" s="50" t="s">
        <v>21417</v>
      </c>
      <c r="AJ477" s="50" t="s">
        <v>8488</v>
      </c>
      <c r="AK477" s="50" t="s">
        <v>12609</v>
      </c>
      <c r="AL477" s="50" t="s">
        <v>21418</v>
      </c>
      <c r="AM477" s="50" t="s">
        <v>21419</v>
      </c>
      <c r="AN477" s="50" t="s">
        <v>21420</v>
      </c>
      <c r="AO477" s="50" t="s">
        <v>21421</v>
      </c>
      <c r="AP477" s="50" t="s">
        <v>21421</v>
      </c>
      <c r="AU477" s="50" t="s">
        <v>102</v>
      </c>
      <c r="AW477" s="50" t="s">
        <v>102</v>
      </c>
      <c r="AX477" s="50" t="s">
        <v>119</v>
      </c>
      <c r="BA477" s="50" t="s">
        <v>250</v>
      </c>
      <c r="BB477" s="50" t="s">
        <v>120</v>
      </c>
      <c r="BC477" s="50" t="s">
        <v>11543</v>
      </c>
      <c r="BD477" s="50" t="s">
        <v>4404</v>
      </c>
      <c r="BE477" s="50" t="s">
        <v>174</v>
      </c>
      <c r="BF477" s="50" t="s">
        <v>4405</v>
      </c>
      <c r="BG477" s="50" t="s">
        <v>124</v>
      </c>
      <c r="BH477" s="50" t="s">
        <v>11959</v>
      </c>
      <c r="BI477" s="50" t="s">
        <v>11889</v>
      </c>
      <c r="BJ477" s="50" t="s">
        <v>127</v>
      </c>
      <c r="BK477" s="50" t="s">
        <v>21422</v>
      </c>
      <c r="BL477" s="50" t="s">
        <v>11545</v>
      </c>
      <c r="BM477" s="50" t="s">
        <v>21423</v>
      </c>
      <c r="BN477" s="50" t="s">
        <v>12425</v>
      </c>
      <c r="BO477" s="50" t="s">
        <v>179</v>
      </c>
      <c r="BP477" s="50" t="s">
        <v>180</v>
      </c>
      <c r="BQ477" s="50" t="s">
        <v>181</v>
      </c>
      <c r="BR477" s="50" t="s">
        <v>182</v>
      </c>
      <c r="BS477" s="50" t="s">
        <v>4413</v>
      </c>
      <c r="BU477" s="50" t="s">
        <v>21424</v>
      </c>
      <c r="BV477" s="50" t="s">
        <v>11548</v>
      </c>
      <c r="BW477" s="50" t="s">
        <v>138</v>
      </c>
      <c r="BX477" s="50" t="s">
        <v>11549</v>
      </c>
      <c r="BY477" s="50" t="s">
        <v>21425</v>
      </c>
      <c r="BZ477" s="50" t="s">
        <v>11549</v>
      </c>
      <c r="CA477" s="50" t="s">
        <v>11548</v>
      </c>
      <c r="CB477" s="50" t="s">
        <v>11549</v>
      </c>
      <c r="CC477" s="50" t="s">
        <v>21425</v>
      </c>
      <c r="CD477" s="50" t="s">
        <v>21426</v>
      </c>
      <c r="CE477" s="50" t="s">
        <v>21427</v>
      </c>
      <c r="CF477" s="50" t="s">
        <v>21428</v>
      </c>
      <c r="CG477" s="50" t="s">
        <v>102</v>
      </c>
      <c r="CH477" s="50" t="s">
        <v>2831</v>
      </c>
      <c r="CJ477" s="50" t="s">
        <v>11552</v>
      </c>
      <c r="CL477" s="50" t="s">
        <v>11543</v>
      </c>
      <c r="CM477" s="50" t="s">
        <v>4404</v>
      </c>
      <c r="CN477" s="50" t="s">
        <v>11552</v>
      </c>
      <c r="CO477" s="50" t="s">
        <v>11553</v>
      </c>
      <c r="CP477" s="50" t="s">
        <v>11551</v>
      </c>
      <c r="CQ477" s="50" t="s">
        <v>11551</v>
      </c>
    </row>
    <row r="478" spans="1:96">
      <c r="A478" s="50" t="s">
        <v>93</v>
      </c>
      <c r="B478" s="50">
        <v>3167641</v>
      </c>
      <c r="C478" s="50" t="s">
        <v>3562</v>
      </c>
      <c r="D478" s="50" t="s">
        <v>4880</v>
      </c>
      <c r="E478" s="50" t="e">
        <f>VLOOKUP(B478,aa!B:F,5,0)</f>
        <v>#N/A</v>
      </c>
      <c r="F478" s="50" t="e">
        <f>VLOOKUP(B478,aa!B:J,9,0)</f>
        <v>#N/A</v>
      </c>
      <c r="G478" s="50" t="e">
        <f>VLOOKUP(B478,aa!B:L,11,0)</f>
        <v>#N/A</v>
      </c>
      <c r="H478" s="50" t="e">
        <f>VLOOKUP(B478,aa!B:O,14,0)</f>
        <v>#N/A</v>
      </c>
      <c r="I478" s="50" t="e">
        <f>VLOOKUP(B478,aa!B:R,17,0)</f>
        <v>#N/A</v>
      </c>
      <c r="K478" s="50" t="s">
        <v>848</v>
      </c>
      <c r="L478" s="50">
        <v>849921</v>
      </c>
      <c r="M478" s="50">
        <v>1002906</v>
      </c>
      <c r="N478" s="50">
        <v>0</v>
      </c>
      <c r="O478" s="50">
        <v>0</v>
      </c>
      <c r="Q478" s="50">
        <v>0</v>
      </c>
      <c r="R478" s="50">
        <v>0</v>
      </c>
      <c r="T478" s="50">
        <v>849921</v>
      </c>
      <c r="U478" s="50">
        <v>580</v>
      </c>
      <c r="V478" s="50" t="s">
        <v>15088</v>
      </c>
      <c r="W478" s="50" t="s">
        <v>102</v>
      </c>
      <c r="X478" s="50" t="s">
        <v>103</v>
      </c>
      <c r="Y478" s="50" t="s">
        <v>938</v>
      </c>
      <c r="AA478" s="50" t="s">
        <v>15089</v>
      </c>
      <c r="AB478" s="50" t="s">
        <v>15090</v>
      </c>
      <c r="AC478" s="50" t="s">
        <v>15091</v>
      </c>
      <c r="AD478" s="50" t="s">
        <v>15092</v>
      </c>
      <c r="AE478" s="50" t="s">
        <v>15093</v>
      </c>
      <c r="AF478" s="50" t="s">
        <v>15092</v>
      </c>
      <c r="AG478" s="50" t="s">
        <v>13263</v>
      </c>
      <c r="AH478" s="50" t="s">
        <v>15094</v>
      </c>
      <c r="AI478" s="50" t="s">
        <v>102</v>
      </c>
      <c r="AJ478" s="50" t="s">
        <v>13034</v>
      </c>
      <c r="AK478" s="50" t="s">
        <v>15054</v>
      </c>
      <c r="AL478" s="50" t="s">
        <v>15095</v>
      </c>
      <c r="AM478" s="50" t="s">
        <v>15096</v>
      </c>
      <c r="AN478" s="50" t="s">
        <v>15097</v>
      </c>
      <c r="AO478" s="50" t="s">
        <v>15098</v>
      </c>
      <c r="AP478" s="50" t="s">
        <v>15099</v>
      </c>
      <c r="AT478" s="50" t="s">
        <v>169</v>
      </c>
      <c r="AU478" s="50" t="s">
        <v>102</v>
      </c>
      <c r="AW478" s="50" t="s">
        <v>102</v>
      </c>
      <c r="AX478" s="50" t="s">
        <v>119</v>
      </c>
      <c r="BA478" s="50" t="s">
        <v>250</v>
      </c>
      <c r="BB478" s="50" t="s">
        <v>120</v>
      </c>
      <c r="BC478" s="50" t="s">
        <v>4889</v>
      </c>
      <c r="BD478" s="50" t="s">
        <v>730</v>
      </c>
      <c r="BE478" s="50" t="s">
        <v>622</v>
      </c>
      <c r="BF478" s="50" t="s">
        <v>730</v>
      </c>
      <c r="BG478" s="50" t="s">
        <v>124</v>
      </c>
      <c r="BH478" s="50" t="s">
        <v>12275</v>
      </c>
      <c r="BI478" s="50" t="s">
        <v>11889</v>
      </c>
      <c r="BJ478" s="50" t="s">
        <v>127</v>
      </c>
      <c r="BK478" s="50" t="s">
        <v>15100</v>
      </c>
      <c r="BL478" s="50" t="s">
        <v>4891</v>
      </c>
      <c r="BM478" s="50" t="s">
        <v>15101</v>
      </c>
      <c r="BN478" s="50" t="s">
        <v>15087</v>
      </c>
      <c r="BO478" s="50" t="s">
        <v>2262</v>
      </c>
      <c r="BP478" s="50" t="s">
        <v>2928</v>
      </c>
      <c r="BQ478" s="50" t="s">
        <v>2263</v>
      </c>
      <c r="BR478" s="50" t="s">
        <v>2264</v>
      </c>
      <c r="BS478" s="50" t="s">
        <v>2569</v>
      </c>
      <c r="BU478" s="50" t="s">
        <v>15102</v>
      </c>
      <c r="BV478" s="50" t="s">
        <v>4897</v>
      </c>
      <c r="BW478" s="50" t="s">
        <v>354</v>
      </c>
      <c r="BX478" s="50" t="s">
        <v>15103</v>
      </c>
      <c r="BY478" s="50" t="s">
        <v>15104</v>
      </c>
      <c r="BZ478" s="50" t="s">
        <v>4900</v>
      </c>
      <c r="CA478" s="50" t="s">
        <v>15105</v>
      </c>
      <c r="CB478" s="50" t="s">
        <v>15106</v>
      </c>
      <c r="CC478" s="50" t="s">
        <v>15107</v>
      </c>
      <c r="CD478" s="50" t="s">
        <v>15105</v>
      </c>
      <c r="CE478" s="50" t="s">
        <v>15106</v>
      </c>
      <c r="CF478" s="50" t="s">
        <v>15107</v>
      </c>
      <c r="CG478" s="50" t="s">
        <v>4901</v>
      </c>
      <c r="CH478" s="50" t="s">
        <v>15108</v>
      </c>
      <c r="CJ478" s="50" t="s">
        <v>4903</v>
      </c>
      <c r="CK478" s="50" t="s">
        <v>15109</v>
      </c>
      <c r="CL478" s="50" t="s">
        <v>4889</v>
      </c>
      <c r="CM478" s="50" t="s">
        <v>730</v>
      </c>
      <c r="CN478" s="50" t="s">
        <v>4903</v>
      </c>
      <c r="CP478" s="50" t="s">
        <v>4902</v>
      </c>
      <c r="CQ478" s="50" t="s">
        <v>4902</v>
      </c>
      <c r="CR478" s="50" t="s">
        <v>26042</v>
      </c>
    </row>
    <row r="479" spans="1:96">
      <c r="A479" s="50" t="s">
        <v>93</v>
      </c>
      <c r="B479" s="50">
        <v>3567542</v>
      </c>
      <c r="C479" s="50" t="s">
        <v>11995</v>
      </c>
      <c r="D479" s="50" t="s">
        <v>6688</v>
      </c>
      <c r="E479" s="50" t="e">
        <f>VLOOKUP(B479,aa!B:F,5,0)</f>
        <v>#N/A</v>
      </c>
      <c r="F479" s="50" t="e">
        <f>VLOOKUP(B479,aa!B:J,9,0)</f>
        <v>#N/A</v>
      </c>
      <c r="G479" s="50" t="e">
        <f>VLOOKUP(B479,aa!B:L,11,0)</f>
        <v>#N/A</v>
      </c>
      <c r="H479" s="50" t="e">
        <f>VLOOKUP(B479,aa!B:O,14,0)</f>
        <v>#N/A</v>
      </c>
      <c r="I479" s="50" t="e">
        <f>VLOOKUP(B479,aa!B:R,17,0)</f>
        <v>#N/A</v>
      </c>
      <c r="K479" s="50" t="s">
        <v>97</v>
      </c>
      <c r="L479" s="50">
        <v>199260</v>
      </c>
      <c r="M479" s="50">
        <v>199260</v>
      </c>
      <c r="N479" s="50">
        <v>199260</v>
      </c>
      <c r="O479" s="50">
        <v>123</v>
      </c>
      <c r="P479" s="50" t="s">
        <v>6691</v>
      </c>
      <c r="Q479" s="50">
        <v>0</v>
      </c>
      <c r="R479" s="50">
        <v>0</v>
      </c>
      <c r="T479" s="50">
        <v>0</v>
      </c>
      <c r="U479" s="50">
        <v>0</v>
      </c>
      <c r="W479" s="50" t="s">
        <v>102</v>
      </c>
      <c r="X479" s="50" t="s">
        <v>103</v>
      </c>
      <c r="Y479" s="50" t="s">
        <v>104</v>
      </c>
      <c r="AA479" s="50" t="s">
        <v>16483</v>
      </c>
      <c r="AB479" s="50" t="s">
        <v>16484</v>
      </c>
      <c r="AC479" s="50" t="s">
        <v>11911</v>
      </c>
      <c r="AD479" s="50" t="s">
        <v>16484</v>
      </c>
      <c r="AE479" s="50" t="s">
        <v>109</v>
      </c>
      <c r="AF479" s="50" t="s">
        <v>102</v>
      </c>
      <c r="AG479" s="50" t="s">
        <v>109</v>
      </c>
      <c r="AH479" s="50" t="s">
        <v>102</v>
      </c>
      <c r="AI479" s="50" t="s">
        <v>102</v>
      </c>
      <c r="AJ479" s="50" t="s">
        <v>1547</v>
      </c>
      <c r="AK479" s="50" t="s">
        <v>1547</v>
      </c>
      <c r="AL479" s="50" t="s">
        <v>16485</v>
      </c>
      <c r="AM479" s="50" t="s">
        <v>16484</v>
      </c>
      <c r="AN479" s="50" t="s">
        <v>16484</v>
      </c>
      <c r="AO479" s="50" t="s">
        <v>6699</v>
      </c>
      <c r="AP479" s="50" t="s">
        <v>6699</v>
      </c>
      <c r="AU479" s="50" t="s">
        <v>6700</v>
      </c>
      <c r="AV479" s="50" t="s">
        <v>118</v>
      </c>
      <c r="AW479" s="50" t="s">
        <v>102</v>
      </c>
      <c r="AX479" s="50" t="s">
        <v>119</v>
      </c>
      <c r="BB479" s="50" t="s">
        <v>120</v>
      </c>
      <c r="BC479" s="50" t="s">
        <v>284</v>
      </c>
      <c r="BD479" s="50" t="s">
        <v>285</v>
      </c>
      <c r="BE479" s="50" t="s">
        <v>212</v>
      </c>
      <c r="BF479" s="50" t="s">
        <v>286</v>
      </c>
      <c r="BG479" s="50" t="s">
        <v>124</v>
      </c>
      <c r="BH479" s="50" t="s">
        <v>12425</v>
      </c>
      <c r="BI479" s="50" t="s">
        <v>11960</v>
      </c>
      <c r="BJ479" s="50" t="s">
        <v>127</v>
      </c>
      <c r="BK479" s="50" t="s">
        <v>16486</v>
      </c>
      <c r="BL479" s="50" t="s">
        <v>6702</v>
      </c>
      <c r="BM479" s="50" t="s">
        <v>16487</v>
      </c>
      <c r="BN479" s="50" t="s">
        <v>16483</v>
      </c>
      <c r="BO479" s="50" t="s">
        <v>480</v>
      </c>
      <c r="BP479" s="50" t="s">
        <v>180</v>
      </c>
      <c r="BQ479" s="50" t="s">
        <v>481</v>
      </c>
      <c r="BR479" s="50" t="s">
        <v>482</v>
      </c>
      <c r="BS479" s="50" t="s">
        <v>2593</v>
      </c>
      <c r="BU479" s="50" t="s">
        <v>16488</v>
      </c>
      <c r="BV479" s="50" t="s">
        <v>16489</v>
      </c>
      <c r="BW479" s="50" t="s">
        <v>138</v>
      </c>
      <c r="BX479" s="50" t="s">
        <v>6708</v>
      </c>
      <c r="BY479" s="50" t="s">
        <v>16490</v>
      </c>
      <c r="BZ479" s="50" t="s">
        <v>6708</v>
      </c>
      <c r="CA479" s="50" t="s">
        <v>16491</v>
      </c>
      <c r="CB479" s="50" t="s">
        <v>16492</v>
      </c>
      <c r="CC479" s="50" t="s">
        <v>16493</v>
      </c>
      <c r="CD479" s="50" t="s">
        <v>16494</v>
      </c>
      <c r="CE479" s="50" t="s">
        <v>16495</v>
      </c>
      <c r="CF479" s="50" t="s">
        <v>16496</v>
      </c>
      <c r="CG479" s="50" t="s">
        <v>6709</v>
      </c>
      <c r="CH479" s="50" t="s">
        <v>16497</v>
      </c>
      <c r="CJ479" s="50" t="s">
        <v>6711</v>
      </c>
      <c r="CK479" s="50" t="s">
        <v>16498</v>
      </c>
      <c r="CL479" s="50" t="s">
        <v>284</v>
      </c>
      <c r="CM479" s="50" t="s">
        <v>285</v>
      </c>
      <c r="CN479" s="50" t="s">
        <v>6711</v>
      </c>
      <c r="CP479" s="50" t="s">
        <v>6710</v>
      </c>
      <c r="CQ479" s="50" t="s">
        <v>6710</v>
      </c>
      <c r="CR479" s="50" t="s">
        <v>26046</v>
      </c>
    </row>
    <row r="480" spans="1:96">
      <c r="A480" s="50" t="s">
        <v>495</v>
      </c>
      <c r="B480" s="50">
        <v>41269</v>
      </c>
      <c r="C480" s="50" t="s">
        <v>2525</v>
      </c>
      <c r="D480" s="50" t="s">
        <v>8719</v>
      </c>
      <c r="E480" s="50" t="str">
        <f>VLOOKUP(B480,aa!B:F,5,0)</f>
        <v>Ei CARES</v>
      </c>
      <c r="F480" s="50">
        <f>VLOOKUP(B480,aa!B:J,9,0)</f>
        <v>797756</v>
      </c>
      <c r="G480" s="50">
        <f>VLOOKUP(B480,aa!B:L,11,0)</f>
        <v>0</v>
      </c>
      <c r="H480" s="50">
        <f>VLOOKUP(B480,aa!B:O,14,0)</f>
        <v>797756</v>
      </c>
      <c r="I480" s="50">
        <f>VLOOKUP(B480,aa!B:R,17,0)</f>
        <v>0</v>
      </c>
      <c r="K480" s="50" t="s">
        <v>152</v>
      </c>
      <c r="L480" s="50">
        <v>731094</v>
      </c>
      <c r="M480" s="50">
        <v>731094</v>
      </c>
      <c r="N480" s="50">
        <v>0</v>
      </c>
      <c r="O480" s="50">
        <v>0</v>
      </c>
      <c r="Q480" s="50">
        <v>731094</v>
      </c>
      <c r="R480" s="50">
        <v>975</v>
      </c>
      <c r="S480" s="50" t="s">
        <v>101</v>
      </c>
      <c r="T480" s="50">
        <v>0</v>
      </c>
      <c r="U480" s="50">
        <v>0</v>
      </c>
      <c r="W480" s="50" t="s">
        <v>102</v>
      </c>
      <c r="X480" s="50" t="s">
        <v>103</v>
      </c>
      <c r="Y480" s="50" t="s">
        <v>104</v>
      </c>
      <c r="AA480" s="50" t="s">
        <v>8708</v>
      </c>
      <c r="AB480" s="50" t="s">
        <v>18136</v>
      </c>
      <c r="AC480" s="50" t="s">
        <v>12327</v>
      </c>
      <c r="AD480" s="50" t="s">
        <v>18136</v>
      </c>
      <c r="AE480" s="50" t="s">
        <v>109</v>
      </c>
      <c r="AF480" s="50" t="s">
        <v>102</v>
      </c>
      <c r="AG480" s="50" t="s">
        <v>109</v>
      </c>
      <c r="AH480" s="50" t="s">
        <v>102</v>
      </c>
      <c r="AI480" s="50" t="s">
        <v>18137</v>
      </c>
      <c r="AJ480" s="50" t="s">
        <v>10030</v>
      </c>
      <c r="AK480" s="50" t="s">
        <v>11911</v>
      </c>
      <c r="AL480" s="50" t="s">
        <v>18138</v>
      </c>
      <c r="AM480" s="50" t="s">
        <v>18139</v>
      </c>
      <c r="AN480" s="50" t="s">
        <v>18140</v>
      </c>
      <c r="AO480" s="50" t="s">
        <v>18141</v>
      </c>
      <c r="AP480" s="50" t="s">
        <v>18142</v>
      </c>
      <c r="AT480" s="50" t="s">
        <v>169</v>
      </c>
      <c r="AU480" s="50" t="s">
        <v>102</v>
      </c>
      <c r="AW480" s="50" t="s">
        <v>155</v>
      </c>
      <c r="AX480" s="50" t="s">
        <v>119</v>
      </c>
      <c r="AY480" s="50" t="s">
        <v>170</v>
      </c>
      <c r="AZ480" s="50" t="s">
        <v>118</v>
      </c>
      <c r="BB480" s="50" t="s">
        <v>120</v>
      </c>
      <c r="BC480" s="50" t="s">
        <v>729</v>
      </c>
      <c r="BD480" s="50" t="s">
        <v>730</v>
      </c>
      <c r="BE480" s="50" t="s">
        <v>622</v>
      </c>
      <c r="BF480" s="50" t="s">
        <v>730</v>
      </c>
      <c r="BG480" s="50" t="s">
        <v>124</v>
      </c>
      <c r="BH480" s="50" t="s">
        <v>12023</v>
      </c>
      <c r="BI480" s="50" t="s">
        <v>11889</v>
      </c>
      <c r="BJ480" s="50" t="s">
        <v>127</v>
      </c>
      <c r="BK480" s="50" t="s">
        <v>18143</v>
      </c>
      <c r="BL480" s="50" t="s">
        <v>8729</v>
      </c>
      <c r="BM480" s="50" t="s">
        <v>18144</v>
      </c>
      <c r="BN480" s="50" t="s">
        <v>16483</v>
      </c>
      <c r="BO480" s="50" t="s">
        <v>734</v>
      </c>
      <c r="BP480" s="50" t="s">
        <v>350</v>
      </c>
      <c r="BQ480" s="50" t="s">
        <v>735</v>
      </c>
      <c r="BR480" s="50" t="s">
        <v>736</v>
      </c>
      <c r="BS480" s="50" t="s">
        <v>737</v>
      </c>
      <c r="BU480" s="50" t="s">
        <v>18145</v>
      </c>
      <c r="BV480" s="50" t="s">
        <v>18146</v>
      </c>
      <c r="BW480" s="50" t="s">
        <v>138</v>
      </c>
      <c r="BX480" s="50" t="s">
        <v>8733</v>
      </c>
      <c r="BY480" s="50" t="s">
        <v>8734</v>
      </c>
      <c r="BZ480" s="50" t="s">
        <v>8735</v>
      </c>
      <c r="CA480" s="50" t="s">
        <v>8732</v>
      </c>
      <c r="CB480" s="50" t="s">
        <v>8733</v>
      </c>
      <c r="CC480" s="50" t="s">
        <v>8734</v>
      </c>
      <c r="CD480" s="50" t="s">
        <v>8732</v>
      </c>
      <c r="CE480" s="50" t="s">
        <v>8733</v>
      </c>
      <c r="CF480" s="50" t="s">
        <v>8734</v>
      </c>
      <c r="CG480" s="50" t="s">
        <v>3841</v>
      </c>
      <c r="CH480" s="50" t="s">
        <v>18147</v>
      </c>
      <c r="CJ480" s="50" t="s">
        <v>8740</v>
      </c>
      <c r="CK480" s="50" t="s">
        <v>18148</v>
      </c>
      <c r="CL480" s="50" t="s">
        <v>729</v>
      </c>
      <c r="CM480" s="50" t="s">
        <v>2273</v>
      </c>
      <c r="CN480" s="50" t="s">
        <v>8740</v>
      </c>
      <c r="CO480" s="50" t="s">
        <v>8741</v>
      </c>
      <c r="CP480" s="50" t="s">
        <v>8739</v>
      </c>
      <c r="CQ480" s="50" t="s">
        <v>8739</v>
      </c>
    </row>
    <row r="481" spans="1:96">
      <c r="A481" s="50" t="s">
        <v>337</v>
      </c>
      <c r="B481" s="50">
        <v>5002738</v>
      </c>
      <c r="C481" s="50" t="s">
        <v>183</v>
      </c>
      <c r="D481" s="50" t="s">
        <v>18513</v>
      </c>
      <c r="E481" s="50" t="e">
        <f>VLOOKUP(B481,aa!B:F,5,0)</f>
        <v>#N/A</v>
      </c>
      <c r="F481" s="50" t="e">
        <f>VLOOKUP(B481,aa!B:J,9,0)</f>
        <v>#N/A</v>
      </c>
      <c r="G481" s="50" t="e">
        <f>VLOOKUP(B481,aa!B:L,11,0)</f>
        <v>#N/A</v>
      </c>
      <c r="H481" s="50" t="e">
        <f>VLOOKUP(B481,aa!B:O,14,0)</f>
        <v>#N/A</v>
      </c>
      <c r="I481" s="50" t="e">
        <f>VLOOKUP(B481,aa!B:R,17,0)</f>
        <v>#N/A</v>
      </c>
      <c r="K481" s="50" t="s">
        <v>152</v>
      </c>
      <c r="L481" s="50">
        <v>144190</v>
      </c>
      <c r="M481" s="50">
        <v>144190</v>
      </c>
      <c r="N481" s="50">
        <v>0</v>
      </c>
      <c r="O481" s="50">
        <v>0</v>
      </c>
      <c r="Q481" s="50">
        <v>144190</v>
      </c>
      <c r="R481" s="50">
        <v>229</v>
      </c>
      <c r="S481" s="50" t="s">
        <v>7219</v>
      </c>
      <c r="T481" s="50">
        <v>0</v>
      </c>
      <c r="U481" s="50">
        <v>0</v>
      </c>
      <c r="W481" s="50" t="s">
        <v>102</v>
      </c>
      <c r="X481" s="50" t="s">
        <v>103</v>
      </c>
      <c r="Y481" s="50" t="s">
        <v>104</v>
      </c>
      <c r="AA481" s="50" t="s">
        <v>12541</v>
      </c>
      <c r="AB481" s="50" t="s">
        <v>18514</v>
      </c>
      <c r="AC481" s="50" t="s">
        <v>18515</v>
      </c>
      <c r="AD481" s="50" t="s">
        <v>18514</v>
      </c>
      <c r="AE481" s="50" t="s">
        <v>109</v>
      </c>
      <c r="AF481" s="50" t="s">
        <v>102</v>
      </c>
      <c r="AG481" s="50" t="s">
        <v>109</v>
      </c>
      <c r="AH481" s="50" t="s">
        <v>102</v>
      </c>
      <c r="AI481" s="50" t="s">
        <v>102</v>
      </c>
      <c r="AJ481" s="50" t="s">
        <v>13455</v>
      </c>
      <c r="AK481" s="50" t="s">
        <v>13455</v>
      </c>
      <c r="AL481" s="50" t="s">
        <v>18516</v>
      </c>
      <c r="AM481" s="50" t="s">
        <v>18514</v>
      </c>
      <c r="AN481" s="50" t="s">
        <v>18514</v>
      </c>
      <c r="AO481" s="50" t="s">
        <v>18394</v>
      </c>
      <c r="AP481" s="50" t="s">
        <v>18394</v>
      </c>
      <c r="AU481" s="50" t="s">
        <v>102</v>
      </c>
      <c r="AW481" s="50" t="s">
        <v>104</v>
      </c>
      <c r="AX481" s="50" t="s">
        <v>447</v>
      </c>
      <c r="AY481" s="50" t="s">
        <v>170</v>
      </c>
      <c r="AZ481" s="50" t="s">
        <v>118</v>
      </c>
      <c r="BB481" s="50" t="s">
        <v>171</v>
      </c>
      <c r="BC481" s="50" t="s">
        <v>18395</v>
      </c>
      <c r="BD481" s="50" t="s">
        <v>376</v>
      </c>
      <c r="BE481" s="50" t="s">
        <v>174</v>
      </c>
      <c r="BF481" s="50" t="s">
        <v>376</v>
      </c>
      <c r="BG481" s="50" t="s">
        <v>124</v>
      </c>
      <c r="BH481" s="50" t="s">
        <v>1331</v>
      </c>
      <c r="BI481" s="50" t="s">
        <v>18517</v>
      </c>
      <c r="BJ481" s="50" t="s">
        <v>127</v>
      </c>
      <c r="BK481" s="50" t="s">
        <v>18518</v>
      </c>
      <c r="BL481" s="50" t="s">
        <v>18519</v>
      </c>
      <c r="BM481" s="50" t="s">
        <v>18520</v>
      </c>
      <c r="BN481" s="50" t="s">
        <v>16483</v>
      </c>
      <c r="BO481" s="50" t="s">
        <v>5026</v>
      </c>
      <c r="BP481" s="50" t="s">
        <v>180</v>
      </c>
      <c r="BQ481" s="50" t="s">
        <v>5027</v>
      </c>
      <c r="BR481" s="50" t="s">
        <v>5028</v>
      </c>
      <c r="BS481" s="50" t="s">
        <v>5177</v>
      </c>
      <c r="BU481" s="50" t="s">
        <v>18521</v>
      </c>
      <c r="BV481" s="50" t="s">
        <v>18522</v>
      </c>
      <c r="BW481" s="50" t="s">
        <v>138</v>
      </c>
      <c r="BX481" s="50" t="s">
        <v>18523</v>
      </c>
      <c r="BY481" s="50" t="s">
        <v>18524</v>
      </c>
      <c r="BZ481" s="50" t="s">
        <v>18523</v>
      </c>
      <c r="CA481" s="50" t="s">
        <v>18522</v>
      </c>
      <c r="CB481" s="50" t="s">
        <v>18523</v>
      </c>
      <c r="CC481" s="50" t="s">
        <v>18524</v>
      </c>
      <c r="CD481" s="50" t="s">
        <v>18522</v>
      </c>
      <c r="CE481" s="50" t="s">
        <v>18523</v>
      </c>
      <c r="CF481" s="50" t="s">
        <v>18524</v>
      </c>
      <c r="CG481" s="50" t="s">
        <v>2980</v>
      </c>
      <c r="CH481" s="50" t="s">
        <v>18525</v>
      </c>
      <c r="CJ481" s="50" t="s">
        <v>18405</v>
      </c>
      <c r="CK481" s="50" t="s">
        <v>18526</v>
      </c>
      <c r="CL481" s="50" t="s">
        <v>18395</v>
      </c>
      <c r="CM481" s="50" t="s">
        <v>376</v>
      </c>
      <c r="CN481" s="50" t="s">
        <v>18405</v>
      </c>
      <c r="CP481" s="50" t="s">
        <v>18527</v>
      </c>
      <c r="CQ481" s="50" t="s">
        <v>18527</v>
      </c>
      <c r="CR481" s="50" t="s">
        <v>26046</v>
      </c>
    </row>
    <row r="482" spans="1:96">
      <c r="A482" s="50" t="s">
        <v>149</v>
      </c>
      <c r="B482" s="50">
        <v>5184</v>
      </c>
      <c r="C482" s="50" t="s">
        <v>2151</v>
      </c>
      <c r="D482" s="50" t="s">
        <v>10864</v>
      </c>
      <c r="E482" s="50" t="str">
        <f>VLOOKUP(B482,aa!B:F,5,0)</f>
        <v>Ei ASSET,Ei CARES,Ei Mindspark</v>
      </c>
      <c r="F482" s="50">
        <f>VLOOKUP(B482,aa!B:J,9,0)</f>
        <v>2365160</v>
      </c>
      <c r="G482" s="50">
        <f>VLOOKUP(B482,aa!B:L,11,0)</f>
        <v>740942</v>
      </c>
      <c r="H482" s="50">
        <f>VLOOKUP(B482,aa!B:O,14,0)</f>
        <v>670327</v>
      </c>
      <c r="I482" s="50">
        <f>VLOOKUP(B482,aa!B:R,17,0)</f>
        <v>953891</v>
      </c>
      <c r="K482" s="50" t="s">
        <v>20984</v>
      </c>
      <c r="L482" s="50">
        <v>2218803</v>
      </c>
      <c r="M482" s="50">
        <v>2416777</v>
      </c>
      <c r="N482" s="50">
        <v>756974</v>
      </c>
      <c r="O482" s="50">
        <v>956</v>
      </c>
      <c r="P482" s="50" t="s">
        <v>20985</v>
      </c>
      <c r="Q482" s="50">
        <v>361974</v>
      </c>
      <c r="R482" s="50">
        <v>258</v>
      </c>
      <c r="S482" s="50" t="s">
        <v>20986</v>
      </c>
      <c r="T482" s="50">
        <v>1099855</v>
      </c>
      <c r="U482" s="50">
        <v>614</v>
      </c>
      <c r="V482" s="50" t="s">
        <v>20987</v>
      </c>
      <c r="W482" s="50" t="s">
        <v>102</v>
      </c>
      <c r="X482" s="50" t="s">
        <v>103</v>
      </c>
      <c r="Y482" s="50" t="s">
        <v>155</v>
      </c>
      <c r="AA482" s="50" t="s">
        <v>1408</v>
      </c>
      <c r="AB482" s="50" t="s">
        <v>20988</v>
      </c>
      <c r="AC482" s="50" t="s">
        <v>12888</v>
      </c>
      <c r="AD482" s="50" t="s">
        <v>20988</v>
      </c>
      <c r="AE482" s="50" t="s">
        <v>1427</v>
      </c>
      <c r="AF482" s="50" t="s">
        <v>20988</v>
      </c>
      <c r="AG482" s="50" t="s">
        <v>11886</v>
      </c>
      <c r="AH482" s="50" t="s">
        <v>20988</v>
      </c>
      <c r="AI482" s="50" t="s">
        <v>20989</v>
      </c>
      <c r="AJ482" s="50" t="s">
        <v>12082</v>
      </c>
      <c r="AK482" s="50" t="s">
        <v>17021</v>
      </c>
      <c r="AL482" s="50" t="s">
        <v>20990</v>
      </c>
      <c r="AM482" s="50" t="s">
        <v>20991</v>
      </c>
      <c r="AN482" s="50" t="s">
        <v>20992</v>
      </c>
      <c r="AO482" s="50" t="s">
        <v>20993</v>
      </c>
      <c r="AP482" s="50" t="s">
        <v>20993</v>
      </c>
      <c r="AU482" s="50" t="s">
        <v>318</v>
      </c>
      <c r="AV482" s="50" t="s">
        <v>118</v>
      </c>
      <c r="AW482" s="50" t="s">
        <v>248</v>
      </c>
      <c r="AX482" s="50" t="s">
        <v>119</v>
      </c>
      <c r="AY482" s="50" t="s">
        <v>170</v>
      </c>
      <c r="AZ482" s="50" t="s">
        <v>118</v>
      </c>
      <c r="BA482" s="50" t="s">
        <v>250</v>
      </c>
      <c r="BB482" s="50" t="s">
        <v>171</v>
      </c>
      <c r="BC482" s="50" t="s">
        <v>920</v>
      </c>
      <c r="BD482" s="50" t="s">
        <v>211</v>
      </c>
      <c r="BE482" s="50" t="s">
        <v>212</v>
      </c>
      <c r="BF482" s="50" t="s">
        <v>213</v>
      </c>
      <c r="BG482" s="50" t="s">
        <v>124</v>
      </c>
      <c r="BH482" s="50" t="s">
        <v>11959</v>
      </c>
      <c r="BI482" s="50" t="s">
        <v>11960</v>
      </c>
      <c r="BJ482" s="50" t="s">
        <v>127</v>
      </c>
      <c r="BK482" s="50" t="s">
        <v>20994</v>
      </c>
      <c r="BL482" s="50" t="s">
        <v>10882</v>
      </c>
      <c r="BM482" s="50" t="s">
        <v>20995</v>
      </c>
      <c r="BN482" s="50" t="s">
        <v>12890</v>
      </c>
      <c r="BO482" s="50" t="s">
        <v>1880</v>
      </c>
      <c r="BP482" s="50" t="s">
        <v>180</v>
      </c>
      <c r="BQ482" s="50" t="s">
        <v>1882</v>
      </c>
      <c r="BR482" s="50" t="s">
        <v>1883</v>
      </c>
      <c r="BS482" s="50" t="s">
        <v>2151</v>
      </c>
      <c r="BU482" s="50" t="s">
        <v>20996</v>
      </c>
      <c r="BV482" s="50" t="s">
        <v>10885</v>
      </c>
      <c r="BW482" s="50" t="s">
        <v>138</v>
      </c>
      <c r="BX482" s="50" t="s">
        <v>10886</v>
      </c>
      <c r="BY482" s="50" t="s">
        <v>10887</v>
      </c>
      <c r="BZ482" s="50" t="s">
        <v>10886</v>
      </c>
      <c r="CA482" s="50" t="s">
        <v>10885</v>
      </c>
      <c r="CB482" s="50" t="s">
        <v>10886</v>
      </c>
      <c r="CC482" s="50" t="s">
        <v>10887</v>
      </c>
      <c r="CD482" s="50" t="s">
        <v>10885</v>
      </c>
      <c r="CE482" s="50" t="s">
        <v>10886</v>
      </c>
      <c r="CF482" s="50" t="s">
        <v>10887</v>
      </c>
      <c r="CG482" s="50" t="s">
        <v>102</v>
      </c>
      <c r="CH482" s="50" t="s">
        <v>10890</v>
      </c>
      <c r="CJ482" s="50" t="s">
        <v>10891</v>
      </c>
      <c r="CL482" s="50" t="s">
        <v>920</v>
      </c>
      <c r="CM482" s="50" t="s">
        <v>211</v>
      </c>
      <c r="CN482" s="50" t="s">
        <v>10891</v>
      </c>
      <c r="CO482" s="50" t="s">
        <v>10892</v>
      </c>
      <c r="CP482" s="50" t="s">
        <v>10890</v>
      </c>
      <c r="CQ482" s="50" t="s">
        <v>10890</v>
      </c>
    </row>
    <row r="483" spans="1:96">
      <c r="A483" s="50" t="s">
        <v>149</v>
      </c>
      <c r="B483" s="50">
        <v>2066385</v>
      </c>
      <c r="C483" s="50" t="s">
        <v>11995</v>
      </c>
      <c r="D483" s="50" t="s">
        <v>2601</v>
      </c>
      <c r="E483" s="50" t="e">
        <f>VLOOKUP(B483,aa!B:F,5,0)</f>
        <v>#N/A</v>
      </c>
      <c r="F483" s="50" t="e">
        <f>VLOOKUP(B483,aa!B:J,9,0)</f>
        <v>#N/A</v>
      </c>
      <c r="G483" s="50" t="e">
        <f>VLOOKUP(B483,aa!B:L,11,0)</f>
        <v>#N/A</v>
      </c>
      <c r="H483" s="50" t="e">
        <f>VLOOKUP(B483,aa!B:O,14,0)</f>
        <v>#N/A</v>
      </c>
      <c r="I483" s="50" t="e">
        <f>VLOOKUP(B483,aa!B:R,17,0)</f>
        <v>#N/A</v>
      </c>
      <c r="K483" s="50" t="s">
        <v>152</v>
      </c>
      <c r="L483" s="50">
        <v>1221775</v>
      </c>
      <c r="M483" s="50">
        <v>1221775</v>
      </c>
      <c r="N483" s="50">
        <v>0</v>
      </c>
      <c r="O483" s="50">
        <v>0</v>
      </c>
      <c r="Q483" s="50">
        <v>1221775</v>
      </c>
      <c r="R483" s="50">
        <v>879</v>
      </c>
      <c r="S483" s="50" t="s">
        <v>13473</v>
      </c>
      <c r="T483" s="50">
        <v>0</v>
      </c>
      <c r="U483" s="50">
        <v>0</v>
      </c>
      <c r="W483" s="50" t="s">
        <v>102</v>
      </c>
      <c r="X483" s="50" t="s">
        <v>103</v>
      </c>
      <c r="Y483" s="50" t="s">
        <v>155</v>
      </c>
      <c r="AA483" s="50" t="s">
        <v>12040</v>
      </c>
      <c r="AB483" s="50" t="s">
        <v>13474</v>
      </c>
      <c r="AC483" s="50" t="s">
        <v>12427</v>
      </c>
      <c r="AD483" s="50" t="s">
        <v>13474</v>
      </c>
      <c r="AE483" s="50" t="s">
        <v>13395</v>
      </c>
      <c r="AF483" s="50" t="s">
        <v>13474</v>
      </c>
      <c r="AG483" s="50" t="s">
        <v>12713</v>
      </c>
      <c r="AH483" s="50" t="s">
        <v>13474</v>
      </c>
      <c r="AI483" s="50" t="s">
        <v>102</v>
      </c>
      <c r="AJ483" s="50" t="s">
        <v>13340</v>
      </c>
      <c r="AK483" s="50" t="s">
        <v>13302</v>
      </c>
      <c r="AL483" s="50" t="s">
        <v>13475</v>
      </c>
      <c r="AM483" s="50" t="s">
        <v>13476</v>
      </c>
      <c r="AN483" s="50" t="s">
        <v>13477</v>
      </c>
      <c r="AO483" s="50" t="s">
        <v>13478</v>
      </c>
      <c r="AP483" s="50" t="s">
        <v>13478</v>
      </c>
      <c r="AU483" s="50" t="s">
        <v>102</v>
      </c>
      <c r="AW483" s="50" t="s">
        <v>155</v>
      </c>
      <c r="AX483" s="50" t="s">
        <v>119</v>
      </c>
      <c r="AY483" s="50" t="s">
        <v>170</v>
      </c>
      <c r="AZ483" s="50" t="s">
        <v>118</v>
      </c>
      <c r="BB483" s="50" t="s">
        <v>120</v>
      </c>
      <c r="BC483" s="50" t="s">
        <v>2611</v>
      </c>
      <c r="BD483" s="50" t="s">
        <v>285</v>
      </c>
      <c r="BE483" s="50" t="s">
        <v>212</v>
      </c>
      <c r="BF483" s="50" t="s">
        <v>286</v>
      </c>
      <c r="BG483" s="50" t="s">
        <v>124</v>
      </c>
      <c r="BH483" s="50" t="s">
        <v>11976</v>
      </c>
      <c r="BI483" s="50" t="s">
        <v>11889</v>
      </c>
      <c r="BJ483" s="50" t="s">
        <v>127</v>
      </c>
      <c r="BK483" s="50" t="s">
        <v>13479</v>
      </c>
      <c r="BL483" s="50" t="s">
        <v>2613</v>
      </c>
      <c r="BM483" s="50" t="s">
        <v>13480</v>
      </c>
      <c r="BN483" s="50" t="s">
        <v>2483</v>
      </c>
      <c r="BO483" s="50" t="s">
        <v>956</v>
      </c>
      <c r="BP483" s="50" t="s">
        <v>505</v>
      </c>
      <c r="BQ483" s="50" t="s">
        <v>958</v>
      </c>
      <c r="BR483" s="50" t="s">
        <v>959</v>
      </c>
      <c r="BS483" s="50" t="s">
        <v>293</v>
      </c>
      <c r="BU483" s="50" t="s">
        <v>13481</v>
      </c>
      <c r="BV483" s="50" t="s">
        <v>2619</v>
      </c>
      <c r="BW483" s="50" t="s">
        <v>354</v>
      </c>
      <c r="BX483" s="50" t="s">
        <v>2620</v>
      </c>
      <c r="BY483" s="50" t="s">
        <v>2621</v>
      </c>
      <c r="BZ483" s="50" t="s">
        <v>2622</v>
      </c>
      <c r="CA483" s="50" t="s">
        <v>13482</v>
      </c>
      <c r="CB483" s="50" t="s">
        <v>2620</v>
      </c>
      <c r="CC483" s="50" t="s">
        <v>2621</v>
      </c>
      <c r="CD483" s="50" t="s">
        <v>13482</v>
      </c>
      <c r="CE483" s="50" t="s">
        <v>2620</v>
      </c>
      <c r="CF483" s="50" t="s">
        <v>2621</v>
      </c>
      <c r="CG483" s="50" t="s">
        <v>2623</v>
      </c>
      <c r="CH483" s="50" t="s">
        <v>2601</v>
      </c>
      <c r="CJ483" s="50" t="s">
        <v>2625</v>
      </c>
      <c r="CK483" s="50" t="s">
        <v>2624</v>
      </c>
      <c r="CL483" s="50" t="s">
        <v>2611</v>
      </c>
      <c r="CM483" s="50" t="s">
        <v>285</v>
      </c>
      <c r="CN483" s="50" t="s">
        <v>2625</v>
      </c>
      <c r="CP483" s="50" t="s">
        <v>2624</v>
      </c>
      <c r="CQ483" s="50" t="s">
        <v>2624</v>
      </c>
      <c r="CR483" s="50" t="s">
        <v>26045</v>
      </c>
    </row>
    <row r="484" spans="1:96">
      <c r="A484" s="50" t="s">
        <v>149</v>
      </c>
      <c r="B484" s="50">
        <v>3459074</v>
      </c>
      <c r="C484" s="50" t="s">
        <v>11882</v>
      </c>
      <c r="D484" s="50" t="s">
        <v>6148</v>
      </c>
      <c r="E484" s="50" t="e">
        <f>VLOOKUP(B484,aa!B:F,5,0)</f>
        <v>#N/A</v>
      </c>
      <c r="F484" s="50" t="e">
        <f>VLOOKUP(B484,aa!B:J,9,0)</f>
        <v>#N/A</v>
      </c>
      <c r="G484" s="50" t="e">
        <f>VLOOKUP(B484,aa!B:L,11,0)</f>
        <v>#N/A</v>
      </c>
      <c r="H484" s="50" t="e">
        <f>VLOOKUP(B484,aa!B:O,14,0)</f>
        <v>#N/A</v>
      </c>
      <c r="I484" s="50" t="e">
        <f>VLOOKUP(B484,aa!B:R,17,0)</f>
        <v>#N/A</v>
      </c>
      <c r="K484" s="50" t="s">
        <v>97</v>
      </c>
      <c r="L484" s="50">
        <v>422021</v>
      </c>
      <c r="M484" s="50">
        <v>422021</v>
      </c>
      <c r="N484" s="50">
        <v>422021</v>
      </c>
      <c r="O484" s="50">
        <v>422</v>
      </c>
      <c r="P484" s="50" t="s">
        <v>5042</v>
      </c>
      <c r="Q484" s="50">
        <v>0</v>
      </c>
      <c r="R484" s="50">
        <v>0</v>
      </c>
      <c r="T484" s="50">
        <v>0</v>
      </c>
      <c r="U484" s="50">
        <v>0</v>
      </c>
      <c r="W484" s="50" t="s">
        <v>102</v>
      </c>
      <c r="X484" s="50" t="s">
        <v>103</v>
      </c>
      <c r="Y484" s="50" t="s">
        <v>398</v>
      </c>
      <c r="AA484" s="50" t="s">
        <v>1408</v>
      </c>
      <c r="AB484" s="50" t="s">
        <v>16064</v>
      </c>
      <c r="AC484" s="50" t="s">
        <v>12040</v>
      </c>
      <c r="AD484" s="50" t="s">
        <v>16064</v>
      </c>
      <c r="AE484" s="50" t="s">
        <v>3679</v>
      </c>
      <c r="AF484" s="50" t="s">
        <v>16065</v>
      </c>
      <c r="AG484" s="50" t="s">
        <v>109</v>
      </c>
      <c r="AH484" s="50" t="s">
        <v>102</v>
      </c>
      <c r="AI484" s="50" t="s">
        <v>102</v>
      </c>
      <c r="AJ484" s="50" t="s">
        <v>11952</v>
      </c>
      <c r="AK484" s="50" t="s">
        <v>11952</v>
      </c>
      <c r="AL484" s="50" t="s">
        <v>16066</v>
      </c>
      <c r="AM484" s="50" t="s">
        <v>16067</v>
      </c>
      <c r="AN484" s="50" t="s">
        <v>16068</v>
      </c>
      <c r="AO484" s="50" t="s">
        <v>3677</v>
      </c>
      <c r="AP484" s="50" t="s">
        <v>3677</v>
      </c>
      <c r="AU484" s="50" t="s">
        <v>318</v>
      </c>
      <c r="AV484" s="50" t="s">
        <v>118</v>
      </c>
      <c r="AW484" s="50" t="s">
        <v>102</v>
      </c>
      <c r="AX484" s="50" t="s">
        <v>119</v>
      </c>
      <c r="BB484" s="50" t="s">
        <v>120</v>
      </c>
      <c r="BC484" s="50" t="s">
        <v>1407</v>
      </c>
      <c r="BD484" s="50" t="s">
        <v>449</v>
      </c>
      <c r="BE484" s="50" t="s">
        <v>122</v>
      </c>
      <c r="BF484" s="50" t="s">
        <v>450</v>
      </c>
      <c r="BG484" s="50" t="s">
        <v>124</v>
      </c>
      <c r="BH484" s="50" t="s">
        <v>12023</v>
      </c>
      <c r="BI484" s="50" t="s">
        <v>11889</v>
      </c>
      <c r="BJ484" s="50" t="s">
        <v>127</v>
      </c>
      <c r="BK484" s="50" t="s">
        <v>16069</v>
      </c>
      <c r="BL484" s="50" t="s">
        <v>6156</v>
      </c>
      <c r="BM484" s="50" t="s">
        <v>16070</v>
      </c>
      <c r="BN484" s="50" t="s">
        <v>2483</v>
      </c>
      <c r="BO484" s="50" t="s">
        <v>3267</v>
      </c>
      <c r="BP484" s="50" t="s">
        <v>350</v>
      </c>
      <c r="BQ484" s="50" t="s">
        <v>3268</v>
      </c>
      <c r="BR484" s="50" t="s">
        <v>3269</v>
      </c>
      <c r="BS484" s="50" t="s">
        <v>135</v>
      </c>
      <c r="BU484" s="50" t="s">
        <v>16071</v>
      </c>
      <c r="BV484" s="50" t="s">
        <v>16072</v>
      </c>
      <c r="BW484" s="50" t="s">
        <v>354</v>
      </c>
      <c r="BX484" s="50" t="s">
        <v>6160</v>
      </c>
      <c r="BY484" s="50" t="s">
        <v>6161</v>
      </c>
      <c r="BZ484" s="50" t="s">
        <v>6162</v>
      </c>
      <c r="CA484" s="50" t="s">
        <v>16072</v>
      </c>
      <c r="CB484" s="50" t="s">
        <v>6160</v>
      </c>
      <c r="CC484" s="50" t="s">
        <v>6161</v>
      </c>
      <c r="CD484" s="50" t="s">
        <v>16072</v>
      </c>
      <c r="CE484" s="50" t="s">
        <v>6160</v>
      </c>
      <c r="CF484" s="50" t="s">
        <v>6161</v>
      </c>
      <c r="CG484" s="50" t="s">
        <v>5768</v>
      </c>
      <c r="CH484" s="50" t="s">
        <v>16073</v>
      </c>
      <c r="CJ484" s="50" t="s">
        <v>1419</v>
      </c>
      <c r="CL484" s="50" t="s">
        <v>1407</v>
      </c>
      <c r="CM484" s="50" t="s">
        <v>449</v>
      </c>
      <c r="CN484" s="50" t="s">
        <v>1419</v>
      </c>
      <c r="CO484" s="50" t="s">
        <v>6170</v>
      </c>
      <c r="CP484" s="50" t="s">
        <v>6169</v>
      </c>
      <c r="CQ484" s="50" t="s">
        <v>6169</v>
      </c>
    </row>
    <row r="485" spans="1:96">
      <c r="A485" s="50" t="s">
        <v>149</v>
      </c>
      <c r="B485" s="50">
        <v>2821214</v>
      </c>
      <c r="C485" s="50" t="s">
        <v>12423</v>
      </c>
      <c r="D485" s="50" t="s">
        <v>4429</v>
      </c>
      <c r="E485" s="50" t="e">
        <f>VLOOKUP(B485,aa!B:F,5,0)</f>
        <v>#N/A</v>
      </c>
      <c r="F485" s="50" t="e">
        <f>VLOOKUP(B485,aa!B:J,9,0)</f>
        <v>#N/A</v>
      </c>
      <c r="G485" s="50" t="e">
        <f>VLOOKUP(B485,aa!B:L,11,0)</f>
        <v>#N/A</v>
      </c>
      <c r="H485" s="50" t="e">
        <f>VLOOKUP(B485,aa!B:O,14,0)</f>
        <v>#N/A</v>
      </c>
      <c r="I485" s="50" t="e">
        <f>VLOOKUP(B485,aa!B:R,17,0)</f>
        <v>#N/A</v>
      </c>
      <c r="K485" s="50" t="s">
        <v>848</v>
      </c>
      <c r="L485" s="50">
        <v>475339</v>
      </c>
      <c r="M485" s="50">
        <v>560900</v>
      </c>
      <c r="N485" s="50">
        <v>0</v>
      </c>
      <c r="O485" s="50">
        <v>0</v>
      </c>
      <c r="Q485" s="50">
        <v>0</v>
      </c>
      <c r="R485" s="50">
        <v>0</v>
      </c>
      <c r="T485" s="50">
        <v>475339</v>
      </c>
      <c r="U485" s="50">
        <v>271</v>
      </c>
      <c r="V485" s="50" t="s">
        <v>14720</v>
      </c>
      <c r="W485" s="50" t="s">
        <v>102</v>
      </c>
      <c r="X485" s="50" t="s">
        <v>103</v>
      </c>
      <c r="Y485" s="50" t="s">
        <v>104</v>
      </c>
      <c r="AA485" s="50" t="s">
        <v>12040</v>
      </c>
      <c r="AB485" s="50" t="s">
        <v>14721</v>
      </c>
      <c r="AC485" s="50" t="s">
        <v>12713</v>
      </c>
      <c r="AD485" s="50" t="s">
        <v>14721</v>
      </c>
      <c r="AE485" s="50" t="s">
        <v>109</v>
      </c>
      <c r="AF485" s="50" t="s">
        <v>102</v>
      </c>
      <c r="AG485" s="50" t="s">
        <v>109</v>
      </c>
      <c r="AH485" s="50" t="s">
        <v>102</v>
      </c>
      <c r="AI485" s="50" t="s">
        <v>14722</v>
      </c>
      <c r="AJ485" s="50" t="s">
        <v>12020</v>
      </c>
      <c r="AK485" s="50" t="s">
        <v>12020</v>
      </c>
      <c r="AL485" s="50" t="s">
        <v>14723</v>
      </c>
      <c r="AM485" s="50" t="s">
        <v>14724</v>
      </c>
      <c r="AN485" s="50" t="s">
        <v>14721</v>
      </c>
      <c r="AO485" s="50" t="s">
        <v>14725</v>
      </c>
      <c r="AP485" s="50" t="s">
        <v>14725</v>
      </c>
      <c r="AU485" s="50" t="s">
        <v>102</v>
      </c>
      <c r="AW485" s="50" t="s">
        <v>102</v>
      </c>
      <c r="AX485" s="50" t="s">
        <v>119</v>
      </c>
      <c r="BA485" s="50" t="s">
        <v>250</v>
      </c>
      <c r="BB485" s="50" t="s">
        <v>120</v>
      </c>
      <c r="BC485" s="50" t="s">
        <v>3537</v>
      </c>
      <c r="BD485" s="50" t="s">
        <v>410</v>
      </c>
      <c r="BE485" s="50" t="s">
        <v>212</v>
      </c>
      <c r="BF485" s="50" t="s">
        <v>410</v>
      </c>
      <c r="BG485" s="50" t="s">
        <v>124</v>
      </c>
      <c r="BH485" s="50" t="s">
        <v>1547</v>
      </c>
      <c r="BI485" s="50" t="s">
        <v>11960</v>
      </c>
      <c r="BJ485" s="50" t="s">
        <v>127</v>
      </c>
      <c r="BK485" s="50" t="s">
        <v>14726</v>
      </c>
      <c r="BL485" s="50" t="s">
        <v>4435</v>
      </c>
      <c r="BM485" s="50" t="s">
        <v>14727</v>
      </c>
      <c r="BN485" s="50" t="s">
        <v>1547</v>
      </c>
      <c r="BO485" s="50" t="s">
        <v>866</v>
      </c>
      <c r="BP485" s="50" t="s">
        <v>350</v>
      </c>
      <c r="BQ485" s="50" t="s">
        <v>867</v>
      </c>
      <c r="BR485" s="50" t="s">
        <v>868</v>
      </c>
      <c r="BS485" s="50" t="s">
        <v>418</v>
      </c>
      <c r="BU485" s="50" t="s">
        <v>14728</v>
      </c>
      <c r="BV485" s="50" t="s">
        <v>4438</v>
      </c>
      <c r="BX485" s="50" t="s">
        <v>4439</v>
      </c>
      <c r="BY485" s="50" t="s">
        <v>4440</v>
      </c>
      <c r="BZ485" s="50" t="s">
        <v>4441</v>
      </c>
      <c r="CA485" s="50" t="s">
        <v>4438</v>
      </c>
      <c r="CB485" s="50" t="s">
        <v>4439</v>
      </c>
      <c r="CC485" s="50" t="s">
        <v>4440</v>
      </c>
      <c r="CD485" s="50" t="s">
        <v>14729</v>
      </c>
      <c r="CE485" s="50" t="s">
        <v>4439</v>
      </c>
      <c r="CF485" s="50" t="s">
        <v>4440</v>
      </c>
      <c r="CG485" s="50" t="s">
        <v>102</v>
      </c>
      <c r="CH485" s="50" t="s">
        <v>4442</v>
      </c>
      <c r="CJ485" s="50" t="s">
        <v>4443</v>
      </c>
      <c r="CL485" s="50" t="s">
        <v>3537</v>
      </c>
      <c r="CM485" s="50" t="s">
        <v>410</v>
      </c>
      <c r="CN485" s="50" t="s">
        <v>4443</v>
      </c>
      <c r="CO485" s="50" t="s">
        <v>4066</v>
      </c>
      <c r="CP485" s="50" t="s">
        <v>4442</v>
      </c>
      <c r="CQ485" s="50" t="s">
        <v>4442</v>
      </c>
      <c r="CR485" s="50" t="s">
        <v>26042</v>
      </c>
    </row>
    <row r="486" spans="1:96">
      <c r="A486" s="50" t="s">
        <v>495</v>
      </c>
      <c r="B486" s="50">
        <v>5018377</v>
      </c>
      <c r="C486" s="50" t="s">
        <v>11995</v>
      </c>
      <c r="D486" s="50" t="s">
        <v>10725</v>
      </c>
      <c r="E486" s="50" t="e">
        <f>VLOOKUP(B486,aa!B:F,5,0)</f>
        <v>#N/A</v>
      </c>
      <c r="F486" s="50" t="e">
        <f>VLOOKUP(B486,aa!B:J,9,0)</f>
        <v>#N/A</v>
      </c>
      <c r="G486" s="50" t="e">
        <f>VLOOKUP(B486,aa!B:L,11,0)</f>
        <v>#N/A</v>
      </c>
      <c r="H486" s="50" t="e">
        <f>VLOOKUP(B486,aa!B:O,14,0)</f>
        <v>#N/A</v>
      </c>
      <c r="I486" s="50" t="e">
        <f>VLOOKUP(B486,aa!B:R,17,0)</f>
        <v>#N/A</v>
      </c>
      <c r="K486" s="50" t="s">
        <v>97</v>
      </c>
      <c r="L486" s="50">
        <v>200250</v>
      </c>
      <c r="M486" s="50">
        <v>200250</v>
      </c>
      <c r="N486" s="50">
        <v>200250</v>
      </c>
      <c r="O486" s="50">
        <v>267</v>
      </c>
      <c r="P486" s="50" t="s">
        <v>101</v>
      </c>
      <c r="Q486" s="50">
        <v>0</v>
      </c>
      <c r="R486" s="50">
        <v>0</v>
      </c>
      <c r="T486" s="50">
        <v>0</v>
      </c>
      <c r="U486" s="50">
        <v>0</v>
      </c>
      <c r="W486" s="50" t="s">
        <v>102</v>
      </c>
      <c r="X486" s="50" t="s">
        <v>103</v>
      </c>
      <c r="Y486" s="50" t="s">
        <v>104</v>
      </c>
      <c r="AA486" s="50" t="s">
        <v>8708</v>
      </c>
      <c r="AB486" s="50" t="s">
        <v>19681</v>
      </c>
      <c r="AC486" s="50" t="s">
        <v>12040</v>
      </c>
      <c r="AD486" s="50" t="s">
        <v>19681</v>
      </c>
      <c r="AE486" s="50" t="s">
        <v>109</v>
      </c>
      <c r="AF486" s="50" t="s">
        <v>102</v>
      </c>
      <c r="AG486" s="50" t="s">
        <v>109</v>
      </c>
      <c r="AH486" s="50" t="s">
        <v>102</v>
      </c>
      <c r="AI486" s="50" t="s">
        <v>19682</v>
      </c>
      <c r="AJ486" s="50" t="s">
        <v>2050</v>
      </c>
      <c r="AK486" s="50" t="s">
        <v>12873</v>
      </c>
      <c r="AL486" s="50" t="s">
        <v>19683</v>
      </c>
      <c r="AM486" s="50" t="s">
        <v>19684</v>
      </c>
      <c r="AN486" s="50" t="s">
        <v>102</v>
      </c>
      <c r="AO486" s="50" t="s">
        <v>116</v>
      </c>
      <c r="AP486" s="50" t="s">
        <v>116</v>
      </c>
      <c r="AU486" s="50" t="s">
        <v>318</v>
      </c>
      <c r="AV486" s="50" t="s">
        <v>118</v>
      </c>
      <c r="AW486" s="50" t="s">
        <v>102</v>
      </c>
      <c r="AX486" s="50" t="s">
        <v>119</v>
      </c>
      <c r="BB486" s="50" t="s">
        <v>120</v>
      </c>
      <c r="BC486" s="50" t="s">
        <v>284</v>
      </c>
      <c r="BD486" s="50" t="s">
        <v>285</v>
      </c>
      <c r="BE486" s="50" t="s">
        <v>212</v>
      </c>
      <c r="BF486" s="50" t="s">
        <v>286</v>
      </c>
      <c r="BG486" s="50" t="s">
        <v>124</v>
      </c>
      <c r="BH486" s="50" t="s">
        <v>11959</v>
      </c>
      <c r="BI486" s="50" t="s">
        <v>11889</v>
      </c>
      <c r="BJ486" s="50" t="s">
        <v>127</v>
      </c>
      <c r="BK486" s="50" t="s">
        <v>19685</v>
      </c>
      <c r="BL486" s="50" t="s">
        <v>10734</v>
      </c>
      <c r="BM486" s="50" t="s">
        <v>19686</v>
      </c>
      <c r="BN486" s="50" t="s">
        <v>8488</v>
      </c>
      <c r="BO486" s="50" t="s">
        <v>956</v>
      </c>
      <c r="BP486" s="50" t="s">
        <v>132</v>
      </c>
      <c r="BQ486" s="50" t="s">
        <v>958</v>
      </c>
      <c r="BR486" s="50" t="s">
        <v>959</v>
      </c>
      <c r="BS486" s="50" t="s">
        <v>737</v>
      </c>
      <c r="BU486" s="50" t="s">
        <v>19687</v>
      </c>
      <c r="BV486" s="50" t="s">
        <v>10737</v>
      </c>
      <c r="BW486" s="50" t="s">
        <v>138</v>
      </c>
      <c r="BX486" s="50" t="s">
        <v>10738</v>
      </c>
      <c r="BY486" s="50" t="s">
        <v>10739</v>
      </c>
      <c r="BZ486" s="50" t="s">
        <v>10738</v>
      </c>
      <c r="CA486" s="50" t="s">
        <v>10737</v>
      </c>
      <c r="CB486" s="50" t="s">
        <v>10738</v>
      </c>
      <c r="CC486" s="50" t="s">
        <v>10739</v>
      </c>
      <c r="CD486" s="50" t="s">
        <v>10737</v>
      </c>
      <c r="CE486" s="50" t="s">
        <v>10738</v>
      </c>
      <c r="CF486" s="50" t="s">
        <v>10739</v>
      </c>
      <c r="CG486" s="50" t="s">
        <v>10744</v>
      </c>
      <c r="CH486" s="50" t="s">
        <v>10745</v>
      </c>
      <c r="CJ486" s="50" t="s">
        <v>102</v>
      </c>
      <c r="CK486" s="50" t="s">
        <v>19688</v>
      </c>
      <c r="CL486" s="50" t="s">
        <v>284</v>
      </c>
      <c r="CM486" s="50" t="s">
        <v>285</v>
      </c>
      <c r="CN486" s="50" t="s">
        <v>2003</v>
      </c>
      <c r="CO486" s="50" t="s">
        <v>10747</v>
      </c>
      <c r="CP486" s="50" t="s">
        <v>10748</v>
      </c>
      <c r="CQ486" s="50" t="s">
        <v>10749</v>
      </c>
      <c r="CR486" s="50" t="s">
        <v>26042</v>
      </c>
    </row>
    <row r="487" spans="1:96">
      <c r="A487" s="50" t="s">
        <v>337</v>
      </c>
      <c r="B487" s="50">
        <v>5054276</v>
      </c>
      <c r="C487" s="50" t="s">
        <v>11995</v>
      </c>
      <c r="D487" s="50" t="s">
        <v>20579</v>
      </c>
      <c r="E487" s="50" t="e">
        <f>VLOOKUP(B487,aa!B:F,5,0)</f>
        <v>#N/A</v>
      </c>
      <c r="F487" s="50" t="e">
        <f>VLOOKUP(B487,aa!B:J,9,0)</f>
        <v>#N/A</v>
      </c>
      <c r="G487" s="50" t="e">
        <f>VLOOKUP(B487,aa!B:L,11,0)</f>
        <v>#N/A</v>
      </c>
      <c r="H487" s="50" t="e">
        <f>VLOOKUP(B487,aa!B:O,14,0)</f>
        <v>#N/A</v>
      </c>
      <c r="I487" s="50" t="e">
        <f>VLOOKUP(B487,aa!B:R,17,0)</f>
        <v>#N/A</v>
      </c>
      <c r="K487" s="50" t="s">
        <v>152</v>
      </c>
      <c r="L487" s="50">
        <v>54764</v>
      </c>
      <c r="M487" s="50">
        <v>54764</v>
      </c>
      <c r="N487" s="50">
        <v>0</v>
      </c>
      <c r="O487" s="50">
        <v>0</v>
      </c>
      <c r="Q487" s="50">
        <v>54764</v>
      </c>
      <c r="R487" s="50">
        <v>19</v>
      </c>
      <c r="S487" s="50" t="s">
        <v>1263</v>
      </c>
      <c r="T487" s="50">
        <v>0</v>
      </c>
      <c r="U487" s="50">
        <v>0</v>
      </c>
      <c r="W487" s="50" t="s">
        <v>102</v>
      </c>
      <c r="X487" s="50" t="s">
        <v>275</v>
      </c>
      <c r="Z487" s="50" t="s">
        <v>126</v>
      </c>
      <c r="AA487" s="50" t="s">
        <v>109</v>
      </c>
      <c r="AB487" s="50" t="s">
        <v>102</v>
      </c>
      <c r="AC487" s="50" t="s">
        <v>109</v>
      </c>
      <c r="AD487" s="50" t="s">
        <v>102</v>
      </c>
      <c r="AE487" s="50" t="s">
        <v>109</v>
      </c>
      <c r="AF487" s="50" t="s">
        <v>102</v>
      </c>
      <c r="AG487" s="50" t="s">
        <v>109</v>
      </c>
      <c r="AH487" s="50" t="s">
        <v>102</v>
      </c>
      <c r="AI487" s="50" t="s">
        <v>102</v>
      </c>
      <c r="AJ487" s="50" t="s">
        <v>20580</v>
      </c>
      <c r="AK487" s="50" t="s">
        <v>20580</v>
      </c>
      <c r="AL487" s="50" t="s">
        <v>20581</v>
      </c>
      <c r="AM487" s="50" t="s">
        <v>907</v>
      </c>
      <c r="AN487" s="50" t="s">
        <v>20582</v>
      </c>
      <c r="AO487" s="50" t="s">
        <v>20583</v>
      </c>
      <c r="AP487" s="50" t="s">
        <v>20584</v>
      </c>
      <c r="AQ487" s="50" t="s">
        <v>343</v>
      </c>
      <c r="AU487" s="50" t="s">
        <v>102</v>
      </c>
      <c r="AW487" s="50" t="s">
        <v>1384</v>
      </c>
      <c r="AX487" s="50" t="s">
        <v>447</v>
      </c>
      <c r="AY487" s="50" t="s">
        <v>1138</v>
      </c>
      <c r="AZ487" s="50" t="s">
        <v>118</v>
      </c>
      <c r="BB487" s="50" t="s">
        <v>120</v>
      </c>
      <c r="BC487" s="50" t="s">
        <v>20585</v>
      </c>
      <c r="BD487" s="50" t="s">
        <v>285</v>
      </c>
      <c r="BE487" s="50" t="s">
        <v>212</v>
      </c>
      <c r="BF487" s="50" t="s">
        <v>286</v>
      </c>
      <c r="BG487" s="50" t="s">
        <v>124</v>
      </c>
      <c r="BH487" s="50" t="s">
        <v>11959</v>
      </c>
      <c r="BI487" s="50" t="s">
        <v>11960</v>
      </c>
      <c r="BJ487" s="50" t="s">
        <v>127</v>
      </c>
      <c r="BK487" s="50" t="s">
        <v>20586</v>
      </c>
      <c r="BL487" s="50" t="s">
        <v>20587</v>
      </c>
      <c r="BM487" s="50" t="s">
        <v>20588</v>
      </c>
      <c r="BN487" s="50" t="s">
        <v>8488</v>
      </c>
      <c r="BO487" s="50" t="s">
        <v>3997</v>
      </c>
      <c r="BP487" s="50" t="s">
        <v>505</v>
      </c>
      <c r="BQ487" s="50" t="s">
        <v>3998</v>
      </c>
      <c r="BR487" s="50" t="s">
        <v>3999</v>
      </c>
      <c r="BS487" s="50" t="s">
        <v>3362</v>
      </c>
      <c r="BU487" s="50" t="s">
        <v>20589</v>
      </c>
      <c r="BV487" s="50" t="s">
        <v>20590</v>
      </c>
      <c r="BW487" s="50" t="s">
        <v>354</v>
      </c>
      <c r="BX487" s="50" t="s">
        <v>20591</v>
      </c>
      <c r="BY487" s="50" t="s">
        <v>20592</v>
      </c>
      <c r="BZ487" s="50" t="s">
        <v>20591</v>
      </c>
      <c r="CA487" s="50" t="s">
        <v>20593</v>
      </c>
      <c r="CB487" s="50" t="s">
        <v>20591</v>
      </c>
      <c r="CC487" s="50" t="s">
        <v>20592</v>
      </c>
      <c r="CD487" s="50" t="s">
        <v>20593</v>
      </c>
      <c r="CE487" s="50" t="s">
        <v>20591</v>
      </c>
      <c r="CF487" s="50" t="s">
        <v>20592</v>
      </c>
      <c r="CG487" s="50" t="s">
        <v>573</v>
      </c>
      <c r="CH487" s="50" t="s">
        <v>20594</v>
      </c>
      <c r="CJ487" s="50" t="s">
        <v>20595</v>
      </c>
      <c r="CK487" s="50" t="s">
        <v>20594</v>
      </c>
      <c r="CL487" s="50" t="s">
        <v>20585</v>
      </c>
      <c r="CM487" s="50" t="s">
        <v>285</v>
      </c>
      <c r="CN487" s="50" t="s">
        <v>20595</v>
      </c>
      <c r="CP487" s="50" t="s">
        <v>20594</v>
      </c>
      <c r="CQ487" s="50" t="s">
        <v>20594</v>
      </c>
      <c r="CR487" s="50" t="s">
        <v>26042</v>
      </c>
    </row>
    <row r="488" spans="1:96">
      <c r="A488" s="50" t="s">
        <v>337</v>
      </c>
      <c r="B488" s="50">
        <v>5057744</v>
      </c>
      <c r="C488" s="50" t="s">
        <v>11995</v>
      </c>
      <c r="D488" s="50" t="s">
        <v>20658</v>
      </c>
      <c r="E488" s="50" t="e">
        <f>VLOOKUP(B488,aa!B:F,5,0)</f>
        <v>#N/A</v>
      </c>
      <c r="F488" s="50" t="e">
        <f>VLOOKUP(B488,aa!B:J,9,0)</f>
        <v>#N/A</v>
      </c>
      <c r="G488" s="50" t="e">
        <f>VLOOKUP(B488,aa!B:L,11,0)</f>
        <v>#N/A</v>
      </c>
      <c r="H488" s="50" t="e">
        <f>VLOOKUP(B488,aa!B:O,14,0)</f>
        <v>#N/A</v>
      </c>
      <c r="I488" s="50" t="e">
        <f>VLOOKUP(B488,aa!B:R,17,0)</f>
        <v>#N/A</v>
      </c>
      <c r="K488" s="50" t="s">
        <v>152</v>
      </c>
      <c r="L488" s="50">
        <v>49000</v>
      </c>
      <c r="M488" s="50">
        <v>49000</v>
      </c>
      <c r="N488" s="50">
        <v>0</v>
      </c>
      <c r="O488" s="50">
        <v>0</v>
      </c>
      <c r="Q488" s="50">
        <v>49000</v>
      </c>
      <c r="R488" s="50">
        <v>17</v>
      </c>
      <c r="S488" s="50" t="s">
        <v>1263</v>
      </c>
      <c r="T488" s="50">
        <v>0</v>
      </c>
      <c r="U488" s="50">
        <v>0</v>
      </c>
      <c r="W488" s="50" t="s">
        <v>102</v>
      </c>
      <c r="X488" s="50" t="s">
        <v>275</v>
      </c>
      <c r="Z488" s="50" t="s">
        <v>126</v>
      </c>
      <c r="AA488" s="50" t="s">
        <v>109</v>
      </c>
      <c r="AB488" s="50" t="s">
        <v>102</v>
      </c>
      <c r="AC488" s="50" t="s">
        <v>109</v>
      </c>
      <c r="AD488" s="50" t="s">
        <v>102</v>
      </c>
      <c r="AE488" s="50" t="s">
        <v>109</v>
      </c>
      <c r="AF488" s="50" t="s">
        <v>102</v>
      </c>
      <c r="AG488" s="50" t="s">
        <v>109</v>
      </c>
      <c r="AH488" s="50" t="s">
        <v>102</v>
      </c>
      <c r="AI488" s="50" t="s">
        <v>102</v>
      </c>
      <c r="AL488" s="50" t="s">
        <v>10017</v>
      </c>
      <c r="AM488" s="50" t="s">
        <v>102</v>
      </c>
      <c r="AN488" s="50" t="s">
        <v>10017</v>
      </c>
      <c r="AO488" s="50" t="s">
        <v>20583</v>
      </c>
      <c r="AP488" s="50" t="s">
        <v>20584</v>
      </c>
      <c r="AQ488" s="50" t="s">
        <v>343</v>
      </c>
      <c r="AU488" s="50" t="s">
        <v>102</v>
      </c>
      <c r="AW488" s="50" t="s">
        <v>1384</v>
      </c>
      <c r="AX488" s="50" t="s">
        <v>447</v>
      </c>
      <c r="AY488" s="50" t="s">
        <v>1138</v>
      </c>
      <c r="AZ488" s="50" t="s">
        <v>118</v>
      </c>
      <c r="BB488" s="50" t="s">
        <v>120</v>
      </c>
      <c r="BC488" s="50" t="s">
        <v>20659</v>
      </c>
      <c r="BD488" s="50" t="s">
        <v>285</v>
      </c>
      <c r="BE488" s="50" t="s">
        <v>212</v>
      </c>
      <c r="BF488" s="50" t="s">
        <v>286</v>
      </c>
      <c r="BG488" s="50" t="s">
        <v>124</v>
      </c>
      <c r="BH488" s="50" t="s">
        <v>11959</v>
      </c>
      <c r="BI488" s="50" t="s">
        <v>11960</v>
      </c>
      <c r="BJ488" s="50" t="s">
        <v>127</v>
      </c>
      <c r="BK488" s="50" t="s">
        <v>20660</v>
      </c>
      <c r="BL488" s="50" t="s">
        <v>20661</v>
      </c>
      <c r="BM488" s="50" t="s">
        <v>20662</v>
      </c>
      <c r="BN488" s="50" t="s">
        <v>8488</v>
      </c>
      <c r="BO488" s="50" t="s">
        <v>3997</v>
      </c>
      <c r="BP488" s="50" t="s">
        <v>505</v>
      </c>
      <c r="BQ488" s="50" t="s">
        <v>3998</v>
      </c>
      <c r="BR488" s="50" t="s">
        <v>3999</v>
      </c>
      <c r="BS488" s="50" t="s">
        <v>3362</v>
      </c>
      <c r="BU488" s="50" t="s">
        <v>20663</v>
      </c>
      <c r="BV488" s="50" t="s">
        <v>20590</v>
      </c>
      <c r="BW488" s="50" t="s">
        <v>354</v>
      </c>
      <c r="BX488" s="50" t="s">
        <v>20591</v>
      </c>
      <c r="BY488" s="50" t="s">
        <v>20592</v>
      </c>
      <c r="BZ488" s="50" t="s">
        <v>20591</v>
      </c>
      <c r="CA488" s="50" t="s">
        <v>20593</v>
      </c>
      <c r="CB488" s="50" t="s">
        <v>20591</v>
      </c>
      <c r="CC488" s="50" t="s">
        <v>20592</v>
      </c>
      <c r="CD488" s="50" t="s">
        <v>20593</v>
      </c>
      <c r="CE488" s="50" t="s">
        <v>20591</v>
      </c>
      <c r="CF488" s="50" t="s">
        <v>20592</v>
      </c>
      <c r="CG488" s="50" t="s">
        <v>10583</v>
      </c>
      <c r="CH488" s="50" t="s">
        <v>20594</v>
      </c>
      <c r="CJ488" s="50" t="s">
        <v>20595</v>
      </c>
      <c r="CK488" s="50" t="s">
        <v>20594</v>
      </c>
      <c r="CL488" s="50" t="s">
        <v>20659</v>
      </c>
      <c r="CM488" s="50" t="s">
        <v>285</v>
      </c>
      <c r="CN488" s="50" t="s">
        <v>20595</v>
      </c>
      <c r="CP488" s="50" t="s">
        <v>20594</v>
      </c>
      <c r="CQ488" s="50" t="s">
        <v>20594</v>
      </c>
      <c r="CR488" s="50" t="s">
        <v>26042</v>
      </c>
    </row>
    <row r="489" spans="1:96">
      <c r="A489" s="50" t="s">
        <v>337</v>
      </c>
      <c r="B489" s="50">
        <v>5057852</v>
      </c>
      <c r="C489" s="50" t="s">
        <v>11995</v>
      </c>
      <c r="D489" s="50" t="s">
        <v>20658</v>
      </c>
      <c r="E489" s="50" t="e">
        <f>VLOOKUP(B489,aa!B:F,5,0)</f>
        <v>#N/A</v>
      </c>
      <c r="F489" s="50" t="e">
        <f>VLOOKUP(B489,aa!B:J,9,0)</f>
        <v>#N/A</v>
      </c>
      <c r="G489" s="50" t="e">
        <f>VLOOKUP(B489,aa!B:L,11,0)</f>
        <v>#N/A</v>
      </c>
      <c r="H489" s="50" t="e">
        <f>VLOOKUP(B489,aa!B:O,14,0)</f>
        <v>#N/A</v>
      </c>
      <c r="I489" s="50" t="e">
        <f>VLOOKUP(B489,aa!B:R,17,0)</f>
        <v>#N/A</v>
      </c>
      <c r="K489" s="50" t="s">
        <v>152</v>
      </c>
      <c r="L489" s="50">
        <v>293999</v>
      </c>
      <c r="M489" s="50">
        <v>293999</v>
      </c>
      <c r="N489" s="50">
        <v>0</v>
      </c>
      <c r="O489" s="50">
        <v>0</v>
      </c>
      <c r="Q489" s="50">
        <v>293999</v>
      </c>
      <c r="R489" s="50">
        <v>102</v>
      </c>
      <c r="S489" s="50" t="s">
        <v>1263</v>
      </c>
      <c r="T489" s="50">
        <v>0</v>
      </c>
      <c r="U489" s="50">
        <v>0</v>
      </c>
      <c r="W489" s="50" t="s">
        <v>102</v>
      </c>
      <c r="X489" s="50" t="s">
        <v>275</v>
      </c>
      <c r="Z489" s="50" t="s">
        <v>126</v>
      </c>
      <c r="AA489" s="50" t="s">
        <v>109</v>
      </c>
      <c r="AB489" s="50" t="s">
        <v>102</v>
      </c>
      <c r="AC489" s="50" t="s">
        <v>109</v>
      </c>
      <c r="AD489" s="50" t="s">
        <v>102</v>
      </c>
      <c r="AE489" s="50" t="s">
        <v>109</v>
      </c>
      <c r="AF489" s="50" t="s">
        <v>102</v>
      </c>
      <c r="AG489" s="50" t="s">
        <v>109</v>
      </c>
      <c r="AH489" s="50" t="s">
        <v>102</v>
      </c>
      <c r="AI489" s="50" t="s">
        <v>102</v>
      </c>
      <c r="AJ489" s="50" t="s">
        <v>12923</v>
      </c>
      <c r="AK489" s="50" t="s">
        <v>12923</v>
      </c>
      <c r="AL489" s="50" t="s">
        <v>20664</v>
      </c>
      <c r="AM489" s="50" t="s">
        <v>907</v>
      </c>
      <c r="AN489" s="50" t="s">
        <v>20665</v>
      </c>
      <c r="AO489" s="50" t="s">
        <v>20583</v>
      </c>
      <c r="AP489" s="50" t="s">
        <v>20584</v>
      </c>
      <c r="AQ489" s="50" t="s">
        <v>343</v>
      </c>
      <c r="AU489" s="50" t="s">
        <v>102</v>
      </c>
      <c r="AW489" s="50" t="s">
        <v>1384</v>
      </c>
      <c r="AX489" s="50" t="s">
        <v>447</v>
      </c>
      <c r="AY489" s="50" t="s">
        <v>1138</v>
      </c>
      <c r="AZ489" s="50" t="s">
        <v>118</v>
      </c>
      <c r="BB489" s="50" t="s">
        <v>120</v>
      </c>
      <c r="BC489" s="50" t="s">
        <v>20659</v>
      </c>
      <c r="BD489" s="50" t="s">
        <v>285</v>
      </c>
      <c r="BE489" s="50" t="s">
        <v>212</v>
      </c>
      <c r="BF489" s="50" t="s">
        <v>286</v>
      </c>
      <c r="BG489" s="50" t="s">
        <v>124</v>
      </c>
      <c r="BH489" s="50" t="s">
        <v>11959</v>
      </c>
      <c r="BI489" s="50" t="s">
        <v>11960</v>
      </c>
      <c r="BJ489" s="50" t="s">
        <v>127</v>
      </c>
      <c r="BK489" s="50" t="s">
        <v>20666</v>
      </c>
      <c r="BL489" s="50" t="s">
        <v>20667</v>
      </c>
      <c r="BM489" s="50" t="s">
        <v>20668</v>
      </c>
      <c r="BN489" s="50" t="s">
        <v>8488</v>
      </c>
      <c r="BO489" s="50" t="s">
        <v>3997</v>
      </c>
      <c r="BP489" s="50" t="s">
        <v>505</v>
      </c>
      <c r="BQ489" s="50" t="s">
        <v>3998</v>
      </c>
      <c r="BR489" s="50" t="s">
        <v>3999</v>
      </c>
      <c r="BS489" s="50" t="s">
        <v>3362</v>
      </c>
      <c r="BU489" s="50" t="s">
        <v>20669</v>
      </c>
      <c r="BV489" s="50" t="s">
        <v>20590</v>
      </c>
      <c r="BW489" s="50" t="s">
        <v>354</v>
      </c>
      <c r="BX489" s="50" t="s">
        <v>20591</v>
      </c>
      <c r="BY489" s="50" t="s">
        <v>20592</v>
      </c>
      <c r="BZ489" s="50" t="s">
        <v>20591</v>
      </c>
      <c r="CA489" s="50" t="s">
        <v>20593</v>
      </c>
      <c r="CB489" s="50" t="s">
        <v>20591</v>
      </c>
      <c r="CC489" s="50" t="s">
        <v>20670</v>
      </c>
      <c r="CD489" s="50" t="s">
        <v>20593</v>
      </c>
      <c r="CE489" s="50" t="s">
        <v>20591</v>
      </c>
      <c r="CF489" s="50" t="s">
        <v>20670</v>
      </c>
      <c r="CG489" s="50" t="s">
        <v>9607</v>
      </c>
      <c r="CH489" s="50" t="s">
        <v>20594</v>
      </c>
      <c r="CJ489" s="50" t="s">
        <v>20595</v>
      </c>
      <c r="CK489" s="50" t="s">
        <v>20594</v>
      </c>
      <c r="CL489" s="50" t="s">
        <v>20659</v>
      </c>
      <c r="CM489" s="50" t="s">
        <v>285</v>
      </c>
      <c r="CN489" s="50" t="s">
        <v>20595</v>
      </c>
      <c r="CP489" s="50" t="s">
        <v>20594</v>
      </c>
      <c r="CQ489" s="50" t="s">
        <v>20594</v>
      </c>
      <c r="CR489" s="50" t="s">
        <v>26042</v>
      </c>
    </row>
    <row r="490" spans="1:96">
      <c r="A490" s="50" t="s">
        <v>149</v>
      </c>
      <c r="B490" s="50">
        <v>384445</v>
      </c>
      <c r="C490" s="50" t="s">
        <v>632</v>
      </c>
      <c r="D490" s="50" t="s">
        <v>7645</v>
      </c>
      <c r="E490" s="50" t="str">
        <f>VLOOKUP(B490,aa!B:F,5,0)</f>
        <v>Ei ASSET, Ei CARES, Ei Mindspark</v>
      </c>
      <c r="F490" s="50">
        <f>VLOOKUP(B490,aa!B:J,9,0)</f>
        <v>1564000</v>
      </c>
      <c r="G490" s="50">
        <f>VLOOKUP(B490,aa!B:L,11,0)</f>
        <v>300719</v>
      </c>
      <c r="H490" s="50">
        <f>VLOOKUP(B490,aa!B:O,14,0)</f>
        <v>869400</v>
      </c>
      <c r="I490" s="50">
        <f>VLOOKUP(B490,aa!B:R,17,0)</f>
        <v>393881</v>
      </c>
      <c r="K490" s="50" t="s">
        <v>2163</v>
      </c>
      <c r="L490" s="50">
        <v>2164558</v>
      </c>
      <c r="M490" s="50">
        <v>2315890</v>
      </c>
      <c r="N490" s="50">
        <v>313875</v>
      </c>
      <c r="O490" s="50">
        <v>465</v>
      </c>
      <c r="P490" s="50" t="s">
        <v>340</v>
      </c>
      <c r="Q490" s="50">
        <v>1009949</v>
      </c>
      <c r="R490" s="50">
        <v>404</v>
      </c>
      <c r="S490" s="50" t="s">
        <v>3499</v>
      </c>
      <c r="T490" s="50">
        <v>840734</v>
      </c>
      <c r="U490" s="50">
        <v>400</v>
      </c>
      <c r="V490" s="50" t="s">
        <v>17123</v>
      </c>
      <c r="W490" s="50" t="s">
        <v>102</v>
      </c>
      <c r="X490" s="50" t="s">
        <v>103</v>
      </c>
      <c r="Y490" s="50" t="s">
        <v>155</v>
      </c>
      <c r="AA490" s="50" t="s">
        <v>1408</v>
      </c>
      <c r="AB490" s="50" t="s">
        <v>17124</v>
      </c>
      <c r="AC490" s="50" t="s">
        <v>12289</v>
      </c>
      <c r="AD490" s="50" t="s">
        <v>17124</v>
      </c>
      <c r="AE490" s="50" t="s">
        <v>1427</v>
      </c>
      <c r="AF490" s="50" t="s">
        <v>17124</v>
      </c>
      <c r="AG490" s="50" t="s">
        <v>11886</v>
      </c>
      <c r="AH490" s="50" t="s">
        <v>17124</v>
      </c>
      <c r="AI490" s="50" t="s">
        <v>17125</v>
      </c>
      <c r="AJ490" s="50" t="s">
        <v>12019</v>
      </c>
      <c r="AK490" s="50" t="s">
        <v>17126</v>
      </c>
      <c r="AL490" s="50" t="s">
        <v>17127</v>
      </c>
      <c r="AM490" s="50" t="s">
        <v>17128</v>
      </c>
      <c r="AN490" s="50" t="s">
        <v>17129</v>
      </c>
      <c r="AO490" s="50" t="s">
        <v>17130</v>
      </c>
      <c r="AP490" s="50" t="s">
        <v>17131</v>
      </c>
      <c r="AT490" s="50" t="s">
        <v>17132</v>
      </c>
      <c r="AU490" s="50" t="s">
        <v>207</v>
      </c>
      <c r="AV490" s="50" t="s">
        <v>118</v>
      </c>
      <c r="AW490" s="50" t="s">
        <v>248</v>
      </c>
      <c r="AX490" s="50" t="s">
        <v>119</v>
      </c>
      <c r="AZ490" s="50" t="s">
        <v>250</v>
      </c>
      <c r="BA490" s="50" t="s">
        <v>250</v>
      </c>
      <c r="BB490" s="50" t="s">
        <v>171</v>
      </c>
      <c r="BC490" s="50" t="s">
        <v>623</v>
      </c>
      <c r="BD490" s="50" t="s">
        <v>621</v>
      </c>
      <c r="BE490" s="50" t="s">
        <v>622</v>
      </c>
      <c r="BF490" s="50" t="s">
        <v>623</v>
      </c>
      <c r="BG490" s="50" t="s">
        <v>124</v>
      </c>
      <c r="BH490" s="50" t="s">
        <v>17133</v>
      </c>
      <c r="BI490" s="50" t="s">
        <v>12524</v>
      </c>
      <c r="BJ490" s="50" t="s">
        <v>127</v>
      </c>
      <c r="BK490" s="50" t="s">
        <v>17134</v>
      </c>
      <c r="BL490" s="50" t="s">
        <v>7660</v>
      </c>
      <c r="BM490" s="50" t="s">
        <v>17135</v>
      </c>
      <c r="BN490" s="50" t="s">
        <v>4563</v>
      </c>
      <c r="BO490" s="50" t="s">
        <v>1339</v>
      </c>
      <c r="BP490" s="50" t="s">
        <v>132</v>
      </c>
      <c r="BQ490" s="50" t="s">
        <v>1340</v>
      </c>
      <c r="BR490" s="50" t="s">
        <v>1341</v>
      </c>
      <c r="BS490" s="50" t="s">
        <v>632</v>
      </c>
      <c r="BU490" s="50" t="s">
        <v>17136</v>
      </c>
      <c r="BV490" s="50" t="s">
        <v>17137</v>
      </c>
      <c r="BW490" s="50" t="s">
        <v>138</v>
      </c>
      <c r="BX490" s="50" t="s">
        <v>1345</v>
      </c>
      <c r="BY490" s="50" t="s">
        <v>17138</v>
      </c>
      <c r="BZ490" s="50" t="s">
        <v>1345</v>
      </c>
      <c r="CA490" s="50" t="s">
        <v>17139</v>
      </c>
      <c r="CB490" s="50" t="s">
        <v>1345</v>
      </c>
      <c r="CC490" s="50" t="s">
        <v>17138</v>
      </c>
      <c r="CD490" s="50" t="s">
        <v>17140</v>
      </c>
      <c r="CE490" s="50" t="s">
        <v>17141</v>
      </c>
      <c r="CF490" s="50" t="s">
        <v>17138</v>
      </c>
      <c r="CG490" s="50" t="s">
        <v>102</v>
      </c>
      <c r="CH490" s="50" t="s">
        <v>7672</v>
      </c>
      <c r="CJ490" s="50" t="s">
        <v>3177</v>
      </c>
      <c r="CL490" s="50" t="s">
        <v>623</v>
      </c>
      <c r="CM490" s="50" t="s">
        <v>621</v>
      </c>
      <c r="CN490" s="50" t="s">
        <v>3177</v>
      </c>
      <c r="CO490" s="50" t="s">
        <v>7673</v>
      </c>
      <c r="CP490" s="50" t="s">
        <v>7672</v>
      </c>
      <c r="CQ490" s="50" t="s">
        <v>7672</v>
      </c>
    </row>
    <row r="491" spans="1:96">
      <c r="A491" s="50" t="s">
        <v>93</v>
      </c>
      <c r="B491" s="50">
        <v>5017989</v>
      </c>
      <c r="C491" s="50" t="s">
        <v>3562</v>
      </c>
      <c r="D491" s="50" t="s">
        <v>10392</v>
      </c>
      <c r="E491" s="50" t="e">
        <f>VLOOKUP(B491,aa!B:F,5,0)</f>
        <v>#N/A</v>
      </c>
      <c r="F491" s="50" t="e">
        <f>VLOOKUP(B491,aa!B:J,9,0)</f>
        <v>#N/A</v>
      </c>
      <c r="G491" s="50" t="e">
        <f>VLOOKUP(B491,aa!B:L,11,0)</f>
        <v>#N/A</v>
      </c>
      <c r="H491" s="50" t="e">
        <f>VLOOKUP(B491,aa!B:O,14,0)</f>
        <v>#N/A</v>
      </c>
      <c r="I491" s="50" t="e">
        <f>VLOOKUP(B491,aa!B:R,17,0)</f>
        <v>#N/A</v>
      </c>
      <c r="K491" s="50" t="s">
        <v>848</v>
      </c>
      <c r="L491" s="50">
        <v>114504</v>
      </c>
      <c r="M491" s="50">
        <v>135115</v>
      </c>
      <c r="N491" s="50">
        <v>0</v>
      </c>
      <c r="O491" s="50">
        <v>0</v>
      </c>
      <c r="Q491" s="50">
        <v>0</v>
      </c>
      <c r="R491" s="50">
        <v>0</v>
      </c>
      <c r="T491" s="50">
        <v>114504</v>
      </c>
      <c r="U491" s="50">
        <v>100</v>
      </c>
      <c r="V491" s="50" t="s">
        <v>18588</v>
      </c>
      <c r="W491" s="50" t="s">
        <v>102</v>
      </c>
      <c r="X491" s="50" t="s">
        <v>275</v>
      </c>
      <c r="Z491" s="50" t="s">
        <v>12084</v>
      </c>
      <c r="AA491" s="50" t="s">
        <v>109</v>
      </c>
      <c r="AB491" s="50" t="s">
        <v>102</v>
      </c>
      <c r="AC491" s="50" t="s">
        <v>109</v>
      </c>
      <c r="AD491" s="50" t="s">
        <v>102</v>
      </c>
      <c r="AE491" s="50" t="s">
        <v>109</v>
      </c>
      <c r="AF491" s="50" t="s">
        <v>102</v>
      </c>
      <c r="AG491" s="50" t="s">
        <v>109</v>
      </c>
      <c r="AH491" s="50" t="s">
        <v>102</v>
      </c>
      <c r="AI491" s="50" t="s">
        <v>102</v>
      </c>
      <c r="AL491" s="50" t="s">
        <v>19320</v>
      </c>
      <c r="AM491" s="50" t="s">
        <v>102</v>
      </c>
      <c r="AN491" s="50" t="s">
        <v>19320</v>
      </c>
      <c r="AO491" s="50" t="s">
        <v>19321</v>
      </c>
      <c r="AP491" s="50" t="s">
        <v>19322</v>
      </c>
      <c r="AT491" s="50" t="s">
        <v>169</v>
      </c>
      <c r="AU491" s="50" t="s">
        <v>102</v>
      </c>
      <c r="AW491" s="50" t="s">
        <v>102</v>
      </c>
      <c r="AX491" s="50" t="s">
        <v>119</v>
      </c>
      <c r="BA491" s="50" t="s">
        <v>250</v>
      </c>
      <c r="BB491" s="50" t="s">
        <v>10399</v>
      </c>
      <c r="BC491" s="50" t="s">
        <v>1729</v>
      </c>
      <c r="BD491" s="50" t="s">
        <v>730</v>
      </c>
      <c r="BE491" s="50" t="s">
        <v>622</v>
      </c>
      <c r="BF491" s="50" t="s">
        <v>730</v>
      </c>
      <c r="BG491" s="50" t="s">
        <v>124</v>
      </c>
      <c r="BH491" s="50" t="s">
        <v>11976</v>
      </c>
      <c r="BI491" s="50" t="s">
        <v>12720</v>
      </c>
      <c r="BJ491" s="50" t="s">
        <v>127</v>
      </c>
      <c r="BK491" s="50" t="s">
        <v>19323</v>
      </c>
      <c r="BL491" s="50" t="s">
        <v>10401</v>
      </c>
      <c r="BM491" s="50" t="s">
        <v>19324</v>
      </c>
      <c r="BN491" s="50" t="s">
        <v>4563</v>
      </c>
      <c r="BO491" s="50" t="s">
        <v>2262</v>
      </c>
      <c r="BP491" s="50" t="s">
        <v>350</v>
      </c>
      <c r="BQ491" s="50" t="s">
        <v>2263</v>
      </c>
      <c r="BR491" s="50" t="s">
        <v>2264</v>
      </c>
      <c r="BS491" s="50" t="s">
        <v>2569</v>
      </c>
      <c r="BU491" s="50" t="s">
        <v>19325</v>
      </c>
      <c r="BV491" s="50" t="s">
        <v>6852</v>
      </c>
      <c r="BW491" s="50" t="s">
        <v>598</v>
      </c>
      <c r="BX491" s="50" t="s">
        <v>4098</v>
      </c>
      <c r="BY491" s="50" t="s">
        <v>19326</v>
      </c>
      <c r="BZ491" s="50" t="s">
        <v>10407</v>
      </c>
      <c r="CA491" s="50" t="s">
        <v>6852</v>
      </c>
      <c r="CB491" s="50" t="s">
        <v>4098</v>
      </c>
      <c r="CC491" s="50" t="s">
        <v>19326</v>
      </c>
      <c r="CD491" s="50" t="s">
        <v>6852</v>
      </c>
      <c r="CE491" s="50" t="s">
        <v>4098</v>
      </c>
      <c r="CF491" s="50" t="s">
        <v>19326</v>
      </c>
      <c r="CG491" s="50" t="s">
        <v>5007</v>
      </c>
      <c r="CH491" s="50" t="s">
        <v>19327</v>
      </c>
      <c r="CJ491" s="50" t="s">
        <v>1743</v>
      </c>
      <c r="CK491" s="50" t="s">
        <v>19328</v>
      </c>
      <c r="CL491" s="50" t="s">
        <v>1729</v>
      </c>
      <c r="CM491" s="50" t="s">
        <v>730</v>
      </c>
      <c r="CN491" s="50" t="s">
        <v>1743</v>
      </c>
      <c r="CP491" s="50" t="s">
        <v>10408</v>
      </c>
      <c r="CQ491" s="50" t="s">
        <v>10409</v>
      </c>
    </row>
    <row r="492" spans="1:96">
      <c r="A492" s="50" t="s">
        <v>93</v>
      </c>
      <c r="B492" s="50">
        <v>5017990</v>
      </c>
      <c r="C492" s="50" t="s">
        <v>3562</v>
      </c>
      <c r="D492" s="50" t="s">
        <v>10410</v>
      </c>
      <c r="E492" s="50" t="e">
        <f>VLOOKUP(B492,aa!B:F,5,0)</f>
        <v>#N/A</v>
      </c>
      <c r="F492" s="50" t="e">
        <f>VLOOKUP(B492,aa!B:J,9,0)</f>
        <v>#N/A</v>
      </c>
      <c r="G492" s="50" t="e">
        <f>VLOOKUP(B492,aa!B:L,11,0)</f>
        <v>#N/A</v>
      </c>
      <c r="H492" s="50" t="e">
        <f>VLOOKUP(B492,aa!B:O,14,0)</f>
        <v>#N/A</v>
      </c>
      <c r="I492" s="50" t="e">
        <f>VLOOKUP(B492,aa!B:R,17,0)</f>
        <v>#N/A</v>
      </c>
      <c r="K492" s="50" t="s">
        <v>848</v>
      </c>
      <c r="L492" s="50">
        <v>66412</v>
      </c>
      <c r="M492" s="50">
        <v>78366</v>
      </c>
      <c r="N492" s="50">
        <v>0</v>
      </c>
      <c r="O492" s="50">
        <v>0</v>
      </c>
      <c r="Q492" s="50">
        <v>0</v>
      </c>
      <c r="R492" s="50">
        <v>0</v>
      </c>
      <c r="T492" s="50">
        <v>66412</v>
      </c>
      <c r="U492" s="50">
        <v>58</v>
      </c>
      <c r="V492" s="50" t="s">
        <v>18588</v>
      </c>
      <c r="W492" s="50" t="s">
        <v>102</v>
      </c>
      <c r="X492" s="50" t="s">
        <v>275</v>
      </c>
      <c r="Z492" s="50" t="s">
        <v>12084</v>
      </c>
      <c r="AA492" s="50" t="s">
        <v>109</v>
      </c>
      <c r="AB492" s="50" t="s">
        <v>102</v>
      </c>
      <c r="AC492" s="50" t="s">
        <v>109</v>
      </c>
      <c r="AD492" s="50" t="s">
        <v>102</v>
      </c>
      <c r="AE492" s="50" t="s">
        <v>109</v>
      </c>
      <c r="AF492" s="50" t="s">
        <v>102</v>
      </c>
      <c r="AG492" s="50" t="s">
        <v>109</v>
      </c>
      <c r="AH492" s="50" t="s">
        <v>102</v>
      </c>
      <c r="AI492" s="50" t="s">
        <v>102</v>
      </c>
      <c r="AL492" s="50" t="s">
        <v>19329</v>
      </c>
      <c r="AM492" s="50" t="s">
        <v>102</v>
      </c>
      <c r="AN492" s="50" t="s">
        <v>19329</v>
      </c>
      <c r="AO492" s="50" t="s">
        <v>19321</v>
      </c>
      <c r="AP492" s="50" t="s">
        <v>19322</v>
      </c>
      <c r="AT492" s="50" t="s">
        <v>169</v>
      </c>
      <c r="AU492" s="50" t="s">
        <v>102</v>
      </c>
      <c r="AW492" s="50" t="s">
        <v>102</v>
      </c>
      <c r="AX492" s="50" t="s">
        <v>119</v>
      </c>
      <c r="BA492" s="50" t="s">
        <v>250</v>
      </c>
      <c r="BB492" s="50" t="s">
        <v>10399</v>
      </c>
      <c r="BC492" s="50" t="s">
        <v>1729</v>
      </c>
      <c r="BD492" s="50" t="s">
        <v>730</v>
      </c>
      <c r="BE492" s="50" t="s">
        <v>622</v>
      </c>
      <c r="BF492" s="50" t="s">
        <v>730</v>
      </c>
      <c r="BG492" s="50" t="s">
        <v>124</v>
      </c>
      <c r="BH492" s="50" t="s">
        <v>11976</v>
      </c>
      <c r="BI492" s="50" t="s">
        <v>12720</v>
      </c>
      <c r="BJ492" s="50" t="s">
        <v>127</v>
      </c>
      <c r="BK492" s="50" t="s">
        <v>19330</v>
      </c>
      <c r="BL492" s="50" t="s">
        <v>10416</v>
      </c>
      <c r="BM492" s="50" t="s">
        <v>19331</v>
      </c>
      <c r="BN492" s="50" t="s">
        <v>4563</v>
      </c>
      <c r="BO492" s="50" t="s">
        <v>2262</v>
      </c>
      <c r="BP492" s="50" t="s">
        <v>350</v>
      </c>
      <c r="BQ492" s="50" t="s">
        <v>2263</v>
      </c>
      <c r="BR492" s="50" t="s">
        <v>2264</v>
      </c>
      <c r="BS492" s="50" t="s">
        <v>2569</v>
      </c>
      <c r="BU492" s="50" t="s">
        <v>19332</v>
      </c>
      <c r="BV492" s="50" t="s">
        <v>6852</v>
      </c>
      <c r="BW492" s="50" t="s">
        <v>598</v>
      </c>
      <c r="BX492" s="50" t="s">
        <v>4098</v>
      </c>
      <c r="BY492" s="50" t="s">
        <v>19326</v>
      </c>
      <c r="BZ492" s="50" t="s">
        <v>10407</v>
      </c>
      <c r="CA492" s="50" t="s">
        <v>6852</v>
      </c>
      <c r="CB492" s="50" t="s">
        <v>4098</v>
      </c>
      <c r="CC492" s="50" t="s">
        <v>19326</v>
      </c>
      <c r="CD492" s="50" t="s">
        <v>6852</v>
      </c>
      <c r="CE492" s="50" t="s">
        <v>4098</v>
      </c>
      <c r="CF492" s="50" t="s">
        <v>19326</v>
      </c>
      <c r="CG492" s="50" t="s">
        <v>5007</v>
      </c>
      <c r="CH492" s="50" t="s">
        <v>19333</v>
      </c>
      <c r="CJ492" s="50" t="s">
        <v>10421</v>
      </c>
      <c r="CK492" s="50" t="s">
        <v>19328</v>
      </c>
      <c r="CL492" s="50" t="s">
        <v>1729</v>
      </c>
      <c r="CM492" s="50" t="s">
        <v>730</v>
      </c>
      <c r="CN492" s="50" t="s">
        <v>10421</v>
      </c>
      <c r="CP492" s="50" t="s">
        <v>10420</v>
      </c>
      <c r="CQ492" s="50" t="s">
        <v>10422</v>
      </c>
    </row>
    <row r="493" spans="1:96">
      <c r="A493" s="50" t="s">
        <v>93</v>
      </c>
      <c r="B493" s="50">
        <v>5017993</v>
      </c>
      <c r="C493" s="50" t="s">
        <v>3562</v>
      </c>
      <c r="D493" s="50" t="s">
        <v>10423</v>
      </c>
      <c r="E493" s="50" t="e">
        <f>VLOOKUP(B493,aa!B:F,5,0)</f>
        <v>#N/A</v>
      </c>
      <c r="F493" s="50" t="e">
        <f>VLOOKUP(B493,aa!B:J,9,0)</f>
        <v>#N/A</v>
      </c>
      <c r="G493" s="50" t="e">
        <f>VLOOKUP(B493,aa!B:L,11,0)</f>
        <v>#N/A</v>
      </c>
      <c r="H493" s="50" t="e">
        <f>VLOOKUP(B493,aa!B:O,14,0)</f>
        <v>#N/A</v>
      </c>
      <c r="I493" s="50" t="e">
        <f>VLOOKUP(B493,aa!B:R,17,0)</f>
        <v>#N/A</v>
      </c>
      <c r="K493" s="50" t="s">
        <v>848</v>
      </c>
      <c r="L493" s="50">
        <v>103054</v>
      </c>
      <c r="M493" s="50">
        <v>121604</v>
      </c>
      <c r="N493" s="50">
        <v>0</v>
      </c>
      <c r="O493" s="50">
        <v>0</v>
      </c>
      <c r="Q493" s="50">
        <v>0</v>
      </c>
      <c r="R493" s="50">
        <v>0</v>
      </c>
      <c r="T493" s="50">
        <v>103054</v>
      </c>
      <c r="U493" s="50">
        <v>90</v>
      </c>
      <c r="V493" s="50" t="s">
        <v>18588</v>
      </c>
      <c r="W493" s="50" t="s">
        <v>102</v>
      </c>
      <c r="X493" s="50" t="s">
        <v>275</v>
      </c>
      <c r="Z493" s="50" t="s">
        <v>12084</v>
      </c>
      <c r="AA493" s="50" t="s">
        <v>109</v>
      </c>
      <c r="AB493" s="50" t="s">
        <v>102</v>
      </c>
      <c r="AC493" s="50" t="s">
        <v>109</v>
      </c>
      <c r="AD493" s="50" t="s">
        <v>102</v>
      </c>
      <c r="AE493" s="50" t="s">
        <v>109</v>
      </c>
      <c r="AF493" s="50" t="s">
        <v>102</v>
      </c>
      <c r="AG493" s="50" t="s">
        <v>109</v>
      </c>
      <c r="AH493" s="50" t="s">
        <v>102</v>
      </c>
      <c r="AI493" s="50" t="s">
        <v>102</v>
      </c>
      <c r="AL493" s="50" t="s">
        <v>19334</v>
      </c>
      <c r="AM493" s="50" t="s">
        <v>102</v>
      </c>
      <c r="AN493" s="50" t="s">
        <v>19334</v>
      </c>
      <c r="AO493" s="50" t="s">
        <v>19321</v>
      </c>
      <c r="AP493" s="50" t="s">
        <v>19322</v>
      </c>
      <c r="AT493" s="50" t="s">
        <v>169</v>
      </c>
      <c r="AU493" s="50" t="s">
        <v>102</v>
      </c>
      <c r="AW493" s="50" t="s">
        <v>102</v>
      </c>
      <c r="AX493" s="50" t="s">
        <v>119</v>
      </c>
      <c r="BA493" s="50" t="s">
        <v>250</v>
      </c>
      <c r="BB493" s="50" t="s">
        <v>10399</v>
      </c>
      <c r="BC493" s="50" t="s">
        <v>1729</v>
      </c>
      <c r="BD493" s="50" t="s">
        <v>730</v>
      </c>
      <c r="BE493" s="50" t="s">
        <v>622</v>
      </c>
      <c r="BF493" s="50" t="s">
        <v>730</v>
      </c>
      <c r="BG493" s="50" t="s">
        <v>124</v>
      </c>
      <c r="BH493" s="50" t="s">
        <v>11976</v>
      </c>
      <c r="BI493" s="50" t="s">
        <v>12720</v>
      </c>
      <c r="BJ493" s="50" t="s">
        <v>127</v>
      </c>
      <c r="BK493" s="50" t="s">
        <v>19335</v>
      </c>
      <c r="BL493" s="50" t="s">
        <v>10429</v>
      </c>
      <c r="BM493" s="50" t="s">
        <v>19336</v>
      </c>
      <c r="BN493" s="50" t="s">
        <v>4563</v>
      </c>
      <c r="BO493" s="50" t="s">
        <v>2262</v>
      </c>
      <c r="BP493" s="50" t="s">
        <v>350</v>
      </c>
      <c r="BQ493" s="50" t="s">
        <v>2263</v>
      </c>
      <c r="BR493" s="50" t="s">
        <v>2264</v>
      </c>
      <c r="BS493" s="50" t="s">
        <v>2569</v>
      </c>
      <c r="BU493" s="50" t="s">
        <v>19337</v>
      </c>
      <c r="BV493" s="50" t="s">
        <v>6852</v>
      </c>
      <c r="BW493" s="50" t="s">
        <v>598</v>
      </c>
      <c r="BX493" s="50" t="s">
        <v>4098</v>
      </c>
      <c r="BY493" s="50" t="s">
        <v>19326</v>
      </c>
      <c r="BZ493" s="50" t="s">
        <v>10407</v>
      </c>
      <c r="CA493" s="50" t="s">
        <v>6852</v>
      </c>
      <c r="CB493" s="50" t="s">
        <v>4098</v>
      </c>
      <c r="CC493" s="50" t="s">
        <v>19326</v>
      </c>
      <c r="CD493" s="50" t="s">
        <v>6852</v>
      </c>
      <c r="CE493" s="50" t="s">
        <v>4098</v>
      </c>
      <c r="CF493" s="50" t="s">
        <v>19326</v>
      </c>
      <c r="CG493" s="50" t="s">
        <v>5007</v>
      </c>
      <c r="CH493" s="50" t="s">
        <v>19338</v>
      </c>
      <c r="CJ493" s="50" t="s">
        <v>7868</v>
      </c>
      <c r="CK493" s="50" t="s">
        <v>19328</v>
      </c>
      <c r="CL493" s="50" t="s">
        <v>1729</v>
      </c>
      <c r="CM493" s="50" t="s">
        <v>730</v>
      </c>
      <c r="CN493" s="50" t="s">
        <v>7868</v>
      </c>
      <c r="CP493" s="50" t="s">
        <v>10432</v>
      </c>
      <c r="CQ493" s="50" t="s">
        <v>10433</v>
      </c>
    </row>
    <row r="494" spans="1:96">
      <c r="A494" s="50" t="s">
        <v>93</v>
      </c>
      <c r="B494" s="50">
        <v>5018122</v>
      </c>
      <c r="C494" s="50" t="s">
        <v>3562</v>
      </c>
      <c r="D494" s="50" t="s">
        <v>10452</v>
      </c>
      <c r="E494" s="50" t="e">
        <f>VLOOKUP(B494,aa!B:F,5,0)</f>
        <v>#N/A</v>
      </c>
      <c r="F494" s="50" t="e">
        <f>VLOOKUP(B494,aa!B:J,9,0)</f>
        <v>#N/A</v>
      </c>
      <c r="G494" s="50" t="e">
        <f>VLOOKUP(B494,aa!B:L,11,0)</f>
        <v>#N/A</v>
      </c>
      <c r="H494" s="50" t="e">
        <f>VLOOKUP(B494,aa!B:O,14,0)</f>
        <v>#N/A</v>
      </c>
      <c r="I494" s="50" t="e">
        <f>VLOOKUP(B494,aa!B:R,17,0)</f>
        <v>#N/A</v>
      </c>
      <c r="K494" s="50" t="s">
        <v>97</v>
      </c>
      <c r="L494" s="50">
        <v>158850</v>
      </c>
      <c r="M494" s="50">
        <v>158850</v>
      </c>
      <c r="N494" s="50">
        <v>158850</v>
      </c>
      <c r="O494" s="50">
        <v>103</v>
      </c>
      <c r="P494" s="50" t="s">
        <v>19378</v>
      </c>
      <c r="Q494" s="50">
        <v>0</v>
      </c>
      <c r="R494" s="50">
        <v>0</v>
      </c>
      <c r="T494" s="50">
        <v>0</v>
      </c>
      <c r="U494" s="50">
        <v>0</v>
      </c>
      <c r="W494" s="50" t="s">
        <v>102</v>
      </c>
      <c r="X494" s="50" t="s">
        <v>275</v>
      </c>
      <c r="Z494" s="50" t="s">
        <v>12644</v>
      </c>
      <c r="AA494" s="50" t="s">
        <v>109</v>
      </c>
      <c r="AB494" s="50" t="s">
        <v>102</v>
      </c>
      <c r="AC494" s="50" t="s">
        <v>109</v>
      </c>
      <c r="AD494" s="50" t="s">
        <v>102</v>
      </c>
      <c r="AE494" s="50" t="s">
        <v>109</v>
      </c>
      <c r="AF494" s="50" t="s">
        <v>102</v>
      </c>
      <c r="AG494" s="50" t="s">
        <v>109</v>
      </c>
      <c r="AH494" s="50" t="s">
        <v>102</v>
      </c>
      <c r="AI494" s="50" t="s">
        <v>19379</v>
      </c>
      <c r="AJ494" s="50" t="s">
        <v>14292</v>
      </c>
      <c r="AK494" s="50" t="s">
        <v>14292</v>
      </c>
      <c r="AL494" s="50" t="s">
        <v>19380</v>
      </c>
      <c r="AM494" s="50" t="s">
        <v>19381</v>
      </c>
      <c r="AN494" s="50" t="s">
        <v>19382</v>
      </c>
      <c r="AO494" s="50" t="s">
        <v>343</v>
      </c>
      <c r="AP494" s="50" t="s">
        <v>343</v>
      </c>
      <c r="AU494" s="50" t="s">
        <v>117</v>
      </c>
      <c r="AV494" s="50" t="s">
        <v>118</v>
      </c>
      <c r="AW494" s="50" t="s">
        <v>102</v>
      </c>
      <c r="AX494" s="50" t="s">
        <v>119</v>
      </c>
      <c r="BB494" s="50" t="s">
        <v>3678</v>
      </c>
      <c r="BC494" s="50" t="s">
        <v>4889</v>
      </c>
      <c r="BD494" s="50" t="s">
        <v>730</v>
      </c>
      <c r="BE494" s="50" t="s">
        <v>622</v>
      </c>
      <c r="BF494" s="50" t="s">
        <v>730</v>
      </c>
      <c r="BG494" s="50" t="s">
        <v>124</v>
      </c>
      <c r="BH494" s="50" t="s">
        <v>11959</v>
      </c>
      <c r="BI494" s="50" t="s">
        <v>11960</v>
      </c>
      <c r="BJ494" s="50" t="s">
        <v>127</v>
      </c>
      <c r="BK494" s="50" t="s">
        <v>19383</v>
      </c>
      <c r="BL494" s="50" t="s">
        <v>10460</v>
      </c>
      <c r="BM494" s="50" t="s">
        <v>19384</v>
      </c>
      <c r="BN494" s="50" t="s">
        <v>4563</v>
      </c>
      <c r="BO494" s="50" t="s">
        <v>5197</v>
      </c>
      <c r="BP494" s="50" t="s">
        <v>350</v>
      </c>
      <c r="BQ494" s="50" t="s">
        <v>5198</v>
      </c>
      <c r="BR494" s="50" t="s">
        <v>5199</v>
      </c>
      <c r="BS494" s="50" t="s">
        <v>2569</v>
      </c>
      <c r="BU494" s="50" t="s">
        <v>19385</v>
      </c>
      <c r="BV494" s="50" t="s">
        <v>10463</v>
      </c>
      <c r="BW494" s="50" t="s">
        <v>138</v>
      </c>
      <c r="BX494" s="50" t="s">
        <v>10464</v>
      </c>
      <c r="BY494" s="50" t="s">
        <v>10465</v>
      </c>
      <c r="BZ494" s="50" t="s">
        <v>10466</v>
      </c>
      <c r="CA494" s="50" t="s">
        <v>10463</v>
      </c>
      <c r="CB494" s="50" t="s">
        <v>10464</v>
      </c>
      <c r="CC494" s="50" t="s">
        <v>10465</v>
      </c>
      <c r="CD494" s="50" t="s">
        <v>19386</v>
      </c>
      <c r="CE494" s="50" t="s">
        <v>19387</v>
      </c>
      <c r="CF494" s="50" t="s">
        <v>19388</v>
      </c>
      <c r="CG494" s="50" t="s">
        <v>5842</v>
      </c>
      <c r="CH494" s="50" t="s">
        <v>19389</v>
      </c>
      <c r="CJ494" s="50" t="s">
        <v>4903</v>
      </c>
      <c r="CK494" s="50" t="s">
        <v>19390</v>
      </c>
      <c r="CL494" s="50" t="s">
        <v>4889</v>
      </c>
      <c r="CM494" s="50" t="s">
        <v>730</v>
      </c>
      <c r="CN494" s="50" t="s">
        <v>4903</v>
      </c>
      <c r="CO494" s="50" t="s">
        <v>10468</v>
      </c>
      <c r="CP494" s="50" t="s">
        <v>10467</v>
      </c>
      <c r="CQ494" s="50" t="s">
        <v>10467</v>
      </c>
      <c r="CR494" s="50" t="s">
        <v>26047</v>
      </c>
    </row>
    <row r="495" spans="1:96">
      <c r="A495" s="50" t="s">
        <v>337</v>
      </c>
      <c r="B495" s="50">
        <v>5051627</v>
      </c>
      <c r="C495" s="50" t="s">
        <v>3562</v>
      </c>
      <c r="D495" s="50" t="s">
        <v>20516</v>
      </c>
      <c r="E495" s="50" t="str">
        <f>VLOOKUP(B495,aa!B:F,5,0)</f>
        <v>Ei ASSET, Ei Mindspark</v>
      </c>
      <c r="F495" s="50">
        <f>VLOOKUP(B495,aa!B:J,9,0)</f>
        <v>67923</v>
      </c>
      <c r="G495" s="50">
        <f>VLOOKUP(B495,aa!B:L,11,0)</f>
        <v>9621</v>
      </c>
      <c r="H495" s="50">
        <f>VLOOKUP(B495,aa!B:O,14,0)</f>
        <v>0</v>
      </c>
      <c r="I495" s="50">
        <f>VLOOKUP(B495,aa!B:R,17,0)</f>
        <v>58302</v>
      </c>
      <c r="K495" s="50" t="s">
        <v>3549</v>
      </c>
      <c r="L495" s="50">
        <v>26586</v>
      </c>
      <c r="M495" s="50">
        <v>30458</v>
      </c>
      <c r="N495" s="50">
        <v>5076</v>
      </c>
      <c r="O495" s="50">
        <v>6</v>
      </c>
      <c r="P495" s="50" t="s">
        <v>20517</v>
      </c>
      <c r="Q495" s="50">
        <v>0</v>
      </c>
      <c r="R495" s="50">
        <v>0</v>
      </c>
      <c r="T495" s="50">
        <v>21510</v>
      </c>
      <c r="U495" s="50">
        <v>10</v>
      </c>
      <c r="V495" s="50" t="s">
        <v>20518</v>
      </c>
      <c r="W495" s="50" t="s">
        <v>102</v>
      </c>
      <c r="X495" s="50" t="s">
        <v>275</v>
      </c>
      <c r="Z495" s="50" t="s">
        <v>1408</v>
      </c>
      <c r="AA495" s="50" t="s">
        <v>109</v>
      </c>
      <c r="AB495" s="50" t="s">
        <v>102</v>
      </c>
      <c r="AC495" s="50" t="s">
        <v>109</v>
      </c>
      <c r="AD495" s="50" t="s">
        <v>102</v>
      </c>
      <c r="AE495" s="50" t="s">
        <v>109</v>
      </c>
      <c r="AF495" s="50" t="s">
        <v>102</v>
      </c>
      <c r="AG495" s="50" t="s">
        <v>109</v>
      </c>
      <c r="AH495" s="50" t="s">
        <v>102</v>
      </c>
      <c r="AI495" s="50" t="s">
        <v>102</v>
      </c>
      <c r="AJ495" s="50" t="s">
        <v>1408</v>
      </c>
      <c r="AK495" s="50" t="s">
        <v>1408</v>
      </c>
      <c r="AL495" s="50" t="s">
        <v>20519</v>
      </c>
      <c r="AM495" s="50" t="s">
        <v>20520</v>
      </c>
      <c r="AN495" s="50" t="s">
        <v>20521</v>
      </c>
      <c r="AO495" s="50" t="s">
        <v>20522</v>
      </c>
      <c r="AP495" s="50" t="s">
        <v>20522</v>
      </c>
      <c r="AU495" s="50" t="s">
        <v>117</v>
      </c>
      <c r="AV495" s="50" t="s">
        <v>250</v>
      </c>
      <c r="AW495" s="50" t="s">
        <v>102</v>
      </c>
      <c r="AX495" s="50" t="s">
        <v>119</v>
      </c>
      <c r="BA495" s="50" t="s">
        <v>250</v>
      </c>
      <c r="BB495" s="50" t="s">
        <v>1242</v>
      </c>
      <c r="BC495" s="50" t="s">
        <v>2327</v>
      </c>
      <c r="BD495" s="50" t="s">
        <v>730</v>
      </c>
      <c r="BE495" s="50" t="s">
        <v>622</v>
      </c>
      <c r="BF495" s="50" t="s">
        <v>730</v>
      </c>
      <c r="BG495" s="50" t="s">
        <v>124</v>
      </c>
      <c r="BH495" s="50" t="s">
        <v>11976</v>
      </c>
      <c r="BI495" s="50" t="s">
        <v>12720</v>
      </c>
      <c r="BJ495" s="50" t="s">
        <v>127</v>
      </c>
      <c r="BK495" s="50" t="s">
        <v>20523</v>
      </c>
      <c r="BL495" s="50" t="s">
        <v>20524</v>
      </c>
      <c r="BM495" s="50" t="s">
        <v>20525</v>
      </c>
      <c r="BN495" s="50" t="s">
        <v>4563</v>
      </c>
      <c r="BO495" s="50" t="s">
        <v>2262</v>
      </c>
      <c r="BP495" s="50" t="s">
        <v>180</v>
      </c>
      <c r="BQ495" s="50" t="s">
        <v>2263</v>
      </c>
      <c r="BR495" s="50" t="s">
        <v>2264</v>
      </c>
      <c r="BS495" s="50" t="s">
        <v>2331</v>
      </c>
      <c r="BU495" s="50" t="s">
        <v>20526</v>
      </c>
      <c r="BV495" s="50" t="s">
        <v>20527</v>
      </c>
      <c r="BW495" s="50" t="s">
        <v>354</v>
      </c>
      <c r="BX495" s="50" t="s">
        <v>20528</v>
      </c>
      <c r="BY495" s="50" t="s">
        <v>20529</v>
      </c>
      <c r="BZ495" s="50" t="s">
        <v>20530</v>
      </c>
      <c r="CA495" s="50" t="s">
        <v>20531</v>
      </c>
      <c r="CB495" s="50" t="s">
        <v>20532</v>
      </c>
      <c r="CC495" s="50" t="s">
        <v>20533</v>
      </c>
      <c r="CD495" s="50" t="s">
        <v>20531</v>
      </c>
      <c r="CE495" s="50" t="s">
        <v>20532</v>
      </c>
      <c r="CF495" s="50" t="s">
        <v>20533</v>
      </c>
      <c r="CG495" s="50" t="s">
        <v>4937</v>
      </c>
      <c r="CH495" s="50" t="s">
        <v>20534</v>
      </c>
      <c r="CJ495" s="50" t="s">
        <v>20535</v>
      </c>
      <c r="CK495" s="50" t="s">
        <v>20534</v>
      </c>
      <c r="CL495" s="50" t="s">
        <v>2327</v>
      </c>
      <c r="CM495" s="50" t="s">
        <v>730</v>
      </c>
      <c r="CN495" s="50" t="s">
        <v>20535</v>
      </c>
      <c r="CP495" s="50" t="s">
        <v>20536</v>
      </c>
      <c r="CQ495" s="50" t="s">
        <v>20536</v>
      </c>
    </row>
    <row r="496" spans="1:96">
      <c r="A496" s="50" t="s">
        <v>149</v>
      </c>
      <c r="B496" s="50">
        <v>1581683</v>
      </c>
      <c r="C496" s="50" t="s">
        <v>1279</v>
      </c>
      <c r="D496" s="50" t="s">
        <v>1260</v>
      </c>
      <c r="E496" s="50" t="e">
        <f>VLOOKUP(B496,aa!B:F,5,0)</f>
        <v>#N/A</v>
      </c>
      <c r="F496" s="50" t="e">
        <f>VLOOKUP(B496,aa!B:J,9,0)</f>
        <v>#N/A</v>
      </c>
      <c r="G496" s="50" t="e">
        <f>VLOOKUP(B496,aa!B:L,11,0)</f>
        <v>#N/A</v>
      </c>
      <c r="H496" s="50" t="e">
        <f>VLOOKUP(B496,aa!B:O,14,0)</f>
        <v>#N/A</v>
      </c>
      <c r="I496" s="50" t="e">
        <f>VLOOKUP(B496,aa!B:R,17,0)</f>
        <v>#N/A</v>
      </c>
      <c r="K496" s="50" t="s">
        <v>643</v>
      </c>
      <c r="L496" s="50">
        <v>620732</v>
      </c>
      <c r="M496" s="50">
        <v>715923</v>
      </c>
      <c r="N496" s="50">
        <v>0</v>
      </c>
      <c r="O496" s="50">
        <v>0</v>
      </c>
      <c r="Q496" s="50">
        <v>91892</v>
      </c>
      <c r="R496" s="50">
        <v>51</v>
      </c>
      <c r="S496" s="50" t="s">
        <v>12645</v>
      </c>
      <c r="T496" s="50">
        <v>528840</v>
      </c>
      <c r="U496" s="50">
        <v>160</v>
      </c>
      <c r="V496" s="50" t="s">
        <v>12646</v>
      </c>
      <c r="W496" s="50" t="s">
        <v>102</v>
      </c>
      <c r="X496" s="50" t="s">
        <v>275</v>
      </c>
      <c r="Z496" s="50" t="s">
        <v>12644</v>
      </c>
      <c r="AA496" s="50" t="s">
        <v>109</v>
      </c>
      <c r="AB496" s="50" t="s">
        <v>102</v>
      </c>
      <c r="AC496" s="50" t="s">
        <v>109</v>
      </c>
      <c r="AD496" s="50" t="s">
        <v>102</v>
      </c>
      <c r="AE496" s="50" t="s">
        <v>109</v>
      </c>
      <c r="AF496" s="50" t="s">
        <v>102</v>
      </c>
      <c r="AG496" s="50" t="s">
        <v>109</v>
      </c>
      <c r="AH496" s="50" t="s">
        <v>102</v>
      </c>
      <c r="AI496" s="50" t="s">
        <v>12647</v>
      </c>
      <c r="AJ496" s="50" t="s">
        <v>12312</v>
      </c>
      <c r="AK496" s="50" t="s">
        <v>12329</v>
      </c>
      <c r="AL496" s="50" t="s">
        <v>12648</v>
      </c>
      <c r="AM496" s="50" t="s">
        <v>12649</v>
      </c>
      <c r="AN496" s="50" t="s">
        <v>12650</v>
      </c>
      <c r="AO496" s="50" t="s">
        <v>12651</v>
      </c>
      <c r="AP496" s="50" t="s">
        <v>12651</v>
      </c>
      <c r="AU496" s="50" t="s">
        <v>102</v>
      </c>
      <c r="AW496" s="50" t="s">
        <v>655</v>
      </c>
      <c r="AX496" s="50" t="s">
        <v>119</v>
      </c>
      <c r="AY496" s="50" t="s">
        <v>170</v>
      </c>
      <c r="AZ496" s="50" t="s">
        <v>118</v>
      </c>
      <c r="BA496" s="50" t="s">
        <v>250</v>
      </c>
      <c r="BB496" s="50" t="s">
        <v>3678</v>
      </c>
      <c r="BC496" s="50" t="s">
        <v>623</v>
      </c>
      <c r="BD496" s="50" t="s">
        <v>621</v>
      </c>
      <c r="BE496" s="50" t="s">
        <v>622</v>
      </c>
      <c r="BF496" s="50" t="s">
        <v>623</v>
      </c>
      <c r="BG496" s="50" t="s">
        <v>124</v>
      </c>
      <c r="BH496" s="50" t="s">
        <v>4563</v>
      </c>
      <c r="BI496" s="50" t="s">
        <v>11960</v>
      </c>
      <c r="BJ496" s="50" t="s">
        <v>127</v>
      </c>
      <c r="BK496" s="50" t="s">
        <v>12652</v>
      </c>
      <c r="BL496" s="50" t="s">
        <v>1277</v>
      </c>
      <c r="BM496" s="50" t="s">
        <v>12653</v>
      </c>
      <c r="BN496" s="50" t="s">
        <v>12644</v>
      </c>
      <c r="BO496" s="50" t="s">
        <v>629</v>
      </c>
      <c r="BP496" s="50" t="s">
        <v>957</v>
      </c>
      <c r="BQ496" s="50" t="s">
        <v>630</v>
      </c>
      <c r="BR496" s="50" t="s">
        <v>631</v>
      </c>
      <c r="BS496" s="50" t="s">
        <v>1279</v>
      </c>
      <c r="BU496" s="50" t="s">
        <v>12654</v>
      </c>
      <c r="BV496" s="50" t="s">
        <v>1286</v>
      </c>
      <c r="BW496" s="50" t="s">
        <v>138</v>
      </c>
      <c r="BX496" s="50" t="s">
        <v>12655</v>
      </c>
      <c r="BY496" s="50" t="s">
        <v>1287</v>
      </c>
      <c r="BZ496" s="50" t="s">
        <v>1285</v>
      </c>
      <c r="CA496" s="50" t="s">
        <v>12656</v>
      </c>
      <c r="CB496" s="50" t="s">
        <v>1285</v>
      </c>
      <c r="CC496" s="50" t="s">
        <v>1287</v>
      </c>
      <c r="CD496" s="50" t="s">
        <v>12656</v>
      </c>
      <c r="CE496" s="50" t="s">
        <v>1285</v>
      </c>
      <c r="CF496" s="50" t="s">
        <v>1287</v>
      </c>
      <c r="CG496" s="50" t="s">
        <v>102</v>
      </c>
      <c r="CH496" s="50" t="s">
        <v>1291</v>
      </c>
      <c r="CJ496" s="50" t="s">
        <v>1292</v>
      </c>
      <c r="CL496" s="50" t="s">
        <v>623</v>
      </c>
      <c r="CM496" s="50" t="s">
        <v>621</v>
      </c>
      <c r="CN496" s="50" t="s">
        <v>1292</v>
      </c>
      <c r="CO496" s="50" t="s">
        <v>1293</v>
      </c>
      <c r="CP496" s="50" t="s">
        <v>1291</v>
      </c>
      <c r="CQ496" s="50" t="s">
        <v>1291</v>
      </c>
      <c r="CR496" s="50" t="s">
        <v>26047</v>
      </c>
    </row>
    <row r="497" spans="1:96">
      <c r="A497" s="50" t="s">
        <v>337</v>
      </c>
      <c r="B497" s="50">
        <v>3302960</v>
      </c>
      <c r="C497" s="50" t="s">
        <v>11898</v>
      </c>
      <c r="D497" s="50" t="s">
        <v>15469</v>
      </c>
      <c r="E497" s="50" t="e">
        <f>VLOOKUP(B497,aa!B:F,5,0)</f>
        <v>#N/A</v>
      </c>
      <c r="F497" s="50" t="e">
        <f>VLOOKUP(B497,aa!B:J,9,0)</f>
        <v>#N/A</v>
      </c>
      <c r="G497" s="50" t="e">
        <f>VLOOKUP(B497,aa!B:L,11,0)</f>
        <v>#N/A</v>
      </c>
      <c r="H497" s="50" t="e">
        <f>VLOOKUP(B497,aa!B:O,14,0)</f>
        <v>#N/A</v>
      </c>
      <c r="I497" s="50" t="e">
        <f>VLOOKUP(B497,aa!B:R,17,0)</f>
        <v>#N/A</v>
      </c>
      <c r="K497" s="50" t="s">
        <v>97</v>
      </c>
      <c r="L497" s="50">
        <v>190009</v>
      </c>
      <c r="M497" s="50">
        <v>190009</v>
      </c>
      <c r="N497" s="50">
        <v>190009</v>
      </c>
      <c r="O497" s="50">
        <v>190</v>
      </c>
      <c r="P497" s="50" t="s">
        <v>5042</v>
      </c>
      <c r="Q497" s="50">
        <v>0</v>
      </c>
      <c r="R497" s="50">
        <v>0</v>
      </c>
      <c r="T497" s="50">
        <v>0</v>
      </c>
      <c r="U497" s="50">
        <v>0</v>
      </c>
      <c r="W497" s="50" t="s">
        <v>102</v>
      </c>
      <c r="X497" s="50" t="s">
        <v>275</v>
      </c>
      <c r="Z497" s="50" t="s">
        <v>12644</v>
      </c>
      <c r="AA497" s="50" t="s">
        <v>109</v>
      </c>
      <c r="AB497" s="50" t="s">
        <v>102</v>
      </c>
      <c r="AC497" s="50" t="s">
        <v>109</v>
      </c>
      <c r="AD497" s="50" t="s">
        <v>102</v>
      </c>
      <c r="AE497" s="50" t="s">
        <v>109</v>
      </c>
      <c r="AF497" s="50" t="s">
        <v>102</v>
      </c>
      <c r="AG497" s="50" t="s">
        <v>109</v>
      </c>
      <c r="AH497" s="50" t="s">
        <v>102</v>
      </c>
      <c r="AI497" s="50" t="s">
        <v>11860</v>
      </c>
      <c r="AJ497" s="50" t="s">
        <v>15470</v>
      </c>
      <c r="AK497" s="50" t="s">
        <v>15470</v>
      </c>
      <c r="AL497" s="50" t="s">
        <v>15471</v>
      </c>
      <c r="AM497" s="50" t="s">
        <v>15472</v>
      </c>
      <c r="AN497" s="50" t="s">
        <v>1205</v>
      </c>
      <c r="AO497" s="50" t="s">
        <v>3677</v>
      </c>
      <c r="AP497" s="50" t="s">
        <v>3677</v>
      </c>
      <c r="AU497" s="50" t="s">
        <v>318</v>
      </c>
      <c r="AV497" s="50" t="s">
        <v>118</v>
      </c>
      <c r="AW497" s="50" t="s">
        <v>102</v>
      </c>
      <c r="AX497" s="50" t="s">
        <v>119</v>
      </c>
      <c r="BB497" s="50" t="s">
        <v>120</v>
      </c>
      <c r="BC497" s="50" t="s">
        <v>251</v>
      </c>
      <c r="BD497" s="50" t="s">
        <v>252</v>
      </c>
      <c r="BE497" s="50" t="s">
        <v>122</v>
      </c>
      <c r="BF497" s="50" t="s">
        <v>253</v>
      </c>
      <c r="BG497" s="50" t="s">
        <v>124</v>
      </c>
      <c r="BH497" s="50" t="s">
        <v>12644</v>
      </c>
      <c r="BI497" s="50" t="s">
        <v>11889</v>
      </c>
      <c r="BJ497" s="50" t="s">
        <v>127</v>
      </c>
      <c r="BK497" s="50" t="s">
        <v>15473</v>
      </c>
      <c r="BL497" s="50" t="s">
        <v>15474</v>
      </c>
      <c r="BM497" s="50" t="s">
        <v>15475</v>
      </c>
      <c r="BN497" s="50" t="s">
        <v>12644</v>
      </c>
      <c r="BO497" s="50" t="s">
        <v>12453</v>
      </c>
      <c r="BP497" s="50" t="s">
        <v>350</v>
      </c>
      <c r="BQ497" s="50" t="s">
        <v>12454</v>
      </c>
      <c r="BR497" s="50" t="s">
        <v>12455</v>
      </c>
      <c r="BS497" s="50" t="s">
        <v>1995</v>
      </c>
      <c r="BU497" s="50" t="s">
        <v>15476</v>
      </c>
      <c r="BV497" s="50" t="s">
        <v>15477</v>
      </c>
      <c r="BW497" s="50" t="s">
        <v>138</v>
      </c>
      <c r="BX497" s="50" t="s">
        <v>15478</v>
      </c>
      <c r="BY497" s="50" t="s">
        <v>15479</v>
      </c>
      <c r="BZ497" s="50" t="s">
        <v>15478</v>
      </c>
      <c r="CA497" s="50" t="s">
        <v>15477</v>
      </c>
      <c r="CB497" s="50" t="s">
        <v>15478</v>
      </c>
      <c r="CC497" s="50" t="s">
        <v>15479</v>
      </c>
      <c r="CD497" s="50" t="s">
        <v>15477</v>
      </c>
      <c r="CE497" s="50" t="s">
        <v>15478</v>
      </c>
      <c r="CF497" s="50" t="s">
        <v>15479</v>
      </c>
      <c r="CG497" s="50" t="s">
        <v>15480</v>
      </c>
      <c r="CH497" s="50" t="s">
        <v>15469</v>
      </c>
      <c r="CJ497" s="50" t="s">
        <v>15481</v>
      </c>
      <c r="CK497" s="50" t="s">
        <v>15482</v>
      </c>
      <c r="CL497" s="50" t="s">
        <v>251</v>
      </c>
      <c r="CM497" s="50" t="s">
        <v>252</v>
      </c>
      <c r="CN497" s="50" t="s">
        <v>15481</v>
      </c>
      <c r="CP497" s="50" t="s">
        <v>15482</v>
      </c>
      <c r="CQ497" s="50" t="s">
        <v>15482</v>
      </c>
    </row>
    <row r="498" spans="1:96">
      <c r="A498" s="50" t="s">
        <v>149</v>
      </c>
      <c r="B498" s="50">
        <v>3347997</v>
      </c>
      <c r="C498" s="50" t="s">
        <v>11947</v>
      </c>
      <c r="D498" s="50" t="s">
        <v>5645</v>
      </c>
      <c r="E498" s="50" t="e">
        <f>VLOOKUP(B498,aa!B:F,5,0)</f>
        <v>#N/A</v>
      </c>
      <c r="F498" s="50" t="e">
        <f>VLOOKUP(B498,aa!B:J,9,0)</f>
        <v>#N/A</v>
      </c>
      <c r="G498" s="50" t="e">
        <f>VLOOKUP(B498,aa!B:L,11,0)</f>
        <v>#N/A</v>
      </c>
      <c r="H498" s="50" t="e">
        <f>VLOOKUP(B498,aa!B:O,14,0)</f>
        <v>#N/A</v>
      </c>
      <c r="I498" s="50" t="e">
        <f>VLOOKUP(B498,aa!B:R,17,0)</f>
        <v>#N/A</v>
      </c>
      <c r="K498" s="50" t="s">
        <v>848</v>
      </c>
      <c r="L498" s="50">
        <v>475480</v>
      </c>
      <c r="M498" s="50">
        <v>561066</v>
      </c>
      <c r="N498" s="50">
        <v>0</v>
      </c>
      <c r="O498" s="50">
        <v>0</v>
      </c>
      <c r="Q498" s="50">
        <v>0</v>
      </c>
      <c r="R498" s="50">
        <v>0</v>
      </c>
      <c r="T498" s="50">
        <v>475480</v>
      </c>
      <c r="U498" s="50">
        <v>235</v>
      </c>
      <c r="V498" s="50" t="s">
        <v>10244</v>
      </c>
      <c r="W498" s="50" t="s">
        <v>102</v>
      </c>
      <c r="X498" s="50" t="s">
        <v>103</v>
      </c>
      <c r="Y498" s="50" t="s">
        <v>398</v>
      </c>
      <c r="AA498" s="50" t="s">
        <v>12541</v>
      </c>
      <c r="AB498" s="50" t="s">
        <v>15705</v>
      </c>
      <c r="AC498" s="50" t="s">
        <v>13110</v>
      </c>
      <c r="AD498" s="50" t="s">
        <v>15706</v>
      </c>
      <c r="AE498" s="50" t="s">
        <v>14024</v>
      </c>
      <c r="AF498" s="50" t="s">
        <v>15705</v>
      </c>
      <c r="AG498" s="50" t="s">
        <v>109</v>
      </c>
      <c r="AH498" s="50" t="s">
        <v>102</v>
      </c>
      <c r="AI498" s="50" t="s">
        <v>15707</v>
      </c>
      <c r="AJ498" s="50" t="s">
        <v>12923</v>
      </c>
      <c r="AK498" s="50" t="s">
        <v>14238</v>
      </c>
      <c r="AL498" s="50" t="s">
        <v>15708</v>
      </c>
      <c r="AM498" s="50" t="s">
        <v>15709</v>
      </c>
      <c r="AN498" s="50" t="s">
        <v>15710</v>
      </c>
      <c r="AO498" s="50" t="s">
        <v>15711</v>
      </c>
      <c r="AP498" s="50" t="s">
        <v>15711</v>
      </c>
      <c r="AU498" s="50" t="s">
        <v>102</v>
      </c>
      <c r="AW498" s="50" t="s">
        <v>102</v>
      </c>
      <c r="AX498" s="50" t="s">
        <v>119</v>
      </c>
      <c r="BA498" s="50" t="s">
        <v>250</v>
      </c>
      <c r="BB498" s="50" t="s">
        <v>120</v>
      </c>
      <c r="BC498" s="50" t="s">
        <v>920</v>
      </c>
      <c r="BD498" s="50" t="s">
        <v>211</v>
      </c>
      <c r="BE498" s="50" t="s">
        <v>212</v>
      </c>
      <c r="BF498" s="50" t="s">
        <v>213</v>
      </c>
      <c r="BG498" s="50" t="s">
        <v>124</v>
      </c>
      <c r="BH498" s="50" t="s">
        <v>12644</v>
      </c>
      <c r="BI498" s="50" t="s">
        <v>12047</v>
      </c>
      <c r="BJ498" s="50" t="s">
        <v>127</v>
      </c>
      <c r="BK498" s="50" t="s">
        <v>15712</v>
      </c>
      <c r="BL498" s="50" t="s">
        <v>5658</v>
      </c>
      <c r="BM498" s="50" t="s">
        <v>15713</v>
      </c>
      <c r="BN498" s="50" t="s">
        <v>12644</v>
      </c>
      <c r="BO498" s="50" t="s">
        <v>415</v>
      </c>
      <c r="BP498" s="50" t="s">
        <v>180</v>
      </c>
      <c r="BQ498" s="50" t="s">
        <v>416</v>
      </c>
      <c r="BR498" s="50" t="s">
        <v>417</v>
      </c>
      <c r="BS498" s="50" t="s">
        <v>2151</v>
      </c>
      <c r="BU498" s="50" t="s">
        <v>15714</v>
      </c>
      <c r="BV498" s="50" t="s">
        <v>5661</v>
      </c>
      <c r="BW498" s="50" t="s">
        <v>138</v>
      </c>
      <c r="BX498" s="50" t="s">
        <v>5662</v>
      </c>
      <c r="BY498" s="50" t="s">
        <v>5663</v>
      </c>
      <c r="BZ498" s="50" t="s">
        <v>5662</v>
      </c>
      <c r="CA498" s="50" t="s">
        <v>5661</v>
      </c>
      <c r="CB498" s="50" t="s">
        <v>5662</v>
      </c>
      <c r="CC498" s="50" t="s">
        <v>5663</v>
      </c>
      <c r="CD498" s="50" t="s">
        <v>5661</v>
      </c>
      <c r="CE498" s="50" t="s">
        <v>5662</v>
      </c>
      <c r="CF498" s="50" t="s">
        <v>5663</v>
      </c>
      <c r="CG498" s="50" t="s">
        <v>102</v>
      </c>
      <c r="CH498" s="50" t="s">
        <v>5664</v>
      </c>
      <c r="CJ498" s="50" t="s">
        <v>3690</v>
      </c>
      <c r="CL498" s="50" t="s">
        <v>920</v>
      </c>
      <c r="CM498" s="50" t="s">
        <v>211</v>
      </c>
      <c r="CN498" s="50" t="s">
        <v>3690</v>
      </c>
      <c r="CO498" s="50" t="s">
        <v>5665</v>
      </c>
      <c r="CP498" s="50" t="s">
        <v>5664</v>
      </c>
      <c r="CQ498" s="50" t="s">
        <v>5664</v>
      </c>
      <c r="CR498" s="50" t="s">
        <v>26044</v>
      </c>
    </row>
    <row r="499" spans="1:96">
      <c r="A499" s="50" t="s">
        <v>149</v>
      </c>
      <c r="B499" s="50">
        <v>3390964</v>
      </c>
      <c r="C499" s="50" t="s">
        <v>985</v>
      </c>
      <c r="D499" s="50" t="s">
        <v>5791</v>
      </c>
      <c r="E499" s="50" t="e">
        <f>VLOOKUP(B499,aa!B:F,5,0)</f>
        <v>#N/A</v>
      </c>
      <c r="F499" s="50" t="e">
        <f>VLOOKUP(B499,aa!B:J,9,0)</f>
        <v>#N/A</v>
      </c>
      <c r="G499" s="50" t="e">
        <f>VLOOKUP(B499,aa!B:L,11,0)</f>
        <v>#N/A</v>
      </c>
      <c r="H499" s="50" t="e">
        <f>VLOOKUP(B499,aa!B:O,14,0)</f>
        <v>#N/A</v>
      </c>
      <c r="I499" s="50" t="e">
        <f>VLOOKUP(B499,aa!B:R,17,0)</f>
        <v>#N/A</v>
      </c>
      <c r="K499" s="50" t="s">
        <v>97</v>
      </c>
      <c r="L499" s="50">
        <v>214639</v>
      </c>
      <c r="M499" s="50">
        <v>214639</v>
      </c>
      <c r="N499" s="50">
        <v>214639</v>
      </c>
      <c r="O499" s="50">
        <v>304</v>
      </c>
      <c r="P499" s="50" t="s">
        <v>5793</v>
      </c>
      <c r="Q499" s="50">
        <v>0</v>
      </c>
      <c r="R499" s="50">
        <v>0</v>
      </c>
      <c r="T499" s="50">
        <v>0</v>
      </c>
      <c r="U499" s="50">
        <v>0</v>
      </c>
      <c r="W499" s="50" t="s">
        <v>102</v>
      </c>
      <c r="X499" s="50" t="s">
        <v>103</v>
      </c>
      <c r="Y499" s="50" t="s">
        <v>104</v>
      </c>
      <c r="AA499" s="50" t="s">
        <v>12541</v>
      </c>
      <c r="AB499" s="50" t="s">
        <v>15774</v>
      </c>
      <c r="AC499" s="50" t="s">
        <v>12289</v>
      </c>
      <c r="AD499" s="50" t="s">
        <v>15774</v>
      </c>
      <c r="AE499" s="50" t="s">
        <v>109</v>
      </c>
      <c r="AF499" s="50" t="s">
        <v>102</v>
      </c>
      <c r="AG499" s="50" t="s">
        <v>109</v>
      </c>
      <c r="AH499" s="50" t="s">
        <v>102</v>
      </c>
      <c r="AI499" s="50" t="s">
        <v>102</v>
      </c>
      <c r="AJ499" s="50" t="s">
        <v>13455</v>
      </c>
      <c r="AK499" s="50" t="s">
        <v>946</v>
      </c>
      <c r="AL499" s="50" t="s">
        <v>15775</v>
      </c>
      <c r="AM499" s="50" t="s">
        <v>15776</v>
      </c>
      <c r="AN499" s="50" t="s">
        <v>15777</v>
      </c>
      <c r="AO499" s="50" t="s">
        <v>5798</v>
      </c>
      <c r="AP499" s="50" t="s">
        <v>5798</v>
      </c>
      <c r="AU499" s="50" t="s">
        <v>318</v>
      </c>
      <c r="AV499" s="50" t="s">
        <v>118</v>
      </c>
      <c r="AW499" s="50" t="s">
        <v>102</v>
      </c>
      <c r="AX499" s="50" t="s">
        <v>119</v>
      </c>
      <c r="BB499" s="50" t="s">
        <v>1964</v>
      </c>
      <c r="BC499" s="50" t="s">
        <v>2127</v>
      </c>
      <c r="BD499" s="50" t="s">
        <v>621</v>
      </c>
      <c r="BE499" s="50" t="s">
        <v>622</v>
      </c>
      <c r="BF499" s="50" t="s">
        <v>976</v>
      </c>
      <c r="BG499" s="50" t="s">
        <v>124</v>
      </c>
      <c r="BH499" s="50" t="s">
        <v>2483</v>
      </c>
      <c r="BI499" s="50" t="s">
        <v>11889</v>
      </c>
      <c r="BJ499" s="50" t="s">
        <v>127</v>
      </c>
      <c r="BK499" s="50" t="s">
        <v>15778</v>
      </c>
      <c r="BL499" s="50" t="s">
        <v>5800</v>
      </c>
      <c r="BM499" s="50" t="s">
        <v>15779</v>
      </c>
      <c r="BN499" s="50" t="s">
        <v>12644</v>
      </c>
      <c r="BO499" s="50" t="s">
        <v>981</v>
      </c>
      <c r="BP499" s="50" t="s">
        <v>132</v>
      </c>
      <c r="BQ499" s="50" t="s">
        <v>982</v>
      </c>
      <c r="BR499" s="50" t="s">
        <v>983</v>
      </c>
      <c r="BS499" s="50" t="s">
        <v>5805</v>
      </c>
      <c r="BU499" s="50" t="s">
        <v>15780</v>
      </c>
      <c r="BV499" s="50" t="s">
        <v>15781</v>
      </c>
      <c r="BW499" s="50" t="s">
        <v>138</v>
      </c>
      <c r="BX499" s="50" t="s">
        <v>5808</v>
      </c>
      <c r="BY499" s="50" t="s">
        <v>15782</v>
      </c>
      <c r="BZ499" s="50" t="s">
        <v>5810</v>
      </c>
      <c r="CA499" s="50" t="s">
        <v>15781</v>
      </c>
      <c r="CB499" s="50" t="s">
        <v>5808</v>
      </c>
      <c r="CC499" s="50" t="s">
        <v>15782</v>
      </c>
      <c r="CD499" s="50" t="s">
        <v>15783</v>
      </c>
      <c r="CE499" s="50" t="s">
        <v>15784</v>
      </c>
      <c r="CF499" s="50" t="s">
        <v>5809</v>
      </c>
      <c r="CG499" s="50" t="s">
        <v>5811</v>
      </c>
      <c r="CH499" s="50" t="s">
        <v>15785</v>
      </c>
      <c r="CJ499" s="50" t="s">
        <v>5813</v>
      </c>
      <c r="CK499" s="50" t="s">
        <v>15786</v>
      </c>
      <c r="CL499" s="50" t="s">
        <v>2127</v>
      </c>
      <c r="CM499" s="50" t="s">
        <v>621</v>
      </c>
      <c r="CN499" s="50" t="s">
        <v>5813</v>
      </c>
      <c r="CO499" s="50" t="s">
        <v>5814</v>
      </c>
      <c r="CP499" s="50" t="s">
        <v>5812</v>
      </c>
      <c r="CQ499" s="50" t="s">
        <v>5812</v>
      </c>
      <c r="CR499" s="50" t="s">
        <v>26047</v>
      </c>
    </row>
    <row r="500" spans="1:96">
      <c r="A500" s="50" t="s">
        <v>93</v>
      </c>
      <c r="B500" s="50">
        <v>351831</v>
      </c>
      <c r="C500" s="50" t="s">
        <v>12423</v>
      </c>
      <c r="D500" s="50" t="s">
        <v>16369</v>
      </c>
      <c r="E500" s="50" t="e">
        <f>VLOOKUP(B500,aa!B:F,5,0)</f>
        <v>#N/A</v>
      </c>
      <c r="F500" s="50" t="e">
        <f>VLOOKUP(B500,aa!B:J,9,0)</f>
        <v>#N/A</v>
      </c>
      <c r="G500" s="50" t="e">
        <f>VLOOKUP(B500,aa!B:L,11,0)</f>
        <v>#N/A</v>
      </c>
      <c r="H500" s="50" t="e">
        <f>VLOOKUP(B500,aa!B:O,14,0)</f>
        <v>#N/A</v>
      </c>
      <c r="I500" s="50" t="e">
        <f>VLOOKUP(B500,aa!B:R,17,0)</f>
        <v>#N/A</v>
      </c>
      <c r="K500" s="50" t="s">
        <v>97</v>
      </c>
      <c r="L500" s="50">
        <v>626625</v>
      </c>
      <c r="M500" s="50">
        <v>626625</v>
      </c>
      <c r="N500" s="50">
        <v>626625</v>
      </c>
      <c r="O500" s="50">
        <v>1253</v>
      </c>
      <c r="P500" s="50" t="s">
        <v>364</v>
      </c>
      <c r="Q500" s="50">
        <v>0</v>
      </c>
      <c r="R500" s="50">
        <v>0</v>
      </c>
      <c r="T500" s="50">
        <v>0</v>
      </c>
      <c r="U500" s="50">
        <v>0</v>
      </c>
      <c r="W500" s="50" t="s">
        <v>102</v>
      </c>
      <c r="X500" s="50" t="s">
        <v>103</v>
      </c>
      <c r="Y500" s="50" t="s">
        <v>104</v>
      </c>
      <c r="AA500" s="50" t="s">
        <v>12099</v>
      </c>
      <c r="AB500" s="50" t="s">
        <v>16370</v>
      </c>
      <c r="AC500" s="50" t="s">
        <v>12817</v>
      </c>
      <c r="AD500" s="50" t="s">
        <v>16370</v>
      </c>
      <c r="AE500" s="50" t="s">
        <v>109</v>
      </c>
      <c r="AF500" s="50" t="s">
        <v>102</v>
      </c>
      <c r="AG500" s="50" t="s">
        <v>109</v>
      </c>
      <c r="AH500" s="50" t="s">
        <v>102</v>
      </c>
      <c r="AI500" s="50" t="s">
        <v>16371</v>
      </c>
      <c r="AJ500" s="50" t="s">
        <v>16372</v>
      </c>
      <c r="AK500" s="50" t="s">
        <v>16372</v>
      </c>
      <c r="AL500" s="50" t="s">
        <v>16373</v>
      </c>
      <c r="AM500" s="50" t="s">
        <v>16374</v>
      </c>
      <c r="AN500" s="50" t="s">
        <v>16375</v>
      </c>
      <c r="AO500" s="50" t="s">
        <v>2353</v>
      </c>
      <c r="AP500" s="50" t="s">
        <v>2353</v>
      </c>
      <c r="AU500" s="50" t="s">
        <v>117</v>
      </c>
      <c r="AV500" s="50" t="s">
        <v>250</v>
      </c>
      <c r="AW500" s="50" t="s">
        <v>102</v>
      </c>
      <c r="AX500" s="50" t="s">
        <v>119</v>
      </c>
      <c r="BB500" s="50" t="s">
        <v>120</v>
      </c>
      <c r="BC500" s="50" t="s">
        <v>3735</v>
      </c>
      <c r="BD500" s="50" t="s">
        <v>410</v>
      </c>
      <c r="BE500" s="50" t="s">
        <v>212</v>
      </c>
      <c r="BF500" s="50" t="s">
        <v>410</v>
      </c>
      <c r="BG500" s="50" t="s">
        <v>124</v>
      </c>
      <c r="BH500" s="50" t="s">
        <v>11976</v>
      </c>
      <c r="BI500" s="50" t="s">
        <v>11889</v>
      </c>
      <c r="BJ500" s="50" t="s">
        <v>127</v>
      </c>
      <c r="BK500" s="50" t="s">
        <v>16376</v>
      </c>
      <c r="BL500" s="50" t="s">
        <v>6512</v>
      </c>
      <c r="BM500" s="50" t="s">
        <v>16377</v>
      </c>
      <c r="BN500" s="50" t="s">
        <v>12644</v>
      </c>
      <c r="BO500" s="50" t="s">
        <v>896</v>
      </c>
      <c r="BP500" s="50" t="s">
        <v>132</v>
      </c>
      <c r="BQ500" s="50" t="s">
        <v>897</v>
      </c>
      <c r="BR500" s="50" t="s">
        <v>898</v>
      </c>
      <c r="BS500" s="50" t="s">
        <v>899</v>
      </c>
      <c r="BU500" s="50" t="s">
        <v>16378</v>
      </c>
      <c r="BV500" s="50" t="s">
        <v>16379</v>
      </c>
      <c r="BW500" s="50" t="s">
        <v>138</v>
      </c>
      <c r="BX500" s="50" t="s">
        <v>6516</v>
      </c>
      <c r="BY500" s="50" t="s">
        <v>16380</v>
      </c>
      <c r="BZ500" s="50" t="s">
        <v>6518</v>
      </c>
      <c r="CA500" s="50" t="s">
        <v>6515</v>
      </c>
      <c r="CB500" s="50" t="s">
        <v>16381</v>
      </c>
      <c r="CC500" s="50" t="s">
        <v>16380</v>
      </c>
      <c r="CD500" s="50" t="s">
        <v>6515</v>
      </c>
      <c r="CE500" s="50" t="s">
        <v>16381</v>
      </c>
      <c r="CF500" s="50" t="s">
        <v>16380</v>
      </c>
      <c r="CG500" s="50" t="s">
        <v>907</v>
      </c>
      <c r="CH500" s="50" t="s">
        <v>6523</v>
      </c>
      <c r="CJ500" s="50" t="s">
        <v>3807</v>
      </c>
      <c r="CK500" s="50" t="s">
        <v>6521</v>
      </c>
      <c r="CL500" s="50" t="s">
        <v>3735</v>
      </c>
      <c r="CM500" s="50" t="s">
        <v>410</v>
      </c>
      <c r="CN500" s="50" t="s">
        <v>3807</v>
      </c>
      <c r="CO500" s="50" t="s">
        <v>6522</v>
      </c>
      <c r="CP500" s="50" t="s">
        <v>6523</v>
      </c>
      <c r="CQ500" s="50" t="s">
        <v>6523</v>
      </c>
      <c r="CR500" s="50" t="s">
        <v>26040</v>
      </c>
    </row>
    <row r="501" spans="1:96">
      <c r="A501" s="50" t="s">
        <v>149</v>
      </c>
      <c r="B501" s="50">
        <v>3992812</v>
      </c>
      <c r="C501" s="50" t="s">
        <v>12423</v>
      </c>
      <c r="D501" s="50" t="s">
        <v>8238</v>
      </c>
      <c r="E501" s="50" t="e">
        <f>VLOOKUP(B501,aa!B:F,5,0)</f>
        <v>#N/A</v>
      </c>
      <c r="F501" s="50" t="e">
        <f>VLOOKUP(B501,aa!B:J,9,0)</f>
        <v>#N/A</v>
      </c>
      <c r="G501" s="50" t="e">
        <f>VLOOKUP(B501,aa!B:L,11,0)</f>
        <v>#N/A</v>
      </c>
      <c r="H501" s="50" t="e">
        <f>VLOOKUP(B501,aa!B:O,14,0)</f>
        <v>#N/A</v>
      </c>
      <c r="I501" s="50" t="e">
        <f>VLOOKUP(B501,aa!B:R,17,0)</f>
        <v>#N/A</v>
      </c>
      <c r="K501" s="50" t="s">
        <v>848</v>
      </c>
      <c r="L501" s="50">
        <v>0</v>
      </c>
      <c r="M501" s="50">
        <v>0</v>
      </c>
      <c r="N501" s="50">
        <v>0</v>
      </c>
      <c r="O501" s="50">
        <v>0</v>
      </c>
      <c r="Q501" s="50">
        <v>0</v>
      </c>
      <c r="R501" s="50">
        <v>0</v>
      </c>
      <c r="T501" s="50">
        <v>0</v>
      </c>
      <c r="U501" s="50">
        <v>353</v>
      </c>
      <c r="V501" s="50" t="s">
        <v>102</v>
      </c>
      <c r="W501" s="50" t="s">
        <v>102</v>
      </c>
      <c r="X501" s="50" t="s">
        <v>275</v>
      </c>
      <c r="Z501" s="50" t="s">
        <v>1408</v>
      </c>
      <c r="AA501" s="50" t="s">
        <v>109</v>
      </c>
      <c r="AB501" s="50" t="s">
        <v>102</v>
      </c>
      <c r="AC501" s="50" t="s">
        <v>109</v>
      </c>
      <c r="AD501" s="50" t="s">
        <v>102</v>
      </c>
      <c r="AE501" s="50" t="s">
        <v>109</v>
      </c>
      <c r="AF501" s="50" t="s">
        <v>102</v>
      </c>
      <c r="AG501" s="50" t="s">
        <v>109</v>
      </c>
      <c r="AH501" s="50" t="s">
        <v>102</v>
      </c>
      <c r="AI501" s="50" t="s">
        <v>102</v>
      </c>
      <c r="AL501" s="50" t="s">
        <v>102</v>
      </c>
      <c r="AM501" s="50" t="s">
        <v>102</v>
      </c>
      <c r="AN501" s="50" t="s">
        <v>102</v>
      </c>
      <c r="AO501" s="50" t="s">
        <v>115</v>
      </c>
      <c r="AP501" s="50" t="s">
        <v>115</v>
      </c>
      <c r="AU501" s="50" t="s">
        <v>102</v>
      </c>
      <c r="AW501" s="50" t="s">
        <v>102</v>
      </c>
      <c r="AX501" s="50" t="s">
        <v>119</v>
      </c>
      <c r="BA501" s="50" t="s">
        <v>250</v>
      </c>
      <c r="BB501" s="50" t="s">
        <v>120</v>
      </c>
      <c r="BC501" s="50" t="s">
        <v>8240</v>
      </c>
      <c r="BD501" s="50" t="s">
        <v>410</v>
      </c>
      <c r="BE501" s="50" t="s">
        <v>212</v>
      </c>
      <c r="BF501" s="50" t="s">
        <v>410</v>
      </c>
      <c r="BG501" s="50" t="s">
        <v>124</v>
      </c>
      <c r="BH501" s="50" t="s">
        <v>4563</v>
      </c>
      <c r="BI501" s="50" t="s">
        <v>11960</v>
      </c>
      <c r="BJ501" s="50" t="s">
        <v>127</v>
      </c>
      <c r="BK501" s="50" t="s">
        <v>17571</v>
      </c>
      <c r="BL501" s="50" t="s">
        <v>8242</v>
      </c>
      <c r="BM501" s="50" t="s">
        <v>17572</v>
      </c>
      <c r="BN501" s="50" t="s">
        <v>12644</v>
      </c>
      <c r="BO501" s="50" t="s">
        <v>866</v>
      </c>
      <c r="BP501" s="50" t="s">
        <v>505</v>
      </c>
      <c r="BQ501" s="50" t="s">
        <v>867</v>
      </c>
      <c r="BR501" s="50" t="s">
        <v>868</v>
      </c>
      <c r="BS501" s="50" t="s">
        <v>2151</v>
      </c>
      <c r="BU501" s="50" t="s">
        <v>17573</v>
      </c>
      <c r="BV501" s="50" t="s">
        <v>224</v>
      </c>
      <c r="BW501" s="50" t="s">
        <v>598</v>
      </c>
      <c r="BX501" s="50" t="s">
        <v>225</v>
      </c>
      <c r="BY501" s="50" t="s">
        <v>226</v>
      </c>
      <c r="BZ501" s="50" t="s">
        <v>8246</v>
      </c>
      <c r="CA501" s="50" t="s">
        <v>224</v>
      </c>
      <c r="CB501" s="50" t="s">
        <v>225</v>
      </c>
      <c r="CC501" s="50" t="s">
        <v>226</v>
      </c>
      <c r="CD501" s="50" t="s">
        <v>224</v>
      </c>
      <c r="CE501" s="50" t="s">
        <v>225</v>
      </c>
      <c r="CF501" s="50" t="s">
        <v>226</v>
      </c>
      <c r="CG501" s="50" t="s">
        <v>102</v>
      </c>
      <c r="CH501" s="50" t="s">
        <v>8247</v>
      </c>
      <c r="CJ501" s="50" t="s">
        <v>8248</v>
      </c>
      <c r="CL501" s="50" t="s">
        <v>8240</v>
      </c>
      <c r="CM501" s="50" t="s">
        <v>410</v>
      </c>
      <c r="CN501" s="50" t="s">
        <v>8248</v>
      </c>
      <c r="CP501" s="50" t="s">
        <v>8247</v>
      </c>
      <c r="CQ501" s="50" t="s">
        <v>8247</v>
      </c>
      <c r="CR501" s="50" t="s">
        <v>26048</v>
      </c>
    </row>
    <row r="502" spans="1:96">
      <c r="A502" s="50" t="s">
        <v>149</v>
      </c>
      <c r="B502" s="50">
        <v>530653</v>
      </c>
      <c r="C502" s="50" t="s">
        <v>985</v>
      </c>
      <c r="D502" s="50" t="s">
        <v>10970</v>
      </c>
      <c r="E502" s="50" t="e">
        <f>VLOOKUP(B502,aa!B:F,5,0)</f>
        <v>#N/A</v>
      </c>
      <c r="F502" s="50" t="e">
        <f>VLOOKUP(B502,aa!B:J,9,0)</f>
        <v>#N/A</v>
      </c>
      <c r="G502" s="50" t="e">
        <f>VLOOKUP(B502,aa!B:L,11,0)</f>
        <v>#N/A</v>
      </c>
      <c r="H502" s="50" t="e">
        <f>VLOOKUP(B502,aa!B:O,14,0)</f>
        <v>#N/A</v>
      </c>
      <c r="I502" s="50" t="e">
        <f>VLOOKUP(B502,aa!B:R,17,0)</f>
        <v>#N/A</v>
      </c>
      <c r="K502" s="50" t="s">
        <v>97</v>
      </c>
      <c r="L502" s="50">
        <v>509768</v>
      </c>
      <c r="M502" s="50">
        <v>509768</v>
      </c>
      <c r="N502" s="50">
        <v>509768</v>
      </c>
      <c r="O502" s="50">
        <v>722</v>
      </c>
      <c r="P502" s="50" t="s">
        <v>5793</v>
      </c>
      <c r="Q502" s="50">
        <v>0</v>
      </c>
      <c r="R502" s="50">
        <v>0</v>
      </c>
      <c r="T502" s="50">
        <v>0</v>
      </c>
      <c r="U502" s="50">
        <v>0</v>
      </c>
      <c r="W502" s="50" t="s">
        <v>102</v>
      </c>
      <c r="X502" s="50" t="s">
        <v>103</v>
      </c>
      <c r="Y502" s="50" t="s">
        <v>104</v>
      </c>
      <c r="AA502" s="50" t="s">
        <v>12541</v>
      </c>
      <c r="AB502" s="50" t="s">
        <v>21046</v>
      </c>
      <c r="AC502" s="50" t="s">
        <v>12289</v>
      </c>
      <c r="AD502" s="50" t="s">
        <v>21046</v>
      </c>
      <c r="AE502" s="50" t="s">
        <v>109</v>
      </c>
      <c r="AF502" s="50" t="s">
        <v>102</v>
      </c>
      <c r="AG502" s="50" t="s">
        <v>109</v>
      </c>
      <c r="AH502" s="50" t="s">
        <v>102</v>
      </c>
      <c r="AI502" s="50" t="s">
        <v>21047</v>
      </c>
      <c r="AJ502" s="50" t="s">
        <v>10221</v>
      </c>
      <c r="AK502" s="50" t="s">
        <v>14080</v>
      </c>
      <c r="AL502" s="50" t="s">
        <v>21048</v>
      </c>
      <c r="AM502" s="50" t="s">
        <v>21049</v>
      </c>
      <c r="AN502" s="50" t="s">
        <v>102</v>
      </c>
      <c r="AO502" s="50" t="s">
        <v>5798</v>
      </c>
      <c r="AP502" s="50" t="s">
        <v>5798</v>
      </c>
      <c r="AU502" s="50" t="s">
        <v>318</v>
      </c>
      <c r="AV502" s="50" t="s">
        <v>118</v>
      </c>
      <c r="AW502" s="50" t="s">
        <v>102</v>
      </c>
      <c r="AX502" s="50" t="s">
        <v>119</v>
      </c>
      <c r="BB502" s="50" t="s">
        <v>120</v>
      </c>
      <c r="BC502" s="50" t="s">
        <v>2127</v>
      </c>
      <c r="BD502" s="50" t="s">
        <v>621</v>
      </c>
      <c r="BE502" s="50" t="s">
        <v>622</v>
      </c>
      <c r="BF502" s="50" t="s">
        <v>976</v>
      </c>
      <c r="BG502" s="50" t="s">
        <v>124</v>
      </c>
      <c r="BH502" s="50" t="s">
        <v>2483</v>
      </c>
      <c r="BI502" s="50" t="s">
        <v>11889</v>
      </c>
      <c r="BJ502" s="50" t="s">
        <v>127</v>
      </c>
      <c r="BK502" s="50" t="s">
        <v>21050</v>
      </c>
      <c r="BL502" s="50" t="s">
        <v>10977</v>
      </c>
      <c r="BM502" s="50" t="s">
        <v>21051</v>
      </c>
      <c r="BN502" s="50" t="s">
        <v>12644</v>
      </c>
      <c r="BO502" s="50" t="s">
        <v>981</v>
      </c>
      <c r="BP502" s="50" t="s">
        <v>132</v>
      </c>
      <c r="BQ502" s="50" t="s">
        <v>982</v>
      </c>
      <c r="BR502" s="50" t="s">
        <v>983</v>
      </c>
      <c r="BS502" s="50" t="s">
        <v>984</v>
      </c>
      <c r="BU502" s="50" t="s">
        <v>21052</v>
      </c>
      <c r="BV502" s="50" t="s">
        <v>21053</v>
      </c>
      <c r="BW502" s="50" t="s">
        <v>138</v>
      </c>
      <c r="BX502" s="50" t="s">
        <v>21054</v>
      </c>
      <c r="BY502" s="50" t="s">
        <v>21055</v>
      </c>
      <c r="BZ502" s="50" t="s">
        <v>10981</v>
      </c>
      <c r="CA502" s="50" t="s">
        <v>21053</v>
      </c>
      <c r="CB502" s="50" t="s">
        <v>21054</v>
      </c>
      <c r="CC502" s="50" t="s">
        <v>21055</v>
      </c>
      <c r="CD502" s="50" t="s">
        <v>21056</v>
      </c>
      <c r="CE502" s="50" t="s">
        <v>21057</v>
      </c>
      <c r="CF502" s="50" t="s">
        <v>21058</v>
      </c>
      <c r="CG502" s="50" t="s">
        <v>102</v>
      </c>
      <c r="CH502" s="50" t="s">
        <v>21059</v>
      </c>
      <c r="CJ502" s="50" t="s">
        <v>10984</v>
      </c>
      <c r="CL502" s="50" t="s">
        <v>2127</v>
      </c>
      <c r="CM502" s="50" t="s">
        <v>621</v>
      </c>
      <c r="CN502" s="50" t="s">
        <v>10984</v>
      </c>
      <c r="CO502" s="50" t="s">
        <v>10985</v>
      </c>
      <c r="CP502" s="50" t="s">
        <v>10983</v>
      </c>
      <c r="CQ502" s="50" t="s">
        <v>10983</v>
      </c>
      <c r="CR502" s="50" t="s">
        <v>26047</v>
      </c>
    </row>
    <row r="503" spans="1:96">
      <c r="A503" s="50" t="s">
        <v>149</v>
      </c>
      <c r="B503" s="50">
        <v>619657</v>
      </c>
      <c r="C503" s="50" t="s">
        <v>985</v>
      </c>
      <c r="D503" s="50" t="s">
        <v>11346</v>
      </c>
      <c r="E503" s="50" t="e">
        <f>VLOOKUP(B503,aa!B:F,5,0)</f>
        <v>#N/A</v>
      </c>
      <c r="F503" s="50" t="e">
        <f>VLOOKUP(B503,aa!B:J,9,0)</f>
        <v>#N/A</v>
      </c>
      <c r="G503" s="50" t="e">
        <f>VLOOKUP(B503,aa!B:L,11,0)</f>
        <v>#N/A</v>
      </c>
      <c r="H503" s="50" t="e">
        <f>VLOOKUP(B503,aa!B:O,14,0)</f>
        <v>#N/A</v>
      </c>
      <c r="I503" s="50" t="e">
        <f>VLOOKUP(B503,aa!B:R,17,0)</f>
        <v>#N/A</v>
      </c>
      <c r="K503" s="50" t="s">
        <v>97</v>
      </c>
      <c r="L503" s="50">
        <v>210403</v>
      </c>
      <c r="M503" s="50">
        <v>210403</v>
      </c>
      <c r="N503" s="50">
        <v>210403</v>
      </c>
      <c r="O503" s="50">
        <v>298</v>
      </c>
      <c r="P503" s="50" t="s">
        <v>5793</v>
      </c>
      <c r="Q503" s="50">
        <v>0</v>
      </c>
      <c r="R503" s="50">
        <v>0</v>
      </c>
      <c r="T503" s="50">
        <v>0</v>
      </c>
      <c r="U503" s="50">
        <v>0</v>
      </c>
      <c r="W503" s="50" t="s">
        <v>102</v>
      </c>
      <c r="X503" s="50" t="s">
        <v>103</v>
      </c>
      <c r="Y503" s="50" t="s">
        <v>104</v>
      </c>
      <c r="AA503" s="50" t="s">
        <v>12541</v>
      </c>
      <c r="AB503" s="50" t="s">
        <v>21258</v>
      </c>
      <c r="AC503" s="50" t="s">
        <v>12289</v>
      </c>
      <c r="AD503" s="50" t="s">
        <v>21258</v>
      </c>
      <c r="AE503" s="50" t="s">
        <v>109</v>
      </c>
      <c r="AF503" s="50" t="s">
        <v>102</v>
      </c>
      <c r="AG503" s="50" t="s">
        <v>109</v>
      </c>
      <c r="AH503" s="50" t="s">
        <v>102</v>
      </c>
      <c r="AI503" s="50" t="s">
        <v>21259</v>
      </c>
      <c r="AJ503" s="50" t="s">
        <v>13064</v>
      </c>
      <c r="AK503" s="50" t="s">
        <v>21260</v>
      </c>
      <c r="AL503" s="50" t="s">
        <v>21261</v>
      </c>
      <c r="AM503" s="50" t="s">
        <v>21262</v>
      </c>
      <c r="AN503" s="50" t="s">
        <v>104</v>
      </c>
      <c r="AO503" s="50" t="s">
        <v>5798</v>
      </c>
      <c r="AP503" s="50" t="s">
        <v>5798</v>
      </c>
      <c r="AU503" s="50" t="s">
        <v>318</v>
      </c>
      <c r="AV503" s="50" t="s">
        <v>118</v>
      </c>
      <c r="AW503" s="50" t="s">
        <v>102</v>
      </c>
      <c r="AX503" s="50" t="s">
        <v>119</v>
      </c>
      <c r="BB503" s="50" t="s">
        <v>120</v>
      </c>
      <c r="BC503" s="50" t="s">
        <v>2127</v>
      </c>
      <c r="BD503" s="50" t="s">
        <v>621</v>
      </c>
      <c r="BE503" s="50" t="s">
        <v>622</v>
      </c>
      <c r="BF503" s="50" t="s">
        <v>976</v>
      </c>
      <c r="BG503" s="50" t="s">
        <v>124</v>
      </c>
      <c r="BH503" s="50" t="s">
        <v>2483</v>
      </c>
      <c r="BI503" s="50" t="s">
        <v>11889</v>
      </c>
      <c r="BJ503" s="50" t="s">
        <v>127</v>
      </c>
      <c r="BK503" s="50" t="s">
        <v>21263</v>
      </c>
      <c r="BL503" s="50" t="s">
        <v>11353</v>
      </c>
      <c r="BM503" s="50" t="s">
        <v>21264</v>
      </c>
      <c r="BN503" s="50" t="s">
        <v>12644</v>
      </c>
      <c r="BO503" s="50" t="s">
        <v>981</v>
      </c>
      <c r="BP503" s="50" t="s">
        <v>132</v>
      </c>
      <c r="BQ503" s="50" t="s">
        <v>982</v>
      </c>
      <c r="BR503" s="50" t="s">
        <v>983</v>
      </c>
      <c r="BS503" s="50" t="s">
        <v>984</v>
      </c>
      <c r="BU503" s="50" t="s">
        <v>21265</v>
      </c>
      <c r="BV503" s="50" t="s">
        <v>11356</v>
      </c>
      <c r="BW503" s="50" t="s">
        <v>138</v>
      </c>
      <c r="BX503" s="50" t="s">
        <v>11357</v>
      </c>
      <c r="BY503" s="50" t="s">
        <v>11358</v>
      </c>
      <c r="BZ503" s="50" t="s">
        <v>11357</v>
      </c>
      <c r="CA503" s="50" t="s">
        <v>11356</v>
      </c>
      <c r="CB503" s="50" t="s">
        <v>11357</v>
      </c>
      <c r="CC503" s="50" t="s">
        <v>11358</v>
      </c>
      <c r="CD503" s="50" t="s">
        <v>21266</v>
      </c>
      <c r="CE503" s="50" t="s">
        <v>21267</v>
      </c>
      <c r="CF503" s="50" t="s">
        <v>21268</v>
      </c>
      <c r="CG503" s="50" t="s">
        <v>102</v>
      </c>
      <c r="CH503" s="50" t="s">
        <v>21269</v>
      </c>
      <c r="CJ503" s="50" t="s">
        <v>11360</v>
      </c>
      <c r="CL503" s="50" t="s">
        <v>2127</v>
      </c>
      <c r="CM503" s="50" t="s">
        <v>621</v>
      </c>
      <c r="CN503" s="50" t="s">
        <v>11360</v>
      </c>
      <c r="CO503" s="50" t="s">
        <v>11361</v>
      </c>
      <c r="CP503" s="50" t="s">
        <v>11362</v>
      </c>
      <c r="CQ503" s="50" t="s">
        <v>11359</v>
      </c>
      <c r="CR503" s="50" t="s">
        <v>26047</v>
      </c>
    </row>
    <row r="504" spans="1:96">
      <c r="A504" s="50" t="s">
        <v>93</v>
      </c>
      <c r="B504" s="50">
        <v>5017598</v>
      </c>
      <c r="C504" s="50" t="s">
        <v>418</v>
      </c>
      <c r="D504" s="50" t="s">
        <v>19090</v>
      </c>
      <c r="E504" s="50" t="e">
        <f>VLOOKUP(B504,aa!B:F,5,0)</f>
        <v>#N/A</v>
      </c>
      <c r="F504" s="50" t="e">
        <f>VLOOKUP(B504,aa!B:J,9,0)</f>
        <v>#N/A</v>
      </c>
      <c r="G504" s="50" t="e">
        <f>VLOOKUP(B504,aa!B:L,11,0)</f>
        <v>#N/A</v>
      </c>
      <c r="H504" s="50" t="e">
        <f>VLOOKUP(B504,aa!B:O,14,0)</f>
        <v>#N/A</v>
      </c>
      <c r="I504" s="50" t="e">
        <f>VLOOKUP(B504,aa!B:R,17,0)</f>
        <v>#N/A</v>
      </c>
      <c r="K504" s="50" t="s">
        <v>848</v>
      </c>
      <c r="L504" s="50">
        <v>191060</v>
      </c>
      <c r="M504" s="50">
        <v>225451</v>
      </c>
      <c r="N504" s="50">
        <v>0</v>
      </c>
      <c r="O504" s="50">
        <v>0</v>
      </c>
      <c r="Q504" s="50">
        <v>0</v>
      </c>
      <c r="R504" s="50">
        <v>0</v>
      </c>
      <c r="T504" s="50">
        <v>191060</v>
      </c>
      <c r="U504" s="50">
        <v>196</v>
      </c>
      <c r="V504" s="50" t="s">
        <v>15864</v>
      </c>
      <c r="W504" s="50" t="s">
        <v>102</v>
      </c>
      <c r="X504" s="50" t="s">
        <v>103</v>
      </c>
      <c r="Y504" s="50" t="s">
        <v>104</v>
      </c>
      <c r="AA504" s="50" t="s">
        <v>1408</v>
      </c>
      <c r="AB504" s="50" t="s">
        <v>19091</v>
      </c>
      <c r="AC504" s="50" t="s">
        <v>14024</v>
      </c>
      <c r="AD504" s="50" t="s">
        <v>19091</v>
      </c>
      <c r="AE504" s="50" t="s">
        <v>109</v>
      </c>
      <c r="AF504" s="50" t="s">
        <v>102</v>
      </c>
      <c r="AG504" s="50" t="s">
        <v>109</v>
      </c>
      <c r="AH504" s="50" t="s">
        <v>102</v>
      </c>
      <c r="AI504" s="50" t="s">
        <v>102</v>
      </c>
      <c r="AJ504" s="50" t="s">
        <v>9840</v>
      </c>
      <c r="AK504" s="50" t="s">
        <v>9840</v>
      </c>
      <c r="AL504" s="50" t="s">
        <v>19092</v>
      </c>
      <c r="AM504" s="50" t="s">
        <v>19093</v>
      </c>
      <c r="AN504" s="50" t="s">
        <v>19094</v>
      </c>
      <c r="AO504" s="50" t="s">
        <v>15867</v>
      </c>
      <c r="AP504" s="50" t="s">
        <v>15867</v>
      </c>
      <c r="AU504" s="50" t="s">
        <v>102</v>
      </c>
      <c r="AW504" s="50" t="s">
        <v>102</v>
      </c>
      <c r="AX504" s="50" t="s">
        <v>119</v>
      </c>
      <c r="BA504" s="50" t="s">
        <v>250</v>
      </c>
      <c r="BB504" s="50" t="s">
        <v>120</v>
      </c>
      <c r="BC504" s="50" t="s">
        <v>3214</v>
      </c>
      <c r="BD504" s="50" t="s">
        <v>410</v>
      </c>
      <c r="BE504" s="50" t="s">
        <v>212</v>
      </c>
      <c r="BF504" s="50" t="s">
        <v>410</v>
      </c>
      <c r="BG504" s="50" t="s">
        <v>124</v>
      </c>
      <c r="BH504" s="50" t="s">
        <v>11976</v>
      </c>
      <c r="BI504" s="50" t="s">
        <v>11889</v>
      </c>
      <c r="BJ504" s="50" t="s">
        <v>127</v>
      </c>
      <c r="BK504" s="50" t="s">
        <v>19095</v>
      </c>
      <c r="BL504" s="50" t="s">
        <v>10068</v>
      </c>
      <c r="BM504" s="50" t="s">
        <v>19096</v>
      </c>
      <c r="BN504" s="50" t="s">
        <v>12541</v>
      </c>
      <c r="BO504" s="50" t="s">
        <v>896</v>
      </c>
      <c r="BP504" s="50" t="s">
        <v>505</v>
      </c>
      <c r="BQ504" s="50" t="s">
        <v>897</v>
      </c>
      <c r="BR504" s="50" t="s">
        <v>898</v>
      </c>
      <c r="BS504" s="50" t="s">
        <v>899</v>
      </c>
      <c r="BT504" s="50" t="s">
        <v>900</v>
      </c>
      <c r="BU504" s="50" t="s">
        <v>19097</v>
      </c>
      <c r="BV504" s="50" t="s">
        <v>19098</v>
      </c>
      <c r="BW504" s="50" t="s">
        <v>138</v>
      </c>
      <c r="BX504" s="50" t="s">
        <v>3221</v>
      </c>
      <c r="BY504" s="50" t="s">
        <v>3222</v>
      </c>
      <c r="BZ504" s="50" t="s">
        <v>3221</v>
      </c>
      <c r="CA504" s="50" t="s">
        <v>19098</v>
      </c>
      <c r="CB504" s="50" t="s">
        <v>3221</v>
      </c>
      <c r="CC504" s="50" t="s">
        <v>3222</v>
      </c>
      <c r="CD504" s="50" t="s">
        <v>19098</v>
      </c>
      <c r="CE504" s="50" t="s">
        <v>3221</v>
      </c>
      <c r="CF504" s="50" t="s">
        <v>3222</v>
      </c>
      <c r="CG504" s="50" t="s">
        <v>2270</v>
      </c>
      <c r="CH504" s="50" t="s">
        <v>10075</v>
      </c>
      <c r="CJ504" s="50" t="s">
        <v>3225</v>
      </c>
      <c r="CK504" s="50" t="s">
        <v>10075</v>
      </c>
      <c r="CL504" s="50" t="s">
        <v>3214</v>
      </c>
      <c r="CM504" s="50" t="s">
        <v>10076</v>
      </c>
      <c r="CN504" s="50" t="s">
        <v>3225</v>
      </c>
      <c r="CP504" s="50" t="s">
        <v>10075</v>
      </c>
      <c r="CQ504" s="50" t="s">
        <v>10075</v>
      </c>
      <c r="CR504" s="50" t="s">
        <v>26044</v>
      </c>
    </row>
    <row r="505" spans="1:96">
      <c r="A505" s="50" t="s">
        <v>149</v>
      </c>
      <c r="B505" s="50">
        <v>5004172</v>
      </c>
      <c r="C505" s="50" t="s">
        <v>293</v>
      </c>
      <c r="D505" s="50" t="s">
        <v>9230</v>
      </c>
      <c r="E505" s="50" t="e">
        <f>VLOOKUP(B505,aa!B:F,5,0)</f>
        <v>#N/A</v>
      </c>
      <c r="F505" s="50" t="e">
        <f>VLOOKUP(B505,aa!B:J,9,0)</f>
        <v>#N/A</v>
      </c>
      <c r="G505" s="50" t="e">
        <f>VLOOKUP(B505,aa!B:L,11,0)</f>
        <v>#N/A</v>
      </c>
      <c r="H505" s="50" t="e">
        <f>VLOOKUP(B505,aa!B:O,14,0)</f>
        <v>#N/A</v>
      </c>
      <c r="I505" s="50" t="e">
        <f>VLOOKUP(B505,aa!B:R,17,0)</f>
        <v>#N/A</v>
      </c>
      <c r="K505" s="50" t="s">
        <v>2163</v>
      </c>
      <c r="L505" s="50">
        <v>0</v>
      </c>
      <c r="M505" s="50">
        <v>0</v>
      </c>
      <c r="N505" s="50">
        <v>0</v>
      </c>
      <c r="O505" s="50">
        <v>110</v>
      </c>
      <c r="P505" s="50" t="s">
        <v>102</v>
      </c>
      <c r="Q505" s="50">
        <v>0</v>
      </c>
      <c r="R505" s="50">
        <v>113</v>
      </c>
      <c r="S505" s="50" t="s">
        <v>102</v>
      </c>
      <c r="T505" s="50">
        <v>0</v>
      </c>
      <c r="U505" s="50">
        <v>112</v>
      </c>
      <c r="V505" s="50" t="s">
        <v>102</v>
      </c>
      <c r="W505" s="50" t="s">
        <v>102</v>
      </c>
      <c r="X505" s="50" t="s">
        <v>275</v>
      </c>
      <c r="Z505" s="50" t="s">
        <v>12675</v>
      </c>
      <c r="AA505" s="50" t="s">
        <v>109</v>
      </c>
      <c r="AB505" s="50" t="s">
        <v>102</v>
      </c>
      <c r="AC505" s="50" t="s">
        <v>109</v>
      </c>
      <c r="AD505" s="50" t="s">
        <v>102</v>
      </c>
      <c r="AE505" s="50" t="s">
        <v>109</v>
      </c>
      <c r="AF505" s="50" t="s">
        <v>102</v>
      </c>
      <c r="AG505" s="50" t="s">
        <v>109</v>
      </c>
      <c r="AH505" s="50" t="s">
        <v>102</v>
      </c>
      <c r="AI505" s="50" t="s">
        <v>102</v>
      </c>
      <c r="AL505" s="50" t="s">
        <v>102</v>
      </c>
      <c r="AM505" s="50" t="s">
        <v>102</v>
      </c>
      <c r="AN505" s="50" t="s">
        <v>102</v>
      </c>
      <c r="AO505" s="50" t="s">
        <v>115</v>
      </c>
      <c r="AP505" s="50" t="s">
        <v>115</v>
      </c>
      <c r="AU505" s="50" t="s">
        <v>18576</v>
      </c>
      <c r="AV505" s="50" t="s">
        <v>250</v>
      </c>
      <c r="AW505" s="50" t="s">
        <v>1103</v>
      </c>
      <c r="AX505" s="50" t="s">
        <v>119</v>
      </c>
      <c r="AZ505" s="50" t="s">
        <v>250</v>
      </c>
      <c r="BA505" s="50" t="s">
        <v>250</v>
      </c>
      <c r="BB505" s="50" t="s">
        <v>209</v>
      </c>
      <c r="BC505" s="50" t="s">
        <v>7718</v>
      </c>
      <c r="BD505" s="50" t="s">
        <v>211</v>
      </c>
      <c r="BE505" s="50" t="s">
        <v>212</v>
      </c>
      <c r="BF505" s="50" t="s">
        <v>213</v>
      </c>
      <c r="BG505" s="50" t="s">
        <v>124</v>
      </c>
      <c r="BH505" s="50" t="s">
        <v>11959</v>
      </c>
      <c r="BI505" s="50" t="s">
        <v>11960</v>
      </c>
      <c r="BJ505" s="50" t="s">
        <v>127</v>
      </c>
      <c r="BK505" s="50" t="s">
        <v>18577</v>
      </c>
      <c r="BL505" s="50" t="s">
        <v>9233</v>
      </c>
      <c r="BM505" s="50" t="s">
        <v>18578</v>
      </c>
      <c r="BN505" s="50" t="s">
        <v>18575</v>
      </c>
      <c r="BO505" s="50" t="s">
        <v>1880</v>
      </c>
      <c r="BP505" s="50" t="s">
        <v>505</v>
      </c>
      <c r="BQ505" s="50" t="s">
        <v>1882</v>
      </c>
      <c r="BR505" s="50" t="s">
        <v>1883</v>
      </c>
      <c r="BS505" s="50" t="s">
        <v>483</v>
      </c>
      <c r="BU505" s="50" t="s">
        <v>18579</v>
      </c>
      <c r="BV505" s="50" t="s">
        <v>15748</v>
      </c>
      <c r="BW505" s="50" t="s">
        <v>598</v>
      </c>
      <c r="BX505" s="50" t="s">
        <v>225</v>
      </c>
      <c r="BY505" s="50" t="s">
        <v>18580</v>
      </c>
      <c r="BZ505" s="50" t="s">
        <v>9236</v>
      </c>
      <c r="CA505" s="50" t="s">
        <v>18581</v>
      </c>
      <c r="CB505" s="50" t="s">
        <v>18582</v>
      </c>
      <c r="CC505" s="50" t="s">
        <v>18583</v>
      </c>
      <c r="CD505" s="50" t="s">
        <v>18584</v>
      </c>
      <c r="CE505" s="50" t="s">
        <v>18585</v>
      </c>
      <c r="CF505" s="50" t="s">
        <v>18586</v>
      </c>
      <c r="CG505" s="50" t="s">
        <v>102</v>
      </c>
      <c r="CH505" s="50" t="s">
        <v>18587</v>
      </c>
      <c r="CJ505" s="50" t="s">
        <v>5844</v>
      </c>
      <c r="CL505" s="50" t="s">
        <v>7718</v>
      </c>
      <c r="CM505" s="50" t="s">
        <v>211</v>
      </c>
      <c r="CN505" s="50" t="s">
        <v>5844</v>
      </c>
      <c r="CP505" s="50" t="s">
        <v>9237</v>
      </c>
      <c r="CQ505" s="50" t="s">
        <v>9237</v>
      </c>
      <c r="CR505" s="50" t="s">
        <v>26048</v>
      </c>
    </row>
    <row r="506" spans="1:96">
      <c r="A506" s="50" t="s">
        <v>149</v>
      </c>
      <c r="B506" s="50">
        <v>5004125</v>
      </c>
      <c r="C506" s="50" t="s">
        <v>11947</v>
      </c>
      <c r="D506" s="50" t="s">
        <v>9209</v>
      </c>
      <c r="E506" s="50" t="e">
        <f>VLOOKUP(B506,aa!B:F,5,0)</f>
        <v>#N/A</v>
      </c>
      <c r="F506" s="50" t="e">
        <f>VLOOKUP(B506,aa!B:J,9,0)</f>
        <v>#N/A</v>
      </c>
      <c r="G506" s="50" t="e">
        <f>VLOOKUP(B506,aa!B:L,11,0)</f>
        <v>#N/A</v>
      </c>
      <c r="H506" s="50" t="e">
        <f>VLOOKUP(B506,aa!B:O,14,0)</f>
        <v>#N/A</v>
      </c>
      <c r="I506" s="50" t="e">
        <f>VLOOKUP(B506,aa!B:R,17,0)</f>
        <v>#N/A</v>
      </c>
      <c r="K506" s="50" t="s">
        <v>97</v>
      </c>
      <c r="L506" s="50">
        <v>381617</v>
      </c>
      <c r="M506" s="50">
        <v>381617</v>
      </c>
      <c r="N506" s="50">
        <v>381617</v>
      </c>
      <c r="O506" s="50">
        <v>481</v>
      </c>
      <c r="P506" s="50" t="s">
        <v>18563</v>
      </c>
      <c r="Q506" s="50">
        <v>0</v>
      </c>
      <c r="R506" s="50">
        <v>0</v>
      </c>
      <c r="T506" s="50">
        <v>0</v>
      </c>
      <c r="U506" s="50">
        <v>0</v>
      </c>
      <c r="W506" s="50" t="s">
        <v>102</v>
      </c>
      <c r="X506" s="50" t="s">
        <v>103</v>
      </c>
      <c r="Y506" s="50" t="s">
        <v>104</v>
      </c>
      <c r="AA506" s="50" t="s">
        <v>1547</v>
      </c>
      <c r="AB506" s="50" t="s">
        <v>18564</v>
      </c>
      <c r="AC506" s="50" t="s">
        <v>14024</v>
      </c>
      <c r="AD506" s="50" t="s">
        <v>18564</v>
      </c>
      <c r="AE506" s="50" t="s">
        <v>109</v>
      </c>
      <c r="AF506" s="50" t="s">
        <v>102</v>
      </c>
      <c r="AG506" s="50" t="s">
        <v>109</v>
      </c>
      <c r="AH506" s="50" t="s">
        <v>102</v>
      </c>
      <c r="AI506" s="50" t="s">
        <v>18565</v>
      </c>
      <c r="AJ506" s="50" t="s">
        <v>12467</v>
      </c>
      <c r="AK506" s="50" t="s">
        <v>14026</v>
      </c>
      <c r="AL506" s="50" t="s">
        <v>18566</v>
      </c>
      <c r="AM506" s="50" t="s">
        <v>18567</v>
      </c>
      <c r="AN506" s="50" t="s">
        <v>398</v>
      </c>
      <c r="AO506" s="50" t="s">
        <v>16387</v>
      </c>
      <c r="AP506" s="50" t="s">
        <v>16387</v>
      </c>
      <c r="AU506" s="50" t="s">
        <v>117</v>
      </c>
      <c r="AV506" s="50" t="s">
        <v>118</v>
      </c>
      <c r="AW506" s="50" t="s">
        <v>102</v>
      </c>
      <c r="AX506" s="50" t="s">
        <v>119</v>
      </c>
      <c r="BB506" s="50" t="s">
        <v>120</v>
      </c>
      <c r="BC506" s="50" t="s">
        <v>920</v>
      </c>
      <c r="BD506" s="50" t="s">
        <v>211</v>
      </c>
      <c r="BE506" s="50" t="s">
        <v>212</v>
      </c>
      <c r="BF506" s="50" t="s">
        <v>213</v>
      </c>
      <c r="BG506" s="50" t="s">
        <v>124</v>
      </c>
      <c r="BH506" s="50" t="s">
        <v>11959</v>
      </c>
      <c r="BI506" s="50" t="s">
        <v>11960</v>
      </c>
      <c r="BJ506" s="50" t="s">
        <v>127</v>
      </c>
      <c r="BK506" s="50" t="s">
        <v>18568</v>
      </c>
      <c r="BL506" s="50" t="s">
        <v>9216</v>
      </c>
      <c r="BM506" s="50" t="s">
        <v>18569</v>
      </c>
      <c r="BN506" s="50" t="s">
        <v>9840</v>
      </c>
      <c r="BO506" s="50" t="s">
        <v>1880</v>
      </c>
      <c r="BP506" s="50" t="s">
        <v>180</v>
      </c>
      <c r="BQ506" s="50" t="s">
        <v>1882</v>
      </c>
      <c r="BR506" s="50" t="s">
        <v>1883</v>
      </c>
      <c r="BS506" s="50" t="s">
        <v>2151</v>
      </c>
      <c r="BU506" s="50" t="s">
        <v>18570</v>
      </c>
      <c r="BV506" s="50" t="s">
        <v>3585</v>
      </c>
      <c r="BW506" s="50" t="s">
        <v>598</v>
      </c>
      <c r="BX506" s="50" t="s">
        <v>225</v>
      </c>
      <c r="BY506" s="50" t="s">
        <v>226</v>
      </c>
      <c r="BZ506" s="50" t="s">
        <v>9222</v>
      </c>
      <c r="CA506" s="50" t="s">
        <v>18571</v>
      </c>
      <c r="CB506" s="50" t="s">
        <v>18572</v>
      </c>
      <c r="CC506" s="50" t="s">
        <v>226</v>
      </c>
      <c r="CD506" s="50" t="s">
        <v>16567</v>
      </c>
      <c r="CE506" s="50" t="s">
        <v>18573</v>
      </c>
      <c r="CF506" s="50" t="s">
        <v>18574</v>
      </c>
      <c r="CG506" s="50" t="s">
        <v>102</v>
      </c>
      <c r="CH506" s="50" t="s">
        <v>9227</v>
      </c>
      <c r="CJ506" s="50" t="s">
        <v>9228</v>
      </c>
      <c r="CL506" s="50" t="s">
        <v>920</v>
      </c>
      <c r="CM506" s="50" t="s">
        <v>211</v>
      </c>
      <c r="CN506" s="50" t="s">
        <v>9228</v>
      </c>
      <c r="CO506" s="50" t="s">
        <v>9229</v>
      </c>
      <c r="CP506" s="50" t="s">
        <v>9227</v>
      </c>
      <c r="CQ506" s="50" t="s">
        <v>9227</v>
      </c>
      <c r="CR506" s="50" t="s">
        <v>26040</v>
      </c>
    </row>
    <row r="507" spans="1:96">
      <c r="A507" s="50" t="s">
        <v>149</v>
      </c>
      <c r="B507" s="50">
        <v>2503955</v>
      </c>
      <c r="C507" s="50" t="s">
        <v>1279</v>
      </c>
      <c r="D507" s="50" t="s">
        <v>14291</v>
      </c>
      <c r="E507" s="50" t="e">
        <f>VLOOKUP(B507,aa!B:F,5,0)</f>
        <v>#N/A</v>
      </c>
      <c r="F507" s="50" t="e">
        <f>VLOOKUP(B507,aa!B:J,9,0)</f>
        <v>#N/A</v>
      </c>
      <c r="G507" s="50" t="e">
        <f>VLOOKUP(B507,aa!B:L,11,0)</f>
        <v>#N/A</v>
      </c>
      <c r="H507" s="50" t="e">
        <f>VLOOKUP(B507,aa!B:O,14,0)</f>
        <v>#N/A</v>
      </c>
      <c r="I507" s="50" t="e">
        <f>VLOOKUP(B507,aa!B:R,17,0)</f>
        <v>#N/A</v>
      </c>
      <c r="K507" s="50" t="s">
        <v>97</v>
      </c>
      <c r="L507" s="50">
        <v>131047</v>
      </c>
      <c r="M507" s="50">
        <v>131047</v>
      </c>
      <c r="N507" s="50">
        <v>131047</v>
      </c>
      <c r="O507" s="50">
        <v>144</v>
      </c>
      <c r="P507" s="50" t="s">
        <v>1798</v>
      </c>
      <c r="Q507" s="50">
        <v>0</v>
      </c>
      <c r="R507" s="50">
        <v>0</v>
      </c>
      <c r="T507" s="50">
        <v>0</v>
      </c>
      <c r="U507" s="50">
        <v>0</v>
      </c>
      <c r="W507" s="50" t="s">
        <v>102</v>
      </c>
      <c r="X507" s="50" t="s">
        <v>275</v>
      </c>
      <c r="Z507" s="50" t="s">
        <v>14292</v>
      </c>
      <c r="AA507" s="50" t="s">
        <v>109</v>
      </c>
      <c r="AB507" s="50" t="s">
        <v>102</v>
      </c>
      <c r="AC507" s="50" t="s">
        <v>109</v>
      </c>
      <c r="AD507" s="50" t="s">
        <v>102</v>
      </c>
      <c r="AE507" s="50" t="s">
        <v>109</v>
      </c>
      <c r="AF507" s="50" t="s">
        <v>102</v>
      </c>
      <c r="AG507" s="50" t="s">
        <v>109</v>
      </c>
      <c r="AH507" s="50" t="s">
        <v>102</v>
      </c>
      <c r="AI507" s="50" t="s">
        <v>102</v>
      </c>
      <c r="AJ507" s="50" t="s">
        <v>13033</v>
      </c>
      <c r="AK507" s="50" t="s">
        <v>13033</v>
      </c>
      <c r="AL507" s="50" t="s">
        <v>14293</v>
      </c>
      <c r="AM507" s="50" t="s">
        <v>14294</v>
      </c>
      <c r="AN507" s="50" t="s">
        <v>14295</v>
      </c>
      <c r="AO507" s="50" t="s">
        <v>14296</v>
      </c>
      <c r="AP507" s="50" t="s">
        <v>14296</v>
      </c>
      <c r="AU507" s="50" t="s">
        <v>318</v>
      </c>
      <c r="AV507" s="50" t="s">
        <v>118</v>
      </c>
      <c r="AW507" s="50" t="s">
        <v>102</v>
      </c>
      <c r="AX507" s="50" t="s">
        <v>119</v>
      </c>
      <c r="BB507" s="50" t="s">
        <v>171</v>
      </c>
      <c r="BC507" s="50" t="s">
        <v>623</v>
      </c>
      <c r="BD507" s="50" t="s">
        <v>621</v>
      </c>
      <c r="BE507" s="50" t="s">
        <v>622</v>
      </c>
      <c r="BF507" s="50" t="s">
        <v>623</v>
      </c>
      <c r="BG507" s="50" t="s">
        <v>124</v>
      </c>
      <c r="BH507" s="50" t="s">
        <v>11959</v>
      </c>
      <c r="BI507" s="50" t="s">
        <v>11960</v>
      </c>
      <c r="BJ507" s="50" t="s">
        <v>127</v>
      </c>
      <c r="BK507" s="50" t="s">
        <v>14297</v>
      </c>
      <c r="BL507" s="50" t="s">
        <v>3814</v>
      </c>
      <c r="BM507" s="50" t="s">
        <v>14298</v>
      </c>
      <c r="BN507" s="50" t="s">
        <v>14292</v>
      </c>
      <c r="BO507" s="50" t="s">
        <v>629</v>
      </c>
      <c r="BP507" s="50" t="s">
        <v>180</v>
      </c>
      <c r="BQ507" s="50" t="s">
        <v>630</v>
      </c>
      <c r="BR507" s="50" t="s">
        <v>631</v>
      </c>
      <c r="BS507" s="50" t="s">
        <v>1279</v>
      </c>
      <c r="BU507" s="50" t="s">
        <v>14299</v>
      </c>
      <c r="BV507" s="50" t="s">
        <v>3817</v>
      </c>
      <c r="BW507" s="50" t="s">
        <v>138</v>
      </c>
      <c r="BX507" s="50" t="s">
        <v>3818</v>
      </c>
      <c r="BY507" s="50" t="s">
        <v>3819</v>
      </c>
      <c r="BZ507" s="50" t="s">
        <v>3818</v>
      </c>
      <c r="CA507" s="50" t="s">
        <v>3817</v>
      </c>
      <c r="CB507" s="50" t="s">
        <v>3818</v>
      </c>
      <c r="CC507" s="50" t="s">
        <v>3819</v>
      </c>
      <c r="CD507" s="50" t="s">
        <v>3817</v>
      </c>
      <c r="CE507" s="50" t="s">
        <v>3818</v>
      </c>
      <c r="CF507" s="50" t="s">
        <v>3819</v>
      </c>
      <c r="CG507" s="50" t="s">
        <v>102</v>
      </c>
      <c r="CH507" s="50" t="s">
        <v>3820</v>
      </c>
      <c r="CJ507" s="50" t="s">
        <v>3821</v>
      </c>
      <c r="CL507" s="50" t="s">
        <v>623</v>
      </c>
      <c r="CM507" s="50" t="s">
        <v>621</v>
      </c>
      <c r="CN507" s="50" t="s">
        <v>3821</v>
      </c>
      <c r="CP507" s="50" t="s">
        <v>3820</v>
      </c>
      <c r="CQ507" s="50" t="s">
        <v>3820</v>
      </c>
      <c r="CR507" s="50" t="s">
        <v>26042</v>
      </c>
    </row>
    <row r="508" spans="1:96">
      <c r="A508" s="50" t="s">
        <v>93</v>
      </c>
      <c r="B508" s="50">
        <v>3464699</v>
      </c>
      <c r="C508" s="50" t="s">
        <v>12507</v>
      </c>
      <c r="D508" s="50" t="s">
        <v>6171</v>
      </c>
      <c r="E508" s="50" t="str">
        <f>VLOOKUP(B508,aa!B:F,5,0)</f>
        <v>Ei CARES</v>
      </c>
      <c r="F508" s="50">
        <f>VLOOKUP(B508,aa!B:J,9,0)</f>
        <v>420420</v>
      </c>
      <c r="G508" s="50">
        <f>VLOOKUP(B508,aa!B:L,11,0)</f>
        <v>0</v>
      </c>
      <c r="H508" s="50">
        <f>VLOOKUP(B508,aa!B:O,14,0)</f>
        <v>420420</v>
      </c>
      <c r="I508" s="50">
        <f>VLOOKUP(B508,aa!B:R,17,0)</f>
        <v>0</v>
      </c>
      <c r="K508" s="50" t="s">
        <v>152</v>
      </c>
      <c r="L508" s="50">
        <v>195990</v>
      </c>
      <c r="M508" s="50">
        <v>195990</v>
      </c>
      <c r="N508" s="50">
        <v>0</v>
      </c>
      <c r="O508" s="50">
        <v>0</v>
      </c>
      <c r="Q508" s="50">
        <v>195990</v>
      </c>
      <c r="R508" s="50">
        <v>98</v>
      </c>
      <c r="S508" s="50" t="s">
        <v>7192</v>
      </c>
      <c r="T508" s="50">
        <v>0</v>
      </c>
      <c r="U508" s="50">
        <v>0</v>
      </c>
      <c r="W508" s="50" t="s">
        <v>102</v>
      </c>
      <c r="X508" s="50" t="s">
        <v>103</v>
      </c>
      <c r="Y508" s="50" t="s">
        <v>104</v>
      </c>
      <c r="AA508" s="50" t="s">
        <v>12040</v>
      </c>
      <c r="AB508" s="50" t="s">
        <v>16089</v>
      </c>
      <c r="AC508" s="50" t="s">
        <v>13395</v>
      </c>
      <c r="AD508" s="50" t="s">
        <v>16089</v>
      </c>
      <c r="AE508" s="50" t="s">
        <v>109</v>
      </c>
      <c r="AF508" s="50" t="s">
        <v>102</v>
      </c>
      <c r="AG508" s="50" t="s">
        <v>109</v>
      </c>
      <c r="AH508" s="50" t="s">
        <v>102</v>
      </c>
      <c r="AI508" s="50" t="s">
        <v>102</v>
      </c>
      <c r="AJ508" s="50" t="s">
        <v>15873</v>
      </c>
      <c r="AK508" s="50" t="s">
        <v>15873</v>
      </c>
      <c r="AL508" s="50" t="s">
        <v>16090</v>
      </c>
      <c r="AM508" s="50" t="s">
        <v>16089</v>
      </c>
      <c r="AN508" s="50" t="s">
        <v>16089</v>
      </c>
      <c r="AO508" s="50" t="s">
        <v>16091</v>
      </c>
      <c r="AP508" s="50" t="s">
        <v>16092</v>
      </c>
      <c r="AT508" s="50" t="s">
        <v>169</v>
      </c>
      <c r="AU508" s="50" t="s">
        <v>102</v>
      </c>
      <c r="AW508" s="50" t="s">
        <v>155</v>
      </c>
      <c r="AX508" s="50" t="s">
        <v>447</v>
      </c>
      <c r="AY508" s="50" t="s">
        <v>170</v>
      </c>
      <c r="AZ508" s="50" t="s">
        <v>118</v>
      </c>
      <c r="BB508" s="50" t="s">
        <v>120</v>
      </c>
      <c r="BC508" s="50" t="s">
        <v>6176</v>
      </c>
      <c r="BD508" s="50" t="s">
        <v>556</v>
      </c>
      <c r="BE508" s="50" t="s">
        <v>122</v>
      </c>
      <c r="BF508" s="50" t="s">
        <v>557</v>
      </c>
      <c r="BG508" s="50" t="s">
        <v>124</v>
      </c>
      <c r="BH508" s="50" t="s">
        <v>11976</v>
      </c>
      <c r="BI508" s="50" t="s">
        <v>11889</v>
      </c>
      <c r="BJ508" s="50" t="s">
        <v>127</v>
      </c>
      <c r="BK508" s="50" t="s">
        <v>16093</v>
      </c>
      <c r="BL508" s="50" t="s">
        <v>6179</v>
      </c>
      <c r="BM508" s="50" t="s">
        <v>16094</v>
      </c>
      <c r="BN508" s="50" t="s">
        <v>14292</v>
      </c>
      <c r="BO508" s="50" t="s">
        <v>12743</v>
      </c>
      <c r="BP508" s="50" t="s">
        <v>350</v>
      </c>
      <c r="BQ508" s="50" t="s">
        <v>12744</v>
      </c>
      <c r="BR508" s="50" t="s">
        <v>12745</v>
      </c>
      <c r="BS508" s="50" t="s">
        <v>1074</v>
      </c>
      <c r="BU508" s="50" t="s">
        <v>16095</v>
      </c>
      <c r="BV508" s="50" t="s">
        <v>16096</v>
      </c>
      <c r="BW508" s="50" t="s">
        <v>138</v>
      </c>
      <c r="BX508" s="50" t="s">
        <v>6183</v>
      </c>
      <c r="BY508" s="50" t="s">
        <v>6184</v>
      </c>
      <c r="BZ508" s="50" t="s">
        <v>6183</v>
      </c>
      <c r="CA508" s="50" t="s">
        <v>16096</v>
      </c>
      <c r="CB508" s="50" t="s">
        <v>6183</v>
      </c>
      <c r="CC508" s="50" t="s">
        <v>6184</v>
      </c>
      <c r="CD508" s="50" t="s">
        <v>16096</v>
      </c>
      <c r="CE508" s="50" t="s">
        <v>6183</v>
      </c>
      <c r="CF508" s="50" t="s">
        <v>6184</v>
      </c>
      <c r="CG508" s="50" t="s">
        <v>6185</v>
      </c>
      <c r="CH508" s="50" t="s">
        <v>16097</v>
      </c>
      <c r="CJ508" s="50" t="s">
        <v>6187</v>
      </c>
      <c r="CK508" s="50" t="s">
        <v>16098</v>
      </c>
      <c r="CL508" s="50" t="s">
        <v>6176</v>
      </c>
      <c r="CM508" s="50" t="s">
        <v>556</v>
      </c>
      <c r="CN508" s="50" t="s">
        <v>6187</v>
      </c>
      <c r="CP508" s="50" t="s">
        <v>6186</v>
      </c>
      <c r="CQ508" s="50" t="s">
        <v>6186</v>
      </c>
    </row>
    <row r="509" spans="1:96">
      <c r="A509" s="50" t="s">
        <v>93</v>
      </c>
      <c r="B509" s="50">
        <v>3507484</v>
      </c>
      <c r="C509" s="50" t="s">
        <v>12121</v>
      </c>
      <c r="D509" s="50" t="s">
        <v>6439</v>
      </c>
      <c r="E509" s="50" t="e">
        <f>VLOOKUP(B509,aa!B:F,5,0)</f>
        <v>#N/A</v>
      </c>
      <c r="F509" s="50" t="e">
        <f>VLOOKUP(B509,aa!B:J,9,0)</f>
        <v>#N/A</v>
      </c>
      <c r="G509" s="50" t="e">
        <f>VLOOKUP(B509,aa!B:L,11,0)</f>
        <v>#N/A</v>
      </c>
      <c r="H509" s="50" t="e">
        <f>VLOOKUP(B509,aa!B:O,14,0)</f>
        <v>#N/A</v>
      </c>
      <c r="I509" s="50" t="e">
        <f>VLOOKUP(B509,aa!B:R,17,0)</f>
        <v>#N/A</v>
      </c>
      <c r="K509" s="50" t="s">
        <v>152</v>
      </c>
      <c r="L509" s="50">
        <v>340545</v>
      </c>
      <c r="M509" s="50">
        <v>340545</v>
      </c>
      <c r="N509" s="50">
        <v>0</v>
      </c>
      <c r="O509" s="50">
        <v>0</v>
      </c>
      <c r="Q509" s="50">
        <v>340545</v>
      </c>
      <c r="R509" s="50">
        <v>227</v>
      </c>
      <c r="S509" s="50" t="s">
        <v>6441</v>
      </c>
      <c r="T509" s="50">
        <v>0</v>
      </c>
      <c r="U509" s="50">
        <v>0</v>
      </c>
      <c r="W509" s="50" t="s">
        <v>102</v>
      </c>
      <c r="X509" s="50" t="s">
        <v>103</v>
      </c>
      <c r="Y509" s="50" t="s">
        <v>398</v>
      </c>
      <c r="AA509" s="50" t="s">
        <v>11976</v>
      </c>
      <c r="AB509" s="50" t="s">
        <v>16295</v>
      </c>
      <c r="AC509" s="50" t="s">
        <v>12427</v>
      </c>
      <c r="AD509" s="50" t="s">
        <v>16296</v>
      </c>
      <c r="AE509" s="50" t="s">
        <v>12713</v>
      </c>
      <c r="AF509" s="50" t="s">
        <v>16295</v>
      </c>
      <c r="AG509" s="50" t="s">
        <v>109</v>
      </c>
      <c r="AH509" s="50" t="s">
        <v>102</v>
      </c>
      <c r="AI509" s="50" t="s">
        <v>102</v>
      </c>
      <c r="AJ509" s="50" t="s">
        <v>13174</v>
      </c>
      <c r="AK509" s="50" t="s">
        <v>12063</v>
      </c>
      <c r="AL509" s="50" t="s">
        <v>16297</v>
      </c>
      <c r="AM509" s="50" t="s">
        <v>16298</v>
      </c>
      <c r="AN509" s="50" t="s">
        <v>16299</v>
      </c>
      <c r="AO509" s="50" t="s">
        <v>6447</v>
      </c>
      <c r="AP509" s="50" t="s">
        <v>6447</v>
      </c>
      <c r="AU509" s="50" t="s">
        <v>102</v>
      </c>
      <c r="AW509" s="50" t="s">
        <v>155</v>
      </c>
      <c r="AX509" s="50" t="s">
        <v>119</v>
      </c>
      <c r="AY509" s="50" t="s">
        <v>170</v>
      </c>
      <c r="AZ509" s="50" t="s">
        <v>118</v>
      </c>
      <c r="BB509" s="50" t="s">
        <v>209</v>
      </c>
      <c r="BC509" s="50" t="s">
        <v>6448</v>
      </c>
      <c r="BD509" s="50" t="s">
        <v>556</v>
      </c>
      <c r="BE509" s="50" t="s">
        <v>122</v>
      </c>
      <c r="BF509" s="50" t="s">
        <v>557</v>
      </c>
      <c r="BG509" s="50" t="s">
        <v>124</v>
      </c>
      <c r="BH509" s="50" t="s">
        <v>11976</v>
      </c>
      <c r="BI509" s="50" t="s">
        <v>11889</v>
      </c>
      <c r="BJ509" s="50" t="s">
        <v>127</v>
      </c>
      <c r="BK509" s="50" t="s">
        <v>16300</v>
      </c>
      <c r="BL509" s="50" t="s">
        <v>6450</v>
      </c>
      <c r="BM509" s="50" t="s">
        <v>16301</v>
      </c>
      <c r="BN509" s="50" t="s">
        <v>14292</v>
      </c>
      <c r="BO509" s="50" t="s">
        <v>563</v>
      </c>
      <c r="BP509" s="50" t="s">
        <v>350</v>
      </c>
      <c r="BQ509" s="50" t="s">
        <v>564</v>
      </c>
      <c r="BR509" s="50" t="s">
        <v>565</v>
      </c>
      <c r="BS509" s="50" t="s">
        <v>563</v>
      </c>
      <c r="BU509" s="50" t="s">
        <v>16302</v>
      </c>
      <c r="BV509" s="50" t="s">
        <v>6453</v>
      </c>
      <c r="BW509" s="50" t="s">
        <v>138</v>
      </c>
      <c r="BX509" s="50" t="s">
        <v>6456</v>
      </c>
      <c r="BY509" s="50" t="s">
        <v>6455</v>
      </c>
      <c r="BZ509" s="50" t="s">
        <v>6456</v>
      </c>
      <c r="CA509" s="50" t="s">
        <v>6453</v>
      </c>
      <c r="CB509" s="50" t="s">
        <v>6456</v>
      </c>
      <c r="CC509" s="50" t="s">
        <v>6455</v>
      </c>
      <c r="CD509" s="50" t="s">
        <v>16303</v>
      </c>
      <c r="CE509" s="50" t="s">
        <v>6456</v>
      </c>
      <c r="CF509" s="50" t="s">
        <v>15605</v>
      </c>
      <c r="CG509" s="50" t="s">
        <v>6457</v>
      </c>
      <c r="CH509" s="50" t="s">
        <v>16304</v>
      </c>
      <c r="CJ509" s="50" t="s">
        <v>6459</v>
      </c>
      <c r="CK509" s="50" t="s">
        <v>16305</v>
      </c>
      <c r="CL509" s="50" t="s">
        <v>6448</v>
      </c>
      <c r="CM509" s="50" t="s">
        <v>556</v>
      </c>
      <c r="CN509" s="50" t="s">
        <v>6459</v>
      </c>
      <c r="CP509" s="50" t="s">
        <v>6458</v>
      </c>
      <c r="CQ509" s="50" t="s">
        <v>6458</v>
      </c>
    </row>
    <row r="510" spans="1:96">
      <c r="A510" s="50" t="s">
        <v>93</v>
      </c>
      <c r="B510" s="50">
        <v>500529</v>
      </c>
      <c r="C510" s="50" t="s">
        <v>985</v>
      </c>
      <c r="D510" s="50" t="s">
        <v>9262</v>
      </c>
      <c r="E510" s="50" t="e">
        <f>VLOOKUP(B510,aa!B:F,5,0)</f>
        <v>#N/A</v>
      </c>
      <c r="F510" s="50" t="e">
        <f>VLOOKUP(B510,aa!B:J,9,0)</f>
        <v>#N/A</v>
      </c>
      <c r="G510" s="50" t="e">
        <f>VLOOKUP(B510,aa!B:L,11,0)</f>
        <v>#N/A</v>
      </c>
      <c r="H510" s="50" t="e">
        <f>VLOOKUP(B510,aa!B:O,14,0)</f>
        <v>#N/A</v>
      </c>
      <c r="I510" s="50" t="e">
        <f>VLOOKUP(B510,aa!B:R,17,0)</f>
        <v>#N/A</v>
      </c>
      <c r="K510" s="50" t="s">
        <v>97</v>
      </c>
      <c r="L510" s="50">
        <v>1191769</v>
      </c>
      <c r="M510" s="50">
        <v>1191769</v>
      </c>
      <c r="N510" s="50">
        <v>1191769</v>
      </c>
      <c r="O510" s="50">
        <v>1041</v>
      </c>
      <c r="P510" s="50" t="s">
        <v>18588</v>
      </c>
      <c r="Q510" s="50">
        <v>0</v>
      </c>
      <c r="R510" s="50">
        <v>0</v>
      </c>
      <c r="T510" s="50">
        <v>0</v>
      </c>
      <c r="U510" s="50">
        <v>0</v>
      </c>
      <c r="W510" s="50" t="s">
        <v>102</v>
      </c>
      <c r="X510" s="50" t="s">
        <v>103</v>
      </c>
      <c r="Y510" s="50" t="s">
        <v>104</v>
      </c>
      <c r="AA510" s="50" t="s">
        <v>12312</v>
      </c>
      <c r="AB510" s="50" t="s">
        <v>18589</v>
      </c>
      <c r="AC510" s="50" t="s">
        <v>12289</v>
      </c>
      <c r="AD510" s="50" t="s">
        <v>18589</v>
      </c>
      <c r="AE510" s="50" t="s">
        <v>109</v>
      </c>
      <c r="AF510" s="50" t="s">
        <v>102</v>
      </c>
      <c r="AG510" s="50" t="s">
        <v>109</v>
      </c>
      <c r="AH510" s="50" t="s">
        <v>102</v>
      </c>
      <c r="AI510" s="50" t="s">
        <v>18590</v>
      </c>
      <c r="AJ510" s="50" t="s">
        <v>15470</v>
      </c>
      <c r="AK510" s="50" t="s">
        <v>12713</v>
      </c>
      <c r="AL510" s="50" t="s">
        <v>18591</v>
      </c>
      <c r="AM510" s="50" t="s">
        <v>18592</v>
      </c>
      <c r="AN510" s="50" t="s">
        <v>5926</v>
      </c>
      <c r="AO510" s="50" t="s">
        <v>18593</v>
      </c>
      <c r="AP510" s="50" t="s">
        <v>18593</v>
      </c>
      <c r="AU510" s="50" t="s">
        <v>318</v>
      </c>
      <c r="AV510" s="50" t="s">
        <v>118</v>
      </c>
      <c r="AW510" s="50" t="s">
        <v>102</v>
      </c>
      <c r="AX510" s="50" t="s">
        <v>119</v>
      </c>
      <c r="BB510" s="50" t="s">
        <v>120</v>
      </c>
      <c r="BC510" s="50" t="s">
        <v>9268</v>
      </c>
      <c r="BD510" s="50" t="s">
        <v>9269</v>
      </c>
      <c r="BE510" s="50" t="s">
        <v>622</v>
      </c>
      <c r="BF510" s="50" t="s">
        <v>976</v>
      </c>
      <c r="BG510" s="50" t="s">
        <v>124</v>
      </c>
      <c r="BH510" s="50" t="s">
        <v>12082</v>
      </c>
      <c r="BI510" s="50" t="s">
        <v>14059</v>
      </c>
      <c r="BJ510" s="50" t="s">
        <v>127</v>
      </c>
      <c r="BK510" s="50" t="s">
        <v>18594</v>
      </c>
      <c r="BL510" s="50" t="s">
        <v>9271</v>
      </c>
      <c r="BM510" s="50" t="s">
        <v>18595</v>
      </c>
      <c r="BN510" s="50" t="s">
        <v>14292</v>
      </c>
      <c r="BO510" s="50" t="s">
        <v>18506</v>
      </c>
      <c r="BP510" s="50" t="s">
        <v>350</v>
      </c>
      <c r="BQ510" s="50" t="s">
        <v>18507</v>
      </c>
      <c r="BR510" s="50" t="s">
        <v>18508</v>
      </c>
      <c r="BS510" s="50" t="s">
        <v>2847</v>
      </c>
      <c r="BU510" s="50" t="s">
        <v>18596</v>
      </c>
      <c r="BV510" s="50" t="s">
        <v>9274</v>
      </c>
      <c r="BW510" s="50" t="s">
        <v>138</v>
      </c>
      <c r="BX510" s="50" t="s">
        <v>9275</v>
      </c>
      <c r="BY510" s="50" t="s">
        <v>9276</v>
      </c>
      <c r="BZ510" s="50" t="s">
        <v>9275</v>
      </c>
      <c r="CA510" s="50" t="s">
        <v>9274</v>
      </c>
      <c r="CB510" s="50" t="s">
        <v>9275</v>
      </c>
      <c r="CC510" s="50" t="s">
        <v>9276</v>
      </c>
      <c r="CD510" s="50" t="s">
        <v>9274</v>
      </c>
      <c r="CE510" s="50" t="s">
        <v>9275</v>
      </c>
      <c r="CF510" s="50" t="s">
        <v>9276</v>
      </c>
      <c r="CG510" s="50" t="s">
        <v>9277</v>
      </c>
      <c r="CH510" s="50" t="s">
        <v>18597</v>
      </c>
      <c r="CJ510" s="50" t="s">
        <v>9278</v>
      </c>
      <c r="CK510" s="50" t="s">
        <v>18598</v>
      </c>
      <c r="CL510" s="50" t="s">
        <v>9268</v>
      </c>
      <c r="CM510" s="50" t="s">
        <v>9269</v>
      </c>
      <c r="CN510" s="50" t="s">
        <v>9278</v>
      </c>
      <c r="CO510" s="50" t="s">
        <v>9279</v>
      </c>
      <c r="CP510" s="50" t="s">
        <v>9268</v>
      </c>
      <c r="CQ510" s="50" t="s">
        <v>9268</v>
      </c>
      <c r="CR510" s="50" t="s">
        <v>26048</v>
      </c>
    </row>
    <row r="511" spans="1:96">
      <c r="A511" s="50" t="s">
        <v>93</v>
      </c>
      <c r="B511" s="50">
        <v>3492029</v>
      </c>
      <c r="C511" s="50" t="s">
        <v>3562</v>
      </c>
      <c r="D511" s="50" t="s">
        <v>6356</v>
      </c>
      <c r="E511" s="50" t="e">
        <f>VLOOKUP(B511,aa!B:F,5,0)</f>
        <v>#N/A</v>
      </c>
      <c r="F511" s="50" t="e">
        <f>VLOOKUP(B511,aa!B:J,9,0)</f>
        <v>#N/A</v>
      </c>
      <c r="G511" s="50" t="e">
        <f>VLOOKUP(B511,aa!B:L,11,0)</f>
        <v>#N/A</v>
      </c>
      <c r="H511" s="50" t="e">
        <f>VLOOKUP(B511,aa!B:O,14,0)</f>
        <v>#N/A</v>
      </c>
      <c r="I511" s="50" t="e">
        <f>VLOOKUP(B511,aa!B:R,17,0)</f>
        <v>#N/A</v>
      </c>
      <c r="K511" s="50" t="s">
        <v>848</v>
      </c>
      <c r="L511" s="50">
        <v>424631</v>
      </c>
      <c r="M511" s="50">
        <v>501065</v>
      </c>
      <c r="N511" s="50">
        <v>0</v>
      </c>
      <c r="O511" s="50">
        <v>0</v>
      </c>
      <c r="Q511" s="50">
        <v>0</v>
      </c>
      <c r="R511" s="50">
        <v>0</v>
      </c>
      <c r="T511" s="50">
        <v>424631</v>
      </c>
      <c r="U511" s="50">
        <v>334</v>
      </c>
      <c r="V511" s="50" t="s">
        <v>850</v>
      </c>
      <c r="W511" s="50" t="s">
        <v>102</v>
      </c>
      <c r="X511" s="50" t="s">
        <v>103</v>
      </c>
      <c r="Y511" s="50" t="s">
        <v>104</v>
      </c>
      <c r="AA511" s="50" t="s">
        <v>13033</v>
      </c>
      <c r="AB511" s="50" t="s">
        <v>16234</v>
      </c>
      <c r="AC511" s="50" t="s">
        <v>13863</v>
      </c>
      <c r="AD511" s="50" t="s">
        <v>16234</v>
      </c>
      <c r="AE511" s="50" t="s">
        <v>109</v>
      </c>
      <c r="AF511" s="50" t="s">
        <v>102</v>
      </c>
      <c r="AG511" s="50" t="s">
        <v>109</v>
      </c>
      <c r="AH511" s="50" t="s">
        <v>102</v>
      </c>
      <c r="AI511" s="50" t="s">
        <v>102</v>
      </c>
      <c r="AJ511" s="50" t="s">
        <v>10030</v>
      </c>
      <c r="AK511" s="50" t="s">
        <v>16235</v>
      </c>
      <c r="AL511" s="50" t="s">
        <v>16236</v>
      </c>
      <c r="AM511" s="50" t="s">
        <v>16237</v>
      </c>
      <c r="AN511" s="50" t="s">
        <v>16238</v>
      </c>
      <c r="AO511" s="50" t="s">
        <v>1785</v>
      </c>
      <c r="AP511" s="50" t="s">
        <v>3305</v>
      </c>
      <c r="AT511" s="50" t="s">
        <v>169</v>
      </c>
      <c r="AU511" s="50" t="s">
        <v>102</v>
      </c>
      <c r="AW511" s="50" t="s">
        <v>102</v>
      </c>
      <c r="AX511" s="50" t="s">
        <v>119</v>
      </c>
      <c r="BA511" s="50" t="s">
        <v>250</v>
      </c>
      <c r="BB511" s="50" t="s">
        <v>209</v>
      </c>
      <c r="BC511" s="50" t="s">
        <v>1729</v>
      </c>
      <c r="BD511" s="50" t="s">
        <v>730</v>
      </c>
      <c r="BE511" s="50" t="s">
        <v>622</v>
      </c>
      <c r="BF511" s="50" t="s">
        <v>730</v>
      </c>
      <c r="BG511" s="50" t="s">
        <v>124</v>
      </c>
      <c r="BH511" s="50" t="s">
        <v>11976</v>
      </c>
      <c r="BI511" s="50" t="s">
        <v>11889</v>
      </c>
      <c r="BJ511" s="50" t="s">
        <v>127</v>
      </c>
      <c r="BK511" s="50" t="s">
        <v>16239</v>
      </c>
      <c r="BL511" s="50" t="s">
        <v>6363</v>
      </c>
      <c r="BM511" s="50" t="s">
        <v>16240</v>
      </c>
      <c r="BN511" s="50" t="s">
        <v>15421</v>
      </c>
      <c r="BO511" s="50" t="s">
        <v>3910</v>
      </c>
      <c r="BP511" s="50" t="s">
        <v>350</v>
      </c>
      <c r="BQ511" s="50" t="s">
        <v>3911</v>
      </c>
      <c r="BR511" s="50" t="s">
        <v>3912</v>
      </c>
      <c r="BS511" s="50" t="s">
        <v>2569</v>
      </c>
      <c r="BU511" s="50" t="s">
        <v>16241</v>
      </c>
      <c r="BV511" s="50" t="s">
        <v>6366</v>
      </c>
      <c r="BW511" s="50" t="s">
        <v>354</v>
      </c>
      <c r="BX511" s="50" t="s">
        <v>16242</v>
      </c>
      <c r="BY511" s="50" t="s">
        <v>6368</v>
      </c>
      <c r="BZ511" s="50" t="s">
        <v>6369</v>
      </c>
      <c r="CA511" s="50" t="s">
        <v>16243</v>
      </c>
      <c r="CB511" s="50" t="s">
        <v>16244</v>
      </c>
      <c r="CC511" s="50" t="s">
        <v>16245</v>
      </c>
      <c r="CD511" s="50" t="s">
        <v>16246</v>
      </c>
      <c r="CE511" s="50" t="s">
        <v>16244</v>
      </c>
      <c r="CF511" s="50" t="s">
        <v>16247</v>
      </c>
      <c r="CG511" s="50" t="s">
        <v>6370</v>
      </c>
      <c r="CH511" s="50" t="s">
        <v>16248</v>
      </c>
      <c r="CJ511" s="50" t="s">
        <v>6372</v>
      </c>
      <c r="CK511" s="50" t="s">
        <v>16249</v>
      </c>
      <c r="CL511" s="50" t="s">
        <v>1729</v>
      </c>
      <c r="CM511" s="50" t="s">
        <v>730</v>
      </c>
      <c r="CN511" s="50" t="s">
        <v>6372</v>
      </c>
      <c r="CP511" s="50" t="s">
        <v>6373</v>
      </c>
      <c r="CQ511" s="50" t="s">
        <v>6371</v>
      </c>
      <c r="CR511" s="50" t="s">
        <v>26047</v>
      </c>
    </row>
    <row r="512" spans="1:96">
      <c r="A512" s="50" t="s">
        <v>149</v>
      </c>
      <c r="B512" s="50">
        <v>507090</v>
      </c>
      <c r="C512" s="50" t="s">
        <v>11882</v>
      </c>
      <c r="D512" s="50" t="s">
        <v>10811</v>
      </c>
      <c r="E512" s="50" t="str">
        <f>VLOOKUP(B512,aa!B:F,5,0)</f>
        <v>Ei ASSET</v>
      </c>
      <c r="F512" s="50">
        <f>VLOOKUP(B512,aa!B:J,9,0)</f>
        <v>1134163</v>
      </c>
      <c r="G512" s="50">
        <f>VLOOKUP(B512,aa!B:L,11,0)</f>
        <v>1134163</v>
      </c>
      <c r="H512" s="50">
        <f>VLOOKUP(B512,aa!B:O,14,0)</f>
        <v>0</v>
      </c>
      <c r="I512" s="50">
        <f>VLOOKUP(B512,aa!B:R,17,0)</f>
        <v>0</v>
      </c>
      <c r="K512" s="50" t="s">
        <v>97</v>
      </c>
      <c r="L512" s="50">
        <v>684000</v>
      </c>
      <c r="M512" s="50">
        <v>684000</v>
      </c>
      <c r="N512" s="50">
        <v>684000</v>
      </c>
      <c r="O512" s="50">
        <v>1140</v>
      </c>
      <c r="P512" s="50" t="s">
        <v>310</v>
      </c>
      <c r="Q512" s="50">
        <v>0</v>
      </c>
      <c r="R512" s="50">
        <v>0</v>
      </c>
      <c r="T512" s="50">
        <v>0</v>
      </c>
      <c r="U512" s="50">
        <v>0</v>
      </c>
      <c r="W512" s="50" t="s">
        <v>102</v>
      </c>
      <c r="X512" s="50" t="s">
        <v>275</v>
      </c>
      <c r="Z512" s="50" t="s">
        <v>11976</v>
      </c>
      <c r="AA512" s="50" t="s">
        <v>109</v>
      </c>
      <c r="AB512" s="50" t="s">
        <v>102</v>
      </c>
      <c r="AC512" s="50" t="s">
        <v>109</v>
      </c>
      <c r="AD512" s="50" t="s">
        <v>102</v>
      </c>
      <c r="AE512" s="50" t="s">
        <v>109</v>
      </c>
      <c r="AF512" s="50" t="s">
        <v>102</v>
      </c>
      <c r="AG512" s="50" t="s">
        <v>109</v>
      </c>
      <c r="AH512" s="50" t="s">
        <v>102</v>
      </c>
      <c r="AI512" s="50" t="s">
        <v>20797</v>
      </c>
      <c r="AJ512" s="50" t="s">
        <v>13033</v>
      </c>
      <c r="AK512" s="50" t="s">
        <v>13033</v>
      </c>
      <c r="AL512" s="50" t="s">
        <v>20798</v>
      </c>
      <c r="AM512" s="50" t="s">
        <v>20799</v>
      </c>
      <c r="AN512" s="50" t="s">
        <v>102</v>
      </c>
      <c r="AO512" s="50" t="s">
        <v>317</v>
      </c>
      <c r="AP512" s="50" t="s">
        <v>2147</v>
      </c>
      <c r="AT512" s="50" t="s">
        <v>169</v>
      </c>
      <c r="AU512" s="50" t="s">
        <v>318</v>
      </c>
      <c r="AV512" s="50" t="s">
        <v>118</v>
      </c>
      <c r="AW512" s="50" t="s">
        <v>102</v>
      </c>
      <c r="AX512" s="50" t="s">
        <v>119</v>
      </c>
      <c r="BB512" s="50" t="s">
        <v>120</v>
      </c>
      <c r="BC512" s="50" t="s">
        <v>448</v>
      </c>
      <c r="BD512" s="50" t="s">
        <v>449</v>
      </c>
      <c r="BE512" s="50" t="s">
        <v>122</v>
      </c>
      <c r="BF512" s="50" t="s">
        <v>450</v>
      </c>
      <c r="BG512" s="50" t="s">
        <v>124</v>
      </c>
      <c r="BH512" s="50" t="s">
        <v>12023</v>
      </c>
      <c r="BI512" s="50" t="s">
        <v>11889</v>
      </c>
      <c r="BJ512" s="50" t="s">
        <v>127</v>
      </c>
      <c r="BK512" s="50" t="s">
        <v>20800</v>
      </c>
      <c r="BL512" s="50" t="s">
        <v>10817</v>
      </c>
      <c r="BM512" s="50" t="s">
        <v>20801</v>
      </c>
      <c r="BN512" s="50" t="s">
        <v>15421</v>
      </c>
      <c r="BO512" s="50" t="s">
        <v>3267</v>
      </c>
      <c r="BP512" s="50" t="s">
        <v>350</v>
      </c>
      <c r="BQ512" s="50" t="s">
        <v>3268</v>
      </c>
      <c r="BR512" s="50" t="s">
        <v>3269</v>
      </c>
      <c r="BS512" s="50" t="s">
        <v>135</v>
      </c>
      <c r="BU512" s="50" t="s">
        <v>20802</v>
      </c>
      <c r="BV512" s="50" t="s">
        <v>10820</v>
      </c>
      <c r="BW512" s="50" t="s">
        <v>598</v>
      </c>
      <c r="BX512" s="50" t="s">
        <v>10821</v>
      </c>
      <c r="BY512" s="50" t="s">
        <v>10822</v>
      </c>
      <c r="BZ512" s="50" t="s">
        <v>10823</v>
      </c>
      <c r="CA512" s="50" t="s">
        <v>20803</v>
      </c>
      <c r="CB512" s="50" t="s">
        <v>20804</v>
      </c>
      <c r="CC512" s="50" t="s">
        <v>20805</v>
      </c>
      <c r="CD512" s="50" t="s">
        <v>10820</v>
      </c>
      <c r="CE512" s="50" t="s">
        <v>10821</v>
      </c>
      <c r="CF512" s="50" t="s">
        <v>10822</v>
      </c>
      <c r="CG512" s="50" t="s">
        <v>102</v>
      </c>
      <c r="CH512" s="50" t="s">
        <v>20806</v>
      </c>
      <c r="CJ512" s="50" t="s">
        <v>4512</v>
      </c>
      <c r="CL512" s="50" t="s">
        <v>448</v>
      </c>
      <c r="CM512" s="50" t="s">
        <v>449</v>
      </c>
      <c r="CN512" s="50" t="s">
        <v>4512</v>
      </c>
      <c r="CO512" s="50" t="s">
        <v>10825</v>
      </c>
      <c r="CP512" s="50" t="s">
        <v>10824</v>
      </c>
      <c r="CQ512" s="50" t="s">
        <v>10824</v>
      </c>
    </row>
    <row r="513" spans="1:96">
      <c r="A513" s="50" t="s">
        <v>93</v>
      </c>
      <c r="B513" s="50">
        <v>8625</v>
      </c>
      <c r="C513" s="50" t="s">
        <v>3562</v>
      </c>
      <c r="D513" s="50" t="s">
        <v>11729</v>
      </c>
      <c r="E513" s="50" t="e">
        <f>VLOOKUP(B513,aa!B:F,5,0)</f>
        <v>#N/A</v>
      </c>
      <c r="F513" s="50" t="e">
        <f>VLOOKUP(B513,aa!B:J,9,0)</f>
        <v>#N/A</v>
      </c>
      <c r="G513" s="50" t="e">
        <f>VLOOKUP(B513,aa!B:L,11,0)</f>
        <v>#N/A</v>
      </c>
      <c r="H513" s="50" t="e">
        <f>VLOOKUP(B513,aa!B:O,14,0)</f>
        <v>#N/A</v>
      </c>
      <c r="I513" s="50" t="e">
        <f>VLOOKUP(B513,aa!B:R,17,0)</f>
        <v>#N/A</v>
      </c>
      <c r="K513" s="50" t="s">
        <v>152</v>
      </c>
      <c r="L513" s="50">
        <v>197600</v>
      </c>
      <c r="M513" s="50">
        <v>197600</v>
      </c>
      <c r="N513" s="50">
        <v>0</v>
      </c>
      <c r="O513" s="50">
        <v>0</v>
      </c>
      <c r="Q513" s="50">
        <v>197600</v>
      </c>
      <c r="R513" s="50">
        <v>76</v>
      </c>
      <c r="S513" s="50" t="s">
        <v>21560</v>
      </c>
      <c r="T513" s="50">
        <v>0</v>
      </c>
      <c r="U513" s="50">
        <v>0</v>
      </c>
      <c r="W513" s="50" t="s">
        <v>102</v>
      </c>
      <c r="X513" s="50" t="s">
        <v>275</v>
      </c>
      <c r="Z513" s="50" t="s">
        <v>11976</v>
      </c>
      <c r="AA513" s="50" t="s">
        <v>109</v>
      </c>
      <c r="AB513" s="50" t="s">
        <v>102</v>
      </c>
      <c r="AC513" s="50" t="s">
        <v>109</v>
      </c>
      <c r="AD513" s="50" t="s">
        <v>102</v>
      </c>
      <c r="AE513" s="50" t="s">
        <v>109</v>
      </c>
      <c r="AF513" s="50" t="s">
        <v>102</v>
      </c>
      <c r="AG513" s="50" t="s">
        <v>109</v>
      </c>
      <c r="AH513" s="50" t="s">
        <v>102</v>
      </c>
      <c r="AI513" s="50" t="s">
        <v>102</v>
      </c>
      <c r="AJ513" s="50" t="s">
        <v>1408</v>
      </c>
      <c r="AK513" s="50" t="s">
        <v>13455</v>
      </c>
      <c r="AL513" s="50" t="s">
        <v>21561</v>
      </c>
      <c r="AM513" s="50" t="s">
        <v>21562</v>
      </c>
      <c r="AN513" s="50" t="s">
        <v>21563</v>
      </c>
      <c r="AO513" s="50" t="s">
        <v>102</v>
      </c>
      <c r="AU513" s="50" t="s">
        <v>102</v>
      </c>
      <c r="AW513" s="50" t="s">
        <v>155</v>
      </c>
      <c r="AX513" s="50" t="s">
        <v>119</v>
      </c>
      <c r="AY513" s="50" t="s">
        <v>170</v>
      </c>
      <c r="AZ513" s="50" t="s">
        <v>118</v>
      </c>
      <c r="BB513" s="50" t="s">
        <v>120</v>
      </c>
      <c r="BC513" s="50" t="s">
        <v>2258</v>
      </c>
      <c r="BD513" s="50" t="s">
        <v>730</v>
      </c>
      <c r="BE513" s="50" t="s">
        <v>622</v>
      </c>
      <c r="BF513" s="50" t="s">
        <v>730</v>
      </c>
      <c r="BG513" s="50" t="s">
        <v>124</v>
      </c>
      <c r="BH513" s="50" t="s">
        <v>11976</v>
      </c>
      <c r="BI513" s="50" t="s">
        <v>11889</v>
      </c>
      <c r="BJ513" s="50" t="s">
        <v>127</v>
      </c>
      <c r="BK513" s="50" t="s">
        <v>21564</v>
      </c>
      <c r="BL513" s="50" t="s">
        <v>11736</v>
      </c>
      <c r="BM513" s="50" t="s">
        <v>21565</v>
      </c>
      <c r="BN513" s="50" t="s">
        <v>15421</v>
      </c>
      <c r="BO513" s="50" t="s">
        <v>2262</v>
      </c>
      <c r="BP513" s="50" t="s">
        <v>350</v>
      </c>
      <c r="BQ513" s="50" t="s">
        <v>2263</v>
      </c>
      <c r="BR513" s="50" t="s">
        <v>2264</v>
      </c>
      <c r="BS513" s="50" t="s">
        <v>2569</v>
      </c>
      <c r="BU513" s="50" t="s">
        <v>21566</v>
      </c>
      <c r="BV513" s="50" t="s">
        <v>21567</v>
      </c>
      <c r="BW513" s="50" t="s">
        <v>138</v>
      </c>
      <c r="BX513" s="50" t="s">
        <v>11740</v>
      </c>
      <c r="BY513" s="50" t="s">
        <v>21568</v>
      </c>
      <c r="BZ513" s="50" t="s">
        <v>11742</v>
      </c>
      <c r="CA513" s="50" t="s">
        <v>21567</v>
      </c>
      <c r="CB513" s="50" t="s">
        <v>11740</v>
      </c>
      <c r="CC513" s="50" t="s">
        <v>21568</v>
      </c>
      <c r="CD513" s="50" t="s">
        <v>21567</v>
      </c>
      <c r="CE513" s="50" t="s">
        <v>11740</v>
      </c>
      <c r="CF513" s="50" t="s">
        <v>21568</v>
      </c>
      <c r="CG513" s="50" t="s">
        <v>1594</v>
      </c>
      <c r="CH513" s="50" t="s">
        <v>21569</v>
      </c>
      <c r="CJ513" s="50" t="s">
        <v>11744</v>
      </c>
      <c r="CK513" s="50" t="s">
        <v>21570</v>
      </c>
      <c r="CL513" s="50" t="s">
        <v>2258</v>
      </c>
      <c r="CM513" s="50" t="s">
        <v>2273</v>
      </c>
      <c r="CN513" s="50" t="s">
        <v>11744</v>
      </c>
      <c r="CP513" s="50" t="s">
        <v>11743</v>
      </c>
      <c r="CQ513" s="50" t="s">
        <v>11743</v>
      </c>
      <c r="CR513" s="50" t="s">
        <v>26046</v>
      </c>
    </row>
    <row r="514" spans="1:96">
      <c r="A514" s="50" t="s">
        <v>93</v>
      </c>
      <c r="B514" s="50">
        <v>5017533</v>
      </c>
      <c r="C514" s="50" t="s">
        <v>2525</v>
      </c>
      <c r="D514" s="50" t="s">
        <v>10020</v>
      </c>
      <c r="E514" s="50" t="e">
        <f>VLOOKUP(B514,aa!B:F,5,0)</f>
        <v>#N/A</v>
      </c>
      <c r="F514" s="50" t="e">
        <f>VLOOKUP(B514,aa!B:J,9,0)</f>
        <v>#N/A</v>
      </c>
      <c r="G514" s="50" t="e">
        <f>VLOOKUP(B514,aa!B:L,11,0)</f>
        <v>#N/A</v>
      </c>
      <c r="H514" s="50" t="e">
        <f>VLOOKUP(B514,aa!B:O,14,0)</f>
        <v>#N/A</v>
      </c>
      <c r="I514" s="50" t="e">
        <f>VLOOKUP(B514,aa!B:R,17,0)</f>
        <v>#N/A</v>
      </c>
      <c r="K514" s="50" t="s">
        <v>2713</v>
      </c>
      <c r="L514" s="50">
        <v>169503</v>
      </c>
      <c r="M514" s="50">
        <v>192095</v>
      </c>
      <c r="N514" s="50">
        <v>43992</v>
      </c>
      <c r="O514" s="50">
        <v>65</v>
      </c>
      <c r="P514" s="50" t="s">
        <v>19070</v>
      </c>
      <c r="Q514" s="50">
        <v>0</v>
      </c>
      <c r="R514" s="50">
        <v>0</v>
      </c>
      <c r="T514" s="50">
        <v>125511</v>
      </c>
      <c r="U514" s="50">
        <v>75</v>
      </c>
      <c r="V514" s="50" t="s">
        <v>19071</v>
      </c>
      <c r="W514" s="50" t="s">
        <v>102</v>
      </c>
      <c r="X514" s="50" t="s">
        <v>679</v>
      </c>
      <c r="Y514" s="50" t="s">
        <v>104</v>
      </c>
      <c r="Z514" s="50" t="s">
        <v>11886</v>
      </c>
      <c r="AA514" s="50" t="s">
        <v>19072</v>
      </c>
      <c r="AB514" s="50" t="s">
        <v>19073</v>
      </c>
      <c r="AC514" s="50" t="s">
        <v>19074</v>
      </c>
      <c r="AD514" s="50" t="s">
        <v>19073</v>
      </c>
      <c r="AE514" s="50" t="s">
        <v>109</v>
      </c>
      <c r="AF514" s="50" t="s">
        <v>102</v>
      </c>
      <c r="AG514" s="50" t="s">
        <v>109</v>
      </c>
      <c r="AH514" s="50" t="s">
        <v>102</v>
      </c>
      <c r="AI514" s="50" t="s">
        <v>102</v>
      </c>
      <c r="AJ514" s="50" t="s">
        <v>13672</v>
      </c>
      <c r="AK514" s="50" t="s">
        <v>13672</v>
      </c>
      <c r="AL514" s="50" t="s">
        <v>19075</v>
      </c>
      <c r="AM514" s="50" t="s">
        <v>19076</v>
      </c>
      <c r="AN514" s="50" t="s">
        <v>19077</v>
      </c>
      <c r="AO514" s="50" t="s">
        <v>19078</v>
      </c>
      <c r="AP514" s="50" t="s">
        <v>19079</v>
      </c>
      <c r="AT514" s="50" t="s">
        <v>169</v>
      </c>
      <c r="AU514" s="50" t="s">
        <v>117</v>
      </c>
      <c r="AV514" s="50" t="s">
        <v>250</v>
      </c>
      <c r="AW514" s="50" t="s">
        <v>102</v>
      </c>
      <c r="AX514" s="50" t="s">
        <v>119</v>
      </c>
      <c r="BA514" s="50" t="s">
        <v>250</v>
      </c>
      <c r="BB514" s="50" t="s">
        <v>209</v>
      </c>
      <c r="BC514" s="50" t="s">
        <v>1729</v>
      </c>
      <c r="BD514" s="50" t="s">
        <v>730</v>
      </c>
      <c r="BE514" s="50" t="s">
        <v>622</v>
      </c>
      <c r="BF514" s="50" t="s">
        <v>730</v>
      </c>
      <c r="BG514" s="50" t="s">
        <v>124</v>
      </c>
      <c r="BH514" s="50" t="s">
        <v>19080</v>
      </c>
      <c r="BI514" s="50" t="s">
        <v>19081</v>
      </c>
      <c r="BJ514" s="50" t="s">
        <v>127</v>
      </c>
      <c r="BK514" s="50" t="s">
        <v>19082</v>
      </c>
      <c r="BL514" s="50" t="s">
        <v>10032</v>
      </c>
      <c r="BM514" s="50" t="s">
        <v>19083</v>
      </c>
      <c r="BN514" s="50" t="s">
        <v>19069</v>
      </c>
      <c r="BO514" s="50" t="s">
        <v>3910</v>
      </c>
      <c r="BP514" s="50" t="s">
        <v>350</v>
      </c>
      <c r="BQ514" s="50" t="s">
        <v>3911</v>
      </c>
      <c r="BR514" s="50" t="s">
        <v>3912</v>
      </c>
      <c r="BS514" s="50" t="s">
        <v>2569</v>
      </c>
      <c r="BU514" s="50" t="s">
        <v>19084</v>
      </c>
      <c r="BV514" s="50" t="s">
        <v>10035</v>
      </c>
      <c r="BW514" s="50" t="s">
        <v>354</v>
      </c>
      <c r="BX514" s="50" t="s">
        <v>19085</v>
      </c>
      <c r="BY514" s="50" t="s">
        <v>19086</v>
      </c>
      <c r="BZ514" s="50" t="s">
        <v>10038</v>
      </c>
      <c r="CA514" s="50" t="s">
        <v>19087</v>
      </c>
      <c r="CB514" s="50" t="s">
        <v>19088</v>
      </c>
      <c r="CC514" s="50" t="s">
        <v>19086</v>
      </c>
      <c r="CD514" s="50" t="s">
        <v>19087</v>
      </c>
      <c r="CE514" s="50" t="s">
        <v>19088</v>
      </c>
      <c r="CF514" s="50" t="s">
        <v>19086</v>
      </c>
      <c r="CG514" s="50" t="s">
        <v>1594</v>
      </c>
      <c r="CH514" s="50" t="s">
        <v>19089</v>
      </c>
      <c r="CJ514" s="50" t="s">
        <v>10421</v>
      </c>
      <c r="CK514" s="50" t="s">
        <v>10039</v>
      </c>
      <c r="CL514" s="50" t="s">
        <v>1729</v>
      </c>
      <c r="CM514" s="50" t="s">
        <v>730</v>
      </c>
      <c r="CN514" s="50" t="s">
        <v>10421</v>
      </c>
      <c r="CP514" s="50" t="s">
        <v>10040</v>
      </c>
      <c r="CQ514" s="50" t="s">
        <v>10039</v>
      </c>
      <c r="CR514" s="50" t="s">
        <v>26048</v>
      </c>
    </row>
    <row r="515" spans="1:96">
      <c r="A515" s="50" t="s">
        <v>149</v>
      </c>
      <c r="B515" s="50">
        <v>2456473</v>
      </c>
      <c r="C515" s="50" t="s">
        <v>11947</v>
      </c>
      <c r="D515" s="50" t="s">
        <v>3429</v>
      </c>
      <c r="E515" s="50" t="e">
        <f>VLOOKUP(B515,aa!B:F,5,0)</f>
        <v>#N/A</v>
      </c>
      <c r="F515" s="50" t="e">
        <f>VLOOKUP(B515,aa!B:J,9,0)</f>
        <v>#N/A</v>
      </c>
      <c r="G515" s="50" t="e">
        <f>VLOOKUP(B515,aa!B:L,11,0)</f>
        <v>#N/A</v>
      </c>
      <c r="H515" s="50" t="e">
        <f>VLOOKUP(B515,aa!B:O,14,0)</f>
        <v>#N/A</v>
      </c>
      <c r="I515" s="50" t="e">
        <f>VLOOKUP(B515,aa!B:R,17,0)</f>
        <v>#N/A</v>
      </c>
      <c r="K515" s="50" t="s">
        <v>97</v>
      </c>
      <c r="L515" s="50">
        <v>455317</v>
      </c>
      <c r="M515" s="50">
        <v>455317</v>
      </c>
      <c r="N515" s="50">
        <v>455317</v>
      </c>
      <c r="O515" s="50">
        <v>828</v>
      </c>
      <c r="P515" s="50" t="s">
        <v>3431</v>
      </c>
      <c r="Q515" s="50">
        <v>0</v>
      </c>
      <c r="R515" s="50">
        <v>0</v>
      </c>
      <c r="T515" s="50">
        <v>0</v>
      </c>
      <c r="U515" s="50">
        <v>0</v>
      </c>
      <c r="W515" s="50" t="s">
        <v>102</v>
      </c>
      <c r="X515" s="50" t="s">
        <v>103</v>
      </c>
      <c r="Y515" s="50" t="s">
        <v>104</v>
      </c>
      <c r="AA515" s="50" t="s">
        <v>12040</v>
      </c>
      <c r="AB515" s="50" t="s">
        <v>14009</v>
      </c>
      <c r="AC515" s="50" t="s">
        <v>12713</v>
      </c>
      <c r="AD515" s="50" t="s">
        <v>14010</v>
      </c>
      <c r="AE515" s="50" t="s">
        <v>109</v>
      </c>
      <c r="AF515" s="50" t="s">
        <v>102</v>
      </c>
      <c r="AG515" s="50" t="s">
        <v>109</v>
      </c>
      <c r="AH515" s="50" t="s">
        <v>102</v>
      </c>
      <c r="AI515" s="50" t="s">
        <v>14011</v>
      </c>
      <c r="AJ515" s="50" t="s">
        <v>12427</v>
      </c>
      <c r="AK515" s="50" t="s">
        <v>13386</v>
      </c>
      <c r="AL515" s="50" t="s">
        <v>14012</v>
      </c>
      <c r="AM515" s="50" t="s">
        <v>14013</v>
      </c>
      <c r="AN515" s="50" t="s">
        <v>14014</v>
      </c>
      <c r="AO515" s="50" t="s">
        <v>4840</v>
      </c>
      <c r="AP515" s="50" t="s">
        <v>4840</v>
      </c>
      <c r="AU515" s="50" t="s">
        <v>3439</v>
      </c>
      <c r="AV515" s="50" t="s">
        <v>118</v>
      </c>
      <c r="AW515" s="50" t="s">
        <v>102</v>
      </c>
      <c r="AX515" s="50" t="s">
        <v>119</v>
      </c>
      <c r="BB515" s="50" t="s">
        <v>171</v>
      </c>
      <c r="BC515" s="50" t="s">
        <v>920</v>
      </c>
      <c r="BD515" s="50" t="s">
        <v>211</v>
      </c>
      <c r="BE515" s="50" t="s">
        <v>212</v>
      </c>
      <c r="BF515" s="50" t="s">
        <v>213</v>
      </c>
      <c r="BG515" s="50" t="s">
        <v>124</v>
      </c>
      <c r="BH515" s="50" t="s">
        <v>11959</v>
      </c>
      <c r="BI515" s="50" t="s">
        <v>11889</v>
      </c>
      <c r="BJ515" s="50" t="s">
        <v>127</v>
      </c>
      <c r="BK515" s="50" t="s">
        <v>14015</v>
      </c>
      <c r="BL515" s="50" t="s">
        <v>3441</v>
      </c>
      <c r="BM515" s="50" t="s">
        <v>14016</v>
      </c>
      <c r="BN515" s="50" t="s">
        <v>1408</v>
      </c>
      <c r="BO515" s="50" t="s">
        <v>415</v>
      </c>
      <c r="BP515" s="50" t="s">
        <v>180</v>
      </c>
      <c r="BQ515" s="50" t="s">
        <v>416</v>
      </c>
      <c r="BR515" s="50" t="s">
        <v>417</v>
      </c>
      <c r="BS515" s="50" t="s">
        <v>2151</v>
      </c>
      <c r="BU515" s="50" t="s">
        <v>14017</v>
      </c>
      <c r="BV515" s="50" t="s">
        <v>14018</v>
      </c>
      <c r="BW515" s="50" t="s">
        <v>138</v>
      </c>
      <c r="BX515" s="50" t="s">
        <v>3448</v>
      </c>
      <c r="BY515" s="50" t="s">
        <v>14019</v>
      </c>
      <c r="BZ515" s="50" t="s">
        <v>3450</v>
      </c>
      <c r="CA515" s="50" t="s">
        <v>14018</v>
      </c>
      <c r="CB515" s="50" t="s">
        <v>3448</v>
      </c>
      <c r="CC515" s="50" t="s">
        <v>14019</v>
      </c>
      <c r="CD515" s="50" t="s">
        <v>14018</v>
      </c>
      <c r="CE515" s="50" t="s">
        <v>3448</v>
      </c>
      <c r="CF515" s="50" t="s">
        <v>14019</v>
      </c>
      <c r="CG515" s="50" t="s">
        <v>2270</v>
      </c>
      <c r="CH515" s="50" t="s">
        <v>11329</v>
      </c>
      <c r="CJ515" s="50" t="s">
        <v>3453</v>
      </c>
      <c r="CK515" s="50" t="s">
        <v>3452</v>
      </c>
      <c r="CL515" s="50" t="s">
        <v>920</v>
      </c>
      <c r="CM515" s="50" t="s">
        <v>211</v>
      </c>
      <c r="CN515" s="50" t="s">
        <v>3453</v>
      </c>
      <c r="CO515" s="50" t="s">
        <v>3455</v>
      </c>
      <c r="CP515" s="50" t="s">
        <v>3452</v>
      </c>
      <c r="CQ515" s="50" t="s">
        <v>3454</v>
      </c>
      <c r="CR515" s="50" t="s">
        <v>26043</v>
      </c>
    </row>
    <row r="516" spans="1:96">
      <c r="A516" s="50" t="s">
        <v>149</v>
      </c>
      <c r="B516" s="50">
        <v>3284749</v>
      </c>
      <c r="C516" s="50" t="s">
        <v>985</v>
      </c>
      <c r="D516" s="50" t="s">
        <v>5264</v>
      </c>
      <c r="E516" s="50" t="e">
        <f>VLOOKUP(B516,aa!B:F,5,0)</f>
        <v>#N/A</v>
      </c>
      <c r="F516" s="50" t="e">
        <f>VLOOKUP(B516,aa!B:J,9,0)</f>
        <v>#N/A</v>
      </c>
      <c r="G516" s="50" t="e">
        <f>VLOOKUP(B516,aa!B:L,11,0)</f>
        <v>#N/A</v>
      </c>
      <c r="H516" s="50" t="e">
        <f>VLOOKUP(B516,aa!B:O,14,0)</f>
        <v>#N/A</v>
      </c>
      <c r="I516" s="50" t="e">
        <f>VLOOKUP(B516,aa!B:R,17,0)</f>
        <v>#N/A</v>
      </c>
      <c r="K516" s="50" t="s">
        <v>97</v>
      </c>
      <c r="L516" s="50">
        <v>444761</v>
      </c>
      <c r="M516" s="50">
        <v>444761</v>
      </c>
      <c r="N516" s="50">
        <v>444761</v>
      </c>
      <c r="O516" s="50">
        <v>622</v>
      </c>
      <c r="P516" s="50" t="s">
        <v>1954</v>
      </c>
      <c r="Q516" s="50">
        <v>0</v>
      </c>
      <c r="R516" s="50">
        <v>0</v>
      </c>
      <c r="T516" s="50">
        <v>0</v>
      </c>
      <c r="U516" s="50">
        <v>0</v>
      </c>
      <c r="W516" s="50" t="s">
        <v>102</v>
      </c>
      <c r="X516" s="50" t="s">
        <v>103</v>
      </c>
      <c r="Y516" s="50" t="s">
        <v>104</v>
      </c>
      <c r="AA516" s="50" t="s">
        <v>1165</v>
      </c>
      <c r="AB516" s="50" t="s">
        <v>15361</v>
      </c>
      <c r="AC516" s="50" t="s">
        <v>12427</v>
      </c>
      <c r="AD516" s="50" t="s">
        <v>15361</v>
      </c>
      <c r="AE516" s="50" t="s">
        <v>109</v>
      </c>
      <c r="AF516" s="50" t="s">
        <v>102</v>
      </c>
      <c r="AG516" s="50" t="s">
        <v>109</v>
      </c>
      <c r="AH516" s="50" t="s">
        <v>102</v>
      </c>
      <c r="AI516" s="50" t="s">
        <v>15362</v>
      </c>
      <c r="AJ516" s="50" t="s">
        <v>11929</v>
      </c>
      <c r="AK516" s="50" t="s">
        <v>15363</v>
      </c>
      <c r="AL516" s="50" t="s">
        <v>15364</v>
      </c>
      <c r="AM516" s="50" t="s">
        <v>15365</v>
      </c>
      <c r="AN516" s="50" t="s">
        <v>15366</v>
      </c>
      <c r="AO516" s="50" t="s">
        <v>15367</v>
      </c>
      <c r="AP516" s="50" t="s">
        <v>15367</v>
      </c>
      <c r="AU516" s="50" t="s">
        <v>318</v>
      </c>
      <c r="AV516" s="50" t="s">
        <v>118</v>
      </c>
      <c r="AW516" s="50" t="s">
        <v>102</v>
      </c>
      <c r="AX516" s="50" t="s">
        <v>119</v>
      </c>
      <c r="BB516" s="50" t="s">
        <v>120</v>
      </c>
      <c r="BC516" s="50" t="s">
        <v>2127</v>
      </c>
      <c r="BD516" s="50" t="s">
        <v>621</v>
      </c>
      <c r="BE516" s="50" t="s">
        <v>622</v>
      </c>
      <c r="BF516" s="50" t="s">
        <v>976</v>
      </c>
      <c r="BG516" s="50" t="s">
        <v>124</v>
      </c>
      <c r="BH516" s="50" t="s">
        <v>1408</v>
      </c>
      <c r="BI516" s="50" t="s">
        <v>11889</v>
      </c>
      <c r="BJ516" s="50" t="s">
        <v>127</v>
      </c>
      <c r="BK516" s="50" t="s">
        <v>15368</v>
      </c>
      <c r="BL516" s="50" t="s">
        <v>5273</v>
      </c>
      <c r="BM516" s="50" t="s">
        <v>15369</v>
      </c>
      <c r="BN516" s="50" t="s">
        <v>1408</v>
      </c>
      <c r="BO516" s="50" t="s">
        <v>981</v>
      </c>
      <c r="BP516" s="50" t="s">
        <v>132</v>
      </c>
      <c r="BQ516" s="50" t="s">
        <v>982</v>
      </c>
      <c r="BR516" s="50" t="s">
        <v>983</v>
      </c>
      <c r="BS516" s="50" t="s">
        <v>984</v>
      </c>
      <c r="BU516" s="50" t="s">
        <v>15370</v>
      </c>
      <c r="BV516" s="50" t="s">
        <v>5276</v>
      </c>
      <c r="BW516" s="50" t="s">
        <v>138</v>
      </c>
      <c r="BX516" s="50" t="s">
        <v>5277</v>
      </c>
      <c r="BY516" s="50" t="s">
        <v>5278</v>
      </c>
      <c r="BZ516" s="50" t="s">
        <v>5279</v>
      </c>
      <c r="CA516" s="50" t="s">
        <v>15371</v>
      </c>
      <c r="CB516" s="50" t="s">
        <v>5277</v>
      </c>
      <c r="CC516" s="50" t="s">
        <v>5278</v>
      </c>
      <c r="CD516" s="50" t="s">
        <v>15372</v>
      </c>
      <c r="CE516" s="50" t="s">
        <v>15373</v>
      </c>
      <c r="CF516" s="50" t="s">
        <v>15374</v>
      </c>
      <c r="CG516" s="50" t="s">
        <v>102</v>
      </c>
      <c r="CH516" s="50" t="s">
        <v>15375</v>
      </c>
      <c r="CJ516" s="50" t="s">
        <v>5281</v>
      </c>
      <c r="CL516" s="50" t="s">
        <v>2127</v>
      </c>
      <c r="CM516" s="50" t="s">
        <v>621</v>
      </c>
      <c r="CN516" s="50" t="s">
        <v>5281</v>
      </c>
      <c r="CO516" s="50" t="s">
        <v>5282</v>
      </c>
      <c r="CP516" s="50" t="s">
        <v>5280</v>
      </c>
      <c r="CQ516" s="50" t="s">
        <v>5280</v>
      </c>
      <c r="CR516" s="50" t="s">
        <v>26048</v>
      </c>
    </row>
    <row r="517" spans="1:96">
      <c r="A517" s="50" t="s">
        <v>93</v>
      </c>
      <c r="B517" s="50">
        <v>3582467</v>
      </c>
      <c r="C517" s="50" t="s">
        <v>1279</v>
      </c>
      <c r="D517" s="50" t="s">
        <v>6763</v>
      </c>
      <c r="E517" s="50" t="e">
        <f>VLOOKUP(B517,aa!B:F,5,0)</f>
        <v>#N/A</v>
      </c>
      <c r="F517" s="50" t="e">
        <f>VLOOKUP(B517,aa!B:J,9,0)</f>
        <v>#N/A</v>
      </c>
      <c r="G517" s="50" t="e">
        <f>VLOOKUP(B517,aa!B:L,11,0)</f>
        <v>#N/A</v>
      </c>
      <c r="H517" s="50" t="e">
        <f>VLOOKUP(B517,aa!B:O,14,0)</f>
        <v>#N/A</v>
      </c>
      <c r="I517" s="50" t="e">
        <f>VLOOKUP(B517,aa!B:R,17,0)</f>
        <v>#N/A</v>
      </c>
      <c r="K517" s="50" t="s">
        <v>97</v>
      </c>
      <c r="L517" s="50">
        <v>168000</v>
      </c>
      <c r="M517" s="50">
        <v>168000</v>
      </c>
      <c r="N517" s="50">
        <v>168000</v>
      </c>
      <c r="O517" s="50">
        <v>112</v>
      </c>
      <c r="P517" s="50" t="s">
        <v>6441</v>
      </c>
      <c r="Q517" s="50">
        <v>0</v>
      </c>
      <c r="R517" s="50">
        <v>0</v>
      </c>
      <c r="T517" s="50">
        <v>0</v>
      </c>
      <c r="U517" s="50">
        <v>0</v>
      </c>
      <c r="W517" s="50" t="s">
        <v>102</v>
      </c>
      <c r="X517" s="50" t="s">
        <v>275</v>
      </c>
      <c r="Z517" s="50" t="s">
        <v>1408</v>
      </c>
      <c r="AA517" s="50" t="s">
        <v>109</v>
      </c>
      <c r="AB517" s="50" t="s">
        <v>102</v>
      </c>
      <c r="AC517" s="50" t="s">
        <v>109</v>
      </c>
      <c r="AD517" s="50" t="s">
        <v>102</v>
      </c>
      <c r="AE517" s="50" t="s">
        <v>109</v>
      </c>
      <c r="AF517" s="50" t="s">
        <v>102</v>
      </c>
      <c r="AG517" s="50" t="s">
        <v>109</v>
      </c>
      <c r="AH517" s="50" t="s">
        <v>102</v>
      </c>
      <c r="AI517" s="50" t="s">
        <v>16511</v>
      </c>
      <c r="AJ517" s="50" t="s">
        <v>14193</v>
      </c>
      <c r="AK517" s="50" t="s">
        <v>14193</v>
      </c>
      <c r="AL517" s="50" t="s">
        <v>16512</v>
      </c>
      <c r="AM517" s="50" t="s">
        <v>16513</v>
      </c>
      <c r="AN517" s="50" t="s">
        <v>102</v>
      </c>
      <c r="AO517" s="50" t="s">
        <v>102</v>
      </c>
      <c r="AU517" s="50" t="s">
        <v>318</v>
      </c>
      <c r="AV517" s="50" t="s">
        <v>118</v>
      </c>
      <c r="AW517" s="50" t="s">
        <v>102</v>
      </c>
      <c r="AX517" s="50" t="s">
        <v>119</v>
      </c>
      <c r="BB517" s="50" t="s">
        <v>1664</v>
      </c>
      <c r="BC517" s="50" t="s">
        <v>623</v>
      </c>
      <c r="BD517" s="50" t="s">
        <v>621</v>
      </c>
      <c r="BE517" s="50" t="s">
        <v>622</v>
      </c>
      <c r="BF517" s="50" t="s">
        <v>623</v>
      </c>
      <c r="BG517" s="50" t="s">
        <v>124</v>
      </c>
      <c r="BH517" s="50" t="s">
        <v>12023</v>
      </c>
      <c r="BI517" s="50" t="s">
        <v>11889</v>
      </c>
      <c r="BJ517" s="50" t="s">
        <v>127</v>
      </c>
      <c r="BK517" s="50" t="s">
        <v>16514</v>
      </c>
      <c r="BL517" s="50" t="s">
        <v>6770</v>
      </c>
      <c r="BM517" s="50" t="s">
        <v>16515</v>
      </c>
      <c r="BN517" s="50" t="s">
        <v>1408</v>
      </c>
      <c r="BO517" s="50" t="s">
        <v>1670</v>
      </c>
      <c r="BP517" s="50" t="s">
        <v>505</v>
      </c>
      <c r="BQ517" s="50" t="s">
        <v>1671</v>
      </c>
      <c r="BR517" s="50" t="s">
        <v>1672</v>
      </c>
      <c r="BS517" s="50" t="s">
        <v>507</v>
      </c>
      <c r="BT517" s="50" t="s">
        <v>1279</v>
      </c>
      <c r="BU517" s="50" t="s">
        <v>16516</v>
      </c>
      <c r="BV517" s="50" t="s">
        <v>16517</v>
      </c>
      <c r="BW517" s="50" t="s">
        <v>569</v>
      </c>
      <c r="BX517" s="50" t="s">
        <v>6774</v>
      </c>
      <c r="BY517" s="50" t="s">
        <v>6775</v>
      </c>
      <c r="BZ517" s="50" t="s">
        <v>6774</v>
      </c>
      <c r="CA517" s="50" t="s">
        <v>16517</v>
      </c>
      <c r="CB517" s="50" t="s">
        <v>6774</v>
      </c>
      <c r="CC517" s="50" t="s">
        <v>6775</v>
      </c>
      <c r="CD517" s="50" t="s">
        <v>16517</v>
      </c>
      <c r="CE517" s="50" t="s">
        <v>6774</v>
      </c>
      <c r="CF517" s="50" t="s">
        <v>6775</v>
      </c>
      <c r="CG517" s="50" t="s">
        <v>6776</v>
      </c>
      <c r="CH517" s="50" t="s">
        <v>16518</v>
      </c>
      <c r="CJ517" s="50" t="s">
        <v>4679</v>
      </c>
      <c r="CK517" s="50" t="s">
        <v>6777</v>
      </c>
      <c r="CL517" s="50" t="s">
        <v>623</v>
      </c>
      <c r="CM517" s="50" t="s">
        <v>621</v>
      </c>
      <c r="CN517" s="50" t="s">
        <v>4679</v>
      </c>
      <c r="CP517" s="50" t="s">
        <v>6777</v>
      </c>
      <c r="CQ517" s="50" t="s">
        <v>6777</v>
      </c>
    </row>
    <row r="518" spans="1:96">
      <c r="A518" s="50" t="s">
        <v>337</v>
      </c>
      <c r="B518" s="50">
        <v>398948</v>
      </c>
      <c r="C518" s="50" t="s">
        <v>2525</v>
      </c>
      <c r="D518" s="50" t="s">
        <v>17440</v>
      </c>
      <c r="E518" s="50" t="str">
        <f>VLOOKUP(B518,aa!B:F,5,0)</f>
        <v>Ei CARES</v>
      </c>
      <c r="F518" s="50">
        <f>VLOOKUP(B518,aa!B:J,9,0)</f>
        <v>344009</v>
      </c>
      <c r="G518" s="50">
        <f>VLOOKUP(B518,aa!B:L,11,0)</f>
        <v>0</v>
      </c>
      <c r="H518" s="50">
        <f>VLOOKUP(B518,aa!B:O,14,0)</f>
        <v>344009</v>
      </c>
      <c r="I518" s="50">
        <f>VLOOKUP(B518,aa!B:R,17,0)</f>
        <v>0</v>
      </c>
      <c r="K518" s="50" t="s">
        <v>152</v>
      </c>
      <c r="L518" s="50">
        <v>192605</v>
      </c>
      <c r="M518" s="50">
        <v>192605</v>
      </c>
      <c r="N518" s="50">
        <v>0</v>
      </c>
      <c r="O518" s="50">
        <v>0</v>
      </c>
      <c r="Q518" s="50">
        <v>192605</v>
      </c>
      <c r="R518" s="50">
        <v>107</v>
      </c>
      <c r="S518" s="50" t="s">
        <v>3005</v>
      </c>
      <c r="T518" s="50">
        <v>0</v>
      </c>
      <c r="U518" s="50">
        <v>0</v>
      </c>
      <c r="W518" s="50" t="s">
        <v>102</v>
      </c>
      <c r="X518" s="50" t="s">
        <v>275</v>
      </c>
      <c r="Z518" s="50" t="s">
        <v>1408</v>
      </c>
      <c r="AA518" s="50" t="s">
        <v>109</v>
      </c>
      <c r="AB518" s="50" t="s">
        <v>102</v>
      </c>
      <c r="AC518" s="50" t="s">
        <v>109</v>
      </c>
      <c r="AD518" s="50" t="s">
        <v>102</v>
      </c>
      <c r="AE518" s="50" t="s">
        <v>109</v>
      </c>
      <c r="AF518" s="50" t="s">
        <v>102</v>
      </c>
      <c r="AG518" s="50" t="s">
        <v>109</v>
      </c>
      <c r="AH518" s="50" t="s">
        <v>102</v>
      </c>
      <c r="AI518" s="50" t="s">
        <v>102</v>
      </c>
      <c r="AJ518" s="50" t="s">
        <v>13033</v>
      </c>
      <c r="AK518" s="50" t="s">
        <v>13672</v>
      </c>
      <c r="AL518" s="50" t="s">
        <v>17441</v>
      </c>
      <c r="AM518" s="50" t="s">
        <v>9643</v>
      </c>
      <c r="AN518" s="50" t="s">
        <v>17442</v>
      </c>
      <c r="AO518" s="50" t="s">
        <v>17443</v>
      </c>
      <c r="AP518" s="50" t="s">
        <v>17443</v>
      </c>
      <c r="AU518" s="50" t="s">
        <v>102</v>
      </c>
      <c r="AW518" s="50" t="s">
        <v>155</v>
      </c>
      <c r="AX518" s="50" t="s">
        <v>119</v>
      </c>
      <c r="AY518" s="50" t="s">
        <v>170</v>
      </c>
      <c r="AZ518" s="50" t="s">
        <v>118</v>
      </c>
      <c r="BB518" s="50" t="s">
        <v>120</v>
      </c>
      <c r="BC518" s="50" t="s">
        <v>17444</v>
      </c>
      <c r="BD518" s="50" t="s">
        <v>730</v>
      </c>
      <c r="BE518" s="50" t="s">
        <v>622</v>
      </c>
      <c r="BF518" s="50" t="s">
        <v>730</v>
      </c>
      <c r="BG518" s="50" t="s">
        <v>124</v>
      </c>
      <c r="BH518" s="50" t="s">
        <v>11959</v>
      </c>
      <c r="BI518" s="50" t="s">
        <v>11960</v>
      </c>
      <c r="BJ518" s="50" t="s">
        <v>127</v>
      </c>
      <c r="BK518" s="50" t="s">
        <v>17445</v>
      </c>
      <c r="BL518" s="50" t="s">
        <v>17446</v>
      </c>
      <c r="BM518" s="50" t="s">
        <v>17447</v>
      </c>
      <c r="BN518" s="50" t="s">
        <v>1408</v>
      </c>
      <c r="BO518" s="50" t="s">
        <v>3910</v>
      </c>
      <c r="BP518" s="50" t="s">
        <v>350</v>
      </c>
      <c r="BQ518" s="50" t="s">
        <v>3911</v>
      </c>
      <c r="BR518" s="50" t="s">
        <v>3912</v>
      </c>
      <c r="BS518" s="50" t="s">
        <v>7862</v>
      </c>
      <c r="BU518" s="50" t="s">
        <v>17448</v>
      </c>
      <c r="BV518" s="50" t="s">
        <v>17449</v>
      </c>
      <c r="BW518" s="50" t="s">
        <v>138</v>
      </c>
      <c r="BX518" s="50" t="s">
        <v>17450</v>
      </c>
      <c r="BY518" s="50" t="s">
        <v>17451</v>
      </c>
      <c r="BZ518" s="50" t="s">
        <v>17450</v>
      </c>
      <c r="CA518" s="50" t="s">
        <v>17449</v>
      </c>
      <c r="CB518" s="50" t="s">
        <v>17450</v>
      </c>
      <c r="CC518" s="50" t="s">
        <v>17451</v>
      </c>
      <c r="CD518" s="50" t="s">
        <v>17449</v>
      </c>
      <c r="CE518" s="50" t="s">
        <v>17450</v>
      </c>
      <c r="CF518" s="50" t="s">
        <v>17451</v>
      </c>
      <c r="CG518" s="50" t="s">
        <v>358</v>
      </c>
      <c r="CH518" s="50" t="s">
        <v>17452</v>
      </c>
      <c r="CJ518" s="50" t="s">
        <v>17453</v>
      </c>
      <c r="CK518" s="50" t="s">
        <v>17454</v>
      </c>
      <c r="CL518" s="50" t="s">
        <v>17444</v>
      </c>
      <c r="CM518" s="50" t="s">
        <v>730</v>
      </c>
      <c r="CN518" s="50" t="s">
        <v>17453</v>
      </c>
      <c r="CP518" s="50" t="s">
        <v>17455</v>
      </c>
      <c r="CQ518" s="50" t="s">
        <v>17455</v>
      </c>
    </row>
    <row r="519" spans="1:96">
      <c r="A519" s="50" t="s">
        <v>149</v>
      </c>
      <c r="B519" s="50">
        <v>3990957</v>
      </c>
      <c r="C519" s="50" t="s">
        <v>11947</v>
      </c>
      <c r="D519" s="50" t="s">
        <v>8104</v>
      </c>
      <c r="E519" s="50" t="e">
        <f>VLOOKUP(B519,aa!B:F,5,0)</f>
        <v>#N/A</v>
      </c>
      <c r="F519" s="50" t="e">
        <f>VLOOKUP(B519,aa!B:J,9,0)</f>
        <v>#N/A</v>
      </c>
      <c r="G519" s="50" t="e">
        <f>VLOOKUP(B519,aa!B:L,11,0)</f>
        <v>#N/A</v>
      </c>
      <c r="H519" s="50" t="e">
        <f>VLOOKUP(B519,aa!B:O,14,0)</f>
        <v>#N/A</v>
      </c>
      <c r="I519" s="50" t="e">
        <f>VLOOKUP(B519,aa!B:R,17,0)</f>
        <v>#N/A</v>
      </c>
      <c r="K519" s="50" t="s">
        <v>152</v>
      </c>
      <c r="L519" s="50">
        <v>551000</v>
      </c>
      <c r="M519" s="50">
        <v>551000</v>
      </c>
      <c r="N519" s="50">
        <v>0</v>
      </c>
      <c r="O519" s="50">
        <v>0</v>
      </c>
      <c r="Q519" s="50">
        <v>551000</v>
      </c>
      <c r="R519" s="50">
        <v>433</v>
      </c>
      <c r="S519" s="50" t="s">
        <v>8106</v>
      </c>
      <c r="T519" s="50">
        <v>0</v>
      </c>
      <c r="U519" s="50">
        <v>0</v>
      </c>
      <c r="W519" s="50" t="s">
        <v>102</v>
      </c>
      <c r="X519" s="50" t="s">
        <v>103</v>
      </c>
      <c r="Y519" s="50" t="s">
        <v>104</v>
      </c>
      <c r="AA519" s="50" t="s">
        <v>14023</v>
      </c>
      <c r="AB519" s="50" t="s">
        <v>17494</v>
      </c>
      <c r="AC519" s="50" t="s">
        <v>11884</v>
      </c>
      <c r="AD519" s="50" t="s">
        <v>17494</v>
      </c>
      <c r="AE519" s="50" t="s">
        <v>109</v>
      </c>
      <c r="AF519" s="50" t="s">
        <v>102</v>
      </c>
      <c r="AG519" s="50" t="s">
        <v>109</v>
      </c>
      <c r="AH519" s="50" t="s">
        <v>102</v>
      </c>
      <c r="AI519" s="50" t="s">
        <v>102</v>
      </c>
      <c r="AJ519" s="50" t="s">
        <v>8747</v>
      </c>
      <c r="AK519" s="50" t="s">
        <v>8747</v>
      </c>
      <c r="AL519" s="50" t="s">
        <v>17495</v>
      </c>
      <c r="AM519" s="50" t="s">
        <v>17496</v>
      </c>
      <c r="AN519" s="50" t="s">
        <v>17497</v>
      </c>
      <c r="AO519" s="50" t="s">
        <v>116</v>
      </c>
      <c r="AP519" s="50" t="s">
        <v>116</v>
      </c>
      <c r="AU519" s="50" t="s">
        <v>102</v>
      </c>
      <c r="AW519" s="50" t="s">
        <v>801</v>
      </c>
      <c r="AX519" s="50" t="s">
        <v>119</v>
      </c>
      <c r="AZ519" s="50" t="s">
        <v>250</v>
      </c>
      <c r="BB519" s="50" t="s">
        <v>171</v>
      </c>
      <c r="BC519" s="50" t="s">
        <v>920</v>
      </c>
      <c r="BD519" s="50" t="s">
        <v>211</v>
      </c>
      <c r="BE519" s="50" t="s">
        <v>212</v>
      </c>
      <c r="BF519" s="50" t="s">
        <v>213</v>
      </c>
      <c r="BG519" s="50" t="s">
        <v>124</v>
      </c>
      <c r="BH519" s="50" t="s">
        <v>11959</v>
      </c>
      <c r="BI519" s="50" t="s">
        <v>11889</v>
      </c>
      <c r="BJ519" s="50" t="s">
        <v>127</v>
      </c>
      <c r="BK519" s="50" t="s">
        <v>17498</v>
      </c>
      <c r="BL519" s="50" t="s">
        <v>8115</v>
      </c>
      <c r="BM519" s="50" t="s">
        <v>17499</v>
      </c>
      <c r="BN519" s="50" t="s">
        <v>1408</v>
      </c>
      <c r="BO519" s="50" t="s">
        <v>415</v>
      </c>
      <c r="BP519" s="50" t="s">
        <v>180</v>
      </c>
      <c r="BQ519" s="50" t="s">
        <v>416</v>
      </c>
      <c r="BR519" s="50" t="s">
        <v>417</v>
      </c>
      <c r="BS519" s="50" t="s">
        <v>2151</v>
      </c>
      <c r="BU519" s="50" t="s">
        <v>17500</v>
      </c>
      <c r="BV519" s="50" t="s">
        <v>8118</v>
      </c>
      <c r="BW519" s="50" t="s">
        <v>138</v>
      </c>
      <c r="BX519" s="50" t="s">
        <v>8119</v>
      </c>
      <c r="BY519" s="50" t="s">
        <v>8120</v>
      </c>
      <c r="BZ519" s="50" t="s">
        <v>8121</v>
      </c>
      <c r="CA519" s="50" t="s">
        <v>8118</v>
      </c>
      <c r="CB519" s="50" t="s">
        <v>8119</v>
      </c>
      <c r="CC519" s="50" t="s">
        <v>8120</v>
      </c>
      <c r="CD519" s="50" t="s">
        <v>8118</v>
      </c>
      <c r="CE519" s="50" t="s">
        <v>8119</v>
      </c>
      <c r="CF519" s="50" t="s">
        <v>8120</v>
      </c>
      <c r="CG519" s="50" t="s">
        <v>3968</v>
      </c>
      <c r="CH519" s="50" t="s">
        <v>8122</v>
      </c>
      <c r="CJ519" s="50" t="s">
        <v>8123</v>
      </c>
      <c r="CK519" s="50" t="s">
        <v>8122</v>
      </c>
      <c r="CL519" s="50" t="s">
        <v>920</v>
      </c>
      <c r="CM519" s="50" t="s">
        <v>211</v>
      </c>
      <c r="CN519" s="50" t="s">
        <v>8123</v>
      </c>
      <c r="CP519" s="50" t="s">
        <v>8122</v>
      </c>
      <c r="CQ519" s="50" t="s">
        <v>8122</v>
      </c>
      <c r="CR519" s="50" t="s">
        <v>26046</v>
      </c>
    </row>
    <row r="520" spans="1:96">
      <c r="A520" s="50" t="s">
        <v>149</v>
      </c>
      <c r="B520" s="50">
        <v>3998030</v>
      </c>
      <c r="C520" s="50" t="s">
        <v>11947</v>
      </c>
      <c r="D520" s="50" t="s">
        <v>8358</v>
      </c>
      <c r="E520" s="50" t="e">
        <f>VLOOKUP(B520,aa!B:F,5,0)</f>
        <v>#N/A</v>
      </c>
      <c r="F520" s="50" t="e">
        <f>VLOOKUP(B520,aa!B:J,9,0)</f>
        <v>#N/A</v>
      </c>
      <c r="G520" s="50" t="e">
        <f>VLOOKUP(B520,aa!B:L,11,0)</f>
        <v>#N/A</v>
      </c>
      <c r="H520" s="50" t="e">
        <f>VLOOKUP(B520,aa!B:O,14,0)</f>
        <v>#N/A</v>
      </c>
      <c r="I520" s="50" t="e">
        <f>VLOOKUP(B520,aa!B:R,17,0)</f>
        <v>#N/A</v>
      </c>
      <c r="K520" s="50" t="s">
        <v>97</v>
      </c>
      <c r="L520" s="50">
        <v>65988</v>
      </c>
      <c r="M520" s="50">
        <v>65988</v>
      </c>
      <c r="N520" s="50">
        <v>65988</v>
      </c>
      <c r="O520" s="50">
        <v>120</v>
      </c>
      <c r="P520" s="50" t="s">
        <v>3431</v>
      </c>
      <c r="Q520" s="50">
        <v>0</v>
      </c>
      <c r="R520" s="50">
        <v>0</v>
      </c>
      <c r="T520" s="50">
        <v>0</v>
      </c>
      <c r="U520" s="50">
        <v>0</v>
      </c>
      <c r="W520" s="50" t="s">
        <v>102</v>
      </c>
      <c r="X520" s="50" t="s">
        <v>103</v>
      </c>
      <c r="Y520" s="50" t="s">
        <v>104</v>
      </c>
      <c r="AA520" s="50" t="s">
        <v>12040</v>
      </c>
      <c r="AB520" s="50" t="s">
        <v>17780</v>
      </c>
      <c r="AC520" s="50" t="s">
        <v>12713</v>
      </c>
      <c r="AD520" s="50" t="s">
        <v>17781</v>
      </c>
      <c r="AE520" s="50" t="s">
        <v>109</v>
      </c>
      <c r="AF520" s="50" t="s">
        <v>102</v>
      </c>
      <c r="AG520" s="50" t="s">
        <v>109</v>
      </c>
      <c r="AH520" s="50" t="s">
        <v>102</v>
      </c>
      <c r="AI520" s="50" t="s">
        <v>17782</v>
      </c>
      <c r="AJ520" s="50" t="s">
        <v>17783</v>
      </c>
      <c r="AK520" s="50" t="s">
        <v>13386</v>
      </c>
      <c r="AL520" s="50" t="s">
        <v>17784</v>
      </c>
      <c r="AM520" s="50" t="s">
        <v>17785</v>
      </c>
      <c r="AN520" s="50" t="s">
        <v>17786</v>
      </c>
      <c r="AO520" s="50" t="s">
        <v>4840</v>
      </c>
      <c r="AP520" s="50" t="s">
        <v>4840</v>
      </c>
      <c r="AU520" s="50" t="s">
        <v>3439</v>
      </c>
      <c r="AV520" s="50" t="s">
        <v>118</v>
      </c>
      <c r="AW520" s="50" t="s">
        <v>102</v>
      </c>
      <c r="AX520" s="50" t="s">
        <v>119</v>
      </c>
      <c r="BB520" s="50" t="s">
        <v>120</v>
      </c>
      <c r="BC520" s="50" t="s">
        <v>920</v>
      </c>
      <c r="BD520" s="50" t="s">
        <v>211</v>
      </c>
      <c r="BE520" s="50" t="s">
        <v>212</v>
      </c>
      <c r="BF520" s="50" t="s">
        <v>213</v>
      </c>
      <c r="BG520" s="50" t="s">
        <v>124</v>
      </c>
      <c r="BH520" s="50" t="s">
        <v>11959</v>
      </c>
      <c r="BI520" s="50" t="s">
        <v>11889</v>
      </c>
      <c r="BJ520" s="50" t="s">
        <v>127</v>
      </c>
      <c r="BK520" s="50" t="s">
        <v>17787</v>
      </c>
      <c r="BL520" s="50" t="s">
        <v>8367</v>
      </c>
      <c r="BM520" s="50" t="s">
        <v>17788</v>
      </c>
      <c r="BN520" s="50" t="s">
        <v>1408</v>
      </c>
      <c r="BO520" s="50" t="s">
        <v>415</v>
      </c>
      <c r="BP520" s="50" t="s">
        <v>180</v>
      </c>
      <c r="BQ520" s="50" t="s">
        <v>416</v>
      </c>
      <c r="BR520" s="50" t="s">
        <v>417</v>
      </c>
      <c r="BS520" s="50" t="s">
        <v>2151</v>
      </c>
      <c r="BU520" s="50" t="s">
        <v>17789</v>
      </c>
      <c r="BV520" s="50" t="s">
        <v>8370</v>
      </c>
      <c r="BW520" s="50" t="s">
        <v>138</v>
      </c>
      <c r="BX520" s="50" t="s">
        <v>3448</v>
      </c>
      <c r="BY520" s="50" t="s">
        <v>3449</v>
      </c>
      <c r="BZ520" s="50" t="s">
        <v>8371</v>
      </c>
      <c r="CA520" s="50" t="s">
        <v>8370</v>
      </c>
      <c r="CB520" s="50" t="s">
        <v>3448</v>
      </c>
      <c r="CC520" s="50" t="s">
        <v>3449</v>
      </c>
      <c r="CD520" s="50" t="s">
        <v>8370</v>
      </c>
      <c r="CE520" s="50" t="s">
        <v>3448</v>
      </c>
      <c r="CF520" s="50" t="s">
        <v>3449</v>
      </c>
      <c r="CG520" s="50" t="s">
        <v>3968</v>
      </c>
      <c r="CH520" s="50" t="s">
        <v>8372</v>
      </c>
      <c r="CJ520" s="50" t="s">
        <v>8373</v>
      </c>
      <c r="CK520" s="50" t="s">
        <v>8372</v>
      </c>
      <c r="CL520" s="50" t="s">
        <v>920</v>
      </c>
      <c r="CM520" s="50" t="s">
        <v>211</v>
      </c>
      <c r="CN520" s="50" t="s">
        <v>8373</v>
      </c>
      <c r="CO520" s="50" t="s">
        <v>8374</v>
      </c>
      <c r="CP520" s="50" t="s">
        <v>8372</v>
      </c>
      <c r="CQ520" s="50" t="s">
        <v>8372</v>
      </c>
      <c r="CR520" s="50" t="s">
        <v>26043</v>
      </c>
    </row>
    <row r="521" spans="1:96">
      <c r="A521" s="50" t="s">
        <v>337</v>
      </c>
      <c r="B521" s="50">
        <v>5018488</v>
      </c>
      <c r="C521" s="50" t="s">
        <v>11995</v>
      </c>
      <c r="D521" s="50" t="s">
        <v>19891</v>
      </c>
      <c r="E521" s="50" t="str">
        <f>VLOOKUP(B521,aa!B:F,5,0)</f>
        <v>Ei CARES, Ei Mindspark</v>
      </c>
      <c r="F521" s="50">
        <f>VLOOKUP(B521,aa!B:J,9,0)</f>
        <v>650614</v>
      </c>
      <c r="G521" s="50">
        <f>VLOOKUP(B521,aa!B:L,11,0)</f>
        <v>0</v>
      </c>
      <c r="H521" s="50">
        <f>VLOOKUP(B521,aa!B:O,14,0)</f>
        <v>298470</v>
      </c>
      <c r="I521" s="50">
        <f>VLOOKUP(B521,aa!B:R,17,0)</f>
        <v>352144</v>
      </c>
      <c r="K521" s="50" t="s">
        <v>8024</v>
      </c>
      <c r="L521" s="50">
        <v>603509</v>
      </c>
      <c r="M521" s="50">
        <v>678818</v>
      </c>
      <c r="N521" s="50">
        <v>0</v>
      </c>
      <c r="O521" s="50">
        <v>0</v>
      </c>
      <c r="Q521" s="50">
        <v>185125</v>
      </c>
      <c r="R521" s="50">
        <v>150</v>
      </c>
      <c r="S521" s="50" t="s">
        <v>19892</v>
      </c>
      <c r="T521" s="50">
        <v>418384</v>
      </c>
      <c r="U521" s="50">
        <v>150</v>
      </c>
      <c r="V521" s="50" t="s">
        <v>19893</v>
      </c>
      <c r="W521" s="50" t="s">
        <v>102</v>
      </c>
      <c r="X521" s="50" t="s">
        <v>103</v>
      </c>
      <c r="Y521" s="50" t="s">
        <v>155</v>
      </c>
      <c r="AA521" s="50" t="s">
        <v>680</v>
      </c>
      <c r="AB521" s="50" t="s">
        <v>19894</v>
      </c>
      <c r="AC521" s="50" t="s">
        <v>1408</v>
      </c>
      <c r="AD521" s="50" t="s">
        <v>19895</v>
      </c>
      <c r="AE521" s="50" t="s">
        <v>12289</v>
      </c>
      <c r="AF521" s="50" t="s">
        <v>19895</v>
      </c>
      <c r="AG521" s="50" t="s">
        <v>11886</v>
      </c>
      <c r="AH521" s="50" t="s">
        <v>19895</v>
      </c>
      <c r="AI521" s="50" t="s">
        <v>19896</v>
      </c>
      <c r="AJ521" s="50" t="s">
        <v>680</v>
      </c>
      <c r="AK521" s="50" t="s">
        <v>19897</v>
      </c>
      <c r="AL521" s="50" t="s">
        <v>19898</v>
      </c>
      <c r="AM521" s="50" t="s">
        <v>19899</v>
      </c>
      <c r="AN521" s="50" t="s">
        <v>19900</v>
      </c>
      <c r="AO521" s="50" t="s">
        <v>17462</v>
      </c>
      <c r="AP521" s="50" t="s">
        <v>17462</v>
      </c>
      <c r="AU521" s="50" t="s">
        <v>102</v>
      </c>
      <c r="AW521" s="50" t="s">
        <v>155</v>
      </c>
      <c r="AX521" s="50" t="s">
        <v>119</v>
      </c>
      <c r="AY521" s="50" t="s">
        <v>170</v>
      </c>
      <c r="AZ521" s="50" t="s">
        <v>118</v>
      </c>
      <c r="BA521" s="50" t="s">
        <v>250</v>
      </c>
      <c r="BB521" s="50" t="s">
        <v>120</v>
      </c>
      <c r="BC521" s="50" t="s">
        <v>19901</v>
      </c>
      <c r="BD521" s="50" t="s">
        <v>6390</v>
      </c>
      <c r="BE521" s="50" t="s">
        <v>212</v>
      </c>
      <c r="BF521" s="50" t="s">
        <v>286</v>
      </c>
      <c r="BG521" s="50" t="s">
        <v>124</v>
      </c>
      <c r="BH521" s="50" t="s">
        <v>12819</v>
      </c>
      <c r="BI521" s="50" t="s">
        <v>12047</v>
      </c>
      <c r="BJ521" s="50" t="s">
        <v>127</v>
      </c>
      <c r="BK521" s="50" t="s">
        <v>19902</v>
      </c>
      <c r="BL521" s="50" t="s">
        <v>19903</v>
      </c>
      <c r="BM521" s="50" t="s">
        <v>19904</v>
      </c>
      <c r="BN521" s="50" t="s">
        <v>1408</v>
      </c>
      <c r="BO521" s="50" t="s">
        <v>17684</v>
      </c>
      <c r="BP521" s="50" t="s">
        <v>132</v>
      </c>
      <c r="BQ521" s="50" t="s">
        <v>17685</v>
      </c>
      <c r="BR521" s="50" t="s">
        <v>17686</v>
      </c>
      <c r="BS521" s="50" t="s">
        <v>17687</v>
      </c>
      <c r="BU521" s="50" t="s">
        <v>19905</v>
      </c>
      <c r="BV521" s="50" t="s">
        <v>19906</v>
      </c>
      <c r="BW521" s="50" t="s">
        <v>138</v>
      </c>
      <c r="BX521" s="50" t="s">
        <v>19907</v>
      </c>
      <c r="BY521" s="50" t="s">
        <v>19908</v>
      </c>
      <c r="BZ521" s="50" t="s">
        <v>19909</v>
      </c>
      <c r="CA521" s="50" t="s">
        <v>19910</v>
      </c>
      <c r="CB521" s="50" t="s">
        <v>19907</v>
      </c>
      <c r="CC521" s="50" t="s">
        <v>19911</v>
      </c>
      <c r="CD521" s="50" t="s">
        <v>19912</v>
      </c>
      <c r="CE521" s="50" t="s">
        <v>19913</v>
      </c>
      <c r="CF521" s="50" t="s">
        <v>19914</v>
      </c>
      <c r="CG521" s="50" t="s">
        <v>102</v>
      </c>
      <c r="CH521" s="50" t="s">
        <v>19915</v>
      </c>
      <c r="CJ521" s="50" t="s">
        <v>19916</v>
      </c>
      <c r="CK521" s="50" t="s">
        <v>19917</v>
      </c>
      <c r="CL521" s="50" t="s">
        <v>19901</v>
      </c>
      <c r="CM521" s="50" t="s">
        <v>6390</v>
      </c>
      <c r="CN521" s="50" t="s">
        <v>19916</v>
      </c>
      <c r="CP521" s="50" t="s">
        <v>19918</v>
      </c>
      <c r="CQ521" s="50" t="s">
        <v>19918</v>
      </c>
    </row>
    <row r="522" spans="1:96">
      <c r="A522" s="50" t="s">
        <v>149</v>
      </c>
      <c r="B522" s="50">
        <v>615868</v>
      </c>
      <c r="C522" s="50" t="s">
        <v>11947</v>
      </c>
      <c r="D522" s="50" t="s">
        <v>11317</v>
      </c>
      <c r="E522" s="50" t="e">
        <f>VLOOKUP(B522,aa!B:F,5,0)</f>
        <v>#N/A</v>
      </c>
      <c r="F522" s="50" t="e">
        <f>VLOOKUP(B522,aa!B:J,9,0)</f>
        <v>#N/A</v>
      </c>
      <c r="G522" s="50" t="e">
        <f>VLOOKUP(B522,aa!B:L,11,0)</f>
        <v>#N/A</v>
      </c>
      <c r="H522" s="50" t="e">
        <f>VLOOKUP(B522,aa!B:O,14,0)</f>
        <v>#N/A</v>
      </c>
      <c r="I522" s="50" t="e">
        <f>VLOOKUP(B522,aa!B:R,17,0)</f>
        <v>#N/A</v>
      </c>
      <c r="K522" s="50" t="s">
        <v>97</v>
      </c>
      <c r="L522" s="50">
        <v>15947</v>
      </c>
      <c r="M522" s="50">
        <v>15947</v>
      </c>
      <c r="N522" s="50">
        <v>15947</v>
      </c>
      <c r="O522" s="50">
        <v>29</v>
      </c>
      <c r="P522" s="50" t="s">
        <v>3431</v>
      </c>
      <c r="Q522" s="50">
        <v>0</v>
      </c>
      <c r="R522" s="50">
        <v>0</v>
      </c>
      <c r="T522" s="50">
        <v>0</v>
      </c>
      <c r="U522" s="50">
        <v>0</v>
      </c>
      <c r="W522" s="50" t="s">
        <v>102</v>
      </c>
      <c r="X522" s="50" t="s">
        <v>103</v>
      </c>
      <c r="Y522" s="50" t="s">
        <v>104</v>
      </c>
      <c r="AA522" s="50" t="s">
        <v>12040</v>
      </c>
      <c r="AB522" s="50" t="s">
        <v>21240</v>
      </c>
      <c r="AC522" s="50" t="s">
        <v>12713</v>
      </c>
      <c r="AD522" s="50" t="s">
        <v>21241</v>
      </c>
      <c r="AE522" s="50" t="s">
        <v>109</v>
      </c>
      <c r="AF522" s="50" t="s">
        <v>102</v>
      </c>
      <c r="AG522" s="50" t="s">
        <v>109</v>
      </c>
      <c r="AH522" s="50" t="s">
        <v>102</v>
      </c>
      <c r="AI522" s="50" t="s">
        <v>21242</v>
      </c>
      <c r="AJ522" s="50" t="s">
        <v>12427</v>
      </c>
      <c r="AK522" s="50" t="s">
        <v>13386</v>
      </c>
      <c r="AL522" s="50" t="s">
        <v>21243</v>
      </c>
      <c r="AM522" s="50" t="s">
        <v>21244</v>
      </c>
      <c r="AN522" s="50" t="s">
        <v>104</v>
      </c>
      <c r="AO522" s="50" t="s">
        <v>4840</v>
      </c>
      <c r="AP522" s="50" t="s">
        <v>4840</v>
      </c>
      <c r="AU522" s="50" t="s">
        <v>318</v>
      </c>
      <c r="AV522" s="50" t="s">
        <v>118</v>
      </c>
      <c r="AW522" s="50" t="s">
        <v>102</v>
      </c>
      <c r="AX522" s="50" t="s">
        <v>119</v>
      </c>
      <c r="BB522" s="50" t="s">
        <v>209</v>
      </c>
      <c r="BC522" s="50" t="s">
        <v>920</v>
      </c>
      <c r="BD522" s="50" t="s">
        <v>211</v>
      </c>
      <c r="BE522" s="50" t="s">
        <v>212</v>
      </c>
      <c r="BF522" s="50" t="s">
        <v>213</v>
      </c>
      <c r="BG522" s="50" t="s">
        <v>124</v>
      </c>
      <c r="BH522" s="50" t="s">
        <v>11959</v>
      </c>
      <c r="BI522" s="50" t="s">
        <v>11889</v>
      </c>
      <c r="BJ522" s="50" t="s">
        <v>127</v>
      </c>
      <c r="BK522" s="50" t="s">
        <v>21245</v>
      </c>
      <c r="BL522" s="50" t="s">
        <v>11325</v>
      </c>
      <c r="BM522" s="50" t="s">
        <v>21246</v>
      </c>
      <c r="BN522" s="50" t="s">
        <v>1408</v>
      </c>
      <c r="BO522" s="50" t="s">
        <v>415</v>
      </c>
      <c r="BP522" s="50" t="s">
        <v>180</v>
      </c>
      <c r="BQ522" s="50" t="s">
        <v>416</v>
      </c>
      <c r="BR522" s="50" t="s">
        <v>417</v>
      </c>
      <c r="BS522" s="50" t="s">
        <v>2151</v>
      </c>
      <c r="BU522" s="50" t="s">
        <v>21247</v>
      </c>
      <c r="BV522" s="50" t="s">
        <v>14018</v>
      </c>
      <c r="BW522" s="50" t="s">
        <v>138</v>
      </c>
      <c r="BX522" s="50" t="s">
        <v>3448</v>
      </c>
      <c r="BY522" s="50" t="s">
        <v>14019</v>
      </c>
      <c r="BZ522" s="50" t="s">
        <v>3450</v>
      </c>
      <c r="CA522" s="50" t="s">
        <v>14018</v>
      </c>
      <c r="CB522" s="50" t="s">
        <v>3448</v>
      </c>
      <c r="CC522" s="50" t="s">
        <v>14019</v>
      </c>
      <c r="CD522" s="50" t="s">
        <v>14018</v>
      </c>
      <c r="CE522" s="50" t="s">
        <v>3448</v>
      </c>
      <c r="CF522" s="50" t="s">
        <v>14019</v>
      </c>
      <c r="CG522" s="50" t="s">
        <v>573</v>
      </c>
      <c r="CH522" s="50" t="s">
        <v>11329</v>
      </c>
      <c r="CJ522" s="50" t="s">
        <v>3453</v>
      </c>
      <c r="CK522" s="50" t="s">
        <v>21248</v>
      </c>
      <c r="CL522" s="50" t="s">
        <v>920</v>
      </c>
      <c r="CM522" s="50" t="s">
        <v>211</v>
      </c>
      <c r="CN522" s="50" t="s">
        <v>3453</v>
      </c>
      <c r="CO522" s="50" t="s">
        <v>3455</v>
      </c>
      <c r="CP522" s="50" t="s">
        <v>11329</v>
      </c>
      <c r="CQ522" s="50" t="s">
        <v>11329</v>
      </c>
      <c r="CR522" s="50" t="s">
        <v>26043</v>
      </c>
    </row>
    <row r="523" spans="1:96">
      <c r="A523" s="50" t="s">
        <v>337</v>
      </c>
      <c r="B523" s="50">
        <v>5058694</v>
      </c>
      <c r="C523" s="50" t="s">
        <v>3562</v>
      </c>
      <c r="D523" s="50" t="s">
        <v>20671</v>
      </c>
      <c r="E523" s="50" t="e">
        <f>VLOOKUP(B523,aa!B:F,5,0)</f>
        <v>#N/A</v>
      </c>
      <c r="F523" s="50" t="e">
        <f>VLOOKUP(B523,aa!B:J,9,0)</f>
        <v>#N/A</v>
      </c>
      <c r="G523" s="50" t="e">
        <f>VLOOKUP(B523,aa!B:L,11,0)</f>
        <v>#N/A</v>
      </c>
      <c r="H523" s="50" t="e">
        <f>VLOOKUP(B523,aa!B:O,14,0)</f>
        <v>#N/A</v>
      </c>
      <c r="I523" s="50" t="e">
        <f>VLOOKUP(B523,aa!B:R,17,0)</f>
        <v>#N/A</v>
      </c>
      <c r="K523" s="50" t="s">
        <v>2163</v>
      </c>
      <c r="L523" s="50">
        <v>1083722</v>
      </c>
      <c r="M523" s="50">
        <v>1198231</v>
      </c>
      <c r="N523" s="50">
        <v>183811</v>
      </c>
      <c r="O523" s="50">
        <v>230</v>
      </c>
      <c r="P523" s="50" t="s">
        <v>20673</v>
      </c>
      <c r="Q523" s="50">
        <v>263751</v>
      </c>
      <c r="R523" s="50">
        <v>189</v>
      </c>
      <c r="S523" s="50" t="s">
        <v>20674</v>
      </c>
      <c r="T523" s="50">
        <v>636160</v>
      </c>
      <c r="U523" s="50">
        <v>293</v>
      </c>
      <c r="V523" s="50" t="s">
        <v>20675</v>
      </c>
      <c r="W523" s="50" t="s">
        <v>102</v>
      </c>
      <c r="X523" s="50" t="s">
        <v>275</v>
      </c>
      <c r="Z523" s="50" t="s">
        <v>14547</v>
      </c>
      <c r="AA523" s="50" t="s">
        <v>109</v>
      </c>
      <c r="AB523" s="50" t="s">
        <v>102</v>
      </c>
      <c r="AC523" s="50" t="s">
        <v>109</v>
      </c>
      <c r="AD523" s="50" t="s">
        <v>102</v>
      </c>
      <c r="AE523" s="50" t="s">
        <v>109</v>
      </c>
      <c r="AF523" s="50" t="s">
        <v>102</v>
      </c>
      <c r="AG523" s="50" t="s">
        <v>109</v>
      </c>
      <c r="AH523" s="50" t="s">
        <v>102</v>
      </c>
      <c r="AI523" s="50" t="s">
        <v>102</v>
      </c>
      <c r="AJ523" s="50" t="s">
        <v>15195</v>
      </c>
      <c r="AK523" s="50" t="s">
        <v>15195</v>
      </c>
      <c r="AL523" s="50" t="s">
        <v>20676</v>
      </c>
      <c r="AM523" s="50" t="s">
        <v>20677</v>
      </c>
      <c r="AN523" s="50" t="s">
        <v>20678</v>
      </c>
      <c r="AO523" s="50" t="s">
        <v>20679</v>
      </c>
      <c r="AP523" s="50" t="s">
        <v>20679</v>
      </c>
      <c r="AU523" s="50" t="s">
        <v>207</v>
      </c>
      <c r="AV523" s="50" t="s">
        <v>118</v>
      </c>
      <c r="AW523" s="50" t="s">
        <v>1103</v>
      </c>
      <c r="AX523" s="50" t="s">
        <v>249</v>
      </c>
      <c r="AY523" s="50" t="s">
        <v>170</v>
      </c>
      <c r="AZ523" s="50" t="s">
        <v>118</v>
      </c>
      <c r="BA523" s="50" t="s">
        <v>250</v>
      </c>
      <c r="BB523" s="50" t="s">
        <v>1964</v>
      </c>
      <c r="BC523" s="50" t="s">
        <v>1729</v>
      </c>
      <c r="BD523" s="50" t="s">
        <v>730</v>
      </c>
      <c r="BE523" s="50" t="s">
        <v>622</v>
      </c>
      <c r="BF523" s="50" t="s">
        <v>730</v>
      </c>
      <c r="BG523" s="50" t="s">
        <v>124</v>
      </c>
      <c r="BH523" s="50" t="s">
        <v>11976</v>
      </c>
      <c r="BI523" s="50" t="s">
        <v>12720</v>
      </c>
      <c r="BJ523" s="50" t="s">
        <v>127</v>
      </c>
      <c r="BK523" s="50" t="s">
        <v>20680</v>
      </c>
      <c r="BL523" s="50" t="s">
        <v>20681</v>
      </c>
      <c r="BM523" s="50" t="s">
        <v>20682</v>
      </c>
      <c r="BN523" s="50" t="s">
        <v>20672</v>
      </c>
      <c r="BO523" s="50" t="s">
        <v>734</v>
      </c>
      <c r="BP523" s="50" t="s">
        <v>350</v>
      </c>
      <c r="BQ523" s="50" t="s">
        <v>735</v>
      </c>
      <c r="BR523" s="50" t="s">
        <v>736</v>
      </c>
      <c r="BS523" s="50" t="s">
        <v>737</v>
      </c>
      <c r="BU523" s="50" t="s">
        <v>20683</v>
      </c>
      <c r="BV523" s="50" t="s">
        <v>6852</v>
      </c>
      <c r="BW523" s="50" t="s">
        <v>569</v>
      </c>
      <c r="BX523" s="50" t="s">
        <v>4098</v>
      </c>
      <c r="BY523" s="50" t="s">
        <v>4099</v>
      </c>
      <c r="BZ523" s="50" t="s">
        <v>4098</v>
      </c>
      <c r="CA523" s="50" t="s">
        <v>6852</v>
      </c>
      <c r="CB523" s="50" t="s">
        <v>4098</v>
      </c>
      <c r="CC523" s="50" t="s">
        <v>4099</v>
      </c>
      <c r="CD523" s="50" t="s">
        <v>6852</v>
      </c>
      <c r="CE523" s="50" t="s">
        <v>4098</v>
      </c>
      <c r="CF523" s="50" t="s">
        <v>4099</v>
      </c>
      <c r="CG523" s="50" t="s">
        <v>907</v>
      </c>
      <c r="CH523" s="50" t="s">
        <v>20684</v>
      </c>
      <c r="CJ523" s="50" t="s">
        <v>1743</v>
      </c>
      <c r="CK523" s="50" t="s">
        <v>1742</v>
      </c>
      <c r="CL523" s="50" t="s">
        <v>1729</v>
      </c>
      <c r="CM523" s="50" t="s">
        <v>730</v>
      </c>
      <c r="CN523" s="50" t="s">
        <v>1743</v>
      </c>
      <c r="CP523" s="50" t="s">
        <v>20685</v>
      </c>
      <c r="CQ523" s="50" t="s">
        <v>20685</v>
      </c>
    </row>
    <row r="524" spans="1:96">
      <c r="A524" s="50" t="s">
        <v>495</v>
      </c>
      <c r="B524" s="50">
        <v>1752</v>
      </c>
      <c r="C524" s="50" t="s">
        <v>3562</v>
      </c>
      <c r="D524" s="50" t="s">
        <v>1713</v>
      </c>
      <c r="E524" s="50" t="e">
        <f>VLOOKUP(B524,aa!B:F,5,0)</f>
        <v>#N/A</v>
      </c>
      <c r="F524" s="50" t="e">
        <f>VLOOKUP(B524,aa!B:J,9,0)</f>
        <v>#N/A</v>
      </c>
      <c r="G524" s="50" t="e">
        <f>VLOOKUP(B524,aa!B:L,11,0)</f>
        <v>#N/A</v>
      </c>
      <c r="H524" s="50" t="e">
        <f>VLOOKUP(B524,aa!B:O,14,0)</f>
        <v>#N/A</v>
      </c>
      <c r="I524" s="50" t="e">
        <f>VLOOKUP(B524,aa!B:R,17,0)</f>
        <v>#N/A</v>
      </c>
      <c r="K524" s="50" t="s">
        <v>193</v>
      </c>
      <c r="L524" s="50">
        <v>10514044</v>
      </c>
      <c r="M524" s="50">
        <v>12245201</v>
      </c>
      <c r="N524" s="50">
        <v>896506</v>
      </c>
      <c r="O524" s="50">
        <v>1470</v>
      </c>
      <c r="P524" s="50" t="s">
        <v>12898</v>
      </c>
      <c r="Q524" s="50">
        <v>0</v>
      </c>
      <c r="R524" s="50">
        <v>0</v>
      </c>
      <c r="T524" s="50">
        <v>9617538</v>
      </c>
      <c r="U524" s="50">
        <v>4365</v>
      </c>
      <c r="V524" s="50" t="s">
        <v>608</v>
      </c>
      <c r="W524" s="50" t="s">
        <v>102</v>
      </c>
      <c r="X524" s="50" t="s">
        <v>275</v>
      </c>
      <c r="Z524" s="50" t="s">
        <v>12899</v>
      </c>
      <c r="AA524" s="50" t="s">
        <v>109</v>
      </c>
      <c r="AB524" s="50" t="s">
        <v>102</v>
      </c>
      <c r="AC524" s="50" t="s">
        <v>109</v>
      </c>
      <c r="AD524" s="50" t="s">
        <v>102</v>
      </c>
      <c r="AE524" s="50" t="s">
        <v>109</v>
      </c>
      <c r="AF524" s="50" t="s">
        <v>102</v>
      </c>
      <c r="AG524" s="50" t="s">
        <v>109</v>
      </c>
      <c r="AH524" s="50" t="s">
        <v>102</v>
      </c>
      <c r="AI524" s="50" t="s">
        <v>102</v>
      </c>
      <c r="AL524" s="50" t="s">
        <v>12900</v>
      </c>
      <c r="AM524" s="50" t="s">
        <v>102</v>
      </c>
      <c r="AN524" s="50" t="s">
        <v>12900</v>
      </c>
      <c r="AO524" s="50" t="s">
        <v>12901</v>
      </c>
      <c r="AP524" s="50" t="s">
        <v>12902</v>
      </c>
      <c r="AR524" s="50" t="s">
        <v>169</v>
      </c>
      <c r="AT524" s="50" t="s">
        <v>169</v>
      </c>
      <c r="AU524" s="50" t="s">
        <v>117</v>
      </c>
      <c r="AV524" s="50" t="s">
        <v>118</v>
      </c>
      <c r="AW524" s="50" t="s">
        <v>102</v>
      </c>
      <c r="AX524" s="50" t="s">
        <v>119</v>
      </c>
      <c r="BA524" s="50" t="s">
        <v>250</v>
      </c>
      <c r="BB524" s="50" t="s">
        <v>171</v>
      </c>
      <c r="BC524" s="50" t="s">
        <v>1729</v>
      </c>
      <c r="BD524" s="50" t="s">
        <v>730</v>
      </c>
      <c r="BE524" s="50" t="s">
        <v>622</v>
      </c>
      <c r="BF524" s="50" t="s">
        <v>730</v>
      </c>
      <c r="BG524" s="50" t="s">
        <v>124</v>
      </c>
      <c r="BH524" s="50" t="s">
        <v>11976</v>
      </c>
      <c r="BI524" s="50" t="s">
        <v>12720</v>
      </c>
      <c r="BJ524" s="50" t="s">
        <v>127</v>
      </c>
      <c r="BK524" s="50" t="s">
        <v>12903</v>
      </c>
      <c r="BL524" s="50" t="s">
        <v>1731</v>
      </c>
      <c r="BM524" s="50" t="s">
        <v>12904</v>
      </c>
      <c r="BN524" s="50" t="s">
        <v>12897</v>
      </c>
      <c r="BO524" s="50" t="s">
        <v>734</v>
      </c>
      <c r="BP524" s="50" t="s">
        <v>12227</v>
      </c>
      <c r="BQ524" s="50" t="s">
        <v>735</v>
      </c>
      <c r="BR524" s="50" t="s">
        <v>736</v>
      </c>
      <c r="BS524" s="50" t="s">
        <v>737</v>
      </c>
      <c r="BT524" s="50" t="s">
        <v>985</v>
      </c>
      <c r="BU524" s="50" t="s">
        <v>12905</v>
      </c>
      <c r="BV524" s="50" t="s">
        <v>6852</v>
      </c>
      <c r="BW524" s="50" t="s">
        <v>9092</v>
      </c>
      <c r="BX524" s="50" t="s">
        <v>4098</v>
      </c>
      <c r="BY524" s="50" t="s">
        <v>4099</v>
      </c>
      <c r="BZ524" s="50" t="s">
        <v>1740</v>
      </c>
      <c r="CA524" s="50" t="s">
        <v>6852</v>
      </c>
      <c r="CB524" s="50" t="s">
        <v>4098</v>
      </c>
      <c r="CC524" s="50" t="s">
        <v>4099</v>
      </c>
      <c r="CD524" s="50" t="s">
        <v>6852</v>
      </c>
      <c r="CE524" s="50" t="s">
        <v>4098</v>
      </c>
      <c r="CF524" s="50" t="s">
        <v>4099</v>
      </c>
      <c r="CG524" s="50" t="s">
        <v>1741</v>
      </c>
      <c r="CH524" s="50" t="s">
        <v>12906</v>
      </c>
      <c r="CJ524" s="50" t="s">
        <v>1743</v>
      </c>
      <c r="CK524" s="50" t="s">
        <v>12906</v>
      </c>
      <c r="CL524" s="50" t="s">
        <v>1729</v>
      </c>
      <c r="CM524" s="50" t="s">
        <v>730</v>
      </c>
      <c r="CN524" s="50" t="s">
        <v>1743</v>
      </c>
      <c r="CP524" s="50" t="s">
        <v>1742</v>
      </c>
      <c r="CQ524" s="50" t="s">
        <v>1742</v>
      </c>
    </row>
    <row r="525" spans="1:96">
      <c r="A525" s="50" t="s">
        <v>495</v>
      </c>
      <c r="B525" s="50">
        <v>359413</v>
      </c>
      <c r="C525" s="50" t="s">
        <v>3562</v>
      </c>
      <c r="D525" s="50" t="s">
        <v>6836</v>
      </c>
      <c r="E525" s="50" t="e">
        <f>VLOOKUP(B525,aa!B:F,5,0)</f>
        <v>#N/A</v>
      </c>
      <c r="F525" s="50" t="e">
        <f>VLOOKUP(B525,aa!B:J,9,0)</f>
        <v>#N/A</v>
      </c>
      <c r="G525" s="50" t="e">
        <f>VLOOKUP(B525,aa!B:L,11,0)</f>
        <v>#N/A</v>
      </c>
      <c r="H525" s="50" t="e">
        <f>VLOOKUP(B525,aa!B:O,14,0)</f>
        <v>#N/A</v>
      </c>
      <c r="I525" s="50" t="e">
        <f>VLOOKUP(B525,aa!B:R,17,0)</f>
        <v>#N/A</v>
      </c>
      <c r="K525" s="50" t="s">
        <v>193</v>
      </c>
      <c r="L525" s="50">
        <v>1899919</v>
      </c>
      <c r="M525" s="50">
        <v>2106067</v>
      </c>
      <c r="N525" s="50">
        <v>754650</v>
      </c>
      <c r="O525" s="50">
        <v>1248</v>
      </c>
      <c r="P525" s="50" t="s">
        <v>16592</v>
      </c>
      <c r="Q525" s="50">
        <v>0</v>
      </c>
      <c r="R525" s="50">
        <v>0</v>
      </c>
      <c r="T525" s="50">
        <v>1145269</v>
      </c>
      <c r="U525" s="50">
        <v>750</v>
      </c>
      <c r="V525" s="50" t="s">
        <v>14546</v>
      </c>
      <c r="W525" s="50" t="s">
        <v>102</v>
      </c>
      <c r="X525" s="50" t="s">
        <v>275</v>
      </c>
      <c r="Z525" s="50" t="s">
        <v>12899</v>
      </c>
      <c r="AA525" s="50" t="s">
        <v>109</v>
      </c>
      <c r="AB525" s="50" t="s">
        <v>102</v>
      </c>
      <c r="AC525" s="50" t="s">
        <v>109</v>
      </c>
      <c r="AD525" s="50" t="s">
        <v>102</v>
      </c>
      <c r="AE525" s="50" t="s">
        <v>109</v>
      </c>
      <c r="AF525" s="50" t="s">
        <v>102</v>
      </c>
      <c r="AG525" s="50" t="s">
        <v>109</v>
      </c>
      <c r="AH525" s="50" t="s">
        <v>102</v>
      </c>
      <c r="AI525" s="50" t="s">
        <v>102</v>
      </c>
      <c r="AJ525" s="50" t="s">
        <v>16593</v>
      </c>
      <c r="AK525" s="50" t="s">
        <v>16593</v>
      </c>
      <c r="AL525" s="50" t="s">
        <v>16594</v>
      </c>
      <c r="AM525" s="50" t="s">
        <v>16595</v>
      </c>
      <c r="AN525" s="50" t="s">
        <v>16596</v>
      </c>
      <c r="AO525" s="50" t="s">
        <v>16597</v>
      </c>
      <c r="AP525" s="50" t="s">
        <v>16598</v>
      </c>
      <c r="AR525" s="50" t="s">
        <v>169</v>
      </c>
      <c r="AT525" s="50" t="s">
        <v>169</v>
      </c>
      <c r="AU525" s="50" t="s">
        <v>207</v>
      </c>
      <c r="AV525" s="50" t="s">
        <v>118</v>
      </c>
      <c r="AW525" s="50" t="s">
        <v>102</v>
      </c>
      <c r="AX525" s="50" t="s">
        <v>119</v>
      </c>
      <c r="BA525" s="50" t="s">
        <v>250</v>
      </c>
      <c r="BB525" s="50" t="s">
        <v>3678</v>
      </c>
      <c r="BC525" s="50" t="s">
        <v>1729</v>
      </c>
      <c r="BD525" s="50" t="s">
        <v>730</v>
      </c>
      <c r="BE525" s="50" t="s">
        <v>622</v>
      </c>
      <c r="BF525" s="50" t="s">
        <v>730</v>
      </c>
      <c r="BG525" s="50" t="s">
        <v>124</v>
      </c>
      <c r="BH525" s="50" t="s">
        <v>11976</v>
      </c>
      <c r="BI525" s="50" t="s">
        <v>12720</v>
      </c>
      <c r="BJ525" s="50" t="s">
        <v>127</v>
      </c>
      <c r="BK525" s="50" t="s">
        <v>16599</v>
      </c>
      <c r="BL525" s="50" t="s">
        <v>6849</v>
      </c>
      <c r="BM525" s="50" t="s">
        <v>16600</v>
      </c>
      <c r="BN525" s="50" t="s">
        <v>12897</v>
      </c>
      <c r="BO525" s="50" t="s">
        <v>734</v>
      </c>
      <c r="BP525" s="50" t="s">
        <v>350</v>
      </c>
      <c r="BQ525" s="50" t="s">
        <v>735</v>
      </c>
      <c r="BR525" s="50" t="s">
        <v>736</v>
      </c>
      <c r="BS525" s="50" t="s">
        <v>737</v>
      </c>
      <c r="BT525" s="50" t="s">
        <v>985</v>
      </c>
      <c r="BU525" s="50" t="s">
        <v>16601</v>
      </c>
      <c r="BV525" s="50" t="s">
        <v>6852</v>
      </c>
      <c r="BW525" s="50" t="s">
        <v>9092</v>
      </c>
      <c r="BX525" s="50" t="s">
        <v>4098</v>
      </c>
      <c r="BY525" s="50" t="s">
        <v>4099</v>
      </c>
      <c r="BZ525" s="50" t="s">
        <v>1740</v>
      </c>
      <c r="CA525" s="50" t="s">
        <v>6852</v>
      </c>
      <c r="CB525" s="50" t="s">
        <v>4098</v>
      </c>
      <c r="CC525" s="50" t="s">
        <v>4099</v>
      </c>
      <c r="CD525" s="50" t="s">
        <v>6852</v>
      </c>
      <c r="CE525" s="50" t="s">
        <v>4098</v>
      </c>
      <c r="CF525" s="50" t="s">
        <v>4099</v>
      </c>
      <c r="CG525" s="50" t="s">
        <v>6853</v>
      </c>
      <c r="CH525" s="50" t="s">
        <v>16602</v>
      </c>
      <c r="CJ525" s="50" t="s">
        <v>6855</v>
      </c>
      <c r="CK525" s="50" t="s">
        <v>6854</v>
      </c>
      <c r="CL525" s="50" t="s">
        <v>1729</v>
      </c>
      <c r="CM525" s="50" t="s">
        <v>730</v>
      </c>
      <c r="CN525" s="50" t="s">
        <v>6855</v>
      </c>
      <c r="CP525" s="50" t="s">
        <v>6854</v>
      </c>
      <c r="CQ525" s="50" t="s">
        <v>6854</v>
      </c>
    </row>
    <row r="526" spans="1:96">
      <c r="A526" s="50" t="s">
        <v>495</v>
      </c>
      <c r="B526" s="50">
        <v>2561674</v>
      </c>
      <c r="C526" s="50" t="s">
        <v>3562</v>
      </c>
      <c r="D526" s="50" t="s">
        <v>4079</v>
      </c>
      <c r="E526" s="50" t="e">
        <f>VLOOKUP(B526,aa!B:F,5,0)</f>
        <v>#N/A</v>
      </c>
      <c r="F526" s="50" t="e">
        <f>VLOOKUP(B526,aa!B:J,9,0)</f>
        <v>#N/A</v>
      </c>
      <c r="G526" s="50" t="e">
        <f>VLOOKUP(B526,aa!B:L,11,0)</f>
        <v>#N/A</v>
      </c>
      <c r="H526" s="50" t="e">
        <f>VLOOKUP(B526,aa!B:O,14,0)</f>
        <v>#N/A</v>
      </c>
      <c r="I526" s="50" t="e">
        <f>VLOOKUP(B526,aa!B:R,17,0)</f>
        <v>#N/A</v>
      </c>
      <c r="K526" s="50" t="s">
        <v>193</v>
      </c>
      <c r="L526" s="50">
        <v>337061</v>
      </c>
      <c r="M526" s="50">
        <v>394783</v>
      </c>
      <c r="N526" s="50">
        <v>16386</v>
      </c>
      <c r="O526" s="50">
        <v>51</v>
      </c>
      <c r="P526" s="50" t="s">
        <v>14545</v>
      </c>
      <c r="Q526" s="50">
        <v>0</v>
      </c>
      <c r="R526" s="50">
        <v>0</v>
      </c>
      <c r="T526" s="50">
        <v>320675</v>
      </c>
      <c r="U526" s="50">
        <v>210</v>
      </c>
      <c r="V526" s="50" t="s">
        <v>14546</v>
      </c>
      <c r="W526" s="50" t="s">
        <v>102</v>
      </c>
      <c r="X526" s="50" t="s">
        <v>275</v>
      </c>
      <c r="Z526" s="50" t="s">
        <v>14547</v>
      </c>
      <c r="AA526" s="50" t="s">
        <v>109</v>
      </c>
      <c r="AB526" s="50" t="s">
        <v>102</v>
      </c>
      <c r="AC526" s="50" t="s">
        <v>109</v>
      </c>
      <c r="AD526" s="50" t="s">
        <v>102</v>
      </c>
      <c r="AE526" s="50" t="s">
        <v>109</v>
      </c>
      <c r="AF526" s="50" t="s">
        <v>102</v>
      </c>
      <c r="AG526" s="50" t="s">
        <v>109</v>
      </c>
      <c r="AH526" s="50" t="s">
        <v>102</v>
      </c>
      <c r="AI526" s="50" t="s">
        <v>102</v>
      </c>
      <c r="AL526" s="50" t="s">
        <v>14548</v>
      </c>
      <c r="AM526" s="50" t="s">
        <v>102</v>
      </c>
      <c r="AN526" s="50" t="s">
        <v>14548</v>
      </c>
      <c r="AO526" s="50" t="s">
        <v>14549</v>
      </c>
      <c r="AP526" s="50" t="s">
        <v>14550</v>
      </c>
      <c r="AT526" s="50" t="s">
        <v>169</v>
      </c>
      <c r="AU526" s="50" t="s">
        <v>207</v>
      </c>
      <c r="AV526" s="50" t="s">
        <v>118</v>
      </c>
      <c r="AW526" s="50" t="s">
        <v>102</v>
      </c>
      <c r="AX526" s="50" t="s">
        <v>119</v>
      </c>
      <c r="BA526" s="50" t="s">
        <v>250</v>
      </c>
      <c r="BB526" s="50" t="s">
        <v>209</v>
      </c>
      <c r="BC526" s="50" t="s">
        <v>1729</v>
      </c>
      <c r="BD526" s="50" t="s">
        <v>730</v>
      </c>
      <c r="BE526" s="50" t="s">
        <v>622</v>
      </c>
      <c r="BF526" s="50" t="s">
        <v>730</v>
      </c>
      <c r="BG526" s="50" t="s">
        <v>124</v>
      </c>
      <c r="BH526" s="50" t="s">
        <v>11976</v>
      </c>
      <c r="BI526" s="50" t="s">
        <v>12720</v>
      </c>
      <c r="BJ526" s="50" t="s">
        <v>127</v>
      </c>
      <c r="BK526" s="50" t="s">
        <v>14551</v>
      </c>
      <c r="BL526" s="50" t="s">
        <v>4091</v>
      </c>
      <c r="BM526" s="50" t="s">
        <v>14552</v>
      </c>
      <c r="BN526" s="50" t="s">
        <v>14544</v>
      </c>
      <c r="BO526" s="50" t="s">
        <v>734</v>
      </c>
      <c r="BP526" s="50" t="s">
        <v>180</v>
      </c>
      <c r="BQ526" s="50" t="s">
        <v>735</v>
      </c>
      <c r="BR526" s="50" t="s">
        <v>736</v>
      </c>
      <c r="BS526" s="50" t="s">
        <v>737</v>
      </c>
      <c r="BU526" s="50" t="s">
        <v>14553</v>
      </c>
      <c r="BV526" s="50" t="s">
        <v>6852</v>
      </c>
      <c r="BW526" s="50" t="s">
        <v>569</v>
      </c>
      <c r="BX526" s="50" t="s">
        <v>4098</v>
      </c>
      <c r="BY526" s="50" t="s">
        <v>4099</v>
      </c>
      <c r="BZ526" s="50" t="s">
        <v>1740</v>
      </c>
      <c r="CA526" s="50" t="s">
        <v>6852</v>
      </c>
      <c r="CB526" s="50" t="s">
        <v>4098</v>
      </c>
      <c r="CC526" s="50" t="s">
        <v>4099</v>
      </c>
      <c r="CD526" s="50" t="s">
        <v>6852</v>
      </c>
      <c r="CE526" s="50" t="s">
        <v>4098</v>
      </c>
      <c r="CF526" s="50" t="s">
        <v>4099</v>
      </c>
      <c r="CG526" s="50" t="s">
        <v>4101</v>
      </c>
      <c r="CH526" s="50" t="s">
        <v>4102</v>
      </c>
      <c r="CJ526" s="50" t="s">
        <v>4103</v>
      </c>
      <c r="CK526" s="50" t="s">
        <v>4102</v>
      </c>
      <c r="CL526" s="50" t="s">
        <v>1729</v>
      </c>
      <c r="CM526" s="50" t="s">
        <v>730</v>
      </c>
      <c r="CN526" s="50" t="s">
        <v>4103</v>
      </c>
      <c r="CO526" s="50" t="s">
        <v>4104</v>
      </c>
      <c r="CP526" s="50" t="s">
        <v>4102</v>
      </c>
      <c r="CQ526" s="50" t="s">
        <v>4102</v>
      </c>
    </row>
    <row r="527" spans="1:96">
      <c r="A527" s="50" t="s">
        <v>149</v>
      </c>
      <c r="B527" s="50">
        <v>5015850</v>
      </c>
      <c r="C527" s="50" t="s">
        <v>1279</v>
      </c>
      <c r="D527" s="50" t="s">
        <v>14291</v>
      </c>
      <c r="E527" s="50" t="e">
        <f>VLOOKUP(B527,aa!B:F,5,0)</f>
        <v>#N/A</v>
      </c>
      <c r="F527" s="50" t="e">
        <f>VLOOKUP(B527,aa!B:J,9,0)</f>
        <v>#N/A</v>
      </c>
      <c r="G527" s="50" t="e">
        <f>VLOOKUP(B527,aa!B:L,11,0)</f>
        <v>#N/A</v>
      </c>
      <c r="H527" s="50" t="e">
        <f>VLOOKUP(B527,aa!B:O,14,0)</f>
        <v>#N/A</v>
      </c>
      <c r="I527" s="50" t="e">
        <f>VLOOKUP(B527,aa!B:R,17,0)</f>
        <v>#N/A</v>
      </c>
      <c r="K527" s="50" t="s">
        <v>97</v>
      </c>
      <c r="L527" s="50">
        <v>22751</v>
      </c>
      <c r="M527" s="50">
        <v>22751</v>
      </c>
      <c r="N527" s="50">
        <v>22751</v>
      </c>
      <c r="O527" s="50">
        <v>25</v>
      </c>
      <c r="P527" s="50" t="s">
        <v>1798</v>
      </c>
      <c r="Q527" s="50">
        <v>0</v>
      </c>
      <c r="R527" s="50">
        <v>0</v>
      </c>
      <c r="T527" s="50">
        <v>0</v>
      </c>
      <c r="U527" s="50">
        <v>0</v>
      </c>
      <c r="W527" s="50" t="s">
        <v>102</v>
      </c>
      <c r="X527" s="50" t="s">
        <v>275</v>
      </c>
      <c r="Z527" s="50" t="s">
        <v>12923</v>
      </c>
      <c r="AA527" s="50" t="s">
        <v>109</v>
      </c>
      <c r="AB527" s="50" t="s">
        <v>102</v>
      </c>
      <c r="AC527" s="50" t="s">
        <v>109</v>
      </c>
      <c r="AD527" s="50" t="s">
        <v>102</v>
      </c>
      <c r="AE527" s="50" t="s">
        <v>109</v>
      </c>
      <c r="AF527" s="50" t="s">
        <v>102</v>
      </c>
      <c r="AG527" s="50" t="s">
        <v>109</v>
      </c>
      <c r="AH527" s="50" t="s">
        <v>102</v>
      </c>
      <c r="AI527" s="50" t="s">
        <v>102</v>
      </c>
      <c r="AJ527" s="50" t="s">
        <v>13511</v>
      </c>
      <c r="AK527" s="50" t="s">
        <v>13511</v>
      </c>
      <c r="AL527" s="50" t="s">
        <v>18727</v>
      </c>
      <c r="AM527" s="50" t="s">
        <v>18727</v>
      </c>
      <c r="AN527" s="50" t="s">
        <v>102</v>
      </c>
      <c r="AO527" s="50" t="s">
        <v>14296</v>
      </c>
      <c r="AP527" s="50" t="s">
        <v>14296</v>
      </c>
      <c r="AU527" s="50" t="s">
        <v>318</v>
      </c>
      <c r="AV527" s="50" t="s">
        <v>118</v>
      </c>
      <c r="AW527" s="50" t="s">
        <v>102</v>
      </c>
      <c r="AX527" s="50" t="s">
        <v>119</v>
      </c>
      <c r="BB527" s="50" t="s">
        <v>1964</v>
      </c>
      <c r="BC527" s="50" t="s">
        <v>623</v>
      </c>
      <c r="BD527" s="50" t="s">
        <v>621</v>
      </c>
      <c r="BE527" s="50" t="s">
        <v>622</v>
      </c>
      <c r="BF527" s="50" t="s">
        <v>623</v>
      </c>
      <c r="BG527" s="50" t="s">
        <v>124</v>
      </c>
      <c r="BH527" s="50" t="s">
        <v>11959</v>
      </c>
      <c r="BI527" s="50" t="s">
        <v>11960</v>
      </c>
      <c r="BJ527" s="50" t="s">
        <v>127</v>
      </c>
      <c r="BK527" s="50" t="s">
        <v>18728</v>
      </c>
      <c r="BL527" s="50" t="s">
        <v>9520</v>
      </c>
      <c r="BM527" s="50" t="s">
        <v>18729</v>
      </c>
      <c r="BN527" s="50" t="s">
        <v>12923</v>
      </c>
      <c r="BO527" s="50" t="s">
        <v>629</v>
      </c>
      <c r="BP527" s="50" t="s">
        <v>180</v>
      </c>
      <c r="BQ527" s="50" t="s">
        <v>630</v>
      </c>
      <c r="BR527" s="50" t="s">
        <v>631</v>
      </c>
      <c r="BS527" s="50" t="s">
        <v>1279</v>
      </c>
      <c r="BU527" s="50" t="s">
        <v>18730</v>
      </c>
      <c r="BV527" s="50" t="s">
        <v>3817</v>
      </c>
      <c r="BW527" s="50" t="s">
        <v>138</v>
      </c>
      <c r="BX527" s="50" t="s">
        <v>3818</v>
      </c>
      <c r="BY527" s="50" t="s">
        <v>3819</v>
      </c>
      <c r="BZ527" s="50" t="s">
        <v>3818</v>
      </c>
      <c r="CA527" s="50" t="s">
        <v>3817</v>
      </c>
      <c r="CB527" s="50" t="s">
        <v>3818</v>
      </c>
      <c r="CC527" s="50" t="s">
        <v>3819</v>
      </c>
      <c r="CD527" s="50" t="s">
        <v>3817</v>
      </c>
      <c r="CE527" s="50" t="s">
        <v>3818</v>
      </c>
      <c r="CF527" s="50" t="s">
        <v>3819</v>
      </c>
      <c r="CG527" s="50" t="s">
        <v>102</v>
      </c>
      <c r="CH527" s="50" t="s">
        <v>9523</v>
      </c>
      <c r="CJ527" s="50" t="s">
        <v>3821</v>
      </c>
      <c r="CL527" s="50" t="s">
        <v>623</v>
      </c>
      <c r="CM527" s="50" t="s">
        <v>621</v>
      </c>
      <c r="CN527" s="50" t="s">
        <v>3821</v>
      </c>
      <c r="CP527" s="50" t="s">
        <v>9523</v>
      </c>
      <c r="CQ527" s="50" t="s">
        <v>9523</v>
      </c>
    </row>
    <row r="528" spans="1:96">
      <c r="A528" s="50" t="s">
        <v>149</v>
      </c>
      <c r="B528" s="50">
        <v>7268</v>
      </c>
      <c r="C528" s="50" t="s">
        <v>1279</v>
      </c>
      <c r="D528" s="50" t="s">
        <v>11614</v>
      </c>
      <c r="E528" s="50" t="e">
        <f>VLOOKUP(B528,aa!B:F,5,0)</f>
        <v>#N/A</v>
      </c>
      <c r="F528" s="50" t="e">
        <f>VLOOKUP(B528,aa!B:J,9,0)</f>
        <v>#N/A</v>
      </c>
      <c r="G528" s="50" t="e">
        <f>VLOOKUP(B528,aa!B:L,11,0)</f>
        <v>#N/A</v>
      </c>
      <c r="H528" s="50" t="e">
        <f>VLOOKUP(B528,aa!B:O,14,0)</f>
        <v>#N/A</v>
      </c>
      <c r="I528" s="50" t="e">
        <f>VLOOKUP(B528,aa!B:R,17,0)</f>
        <v>#N/A</v>
      </c>
      <c r="K528" s="50" t="s">
        <v>97</v>
      </c>
      <c r="L528" s="50">
        <v>466130</v>
      </c>
      <c r="M528" s="50">
        <v>466130</v>
      </c>
      <c r="N528" s="50">
        <v>466130</v>
      </c>
      <c r="O528" s="50">
        <v>755</v>
      </c>
      <c r="P528" s="50" t="s">
        <v>21463</v>
      </c>
      <c r="Q528" s="50">
        <v>0</v>
      </c>
      <c r="R528" s="50">
        <v>0</v>
      </c>
      <c r="T528" s="50">
        <v>0</v>
      </c>
      <c r="U528" s="50">
        <v>0</v>
      </c>
      <c r="W528" s="50" t="s">
        <v>102</v>
      </c>
      <c r="X528" s="50" t="s">
        <v>103</v>
      </c>
      <c r="Y528" s="50" t="s">
        <v>104</v>
      </c>
      <c r="AA528" s="50" t="s">
        <v>12923</v>
      </c>
      <c r="AB528" s="50" t="s">
        <v>21464</v>
      </c>
      <c r="AC528" s="50" t="s">
        <v>11952</v>
      </c>
      <c r="AD528" s="50" t="s">
        <v>21465</v>
      </c>
      <c r="AE528" s="50" t="s">
        <v>109</v>
      </c>
      <c r="AF528" s="50" t="s">
        <v>102</v>
      </c>
      <c r="AG528" s="50" t="s">
        <v>109</v>
      </c>
      <c r="AH528" s="50" t="s">
        <v>102</v>
      </c>
      <c r="AI528" s="50" t="s">
        <v>21466</v>
      </c>
      <c r="AJ528" s="50" t="s">
        <v>12429</v>
      </c>
      <c r="AK528" s="50" t="s">
        <v>19723</v>
      </c>
      <c r="AL528" s="50" t="s">
        <v>21467</v>
      </c>
      <c r="AM528" s="50" t="s">
        <v>21468</v>
      </c>
      <c r="AN528" s="50" t="s">
        <v>21469</v>
      </c>
      <c r="AO528" s="50" t="s">
        <v>21470</v>
      </c>
      <c r="AP528" s="50" t="s">
        <v>21470</v>
      </c>
      <c r="AU528" s="50" t="s">
        <v>117</v>
      </c>
      <c r="AV528" s="50" t="s">
        <v>118</v>
      </c>
      <c r="AW528" s="50" t="s">
        <v>102</v>
      </c>
      <c r="AX528" s="50" t="s">
        <v>119</v>
      </c>
      <c r="BB528" s="50" t="s">
        <v>171</v>
      </c>
      <c r="BC528" s="50" t="s">
        <v>623</v>
      </c>
      <c r="BD528" s="50" t="s">
        <v>621</v>
      </c>
      <c r="BE528" s="50" t="s">
        <v>622</v>
      </c>
      <c r="BF528" s="50" t="s">
        <v>623</v>
      </c>
      <c r="BG528" s="50" t="s">
        <v>124</v>
      </c>
      <c r="BH528" s="50" t="s">
        <v>11959</v>
      </c>
      <c r="BI528" s="50" t="s">
        <v>11960</v>
      </c>
      <c r="BJ528" s="50" t="s">
        <v>127</v>
      </c>
      <c r="BK528" s="50" t="s">
        <v>21471</v>
      </c>
      <c r="BL528" s="50" t="s">
        <v>11624</v>
      </c>
      <c r="BM528" s="50" t="s">
        <v>21472</v>
      </c>
      <c r="BN528" s="50" t="s">
        <v>12923</v>
      </c>
      <c r="BO528" s="50" t="s">
        <v>629</v>
      </c>
      <c r="BP528" s="50" t="s">
        <v>350</v>
      </c>
      <c r="BQ528" s="50" t="s">
        <v>630</v>
      </c>
      <c r="BR528" s="50" t="s">
        <v>631</v>
      </c>
      <c r="BS528" s="50" t="s">
        <v>1279</v>
      </c>
      <c r="BU528" s="50" t="s">
        <v>21473</v>
      </c>
      <c r="BV528" s="50" t="s">
        <v>21474</v>
      </c>
      <c r="BW528" s="50" t="s">
        <v>138</v>
      </c>
      <c r="BX528" s="50" t="s">
        <v>21475</v>
      </c>
      <c r="BY528" s="50" t="s">
        <v>21476</v>
      </c>
      <c r="BZ528" s="50" t="s">
        <v>11630</v>
      </c>
      <c r="CA528" s="50" t="s">
        <v>21474</v>
      </c>
      <c r="CB528" s="50" t="s">
        <v>21475</v>
      </c>
      <c r="CC528" s="50" t="s">
        <v>21476</v>
      </c>
      <c r="CD528" s="50" t="s">
        <v>21474</v>
      </c>
      <c r="CE528" s="50" t="s">
        <v>21475</v>
      </c>
      <c r="CF528" s="50" t="s">
        <v>21476</v>
      </c>
      <c r="CG528" s="50" t="s">
        <v>102</v>
      </c>
      <c r="CH528" s="50" t="s">
        <v>11631</v>
      </c>
      <c r="CJ528" s="50" t="s">
        <v>4550</v>
      </c>
      <c r="CL528" s="50" t="s">
        <v>623</v>
      </c>
      <c r="CM528" s="50" t="s">
        <v>621</v>
      </c>
      <c r="CN528" s="50" t="s">
        <v>4550</v>
      </c>
      <c r="CO528" s="50" t="s">
        <v>7140</v>
      </c>
      <c r="CP528" s="50" t="s">
        <v>11631</v>
      </c>
      <c r="CQ528" s="50" t="s">
        <v>11631</v>
      </c>
      <c r="CR528" s="50" t="s">
        <v>26048</v>
      </c>
    </row>
    <row r="529" spans="1:96">
      <c r="A529" s="50" t="s">
        <v>337</v>
      </c>
      <c r="B529" s="50">
        <v>3784799</v>
      </c>
      <c r="C529" s="50" t="s">
        <v>12423</v>
      </c>
      <c r="D529" s="50" t="s">
        <v>16958</v>
      </c>
      <c r="E529" s="50" t="e">
        <f>VLOOKUP(B529,aa!B:F,5,0)</f>
        <v>#N/A</v>
      </c>
      <c r="F529" s="50" t="e">
        <f>VLOOKUP(B529,aa!B:J,9,0)</f>
        <v>#N/A</v>
      </c>
      <c r="G529" s="50" t="e">
        <f>VLOOKUP(B529,aa!B:L,11,0)</f>
        <v>#N/A</v>
      </c>
      <c r="H529" s="50" t="e">
        <f>VLOOKUP(B529,aa!B:O,14,0)</f>
        <v>#N/A</v>
      </c>
      <c r="I529" s="50" t="e">
        <f>VLOOKUP(B529,aa!B:R,17,0)</f>
        <v>#N/A</v>
      </c>
      <c r="K529" s="50" t="s">
        <v>97</v>
      </c>
      <c r="L529" s="50">
        <v>166500</v>
      </c>
      <c r="M529" s="50">
        <v>166500</v>
      </c>
      <c r="N529" s="50">
        <v>166500</v>
      </c>
      <c r="O529" s="50">
        <v>222</v>
      </c>
      <c r="P529" s="50" t="s">
        <v>101</v>
      </c>
      <c r="Q529" s="50">
        <v>0</v>
      </c>
      <c r="R529" s="50">
        <v>0</v>
      </c>
      <c r="T529" s="50">
        <v>0</v>
      </c>
      <c r="U529" s="50">
        <v>0</v>
      </c>
      <c r="W529" s="50" t="s">
        <v>102</v>
      </c>
      <c r="X529" s="50" t="s">
        <v>103</v>
      </c>
      <c r="Y529" s="50" t="s">
        <v>398</v>
      </c>
      <c r="AA529" s="50" t="s">
        <v>13033</v>
      </c>
      <c r="AB529" s="50" t="s">
        <v>16959</v>
      </c>
      <c r="AC529" s="50" t="s">
        <v>12467</v>
      </c>
      <c r="AD529" s="50" t="s">
        <v>16960</v>
      </c>
      <c r="AE529" s="50" t="s">
        <v>13034</v>
      </c>
      <c r="AF529" s="50" t="s">
        <v>16960</v>
      </c>
      <c r="AG529" s="50" t="s">
        <v>109</v>
      </c>
      <c r="AH529" s="50" t="s">
        <v>102</v>
      </c>
      <c r="AI529" s="50" t="s">
        <v>16961</v>
      </c>
      <c r="AJ529" s="50" t="s">
        <v>13174</v>
      </c>
      <c r="AK529" s="50" t="s">
        <v>13034</v>
      </c>
      <c r="AL529" s="50" t="s">
        <v>16962</v>
      </c>
      <c r="AM529" s="50" t="s">
        <v>16963</v>
      </c>
      <c r="AN529" s="50" t="s">
        <v>16964</v>
      </c>
      <c r="AO529" s="50" t="s">
        <v>116</v>
      </c>
      <c r="AP529" s="50" t="s">
        <v>116</v>
      </c>
      <c r="AU529" s="50" t="s">
        <v>318</v>
      </c>
      <c r="AV529" s="50" t="s">
        <v>118</v>
      </c>
      <c r="AW529" s="50" t="s">
        <v>102</v>
      </c>
      <c r="AX529" s="50" t="s">
        <v>119</v>
      </c>
      <c r="BB529" s="50" t="s">
        <v>120</v>
      </c>
      <c r="BC529" s="50" t="s">
        <v>3830</v>
      </c>
      <c r="BD529" s="50" t="s">
        <v>410</v>
      </c>
      <c r="BE529" s="50" t="s">
        <v>212</v>
      </c>
      <c r="BF529" s="50" t="s">
        <v>410</v>
      </c>
      <c r="BG529" s="50" t="s">
        <v>124</v>
      </c>
      <c r="BH529" s="50" t="s">
        <v>12023</v>
      </c>
      <c r="BI529" s="50" t="s">
        <v>11889</v>
      </c>
      <c r="BJ529" s="50" t="s">
        <v>127</v>
      </c>
      <c r="BK529" s="50" t="s">
        <v>16965</v>
      </c>
      <c r="BL529" s="50" t="s">
        <v>16966</v>
      </c>
      <c r="BM529" s="50" t="s">
        <v>16967</v>
      </c>
      <c r="BN529" s="50" t="s">
        <v>1165</v>
      </c>
      <c r="BO529" s="50" t="s">
        <v>4053</v>
      </c>
      <c r="BP529" s="50" t="s">
        <v>350</v>
      </c>
      <c r="BQ529" s="50" t="s">
        <v>4054</v>
      </c>
      <c r="BR529" s="50" t="s">
        <v>4055</v>
      </c>
      <c r="BS529" s="50" t="s">
        <v>4056</v>
      </c>
      <c r="BU529" s="50" t="s">
        <v>16968</v>
      </c>
      <c r="BV529" s="50" t="s">
        <v>16969</v>
      </c>
      <c r="BW529" s="50" t="s">
        <v>138</v>
      </c>
      <c r="BX529" s="50" t="s">
        <v>16970</v>
      </c>
      <c r="BY529" s="50" t="s">
        <v>16971</v>
      </c>
      <c r="BZ529" s="50" t="s">
        <v>16972</v>
      </c>
      <c r="CA529" s="50" t="s">
        <v>16973</v>
      </c>
      <c r="CB529" s="50" t="s">
        <v>16970</v>
      </c>
      <c r="CC529" s="50" t="s">
        <v>16971</v>
      </c>
      <c r="CD529" s="50" t="s">
        <v>16974</v>
      </c>
      <c r="CE529" s="50" t="s">
        <v>16975</v>
      </c>
      <c r="CF529" s="50" t="s">
        <v>16976</v>
      </c>
      <c r="CG529" s="50" t="s">
        <v>573</v>
      </c>
      <c r="CH529" s="50" t="s">
        <v>16977</v>
      </c>
      <c r="CJ529" s="50" t="s">
        <v>16978</v>
      </c>
      <c r="CK529" s="50" t="s">
        <v>16979</v>
      </c>
      <c r="CL529" s="50" t="s">
        <v>3830</v>
      </c>
      <c r="CM529" s="50" t="s">
        <v>410</v>
      </c>
      <c r="CN529" s="50" t="s">
        <v>16978</v>
      </c>
      <c r="CO529" s="50" t="s">
        <v>16980</v>
      </c>
      <c r="CP529" s="50" t="s">
        <v>16977</v>
      </c>
      <c r="CQ529" s="50" t="s">
        <v>16981</v>
      </c>
      <c r="CR529" s="50" t="s">
        <v>26047</v>
      </c>
    </row>
    <row r="530" spans="1:96">
      <c r="A530" s="50" t="s">
        <v>337</v>
      </c>
      <c r="B530" s="50">
        <v>5055276</v>
      </c>
      <c r="C530" s="50" t="s">
        <v>11882</v>
      </c>
      <c r="D530" s="50" t="s">
        <v>20637</v>
      </c>
      <c r="E530" s="50" t="e">
        <f>VLOOKUP(B530,aa!B:F,5,0)</f>
        <v>#N/A</v>
      </c>
      <c r="F530" s="50" t="e">
        <f>VLOOKUP(B530,aa!B:J,9,0)</f>
        <v>#N/A</v>
      </c>
      <c r="G530" s="50" t="e">
        <f>VLOOKUP(B530,aa!B:L,11,0)</f>
        <v>#N/A</v>
      </c>
      <c r="H530" s="50" t="e">
        <f>VLOOKUP(B530,aa!B:O,14,0)</f>
        <v>#N/A</v>
      </c>
      <c r="I530" s="50" t="e">
        <f>VLOOKUP(B530,aa!B:R,17,0)</f>
        <v>#N/A</v>
      </c>
      <c r="K530" s="50" t="s">
        <v>152</v>
      </c>
      <c r="L530" s="50">
        <v>340208</v>
      </c>
      <c r="M530" s="50">
        <v>340208</v>
      </c>
      <c r="N530" s="50">
        <v>0</v>
      </c>
      <c r="O530" s="50">
        <v>0</v>
      </c>
      <c r="Q530" s="50">
        <v>340208</v>
      </c>
      <c r="R530" s="50">
        <v>378</v>
      </c>
      <c r="S530" s="50" t="s">
        <v>2451</v>
      </c>
      <c r="T530" s="50">
        <v>0</v>
      </c>
      <c r="U530" s="50">
        <v>0</v>
      </c>
      <c r="W530" s="50" t="s">
        <v>102</v>
      </c>
      <c r="X530" s="50" t="s">
        <v>103</v>
      </c>
      <c r="Y530" s="50" t="s">
        <v>104</v>
      </c>
      <c r="AA530" s="50" t="s">
        <v>1165</v>
      </c>
      <c r="AB530" s="50" t="s">
        <v>20638</v>
      </c>
      <c r="AC530" s="50" t="s">
        <v>12084</v>
      </c>
      <c r="AD530" s="50" t="s">
        <v>20638</v>
      </c>
      <c r="AE530" s="50" t="s">
        <v>109</v>
      </c>
      <c r="AF530" s="50" t="s">
        <v>102</v>
      </c>
      <c r="AG530" s="50" t="s">
        <v>109</v>
      </c>
      <c r="AH530" s="50" t="s">
        <v>102</v>
      </c>
      <c r="AI530" s="50" t="s">
        <v>20639</v>
      </c>
      <c r="AJ530" s="50" t="s">
        <v>13832</v>
      </c>
      <c r="AK530" s="50" t="s">
        <v>14415</v>
      </c>
      <c r="AL530" s="50" t="s">
        <v>20640</v>
      </c>
      <c r="AM530" s="50" t="s">
        <v>20641</v>
      </c>
      <c r="AN530" s="50" t="s">
        <v>115</v>
      </c>
      <c r="AO530" s="50" t="s">
        <v>20642</v>
      </c>
      <c r="AP530" s="50" t="s">
        <v>20642</v>
      </c>
      <c r="AU530" s="50" t="s">
        <v>102</v>
      </c>
      <c r="AW530" s="50" t="s">
        <v>104</v>
      </c>
      <c r="AX530" s="50" t="s">
        <v>447</v>
      </c>
      <c r="AY530" s="50" t="s">
        <v>170</v>
      </c>
      <c r="AZ530" s="50" t="s">
        <v>118</v>
      </c>
      <c r="BB530" s="50" t="s">
        <v>1964</v>
      </c>
      <c r="BC530" s="50" t="s">
        <v>448</v>
      </c>
      <c r="BD530" s="50" t="s">
        <v>449</v>
      </c>
      <c r="BE530" s="50" t="s">
        <v>122</v>
      </c>
      <c r="BF530" s="50" t="s">
        <v>450</v>
      </c>
      <c r="BG530" s="50" t="s">
        <v>124</v>
      </c>
      <c r="BH530" s="50" t="s">
        <v>10729</v>
      </c>
      <c r="BI530" s="50" t="s">
        <v>11889</v>
      </c>
      <c r="BJ530" s="50" t="s">
        <v>127</v>
      </c>
      <c r="BK530" s="50" t="s">
        <v>20643</v>
      </c>
      <c r="BL530" s="50" t="s">
        <v>20644</v>
      </c>
      <c r="BM530" s="50" t="s">
        <v>20645</v>
      </c>
      <c r="BN530" s="50" t="s">
        <v>1165</v>
      </c>
      <c r="BO530" s="50" t="s">
        <v>131</v>
      </c>
      <c r="BP530" s="50" t="s">
        <v>350</v>
      </c>
      <c r="BQ530" s="50" t="s">
        <v>133</v>
      </c>
      <c r="BR530" s="50" t="s">
        <v>134</v>
      </c>
      <c r="BS530" s="50" t="s">
        <v>455</v>
      </c>
      <c r="BU530" s="50" t="s">
        <v>20646</v>
      </c>
      <c r="BV530" s="50" t="s">
        <v>20647</v>
      </c>
      <c r="BW530" s="50" t="s">
        <v>138</v>
      </c>
      <c r="BX530" s="50" t="s">
        <v>20648</v>
      </c>
      <c r="BY530" s="50" t="s">
        <v>20649</v>
      </c>
      <c r="BZ530" s="50" t="s">
        <v>20648</v>
      </c>
      <c r="CA530" s="50" t="s">
        <v>20647</v>
      </c>
      <c r="CB530" s="50" t="s">
        <v>20650</v>
      </c>
      <c r="CC530" s="50" t="s">
        <v>20649</v>
      </c>
      <c r="CD530" s="50" t="s">
        <v>20651</v>
      </c>
      <c r="CE530" s="50" t="s">
        <v>20652</v>
      </c>
      <c r="CF530" s="50" t="s">
        <v>20653</v>
      </c>
      <c r="CG530" s="50" t="s">
        <v>3805</v>
      </c>
      <c r="CH530" s="50" t="s">
        <v>20654</v>
      </c>
      <c r="CJ530" s="50" t="s">
        <v>20655</v>
      </c>
      <c r="CL530" s="50" t="s">
        <v>448</v>
      </c>
      <c r="CM530" s="50" t="s">
        <v>449</v>
      </c>
      <c r="CN530" s="50" t="s">
        <v>20655</v>
      </c>
      <c r="CO530" s="50" t="s">
        <v>20656</v>
      </c>
      <c r="CP530" s="50" t="s">
        <v>20657</v>
      </c>
      <c r="CQ530" s="50" t="s">
        <v>20657</v>
      </c>
    </row>
    <row r="531" spans="1:96">
      <c r="A531" s="50" t="s">
        <v>149</v>
      </c>
      <c r="B531" s="50">
        <v>370</v>
      </c>
      <c r="C531" s="50" t="s">
        <v>1279</v>
      </c>
      <c r="D531" s="50" t="s">
        <v>7119</v>
      </c>
      <c r="E531" s="50" t="e">
        <f>VLOOKUP(B531,aa!B:F,5,0)</f>
        <v>#N/A</v>
      </c>
      <c r="F531" s="50" t="e">
        <f>VLOOKUP(B531,aa!B:J,9,0)</f>
        <v>#N/A</v>
      </c>
      <c r="G531" s="50" t="e">
        <f>VLOOKUP(B531,aa!B:L,11,0)</f>
        <v>#N/A</v>
      </c>
      <c r="H531" s="50" t="e">
        <f>VLOOKUP(B531,aa!B:O,14,0)</f>
        <v>#N/A</v>
      </c>
      <c r="I531" s="50" t="e">
        <f>VLOOKUP(B531,aa!B:R,17,0)</f>
        <v>#N/A</v>
      </c>
      <c r="K531" s="50" t="s">
        <v>97</v>
      </c>
      <c r="L531" s="50">
        <v>448068</v>
      </c>
      <c r="M531" s="50">
        <v>448068</v>
      </c>
      <c r="N531" s="50">
        <v>448068</v>
      </c>
      <c r="O531" s="50">
        <v>729</v>
      </c>
      <c r="P531" s="50" t="s">
        <v>11616</v>
      </c>
      <c r="Q531" s="50">
        <v>0</v>
      </c>
      <c r="R531" s="50">
        <v>0</v>
      </c>
      <c r="T531" s="50">
        <v>0</v>
      </c>
      <c r="U531" s="50">
        <v>0</v>
      </c>
      <c r="W531" s="50" t="s">
        <v>102</v>
      </c>
      <c r="X531" s="50" t="s">
        <v>103</v>
      </c>
      <c r="Y531" s="50" t="s">
        <v>104</v>
      </c>
      <c r="AA531" s="50" t="s">
        <v>12923</v>
      </c>
      <c r="AB531" s="50" t="s">
        <v>16745</v>
      </c>
      <c r="AC531" s="50" t="s">
        <v>11952</v>
      </c>
      <c r="AD531" s="50" t="s">
        <v>16746</v>
      </c>
      <c r="AE531" s="50" t="s">
        <v>109</v>
      </c>
      <c r="AF531" s="50" t="s">
        <v>102</v>
      </c>
      <c r="AG531" s="50" t="s">
        <v>109</v>
      </c>
      <c r="AH531" s="50" t="s">
        <v>102</v>
      </c>
      <c r="AI531" s="50" t="s">
        <v>16747</v>
      </c>
      <c r="AJ531" s="50" t="s">
        <v>12429</v>
      </c>
      <c r="AK531" s="50" t="s">
        <v>13867</v>
      </c>
      <c r="AL531" s="50" t="s">
        <v>16748</v>
      </c>
      <c r="AM531" s="50" t="s">
        <v>16749</v>
      </c>
      <c r="AN531" s="50" t="s">
        <v>16750</v>
      </c>
      <c r="AO531" s="50" t="s">
        <v>7836</v>
      </c>
      <c r="AP531" s="50" t="s">
        <v>7836</v>
      </c>
      <c r="AU531" s="50" t="s">
        <v>117</v>
      </c>
      <c r="AV531" s="50" t="s">
        <v>118</v>
      </c>
      <c r="AW531" s="50" t="s">
        <v>102</v>
      </c>
      <c r="AX531" s="50" t="s">
        <v>119</v>
      </c>
      <c r="BB531" s="50" t="s">
        <v>171</v>
      </c>
      <c r="BC531" s="50" t="s">
        <v>623</v>
      </c>
      <c r="BD531" s="50" t="s">
        <v>621</v>
      </c>
      <c r="BE531" s="50" t="s">
        <v>622</v>
      </c>
      <c r="BF531" s="50" t="s">
        <v>623</v>
      </c>
      <c r="BG531" s="50" t="s">
        <v>124</v>
      </c>
      <c r="BH531" s="50" t="s">
        <v>11959</v>
      </c>
      <c r="BI531" s="50" t="s">
        <v>11960</v>
      </c>
      <c r="BJ531" s="50" t="s">
        <v>127</v>
      </c>
      <c r="BK531" s="50" t="s">
        <v>16751</v>
      </c>
      <c r="BL531" s="50" t="s">
        <v>7131</v>
      </c>
      <c r="BM531" s="50" t="s">
        <v>16752</v>
      </c>
      <c r="BN531" s="50" t="s">
        <v>10729</v>
      </c>
      <c r="BO531" s="50" t="s">
        <v>629</v>
      </c>
      <c r="BP531" s="50" t="s">
        <v>132</v>
      </c>
      <c r="BQ531" s="50" t="s">
        <v>630</v>
      </c>
      <c r="BR531" s="50" t="s">
        <v>631</v>
      </c>
      <c r="BS531" s="50" t="s">
        <v>1279</v>
      </c>
      <c r="BU531" s="50" t="s">
        <v>16753</v>
      </c>
      <c r="BV531" s="50" t="s">
        <v>7134</v>
      </c>
      <c r="BW531" s="50" t="s">
        <v>138</v>
      </c>
      <c r="BX531" s="50" t="s">
        <v>7135</v>
      </c>
      <c r="BY531" s="50" t="s">
        <v>7136</v>
      </c>
      <c r="BZ531" s="50" t="s">
        <v>7137</v>
      </c>
      <c r="CA531" s="50" t="s">
        <v>7134</v>
      </c>
      <c r="CB531" s="50" t="s">
        <v>7135</v>
      </c>
      <c r="CC531" s="50" t="s">
        <v>7136</v>
      </c>
      <c r="CD531" s="50" t="s">
        <v>7134</v>
      </c>
      <c r="CE531" s="50" t="s">
        <v>7135</v>
      </c>
      <c r="CF531" s="50" t="s">
        <v>7136</v>
      </c>
      <c r="CG531" s="50" t="s">
        <v>102</v>
      </c>
      <c r="CH531" s="50" t="s">
        <v>7138</v>
      </c>
      <c r="CJ531" s="50" t="s">
        <v>7139</v>
      </c>
      <c r="CL531" s="50" t="s">
        <v>623</v>
      </c>
      <c r="CM531" s="50" t="s">
        <v>621</v>
      </c>
      <c r="CN531" s="50" t="s">
        <v>7139</v>
      </c>
      <c r="CO531" s="50" t="s">
        <v>7140</v>
      </c>
      <c r="CP531" s="50" t="s">
        <v>7138</v>
      </c>
      <c r="CQ531" s="50" t="s">
        <v>7138</v>
      </c>
      <c r="CR531" s="50" t="s">
        <v>26048</v>
      </c>
    </row>
    <row r="532" spans="1:96">
      <c r="A532" s="50" t="s">
        <v>149</v>
      </c>
      <c r="B532" s="50">
        <v>7061</v>
      </c>
      <c r="C532" s="50" t="s">
        <v>1279</v>
      </c>
      <c r="D532" s="50" t="s">
        <v>11593</v>
      </c>
      <c r="E532" s="50" t="e">
        <f>VLOOKUP(B532,aa!B:F,5,0)</f>
        <v>#N/A</v>
      </c>
      <c r="F532" s="50" t="e">
        <f>VLOOKUP(B532,aa!B:J,9,0)</f>
        <v>#N/A</v>
      </c>
      <c r="G532" s="50" t="e">
        <f>VLOOKUP(B532,aa!B:L,11,0)</f>
        <v>#N/A</v>
      </c>
      <c r="H532" s="50" t="e">
        <f>VLOOKUP(B532,aa!B:O,14,0)</f>
        <v>#N/A</v>
      </c>
      <c r="I532" s="50" t="e">
        <f>VLOOKUP(B532,aa!B:R,17,0)</f>
        <v>#N/A</v>
      </c>
      <c r="K532" s="50" t="s">
        <v>97</v>
      </c>
      <c r="L532" s="50">
        <v>596782</v>
      </c>
      <c r="M532" s="50">
        <v>596782</v>
      </c>
      <c r="N532" s="50">
        <v>596782</v>
      </c>
      <c r="O532" s="50">
        <v>976</v>
      </c>
      <c r="P532" s="50" t="s">
        <v>21452</v>
      </c>
      <c r="Q532" s="50">
        <v>0</v>
      </c>
      <c r="R532" s="50">
        <v>0</v>
      </c>
      <c r="T532" s="50">
        <v>0</v>
      </c>
      <c r="U532" s="50">
        <v>0</v>
      </c>
      <c r="W532" s="50" t="s">
        <v>102</v>
      </c>
      <c r="X532" s="50" t="s">
        <v>103</v>
      </c>
      <c r="Y532" s="50" t="s">
        <v>104</v>
      </c>
      <c r="AA532" s="50" t="s">
        <v>12923</v>
      </c>
      <c r="AB532" s="50" t="s">
        <v>21453</v>
      </c>
      <c r="AC532" s="50" t="s">
        <v>11952</v>
      </c>
      <c r="AD532" s="50" t="s">
        <v>21454</v>
      </c>
      <c r="AE532" s="50" t="s">
        <v>109</v>
      </c>
      <c r="AF532" s="50" t="s">
        <v>102</v>
      </c>
      <c r="AG532" s="50" t="s">
        <v>109</v>
      </c>
      <c r="AH532" s="50" t="s">
        <v>102</v>
      </c>
      <c r="AI532" s="50" t="s">
        <v>21455</v>
      </c>
      <c r="AJ532" s="50" t="s">
        <v>15054</v>
      </c>
      <c r="AK532" s="50" t="s">
        <v>15054</v>
      </c>
      <c r="AL532" s="50" t="s">
        <v>21456</v>
      </c>
      <c r="AM532" s="50" t="s">
        <v>21457</v>
      </c>
      <c r="AN532" s="50" t="s">
        <v>21458</v>
      </c>
      <c r="AO532" s="50" t="s">
        <v>21459</v>
      </c>
      <c r="AP532" s="50" t="s">
        <v>21459</v>
      </c>
      <c r="AU532" s="50" t="s">
        <v>117</v>
      </c>
      <c r="AV532" s="50" t="s">
        <v>118</v>
      </c>
      <c r="AW532" s="50" t="s">
        <v>102</v>
      </c>
      <c r="AX532" s="50" t="s">
        <v>119</v>
      </c>
      <c r="BB532" s="50" t="s">
        <v>171</v>
      </c>
      <c r="BC532" s="50" t="s">
        <v>623</v>
      </c>
      <c r="BD532" s="50" t="s">
        <v>621</v>
      </c>
      <c r="BE532" s="50" t="s">
        <v>622</v>
      </c>
      <c r="BF532" s="50" t="s">
        <v>623</v>
      </c>
      <c r="BG532" s="50" t="s">
        <v>124</v>
      </c>
      <c r="BH532" s="50" t="s">
        <v>11959</v>
      </c>
      <c r="BI532" s="50" t="s">
        <v>11960</v>
      </c>
      <c r="BJ532" s="50" t="s">
        <v>127</v>
      </c>
      <c r="BK532" s="50" t="s">
        <v>21460</v>
      </c>
      <c r="BL532" s="50" t="s">
        <v>11605</v>
      </c>
      <c r="BM532" s="50" t="s">
        <v>21461</v>
      </c>
      <c r="BN532" s="50" t="s">
        <v>10729</v>
      </c>
      <c r="BO532" s="50" t="s">
        <v>629</v>
      </c>
      <c r="BP532" s="50" t="s">
        <v>132</v>
      </c>
      <c r="BQ532" s="50" t="s">
        <v>630</v>
      </c>
      <c r="BR532" s="50" t="s">
        <v>631</v>
      </c>
      <c r="BS532" s="50" t="s">
        <v>1279</v>
      </c>
      <c r="BU532" s="50" t="s">
        <v>21462</v>
      </c>
      <c r="BV532" s="50" t="s">
        <v>11608</v>
      </c>
      <c r="BW532" s="50" t="s">
        <v>138</v>
      </c>
      <c r="BX532" s="50" t="s">
        <v>11609</v>
      </c>
      <c r="BY532" s="50" t="s">
        <v>11610</v>
      </c>
      <c r="BZ532" s="50" t="s">
        <v>11611</v>
      </c>
      <c r="CA532" s="50" t="s">
        <v>11608</v>
      </c>
      <c r="CB532" s="50" t="s">
        <v>11609</v>
      </c>
      <c r="CC532" s="50" t="s">
        <v>11610</v>
      </c>
      <c r="CD532" s="50" t="s">
        <v>11608</v>
      </c>
      <c r="CE532" s="50" t="s">
        <v>11609</v>
      </c>
      <c r="CF532" s="50" t="s">
        <v>11610</v>
      </c>
      <c r="CG532" s="50" t="s">
        <v>102</v>
      </c>
      <c r="CH532" s="50" t="s">
        <v>11612</v>
      </c>
      <c r="CJ532" s="50" t="s">
        <v>11613</v>
      </c>
      <c r="CL532" s="50" t="s">
        <v>623</v>
      </c>
      <c r="CM532" s="50" t="s">
        <v>621</v>
      </c>
      <c r="CN532" s="50" t="s">
        <v>11613</v>
      </c>
      <c r="CO532" s="50" t="s">
        <v>7140</v>
      </c>
      <c r="CP532" s="50" t="s">
        <v>11612</v>
      </c>
      <c r="CQ532" s="50" t="s">
        <v>11612</v>
      </c>
      <c r="CR532" s="50" t="s">
        <v>26048</v>
      </c>
    </row>
    <row r="533" spans="1:96">
      <c r="A533" s="50" t="s">
        <v>495</v>
      </c>
      <c r="B533" s="50">
        <v>185882</v>
      </c>
      <c r="C533" s="50" t="s">
        <v>293</v>
      </c>
      <c r="D533" s="50" t="s">
        <v>2103</v>
      </c>
      <c r="E533" s="50" t="e">
        <f>VLOOKUP(B533,aa!B:F,5,0)</f>
        <v>#N/A</v>
      </c>
      <c r="F533" s="50" t="e">
        <f>VLOOKUP(B533,aa!B:J,9,0)</f>
        <v>#N/A</v>
      </c>
      <c r="G533" s="50" t="e">
        <f>VLOOKUP(B533,aa!B:L,11,0)</f>
        <v>#N/A</v>
      </c>
      <c r="H533" s="50" t="e">
        <f>VLOOKUP(B533,aa!B:O,14,0)</f>
        <v>#N/A</v>
      </c>
      <c r="I533" s="50" t="e">
        <f>VLOOKUP(B533,aa!B:R,17,0)</f>
        <v>#N/A</v>
      </c>
      <c r="K533" s="50" t="s">
        <v>97</v>
      </c>
      <c r="L533" s="50">
        <v>546511</v>
      </c>
      <c r="M533" s="50">
        <v>546511</v>
      </c>
      <c r="N533" s="50">
        <v>546511</v>
      </c>
      <c r="O533" s="50">
        <v>621</v>
      </c>
      <c r="P533" s="50" t="s">
        <v>12942</v>
      </c>
      <c r="Q533" s="50">
        <v>0</v>
      </c>
      <c r="R533" s="50">
        <v>0</v>
      </c>
      <c r="T533" s="50">
        <v>0</v>
      </c>
      <c r="U533" s="50">
        <v>0</v>
      </c>
      <c r="W533" s="50" t="s">
        <v>102</v>
      </c>
      <c r="X533" s="50" t="s">
        <v>275</v>
      </c>
      <c r="Z533" s="50" t="s">
        <v>12480</v>
      </c>
      <c r="AA533" s="50" t="s">
        <v>109</v>
      </c>
      <c r="AB533" s="50" t="s">
        <v>102</v>
      </c>
      <c r="AC533" s="50" t="s">
        <v>109</v>
      </c>
      <c r="AD533" s="50" t="s">
        <v>102</v>
      </c>
      <c r="AE533" s="50" t="s">
        <v>109</v>
      </c>
      <c r="AF533" s="50" t="s">
        <v>102</v>
      </c>
      <c r="AG533" s="50" t="s">
        <v>109</v>
      </c>
      <c r="AH533" s="50" t="s">
        <v>102</v>
      </c>
      <c r="AI533" s="50" t="s">
        <v>102</v>
      </c>
      <c r="AJ533" s="50" t="s">
        <v>13064</v>
      </c>
      <c r="AK533" s="50" t="s">
        <v>13064</v>
      </c>
      <c r="AL533" s="50" t="s">
        <v>13065</v>
      </c>
      <c r="AM533" s="50" t="s">
        <v>13066</v>
      </c>
      <c r="AN533" s="50" t="s">
        <v>13067</v>
      </c>
      <c r="AO533" s="50" t="s">
        <v>13068</v>
      </c>
      <c r="AP533" s="50" t="s">
        <v>13069</v>
      </c>
      <c r="AT533" s="50" t="s">
        <v>169</v>
      </c>
      <c r="AU533" s="50" t="s">
        <v>318</v>
      </c>
      <c r="AV533" s="50" t="s">
        <v>118</v>
      </c>
      <c r="AW533" s="50" t="s">
        <v>102</v>
      </c>
      <c r="AX533" s="50" t="s">
        <v>119</v>
      </c>
      <c r="BB533" s="50" t="s">
        <v>120</v>
      </c>
      <c r="BC533" s="50" t="s">
        <v>920</v>
      </c>
      <c r="BD533" s="50" t="s">
        <v>211</v>
      </c>
      <c r="BE533" s="50" t="s">
        <v>212</v>
      </c>
      <c r="BF533" s="50" t="s">
        <v>213</v>
      </c>
      <c r="BG533" s="50" t="s">
        <v>124</v>
      </c>
      <c r="BH533" s="50" t="s">
        <v>12312</v>
      </c>
      <c r="BI533" s="50" t="s">
        <v>11889</v>
      </c>
      <c r="BJ533" s="50" t="s">
        <v>127</v>
      </c>
      <c r="BK533" s="50" t="s">
        <v>13070</v>
      </c>
      <c r="BL533" s="50" t="s">
        <v>2113</v>
      </c>
      <c r="BM533" s="50" t="s">
        <v>13071</v>
      </c>
      <c r="BN533" s="50" t="s">
        <v>12312</v>
      </c>
      <c r="BO533" s="50" t="s">
        <v>1309</v>
      </c>
      <c r="BP533" s="50" t="s">
        <v>180</v>
      </c>
      <c r="BQ533" s="50" t="s">
        <v>1310</v>
      </c>
      <c r="BR533" s="50" t="s">
        <v>1311</v>
      </c>
      <c r="BS533" s="50" t="s">
        <v>1312</v>
      </c>
      <c r="BU533" s="50" t="s">
        <v>13072</v>
      </c>
      <c r="BV533" s="50" t="s">
        <v>13073</v>
      </c>
      <c r="BW533" s="50" t="s">
        <v>138</v>
      </c>
      <c r="BX533" s="50" t="s">
        <v>13074</v>
      </c>
      <c r="BY533" s="50" t="s">
        <v>2118</v>
      </c>
      <c r="BZ533" s="50" t="s">
        <v>2117</v>
      </c>
      <c r="CA533" s="50" t="s">
        <v>13073</v>
      </c>
      <c r="CB533" s="50" t="s">
        <v>13074</v>
      </c>
      <c r="CC533" s="50" t="s">
        <v>2118</v>
      </c>
      <c r="CD533" s="50" t="s">
        <v>13073</v>
      </c>
      <c r="CE533" s="50" t="s">
        <v>13074</v>
      </c>
      <c r="CF533" s="50" t="s">
        <v>2118</v>
      </c>
      <c r="CG533" s="50" t="s">
        <v>2119</v>
      </c>
      <c r="CH533" s="50" t="s">
        <v>2120</v>
      </c>
      <c r="CJ533" s="50" t="s">
        <v>2121</v>
      </c>
      <c r="CK533" s="50" t="s">
        <v>2120</v>
      </c>
      <c r="CL533" s="50" t="s">
        <v>920</v>
      </c>
      <c r="CM533" s="50" t="s">
        <v>211</v>
      </c>
      <c r="CN533" s="50" t="s">
        <v>2121</v>
      </c>
      <c r="CP533" s="50" t="s">
        <v>2120</v>
      </c>
      <c r="CQ533" s="50" t="s">
        <v>2120</v>
      </c>
      <c r="CR533" s="50" t="s">
        <v>26044</v>
      </c>
    </row>
    <row r="534" spans="1:96">
      <c r="A534" s="50" t="s">
        <v>337</v>
      </c>
      <c r="B534" s="50">
        <v>5018239</v>
      </c>
      <c r="C534" s="50" t="s">
        <v>13158</v>
      </c>
      <c r="D534" s="50" t="s">
        <v>19552</v>
      </c>
      <c r="E534" s="50" t="e">
        <f>VLOOKUP(B534,aa!B:F,5,0)</f>
        <v>#N/A</v>
      </c>
      <c r="F534" s="50" t="e">
        <f>VLOOKUP(B534,aa!B:J,9,0)</f>
        <v>#N/A</v>
      </c>
      <c r="G534" s="50" t="e">
        <f>VLOOKUP(B534,aa!B:L,11,0)</f>
        <v>#N/A</v>
      </c>
      <c r="H534" s="50" t="e">
        <f>VLOOKUP(B534,aa!B:O,14,0)</f>
        <v>#N/A</v>
      </c>
      <c r="I534" s="50" t="e">
        <f>VLOOKUP(B534,aa!B:R,17,0)</f>
        <v>#N/A</v>
      </c>
      <c r="K534" s="50" t="s">
        <v>97</v>
      </c>
      <c r="L534" s="50">
        <v>7741717</v>
      </c>
      <c r="M534" s="50">
        <v>7741717</v>
      </c>
      <c r="N534" s="50">
        <v>7741717</v>
      </c>
      <c r="O534" s="50">
        <v>14763</v>
      </c>
      <c r="P534" s="50" t="s">
        <v>2861</v>
      </c>
      <c r="Q534" s="50">
        <v>0</v>
      </c>
      <c r="R534" s="50">
        <v>0</v>
      </c>
      <c r="T534" s="50">
        <v>0</v>
      </c>
      <c r="U534" s="50">
        <v>0</v>
      </c>
      <c r="W534" s="50" t="s">
        <v>102</v>
      </c>
      <c r="X534" s="50" t="s">
        <v>103</v>
      </c>
      <c r="Y534" s="50" t="s">
        <v>398</v>
      </c>
      <c r="AA534" s="50" t="s">
        <v>12312</v>
      </c>
      <c r="AB534" s="50" t="s">
        <v>19553</v>
      </c>
      <c r="AC534" s="50" t="s">
        <v>13110</v>
      </c>
      <c r="AD534" s="50" t="s">
        <v>19554</v>
      </c>
      <c r="AE534" s="50" t="s">
        <v>12820</v>
      </c>
      <c r="AF534" s="50" t="s">
        <v>19555</v>
      </c>
      <c r="AG534" s="50" t="s">
        <v>109</v>
      </c>
      <c r="AH534" s="50" t="s">
        <v>102</v>
      </c>
      <c r="AI534" s="50" t="s">
        <v>19556</v>
      </c>
      <c r="AJ534" s="50" t="s">
        <v>4294</v>
      </c>
      <c r="AK534" s="50" t="s">
        <v>12123</v>
      </c>
      <c r="AL534" s="50" t="s">
        <v>19557</v>
      </c>
      <c r="AM534" s="50" t="s">
        <v>19558</v>
      </c>
      <c r="AN534" s="50" t="s">
        <v>19559</v>
      </c>
      <c r="AO534" s="50" t="s">
        <v>19560</v>
      </c>
      <c r="AP534" s="50" t="s">
        <v>19561</v>
      </c>
      <c r="AR534" s="50" t="s">
        <v>169</v>
      </c>
      <c r="AU534" s="50" t="s">
        <v>318</v>
      </c>
      <c r="AV534" s="50" t="s">
        <v>118</v>
      </c>
      <c r="AW534" s="50" t="s">
        <v>102</v>
      </c>
      <c r="AX534" s="50" t="s">
        <v>119</v>
      </c>
      <c r="BB534" s="50" t="s">
        <v>120</v>
      </c>
      <c r="BC534" s="50" t="s">
        <v>2204</v>
      </c>
      <c r="BD534" s="50" t="s">
        <v>121</v>
      </c>
      <c r="BE534" s="50" t="s">
        <v>122</v>
      </c>
      <c r="BF534" s="50" t="s">
        <v>123</v>
      </c>
      <c r="BG534" s="50" t="s">
        <v>124</v>
      </c>
      <c r="BH534" s="50" t="s">
        <v>12023</v>
      </c>
      <c r="BI534" s="50" t="s">
        <v>11889</v>
      </c>
      <c r="BJ534" s="50" t="s">
        <v>127</v>
      </c>
      <c r="BK534" s="50" t="s">
        <v>19562</v>
      </c>
      <c r="BL534" s="50" t="s">
        <v>19563</v>
      </c>
      <c r="BM534" s="50" t="s">
        <v>19564</v>
      </c>
      <c r="BN534" s="50" t="s">
        <v>13832</v>
      </c>
      <c r="BO534" s="50" t="s">
        <v>7743</v>
      </c>
      <c r="BP534" s="50" t="s">
        <v>350</v>
      </c>
      <c r="BQ534" s="50" t="s">
        <v>7744</v>
      </c>
      <c r="BR534" s="50" t="s">
        <v>7745</v>
      </c>
      <c r="BS534" s="50" t="s">
        <v>2215</v>
      </c>
      <c r="BU534" s="50" t="s">
        <v>19565</v>
      </c>
      <c r="BV534" s="50" t="s">
        <v>19566</v>
      </c>
      <c r="BW534" s="50" t="s">
        <v>138</v>
      </c>
      <c r="BX534" s="50" t="s">
        <v>225</v>
      </c>
      <c r="BY534" s="50" t="s">
        <v>19567</v>
      </c>
      <c r="BZ534" s="50" t="s">
        <v>19568</v>
      </c>
      <c r="CA534" s="50" t="s">
        <v>19569</v>
      </c>
      <c r="CB534" s="50" t="s">
        <v>19570</v>
      </c>
      <c r="CC534" s="50" t="s">
        <v>19567</v>
      </c>
      <c r="CD534" s="50" t="s">
        <v>19569</v>
      </c>
      <c r="CE534" s="50" t="s">
        <v>19570</v>
      </c>
      <c r="CF534" s="50" t="s">
        <v>19567</v>
      </c>
      <c r="CG534" s="50" t="s">
        <v>19153</v>
      </c>
      <c r="CH534" s="50" t="s">
        <v>19552</v>
      </c>
      <c r="CJ534" s="50" t="s">
        <v>147</v>
      </c>
      <c r="CK534" s="50" t="s">
        <v>19571</v>
      </c>
      <c r="CL534" s="50" t="s">
        <v>2204</v>
      </c>
      <c r="CM534" s="50" t="s">
        <v>121</v>
      </c>
      <c r="CN534" s="50" t="s">
        <v>147</v>
      </c>
      <c r="CO534" s="50" t="s">
        <v>2776</v>
      </c>
      <c r="CP534" s="50" t="s">
        <v>19571</v>
      </c>
      <c r="CQ534" s="50" t="s">
        <v>19571</v>
      </c>
    </row>
    <row r="535" spans="1:96">
      <c r="A535" s="50" t="s">
        <v>149</v>
      </c>
      <c r="B535" s="50">
        <v>617089</v>
      </c>
      <c r="C535" s="50" t="s">
        <v>985</v>
      </c>
      <c r="D535" s="50" t="s">
        <v>11330</v>
      </c>
      <c r="E535" s="50" t="e">
        <f>VLOOKUP(B535,aa!B:F,5,0)</f>
        <v>#N/A</v>
      </c>
      <c r="F535" s="50" t="e">
        <f>VLOOKUP(B535,aa!B:J,9,0)</f>
        <v>#N/A</v>
      </c>
      <c r="G535" s="50" t="e">
        <f>VLOOKUP(B535,aa!B:L,11,0)</f>
        <v>#N/A</v>
      </c>
      <c r="H535" s="50" t="e">
        <f>VLOOKUP(B535,aa!B:O,14,0)</f>
        <v>#N/A</v>
      </c>
      <c r="I535" s="50" t="e">
        <f>VLOOKUP(B535,aa!B:R,17,0)</f>
        <v>#N/A</v>
      </c>
      <c r="K535" s="50" t="s">
        <v>848</v>
      </c>
      <c r="L535" s="50">
        <v>97997</v>
      </c>
      <c r="M535" s="50">
        <v>115636</v>
      </c>
      <c r="N535" s="50">
        <v>0</v>
      </c>
      <c r="O535" s="50">
        <v>0</v>
      </c>
      <c r="Q535" s="50">
        <v>0</v>
      </c>
      <c r="R535" s="50">
        <v>0</v>
      </c>
      <c r="T535" s="50">
        <v>97997</v>
      </c>
      <c r="U535" s="50">
        <v>49</v>
      </c>
      <c r="V535" s="50" t="s">
        <v>7192</v>
      </c>
      <c r="W535" s="50" t="s">
        <v>102</v>
      </c>
      <c r="X535" s="50" t="s">
        <v>103</v>
      </c>
      <c r="Y535" s="50" t="s">
        <v>398</v>
      </c>
      <c r="AA535" s="50" t="s">
        <v>12040</v>
      </c>
      <c r="AB535" s="50" t="s">
        <v>21249</v>
      </c>
      <c r="AC535" s="50" t="s">
        <v>1427</v>
      </c>
      <c r="AD535" s="50" t="s">
        <v>21250</v>
      </c>
      <c r="AE535" s="50" t="s">
        <v>11886</v>
      </c>
      <c r="AF535" s="50" t="s">
        <v>21250</v>
      </c>
      <c r="AG535" s="50" t="s">
        <v>109</v>
      </c>
      <c r="AH535" s="50" t="s">
        <v>102</v>
      </c>
      <c r="AI535" s="50" t="s">
        <v>102</v>
      </c>
      <c r="AJ535" s="50" t="s">
        <v>12020</v>
      </c>
      <c r="AK535" s="50" t="s">
        <v>13863</v>
      </c>
      <c r="AL535" s="50" t="s">
        <v>21251</v>
      </c>
      <c r="AM535" s="50" t="s">
        <v>21252</v>
      </c>
      <c r="AN535" s="50" t="s">
        <v>21250</v>
      </c>
      <c r="AO535" s="50" t="s">
        <v>21253</v>
      </c>
      <c r="AP535" s="50" t="s">
        <v>21253</v>
      </c>
      <c r="AU535" s="50" t="s">
        <v>102</v>
      </c>
      <c r="AV535" s="50" t="s">
        <v>250</v>
      </c>
      <c r="AW535" s="50" t="s">
        <v>102</v>
      </c>
      <c r="AX535" s="50" t="s">
        <v>119</v>
      </c>
      <c r="BA535" s="50" t="s">
        <v>250</v>
      </c>
      <c r="BB535" s="50" t="s">
        <v>120</v>
      </c>
      <c r="BC535" s="50" t="s">
        <v>11335</v>
      </c>
      <c r="BD535" s="50" t="s">
        <v>621</v>
      </c>
      <c r="BE535" s="50" t="s">
        <v>622</v>
      </c>
      <c r="BF535" s="50" t="s">
        <v>976</v>
      </c>
      <c r="BG535" s="50" t="s">
        <v>124</v>
      </c>
      <c r="BH535" s="50" t="s">
        <v>13033</v>
      </c>
      <c r="BI535" s="50" t="s">
        <v>11960</v>
      </c>
      <c r="BJ535" s="50" t="s">
        <v>127</v>
      </c>
      <c r="BK535" s="50" t="s">
        <v>21254</v>
      </c>
      <c r="BL535" s="50" t="s">
        <v>11337</v>
      </c>
      <c r="BM535" s="50" t="s">
        <v>21255</v>
      </c>
      <c r="BN535" s="50" t="s">
        <v>13033</v>
      </c>
      <c r="BO535" s="50" t="s">
        <v>981</v>
      </c>
      <c r="BP535" s="50" t="s">
        <v>505</v>
      </c>
      <c r="BQ535" s="50" t="s">
        <v>982</v>
      </c>
      <c r="BR535" s="50" t="s">
        <v>983</v>
      </c>
      <c r="BS535" s="50" t="s">
        <v>984</v>
      </c>
      <c r="BU535" s="50" t="s">
        <v>21256</v>
      </c>
      <c r="BV535" s="50" t="s">
        <v>11340</v>
      </c>
      <c r="BW535" s="50" t="s">
        <v>354</v>
      </c>
      <c r="BX535" s="50" t="s">
        <v>11341</v>
      </c>
      <c r="BY535" s="50" t="s">
        <v>11342</v>
      </c>
      <c r="BZ535" s="50" t="s">
        <v>11343</v>
      </c>
      <c r="CA535" s="50" t="s">
        <v>11340</v>
      </c>
      <c r="CB535" s="50" t="s">
        <v>11341</v>
      </c>
      <c r="CC535" s="50" t="s">
        <v>11342</v>
      </c>
      <c r="CD535" s="50" t="s">
        <v>11340</v>
      </c>
      <c r="CE535" s="50" t="s">
        <v>11341</v>
      </c>
      <c r="CF535" s="50" t="s">
        <v>11342</v>
      </c>
      <c r="CG535" s="50" t="s">
        <v>102</v>
      </c>
      <c r="CH535" s="50" t="s">
        <v>21257</v>
      </c>
      <c r="CJ535" s="50" t="s">
        <v>11345</v>
      </c>
      <c r="CL535" s="50" t="s">
        <v>11335</v>
      </c>
      <c r="CM535" s="50" t="s">
        <v>621</v>
      </c>
      <c r="CN535" s="50" t="s">
        <v>11345</v>
      </c>
      <c r="CP535" s="50" t="s">
        <v>11344</v>
      </c>
      <c r="CQ535" s="50" t="s">
        <v>11344</v>
      </c>
      <c r="CR535" s="50" t="s">
        <v>26043</v>
      </c>
    </row>
    <row r="536" spans="1:96">
      <c r="A536" s="50" t="s">
        <v>149</v>
      </c>
      <c r="B536" s="50">
        <v>5016141</v>
      </c>
      <c r="C536" s="50" t="s">
        <v>1279</v>
      </c>
      <c r="D536" s="50" t="s">
        <v>9565</v>
      </c>
      <c r="E536" s="50" t="str">
        <f>VLOOKUP(B536,aa!B:F,5,0)</f>
        <v>Ei ASSET</v>
      </c>
      <c r="F536" s="50">
        <f>VLOOKUP(B536,aa!B:J,9,0)</f>
        <v>510300</v>
      </c>
      <c r="G536" s="50">
        <f>VLOOKUP(B536,aa!B:L,11,0)</f>
        <v>510300</v>
      </c>
      <c r="H536" s="50">
        <f>VLOOKUP(B536,aa!B:O,14,0)</f>
        <v>0</v>
      </c>
      <c r="I536" s="50">
        <f>VLOOKUP(B536,aa!B:R,17,0)</f>
        <v>0</v>
      </c>
      <c r="K536" s="50" t="s">
        <v>97</v>
      </c>
      <c r="L536" s="50">
        <v>685357</v>
      </c>
      <c r="M536" s="50">
        <v>685357</v>
      </c>
      <c r="N536" s="50">
        <v>685357</v>
      </c>
      <c r="O536" s="50">
        <v>1759</v>
      </c>
      <c r="P536" s="50" t="s">
        <v>18776</v>
      </c>
      <c r="Q536" s="50">
        <v>0</v>
      </c>
      <c r="R536" s="50">
        <v>0</v>
      </c>
      <c r="T536" s="50">
        <v>0</v>
      </c>
      <c r="U536" s="50">
        <v>0</v>
      </c>
      <c r="W536" s="50" t="s">
        <v>102</v>
      </c>
      <c r="X536" s="50" t="s">
        <v>275</v>
      </c>
      <c r="Z536" s="50" t="s">
        <v>18775</v>
      </c>
      <c r="AA536" s="50" t="s">
        <v>109</v>
      </c>
      <c r="AB536" s="50" t="s">
        <v>102</v>
      </c>
      <c r="AC536" s="50" t="s">
        <v>109</v>
      </c>
      <c r="AD536" s="50" t="s">
        <v>102</v>
      </c>
      <c r="AE536" s="50" t="s">
        <v>109</v>
      </c>
      <c r="AF536" s="50" t="s">
        <v>102</v>
      </c>
      <c r="AG536" s="50" t="s">
        <v>109</v>
      </c>
      <c r="AH536" s="50" t="s">
        <v>102</v>
      </c>
      <c r="AI536" s="50" t="s">
        <v>102</v>
      </c>
      <c r="AJ536" s="50" t="s">
        <v>18777</v>
      </c>
      <c r="AK536" s="50" t="s">
        <v>14705</v>
      </c>
      <c r="AL536" s="50" t="s">
        <v>18778</v>
      </c>
      <c r="AM536" s="50" t="s">
        <v>18779</v>
      </c>
      <c r="AN536" s="50" t="s">
        <v>2202</v>
      </c>
      <c r="AO536" s="50" t="s">
        <v>18780</v>
      </c>
      <c r="AP536" s="50" t="s">
        <v>18780</v>
      </c>
      <c r="AU536" s="50" t="s">
        <v>318</v>
      </c>
      <c r="AV536" s="50" t="s">
        <v>118</v>
      </c>
      <c r="AW536" s="50" t="s">
        <v>102</v>
      </c>
      <c r="AX536" s="50" t="s">
        <v>119</v>
      </c>
      <c r="BB536" s="50" t="s">
        <v>1964</v>
      </c>
      <c r="BC536" s="50" t="s">
        <v>623</v>
      </c>
      <c r="BD536" s="50" t="s">
        <v>621</v>
      </c>
      <c r="BE536" s="50" t="s">
        <v>622</v>
      </c>
      <c r="BF536" s="50" t="s">
        <v>623</v>
      </c>
      <c r="BG536" s="50" t="s">
        <v>124</v>
      </c>
      <c r="BH536" s="50" t="s">
        <v>11959</v>
      </c>
      <c r="BI536" s="50" t="s">
        <v>11886</v>
      </c>
      <c r="BJ536" s="50" t="s">
        <v>127</v>
      </c>
      <c r="BK536" s="50" t="s">
        <v>18781</v>
      </c>
      <c r="BL536" s="50" t="s">
        <v>9569</v>
      </c>
      <c r="BM536" s="50" t="s">
        <v>18782</v>
      </c>
      <c r="BN536" s="50" t="s">
        <v>18775</v>
      </c>
      <c r="BO536" s="50" t="s">
        <v>629</v>
      </c>
      <c r="BP536" s="50" t="s">
        <v>505</v>
      </c>
      <c r="BQ536" s="50" t="s">
        <v>630</v>
      </c>
      <c r="BR536" s="50" t="s">
        <v>631</v>
      </c>
      <c r="BS536" s="50" t="s">
        <v>1279</v>
      </c>
      <c r="BU536" s="50" t="s">
        <v>18783</v>
      </c>
      <c r="BV536" s="50" t="s">
        <v>18784</v>
      </c>
      <c r="BW536" s="50" t="s">
        <v>138</v>
      </c>
      <c r="BX536" s="50" t="s">
        <v>18785</v>
      </c>
      <c r="BY536" s="50" t="s">
        <v>18786</v>
      </c>
      <c r="BZ536" s="50" t="s">
        <v>9575</v>
      </c>
      <c r="CA536" s="50" t="s">
        <v>18784</v>
      </c>
      <c r="CB536" s="50" t="s">
        <v>18785</v>
      </c>
      <c r="CC536" s="50" t="s">
        <v>18786</v>
      </c>
      <c r="CD536" s="50" t="s">
        <v>18784</v>
      </c>
      <c r="CE536" s="50" t="s">
        <v>18785</v>
      </c>
      <c r="CF536" s="50" t="s">
        <v>18786</v>
      </c>
      <c r="CG536" s="50" t="s">
        <v>102</v>
      </c>
      <c r="CH536" s="50" t="s">
        <v>9576</v>
      </c>
      <c r="CJ536" s="50" t="s">
        <v>9577</v>
      </c>
      <c r="CL536" s="50" t="s">
        <v>623</v>
      </c>
      <c r="CM536" s="50" t="s">
        <v>621</v>
      </c>
      <c r="CN536" s="50" t="s">
        <v>9577</v>
      </c>
      <c r="CP536" s="50" t="s">
        <v>9576</v>
      </c>
      <c r="CQ536" s="50" t="s">
        <v>9578</v>
      </c>
    </row>
    <row r="537" spans="1:96">
      <c r="A537" s="50" t="s">
        <v>337</v>
      </c>
      <c r="B537" s="50">
        <v>5018520</v>
      </c>
      <c r="C537" s="50" t="s">
        <v>12121</v>
      </c>
      <c r="D537" s="50" t="s">
        <v>19976</v>
      </c>
      <c r="E537" s="50" t="e">
        <f>VLOOKUP(B537,aa!B:F,5,0)</f>
        <v>#N/A</v>
      </c>
      <c r="F537" s="50" t="e">
        <f>VLOOKUP(B537,aa!B:J,9,0)</f>
        <v>#N/A</v>
      </c>
      <c r="G537" s="50" t="e">
        <f>VLOOKUP(B537,aa!B:L,11,0)</f>
        <v>#N/A</v>
      </c>
      <c r="H537" s="50" t="e">
        <f>VLOOKUP(B537,aa!B:O,14,0)</f>
        <v>#N/A</v>
      </c>
      <c r="I537" s="50" t="e">
        <f>VLOOKUP(B537,aa!B:R,17,0)</f>
        <v>#N/A</v>
      </c>
      <c r="K537" s="50" t="s">
        <v>848</v>
      </c>
      <c r="L537" s="50">
        <v>237276</v>
      </c>
      <c r="M537" s="50">
        <v>279986</v>
      </c>
      <c r="N537" s="50">
        <v>0</v>
      </c>
      <c r="O537" s="50">
        <v>0</v>
      </c>
      <c r="Q537" s="50">
        <v>0</v>
      </c>
      <c r="R537" s="50">
        <v>0</v>
      </c>
      <c r="T537" s="50">
        <v>237276</v>
      </c>
      <c r="U537" s="50">
        <v>70</v>
      </c>
      <c r="V537" s="50" t="s">
        <v>9442</v>
      </c>
      <c r="W537" s="50" t="s">
        <v>102</v>
      </c>
      <c r="X537" s="50" t="s">
        <v>103</v>
      </c>
      <c r="Y537" s="50" t="s">
        <v>155</v>
      </c>
      <c r="AA537" s="50" t="s">
        <v>6918</v>
      </c>
      <c r="AB537" s="50" t="s">
        <v>19977</v>
      </c>
      <c r="AC537" s="50" t="s">
        <v>12836</v>
      </c>
      <c r="AD537" s="50" t="s">
        <v>19977</v>
      </c>
      <c r="AE537" s="50" t="s">
        <v>12838</v>
      </c>
      <c r="AF537" s="50" t="s">
        <v>19977</v>
      </c>
      <c r="AG537" s="50" t="s">
        <v>6895</v>
      </c>
      <c r="AH537" s="50" t="s">
        <v>19977</v>
      </c>
      <c r="AI537" s="50" t="s">
        <v>102</v>
      </c>
      <c r="AJ537" s="50" t="s">
        <v>12800</v>
      </c>
      <c r="AK537" s="50" t="s">
        <v>15363</v>
      </c>
      <c r="AL537" s="50" t="s">
        <v>19978</v>
      </c>
      <c r="AM537" s="50" t="s">
        <v>19979</v>
      </c>
      <c r="AN537" s="50" t="s">
        <v>19980</v>
      </c>
      <c r="AO537" s="50" t="s">
        <v>6263</v>
      </c>
      <c r="AP537" s="50" t="s">
        <v>6263</v>
      </c>
      <c r="AU537" s="50" t="s">
        <v>102</v>
      </c>
      <c r="AW537" s="50" t="s">
        <v>102</v>
      </c>
      <c r="AX537" s="50" t="s">
        <v>119</v>
      </c>
      <c r="BA537" s="50" t="s">
        <v>250</v>
      </c>
      <c r="BB537" s="50" t="s">
        <v>209</v>
      </c>
      <c r="BC537" s="50" t="s">
        <v>19981</v>
      </c>
      <c r="BD537" s="50" t="s">
        <v>556</v>
      </c>
      <c r="BE537" s="50" t="s">
        <v>122</v>
      </c>
      <c r="BF537" s="50" t="s">
        <v>557</v>
      </c>
      <c r="BG537" s="50" t="s">
        <v>124</v>
      </c>
      <c r="BH537" s="50" t="s">
        <v>11976</v>
      </c>
      <c r="BI537" s="50" t="s">
        <v>12720</v>
      </c>
      <c r="BJ537" s="50" t="s">
        <v>127</v>
      </c>
      <c r="BK537" s="50" t="s">
        <v>19982</v>
      </c>
      <c r="BL537" s="50" t="s">
        <v>19983</v>
      </c>
      <c r="BM537" s="50" t="s">
        <v>19984</v>
      </c>
      <c r="BN537" s="50" t="s">
        <v>13174</v>
      </c>
      <c r="BO537" s="50" t="s">
        <v>16526</v>
      </c>
      <c r="BP537" s="50" t="s">
        <v>350</v>
      </c>
      <c r="BQ537" s="50" t="s">
        <v>16527</v>
      </c>
      <c r="BR537" s="50" t="s">
        <v>16528</v>
      </c>
      <c r="BS537" s="50" t="s">
        <v>16529</v>
      </c>
      <c r="BU537" s="50" t="s">
        <v>19985</v>
      </c>
      <c r="BV537" s="50" t="s">
        <v>19986</v>
      </c>
      <c r="BW537" s="50" t="s">
        <v>354</v>
      </c>
      <c r="BX537" s="50" t="s">
        <v>19987</v>
      </c>
      <c r="BY537" s="50" t="s">
        <v>19988</v>
      </c>
      <c r="BZ537" s="50" t="s">
        <v>19987</v>
      </c>
      <c r="CA537" s="50" t="s">
        <v>19989</v>
      </c>
      <c r="CB537" s="50" t="s">
        <v>19987</v>
      </c>
      <c r="CC537" s="50" t="s">
        <v>19990</v>
      </c>
      <c r="CD537" s="50" t="s">
        <v>19991</v>
      </c>
      <c r="CE537" s="50" t="s">
        <v>19987</v>
      </c>
      <c r="CF537" s="50" t="s">
        <v>19992</v>
      </c>
      <c r="CG537" s="50" t="s">
        <v>8070</v>
      </c>
      <c r="CH537" s="50" t="s">
        <v>19993</v>
      </c>
      <c r="CJ537" s="50" t="s">
        <v>19994</v>
      </c>
      <c r="CK537" s="50" t="s">
        <v>19995</v>
      </c>
      <c r="CL537" s="50" t="s">
        <v>19981</v>
      </c>
      <c r="CM537" s="50" t="s">
        <v>556</v>
      </c>
      <c r="CN537" s="50" t="s">
        <v>19994</v>
      </c>
      <c r="CP537" s="50" t="s">
        <v>19996</v>
      </c>
      <c r="CQ537" s="50" t="s">
        <v>19996</v>
      </c>
    </row>
    <row r="538" spans="1:96">
      <c r="A538" s="50" t="s">
        <v>149</v>
      </c>
      <c r="B538" s="50">
        <v>3401697</v>
      </c>
      <c r="C538" s="50" t="s">
        <v>418</v>
      </c>
      <c r="D538" s="50" t="s">
        <v>5890</v>
      </c>
      <c r="E538" s="50" t="e">
        <f>VLOOKUP(B538,aa!B:F,5,0)</f>
        <v>#N/A</v>
      </c>
      <c r="F538" s="50" t="e">
        <f>VLOOKUP(B538,aa!B:J,9,0)</f>
        <v>#N/A</v>
      </c>
      <c r="G538" s="50" t="e">
        <f>VLOOKUP(B538,aa!B:L,11,0)</f>
        <v>#N/A</v>
      </c>
      <c r="H538" s="50" t="e">
        <f>VLOOKUP(B538,aa!B:O,14,0)</f>
        <v>#N/A</v>
      </c>
      <c r="I538" s="50" t="e">
        <f>VLOOKUP(B538,aa!B:R,17,0)</f>
        <v>#N/A</v>
      </c>
      <c r="K538" s="50" t="s">
        <v>848</v>
      </c>
      <c r="L538" s="50">
        <v>21445</v>
      </c>
      <c r="M538" s="50">
        <v>25305</v>
      </c>
      <c r="N538" s="50">
        <v>0</v>
      </c>
      <c r="O538" s="50">
        <v>0</v>
      </c>
      <c r="Q538" s="50">
        <v>0</v>
      </c>
      <c r="R538" s="50">
        <v>0</v>
      </c>
      <c r="T538" s="50">
        <v>21445</v>
      </c>
      <c r="U538" s="50">
        <v>22</v>
      </c>
      <c r="V538" s="50" t="s">
        <v>15864</v>
      </c>
      <c r="W538" s="50" t="s">
        <v>102</v>
      </c>
      <c r="X538" s="50" t="s">
        <v>103</v>
      </c>
      <c r="Y538" s="50" t="s">
        <v>104</v>
      </c>
      <c r="AA538" s="50" t="s">
        <v>11929</v>
      </c>
      <c r="AB538" s="50" t="s">
        <v>15865</v>
      </c>
      <c r="AC538" s="50" t="s">
        <v>12084</v>
      </c>
      <c r="AD538" s="50" t="s">
        <v>15865</v>
      </c>
      <c r="AE538" s="50" t="s">
        <v>109</v>
      </c>
      <c r="AF538" s="50" t="s">
        <v>102</v>
      </c>
      <c r="AG538" s="50" t="s">
        <v>109</v>
      </c>
      <c r="AH538" s="50" t="s">
        <v>102</v>
      </c>
      <c r="AI538" s="50" t="s">
        <v>102</v>
      </c>
      <c r="AL538" s="50" t="s">
        <v>15866</v>
      </c>
      <c r="AM538" s="50" t="s">
        <v>102</v>
      </c>
      <c r="AN538" s="50" t="s">
        <v>15866</v>
      </c>
      <c r="AO538" s="50" t="s">
        <v>15867</v>
      </c>
      <c r="AP538" s="50" t="s">
        <v>15867</v>
      </c>
      <c r="AU538" s="50" t="s">
        <v>102</v>
      </c>
      <c r="AW538" s="50" t="s">
        <v>102</v>
      </c>
      <c r="AX538" s="50" t="s">
        <v>119</v>
      </c>
      <c r="BA538" s="50" t="s">
        <v>250</v>
      </c>
      <c r="BB538" s="50" t="s">
        <v>120</v>
      </c>
      <c r="BC538" s="50" t="s">
        <v>5898</v>
      </c>
      <c r="BD538" s="50" t="s">
        <v>410</v>
      </c>
      <c r="BE538" s="50" t="s">
        <v>212</v>
      </c>
      <c r="BF538" s="50" t="s">
        <v>410</v>
      </c>
      <c r="BG538" s="50" t="s">
        <v>124</v>
      </c>
      <c r="BH538" s="50" t="s">
        <v>15470</v>
      </c>
      <c r="BI538" s="50" t="s">
        <v>11960</v>
      </c>
      <c r="BJ538" s="50" t="s">
        <v>127</v>
      </c>
      <c r="BK538" s="50" t="s">
        <v>15868</v>
      </c>
      <c r="BL538" s="50" t="s">
        <v>5900</v>
      </c>
      <c r="BM538" s="50" t="s">
        <v>15869</v>
      </c>
      <c r="BN538" s="50" t="s">
        <v>13511</v>
      </c>
      <c r="BO538" s="50" t="s">
        <v>866</v>
      </c>
      <c r="BP538" s="50" t="s">
        <v>132</v>
      </c>
      <c r="BQ538" s="50" t="s">
        <v>867</v>
      </c>
      <c r="BR538" s="50" t="s">
        <v>868</v>
      </c>
      <c r="BS538" s="50" t="s">
        <v>418</v>
      </c>
      <c r="BU538" s="50" t="s">
        <v>15870</v>
      </c>
      <c r="BV538" s="50" t="s">
        <v>3220</v>
      </c>
      <c r="BX538" s="50" t="s">
        <v>3221</v>
      </c>
      <c r="BY538" s="50" t="s">
        <v>3222</v>
      </c>
      <c r="BZ538" s="50" t="s">
        <v>5906</v>
      </c>
      <c r="CA538" s="50" t="s">
        <v>15871</v>
      </c>
      <c r="CB538" s="50" t="s">
        <v>3221</v>
      </c>
      <c r="CC538" s="50" t="s">
        <v>3222</v>
      </c>
      <c r="CD538" s="50" t="s">
        <v>15871</v>
      </c>
      <c r="CE538" s="50" t="s">
        <v>3221</v>
      </c>
      <c r="CF538" s="50" t="s">
        <v>3222</v>
      </c>
      <c r="CG538" s="50" t="s">
        <v>3968</v>
      </c>
      <c r="CH538" s="50" t="s">
        <v>5907</v>
      </c>
      <c r="CJ538" s="50" t="s">
        <v>5908</v>
      </c>
      <c r="CK538" s="50" t="s">
        <v>5907</v>
      </c>
      <c r="CL538" s="50" t="s">
        <v>5898</v>
      </c>
      <c r="CM538" s="50" t="s">
        <v>410</v>
      </c>
      <c r="CN538" s="50" t="s">
        <v>5908</v>
      </c>
      <c r="CP538" s="50" t="s">
        <v>5907</v>
      </c>
      <c r="CQ538" s="50" t="s">
        <v>5907</v>
      </c>
      <c r="CR538" s="50" t="s">
        <v>26044</v>
      </c>
    </row>
    <row r="539" spans="1:96">
      <c r="A539" s="50" t="s">
        <v>149</v>
      </c>
      <c r="B539" s="50">
        <v>2672</v>
      </c>
      <c r="C539" s="50" t="s">
        <v>12491</v>
      </c>
      <c r="D539" s="50" t="s">
        <v>2831</v>
      </c>
      <c r="E539" s="50" t="e">
        <f>VLOOKUP(B539,aa!B:F,5,0)</f>
        <v>#N/A</v>
      </c>
      <c r="F539" s="50" t="e">
        <f>VLOOKUP(B539,aa!B:J,9,0)</f>
        <v>#N/A</v>
      </c>
      <c r="G539" s="50" t="e">
        <f>VLOOKUP(B539,aa!B:L,11,0)</f>
        <v>#N/A</v>
      </c>
      <c r="H539" s="50" t="e">
        <f>VLOOKUP(B539,aa!B:O,14,0)</f>
        <v>#N/A</v>
      </c>
      <c r="I539" s="50" t="e">
        <f>VLOOKUP(B539,aa!B:R,17,0)</f>
        <v>#N/A</v>
      </c>
      <c r="K539" s="50" t="s">
        <v>97</v>
      </c>
      <c r="L539" s="50">
        <v>93486</v>
      </c>
      <c r="M539" s="50">
        <v>93486</v>
      </c>
      <c r="N539" s="50">
        <v>93486</v>
      </c>
      <c r="O539" s="50">
        <v>123</v>
      </c>
      <c r="P539" s="50" t="s">
        <v>14654</v>
      </c>
      <c r="Q539" s="50">
        <v>0</v>
      </c>
      <c r="R539" s="50">
        <v>0</v>
      </c>
      <c r="T539" s="50">
        <v>0</v>
      </c>
      <c r="U539" s="50">
        <v>0</v>
      </c>
      <c r="W539" s="50" t="s">
        <v>102</v>
      </c>
      <c r="X539" s="50" t="s">
        <v>275</v>
      </c>
      <c r="Z539" s="50" t="s">
        <v>11929</v>
      </c>
      <c r="AA539" s="50" t="s">
        <v>109</v>
      </c>
      <c r="AB539" s="50" t="s">
        <v>102</v>
      </c>
      <c r="AC539" s="50" t="s">
        <v>109</v>
      </c>
      <c r="AD539" s="50" t="s">
        <v>102</v>
      </c>
      <c r="AE539" s="50" t="s">
        <v>109</v>
      </c>
      <c r="AF539" s="50" t="s">
        <v>102</v>
      </c>
      <c r="AG539" s="50" t="s">
        <v>109</v>
      </c>
      <c r="AH539" s="50" t="s">
        <v>102</v>
      </c>
      <c r="AI539" s="50" t="s">
        <v>14655</v>
      </c>
      <c r="AJ539" s="50" t="s">
        <v>13511</v>
      </c>
      <c r="AK539" s="50" t="s">
        <v>13511</v>
      </c>
      <c r="AL539" s="50" t="s">
        <v>14656</v>
      </c>
      <c r="AM539" s="50" t="s">
        <v>14657</v>
      </c>
      <c r="AN539" s="50" t="s">
        <v>12878</v>
      </c>
      <c r="AO539" s="50" t="s">
        <v>14658</v>
      </c>
      <c r="AP539" s="50" t="s">
        <v>14658</v>
      </c>
      <c r="AU539" s="50" t="s">
        <v>318</v>
      </c>
      <c r="AV539" s="50" t="s">
        <v>118</v>
      </c>
      <c r="AW539" s="50" t="s">
        <v>102</v>
      </c>
      <c r="AX539" s="50" t="s">
        <v>119</v>
      </c>
      <c r="BB539" s="50" t="s">
        <v>120</v>
      </c>
      <c r="BC539" s="50" t="s">
        <v>1243</v>
      </c>
      <c r="BD539" s="50" t="s">
        <v>1244</v>
      </c>
      <c r="BE539" s="50" t="s">
        <v>122</v>
      </c>
      <c r="BF539" s="50" t="s">
        <v>1244</v>
      </c>
      <c r="BG539" s="50" t="s">
        <v>124</v>
      </c>
      <c r="BH539" s="50" t="s">
        <v>12023</v>
      </c>
      <c r="BI539" s="50" t="s">
        <v>11889</v>
      </c>
      <c r="BJ539" s="50" t="s">
        <v>127</v>
      </c>
      <c r="BK539" s="50" t="s">
        <v>14659</v>
      </c>
      <c r="BL539" s="50" t="s">
        <v>4277</v>
      </c>
      <c r="BM539" s="50" t="s">
        <v>14660</v>
      </c>
      <c r="BN539" s="50" t="s">
        <v>12040</v>
      </c>
      <c r="BO539" s="50" t="s">
        <v>8788</v>
      </c>
      <c r="BP539" s="50" t="s">
        <v>350</v>
      </c>
      <c r="BQ539" s="50" t="s">
        <v>8789</v>
      </c>
      <c r="BR539" s="50" t="s">
        <v>8790</v>
      </c>
      <c r="BS539" s="50" t="s">
        <v>1006</v>
      </c>
      <c r="BU539" s="50" t="s">
        <v>14661</v>
      </c>
      <c r="BV539" s="50" t="s">
        <v>4280</v>
      </c>
      <c r="BW539" s="50" t="s">
        <v>296</v>
      </c>
      <c r="BX539" s="50" t="s">
        <v>4281</v>
      </c>
      <c r="BY539" s="50" t="s">
        <v>4282</v>
      </c>
      <c r="BZ539" s="50" t="s">
        <v>4283</v>
      </c>
      <c r="CA539" s="50" t="s">
        <v>14662</v>
      </c>
      <c r="CB539" s="50" t="s">
        <v>14663</v>
      </c>
      <c r="CC539" s="50" t="s">
        <v>4282</v>
      </c>
      <c r="CD539" s="50" t="s">
        <v>4280</v>
      </c>
      <c r="CE539" s="50" t="s">
        <v>4281</v>
      </c>
      <c r="CF539" s="50" t="s">
        <v>4282</v>
      </c>
      <c r="CG539" s="50" t="s">
        <v>102</v>
      </c>
      <c r="CH539" s="50" t="s">
        <v>4284</v>
      </c>
      <c r="CJ539" s="50" t="s">
        <v>4285</v>
      </c>
      <c r="CL539" s="50" t="s">
        <v>1243</v>
      </c>
      <c r="CM539" s="50" t="s">
        <v>1244</v>
      </c>
      <c r="CN539" s="50" t="s">
        <v>4285</v>
      </c>
      <c r="CO539" s="50" t="s">
        <v>4286</v>
      </c>
      <c r="CP539" s="50" t="s">
        <v>4284</v>
      </c>
      <c r="CQ539" s="50" t="s">
        <v>4284</v>
      </c>
    </row>
    <row r="540" spans="1:96">
      <c r="A540" s="50" t="s">
        <v>337</v>
      </c>
      <c r="B540" s="50">
        <v>3033</v>
      </c>
      <c r="C540" s="50" t="s">
        <v>11898</v>
      </c>
      <c r="D540" s="50" t="s">
        <v>14859</v>
      </c>
      <c r="E540" s="50" t="str">
        <f>VLOOKUP(B540,aa!B:F,5,0)</f>
        <v>Ei ASSET, Ei Mindspark</v>
      </c>
      <c r="F540" s="50">
        <f>VLOOKUP(B540,aa!B:J,9,0)</f>
        <v>398029</v>
      </c>
      <c r="G540" s="50">
        <f>VLOOKUP(B540,aa!B:L,11,0)</f>
        <v>218044</v>
      </c>
      <c r="H540" s="50">
        <f>VLOOKUP(B540,aa!B:O,14,0)</f>
        <v>0</v>
      </c>
      <c r="I540" s="50">
        <f>VLOOKUP(B540,aa!B:R,17,0)</f>
        <v>179985</v>
      </c>
      <c r="K540" s="50" t="s">
        <v>97</v>
      </c>
      <c r="L540" s="50">
        <v>217072</v>
      </c>
      <c r="M540" s="50">
        <v>217072</v>
      </c>
      <c r="N540" s="50">
        <v>217072</v>
      </c>
      <c r="O540" s="50">
        <v>865</v>
      </c>
      <c r="P540" s="50" t="s">
        <v>14860</v>
      </c>
      <c r="Q540" s="50">
        <v>0</v>
      </c>
      <c r="R540" s="50">
        <v>0</v>
      </c>
      <c r="T540" s="50">
        <v>0</v>
      </c>
      <c r="U540" s="50">
        <v>0</v>
      </c>
      <c r="W540" s="50" t="s">
        <v>102</v>
      </c>
      <c r="X540" s="50" t="s">
        <v>103</v>
      </c>
      <c r="Y540" s="50" t="s">
        <v>104</v>
      </c>
      <c r="AA540" s="50" t="s">
        <v>12329</v>
      </c>
      <c r="AB540" s="50" t="s">
        <v>14861</v>
      </c>
      <c r="AC540" s="50" t="s">
        <v>12737</v>
      </c>
      <c r="AD540" s="50" t="s">
        <v>14861</v>
      </c>
      <c r="AE540" s="50" t="s">
        <v>109</v>
      </c>
      <c r="AF540" s="50" t="s">
        <v>102</v>
      </c>
      <c r="AG540" s="50" t="s">
        <v>109</v>
      </c>
      <c r="AH540" s="50" t="s">
        <v>102</v>
      </c>
      <c r="AI540" s="50" t="s">
        <v>14862</v>
      </c>
      <c r="AJ540" s="50" t="s">
        <v>10221</v>
      </c>
      <c r="AK540" s="50" t="s">
        <v>10221</v>
      </c>
      <c r="AL540" s="50" t="s">
        <v>14863</v>
      </c>
      <c r="AM540" s="50" t="s">
        <v>14864</v>
      </c>
      <c r="AN540" s="50" t="s">
        <v>14861</v>
      </c>
      <c r="AO540" s="50" t="s">
        <v>14865</v>
      </c>
      <c r="AP540" s="50" t="s">
        <v>14866</v>
      </c>
      <c r="AR540" s="50" t="s">
        <v>169</v>
      </c>
      <c r="AU540" s="50" t="s">
        <v>318</v>
      </c>
      <c r="AV540" s="50" t="s">
        <v>118</v>
      </c>
      <c r="AW540" s="50" t="s">
        <v>102</v>
      </c>
      <c r="AX540" s="50" t="s">
        <v>119</v>
      </c>
      <c r="BB540" s="50" t="s">
        <v>120</v>
      </c>
      <c r="BC540" s="50" t="s">
        <v>121</v>
      </c>
      <c r="BD540" s="50" t="s">
        <v>121</v>
      </c>
      <c r="BE540" s="50" t="s">
        <v>122</v>
      </c>
      <c r="BF540" s="50" t="s">
        <v>123</v>
      </c>
      <c r="BG540" s="50" t="s">
        <v>124</v>
      </c>
      <c r="BH540" s="50" t="s">
        <v>10030</v>
      </c>
      <c r="BI540" s="50" t="s">
        <v>11889</v>
      </c>
      <c r="BJ540" s="50" t="s">
        <v>127</v>
      </c>
      <c r="BK540" s="50" t="s">
        <v>14867</v>
      </c>
      <c r="BL540" s="50" t="s">
        <v>14868</v>
      </c>
      <c r="BM540" s="50" t="s">
        <v>14869</v>
      </c>
      <c r="BN540" s="50" t="s">
        <v>12040</v>
      </c>
      <c r="BO540" s="50" t="s">
        <v>131</v>
      </c>
      <c r="BP540" s="50" t="s">
        <v>505</v>
      </c>
      <c r="BQ540" s="50" t="s">
        <v>133</v>
      </c>
      <c r="BR540" s="50" t="s">
        <v>134</v>
      </c>
      <c r="BS540" s="50" t="s">
        <v>455</v>
      </c>
      <c r="BU540" s="50" t="s">
        <v>14870</v>
      </c>
      <c r="BV540" s="50" t="s">
        <v>14871</v>
      </c>
      <c r="BW540" s="50" t="s">
        <v>138</v>
      </c>
      <c r="BX540" s="50" t="s">
        <v>14872</v>
      </c>
      <c r="BY540" s="50" t="s">
        <v>14873</v>
      </c>
      <c r="BZ540" s="50" t="s">
        <v>14874</v>
      </c>
      <c r="CA540" s="50" t="s">
        <v>14871</v>
      </c>
      <c r="CB540" s="50" t="s">
        <v>14872</v>
      </c>
      <c r="CC540" s="50" t="s">
        <v>14873</v>
      </c>
      <c r="CD540" s="50" t="s">
        <v>14875</v>
      </c>
      <c r="CE540" s="50" t="s">
        <v>14876</v>
      </c>
      <c r="CF540" s="50" t="s">
        <v>14877</v>
      </c>
      <c r="CG540" s="50" t="s">
        <v>7248</v>
      </c>
      <c r="CH540" s="50" t="s">
        <v>14878</v>
      </c>
      <c r="CJ540" s="50" t="s">
        <v>14879</v>
      </c>
      <c r="CK540" s="50" t="s">
        <v>14878</v>
      </c>
      <c r="CL540" s="50" t="s">
        <v>121</v>
      </c>
      <c r="CM540" s="50" t="s">
        <v>2226</v>
      </c>
      <c r="CN540" s="50" t="s">
        <v>14879</v>
      </c>
      <c r="CP540" s="50" t="s">
        <v>14880</v>
      </c>
      <c r="CQ540" s="50" t="s">
        <v>14880</v>
      </c>
    </row>
    <row r="541" spans="1:96">
      <c r="A541" s="50" t="s">
        <v>149</v>
      </c>
      <c r="B541" s="50">
        <v>1558722</v>
      </c>
      <c r="C541" s="50" t="s">
        <v>12491</v>
      </c>
      <c r="D541" s="50" t="s">
        <v>1226</v>
      </c>
      <c r="E541" s="50" t="e">
        <f>VLOOKUP(B541,aa!B:F,5,0)</f>
        <v>#N/A</v>
      </c>
      <c r="F541" s="50" t="e">
        <f>VLOOKUP(B541,aa!B:J,9,0)</f>
        <v>#N/A</v>
      </c>
      <c r="G541" s="50" t="e">
        <f>VLOOKUP(B541,aa!B:L,11,0)</f>
        <v>#N/A</v>
      </c>
      <c r="H541" s="50" t="e">
        <f>VLOOKUP(B541,aa!B:O,14,0)</f>
        <v>#N/A</v>
      </c>
      <c r="I541" s="50" t="e">
        <f>VLOOKUP(B541,aa!B:R,17,0)</f>
        <v>#N/A</v>
      </c>
      <c r="K541" s="50" t="s">
        <v>193</v>
      </c>
      <c r="L541" s="50">
        <v>605075</v>
      </c>
      <c r="M541" s="50">
        <v>687336</v>
      </c>
      <c r="N541" s="50">
        <v>148069</v>
      </c>
      <c r="O541" s="50">
        <v>126</v>
      </c>
      <c r="P541" s="50" t="s">
        <v>12625</v>
      </c>
      <c r="Q541" s="50">
        <v>0</v>
      </c>
      <c r="R541" s="50">
        <v>0</v>
      </c>
      <c r="T541" s="50">
        <v>457006</v>
      </c>
      <c r="U541" s="50">
        <v>183</v>
      </c>
      <c r="V541" s="50" t="s">
        <v>1230</v>
      </c>
      <c r="W541" s="50" t="s">
        <v>102</v>
      </c>
      <c r="X541" s="50" t="s">
        <v>679</v>
      </c>
      <c r="Y541" s="50" t="s">
        <v>155</v>
      </c>
      <c r="Z541" s="50" t="s">
        <v>3679</v>
      </c>
      <c r="AA541" s="50" t="s">
        <v>12626</v>
      </c>
      <c r="AB541" s="50" t="s">
        <v>12627</v>
      </c>
      <c r="AC541" s="50" t="s">
        <v>12628</v>
      </c>
      <c r="AD541" s="50" t="s">
        <v>12627</v>
      </c>
      <c r="AE541" s="50" t="s">
        <v>12545</v>
      </c>
      <c r="AF541" s="50" t="s">
        <v>12627</v>
      </c>
      <c r="AG541" s="50" t="s">
        <v>12516</v>
      </c>
      <c r="AH541" s="50" t="s">
        <v>12627</v>
      </c>
      <c r="AI541" s="50" t="s">
        <v>12629</v>
      </c>
      <c r="AJ541" s="50" t="s">
        <v>12630</v>
      </c>
      <c r="AK541" s="50" t="s">
        <v>12631</v>
      </c>
      <c r="AL541" s="50" t="s">
        <v>12632</v>
      </c>
      <c r="AM541" s="50" t="s">
        <v>12633</v>
      </c>
      <c r="AN541" s="50" t="s">
        <v>12634</v>
      </c>
      <c r="AO541" s="50" t="s">
        <v>12635</v>
      </c>
      <c r="AP541" s="50" t="s">
        <v>12635</v>
      </c>
      <c r="AU541" s="50" t="s">
        <v>207</v>
      </c>
      <c r="AV541" s="50" t="s">
        <v>118</v>
      </c>
      <c r="AW541" s="50" t="s">
        <v>102</v>
      </c>
      <c r="AX541" s="50" t="s">
        <v>119</v>
      </c>
      <c r="BA541" s="50" t="s">
        <v>250</v>
      </c>
      <c r="BB541" s="50" t="s">
        <v>1242</v>
      </c>
      <c r="BC541" s="50" t="s">
        <v>1243</v>
      </c>
      <c r="BD541" s="50" t="s">
        <v>1244</v>
      </c>
      <c r="BE541" s="50" t="s">
        <v>122</v>
      </c>
      <c r="BF541" s="50" t="s">
        <v>1244</v>
      </c>
      <c r="BG541" s="50" t="s">
        <v>124</v>
      </c>
      <c r="BH541" s="50" t="s">
        <v>12636</v>
      </c>
      <c r="BI541" s="50" t="s">
        <v>12637</v>
      </c>
      <c r="BJ541" s="50" t="s">
        <v>127</v>
      </c>
      <c r="BK541" s="50" t="s">
        <v>12638</v>
      </c>
      <c r="BL541" s="50" t="s">
        <v>1247</v>
      </c>
      <c r="BM541" s="50" t="s">
        <v>12639</v>
      </c>
      <c r="BN541" s="50" t="s">
        <v>12624</v>
      </c>
      <c r="BO541" s="50" t="s">
        <v>8788</v>
      </c>
      <c r="BP541" s="50" t="s">
        <v>350</v>
      </c>
      <c r="BQ541" s="50" t="s">
        <v>8789</v>
      </c>
      <c r="BR541" s="50" t="s">
        <v>8790</v>
      </c>
      <c r="BS541" s="50" t="s">
        <v>1006</v>
      </c>
      <c r="BU541" s="50" t="s">
        <v>12640</v>
      </c>
      <c r="BV541" s="50" t="s">
        <v>1250</v>
      </c>
      <c r="BW541" s="50" t="s">
        <v>354</v>
      </c>
      <c r="BX541" s="50" t="s">
        <v>1251</v>
      </c>
      <c r="BY541" s="50" t="s">
        <v>1252</v>
      </c>
      <c r="BZ541" s="50" t="s">
        <v>1253</v>
      </c>
      <c r="CA541" s="50" t="s">
        <v>1250</v>
      </c>
      <c r="CB541" s="50" t="s">
        <v>1251</v>
      </c>
      <c r="CC541" s="50" t="s">
        <v>1252</v>
      </c>
      <c r="CD541" s="50" t="s">
        <v>12641</v>
      </c>
      <c r="CE541" s="50" t="s">
        <v>12642</v>
      </c>
      <c r="CF541" s="50" t="s">
        <v>12643</v>
      </c>
      <c r="CG541" s="50" t="s">
        <v>102</v>
      </c>
      <c r="CH541" s="50" t="s">
        <v>1257</v>
      </c>
      <c r="CJ541" s="50" t="s">
        <v>1258</v>
      </c>
      <c r="CL541" s="50" t="s">
        <v>1243</v>
      </c>
      <c r="CM541" s="50" t="s">
        <v>1244</v>
      </c>
      <c r="CN541" s="50" t="s">
        <v>1258</v>
      </c>
      <c r="CO541" s="50" t="s">
        <v>1259</v>
      </c>
      <c r="CP541" s="50" t="s">
        <v>1257</v>
      </c>
      <c r="CQ541" s="50" t="s">
        <v>1257</v>
      </c>
    </row>
    <row r="542" spans="1:96">
      <c r="A542" s="50" t="s">
        <v>337</v>
      </c>
      <c r="B542" s="50">
        <v>2450639</v>
      </c>
      <c r="C542" s="50" t="s">
        <v>632</v>
      </c>
      <c r="D542" s="50" t="s">
        <v>13984</v>
      </c>
      <c r="E542" s="50" t="e">
        <f>VLOOKUP(B542,aa!B:F,5,0)</f>
        <v>#N/A</v>
      </c>
      <c r="F542" s="50" t="e">
        <f>VLOOKUP(B542,aa!B:J,9,0)</f>
        <v>#N/A</v>
      </c>
      <c r="G542" s="50" t="e">
        <f>VLOOKUP(B542,aa!B:L,11,0)</f>
        <v>#N/A</v>
      </c>
      <c r="H542" s="50" t="e">
        <f>VLOOKUP(B542,aa!B:O,14,0)</f>
        <v>#N/A</v>
      </c>
      <c r="I542" s="50" t="e">
        <f>VLOOKUP(B542,aa!B:R,17,0)</f>
        <v>#N/A</v>
      </c>
      <c r="K542" s="50" t="s">
        <v>152</v>
      </c>
      <c r="L542" s="50">
        <v>121188</v>
      </c>
      <c r="M542" s="50">
        <v>121188</v>
      </c>
      <c r="N542" s="50">
        <v>0</v>
      </c>
      <c r="O542" s="50">
        <v>0</v>
      </c>
      <c r="Q542" s="50">
        <v>121188</v>
      </c>
      <c r="R542" s="50">
        <v>202</v>
      </c>
      <c r="S542" s="50" t="s">
        <v>310</v>
      </c>
      <c r="T542" s="50">
        <v>0</v>
      </c>
      <c r="U542" s="50">
        <v>0</v>
      </c>
      <c r="W542" s="50" t="s">
        <v>102</v>
      </c>
      <c r="X542" s="50" t="s">
        <v>103</v>
      </c>
      <c r="Y542" s="50" t="s">
        <v>104</v>
      </c>
      <c r="AA542" s="50" t="s">
        <v>7419</v>
      </c>
      <c r="AB542" s="50" t="s">
        <v>13985</v>
      </c>
      <c r="AC542" s="50" t="s">
        <v>12713</v>
      </c>
      <c r="AD542" s="50" t="s">
        <v>13985</v>
      </c>
      <c r="AE542" s="50" t="s">
        <v>109</v>
      </c>
      <c r="AF542" s="50" t="s">
        <v>102</v>
      </c>
      <c r="AG542" s="50" t="s">
        <v>109</v>
      </c>
      <c r="AH542" s="50" t="s">
        <v>102</v>
      </c>
      <c r="AI542" s="50" t="s">
        <v>13986</v>
      </c>
      <c r="AJ542" s="50" t="s">
        <v>12480</v>
      </c>
      <c r="AK542" s="50" t="s">
        <v>12820</v>
      </c>
      <c r="AL542" s="50" t="s">
        <v>13987</v>
      </c>
      <c r="AM542" s="50" t="s">
        <v>13988</v>
      </c>
      <c r="AN542" s="50" t="s">
        <v>310</v>
      </c>
      <c r="AO542" s="50" t="s">
        <v>13989</v>
      </c>
      <c r="AP542" s="50" t="s">
        <v>13989</v>
      </c>
      <c r="AU542" s="50" t="s">
        <v>102</v>
      </c>
      <c r="AW542" s="50" t="s">
        <v>155</v>
      </c>
      <c r="AX542" s="50" t="s">
        <v>447</v>
      </c>
      <c r="AY542" s="50" t="s">
        <v>170</v>
      </c>
      <c r="AZ542" s="50" t="s">
        <v>118</v>
      </c>
      <c r="BB542" s="50" t="s">
        <v>1964</v>
      </c>
      <c r="BC542" s="50" t="s">
        <v>623</v>
      </c>
      <c r="BD542" s="50" t="s">
        <v>621</v>
      </c>
      <c r="BE542" s="50" t="s">
        <v>622</v>
      </c>
      <c r="BF542" s="50" t="s">
        <v>623</v>
      </c>
      <c r="BG542" s="50" t="s">
        <v>124</v>
      </c>
      <c r="BH542" s="50" t="s">
        <v>11929</v>
      </c>
      <c r="BI542" s="50" t="s">
        <v>11889</v>
      </c>
      <c r="BJ542" s="50" t="s">
        <v>127</v>
      </c>
      <c r="BK542" s="50" t="s">
        <v>13990</v>
      </c>
      <c r="BL542" s="50" t="s">
        <v>13991</v>
      </c>
      <c r="BM542" s="50" t="s">
        <v>13992</v>
      </c>
      <c r="BN542" s="50" t="s">
        <v>12329</v>
      </c>
      <c r="BO542" s="50" t="s">
        <v>2284</v>
      </c>
      <c r="BP542" s="50" t="s">
        <v>132</v>
      </c>
      <c r="BQ542" s="50" t="s">
        <v>2285</v>
      </c>
      <c r="BR542" s="50" t="s">
        <v>2286</v>
      </c>
      <c r="BS542" s="50" t="s">
        <v>1342</v>
      </c>
      <c r="BU542" s="50" t="s">
        <v>13993</v>
      </c>
      <c r="BV542" s="50" t="s">
        <v>13994</v>
      </c>
      <c r="BW542" s="50" t="s">
        <v>138</v>
      </c>
      <c r="BX542" s="50" t="s">
        <v>13995</v>
      </c>
      <c r="BY542" s="50" t="s">
        <v>13996</v>
      </c>
      <c r="BZ542" s="50" t="s">
        <v>13995</v>
      </c>
      <c r="CA542" s="50" t="s">
        <v>13997</v>
      </c>
      <c r="CB542" s="50" t="s">
        <v>13995</v>
      </c>
      <c r="CC542" s="50" t="s">
        <v>13996</v>
      </c>
      <c r="CD542" s="50" t="s">
        <v>13997</v>
      </c>
      <c r="CE542" s="50" t="s">
        <v>13995</v>
      </c>
      <c r="CF542" s="50" t="s">
        <v>13996</v>
      </c>
      <c r="CG542" s="50" t="s">
        <v>102</v>
      </c>
      <c r="CH542" s="50" t="s">
        <v>13998</v>
      </c>
      <c r="CJ542" s="50" t="s">
        <v>4342</v>
      </c>
      <c r="CL542" s="50" t="s">
        <v>623</v>
      </c>
      <c r="CM542" s="50" t="s">
        <v>621</v>
      </c>
      <c r="CN542" s="50" t="s">
        <v>4342</v>
      </c>
      <c r="CO542" s="50" t="s">
        <v>13999</v>
      </c>
      <c r="CP542" s="50" t="s">
        <v>13998</v>
      </c>
      <c r="CQ542" s="50" t="s">
        <v>13998</v>
      </c>
    </row>
    <row r="543" spans="1:96">
      <c r="A543" s="50" t="s">
        <v>149</v>
      </c>
      <c r="B543" s="50">
        <v>28275</v>
      </c>
      <c r="C543" s="50" t="s">
        <v>11898</v>
      </c>
      <c r="D543" s="50" t="s">
        <v>4460</v>
      </c>
      <c r="E543" s="50" t="e">
        <f>VLOOKUP(B543,aa!B:F,5,0)</f>
        <v>#N/A</v>
      </c>
      <c r="F543" s="50" t="e">
        <f>VLOOKUP(B543,aa!B:J,9,0)</f>
        <v>#N/A</v>
      </c>
      <c r="G543" s="50" t="e">
        <f>VLOOKUP(B543,aa!B:L,11,0)</f>
        <v>#N/A</v>
      </c>
      <c r="H543" s="50" t="e">
        <f>VLOOKUP(B543,aa!B:O,14,0)</f>
        <v>#N/A</v>
      </c>
      <c r="I543" s="50" t="e">
        <f>VLOOKUP(B543,aa!B:R,17,0)</f>
        <v>#N/A</v>
      </c>
      <c r="K543" s="50" t="s">
        <v>97</v>
      </c>
      <c r="L543" s="50">
        <v>180016</v>
      </c>
      <c r="M543" s="50">
        <v>180016</v>
      </c>
      <c r="N543" s="50">
        <v>180016</v>
      </c>
      <c r="O543" s="50">
        <v>196</v>
      </c>
      <c r="P543" s="50" t="s">
        <v>14750</v>
      </c>
      <c r="Q543" s="50">
        <v>0</v>
      </c>
      <c r="R543" s="50">
        <v>0</v>
      </c>
      <c r="T543" s="50">
        <v>0</v>
      </c>
      <c r="U543" s="50">
        <v>0</v>
      </c>
      <c r="W543" s="50" t="s">
        <v>102</v>
      </c>
      <c r="X543" s="50" t="s">
        <v>275</v>
      </c>
      <c r="Z543" s="50" t="s">
        <v>13496</v>
      </c>
      <c r="AA543" s="50" t="s">
        <v>109</v>
      </c>
      <c r="AB543" s="50" t="s">
        <v>102</v>
      </c>
      <c r="AC543" s="50" t="s">
        <v>109</v>
      </c>
      <c r="AD543" s="50" t="s">
        <v>102</v>
      </c>
      <c r="AE543" s="50" t="s">
        <v>109</v>
      </c>
      <c r="AF543" s="50" t="s">
        <v>102</v>
      </c>
      <c r="AG543" s="50" t="s">
        <v>109</v>
      </c>
      <c r="AH543" s="50" t="s">
        <v>102</v>
      </c>
      <c r="AI543" s="50" t="s">
        <v>102</v>
      </c>
      <c r="AJ543" s="50" t="s">
        <v>14751</v>
      </c>
      <c r="AK543" s="50" t="s">
        <v>14751</v>
      </c>
      <c r="AL543" s="50" t="s">
        <v>14752</v>
      </c>
      <c r="AM543" s="50" t="s">
        <v>14753</v>
      </c>
      <c r="AN543" s="50" t="s">
        <v>14754</v>
      </c>
      <c r="AO543" s="50" t="s">
        <v>14755</v>
      </c>
      <c r="AP543" s="50" t="s">
        <v>14755</v>
      </c>
      <c r="AU543" s="50" t="s">
        <v>318</v>
      </c>
      <c r="AV543" s="50" t="s">
        <v>118</v>
      </c>
      <c r="AW543" s="50" t="s">
        <v>102</v>
      </c>
      <c r="AX543" s="50" t="s">
        <v>119</v>
      </c>
      <c r="BB543" s="50" t="s">
        <v>1664</v>
      </c>
      <c r="BC543" s="50" t="s">
        <v>251</v>
      </c>
      <c r="BD543" s="50" t="s">
        <v>252</v>
      </c>
      <c r="BE543" s="50" t="s">
        <v>122</v>
      </c>
      <c r="BF543" s="50" t="s">
        <v>253</v>
      </c>
      <c r="BG543" s="50" t="s">
        <v>124</v>
      </c>
      <c r="BH543" s="50" t="s">
        <v>11929</v>
      </c>
      <c r="BI543" s="50" t="s">
        <v>11889</v>
      </c>
      <c r="BJ543" s="50" t="s">
        <v>127</v>
      </c>
      <c r="BK543" s="50" t="s">
        <v>14756</v>
      </c>
      <c r="BL543" s="50" t="s">
        <v>4467</v>
      </c>
      <c r="BM543" s="50" t="s">
        <v>14757</v>
      </c>
      <c r="BN543" s="50" t="s">
        <v>5351</v>
      </c>
      <c r="BO543" s="50" t="s">
        <v>1108</v>
      </c>
      <c r="BP543" s="50" t="s">
        <v>180</v>
      </c>
      <c r="BQ543" s="50" t="s">
        <v>1109</v>
      </c>
      <c r="BR543" s="50" t="s">
        <v>1110</v>
      </c>
      <c r="BS543" s="50" t="s">
        <v>1111</v>
      </c>
      <c r="BU543" s="50" t="s">
        <v>14758</v>
      </c>
      <c r="BV543" s="50" t="s">
        <v>14759</v>
      </c>
      <c r="BX543" s="50" t="s">
        <v>4471</v>
      </c>
      <c r="BY543" s="50" t="s">
        <v>4472</v>
      </c>
      <c r="BZ543" s="50" t="s">
        <v>4473</v>
      </c>
      <c r="CA543" s="50" t="s">
        <v>14759</v>
      </c>
      <c r="CB543" s="50" t="s">
        <v>4471</v>
      </c>
      <c r="CC543" s="50" t="s">
        <v>4472</v>
      </c>
      <c r="CD543" s="50" t="s">
        <v>14759</v>
      </c>
      <c r="CE543" s="50" t="s">
        <v>4471</v>
      </c>
      <c r="CF543" s="50" t="s">
        <v>4472</v>
      </c>
      <c r="CG543" s="50" t="s">
        <v>102</v>
      </c>
      <c r="CH543" s="50" t="s">
        <v>14760</v>
      </c>
      <c r="CJ543" s="50" t="s">
        <v>270</v>
      </c>
      <c r="CL543" s="50" t="s">
        <v>251</v>
      </c>
      <c r="CM543" s="50" t="s">
        <v>252</v>
      </c>
      <c r="CN543" s="50" t="s">
        <v>270</v>
      </c>
      <c r="CP543" s="50" t="s">
        <v>4474</v>
      </c>
      <c r="CQ543" s="50" t="s">
        <v>4474</v>
      </c>
    </row>
    <row r="544" spans="1:96">
      <c r="A544" s="50" t="s">
        <v>337</v>
      </c>
      <c r="B544" s="50">
        <v>856520</v>
      </c>
      <c r="C544" s="50" t="s">
        <v>12491</v>
      </c>
      <c r="D544" s="50" t="s">
        <v>21540</v>
      </c>
      <c r="E544" s="50" t="e">
        <f>VLOOKUP(B544,aa!B:F,5,0)</f>
        <v>#N/A</v>
      </c>
      <c r="F544" s="50" t="e">
        <f>VLOOKUP(B544,aa!B:J,9,0)</f>
        <v>#N/A</v>
      </c>
      <c r="G544" s="50" t="e">
        <f>VLOOKUP(B544,aa!B:L,11,0)</f>
        <v>#N/A</v>
      </c>
      <c r="H544" s="50" t="e">
        <f>VLOOKUP(B544,aa!B:O,14,0)</f>
        <v>#N/A</v>
      </c>
      <c r="I544" s="50" t="e">
        <f>VLOOKUP(B544,aa!B:R,17,0)</f>
        <v>#N/A</v>
      </c>
      <c r="K544" s="50" t="s">
        <v>848</v>
      </c>
      <c r="L544" s="50">
        <v>799972</v>
      </c>
      <c r="M544" s="50">
        <v>943967</v>
      </c>
      <c r="N544" s="50">
        <v>0</v>
      </c>
      <c r="O544" s="50">
        <v>0</v>
      </c>
      <c r="Q544" s="50">
        <v>0</v>
      </c>
      <c r="R544" s="50">
        <v>0</v>
      </c>
      <c r="T544" s="50">
        <v>799972</v>
      </c>
      <c r="U544" s="50">
        <v>400</v>
      </c>
      <c r="V544" s="50" t="s">
        <v>7192</v>
      </c>
      <c r="W544" s="50" t="s">
        <v>102</v>
      </c>
      <c r="X544" s="50" t="s">
        <v>103</v>
      </c>
      <c r="Y544" s="50" t="s">
        <v>398</v>
      </c>
      <c r="AA544" s="50" t="s">
        <v>13033</v>
      </c>
      <c r="AB544" s="50" t="s">
        <v>21541</v>
      </c>
      <c r="AC544" s="50" t="s">
        <v>13034</v>
      </c>
      <c r="AD544" s="50" t="s">
        <v>21542</v>
      </c>
      <c r="AE544" s="50" t="s">
        <v>6895</v>
      </c>
      <c r="AF544" s="50" t="s">
        <v>21542</v>
      </c>
      <c r="AG544" s="50" t="s">
        <v>109</v>
      </c>
      <c r="AH544" s="50" t="s">
        <v>102</v>
      </c>
      <c r="AI544" s="50" t="s">
        <v>21543</v>
      </c>
      <c r="AJ544" s="50" t="s">
        <v>8258</v>
      </c>
      <c r="AK544" s="50" t="s">
        <v>8258</v>
      </c>
      <c r="AL544" s="50" t="s">
        <v>21544</v>
      </c>
      <c r="AM544" s="50" t="s">
        <v>21545</v>
      </c>
      <c r="AN544" s="50" t="s">
        <v>21546</v>
      </c>
      <c r="AO544" s="50" t="s">
        <v>21253</v>
      </c>
      <c r="AP544" s="50" t="s">
        <v>21253</v>
      </c>
      <c r="AU544" s="50" t="s">
        <v>102</v>
      </c>
      <c r="AW544" s="50" t="s">
        <v>102</v>
      </c>
      <c r="AX544" s="50" t="s">
        <v>119</v>
      </c>
      <c r="BA544" s="50" t="s">
        <v>250</v>
      </c>
      <c r="BB544" s="50" t="s">
        <v>120</v>
      </c>
      <c r="BC544" s="50" t="s">
        <v>21547</v>
      </c>
      <c r="BD544" s="50" t="s">
        <v>1244</v>
      </c>
      <c r="BE544" s="50" t="s">
        <v>122</v>
      </c>
      <c r="BF544" s="50" t="s">
        <v>1244</v>
      </c>
      <c r="BG544" s="50" t="s">
        <v>124</v>
      </c>
      <c r="BH544" s="50" t="s">
        <v>11976</v>
      </c>
      <c r="BI544" s="50" t="s">
        <v>11889</v>
      </c>
      <c r="BJ544" s="50" t="s">
        <v>127</v>
      </c>
      <c r="BK544" s="50" t="s">
        <v>21548</v>
      </c>
      <c r="BL544" s="50" t="s">
        <v>21549</v>
      </c>
      <c r="BM544" s="50" t="s">
        <v>21550</v>
      </c>
      <c r="BN544" s="50" t="s">
        <v>5351</v>
      </c>
      <c r="BO544" s="50" t="s">
        <v>19163</v>
      </c>
      <c r="BP544" s="50" t="s">
        <v>505</v>
      </c>
      <c r="BQ544" s="50" t="s">
        <v>19164</v>
      </c>
      <c r="BR544" s="50" t="s">
        <v>19165</v>
      </c>
      <c r="BS544" s="50" t="s">
        <v>21551</v>
      </c>
      <c r="BU544" s="50" t="s">
        <v>21552</v>
      </c>
      <c r="BV544" s="50" t="s">
        <v>21553</v>
      </c>
      <c r="BW544" s="50" t="s">
        <v>138</v>
      </c>
      <c r="BX544" s="50" t="s">
        <v>225</v>
      </c>
      <c r="BY544" s="50" t="s">
        <v>21554</v>
      </c>
      <c r="BZ544" s="50" t="s">
        <v>21555</v>
      </c>
      <c r="CA544" s="50" t="s">
        <v>21553</v>
      </c>
      <c r="CB544" s="50" t="s">
        <v>225</v>
      </c>
      <c r="CC544" s="50" t="s">
        <v>21554</v>
      </c>
      <c r="CD544" s="50" t="s">
        <v>21553</v>
      </c>
      <c r="CE544" s="50" t="s">
        <v>225</v>
      </c>
      <c r="CF544" s="50" t="s">
        <v>21554</v>
      </c>
      <c r="CG544" s="50" t="s">
        <v>21556</v>
      </c>
      <c r="CH544" s="50" t="s">
        <v>21557</v>
      </c>
      <c r="CJ544" s="50" t="s">
        <v>21558</v>
      </c>
      <c r="CK544" s="50" t="s">
        <v>21557</v>
      </c>
      <c r="CL544" s="50" t="s">
        <v>21547</v>
      </c>
      <c r="CM544" s="50" t="s">
        <v>1244</v>
      </c>
      <c r="CN544" s="50" t="s">
        <v>21558</v>
      </c>
      <c r="CP544" s="50" t="s">
        <v>21559</v>
      </c>
      <c r="CQ544" s="50" t="s">
        <v>21559</v>
      </c>
    </row>
    <row r="545" spans="1:96">
      <c r="A545" s="50" t="s">
        <v>149</v>
      </c>
      <c r="B545" s="50">
        <v>1429114</v>
      </c>
      <c r="C545" s="50" t="s">
        <v>12423</v>
      </c>
      <c r="D545" s="50" t="s">
        <v>933</v>
      </c>
      <c r="E545" s="50" t="e">
        <f>VLOOKUP(B545,aa!B:F,5,0)</f>
        <v>#N/A</v>
      </c>
      <c r="F545" s="50" t="e">
        <f>VLOOKUP(B545,aa!B:J,9,0)</f>
        <v>#N/A</v>
      </c>
      <c r="G545" s="50" t="e">
        <f>VLOOKUP(B545,aa!B:L,11,0)</f>
        <v>#N/A</v>
      </c>
      <c r="H545" s="50" t="e">
        <f>VLOOKUP(B545,aa!B:O,14,0)</f>
        <v>#N/A</v>
      </c>
      <c r="I545" s="50" t="e">
        <f>VLOOKUP(B545,aa!B:R,17,0)</f>
        <v>#N/A</v>
      </c>
      <c r="K545" s="50" t="s">
        <v>152</v>
      </c>
      <c r="L545" s="50">
        <v>624000</v>
      </c>
      <c r="M545" s="50">
        <v>624000</v>
      </c>
      <c r="N545" s="50">
        <v>0</v>
      </c>
      <c r="O545" s="50">
        <v>0</v>
      </c>
      <c r="Q545" s="50">
        <v>624000</v>
      </c>
      <c r="R545" s="50">
        <v>300</v>
      </c>
      <c r="S545" s="50" t="s">
        <v>12479</v>
      </c>
      <c r="T545" s="50">
        <v>0</v>
      </c>
      <c r="U545" s="50">
        <v>0</v>
      </c>
      <c r="W545" s="50" t="s">
        <v>102</v>
      </c>
      <c r="X545" s="50" t="s">
        <v>103</v>
      </c>
      <c r="Y545" s="50" t="s">
        <v>398</v>
      </c>
      <c r="AA545" s="50" t="s">
        <v>12480</v>
      </c>
      <c r="AB545" s="50" t="s">
        <v>12481</v>
      </c>
      <c r="AC545" s="50" t="s">
        <v>12158</v>
      </c>
      <c r="AD545" s="50" t="s">
        <v>12482</v>
      </c>
      <c r="AE545" s="50" t="s">
        <v>12327</v>
      </c>
      <c r="AF545" s="50" t="s">
        <v>12482</v>
      </c>
      <c r="AG545" s="50" t="s">
        <v>109</v>
      </c>
      <c r="AH545" s="50" t="s">
        <v>102</v>
      </c>
      <c r="AI545" s="50" t="s">
        <v>102</v>
      </c>
      <c r="AJ545" s="50" t="s">
        <v>12211</v>
      </c>
      <c r="AK545" s="50" t="s">
        <v>12211</v>
      </c>
      <c r="AL545" s="50" t="s">
        <v>12483</v>
      </c>
      <c r="AM545" s="50" t="s">
        <v>12484</v>
      </c>
      <c r="AN545" s="50" t="s">
        <v>12485</v>
      </c>
      <c r="AO545" s="50" t="s">
        <v>12486</v>
      </c>
      <c r="AP545" s="50" t="s">
        <v>12486</v>
      </c>
      <c r="AU545" s="50" t="s">
        <v>102</v>
      </c>
      <c r="AW545" s="50" t="s">
        <v>655</v>
      </c>
      <c r="AX545" s="50" t="s">
        <v>119</v>
      </c>
      <c r="AY545" s="50" t="s">
        <v>170</v>
      </c>
      <c r="AZ545" s="50" t="s">
        <v>118</v>
      </c>
      <c r="BB545" s="50" t="s">
        <v>120</v>
      </c>
      <c r="BC545" s="50" t="s">
        <v>952</v>
      </c>
      <c r="BD545" s="50" t="s">
        <v>410</v>
      </c>
      <c r="BE545" s="50" t="s">
        <v>212</v>
      </c>
      <c r="BF545" s="50" t="s">
        <v>410</v>
      </c>
      <c r="BG545" s="50" t="s">
        <v>124</v>
      </c>
      <c r="BH545" s="50" t="s">
        <v>4294</v>
      </c>
      <c r="BI545" s="50" t="s">
        <v>12047</v>
      </c>
      <c r="BJ545" s="50" t="s">
        <v>127</v>
      </c>
      <c r="BK545" s="50" t="s">
        <v>12487</v>
      </c>
      <c r="BL545" s="50" t="s">
        <v>954</v>
      </c>
      <c r="BM545" s="50" t="s">
        <v>12488</v>
      </c>
      <c r="BN545" s="50" t="s">
        <v>4294</v>
      </c>
      <c r="BO545" s="50" t="s">
        <v>866</v>
      </c>
      <c r="BP545" s="50" t="s">
        <v>505</v>
      </c>
      <c r="BQ545" s="50" t="s">
        <v>867</v>
      </c>
      <c r="BR545" s="50" t="s">
        <v>868</v>
      </c>
      <c r="BS545" s="50" t="s">
        <v>418</v>
      </c>
      <c r="BU545" s="50" t="s">
        <v>12489</v>
      </c>
      <c r="BV545" s="50" t="s">
        <v>3585</v>
      </c>
      <c r="BW545" s="50" t="s">
        <v>598</v>
      </c>
      <c r="BX545" s="50" t="s">
        <v>225</v>
      </c>
      <c r="BY545" s="50" t="s">
        <v>12490</v>
      </c>
      <c r="BZ545" s="50" t="s">
        <v>964</v>
      </c>
      <c r="CA545" s="50" t="s">
        <v>3585</v>
      </c>
      <c r="CB545" s="50" t="s">
        <v>225</v>
      </c>
      <c r="CC545" s="50" t="s">
        <v>12490</v>
      </c>
      <c r="CD545" s="50" t="s">
        <v>3585</v>
      </c>
      <c r="CE545" s="50" t="s">
        <v>225</v>
      </c>
      <c r="CF545" s="50" t="s">
        <v>12490</v>
      </c>
      <c r="CG545" s="50" t="s">
        <v>102</v>
      </c>
      <c r="CH545" s="50" t="s">
        <v>965</v>
      </c>
      <c r="CJ545" s="50" t="s">
        <v>966</v>
      </c>
      <c r="CL545" s="50" t="s">
        <v>952</v>
      </c>
      <c r="CM545" s="50" t="s">
        <v>410</v>
      </c>
      <c r="CN545" s="50" t="s">
        <v>966</v>
      </c>
      <c r="CP545" s="50" t="s">
        <v>965</v>
      </c>
      <c r="CQ545" s="50" t="s">
        <v>965</v>
      </c>
      <c r="CR545" s="50" t="s">
        <v>26044</v>
      </c>
    </row>
    <row r="546" spans="1:96">
      <c r="A546" s="50" t="s">
        <v>149</v>
      </c>
      <c r="B546" s="50">
        <v>207682</v>
      </c>
      <c r="C546" s="50" t="s">
        <v>11947</v>
      </c>
      <c r="D546" s="50" t="s">
        <v>2648</v>
      </c>
      <c r="E546" s="50" t="e">
        <f>VLOOKUP(B546,aa!B:F,5,0)</f>
        <v>#N/A</v>
      </c>
      <c r="F546" s="50" t="e">
        <f>VLOOKUP(B546,aa!B:J,9,0)</f>
        <v>#N/A</v>
      </c>
      <c r="G546" s="50" t="e">
        <f>VLOOKUP(B546,aa!B:L,11,0)</f>
        <v>#N/A</v>
      </c>
      <c r="H546" s="50" t="e">
        <f>VLOOKUP(B546,aa!B:O,14,0)</f>
        <v>#N/A</v>
      </c>
      <c r="I546" s="50" t="e">
        <f>VLOOKUP(B546,aa!B:R,17,0)</f>
        <v>#N/A</v>
      </c>
      <c r="K546" s="50" t="s">
        <v>97</v>
      </c>
      <c r="L546" s="50">
        <v>546156</v>
      </c>
      <c r="M546" s="50">
        <v>546156</v>
      </c>
      <c r="N546" s="50">
        <v>546156</v>
      </c>
      <c r="O546" s="50">
        <v>1560</v>
      </c>
      <c r="P546" s="50" t="s">
        <v>2650</v>
      </c>
      <c r="Q546" s="50">
        <v>0</v>
      </c>
      <c r="R546" s="50">
        <v>0</v>
      </c>
      <c r="T546" s="50">
        <v>0</v>
      </c>
      <c r="U546" s="50">
        <v>0</v>
      </c>
      <c r="W546" s="50" t="s">
        <v>102</v>
      </c>
      <c r="X546" s="50" t="s">
        <v>275</v>
      </c>
      <c r="Z546" s="50" t="s">
        <v>13496</v>
      </c>
      <c r="AA546" s="50" t="s">
        <v>109</v>
      </c>
      <c r="AB546" s="50" t="s">
        <v>102</v>
      </c>
      <c r="AC546" s="50" t="s">
        <v>109</v>
      </c>
      <c r="AD546" s="50" t="s">
        <v>102</v>
      </c>
      <c r="AE546" s="50" t="s">
        <v>109</v>
      </c>
      <c r="AF546" s="50" t="s">
        <v>102</v>
      </c>
      <c r="AG546" s="50" t="s">
        <v>109</v>
      </c>
      <c r="AH546" s="50" t="s">
        <v>102</v>
      </c>
      <c r="AI546" s="50" t="s">
        <v>102</v>
      </c>
      <c r="AL546" s="50" t="s">
        <v>13497</v>
      </c>
      <c r="AM546" s="50" t="s">
        <v>102</v>
      </c>
      <c r="AN546" s="50" t="s">
        <v>13497</v>
      </c>
      <c r="AO546" s="50" t="s">
        <v>13498</v>
      </c>
      <c r="AP546" s="50" t="s">
        <v>13498</v>
      </c>
      <c r="AU546" s="50" t="s">
        <v>117</v>
      </c>
      <c r="AV546" s="50" t="s">
        <v>118</v>
      </c>
      <c r="AW546" s="50" t="s">
        <v>102</v>
      </c>
      <c r="AX546" s="50" t="s">
        <v>119</v>
      </c>
      <c r="BB546" s="50" t="s">
        <v>120</v>
      </c>
      <c r="BC546" s="50" t="s">
        <v>1786</v>
      </c>
      <c r="BD546" s="50" t="s">
        <v>410</v>
      </c>
      <c r="BE546" s="50" t="s">
        <v>212</v>
      </c>
      <c r="BF546" s="50" t="s">
        <v>213</v>
      </c>
      <c r="BG546" s="50" t="s">
        <v>124</v>
      </c>
      <c r="BH546" s="50" t="s">
        <v>11959</v>
      </c>
      <c r="BI546" s="50" t="s">
        <v>11960</v>
      </c>
      <c r="BJ546" s="50" t="s">
        <v>127</v>
      </c>
      <c r="BK546" s="50" t="s">
        <v>13499</v>
      </c>
      <c r="BL546" s="50" t="s">
        <v>2657</v>
      </c>
      <c r="BM546" s="50" t="s">
        <v>13500</v>
      </c>
      <c r="BN546" s="50" t="s">
        <v>10221</v>
      </c>
      <c r="BO546" s="50" t="s">
        <v>415</v>
      </c>
      <c r="BP546" s="50" t="s">
        <v>180</v>
      </c>
      <c r="BQ546" s="50" t="s">
        <v>416</v>
      </c>
      <c r="BR546" s="50" t="s">
        <v>417</v>
      </c>
      <c r="BS546" s="50" t="s">
        <v>2151</v>
      </c>
      <c r="BU546" s="50" t="s">
        <v>13501</v>
      </c>
      <c r="BV546" s="50" t="s">
        <v>13502</v>
      </c>
      <c r="BW546" s="50" t="s">
        <v>598</v>
      </c>
      <c r="BX546" s="50" t="s">
        <v>13503</v>
      </c>
      <c r="BY546" s="50" t="s">
        <v>13504</v>
      </c>
      <c r="BZ546" s="50" t="s">
        <v>2663</v>
      </c>
      <c r="CA546" s="50" t="s">
        <v>13505</v>
      </c>
      <c r="CB546" s="50" t="s">
        <v>13506</v>
      </c>
      <c r="CC546" s="50" t="s">
        <v>13504</v>
      </c>
      <c r="CD546" s="50" t="s">
        <v>13507</v>
      </c>
      <c r="CE546" s="50" t="s">
        <v>2667</v>
      </c>
      <c r="CF546" s="50" t="s">
        <v>2668</v>
      </c>
      <c r="CG546" s="50" t="s">
        <v>102</v>
      </c>
      <c r="CH546" s="50" t="s">
        <v>2669</v>
      </c>
      <c r="CJ546" s="50" t="s">
        <v>2670</v>
      </c>
      <c r="CL546" s="50" t="s">
        <v>1786</v>
      </c>
      <c r="CM546" s="50" t="s">
        <v>410</v>
      </c>
      <c r="CN546" s="50" t="s">
        <v>2670</v>
      </c>
      <c r="CP546" s="50" t="s">
        <v>2669</v>
      </c>
      <c r="CQ546" s="50" t="s">
        <v>2669</v>
      </c>
      <c r="CR546" s="50" t="s">
        <v>26040</v>
      </c>
    </row>
    <row r="547" spans="1:96">
      <c r="A547" s="50" t="s">
        <v>149</v>
      </c>
      <c r="B547" s="50">
        <v>236318</v>
      </c>
      <c r="C547" s="50" t="s">
        <v>12491</v>
      </c>
      <c r="D547" s="50" t="s">
        <v>3071</v>
      </c>
      <c r="E547" s="50" t="str">
        <f>VLOOKUP(B547,aa!B:F,5,0)</f>
        <v>Ei ASSET, Ei Mindspark</v>
      </c>
      <c r="F547" s="50">
        <f>VLOOKUP(B547,aa!B:J,9,0)</f>
        <v>2461304</v>
      </c>
      <c r="G547" s="50">
        <f>VLOOKUP(B547,aa!B:L,11,0)</f>
        <v>820500</v>
      </c>
      <c r="H547" s="50">
        <f>VLOOKUP(B547,aa!B:O,14,0)</f>
        <v>0</v>
      </c>
      <c r="I547" s="50">
        <f>VLOOKUP(B547,aa!B:R,17,0)</f>
        <v>1640804</v>
      </c>
      <c r="K547" s="50" t="s">
        <v>97</v>
      </c>
      <c r="L547" s="50">
        <v>417750</v>
      </c>
      <c r="M547" s="50">
        <v>417750</v>
      </c>
      <c r="N547" s="50">
        <v>417750</v>
      </c>
      <c r="O547" s="50">
        <v>557</v>
      </c>
      <c r="P547" s="50" t="s">
        <v>101</v>
      </c>
      <c r="Q547" s="50">
        <v>0</v>
      </c>
      <c r="R547" s="50">
        <v>0</v>
      </c>
      <c r="T547" s="50">
        <v>0</v>
      </c>
      <c r="U547" s="50">
        <v>0</v>
      </c>
      <c r="W547" s="50" t="s">
        <v>102</v>
      </c>
      <c r="X547" s="50" t="s">
        <v>275</v>
      </c>
      <c r="Z547" s="50" t="s">
        <v>9460</v>
      </c>
      <c r="AA547" s="50" t="s">
        <v>109</v>
      </c>
      <c r="AB547" s="50" t="s">
        <v>102</v>
      </c>
      <c r="AC547" s="50" t="s">
        <v>109</v>
      </c>
      <c r="AD547" s="50" t="s">
        <v>102</v>
      </c>
      <c r="AE547" s="50" t="s">
        <v>109</v>
      </c>
      <c r="AF547" s="50" t="s">
        <v>102</v>
      </c>
      <c r="AG547" s="50" t="s">
        <v>109</v>
      </c>
      <c r="AH547" s="50" t="s">
        <v>102</v>
      </c>
      <c r="AI547" s="50" t="s">
        <v>102</v>
      </c>
      <c r="AJ547" s="50" t="s">
        <v>8258</v>
      </c>
      <c r="AK547" s="50" t="s">
        <v>8258</v>
      </c>
      <c r="AL547" s="50" t="s">
        <v>13758</v>
      </c>
      <c r="AM547" s="50" t="s">
        <v>13759</v>
      </c>
      <c r="AN547" s="50" t="s">
        <v>13760</v>
      </c>
      <c r="AO547" s="50" t="s">
        <v>116</v>
      </c>
      <c r="AP547" s="50" t="s">
        <v>116</v>
      </c>
      <c r="AU547" s="50" t="s">
        <v>117</v>
      </c>
      <c r="AV547" s="50" t="s">
        <v>118</v>
      </c>
      <c r="AW547" s="50" t="s">
        <v>102</v>
      </c>
      <c r="AX547" s="50" t="s">
        <v>119</v>
      </c>
      <c r="BB547" s="50" t="s">
        <v>120</v>
      </c>
      <c r="BC547" s="50" t="s">
        <v>3079</v>
      </c>
      <c r="BD547" s="50" t="s">
        <v>1244</v>
      </c>
      <c r="BE547" s="50" t="s">
        <v>122</v>
      </c>
      <c r="BF547" s="50" t="s">
        <v>1244</v>
      </c>
      <c r="BG547" s="50" t="s">
        <v>124</v>
      </c>
      <c r="BH547" s="50" t="s">
        <v>12023</v>
      </c>
      <c r="BI547" s="50" t="s">
        <v>11889</v>
      </c>
      <c r="BJ547" s="50" t="s">
        <v>127</v>
      </c>
      <c r="BK547" s="50" t="s">
        <v>13761</v>
      </c>
      <c r="BL547" s="50" t="s">
        <v>3081</v>
      </c>
      <c r="BM547" s="50" t="s">
        <v>13762</v>
      </c>
      <c r="BN547" s="50" t="s">
        <v>10221</v>
      </c>
      <c r="BO547" s="50" t="s">
        <v>8788</v>
      </c>
      <c r="BP547" s="50" t="s">
        <v>180</v>
      </c>
      <c r="BQ547" s="50" t="s">
        <v>8789</v>
      </c>
      <c r="BR547" s="50" t="s">
        <v>8790</v>
      </c>
      <c r="BS547" s="50" t="s">
        <v>1006</v>
      </c>
      <c r="BU547" s="50" t="s">
        <v>13763</v>
      </c>
      <c r="BV547" s="50" t="s">
        <v>13764</v>
      </c>
      <c r="BW547" s="50" t="s">
        <v>598</v>
      </c>
      <c r="BX547" s="50" t="s">
        <v>13765</v>
      </c>
      <c r="BY547" s="50" t="s">
        <v>13766</v>
      </c>
      <c r="BZ547" s="50" t="s">
        <v>3090</v>
      </c>
      <c r="CA547" s="50" t="s">
        <v>13767</v>
      </c>
      <c r="CB547" s="50" t="s">
        <v>3090</v>
      </c>
      <c r="CC547" s="50" t="s">
        <v>13766</v>
      </c>
      <c r="CD547" s="50" t="s">
        <v>13764</v>
      </c>
      <c r="CE547" s="50" t="s">
        <v>13765</v>
      </c>
      <c r="CF547" s="50" t="s">
        <v>13766</v>
      </c>
      <c r="CG547" s="50" t="s">
        <v>102</v>
      </c>
      <c r="CH547" s="50" t="s">
        <v>3091</v>
      </c>
      <c r="CJ547" s="50" t="s">
        <v>3092</v>
      </c>
      <c r="CL547" s="50" t="s">
        <v>3079</v>
      </c>
      <c r="CM547" s="50" t="s">
        <v>1244</v>
      </c>
      <c r="CN547" s="50" t="s">
        <v>3092</v>
      </c>
      <c r="CP547" s="50" t="s">
        <v>3091</v>
      </c>
      <c r="CQ547" s="50" t="s">
        <v>3091</v>
      </c>
    </row>
    <row r="548" spans="1:96">
      <c r="A548" s="50" t="s">
        <v>93</v>
      </c>
      <c r="B548" s="50">
        <v>5017809</v>
      </c>
      <c r="C548" s="50" t="s">
        <v>12507</v>
      </c>
      <c r="D548" s="50" t="s">
        <v>10213</v>
      </c>
      <c r="E548" s="50" t="e">
        <f>VLOOKUP(B548,aa!B:F,5,0)</f>
        <v>#N/A</v>
      </c>
      <c r="F548" s="50" t="e">
        <f>VLOOKUP(B548,aa!B:J,9,0)</f>
        <v>#N/A</v>
      </c>
      <c r="G548" s="50" t="e">
        <f>VLOOKUP(B548,aa!B:L,11,0)</f>
        <v>#N/A</v>
      </c>
      <c r="H548" s="50" t="e">
        <f>VLOOKUP(B548,aa!B:O,14,0)</f>
        <v>#N/A</v>
      </c>
      <c r="I548" s="50" t="e">
        <f>VLOOKUP(B548,aa!B:R,17,0)</f>
        <v>#N/A</v>
      </c>
      <c r="K548" s="50" t="s">
        <v>97</v>
      </c>
      <c r="L548" s="50">
        <v>169313</v>
      </c>
      <c r="M548" s="50">
        <v>169313</v>
      </c>
      <c r="N548" s="50">
        <v>169313</v>
      </c>
      <c r="O548" s="50">
        <v>141</v>
      </c>
      <c r="P548" s="50" t="s">
        <v>19156</v>
      </c>
      <c r="Q548" s="50">
        <v>0</v>
      </c>
      <c r="R548" s="50">
        <v>0</v>
      </c>
      <c r="T548" s="50">
        <v>0</v>
      </c>
      <c r="U548" s="50">
        <v>0</v>
      </c>
      <c r="W548" s="50" t="s">
        <v>102</v>
      </c>
      <c r="X548" s="50" t="s">
        <v>103</v>
      </c>
      <c r="Y548" s="50" t="s">
        <v>155</v>
      </c>
      <c r="AA548" s="50" t="s">
        <v>13033</v>
      </c>
      <c r="AB548" s="50" t="s">
        <v>19157</v>
      </c>
      <c r="AC548" s="50" t="s">
        <v>14057</v>
      </c>
      <c r="AD548" s="50" t="s">
        <v>19157</v>
      </c>
      <c r="AE548" s="50" t="s">
        <v>12041</v>
      </c>
      <c r="AF548" s="50" t="s">
        <v>19157</v>
      </c>
      <c r="AG548" s="50" t="s">
        <v>6895</v>
      </c>
      <c r="AH548" s="50" t="s">
        <v>19157</v>
      </c>
      <c r="AI548" s="50" t="s">
        <v>13288</v>
      </c>
      <c r="AJ548" s="50" t="s">
        <v>5351</v>
      </c>
      <c r="AK548" s="50" t="s">
        <v>13867</v>
      </c>
      <c r="AL548" s="50" t="s">
        <v>19158</v>
      </c>
      <c r="AM548" s="50" t="s">
        <v>19159</v>
      </c>
      <c r="AN548" s="50" t="s">
        <v>19157</v>
      </c>
      <c r="AO548" s="50" t="s">
        <v>19160</v>
      </c>
      <c r="AP548" s="50" t="s">
        <v>19160</v>
      </c>
      <c r="AU548" s="50" t="s">
        <v>318</v>
      </c>
      <c r="AV548" s="50" t="s">
        <v>118</v>
      </c>
      <c r="AW548" s="50" t="s">
        <v>102</v>
      </c>
      <c r="AX548" s="50" t="s">
        <v>119</v>
      </c>
      <c r="BB548" s="50" t="s">
        <v>1964</v>
      </c>
      <c r="BC548" s="50" t="s">
        <v>10227</v>
      </c>
      <c r="BD548" s="50" t="s">
        <v>1244</v>
      </c>
      <c r="BE548" s="50" t="s">
        <v>122</v>
      </c>
      <c r="BF548" s="50" t="s">
        <v>1244</v>
      </c>
      <c r="BG548" s="50" t="s">
        <v>124</v>
      </c>
      <c r="BH548" s="50" t="s">
        <v>11959</v>
      </c>
      <c r="BI548" s="50" t="s">
        <v>11960</v>
      </c>
      <c r="BJ548" s="50" t="s">
        <v>127</v>
      </c>
      <c r="BK548" s="50" t="s">
        <v>19161</v>
      </c>
      <c r="BL548" s="50" t="s">
        <v>10229</v>
      </c>
      <c r="BM548" s="50" t="s">
        <v>19162</v>
      </c>
      <c r="BN548" s="50" t="s">
        <v>13075</v>
      </c>
      <c r="BO548" s="50" t="s">
        <v>19163</v>
      </c>
      <c r="BP548" s="50" t="s">
        <v>350</v>
      </c>
      <c r="BQ548" s="50" t="s">
        <v>19164</v>
      </c>
      <c r="BR548" s="50" t="s">
        <v>19165</v>
      </c>
      <c r="BS548" s="50" t="s">
        <v>10231</v>
      </c>
      <c r="BT548" s="50" t="s">
        <v>1075</v>
      </c>
      <c r="BU548" s="50" t="s">
        <v>19166</v>
      </c>
      <c r="BV548" s="50" t="s">
        <v>10233</v>
      </c>
      <c r="BW548" s="50" t="s">
        <v>138</v>
      </c>
      <c r="BX548" s="50" t="s">
        <v>225</v>
      </c>
      <c r="BY548" s="50" t="s">
        <v>10235</v>
      </c>
      <c r="BZ548" s="50" t="s">
        <v>10234</v>
      </c>
      <c r="CA548" s="50" t="s">
        <v>10233</v>
      </c>
      <c r="CB548" s="50" t="s">
        <v>10234</v>
      </c>
      <c r="CC548" s="50" t="s">
        <v>10235</v>
      </c>
      <c r="CD548" s="50" t="s">
        <v>10233</v>
      </c>
      <c r="CE548" s="50" t="s">
        <v>10234</v>
      </c>
      <c r="CF548" s="50" t="s">
        <v>10235</v>
      </c>
      <c r="CG548" s="50" t="s">
        <v>3499</v>
      </c>
      <c r="CH548" s="50" t="s">
        <v>19167</v>
      </c>
      <c r="CJ548" s="50" t="s">
        <v>10237</v>
      </c>
      <c r="CK548" s="50" t="s">
        <v>19168</v>
      </c>
      <c r="CL548" s="50" t="s">
        <v>10227</v>
      </c>
      <c r="CM548" s="50" t="s">
        <v>1244</v>
      </c>
      <c r="CN548" s="50" t="s">
        <v>10237</v>
      </c>
      <c r="CO548" s="50" t="s">
        <v>10239</v>
      </c>
      <c r="CP548" s="50" t="s">
        <v>10236</v>
      </c>
      <c r="CQ548" s="50" t="s">
        <v>10238</v>
      </c>
    </row>
    <row r="549" spans="1:96">
      <c r="A549" s="50" t="s">
        <v>93</v>
      </c>
      <c r="B549" s="50">
        <v>5018350</v>
      </c>
      <c r="C549" s="50" t="s">
        <v>3562</v>
      </c>
      <c r="D549" s="50" t="s">
        <v>10705</v>
      </c>
      <c r="E549" s="50" t="e">
        <f>VLOOKUP(B549,aa!B:F,5,0)</f>
        <v>#N/A</v>
      </c>
      <c r="F549" s="50" t="e">
        <f>VLOOKUP(B549,aa!B:J,9,0)</f>
        <v>#N/A</v>
      </c>
      <c r="G549" s="50" t="e">
        <f>VLOOKUP(B549,aa!B:L,11,0)</f>
        <v>#N/A</v>
      </c>
      <c r="H549" s="50" t="e">
        <f>VLOOKUP(B549,aa!B:O,14,0)</f>
        <v>#N/A</v>
      </c>
      <c r="I549" s="50" t="e">
        <f>VLOOKUP(B549,aa!B:R,17,0)</f>
        <v>#N/A</v>
      </c>
      <c r="K549" s="50" t="s">
        <v>3549</v>
      </c>
      <c r="L549" s="50">
        <v>126830</v>
      </c>
      <c r="M549" s="50">
        <v>146623</v>
      </c>
      <c r="N549" s="50">
        <v>16867</v>
      </c>
      <c r="O549" s="50">
        <v>13</v>
      </c>
      <c r="P549" s="50" t="s">
        <v>19666</v>
      </c>
      <c r="Q549" s="50">
        <v>0</v>
      </c>
      <c r="R549" s="50">
        <v>0</v>
      </c>
      <c r="T549" s="50">
        <v>109963</v>
      </c>
      <c r="U549" s="50">
        <v>25</v>
      </c>
      <c r="V549" s="50" t="s">
        <v>19667</v>
      </c>
      <c r="W549" s="50" t="s">
        <v>102</v>
      </c>
      <c r="X549" s="50" t="s">
        <v>275</v>
      </c>
      <c r="Z549" s="50" t="s">
        <v>12480</v>
      </c>
      <c r="AA549" s="50" t="s">
        <v>109</v>
      </c>
      <c r="AB549" s="50" t="s">
        <v>102</v>
      </c>
      <c r="AC549" s="50" t="s">
        <v>109</v>
      </c>
      <c r="AD549" s="50" t="s">
        <v>102</v>
      </c>
      <c r="AE549" s="50" t="s">
        <v>109</v>
      </c>
      <c r="AF549" s="50" t="s">
        <v>102</v>
      </c>
      <c r="AG549" s="50" t="s">
        <v>109</v>
      </c>
      <c r="AH549" s="50" t="s">
        <v>102</v>
      </c>
      <c r="AI549" s="50" t="s">
        <v>102</v>
      </c>
      <c r="AJ549" s="50" t="s">
        <v>12289</v>
      </c>
      <c r="AK549" s="50" t="s">
        <v>12289</v>
      </c>
      <c r="AL549" s="50" t="s">
        <v>19668</v>
      </c>
      <c r="AM549" s="50" t="s">
        <v>19669</v>
      </c>
      <c r="AN549" s="50" t="s">
        <v>19670</v>
      </c>
      <c r="AO549" s="50" t="s">
        <v>19671</v>
      </c>
      <c r="AP549" s="50" t="s">
        <v>19672</v>
      </c>
      <c r="AS549" s="50" t="s">
        <v>169</v>
      </c>
      <c r="AU549" s="50" t="s">
        <v>117</v>
      </c>
      <c r="AV549" s="50" t="s">
        <v>118</v>
      </c>
      <c r="AW549" s="50" t="s">
        <v>102</v>
      </c>
      <c r="AX549" s="50" t="s">
        <v>119</v>
      </c>
      <c r="BA549" s="50" t="s">
        <v>250</v>
      </c>
      <c r="BB549" s="50" t="s">
        <v>209</v>
      </c>
      <c r="BC549" s="50" t="s">
        <v>3714</v>
      </c>
      <c r="BD549" s="50" t="s">
        <v>730</v>
      </c>
      <c r="BE549" s="50" t="s">
        <v>622</v>
      </c>
      <c r="BF549" s="50" t="s">
        <v>730</v>
      </c>
      <c r="BG549" s="50" t="s">
        <v>124</v>
      </c>
      <c r="BH549" s="50" t="s">
        <v>13496</v>
      </c>
      <c r="BI549" s="50" t="s">
        <v>19673</v>
      </c>
      <c r="BJ549" s="50" t="s">
        <v>127</v>
      </c>
      <c r="BK549" s="50" t="s">
        <v>19674</v>
      </c>
      <c r="BL549" s="50" t="s">
        <v>10713</v>
      </c>
      <c r="BM549" s="50" t="s">
        <v>19675</v>
      </c>
      <c r="BN549" s="50" t="s">
        <v>13075</v>
      </c>
      <c r="BO549" s="50" t="s">
        <v>3910</v>
      </c>
      <c r="BP549" s="50" t="s">
        <v>350</v>
      </c>
      <c r="BQ549" s="50" t="s">
        <v>3911</v>
      </c>
      <c r="BR549" s="50" t="s">
        <v>3912</v>
      </c>
      <c r="BS549" s="50" t="s">
        <v>2569</v>
      </c>
      <c r="BU549" s="50" t="s">
        <v>19676</v>
      </c>
      <c r="BV549" s="50" t="s">
        <v>19677</v>
      </c>
      <c r="BW549" s="50" t="s">
        <v>354</v>
      </c>
      <c r="BX549" s="50" t="s">
        <v>19678</v>
      </c>
      <c r="BY549" s="50" t="s">
        <v>10718</v>
      </c>
      <c r="BZ549" s="50" t="s">
        <v>10717</v>
      </c>
      <c r="CA549" s="50" t="s">
        <v>10719</v>
      </c>
      <c r="CB549" s="50" t="s">
        <v>19679</v>
      </c>
      <c r="CC549" s="50" t="s">
        <v>10721</v>
      </c>
      <c r="CD549" s="50" t="s">
        <v>10719</v>
      </c>
      <c r="CE549" s="50" t="s">
        <v>19679</v>
      </c>
      <c r="CF549" s="50" t="s">
        <v>10721</v>
      </c>
      <c r="CG549" s="50" t="s">
        <v>6457</v>
      </c>
      <c r="CH549" s="50" t="s">
        <v>10722</v>
      </c>
      <c r="CJ549" s="50" t="s">
        <v>10723</v>
      </c>
      <c r="CK549" s="50" t="s">
        <v>19680</v>
      </c>
      <c r="CL549" s="50" t="s">
        <v>3714</v>
      </c>
      <c r="CM549" s="50" t="s">
        <v>730</v>
      </c>
      <c r="CN549" s="50" t="s">
        <v>10723</v>
      </c>
      <c r="CP549" s="50" t="s">
        <v>10722</v>
      </c>
      <c r="CQ549" s="50" t="s">
        <v>10724</v>
      </c>
      <c r="CR549" s="50" t="s">
        <v>26047</v>
      </c>
    </row>
    <row r="550" spans="1:96">
      <c r="A550" s="50" t="s">
        <v>149</v>
      </c>
      <c r="B550" s="50">
        <v>60573</v>
      </c>
      <c r="C550" s="50" t="s">
        <v>12491</v>
      </c>
      <c r="D550" s="50" t="s">
        <v>11280</v>
      </c>
      <c r="E550" s="50" t="str">
        <f>VLOOKUP(B550,aa!B:F,5,0)</f>
        <v>Ei ASSET</v>
      </c>
      <c r="F550" s="50">
        <f>VLOOKUP(B550,aa!B:J,9,0)</f>
        <v>268062</v>
      </c>
      <c r="G550" s="50">
        <f>VLOOKUP(B550,aa!B:L,11,0)</f>
        <v>268062</v>
      </c>
      <c r="H550" s="50">
        <f>VLOOKUP(B550,aa!B:O,14,0)</f>
        <v>0</v>
      </c>
      <c r="I550" s="50">
        <f>VLOOKUP(B550,aa!B:R,17,0)</f>
        <v>0</v>
      </c>
      <c r="K550" s="50" t="s">
        <v>97</v>
      </c>
      <c r="L550" s="50">
        <v>332820</v>
      </c>
      <c r="M550" s="50">
        <v>332820</v>
      </c>
      <c r="N550" s="50">
        <v>332820</v>
      </c>
      <c r="O550" s="50">
        <v>516</v>
      </c>
      <c r="P550" s="50" t="s">
        <v>15191</v>
      </c>
      <c r="Q550" s="50">
        <v>0</v>
      </c>
      <c r="R550" s="50">
        <v>0</v>
      </c>
      <c r="T550" s="50">
        <v>0</v>
      </c>
      <c r="U550" s="50">
        <v>0</v>
      </c>
      <c r="W550" s="50" t="s">
        <v>102</v>
      </c>
      <c r="X550" s="50" t="s">
        <v>275</v>
      </c>
      <c r="Z550" s="50" t="s">
        <v>12467</v>
      </c>
      <c r="AA550" s="50" t="s">
        <v>109</v>
      </c>
      <c r="AB550" s="50" t="s">
        <v>102</v>
      </c>
      <c r="AC550" s="50" t="s">
        <v>109</v>
      </c>
      <c r="AD550" s="50" t="s">
        <v>102</v>
      </c>
      <c r="AE550" s="50" t="s">
        <v>109</v>
      </c>
      <c r="AF550" s="50" t="s">
        <v>102</v>
      </c>
      <c r="AG550" s="50" t="s">
        <v>109</v>
      </c>
      <c r="AH550" s="50" t="s">
        <v>102</v>
      </c>
      <c r="AI550" s="50" t="s">
        <v>21223</v>
      </c>
      <c r="AJ550" s="50" t="s">
        <v>1427</v>
      </c>
      <c r="AK550" s="50" t="s">
        <v>1427</v>
      </c>
      <c r="AL550" s="50" t="s">
        <v>21224</v>
      </c>
      <c r="AM550" s="50" t="s">
        <v>21225</v>
      </c>
      <c r="AN550" s="50" t="s">
        <v>102</v>
      </c>
      <c r="AO550" s="50" t="s">
        <v>14841</v>
      </c>
      <c r="AP550" s="50" t="s">
        <v>14841</v>
      </c>
      <c r="AU550" s="50" t="s">
        <v>117</v>
      </c>
      <c r="AV550" s="50" t="s">
        <v>118</v>
      </c>
      <c r="AW550" s="50" t="s">
        <v>102</v>
      </c>
      <c r="AX550" s="50" t="s">
        <v>119</v>
      </c>
      <c r="BB550" s="50" t="s">
        <v>120</v>
      </c>
      <c r="BC550" s="50" t="s">
        <v>2204</v>
      </c>
      <c r="BD550" s="50" t="s">
        <v>121</v>
      </c>
      <c r="BE550" s="50" t="s">
        <v>122</v>
      </c>
      <c r="BF550" s="50" t="s">
        <v>123</v>
      </c>
      <c r="BG550" s="50" t="s">
        <v>124</v>
      </c>
      <c r="BH550" s="50" t="s">
        <v>12023</v>
      </c>
      <c r="BI550" s="50" t="s">
        <v>11889</v>
      </c>
      <c r="BJ550" s="50" t="s">
        <v>127</v>
      </c>
      <c r="BK550" s="50" t="s">
        <v>21226</v>
      </c>
      <c r="BL550" s="50" t="s">
        <v>11286</v>
      </c>
      <c r="BM550" s="50" t="s">
        <v>21227</v>
      </c>
      <c r="BN550" s="50" t="s">
        <v>13075</v>
      </c>
      <c r="BO550" s="50" t="s">
        <v>8788</v>
      </c>
      <c r="BP550" s="50" t="s">
        <v>350</v>
      </c>
      <c r="BQ550" s="50" t="s">
        <v>8789</v>
      </c>
      <c r="BR550" s="50" t="s">
        <v>8790</v>
      </c>
      <c r="BS550" s="50" t="s">
        <v>11288</v>
      </c>
      <c r="BU550" s="50" t="s">
        <v>21228</v>
      </c>
      <c r="BV550" s="50" t="s">
        <v>11290</v>
      </c>
      <c r="BW550" s="50" t="s">
        <v>598</v>
      </c>
      <c r="BX550" s="50" t="s">
        <v>11291</v>
      </c>
      <c r="BY550" s="50" t="s">
        <v>11292</v>
      </c>
      <c r="BZ550" s="50" t="s">
        <v>11293</v>
      </c>
      <c r="CA550" s="50" t="s">
        <v>21229</v>
      </c>
      <c r="CB550" s="50" t="s">
        <v>21230</v>
      </c>
      <c r="CC550" s="50" t="s">
        <v>11292</v>
      </c>
      <c r="CD550" s="50" t="s">
        <v>11290</v>
      </c>
      <c r="CE550" s="50" t="s">
        <v>11291</v>
      </c>
      <c r="CF550" s="50" t="s">
        <v>11292</v>
      </c>
      <c r="CG550" s="50" t="s">
        <v>102</v>
      </c>
      <c r="CH550" s="50" t="s">
        <v>11294</v>
      </c>
      <c r="CJ550" s="50" t="s">
        <v>9367</v>
      </c>
      <c r="CL550" s="50" t="s">
        <v>2204</v>
      </c>
      <c r="CM550" s="50" t="s">
        <v>121</v>
      </c>
      <c r="CN550" s="50" t="s">
        <v>9367</v>
      </c>
      <c r="CO550" s="50" t="s">
        <v>11295</v>
      </c>
      <c r="CP550" s="50" t="s">
        <v>11294</v>
      </c>
      <c r="CQ550" s="50" t="s">
        <v>11294</v>
      </c>
    </row>
    <row r="551" spans="1:96">
      <c r="A551" s="50" t="s">
        <v>93</v>
      </c>
      <c r="B551" s="50">
        <v>5018513</v>
      </c>
      <c r="C551" s="50" t="s">
        <v>11898</v>
      </c>
      <c r="D551" s="50" t="s">
        <v>10757</v>
      </c>
      <c r="E551" s="50" t="e">
        <f>VLOOKUP(B551,aa!B:F,5,0)</f>
        <v>#N/A</v>
      </c>
      <c r="F551" s="50" t="e">
        <f>VLOOKUP(B551,aa!B:J,9,0)</f>
        <v>#N/A</v>
      </c>
      <c r="G551" s="50" t="e">
        <f>VLOOKUP(B551,aa!B:L,11,0)</f>
        <v>#N/A</v>
      </c>
      <c r="H551" s="50" t="e">
        <f>VLOOKUP(B551,aa!B:O,14,0)</f>
        <v>#N/A</v>
      </c>
      <c r="I551" s="50" t="e">
        <f>VLOOKUP(B551,aa!B:R,17,0)</f>
        <v>#N/A</v>
      </c>
      <c r="K551" s="50" t="s">
        <v>1746</v>
      </c>
      <c r="L551" s="50">
        <v>0</v>
      </c>
      <c r="M551" s="50">
        <v>0</v>
      </c>
      <c r="N551" s="50">
        <v>0</v>
      </c>
      <c r="O551" s="50">
        <v>85</v>
      </c>
      <c r="P551" s="50" t="s">
        <v>102</v>
      </c>
      <c r="Q551" s="50">
        <v>0</v>
      </c>
      <c r="R551" s="50">
        <v>85</v>
      </c>
      <c r="S551" s="50" t="s">
        <v>102</v>
      </c>
      <c r="T551" s="50">
        <v>0</v>
      </c>
      <c r="U551" s="50">
        <v>166</v>
      </c>
      <c r="V551" s="50" t="s">
        <v>102</v>
      </c>
      <c r="W551" s="50" t="s">
        <v>102</v>
      </c>
      <c r="X551" s="50" t="s">
        <v>275</v>
      </c>
      <c r="Z551" s="50" t="s">
        <v>8258</v>
      </c>
      <c r="AA551" s="50" t="s">
        <v>109</v>
      </c>
      <c r="AB551" s="50" t="s">
        <v>102</v>
      </c>
      <c r="AC551" s="50" t="s">
        <v>109</v>
      </c>
      <c r="AD551" s="50" t="s">
        <v>102</v>
      </c>
      <c r="AE551" s="50" t="s">
        <v>109</v>
      </c>
      <c r="AF551" s="50" t="s">
        <v>102</v>
      </c>
      <c r="AG551" s="50" t="s">
        <v>109</v>
      </c>
      <c r="AH551" s="50" t="s">
        <v>102</v>
      </c>
      <c r="AI551" s="50" t="s">
        <v>102</v>
      </c>
      <c r="AL551" s="50" t="s">
        <v>102</v>
      </c>
      <c r="AM551" s="50" t="s">
        <v>102</v>
      </c>
      <c r="AN551" s="50" t="s">
        <v>102</v>
      </c>
      <c r="AO551" s="50" t="s">
        <v>115</v>
      </c>
      <c r="AP551" s="50" t="s">
        <v>115</v>
      </c>
      <c r="AU551" s="50" t="s">
        <v>6700</v>
      </c>
      <c r="AV551" s="50" t="s">
        <v>250</v>
      </c>
      <c r="AW551" s="50" t="s">
        <v>104</v>
      </c>
      <c r="AX551" s="50" t="s">
        <v>119</v>
      </c>
      <c r="AZ551" s="50" t="s">
        <v>250</v>
      </c>
      <c r="BA551" s="50" t="s">
        <v>250</v>
      </c>
      <c r="BB551" s="50" t="s">
        <v>120</v>
      </c>
      <c r="BC551" s="50" t="s">
        <v>1407</v>
      </c>
      <c r="BD551" s="50" t="s">
        <v>121</v>
      </c>
      <c r="BE551" s="50" t="s">
        <v>122</v>
      </c>
      <c r="BF551" s="50" t="s">
        <v>123</v>
      </c>
      <c r="BG551" s="50" t="s">
        <v>124</v>
      </c>
      <c r="BH551" s="50" t="s">
        <v>12082</v>
      </c>
      <c r="BI551" s="50" t="s">
        <v>11960</v>
      </c>
      <c r="BJ551" s="50" t="s">
        <v>127</v>
      </c>
      <c r="BK551" s="50" t="s">
        <v>19973</v>
      </c>
      <c r="BL551" s="50" t="s">
        <v>10761</v>
      </c>
      <c r="BM551" s="50" t="s">
        <v>19974</v>
      </c>
      <c r="BN551" s="50" t="s">
        <v>19972</v>
      </c>
      <c r="BO551" s="50" t="s">
        <v>18467</v>
      </c>
      <c r="BP551" s="50" t="s">
        <v>505</v>
      </c>
      <c r="BQ551" s="50" t="s">
        <v>18468</v>
      </c>
      <c r="BR551" s="50" t="s">
        <v>18469</v>
      </c>
      <c r="BS551" s="50" t="s">
        <v>566</v>
      </c>
      <c r="BU551" s="50" t="s">
        <v>19975</v>
      </c>
      <c r="BV551" s="50" t="s">
        <v>224</v>
      </c>
      <c r="BW551" s="50" t="s">
        <v>354</v>
      </c>
      <c r="BX551" s="50" t="s">
        <v>225</v>
      </c>
      <c r="BY551" s="50" t="s">
        <v>226</v>
      </c>
      <c r="BZ551" s="50" t="s">
        <v>10765</v>
      </c>
      <c r="CA551" s="50" t="s">
        <v>224</v>
      </c>
      <c r="CB551" s="50" t="s">
        <v>225</v>
      </c>
      <c r="CC551" s="50" t="s">
        <v>226</v>
      </c>
      <c r="CD551" s="50" t="s">
        <v>224</v>
      </c>
      <c r="CE551" s="50" t="s">
        <v>225</v>
      </c>
      <c r="CF551" s="50" t="s">
        <v>226</v>
      </c>
      <c r="CG551" s="50" t="s">
        <v>102</v>
      </c>
      <c r="CH551" s="50" t="s">
        <v>10769</v>
      </c>
      <c r="CJ551" s="50" t="s">
        <v>1419</v>
      </c>
      <c r="CL551" s="50" t="s">
        <v>1407</v>
      </c>
      <c r="CM551" s="50" t="s">
        <v>121</v>
      </c>
      <c r="CN551" s="50" t="s">
        <v>1419</v>
      </c>
      <c r="CP551" s="50" t="s">
        <v>10769</v>
      </c>
      <c r="CQ551" s="50" t="s">
        <v>10769</v>
      </c>
    </row>
    <row r="552" spans="1:96">
      <c r="A552" s="50" t="s">
        <v>93</v>
      </c>
      <c r="B552" s="50">
        <v>3871414</v>
      </c>
      <c r="C552" s="50" t="s">
        <v>11947</v>
      </c>
      <c r="D552" s="50" t="s">
        <v>5145</v>
      </c>
      <c r="E552" s="50" t="e">
        <f>VLOOKUP(B552,aa!B:F,5,0)</f>
        <v>#N/A</v>
      </c>
      <c r="F552" s="50" t="e">
        <f>VLOOKUP(B552,aa!B:J,9,0)</f>
        <v>#N/A</v>
      </c>
      <c r="G552" s="50" t="e">
        <f>VLOOKUP(B552,aa!B:L,11,0)</f>
        <v>#N/A</v>
      </c>
      <c r="H552" s="50" t="e">
        <f>VLOOKUP(B552,aa!B:O,14,0)</f>
        <v>#N/A</v>
      </c>
      <c r="I552" s="50" t="e">
        <f>VLOOKUP(B552,aa!B:R,17,0)</f>
        <v>#N/A</v>
      </c>
      <c r="K552" s="50" t="s">
        <v>97</v>
      </c>
      <c r="L552" s="50">
        <v>49140</v>
      </c>
      <c r="M552" s="50">
        <v>49140</v>
      </c>
      <c r="N552" s="50">
        <v>49140</v>
      </c>
      <c r="O552" s="50">
        <v>63</v>
      </c>
      <c r="P552" s="50" t="s">
        <v>2110</v>
      </c>
      <c r="Q552" s="50">
        <v>0</v>
      </c>
      <c r="R552" s="50">
        <v>0</v>
      </c>
      <c r="T552" s="50">
        <v>0</v>
      </c>
      <c r="U552" s="50">
        <v>0</v>
      </c>
      <c r="W552" s="50" t="s">
        <v>102</v>
      </c>
      <c r="X552" s="50" t="s">
        <v>275</v>
      </c>
      <c r="Z552" s="50" t="s">
        <v>8258</v>
      </c>
      <c r="AA552" s="50" t="s">
        <v>109</v>
      </c>
      <c r="AB552" s="50" t="s">
        <v>102</v>
      </c>
      <c r="AC552" s="50" t="s">
        <v>109</v>
      </c>
      <c r="AD552" s="50" t="s">
        <v>102</v>
      </c>
      <c r="AE552" s="50" t="s">
        <v>109</v>
      </c>
      <c r="AF552" s="50" t="s">
        <v>102</v>
      </c>
      <c r="AG552" s="50" t="s">
        <v>109</v>
      </c>
      <c r="AH552" s="50" t="s">
        <v>102</v>
      </c>
      <c r="AI552" s="50" t="s">
        <v>102</v>
      </c>
      <c r="AJ552" s="50" t="s">
        <v>15179</v>
      </c>
      <c r="AK552" s="50" t="s">
        <v>15179</v>
      </c>
      <c r="AL552" s="50" t="s">
        <v>17199</v>
      </c>
      <c r="AM552" s="50" t="s">
        <v>17199</v>
      </c>
      <c r="AN552" s="50" t="s">
        <v>102</v>
      </c>
      <c r="AO552" s="50" t="s">
        <v>6752</v>
      </c>
      <c r="AP552" s="50" t="s">
        <v>6752</v>
      </c>
      <c r="AU552" s="50" t="s">
        <v>318</v>
      </c>
      <c r="AV552" s="50" t="s">
        <v>250</v>
      </c>
      <c r="AW552" s="50" t="s">
        <v>102</v>
      </c>
      <c r="AX552" s="50" t="s">
        <v>119</v>
      </c>
      <c r="BB552" s="50" t="s">
        <v>120</v>
      </c>
      <c r="BC552" s="50" t="s">
        <v>7718</v>
      </c>
      <c r="BD552" s="50" t="s">
        <v>211</v>
      </c>
      <c r="BE552" s="50" t="s">
        <v>212</v>
      </c>
      <c r="BF552" s="50" t="s">
        <v>213</v>
      </c>
      <c r="BG552" s="50" t="s">
        <v>124</v>
      </c>
      <c r="BH552" s="50" t="s">
        <v>8258</v>
      </c>
      <c r="BI552" s="50" t="s">
        <v>11889</v>
      </c>
      <c r="BJ552" s="50" t="s">
        <v>127</v>
      </c>
      <c r="BK552" s="50" t="s">
        <v>17200</v>
      </c>
      <c r="BL552" s="50" t="s">
        <v>7721</v>
      </c>
      <c r="BM552" s="50" t="s">
        <v>17201</v>
      </c>
      <c r="BN552" s="50" t="s">
        <v>8258</v>
      </c>
      <c r="BO552" s="50" t="s">
        <v>1309</v>
      </c>
      <c r="BP552" s="50" t="s">
        <v>180</v>
      </c>
      <c r="BQ552" s="50" t="s">
        <v>1310</v>
      </c>
      <c r="BR552" s="50" t="s">
        <v>1311</v>
      </c>
      <c r="BS552" s="50" t="s">
        <v>1312</v>
      </c>
      <c r="BT552" s="50" t="s">
        <v>900</v>
      </c>
      <c r="BU552" s="50" t="s">
        <v>17202</v>
      </c>
      <c r="BV552" s="50" t="s">
        <v>17203</v>
      </c>
      <c r="BW552" s="50" t="s">
        <v>138</v>
      </c>
      <c r="BX552" s="50" t="s">
        <v>7725</v>
      </c>
      <c r="BY552" s="50" t="s">
        <v>7726</v>
      </c>
      <c r="BZ552" s="50" t="s">
        <v>7727</v>
      </c>
      <c r="CA552" s="50" t="s">
        <v>17203</v>
      </c>
      <c r="CB552" s="50" t="s">
        <v>7725</v>
      </c>
      <c r="CC552" s="50" t="s">
        <v>7726</v>
      </c>
      <c r="CD552" s="50" t="s">
        <v>8017</v>
      </c>
      <c r="CE552" s="50" t="s">
        <v>17204</v>
      </c>
      <c r="CF552" s="50" t="s">
        <v>17205</v>
      </c>
      <c r="CG552" s="50" t="s">
        <v>5811</v>
      </c>
      <c r="CH552" s="50" t="s">
        <v>17206</v>
      </c>
      <c r="CJ552" s="50" t="s">
        <v>5392</v>
      </c>
      <c r="CK552" s="50" t="s">
        <v>7728</v>
      </c>
      <c r="CL552" s="50" t="s">
        <v>7718</v>
      </c>
      <c r="CM552" s="50" t="s">
        <v>211</v>
      </c>
      <c r="CN552" s="50" t="s">
        <v>5392</v>
      </c>
      <c r="CP552" s="50" t="s">
        <v>7728</v>
      </c>
      <c r="CQ552" s="50" t="s">
        <v>7728</v>
      </c>
    </row>
    <row r="553" spans="1:96">
      <c r="A553" s="50" t="s">
        <v>337</v>
      </c>
      <c r="B553" s="50">
        <v>5017985</v>
      </c>
      <c r="C553" s="50" t="s">
        <v>11995</v>
      </c>
      <c r="D553" s="50" t="s">
        <v>9747</v>
      </c>
      <c r="E553" s="50" t="str">
        <f>VLOOKUP(B553,aa!B:F,5,0)</f>
        <v>Ei Mindspark</v>
      </c>
      <c r="F553" s="50">
        <f>VLOOKUP(B553,aa!B:J,9,0)</f>
        <v>565960</v>
      </c>
      <c r="G553" s="50">
        <f>VLOOKUP(B553,aa!B:L,11,0)</f>
        <v>0</v>
      </c>
      <c r="H553" s="50">
        <f>VLOOKUP(B553,aa!B:O,14,0)</f>
        <v>0</v>
      </c>
      <c r="I553" s="50">
        <f>VLOOKUP(B553,aa!B:R,17,0)</f>
        <v>565960</v>
      </c>
      <c r="K553" s="50" t="s">
        <v>848</v>
      </c>
      <c r="L553" s="50">
        <v>331188</v>
      </c>
      <c r="M553" s="50">
        <v>390802</v>
      </c>
      <c r="N553" s="50">
        <v>0</v>
      </c>
      <c r="O553" s="50">
        <v>0</v>
      </c>
      <c r="Q553" s="50">
        <v>0</v>
      </c>
      <c r="R553" s="50">
        <v>0</v>
      </c>
      <c r="T553" s="50">
        <v>331188</v>
      </c>
      <c r="U553" s="50">
        <v>138</v>
      </c>
      <c r="V553" s="50" t="s">
        <v>4372</v>
      </c>
      <c r="W553" s="50" t="s">
        <v>102</v>
      </c>
      <c r="X553" s="50" t="s">
        <v>275</v>
      </c>
      <c r="Z553" s="50" t="s">
        <v>126</v>
      </c>
      <c r="AA553" s="50" t="s">
        <v>109</v>
      </c>
      <c r="AB553" s="50" t="s">
        <v>102</v>
      </c>
      <c r="AC553" s="50" t="s">
        <v>109</v>
      </c>
      <c r="AD553" s="50" t="s">
        <v>102</v>
      </c>
      <c r="AE553" s="50" t="s">
        <v>109</v>
      </c>
      <c r="AF553" s="50" t="s">
        <v>102</v>
      </c>
      <c r="AG553" s="50" t="s">
        <v>109</v>
      </c>
      <c r="AH553" s="50" t="s">
        <v>102</v>
      </c>
      <c r="AI553" s="50" t="s">
        <v>102</v>
      </c>
      <c r="AJ553" s="50" t="s">
        <v>15179</v>
      </c>
      <c r="AK553" s="50" t="s">
        <v>15179</v>
      </c>
      <c r="AL553" s="50" t="s">
        <v>19300</v>
      </c>
      <c r="AM553" s="50" t="s">
        <v>19300</v>
      </c>
      <c r="AN553" s="50" t="s">
        <v>102</v>
      </c>
      <c r="AO553" s="50" t="s">
        <v>19301</v>
      </c>
      <c r="AP553" s="50" t="s">
        <v>19302</v>
      </c>
      <c r="AQ553" s="50" t="s">
        <v>343</v>
      </c>
      <c r="AU553" s="50" t="s">
        <v>102</v>
      </c>
      <c r="AW553" s="50" t="s">
        <v>102</v>
      </c>
      <c r="AX553" s="50" t="s">
        <v>119</v>
      </c>
      <c r="BA553" s="50" t="s">
        <v>250</v>
      </c>
      <c r="BB553" s="50" t="s">
        <v>120</v>
      </c>
      <c r="BC553" s="50" t="s">
        <v>284</v>
      </c>
      <c r="BD553" s="50" t="s">
        <v>285</v>
      </c>
      <c r="BE553" s="50" t="s">
        <v>212</v>
      </c>
      <c r="BF553" s="50" t="s">
        <v>286</v>
      </c>
      <c r="BG553" s="50" t="s">
        <v>124</v>
      </c>
      <c r="BH553" s="50" t="s">
        <v>11976</v>
      </c>
      <c r="BI553" s="50" t="s">
        <v>19303</v>
      </c>
      <c r="BJ553" s="50" t="s">
        <v>127</v>
      </c>
      <c r="BK553" s="50" t="s">
        <v>19304</v>
      </c>
      <c r="BL553" s="50" t="s">
        <v>19305</v>
      </c>
      <c r="BM553" s="50" t="s">
        <v>19306</v>
      </c>
      <c r="BN553" s="50" t="s">
        <v>8258</v>
      </c>
      <c r="BO553" s="50" t="s">
        <v>3997</v>
      </c>
      <c r="BP553" s="50" t="s">
        <v>258</v>
      </c>
      <c r="BQ553" s="50" t="s">
        <v>3998</v>
      </c>
      <c r="BR553" s="50" t="s">
        <v>3999</v>
      </c>
      <c r="BS553" s="50" t="s">
        <v>3362</v>
      </c>
      <c r="BU553" s="50" t="s">
        <v>19307</v>
      </c>
      <c r="BV553" s="50" t="s">
        <v>19308</v>
      </c>
      <c r="BW553" s="50" t="s">
        <v>138</v>
      </c>
      <c r="BX553" s="50" t="s">
        <v>19309</v>
      </c>
      <c r="BY553" s="50" t="s">
        <v>19310</v>
      </c>
      <c r="BZ553" s="50" t="s">
        <v>19309</v>
      </c>
      <c r="CA553" s="50" t="s">
        <v>19308</v>
      </c>
      <c r="CB553" s="50" t="s">
        <v>19309</v>
      </c>
      <c r="CC553" s="50" t="s">
        <v>19310</v>
      </c>
      <c r="CD553" s="50" t="s">
        <v>19311</v>
      </c>
      <c r="CE553" s="50" t="s">
        <v>19312</v>
      </c>
      <c r="CF553" s="50" t="s">
        <v>19313</v>
      </c>
      <c r="CG553" s="50" t="s">
        <v>102</v>
      </c>
      <c r="CH553" s="50" t="s">
        <v>19314</v>
      </c>
      <c r="CJ553" s="50" t="s">
        <v>19315</v>
      </c>
      <c r="CK553" s="50" t="s">
        <v>19316</v>
      </c>
      <c r="CL553" s="50" t="s">
        <v>284</v>
      </c>
      <c r="CM553" s="50" t="s">
        <v>285</v>
      </c>
      <c r="CN553" s="50" t="s">
        <v>19317</v>
      </c>
      <c r="CP553" s="50" t="s">
        <v>19318</v>
      </c>
      <c r="CQ553" s="50" t="s">
        <v>19319</v>
      </c>
    </row>
    <row r="554" spans="1:96">
      <c r="A554" s="50" t="s">
        <v>337</v>
      </c>
      <c r="B554" s="50">
        <v>5052054</v>
      </c>
      <c r="C554" s="50" t="s">
        <v>632</v>
      </c>
      <c r="D554" s="50" t="s">
        <v>20537</v>
      </c>
      <c r="E554" s="50" t="e">
        <f>VLOOKUP(B554,aa!B:F,5,0)</f>
        <v>#N/A</v>
      </c>
      <c r="F554" s="50" t="e">
        <f>VLOOKUP(B554,aa!B:J,9,0)</f>
        <v>#N/A</v>
      </c>
      <c r="G554" s="50" t="e">
        <f>VLOOKUP(B554,aa!B:L,11,0)</f>
        <v>#N/A</v>
      </c>
      <c r="H554" s="50" t="e">
        <f>VLOOKUP(B554,aa!B:O,14,0)</f>
        <v>#N/A</v>
      </c>
      <c r="I554" s="50" t="e">
        <f>VLOOKUP(B554,aa!B:R,17,0)</f>
        <v>#N/A</v>
      </c>
      <c r="K554" s="50" t="s">
        <v>97</v>
      </c>
      <c r="L554" s="50">
        <v>926886</v>
      </c>
      <c r="M554" s="50">
        <v>926886</v>
      </c>
      <c r="N554" s="50">
        <v>926886</v>
      </c>
      <c r="O554" s="50">
        <v>1426</v>
      </c>
      <c r="P554" s="50" t="s">
        <v>1122</v>
      </c>
      <c r="Q554" s="50">
        <v>0</v>
      </c>
      <c r="R554" s="50">
        <v>0</v>
      </c>
      <c r="T554" s="50">
        <v>0</v>
      </c>
      <c r="U554" s="50">
        <v>0</v>
      </c>
      <c r="W554" s="50" t="s">
        <v>102</v>
      </c>
      <c r="X554" s="50" t="s">
        <v>275</v>
      </c>
      <c r="Z554" s="50" t="s">
        <v>17874</v>
      </c>
      <c r="AA554" s="50" t="s">
        <v>109</v>
      </c>
      <c r="AB554" s="50" t="s">
        <v>102</v>
      </c>
      <c r="AC554" s="50" t="s">
        <v>109</v>
      </c>
      <c r="AD554" s="50" t="s">
        <v>102</v>
      </c>
      <c r="AE554" s="50" t="s">
        <v>109</v>
      </c>
      <c r="AF554" s="50" t="s">
        <v>102</v>
      </c>
      <c r="AG554" s="50" t="s">
        <v>109</v>
      </c>
      <c r="AH554" s="50" t="s">
        <v>102</v>
      </c>
      <c r="AI554" s="50" t="s">
        <v>102</v>
      </c>
      <c r="AL554" s="50" t="s">
        <v>20538</v>
      </c>
      <c r="AM554" s="50" t="s">
        <v>102</v>
      </c>
      <c r="AN554" s="50" t="s">
        <v>20538</v>
      </c>
      <c r="AO554" s="50" t="s">
        <v>20539</v>
      </c>
      <c r="AP554" s="50" t="s">
        <v>20539</v>
      </c>
      <c r="AU554" s="50" t="s">
        <v>117</v>
      </c>
      <c r="AV554" s="50" t="s">
        <v>118</v>
      </c>
      <c r="AW554" s="50" t="s">
        <v>102</v>
      </c>
      <c r="AX554" s="50" t="s">
        <v>119</v>
      </c>
      <c r="AZ554" s="50" t="s">
        <v>118</v>
      </c>
      <c r="BB554" s="50" t="s">
        <v>1964</v>
      </c>
      <c r="BC554" s="50" t="s">
        <v>623</v>
      </c>
      <c r="BD554" s="50" t="s">
        <v>621</v>
      </c>
      <c r="BE554" s="50" t="s">
        <v>622</v>
      </c>
      <c r="BF554" s="50" t="s">
        <v>623</v>
      </c>
      <c r="BG554" s="50" t="s">
        <v>124</v>
      </c>
      <c r="BH554" s="50" t="s">
        <v>9460</v>
      </c>
      <c r="BI554" s="50" t="s">
        <v>1427</v>
      </c>
      <c r="BJ554" s="50" t="s">
        <v>127</v>
      </c>
      <c r="BK554" s="50" t="s">
        <v>20540</v>
      </c>
      <c r="BL554" s="50" t="s">
        <v>20541</v>
      </c>
      <c r="BM554" s="50" t="s">
        <v>20542</v>
      </c>
      <c r="BN554" s="50" t="s">
        <v>8258</v>
      </c>
      <c r="BO554" s="50" t="s">
        <v>2284</v>
      </c>
      <c r="BP554" s="50" t="s">
        <v>132</v>
      </c>
      <c r="BQ554" s="50" t="s">
        <v>2285</v>
      </c>
      <c r="BR554" s="50" t="s">
        <v>2286</v>
      </c>
      <c r="BS554" s="50" t="s">
        <v>1342</v>
      </c>
      <c r="BU554" s="50" t="s">
        <v>20543</v>
      </c>
      <c r="BV554" s="50" t="s">
        <v>20544</v>
      </c>
      <c r="BW554" s="50" t="s">
        <v>138</v>
      </c>
      <c r="BX554" s="50" t="s">
        <v>20545</v>
      </c>
      <c r="BY554" s="50" t="s">
        <v>20546</v>
      </c>
      <c r="BZ554" s="50" t="s">
        <v>20547</v>
      </c>
      <c r="CA554" s="50" t="s">
        <v>20548</v>
      </c>
      <c r="CB554" s="50" t="s">
        <v>20545</v>
      </c>
      <c r="CC554" s="50" t="s">
        <v>20546</v>
      </c>
      <c r="CD554" s="50" t="s">
        <v>20548</v>
      </c>
      <c r="CE554" s="50" t="s">
        <v>20545</v>
      </c>
      <c r="CF554" s="50" t="s">
        <v>20546</v>
      </c>
      <c r="CG554" s="50" t="s">
        <v>9607</v>
      </c>
      <c r="CH554" s="50" t="s">
        <v>20549</v>
      </c>
      <c r="CJ554" s="50" t="s">
        <v>20550</v>
      </c>
      <c r="CK554" s="50" t="s">
        <v>20549</v>
      </c>
      <c r="CL554" s="50" t="s">
        <v>623</v>
      </c>
      <c r="CM554" s="50" t="s">
        <v>621</v>
      </c>
      <c r="CN554" s="50" t="s">
        <v>20550</v>
      </c>
      <c r="CP554" s="50" t="s">
        <v>20549</v>
      </c>
      <c r="CQ554" s="50" t="s">
        <v>20549</v>
      </c>
    </row>
    <row r="555" spans="1:96">
      <c r="A555" s="50" t="s">
        <v>149</v>
      </c>
      <c r="B555" s="50">
        <v>42625</v>
      </c>
      <c r="C555" s="50" t="s">
        <v>12030</v>
      </c>
      <c r="D555" s="50" t="s">
        <v>8921</v>
      </c>
      <c r="E555" s="50" t="str">
        <f>VLOOKUP(B555,aa!B:F,5,0)</f>
        <v>Ei CARES</v>
      </c>
      <c r="F555" s="50">
        <f>VLOOKUP(B555,aa!B:J,9,0)</f>
        <v>1713333</v>
      </c>
      <c r="G555" s="50">
        <f>VLOOKUP(B555,aa!B:L,11,0)</f>
        <v>0</v>
      </c>
      <c r="H555" s="50">
        <f>VLOOKUP(B555,aa!B:O,14,0)</f>
        <v>1713333</v>
      </c>
      <c r="I555" s="50">
        <f>VLOOKUP(B555,aa!B:R,17,0)</f>
        <v>0</v>
      </c>
      <c r="K555" s="50" t="s">
        <v>152</v>
      </c>
      <c r="L555" s="50">
        <v>1314840</v>
      </c>
      <c r="M555" s="50">
        <v>1314840</v>
      </c>
      <c r="N555" s="50">
        <v>0</v>
      </c>
      <c r="O555" s="50">
        <v>0</v>
      </c>
      <c r="Q555" s="50">
        <v>1314840</v>
      </c>
      <c r="R555" s="50">
        <v>915</v>
      </c>
      <c r="S555" s="50" t="s">
        <v>18300</v>
      </c>
      <c r="T555" s="50">
        <v>0</v>
      </c>
      <c r="U555" s="50">
        <v>0</v>
      </c>
      <c r="W555" s="50" t="s">
        <v>102</v>
      </c>
      <c r="X555" s="50" t="s">
        <v>103</v>
      </c>
      <c r="Y555" s="50" t="s">
        <v>398</v>
      </c>
      <c r="AA555" s="50" t="s">
        <v>12289</v>
      </c>
      <c r="AB555" s="50" t="s">
        <v>18301</v>
      </c>
      <c r="AC555" s="50" t="s">
        <v>1427</v>
      </c>
      <c r="AD555" s="50" t="s">
        <v>18302</v>
      </c>
      <c r="AE555" s="50" t="s">
        <v>6895</v>
      </c>
      <c r="AF555" s="50" t="s">
        <v>18302</v>
      </c>
      <c r="AG555" s="50" t="s">
        <v>109</v>
      </c>
      <c r="AH555" s="50" t="s">
        <v>102</v>
      </c>
      <c r="AI555" s="50" t="s">
        <v>18303</v>
      </c>
      <c r="AJ555" s="50" t="s">
        <v>12838</v>
      </c>
      <c r="AK555" s="50" t="s">
        <v>15733</v>
      </c>
      <c r="AL555" s="50" t="s">
        <v>18304</v>
      </c>
      <c r="AM555" s="50" t="s">
        <v>18305</v>
      </c>
      <c r="AN555" s="50" t="s">
        <v>18306</v>
      </c>
      <c r="AO555" s="50" t="s">
        <v>18307</v>
      </c>
      <c r="AP555" s="50" t="s">
        <v>18307</v>
      </c>
      <c r="AU555" s="50" t="s">
        <v>102</v>
      </c>
      <c r="AW555" s="50" t="s">
        <v>1758</v>
      </c>
      <c r="AX555" s="50" t="s">
        <v>119</v>
      </c>
      <c r="AY555" s="50" t="s">
        <v>170</v>
      </c>
      <c r="AZ555" s="50" t="s">
        <v>118</v>
      </c>
      <c r="BB555" s="50" t="s">
        <v>120</v>
      </c>
      <c r="BC555" s="50" t="s">
        <v>8930</v>
      </c>
      <c r="BD555" s="50" t="s">
        <v>2800</v>
      </c>
      <c r="BE555" s="50" t="s">
        <v>122</v>
      </c>
      <c r="BF555" s="50" t="s">
        <v>346</v>
      </c>
      <c r="BG555" s="50" t="s">
        <v>124</v>
      </c>
      <c r="BH555" s="50" t="s">
        <v>12023</v>
      </c>
      <c r="BI555" s="50" t="s">
        <v>11889</v>
      </c>
      <c r="BJ555" s="50" t="s">
        <v>127</v>
      </c>
      <c r="BK555" s="50" t="s">
        <v>18308</v>
      </c>
      <c r="BL555" s="50" t="s">
        <v>8932</v>
      </c>
      <c r="BM555" s="50" t="s">
        <v>18309</v>
      </c>
      <c r="BN555" s="50" t="s">
        <v>12429</v>
      </c>
      <c r="BO555" s="50" t="s">
        <v>593</v>
      </c>
      <c r="BP555" s="50" t="s">
        <v>505</v>
      </c>
      <c r="BQ555" s="50" t="s">
        <v>594</v>
      </c>
      <c r="BR555" s="50" t="s">
        <v>595</v>
      </c>
      <c r="BS555" s="50" t="s">
        <v>328</v>
      </c>
      <c r="BU555" s="50" t="s">
        <v>18310</v>
      </c>
      <c r="BV555" s="50" t="s">
        <v>8935</v>
      </c>
      <c r="BW555" s="50" t="s">
        <v>598</v>
      </c>
      <c r="BX555" s="50" t="s">
        <v>8936</v>
      </c>
      <c r="BY555" s="50" t="s">
        <v>8937</v>
      </c>
      <c r="BZ555" s="50" t="s">
        <v>8938</v>
      </c>
      <c r="CA555" s="50" t="s">
        <v>18311</v>
      </c>
      <c r="CB555" s="50" t="s">
        <v>18312</v>
      </c>
      <c r="CC555" s="50" t="s">
        <v>18313</v>
      </c>
      <c r="CD555" s="50" t="s">
        <v>18314</v>
      </c>
      <c r="CE555" s="50" t="s">
        <v>18315</v>
      </c>
      <c r="CF555" s="50" t="s">
        <v>18316</v>
      </c>
      <c r="CG555" s="50" t="s">
        <v>102</v>
      </c>
      <c r="CH555" s="50" t="s">
        <v>8939</v>
      </c>
      <c r="CJ555" s="50" t="s">
        <v>8940</v>
      </c>
      <c r="CL555" s="50" t="s">
        <v>8930</v>
      </c>
      <c r="CM555" s="50" t="s">
        <v>2800</v>
      </c>
      <c r="CN555" s="50" t="s">
        <v>8940</v>
      </c>
      <c r="CO555" s="50" t="s">
        <v>8941</v>
      </c>
      <c r="CP555" s="50" t="s">
        <v>8939</v>
      </c>
      <c r="CQ555" s="50" t="s">
        <v>8939</v>
      </c>
    </row>
    <row r="556" spans="1:96">
      <c r="A556" s="50" t="s">
        <v>337</v>
      </c>
      <c r="B556" s="50">
        <v>5063250</v>
      </c>
      <c r="C556" s="50" t="s">
        <v>20687</v>
      </c>
      <c r="D556" s="50" t="s">
        <v>20686</v>
      </c>
      <c r="E556" s="50" t="e">
        <f>VLOOKUP(B556,aa!B:F,5,0)</f>
        <v>#N/A</v>
      </c>
      <c r="F556" s="50" t="e">
        <f>VLOOKUP(B556,aa!B:J,9,0)</f>
        <v>#N/A</v>
      </c>
      <c r="G556" s="50" t="e">
        <f>VLOOKUP(B556,aa!B:L,11,0)</f>
        <v>#N/A</v>
      </c>
      <c r="H556" s="50" t="e">
        <f>VLOOKUP(B556,aa!B:O,14,0)</f>
        <v>#N/A</v>
      </c>
      <c r="I556" s="50" t="e">
        <f>VLOOKUP(B556,aa!B:R,17,0)</f>
        <v>#N/A</v>
      </c>
      <c r="K556" s="50" t="s">
        <v>9078</v>
      </c>
      <c r="L556" s="50">
        <v>54094</v>
      </c>
      <c r="M556" s="50">
        <v>60896</v>
      </c>
      <c r="N556" s="50">
        <v>8670</v>
      </c>
      <c r="O556" s="50">
        <v>23</v>
      </c>
      <c r="P556" s="50" t="s">
        <v>20689</v>
      </c>
      <c r="Q556" s="50">
        <v>7637</v>
      </c>
      <c r="R556" s="50">
        <v>21</v>
      </c>
      <c r="S556" s="50" t="s">
        <v>20690</v>
      </c>
      <c r="T556" s="50">
        <v>37787</v>
      </c>
      <c r="U556" s="50">
        <v>36</v>
      </c>
      <c r="V556" s="50" t="s">
        <v>20691</v>
      </c>
      <c r="W556" s="50" t="s">
        <v>102</v>
      </c>
      <c r="X556" s="50" t="s">
        <v>275</v>
      </c>
      <c r="Z556" s="50" t="s">
        <v>20692</v>
      </c>
      <c r="AA556" s="50" t="s">
        <v>109</v>
      </c>
      <c r="AB556" s="50" t="s">
        <v>102</v>
      </c>
      <c r="AC556" s="50" t="s">
        <v>109</v>
      </c>
      <c r="AD556" s="50" t="s">
        <v>102</v>
      </c>
      <c r="AE556" s="50" t="s">
        <v>109</v>
      </c>
      <c r="AF556" s="50" t="s">
        <v>102</v>
      </c>
      <c r="AG556" s="50" t="s">
        <v>109</v>
      </c>
      <c r="AH556" s="50" t="s">
        <v>102</v>
      </c>
      <c r="AI556" s="50" t="s">
        <v>102</v>
      </c>
      <c r="AL556" s="50" t="s">
        <v>20693</v>
      </c>
      <c r="AM556" s="50" t="s">
        <v>102</v>
      </c>
      <c r="AN556" s="50" t="s">
        <v>20693</v>
      </c>
      <c r="AO556" s="50" t="s">
        <v>20694</v>
      </c>
      <c r="AP556" s="50" t="s">
        <v>20694</v>
      </c>
      <c r="AU556" s="50" t="s">
        <v>6700</v>
      </c>
      <c r="AV556" s="50" t="s">
        <v>250</v>
      </c>
      <c r="AW556" s="50" t="s">
        <v>1103</v>
      </c>
      <c r="AX556" s="50" t="s">
        <v>249</v>
      </c>
      <c r="AZ556" s="50" t="s">
        <v>250</v>
      </c>
      <c r="BA556" s="50" t="s">
        <v>250</v>
      </c>
      <c r="BB556" s="50" t="s">
        <v>1964</v>
      </c>
      <c r="BC556" s="50" t="s">
        <v>375</v>
      </c>
      <c r="BD556" s="50" t="s">
        <v>376</v>
      </c>
      <c r="BE556" s="50" t="s">
        <v>174</v>
      </c>
      <c r="BF556" s="50" t="s">
        <v>376</v>
      </c>
      <c r="BG556" s="50" t="s">
        <v>124</v>
      </c>
      <c r="BH556" s="50" t="s">
        <v>20695</v>
      </c>
      <c r="BI556" s="50" t="s">
        <v>20696</v>
      </c>
      <c r="BJ556" s="50" t="s">
        <v>127</v>
      </c>
      <c r="BK556" s="50" t="s">
        <v>20697</v>
      </c>
      <c r="BL556" s="50" t="s">
        <v>20698</v>
      </c>
      <c r="BM556" s="50" t="s">
        <v>20699</v>
      </c>
      <c r="BN556" s="50" t="s">
        <v>20688</v>
      </c>
      <c r="BO556" s="50" t="s">
        <v>179</v>
      </c>
      <c r="BP556" s="50" t="s">
        <v>7992</v>
      </c>
      <c r="BQ556" s="50" t="s">
        <v>181</v>
      </c>
      <c r="BR556" s="50" t="s">
        <v>182</v>
      </c>
      <c r="BS556" s="50" t="s">
        <v>1858</v>
      </c>
      <c r="BU556" s="50" t="s">
        <v>20700</v>
      </c>
      <c r="BV556" s="50" t="s">
        <v>20701</v>
      </c>
      <c r="BW556" s="50" t="s">
        <v>138</v>
      </c>
      <c r="BX556" s="50" t="s">
        <v>20702</v>
      </c>
      <c r="BY556" s="50" t="s">
        <v>20703</v>
      </c>
      <c r="BZ556" s="50" t="s">
        <v>20704</v>
      </c>
      <c r="CA556" s="50" t="s">
        <v>20701</v>
      </c>
      <c r="CB556" s="50" t="s">
        <v>20705</v>
      </c>
      <c r="CC556" s="50" t="s">
        <v>20703</v>
      </c>
      <c r="CD556" s="50" t="s">
        <v>20701</v>
      </c>
      <c r="CE556" s="50" t="s">
        <v>20705</v>
      </c>
      <c r="CF556" s="50" t="s">
        <v>20703</v>
      </c>
      <c r="CG556" s="50" t="s">
        <v>102</v>
      </c>
      <c r="CH556" s="50" t="s">
        <v>20686</v>
      </c>
      <c r="CJ556" s="50" t="s">
        <v>20706</v>
      </c>
      <c r="CL556" s="50" t="s">
        <v>375</v>
      </c>
      <c r="CM556" s="50" t="s">
        <v>376</v>
      </c>
      <c r="CN556" s="50" t="s">
        <v>20706</v>
      </c>
      <c r="CP556" s="50" t="s">
        <v>20707</v>
      </c>
      <c r="CQ556" s="50" t="s">
        <v>20707</v>
      </c>
      <c r="CR556" s="50" t="s">
        <v>26048</v>
      </c>
    </row>
    <row r="557" spans="1:96">
      <c r="A557" s="50" t="s">
        <v>337</v>
      </c>
      <c r="B557" s="50">
        <v>5064415</v>
      </c>
      <c r="C557" s="50" t="s">
        <v>20687</v>
      </c>
      <c r="D557" s="50" t="s">
        <v>20723</v>
      </c>
      <c r="E557" s="50" t="e">
        <f>VLOOKUP(B557,aa!B:F,5,0)</f>
        <v>#N/A</v>
      </c>
      <c r="F557" s="50" t="e">
        <f>VLOOKUP(B557,aa!B:J,9,0)</f>
        <v>#N/A</v>
      </c>
      <c r="G557" s="50" t="e">
        <f>VLOOKUP(B557,aa!B:L,11,0)</f>
        <v>#N/A</v>
      </c>
      <c r="H557" s="50" t="e">
        <f>VLOOKUP(B557,aa!B:O,14,0)</f>
        <v>#N/A</v>
      </c>
      <c r="I557" s="50" t="e">
        <f>VLOOKUP(B557,aa!B:R,17,0)</f>
        <v>#N/A</v>
      </c>
      <c r="K557" s="50" t="s">
        <v>2884</v>
      </c>
      <c r="L557" s="50">
        <v>0</v>
      </c>
      <c r="M557" s="50">
        <v>0</v>
      </c>
      <c r="N557" s="50">
        <v>0</v>
      </c>
      <c r="O557" s="50">
        <v>13</v>
      </c>
      <c r="P557" s="50" t="s">
        <v>102</v>
      </c>
      <c r="Q557" s="50">
        <v>0</v>
      </c>
      <c r="R557" s="50">
        <v>22</v>
      </c>
      <c r="S557" s="50" t="s">
        <v>102</v>
      </c>
      <c r="T557" s="50">
        <v>0</v>
      </c>
      <c r="U557" s="50">
        <v>26</v>
      </c>
      <c r="V557" s="50" t="s">
        <v>102</v>
      </c>
      <c r="W557" s="50" t="s">
        <v>102</v>
      </c>
      <c r="X557" s="50" t="s">
        <v>275</v>
      </c>
      <c r="Z557" s="50" t="s">
        <v>20725</v>
      </c>
      <c r="AA557" s="50" t="s">
        <v>109</v>
      </c>
      <c r="AB557" s="50" t="s">
        <v>102</v>
      </c>
      <c r="AC557" s="50" t="s">
        <v>109</v>
      </c>
      <c r="AD557" s="50" t="s">
        <v>102</v>
      </c>
      <c r="AE557" s="50" t="s">
        <v>109</v>
      </c>
      <c r="AF557" s="50" t="s">
        <v>102</v>
      </c>
      <c r="AG557" s="50" t="s">
        <v>109</v>
      </c>
      <c r="AH557" s="50" t="s">
        <v>102</v>
      </c>
      <c r="AI557" s="50" t="s">
        <v>102</v>
      </c>
      <c r="AL557" s="50" t="s">
        <v>102</v>
      </c>
      <c r="AM557" s="50" t="s">
        <v>102</v>
      </c>
      <c r="AN557" s="50" t="s">
        <v>102</v>
      </c>
      <c r="AO557" s="50" t="s">
        <v>115</v>
      </c>
      <c r="AP557" s="50" t="s">
        <v>115</v>
      </c>
      <c r="AU557" s="50" t="s">
        <v>6700</v>
      </c>
      <c r="AV557" s="50" t="s">
        <v>250</v>
      </c>
      <c r="AW557" s="50" t="s">
        <v>104</v>
      </c>
      <c r="AX557" s="50" t="s">
        <v>447</v>
      </c>
      <c r="AZ557" s="50" t="s">
        <v>250</v>
      </c>
      <c r="BA557" s="50" t="s">
        <v>250</v>
      </c>
      <c r="BB557" s="50" t="s">
        <v>1964</v>
      </c>
      <c r="BC557" s="50" t="s">
        <v>375</v>
      </c>
      <c r="BD557" s="50" t="s">
        <v>376</v>
      </c>
      <c r="BE557" s="50" t="s">
        <v>174</v>
      </c>
      <c r="BF557" s="50" t="s">
        <v>376</v>
      </c>
      <c r="BG557" s="50" t="s">
        <v>124</v>
      </c>
      <c r="BH557" s="50" t="s">
        <v>12836</v>
      </c>
      <c r="BI557" s="50" t="s">
        <v>11889</v>
      </c>
      <c r="BJ557" s="50" t="s">
        <v>127</v>
      </c>
      <c r="BK557" s="50" t="s">
        <v>20726</v>
      </c>
      <c r="BL557" s="50" t="s">
        <v>20727</v>
      </c>
      <c r="BM557" s="50" t="s">
        <v>20728</v>
      </c>
      <c r="BN557" s="50" t="s">
        <v>20724</v>
      </c>
      <c r="BO557" s="50" t="s">
        <v>179</v>
      </c>
      <c r="BP557" s="50" t="s">
        <v>505</v>
      </c>
      <c r="BQ557" s="50" t="s">
        <v>181</v>
      </c>
      <c r="BR557" s="50" t="s">
        <v>182</v>
      </c>
      <c r="BS557" s="50" t="s">
        <v>1858</v>
      </c>
      <c r="BU557" s="50" t="s">
        <v>20729</v>
      </c>
      <c r="BV557" s="50" t="s">
        <v>224</v>
      </c>
      <c r="BW557" s="50" t="s">
        <v>1282</v>
      </c>
      <c r="BX557" s="50" t="s">
        <v>225</v>
      </c>
      <c r="BY557" s="50" t="s">
        <v>10475</v>
      </c>
      <c r="BZ557" s="50" t="s">
        <v>20704</v>
      </c>
      <c r="CA557" s="50" t="s">
        <v>20730</v>
      </c>
      <c r="CB557" s="50" t="s">
        <v>20702</v>
      </c>
      <c r="CC557" s="50" t="s">
        <v>20731</v>
      </c>
      <c r="CD557" s="50" t="s">
        <v>20730</v>
      </c>
      <c r="CE557" s="50" t="s">
        <v>20702</v>
      </c>
      <c r="CF557" s="50" t="s">
        <v>20731</v>
      </c>
      <c r="CG557" s="50" t="s">
        <v>102</v>
      </c>
      <c r="CH557" s="50" t="s">
        <v>20686</v>
      </c>
      <c r="CJ557" s="50" t="s">
        <v>20706</v>
      </c>
      <c r="CL557" s="50" t="s">
        <v>375</v>
      </c>
      <c r="CM557" s="50" t="s">
        <v>376</v>
      </c>
      <c r="CN557" s="50" t="s">
        <v>20706</v>
      </c>
      <c r="CP557" s="50" t="s">
        <v>20707</v>
      </c>
      <c r="CQ557" s="50" t="s">
        <v>20707</v>
      </c>
      <c r="CR557" s="50" t="s">
        <v>26048</v>
      </c>
    </row>
    <row r="558" spans="1:96">
      <c r="A558" s="50" t="s">
        <v>337</v>
      </c>
      <c r="B558" s="50">
        <v>5063726</v>
      </c>
      <c r="C558" s="50" t="s">
        <v>12491</v>
      </c>
      <c r="D558" s="50" t="s">
        <v>20708</v>
      </c>
      <c r="E558" s="50" t="e">
        <f>VLOOKUP(B558,aa!B:F,5,0)</f>
        <v>#N/A</v>
      </c>
      <c r="F558" s="50" t="e">
        <f>VLOOKUP(B558,aa!B:J,9,0)</f>
        <v>#N/A</v>
      </c>
      <c r="G558" s="50" t="e">
        <f>VLOOKUP(B558,aa!B:L,11,0)</f>
        <v>#N/A</v>
      </c>
      <c r="H558" s="50" t="e">
        <f>VLOOKUP(B558,aa!B:O,14,0)</f>
        <v>#N/A</v>
      </c>
      <c r="I558" s="50" t="e">
        <f>VLOOKUP(B558,aa!B:R,17,0)</f>
        <v>#N/A</v>
      </c>
      <c r="K558" s="50" t="s">
        <v>848</v>
      </c>
      <c r="L558" s="50">
        <v>146407</v>
      </c>
      <c r="M558" s="50">
        <v>172760</v>
      </c>
      <c r="N558" s="50">
        <v>0</v>
      </c>
      <c r="O558" s="50">
        <v>0</v>
      </c>
      <c r="Q558" s="50">
        <v>0</v>
      </c>
      <c r="R558" s="50">
        <v>0</v>
      </c>
      <c r="T558" s="50">
        <v>146407</v>
      </c>
      <c r="U558" s="50">
        <v>61</v>
      </c>
      <c r="V558" s="50" t="s">
        <v>4372</v>
      </c>
      <c r="W558" s="50" t="s">
        <v>102</v>
      </c>
      <c r="X558" s="50" t="s">
        <v>103</v>
      </c>
      <c r="Y558" s="50" t="s">
        <v>155</v>
      </c>
      <c r="AA558" s="50" t="s">
        <v>15642</v>
      </c>
      <c r="AB558" s="50" t="s">
        <v>20709</v>
      </c>
      <c r="AC558" s="50" t="s">
        <v>5651</v>
      </c>
      <c r="AD558" s="50" t="s">
        <v>20709</v>
      </c>
      <c r="AE558" s="50" t="s">
        <v>12327</v>
      </c>
      <c r="AF558" s="50" t="s">
        <v>20709</v>
      </c>
      <c r="AG558" s="50" t="s">
        <v>11886</v>
      </c>
      <c r="AH558" s="50" t="s">
        <v>20709</v>
      </c>
      <c r="AI558" s="50" t="s">
        <v>102</v>
      </c>
      <c r="AL558" s="50" t="s">
        <v>20710</v>
      </c>
      <c r="AM558" s="50" t="s">
        <v>102</v>
      </c>
      <c r="AN558" s="50" t="s">
        <v>20710</v>
      </c>
      <c r="AO558" s="50" t="s">
        <v>7699</v>
      </c>
      <c r="AP558" s="50" t="s">
        <v>7699</v>
      </c>
      <c r="AU558" s="50" t="s">
        <v>102</v>
      </c>
      <c r="AW558" s="50" t="s">
        <v>102</v>
      </c>
      <c r="AX558" s="50" t="s">
        <v>119</v>
      </c>
      <c r="BA558" s="50" t="s">
        <v>250</v>
      </c>
      <c r="BB558" s="50" t="s">
        <v>120</v>
      </c>
      <c r="BC558" s="50" t="s">
        <v>20711</v>
      </c>
      <c r="BD558" s="50" t="s">
        <v>1244</v>
      </c>
      <c r="BE558" s="50" t="s">
        <v>122</v>
      </c>
      <c r="BF558" s="50" t="s">
        <v>1244</v>
      </c>
      <c r="BG558" s="50" t="s">
        <v>124</v>
      </c>
      <c r="BH558" s="50" t="s">
        <v>11950</v>
      </c>
      <c r="BI558" s="50" t="s">
        <v>11960</v>
      </c>
      <c r="BJ558" s="50" t="s">
        <v>127</v>
      </c>
      <c r="BK558" s="50" t="s">
        <v>20712</v>
      </c>
      <c r="BL558" s="50" t="s">
        <v>20713</v>
      </c>
      <c r="BM558" s="50" t="s">
        <v>20714</v>
      </c>
      <c r="BN558" s="50" t="s">
        <v>11599</v>
      </c>
      <c r="BO558" s="50" t="s">
        <v>2262</v>
      </c>
      <c r="BP558" s="50" t="s">
        <v>350</v>
      </c>
      <c r="BQ558" s="50" t="s">
        <v>2263</v>
      </c>
      <c r="BR558" s="50" t="s">
        <v>2264</v>
      </c>
      <c r="BS558" s="50" t="s">
        <v>2569</v>
      </c>
      <c r="BT558" s="50" t="s">
        <v>1006</v>
      </c>
      <c r="BU558" s="50" t="s">
        <v>20715</v>
      </c>
      <c r="BV558" s="50" t="s">
        <v>20716</v>
      </c>
      <c r="BW558" s="50" t="s">
        <v>138</v>
      </c>
      <c r="BX558" s="50" t="s">
        <v>2263</v>
      </c>
      <c r="BY558" s="50" t="s">
        <v>20717</v>
      </c>
      <c r="BZ558" s="50" t="s">
        <v>20718</v>
      </c>
      <c r="CA558" s="50" t="s">
        <v>20716</v>
      </c>
      <c r="CB558" s="50" t="s">
        <v>20719</v>
      </c>
      <c r="CC558" s="50" t="s">
        <v>20717</v>
      </c>
      <c r="CD558" s="50" t="s">
        <v>20716</v>
      </c>
      <c r="CE558" s="50" t="s">
        <v>20719</v>
      </c>
      <c r="CF558" s="50" t="s">
        <v>20717</v>
      </c>
      <c r="CG558" s="50" t="s">
        <v>20720</v>
      </c>
      <c r="CH558" s="50" t="s">
        <v>20721</v>
      </c>
      <c r="CJ558" s="50" t="s">
        <v>20722</v>
      </c>
      <c r="CK558" s="50" t="s">
        <v>20721</v>
      </c>
      <c r="CL558" s="50" t="s">
        <v>20711</v>
      </c>
      <c r="CM558" s="50" t="s">
        <v>1244</v>
      </c>
      <c r="CN558" s="50" t="s">
        <v>20722</v>
      </c>
      <c r="CP558" s="50" t="s">
        <v>20711</v>
      </c>
      <c r="CQ558" s="50" t="s">
        <v>20711</v>
      </c>
    </row>
    <row r="559" spans="1:96">
      <c r="A559" s="50" t="s">
        <v>93</v>
      </c>
      <c r="B559" s="50">
        <v>3328278</v>
      </c>
      <c r="C559" s="50" t="s">
        <v>183</v>
      </c>
      <c r="D559" s="50" t="s">
        <v>5545</v>
      </c>
      <c r="E559" s="50" t="e">
        <f>VLOOKUP(B559,aa!B:F,5,0)</f>
        <v>#N/A</v>
      </c>
      <c r="F559" s="50" t="e">
        <f>VLOOKUP(B559,aa!B:J,9,0)</f>
        <v>#N/A</v>
      </c>
      <c r="G559" s="50" t="e">
        <f>VLOOKUP(B559,aa!B:L,11,0)</f>
        <v>#N/A</v>
      </c>
      <c r="H559" s="50" t="e">
        <f>VLOOKUP(B559,aa!B:O,14,0)</f>
        <v>#N/A</v>
      </c>
      <c r="I559" s="50" t="e">
        <f>VLOOKUP(B559,aa!B:R,17,0)</f>
        <v>#N/A</v>
      </c>
      <c r="K559" s="50" t="s">
        <v>152</v>
      </c>
      <c r="L559" s="50">
        <v>306576</v>
      </c>
      <c r="M559" s="50">
        <v>306576</v>
      </c>
      <c r="N559" s="50">
        <v>0</v>
      </c>
      <c r="O559" s="50">
        <v>0</v>
      </c>
      <c r="Q559" s="50">
        <v>306576</v>
      </c>
      <c r="R559" s="50">
        <v>383</v>
      </c>
      <c r="S559" s="50" t="s">
        <v>1297</v>
      </c>
      <c r="T559" s="50">
        <v>0</v>
      </c>
      <c r="U559" s="50">
        <v>0</v>
      </c>
      <c r="W559" s="50" t="s">
        <v>102</v>
      </c>
      <c r="X559" s="50" t="s">
        <v>103</v>
      </c>
      <c r="Y559" s="50" t="s">
        <v>155</v>
      </c>
      <c r="AA559" s="50" t="s">
        <v>14534</v>
      </c>
      <c r="AB559" s="50" t="s">
        <v>15643</v>
      </c>
      <c r="AC559" s="50" t="s">
        <v>11888</v>
      </c>
      <c r="AD559" s="50" t="s">
        <v>15643</v>
      </c>
      <c r="AE559" s="50" t="s">
        <v>12084</v>
      </c>
      <c r="AF559" s="50" t="s">
        <v>15643</v>
      </c>
      <c r="AG559" s="50" t="s">
        <v>11886</v>
      </c>
      <c r="AH559" s="50" t="s">
        <v>15643</v>
      </c>
      <c r="AI559" s="50" t="s">
        <v>102</v>
      </c>
      <c r="AJ559" s="50" t="s">
        <v>11599</v>
      </c>
      <c r="AK559" s="50" t="s">
        <v>11599</v>
      </c>
      <c r="AL559" s="50" t="s">
        <v>10267</v>
      </c>
      <c r="AM559" s="50" t="s">
        <v>15643</v>
      </c>
      <c r="AN559" s="50" t="s">
        <v>15644</v>
      </c>
      <c r="AO559" s="50" t="s">
        <v>9157</v>
      </c>
      <c r="AP559" s="50" t="s">
        <v>9157</v>
      </c>
      <c r="AU559" s="50" t="s">
        <v>102</v>
      </c>
      <c r="AW559" s="50" t="s">
        <v>104</v>
      </c>
      <c r="AX559" s="50" t="s">
        <v>119</v>
      </c>
      <c r="AY559" s="50" t="s">
        <v>170</v>
      </c>
      <c r="AZ559" s="50" t="s">
        <v>118</v>
      </c>
      <c r="BB559" s="50" t="s">
        <v>120</v>
      </c>
      <c r="BC559" s="50" t="s">
        <v>5553</v>
      </c>
      <c r="BD559" s="50" t="s">
        <v>1171</v>
      </c>
      <c r="BE559" s="50" t="s">
        <v>174</v>
      </c>
      <c r="BF559" s="50" t="s">
        <v>1172</v>
      </c>
      <c r="BG559" s="50" t="s">
        <v>124</v>
      </c>
      <c r="BH559" s="50" t="s">
        <v>12023</v>
      </c>
      <c r="BI559" s="50" t="s">
        <v>11889</v>
      </c>
      <c r="BJ559" s="50" t="s">
        <v>127</v>
      </c>
      <c r="BK559" s="50" t="s">
        <v>15645</v>
      </c>
      <c r="BL559" s="50" t="s">
        <v>5555</v>
      </c>
      <c r="BM559" s="50" t="s">
        <v>15646</v>
      </c>
      <c r="BN559" s="50" t="s">
        <v>15642</v>
      </c>
      <c r="BO559" s="50" t="s">
        <v>5557</v>
      </c>
      <c r="BP559" s="50" t="s">
        <v>505</v>
      </c>
      <c r="BQ559" s="50" t="s">
        <v>5558</v>
      </c>
      <c r="BR559" s="50" t="s">
        <v>5559</v>
      </c>
      <c r="BS559" s="50" t="s">
        <v>5560</v>
      </c>
      <c r="BU559" s="50" t="s">
        <v>15647</v>
      </c>
      <c r="BV559" s="50" t="s">
        <v>15648</v>
      </c>
      <c r="BW559" s="50" t="s">
        <v>138</v>
      </c>
      <c r="BX559" s="50" t="s">
        <v>5563</v>
      </c>
      <c r="BY559" s="50" t="s">
        <v>5564</v>
      </c>
      <c r="BZ559" s="50" t="s">
        <v>5563</v>
      </c>
      <c r="CA559" s="50" t="s">
        <v>15649</v>
      </c>
      <c r="CB559" s="50" t="s">
        <v>5563</v>
      </c>
      <c r="CC559" s="50" t="s">
        <v>5564</v>
      </c>
      <c r="CD559" s="50" t="s">
        <v>15649</v>
      </c>
      <c r="CE559" s="50" t="s">
        <v>5563</v>
      </c>
      <c r="CF559" s="50" t="s">
        <v>5564</v>
      </c>
      <c r="CG559" s="50" t="s">
        <v>5565</v>
      </c>
      <c r="CH559" s="50" t="s">
        <v>15650</v>
      </c>
      <c r="CJ559" s="50" t="s">
        <v>5567</v>
      </c>
      <c r="CK559" s="50" t="s">
        <v>15650</v>
      </c>
      <c r="CL559" s="50" t="s">
        <v>5553</v>
      </c>
      <c r="CM559" s="50" t="s">
        <v>1171</v>
      </c>
      <c r="CN559" s="50" t="s">
        <v>5567</v>
      </c>
      <c r="CP559" s="50" t="s">
        <v>5566</v>
      </c>
      <c r="CQ559" s="50" t="s">
        <v>5566</v>
      </c>
      <c r="CR559" s="50" t="s">
        <v>26053</v>
      </c>
    </row>
    <row r="560" spans="1:96">
      <c r="A560" s="50" t="s">
        <v>149</v>
      </c>
      <c r="B560" s="50">
        <v>356995</v>
      </c>
      <c r="C560" s="50" t="s">
        <v>3562</v>
      </c>
      <c r="D560" s="50" t="s">
        <v>6730</v>
      </c>
      <c r="E560" s="50" t="e">
        <f>VLOOKUP(B560,aa!B:F,5,0)</f>
        <v>#N/A</v>
      </c>
      <c r="F560" s="50" t="e">
        <f>VLOOKUP(B560,aa!B:J,9,0)</f>
        <v>#N/A</v>
      </c>
      <c r="G560" s="50" t="e">
        <f>VLOOKUP(B560,aa!B:L,11,0)</f>
        <v>#N/A</v>
      </c>
      <c r="H560" s="50" t="e">
        <f>VLOOKUP(B560,aa!B:O,14,0)</f>
        <v>#N/A</v>
      </c>
      <c r="I560" s="50" t="e">
        <f>VLOOKUP(B560,aa!B:R,17,0)</f>
        <v>#N/A</v>
      </c>
      <c r="K560" s="50" t="s">
        <v>848</v>
      </c>
      <c r="L560" s="50">
        <v>132146</v>
      </c>
      <c r="M560" s="50">
        <v>155932</v>
      </c>
      <c r="N560" s="50">
        <v>0</v>
      </c>
      <c r="O560" s="50">
        <v>0</v>
      </c>
      <c r="Q560" s="50">
        <v>0</v>
      </c>
      <c r="R560" s="50">
        <v>0</v>
      </c>
      <c r="T560" s="50">
        <v>132146</v>
      </c>
      <c r="U560" s="50">
        <v>75</v>
      </c>
      <c r="V560" s="50" t="s">
        <v>16499</v>
      </c>
      <c r="W560" s="50" t="s">
        <v>102</v>
      </c>
      <c r="X560" s="50" t="s">
        <v>275</v>
      </c>
      <c r="Z560" s="50" t="s">
        <v>9460</v>
      </c>
      <c r="AA560" s="50" t="s">
        <v>109</v>
      </c>
      <c r="AB560" s="50" t="s">
        <v>102</v>
      </c>
      <c r="AC560" s="50" t="s">
        <v>109</v>
      </c>
      <c r="AD560" s="50" t="s">
        <v>102</v>
      </c>
      <c r="AE560" s="50" t="s">
        <v>109</v>
      </c>
      <c r="AF560" s="50" t="s">
        <v>102</v>
      </c>
      <c r="AG560" s="50" t="s">
        <v>109</v>
      </c>
      <c r="AH560" s="50" t="s">
        <v>102</v>
      </c>
      <c r="AI560" s="50" t="s">
        <v>16500</v>
      </c>
      <c r="AJ560" s="50" t="s">
        <v>15221</v>
      </c>
      <c r="AK560" s="50" t="s">
        <v>15221</v>
      </c>
      <c r="AL560" s="50" t="s">
        <v>16501</v>
      </c>
      <c r="AM560" s="50" t="s">
        <v>16502</v>
      </c>
      <c r="AN560" s="50" t="s">
        <v>1205</v>
      </c>
      <c r="AO560" s="50" t="s">
        <v>16503</v>
      </c>
      <c r="AP560" s="50" t="s">
        <v>16504</v>
      </c>
      <c r="AT560" s="50" t="s">
        <v>169</v>
      </c>
      <c r="AU560" s="50" t="s">
        <v>102</v>
      </c>
      <c r="AW560" s="50" t="s">
        <v>102</v>
      </c>
      <c r="AX560" s="50" t="s">
        <v>119</v>
      </c>
      <c r="BA560" s="50" t="s">
        <v>250</v>
      </c>
      <c r="BB560" s="50" t="s">
        <v>120</v>
      </c>
      <c r="BC560" s="50" t="s">
        <v>1729</v>
      </c>
      <c r="BD560" s="50" t="s">
        <v>730</v>
      </c>
      <c r="BE560" s="50" t="s">
        <v>622</v>
      </c>
      <c r="BF560" s="50" t="s">
        <v>730</v>
      </c>
      <c r="BG560" s="50" t="s">
        <v>124</v>
      </c>
      <c r="BH560" s="50" t="s">
        <v>12082</v>
      </c>
      <c r="BI560" s="50" t="s">
        <v>11889</v>
      </c>
      <c r="BJ560" s="50" t="s">
        <v>127</v>
      </c>
      <c r="BK560" s="50" t="s">
        <v>16505</v>
      </c>
      <c r="BL560" s="50" t="s">
        <v>6739</v>
      </c>
      <c r="BM560" s="50" t="s">
        <v>16506</v>
      </c>
      <c r="BN560" s="50" t="s">
        <v>12659</v>
      </c>
      <c r="BO560" s="50" t="s">
        <v>7559</v>
      </c>
      <c r="BP560" s="50" t="s">
        <v>350</v>
      </c>
      <c r="BQ560" s="50" t="s">
        <v>7560</v>
      </c>
      <c r="BR560" s="50" t="s">
        <v>7561</v>
      </c>
      <c r="BS560" s="50" t="s">
        <v>3562</v>
      </c>
      <c r="BU560" s="50" t="s">
        <v>16507</v>
      </c>
      <c r="BV560" s="50" t="s">
        <v>6742</v>
      </c>
      <c r="BW560" s="50" t="s">
        <v>138</v>
      </c>
      <c r="BX560" s="50" t="s">
        <v>6743</v>
      </c>
      <c r="BY560" s="50" t="s">
        <v>6744</v>
      </c>
      <c r="BZ560" s="50" t="s">
        <v>6745</v>
      </c>
      <c r="CA560" s="50" t="s">
        <v>6742</v>
      </c>
      <c r="CB560" s="50" t="s">
        <v>6743</v>
      </c>
      <c r="CC560" s="50" t="s">
        <v>6744</v>
      </c>
      <c r="CD560" s="50" t="s">
        <v>16508</v>
      </c>
      <c r="CE560" s="50" t="s">
        <v>16509</v>
      </c>
      <c r="CF560" s="50" t="s">
        <v>16510</v>
      </c>
      <c r="CG560" s="50" t="s">
        <v>102</v>
      </c>
      <c r="CH560" s="50" t="s">
        <v>6746</v>
      </c>
      <c r="CJ560" s="50" t="s">
        <v>4103</v>
      </c>
      <c r="CL560" s="50" t="s">
        <v>1729</v>
      </c>
      <c r="CM560" s="50" t="s">
        <v>2273</v>
      </c>
      <c r="CN560" s="50" t="s">
        <v>4103</v>
      </c>
      <c r="CO560" s="50" t="s">
        <v>6747</v>
      </c>
      <c r="CP560" s="50" t="s">
        <v>6746</v>
      </c>
      <c r="CQ560" s="50" t="s">
        <v>6746</v>
      </c>
      <c r="CR560" s="50" t="s">
        <v>26047</v>
      </c>
    </row>
    <row r="561" spans="1:96">
      <c r="A561" s="50" t="s">
        <v>337</v>
      </c>
      <c r="B561" s="50">
        <v>5018196</v>
      </c>
      <c r="C561" s="50" t="s">
        <v>13158</v>
      </c>
      <c r="D561" s="50" t="s">
        <v>19494</v>
      </c>
      <c r="E561" s="50" t="e">
        <f>VLOOKUP(B561,aa!B:F,5,0)</f>
        <v>#N/A</v>
      </c>
      <c r="F561" s="50" t="e">
        <f>VLOOKUP(B561,aa!B:J,9,0)</f>
        <v>#N/A</v>
      </c>
      <c r="G561" s="50" t="e">
        <f>VLOOKUP(B561,aa!B:L,11,0)</f>
        <v>#N/A</v>
      </c>
      <c r="H561" s="50" t="e">
        <f>VLOOKUP(B561,aa!B:O,14,0)</f>
        <v>#N/A</v>
      </c>
      <c r="I561" s="50" t="e">
        <f>VLOOKUP(B561,aa!B:R,17,0)</f>
        <v>#N/A</v>
      </c>
      <c r="K561" s="50" t="s">
        <v>97</v>
      </c>
      <c r="L561" s="50">
        <v>540558</v>
      </c>
      <c r="M561" s="50">
        <v>540558</v>
      </c>
      <c r="N561" s="50">
        <v>540558</v>
      </c>
      <c r="O561" s="50">
        <v>530</v>
      </c>
      <c r="P561" s="50" t="s">
        <v>19442</v>
      </c>
      <c r="Q561" s="50">
        <v>0</v>
      </c>
      <c r="R561" s="50">
        <v>0</v>
      </c>
      <c r="T561" s="50">
        <v>0</v>
      </c>
      <c r="U561" s="50">
        <v>0</v>
      </c>
      <c r="W561" s="50" t="s">
        <v>102</v>
      </c>
      <c r="X561" s="50" t="s">
        <v>103</v>
      </c>
      <c r="Y561" s="50" t="s">
        <v>104</v>
      </c>
      <c r="AA561" s="50" t="s">
        <v>12312</v>
      </c>
      <c r="AB561" s="50" t="s">
        <v>19495</v>
      </c>
      <c r="AC561" s="50" t="s">
        <v>12427</v>
      </c>
      <c r="AD561" s="50" t="s">
        <v>19495</v>
      </c>
      <c r="AE561" s="50" t="s">
        <v>109</v>
      </c>
      <c r="AF561" s="50" t="s">
        <v>102</v>
      </c>
      <c r="AG561" s="50" t="s">
        <v>109</v>
      </c>
      <c r="AH561" s="50" t="s">
        <v>102</v>
      </c>
      <c r="AI561" s="50" t="s">
        <v>19496</v>
      </c>
      <c r="AJ561" s="50" t="s">
        <v>13583</v>
      </c>
      <c r="AK561" s="50" t="s">
        <v>13583</v>
      </c>
      <c r="AL561" s="50" t="s">
        <v>19497</v>
      </c>
      <c r="AM561" s="50" t="s">
        <v>19498</v>
      </c>
      <c r="AN561" s="50" t="s">
        <v>19499</v>
      </c>
      <c r="AO561" s="50" t="s">
        <v>19445</v>
      </c>
      <c r="AP561" s="50" t="s">
        <v>19445</v>
      </c>
      <c r="AU561" s="50" t="s">
        <v>318</v>
      </c>
      <c r="AV561" s="50" t="s">
        <v>118</v>
      </c>
      <c r="AW561" s="50" t="s">
        <v>102</v>
      </c>
      <c r="AX561" s="50" t="s">
        <v>119</v>
      </c>
      <c r="BB561" s="50" t="s">
        <v>120</v>
      </c>
      <c r="BC561" s="50" t="s">
        <v>1407</v>
      </c>
      <c r="BD561" s="50" t="s">
        <v>449</v>
      </c>
      <c r="BE561" s="50" t="s">
        <v>122</v>
      </c>
      <c r="BF561" s="50" t="s">
        <v>450</v>
      </c>
      <c r="BG561" s="50" t="s">
        <v>124</v>
      </c>
      <c r="BH561" s="50" t="s">
        <v>12082</v>
      </c>
      <c r="BI561" s="50" t="s">
        <v>11889</v>
      </c>
      <c r="BJ561" s="50" t="s">
        <v>127</v>
      </c>
      <c r="BK561" s="50" t="s">
        <v>19500</v>
      </c>
      <c r="BL561" s="50" t="s">
        <v>19501</v>
      </c>
      <c r="BM561" s="50" t="s">
        <v>19502</v>
      </c>
      <c r="BN561" s="50" t="s">
        <v>9460</v>
      </c>
      <c r="BO561" s="50" t="s">
        <v>1108</v>
      </c>
      <c r="BP561" s="50" t="s">
        <v>350</v>
      </c>
      <c r="BQ561" s="50" t="s">
        <v>1109</v>
      </c>
      <c r="BR561" s="50" t="s">
        <v>1110</v>
      </c>
      <c r="BS561" s="50" t="s">
        <v>1111</v>
      </c>
      <c r="BU561" s="50" t="s">
        <v>19503</v>
      </c>
      <c r="BV561" s="50" t="s">
        <v>224</v>
      </c>
      <c r="BW561" s="50" t="s">
        <v>598</v>
      </c>
      <c r="BX561" s="50" t="s">
        <v>225</v>
      </c>
      <c r="BY561" s="50" t="s">
        <v>226</v>
      </c>
      <c r="CA561" s="50" t="s">
        <v>224</v>
      </c>
      <c r="CB561" s="50" t="s">
        <v>225</v>
      </c>
      <c r="CC561" s="50" t="s">
        <v>226</v>
      </c>
      <c r="CD561" s="50" t="s">
        <v>224</v>
      </c>
      <c r="CE561" s="50" t="s">
        <v>225</v>
      </c>
      <c r="CF561" s="50" t="s">
        <v>226</v>
      </c>
      <c r="CG561" s="50" t="s">
        <v>102</v>
      </c>
      <c r="CH561" s="50" t="s">
        <v>19504</v>
      </c>
      <c r="CJ561" s="50" t="s">
        <v>4078</v>
      </c>
      <c r="CL561" s="50" t="s">
        <v>1407</v>
      </c>
      <c r="CM561" s="50" t="s">
        <v>449</v>
      </c>
      <c r="CN561" s="50" t="s">
        <v>4078</v>
      </c>
      <c r="CO561" s="50" t="s">
        <v>5919</v>
      </c>
      <c r="CP561" s="50" t="s">
        <v>19505</v>
      </c>
      <c r="CQ561" s="50" t="s">
        <v>19505</v>
      </c>
    </row>
    <row r="562" spans="1:96">
      <c r="A562" s="50" t="s">
        <v>337</v>
      </c>
      <c r="B562" s="50">
        <v>5018197</v>
      </c>
      <c r="C562" s="50" t="s">
        <v>13158</v>
      </c>
      <c r="D562" s="50" t="s">
        <v>19506</v>
      </c>
      <c r="E562" s="50" t="e">
        <f>VLOOKUP(B562,aa!B:F,5,0)</f>
        <v>#N/A</v>
      </c>
      <c r="F562" s="50" t="e">
        <f>VLOOKUP(B562,aa!B:J,9,0)</f>
        <v>#N/A</v>
      </c>
      <c r="G562" s="50" t="e">
        <f>VLOOKUP(B562,aa!B:L,11,0)</f>
        <v>#N/A</v>
      </c>
      <c r="H562" s="50" t="e">
        <f>VLOOKUP(B562,aa!B:O,14,0)</f>
        <v>#N/A</v>
      </c>
      <c r="I562" s="50" t="e">
        <f>VLOOKUP(B562,aa!B:R,17,0)</f>
        <v>#N/A</v>
      </c>
      <c r="K562" s="50" t="s">
        <v>97</v>
      </c>
      <c r="L562" s="50">
        <v>465084</v>
      </c>
      <c r="M562" s="50">
        <v>465084</v>
      </c>
      <c r="N562" s="50">
        <v>465084</v>
      </c>
      <c r="O562" s="50">
        <v>456</v>
      </c>
      <c r="P562" s="50" t="s">
        <v>19442</v>
      </c>
      <c r="Q562" s="50">
        <v>0</v>
      </c>
      <c r="R562" s="50">
        <v>0</v>
      </c>
      <c r="T562" s="50">
        <v>0</v>
      </c>
      <c r="U562" s="50">
        <v>0</v>
      </c>
      <c r="W562" s="50" t="s">
        <v>102</v>
      </c>
      <c r="X562" s="50" t="s">
        <v>103</v>
      </c>
      <c r="Y562" s="50" t="s">
        <v>104</v>
      </c>
      <c r="AA562" s="50" t="s">
        <v>12312</v>
      </c>
      <c r="AB562" s="50" t="s">
        <v>19507</v>
      </c>
      <c r="AC562" s="50" t="s">
        <v>12427</v>
      </c>
      <c r="AD562" s="50" t="s">
        <v>19507</v>
      </c>
      <c r="AE562" s="50" t="s">
        <v>109</v>
      </c>
      <c r="AF562" s="50" t="s">
        <v>102</v>
      </c>
      <c r="AG562" s="50" t="s">
        <v>109</v>
      </c>
      <c r="AH562" s="50" t="s">
        <v>102</v>
      </c>
      <c r="AI562" s="50" t="s">
        <v>19508</v>
      </c>
      <c r="AJ562" s="50" t="s">
        <v>13583</v>
      </c>
      <c r="AK562" s="50" t="s">
        <v>13583</v>
      </c>
      <c r="AL562" s="50" t="s">
        <v>19509</v>
      </c>
      <c r="AM562" s="50" t="s">
        <v>19510</v>
      </c>
      <c r="AN562" s="50" t="s">
        <v>19511</v>
      </c>
      <c r="AO562" s="50" t="s">
        <v>19445</v>
      </c>
      <c r="AP562" s="50" t="s">
        <v>19445</v>
      </c>
      <c r="AU562" s="50" t="s">
        <v>318</v>
      </c>
      <c r="AV562" s="50" t="s">
        <v>118</v>
      </c>
      <c r="AW562" s="50" t="s">
        <v>102</v>
      </c>
      <c r="AX562" s="50" t="s">
        <v>119</v>
      </c>
      <c r="BB562" s="50" t="s">
        <v>120</v>
      </c>
      <c r="BC562" s="50" t="s">
        <v>3058</v>
      </c>
      <c r="BD562" s="50" t="s">
        <v>320</v>
      </c>
      <c r="BE562" s="50" t="s">
        <v>122</v>
      </c>
      <c r="BF562" s="50" t="s">
        <v>123</v>
      </c>
      <c r="BG562" s="50" t="s">
        <v>124</v>
      </c>
      <c r="BH562" s="50" t="s">
        <v>13680</v>
      </c>
      <c r="BI562" s="50" t="s">
        <v>11889</v>
      </c>
      <c r="BJ562" s="50" t="s">
        <v>127</v>
      </c>
      <c r="BK562" s="50" t="s">
        <v>19512</v>
      </c>
      <c r="BL562" s="50" t="s">
        <v>19513</v>
      </c>
      <c r="BM562" s="50" t="s">
        <v>19514</v>
      </c>
      <c r="BN562" s="50" t="s">
        <v>9460</v>
      </c>
      <c r="BO562" s="50" t="s">
        <v>1108</v>
      </c>
      <c r="BP562" s="50" t="s">
        <v>350</v>
      </c>
      <c r="BQ562" s="50" t="s">
        <v>1109</v>
      </c>
      <c r="BR562" s="50" t="s">
        <v>1110</v>
      </c>
      <c r="BS562" s="50" t="s">
        <v>1111</v>
      </c>
      <c r="BU562" s="50" t="s">
        <v>19515</v>
      </c>
      <c r="BV562" s="50" t="s">
        <v>224</v>
      </c>
      <c r="BW562" s="50" t="s">
        <v>598</v>
      </c>
      <c r="BX562" s="50" t="s">
        <v>225</v>
      </c>
      <c r="BY562" s="50" t="s">
        <v>226</v>
      </c>
      <c r="CA562" s="50" t="s">
        <v>224</v>
      </c>
      <c r="CB562" s="50" t="s">
        <v>225</v>
      </c>
      <c r="CC562" s="50" t="s">
        <v>226</v>
      </c>
      <c r="CD562" s="50" t="s">
        <v>224</v>
      </c>
      <c r="CE562" s="50" t="s">
        <v>225</v>
      </c>
      <c r="CF562" s="50" t="s">
        <v>226</v>
      </c>
      <c r="CG562" s="50" t="s">
        <v>102</v>
      </c>
      <c r="CH562" s="50" t="s">
        <v>19516</v>
      </c>
      <c r="CJ562" s="50" t="s">
        <v>3070</v>
      </c>
      <c r="CL562" s="50" t="s">
        <v>3058</v>
      </c>
      <c r="CM562" s="50" t="s">
        <v>320</v>
      </c>
      <c r="CN562" s="50" t="s">
        <v>3070</v>
      </c>
      <c r="CO562" s="50" t="s">
        <v>5919</v>
      </c>
      <c r="CP562" s="50" t="s">
        <v>19516</v>
      </c>
      <c r="CQ562" s="50" t="s">
        <v>19516</v>
      </c>
    </row>
    <row r="563" spans="1:96">
      <c r="A563" s="50" t="s">
        <v>337</v>
      </c>
      <c r="B563" s="50">
        <v>5018195</v>
      </c>
      <c r="C563" s="50" t="s">
        <v>13158</v>
      </c>
      <c r="D563" s="50" t="s">
        <v>19474</v>
      </c>
      <c r="E563" s="50" t="e">
        <f>VLOOKUP(B563,aa!B:F,5,0)</f>
        <v>#N/A</v>
      </c>
      <c r="F563" s="50" t="e">
        <f>VLOOKUP(B563,aa!B:J,9,0)</f>
        <v>#N/A</v>
      </c>
      <c r="G563" s="50" t="e">
        <f>VLOOKUP(B563,aa!B:L,11,0)</f>
        <v>#N/A</v>
      </c>
      <c r="H563" s="50" t="e">
        <f>VLOOKUP(B563,aa!B:O,14,0)</f>
        <v>#N/A</v>
      </c>
      <c r="I563" s="50" t="e">
        <f>VLOOKUP(B563,aa!B:R,17,0)</f>
        <v>#N/A</v>
      </c>
      <c r="K563" s="50" t="s">
        <v>97</v>
      </c>
      <c r="L563" s="50">
        <v>613966</v>
      </c>
      <c r="M563" s="50">
        <v>613966</v>
      </c>
      <c r="N563" s="50">
        <v>613966</v>
      </c>
      <c r="O563" s="50">
        <v>672</v>
      </c>
      <c r="P563" s="50" t="s">
        <v>19476</v>
      </c>
      <c r="Q563" s="50">
        <v>0</v>
      </c>
      <c r="R563" s="50">
        <v>0</v>
      </c>
      <c r="T563" s="50">
        <v>0</v>
      </c>
      <c r="U563" s="50">
        <v>0</v>
      </c>
      <c r="W563" s="50" t="s">
        <v>102</v>
      </c>
      <c r="X563" s="50" t="s">
        <v>679</v>
      </c>
      <c r="Y563" s="50" t="s">
        <v>104</v>
      </c>
      <c r="Z563" s="50" t="s">
        <v>11886</v>
      </c>
      <c r="AA563" s="50" t="s">
        <v>19477</v>
      </c>
      <c r="AB563" s="50" t="s">
        <v>19478</v>
      </c>
      <c r="AC563" s="50" t="s">
        <v>15488</v>
      </c>
      <c r="AD563" s="50" t="s">
        <v>19478</v>
      </c>
      <c r="AE563" s="50" t="s">
        <v>109</v>
      </c>
      <c r="AF563" s="50" t="s">
        <v>102</v>
      </c>
      <c r="AG563" s="50" t="s">
        <v>109</v>
      </c>
      <c r="AH563" s="50" t="s">
        <v>102</v>
      </c>
      <c r="AI563" s="50" t="s">
        <v>102</v>
      </c>
      <c r="AJ563" s="50" t="s">
        <v>12427</v>
      </c>
      <c r="AK563" s="50" t="s">
        <v>12427</v>
      </c>
      <c r="AL563" s="50" t="s">
        <v>19479</v>
      </c>
      <c r="AM563" s="50" t="s">
        <v>19480</v>
      </c>
      <c r="AN563" s="50" t="s">
        <v>19481</v>
      </c>
      <c r="AO563" s="50" t="s">
        <v>19482</v>
      </c>
      <c r="AP563" s="50" t="s">
        <v>19482</v>
      </c>
      <c r="AU563" s="50" t="s">
        <v>3439</v>
      </c>
      <c r="AV563" s="50" t="s">
        <v>118</v>
      </c>
      <c r="AW563" s="50" t="s">
        <v>102</v>
      </c>
      <c r="AX563" s="50" t="s">
        <v>119</v>
      </c>
      <c r="BB563" s="50" t="s">
        <v>120</v>
      </c>
      <c r="BC563" s="50" t="s">
        <v>4153</v>
      </c>
      <c r="BD563" s="50" t="s">
        <v>320</v>
      </c>
      <c r="BE563" s="50" t="s">
        <v>122</v>
      </c>
      <c r="BF563" s="50" t="s">
        <v>123</v>
      </c>
      <c r="BG563" s="50" t="s">
        <v>124</v>
      </c>
      <c r="BH563" s="50" t="s">
        <v>19483</v>
      </c>
      <c r="BI563" s="50" t="s">
        <v>11889</v>
      </c>
      <c r="BJ563" s="50" t="s">
        <v>127</v>
      </c>
      <c r="BK563" s="50" t="s">
        <v>19484</v>
      </c>
      <c r="BL563" s="50" t="s">
        <v>19485</v>
      </c>
      <c r="BM563" s="50" t="s">
        <v>19486</v>
      </c>
      <c r="BN563" s="50" t="s">
        <v>19475</v>
      </c>
      <c r="BO563" s="50" t="s">
        <v>14588</v>
      </c>
      <c r="BP563" s="50" t="s">
        <v>505</v>
      </c>
      <c r="BQ563" s="50" t="s">
        <v>14589</v>
      </c>
      <c r="BR563" s="50" t="s">
        <v>14590</v>
      </c>
      <c r="BS563" s="50" t="s">
        <v>1111</v>
      </c>
      <c r="BU563" s="50" t="s">
        <v>19487</v>
      </c>
      <c r="BV563" s="50" t="s">
        <v>19488</v>
      </c>
      <c r="BW563" s="50" t="s">
        <v>598</v>
      </c>
      <c r="BX563" s="50" t="s">
        <v>19489</v>
      </c>
      <c r="BY563" s="50" t="s">
        <v>19490</v>
      </c>
      <c r="CA563" s="50" t="s">
        <v>19491</v>
      </c>
      <c r="CB563" s="50" t="s">
        <v>19492</v>
      </c>
      <c r="CC563" s="50" t="s">
        <v>19490</v>
      </c>
      <c r="CD563" s="50" t="s">
        <v>19493</v>
      </c>
      <c r="CE563" s="50" t="s">
        <v>19489</v>
      </c>
      <c r="CF563" s="50" t="s">
        <v>19490</v>
      </c>
      <c r="CG563" s="50" t="s">
        <v>102</v>
      </c>
      <c r="CH563" s="50" t="s">
        <v>19441</v>
      </c>
      <c r="CJ563" s="50" t="s">
        <v>4160</v>
      </c>
      <c r="CL563" s="50" t="s">
        <v>4153</v>
      </c>
      <c r="CM563" s="50" t="s">
        <v>320</v>
      </c>
      <c r="CN563" s="50" t="s">
        <v>4160</v>
      </c>
      <c r="CP563" s="50" t="s">
        <v>19441</v>
      </c>
      <c r="CQ563" s="50" t="s">
        <v>19441</v>
      </c>
    </row>
    <row r="564" spans="1:96">
      <c r="A564" s="50" t="s">
        <v>337</v>
      </c>
      <c r="B564" s="50">
        <v>343343</v>
      </c>
      <c r="C564" s="50" t="s">
        <v>2525</v>
      </c>
      <c r="D564" s="50" t="s">
        <v>15949</v>
      </c>
      <c r="E564" s="50" t="str">
        <f>VLOOKUP(B564,aa!B:F,5,0)</f>
        <v>Ei Mindspark</v>
      </c>
      <c r="F564" s="50">
        <f>VLOOKUP(B564,aa!B:J,9,0)</f>
        <v>748000</v>
      </c>
      <c r="G564" s="50">
        <f>VLOOKUP(B564,aa!B:L,11,0)</f>
        <v>0</v>
      </c>
      <c r="H564" s="50">
        <f>VLOOKUP(B564,aa!B:O,14,0)</f>
        <v>0</v>
      </c>
      <c r="I564" s="50">
        <f>VLOOKUP(B564,aa!B:R,17,0)</f>
        <v>748000</v>
      </c>
      <c r="K564" s="50" t="s">
        <v>848</v>
      </c>
      <c r="L564" s="50">
        <v>352000</v>
      </c>
      <c r="M564" s="50">
        <v>415360</v>
      </c>
      <c r="N564" s="50">
        <v>0</v>
      </c>
      <c r="O564" s="50">
        <v>0</v>
      </c>
      <c r="P564" s="50" t="s">
        <v>102</v>
      </c>
      <c r="Q564" s="50">
        <v>0</v>
      </c>
      <c r="R564" s="50">
        <v>0</v>
      </c>
      <c r="S564" s="50" t="s">
        <v>102</v>
      </c>
      <c r="T564" s="50">
        <v>352000</v>
      </c>
      <c r="U564" s="50">
        <v>440</v>
      </c>
      <c r="V564" s="50" t="s">
        <v>102</v>
      </c>
      <c r="W564" s="50" t="s">
        <v>102</v>
      </c>
      <c r="X564" s="50" t="s">
        <v>275</v>
      </c>
      <c r="Y564" s="50" t="s">
        <v>115</v>
      </c>
      <c r="Z564" s="50" t="s">
        <v>15950</v>
      </c>
      <c r="AA564" s="50" t="s">
        <v>15951</v>
      </c>
      <c r="AB564" s="50" t="s">
        <v>102</v>
      </c>
      <c r="AC564" s="50" t="s">
        <v>15951</v>
      </c>
      <c r="AD564" s="50" t="s">
        <v>102</v>
      </c>
      <c r="AE564" s="50" t="s">
        <v>15951</v>
      </c>
      <c r="AF564" s="50" t="s">
        <v>102</v>
      </c>
      <c r="AG564" s="50" t="s">
        <v>15951</v>
      </c>
      <c r="AH564" s="50" t="s">
        <v>102</v>
      </c>
      <c r="AI564" s="50" t="s">
        <v>102</v>
      </c>
      <c r="AJ564" s="50" t="s">
        <v>15952</v>
      </c>
      <c r="AK564" s="50" t="s">
        <v>15953</v>
      </c>
      <c r="AL564" s="50" t="s">
        <v>15954</v>
      </c>
      <c r="AM564" s="50" t="s">
        <v>15955</v>
      </c>
      <c r="AN564" s="50" t="s">
        <v>15956</v>
      </c>
      <c r="AO564" s="50" t="s">
        <v>2202</v>
      </c>
      <c r="AP564" s="50" t="s">
        <v>2202</v>
      </c>
      <c r="AQ564" s="50" t="s">
        <v>102</v>
      </c>
      <c r="AR564" s="50" t="s">
        <v>102</v>
      </c>
      <c r="AS564" s="50" t="s">
        <v>102</v>
      </c>
      <c r="AT564" s="50" t="s">
        <v>102</v>
      </c>
      <c r="AU564" s="50" t="s">
        <v>102</v>
      </c>
      <c r="AW564" s="50" t="s">
        <v>102</v>
      </c>
      <c r="AX564" s="50" t="s">
        <v>119</v>
      </c>
      <c r="BA564" s="50" t="s">
        <v>250</v>
      </c>
      <c r="BB564" s="50" t="s">
        <v>120</v>
      </c>
      <c r="BC564" s="50" t="s">
        <v>4889</v>
      </c>
      <c r="BD564" s="50" t="s">
        <v>730</v>
      </c>
      <c r="BE564" s="50" t="s">
        <v>622</v>
      </c>
      <c r="BF564" s="50" t="s">
        <v>730</v>
      </c>
      <c r="BG564" s="50" t="s">
        <v>124</v>
      </c>
      <c r="BH564" s="50" t="s">
        <v>15957</v>
      </c>
      <c r="BI564" s="50" t="s">
        <v>15958</v>
      </c>
      <c r="BJ564" s="50" t="s">
        <v>15624</v>
      </c>
      <c r="BK564" s="50" t="s">
        <v>15959</v>
      </c>
      <c r="BL564" s="50" t="s">
        <v>15960</v>
      </c>
      <c r="BM564" s="50" t="s">
        <v>15961</v>
      </c>
      <c r="BN564" s="50" t="s">
        <v>12383</v>
      </c>
      <c r="BO564" s="50" t="s">
        <v>15962</v>
      </c>
      <c r="BP564" s="50" t="s">
        <v>2767</v>
      </c>
      <c r="BQ564" s="50" t="s">
        <v>15963</v>
      </c>
      <c r="BR564" s="50" t="s">
        <v>15964</v>
      </c>
      <c r="BS564" s="50" t="s">
        <v>15965</v>
      </c>
      <c r="BT564" s="50" t="s">
        <v>15966</v>
      </c>
      <c r="BU564" s="50" t="s">
        <v>15967</v>
      </c>
      <c r="BV564" s="50" t="s">
        <v>15968</v>
      </c>
      <c r="BW564" s="50" t="s">
        <v>138</v>
      </c>
      <c r="BX564" s="50" t="s">
        <v>15969</v>
      </c>
      <c r="BY564" s="50" t="s">
        <v>15970</v>
      </c>
      <c r="BZ564" s="50" t="s">
        <v>15971</v>
      </c>
      <c r="CA564" s="50" t="s">
        <v>15972</v>
      </c>
      <c r="CB564" s="50" t="s">
        <v>15969</v>
      </c>
      <c r="CC564" s="50" t="s">
        <v>15970</v>
      </c>
      <c r="CD564" s="50" t="s">
        <v>15972</v>
      </c>
      <c r="CE564" s="50" t="s">
        <v>15969</v>
      </c>
      <c r="CF564" s="50" t="s">
        <v>15970</v>
      </c>
      <c r="CG564" s="50" t="s">
        <v>15973</v>
      </c>
      <c r="CH564" s="50" t="s">
        <v>15974</v>
      </c>
      <c r="CJ564" s="50" t="s">
        <v>15975</v>
      </c>
      <c r="CK564" s="50" t="s">
        <v>15974</v>
      </c>
      <c r="CL564" s="50" t="s">
        <v>4889</v>
      </c>
      <c r="CM564" s="50" t="s">
        <v>730</v>
      </c>
      <c r="CN564" s="50" t="s">
        <v>15975</v>
      </c>
      <c r="CP564" s="50" t="s">
        <v>15976</v>
      </c>
      <c r="CQ564" s="50" t="s">
        <v>15976</v>
      </c>
    </row>
    <row r="565" spans="1:96">
      <c r="A565" s="50" t="s">
        <v>149</v>
      </c>
      <c r="B565" s="50">
        <v>252071</v>
      </c>
      <c r="C565" s="50" t="s">
        <v>2151</v>
      </c>
      <c r="D565" s="50" t="s">
        <v>3920</v>
      </c>
      <c r="E565" s="50" t="str">
        <f>VLOOKUP(B565,aa!B:F,5,0)</f>
        <v>Ei ASSET,Ei Mindspark</v>
      </c>
      <c r="F565" s="50">
        <f>VLOOKUP(B565,aa!B:J,9,0)</f>
        <v>2061118</v>
      </c>
      <c r="G565" s="50">
        <f>VLOOKUP(B565,aa!B:L,11,0)</f>
        <v>539044</v>
      </c>
      <c r="H565" s="50">
        <f>VLOOKUP(B565,aa!B:O,14,0)</f>
        <v>0</v>
      </c>
      <c r="I565" s="50">
        <f>VLOOKUP(B565,aa!B:R,17,0)</f>
        <v>1522074</v>
      </c>
      <c r="K565" s="50" t="s">
        <v>152</v>
      </c>
      <c r="L565" s="50">
        <v>173700</v>
      </c>
      <c r="M565" s="50">
        <v>173700</v>
      </c>
      <c r="N565" s="50">
        <v>0</v>
      </c>
      <c r="O565" s="50">
        <v>0</v>
      </c>
      <c r="Q565" s="50">
        <v>173700</v>
      </c>
      <c r="R565" s="50">
        <v>193</v>
      </c>
      <c r="S565" s="50" t="s">
        <v>2451</v>
      </c>
      <c r="T565" s="50">
        <v>0</v>
      </c>
      <c r="U565" s="50">
        <v>0</v>
      </c>
      <c r="W565" s="50" t="s">
        <v>102</v>
      </c>
      <c r="X565" s="50" t="s">
        <v>103</v>
      </c>
      <c r="Y565" s="50" t="s">
        <v>398</v>
      </c>
      <c r="AA565" s="50" t="s">
        <v>11954</v>
      </c>
      <c r="AB565" s="50" t="s">
        <v>14382</v>
      </c>
      <c r="AC565" s="50" t="s">
        <v>12838</v>
      </c>
      <c r="AD565" s="50" t="s">
        <v>14383</v>
      </c>
      <c r="AE565" s="50" t="s">
        <v>11886</v>
      </c>
      <c r="AF565" s="50" t="s">
        <v>14383</v>
      </c>
      <c r="AG565" s="50" t="s">
        <v>109</v>
      </c>
      <c r="AH565" s="50" t="s">
        <v>102</v>
      </c>
      <c r="AI565" s="50" t="s">
        <v>102</v>
      </c>
      <c r="AL565" s="50" t="s">
        <v>14384</v>
      </c>
      <c r="AM565" s="50" t="s">
        <v>102</v>
      </c>
      <c r="AN565" s="50" t="s">
        <v>14384</v>
      </c>
      <c r="AO565" s="50" t="s">
        <v>3213</v>
      </c>
      <c r="AP565" s="50" t="s">
        <v>3213</v>
      </c>
      <c r="AU565" s="50" t="s">
        <v>102</v>
      </c>
      <c r="AW565" s="50" t="s">
        <v>104</v>
      </c>
      <c r="AX565" s="50" t="s">
        <v>119</v>
      </c>
      <c r="AY565" s="50" t="s">
        <v>170</v>
      </c>
      <c r="AZ565" s="50" t="s">
        <v>118</v>
      </c>
      <c r="BB565" s="50" t="s">
        <v>1964</v>
      </c>
      <c r="BC565" s="50" t="s">
        <v>920</v>
      </c>
      <c r="BD565" s="50" t="s">
        <v>211</v>
      </c>
      <c r="BE565" s="50" t="s">
        <v>212</v>
      </c>
      <c r="BF565" s="50" t="s">
        <v>213</v>
      </c>
      <c r="BG565" s="50" t="s">
        <v>124</v>
      </c>
      <c r="BH565" s="50" t="s">
        <v>11959</v>
      </c>
      <c r="BI565" s="50" t="s">
        <v>11960</v>
      </c>
      <c r="BJ565" s="50" t="s">
        <v>127</v>
      </c>
      <c r="BK565" s="50" t="s">
        <v>14385</v>
      </c>
      <c r="BL565" s="50" t="s">
        <v>3939</v>
      </c>
      <c r="BM565" s="50" t="s">
        <v>14386</v>
      </c>
      <c r="BN565" s="50" t="s">
        <v>14381</v>
      </c>
      <c r="BO565" s="50" t="s">
        <v>415</v>
      </c>
      <c r="BP565" s="50" t="s">
        <v>180</v>
      </c>
      <c r="BQ565" s="50" t="s">
        <v>416</v>
      </c>
      <c r="BR565" s="50" t="s">
        <v>417</v>
      </c>
      <c r="BS565" s="50" t="s">
        <v>2151</v>
      </c>
      <c r="BU565" s="50" t="s">
        <v>14387</v>
      </c>
      <c r="BV565" s="50" t="s">
        <v>14388</v>
      </c>
      <c r="BW565" s="50" t="s">
        <v>354</v>
      </c>
      <c r="BX565" s="50" t="s">
        <v>3944</v>
      </c>
      <c r="BY565" s="50" t="s">
        <v>14389</v>
      </c>
      <c r="BZ565" s="50" t="s">
        <v>3946</v>
      </c>
      <c r="CA565" s="50" t="s">
        <v>14390</v>
      </c>
      <c r="CB565" s="50" t="s">
        <v>3944</v>
      </c>
      <c r="CC565" s="50" t="s">
        <v>14389</v>
      </c>
      <c r="CD565" s="50" t="s">
        <v>14390</v>
      </c>
      <c r="CE565" s="50" t="s">
        <v>3944</v>
      </c>
      <c r="CF565" s="50" t="s">
        <v>14389</v>
      </c>
      <c r="CG565" s="50" t="s">
        <v>102</v>
      </c>
      <c r="CH565" s="50" t="s">
        <v>3947</v>
      </c>
      <c r="CJ565" s="50" t="s">
        <v>2473</v>
      </c>
      <c r="CL565" s="50" t="s">
        <v>920</v>
      </c>
      <c r="CM565" s="50" t="s">
        <v>211</v>
      </c>
      <c r="CN565" s="50" t="s">
        <v>2473</v>
      </c>
      <c r="CP565" s="50" t="s">
        <v>3947</v>
      </c>
      <c r="CQ565" s="50" t="s">
        <v>3947</v>
      </c>
    </row>
    <row r="566" spans="1:96">
      <c r="A566" s="50" t="s">
        <v>337</v>
      </c>
      <c r="B566" s="50">
        <v>5018392</v>
      </c>
      <c r="C566" s="50" t="s">
        <v>12155</v>
      </c>
      <c r="D566" s="50" t="s">
        <v>19689</v>
      </c>
      <c r="E566" s="50" t="e">
        <f>VLOOKUP(B566,aa!B:F,5,0)</f>
        <v>#N/A</v>
      </c>
      <c r="F566" s="50" t="e">
        <f>VLOOKUP(B566,aa!B:J,9,0)</f>
        <v>#N/A</v>
      </c>
      <c r="G566" s="50" t="e">
        <f>VLOOKUP(B566,aa!B:L,11,0)</f>
        <v>#N/A</v>
      </c>
      <c r="H566" s="50" t="e">
        <f>VLOOKUP(B566,aa!B:O,14,0)</f>
        <v>#N/A</v>
      </c>
      <c r="I566" s="50" t="e">
        <f>VLOOKUP(B566,aa!B:R,17,0)</f>
        <v>#N/A</v>
      </c>
      <c r="K566" s="50" t="s">
        <v>152</v>
      </c>
      <c r="L566" s="50">
        <v>53100</v>
      </c>
      <c r="M566" s="50">
        <v>53100</v>
      </c>
      <c r="N566" s="50">
        <v>0</v>
      </c>
      <c r="O566" s="50">
        <v>0</v>
      </c>
      <c r="Q566" s="50">
        <v>53100</v>
      </c>
      <c r="R566" s="50">
        <v>59</v>
      </c>
      <c r="S566" s="50" t="s">
        <v>2451</v>
      </c>
      <c r="T566" s="50">
        <v>0</v>
      </c>
      <c r="U566" s="50">
        <v>0</v>
      </c>
      <c r="W566" s="50" t="s">
        <v>102</v>
      </c>
      <c r="X566" s="50" t="s">
        <v>275</v>
      </c>
      <c r="Z566" s="50" t="s">
        <v>11954</v>
      </c>
      <c r="AA566" s="50" t="s">
        <v>109</v>
      </c>
      <c r="AB566" s="50" t="s">
        <v>102</v>
      </c>
      <c r="AC566" s="50" t="s">
        <v>109</v>
      </c>
      <c r="AD566" s="50" t="s">
        <v>102</v>
      </c>
      <c r="AE566" s="50" t="s">
        <v>109</v>
      </c>
      <c r="AF566" s="50" t="s">
        <v>102</v>
      </c>
      <c r="AG566" s="50" t="s">
        <v>109</v>
      </c>
      <c r="AH566" s="50" t="s">
        <v>102</v>
      </c>
      <c r="AI566" s="50" t="s">
        <v>102</v>
      </c>
      <c r="AJ566" s="50" t="s">
        <v>4374</v>
      </c>
      <c r="AK566" s="50" t="s">
        <v>4374</v>
      </c>
      <c r="AL566" s="50" t="s">
        <v>19690</v>
      </c>
      <c r="AM566" s="50" t="s">
        <v>1594</v>
      </c>
      <c r="AN566" s="50" t="s">
        <v>19691</v>
      </c>
      <c r="AO566" s="50" t="s">
        <v>116</v>
      </c>
      <c r="AP566" s="50" t="s">
        <v>116</v>
      </c>
      <c r="AU566" s="50" t="s">
        <v>102</v>
      </c>
      <c r="AW566" s="50" t="s">
        <v>104</v>
      </c>
      <c r="AX566" s="50" t="s">
        <v>447</v>
      </c>
      <c r="AY566" s="50" t="s">
        <v>170</v>
      </c>
      <c r="AZ566" s="50" t="s">
        <v>118</v>
      </c>
      <c r="BB566" s="50" t="s">
        <v>120</v>
      </c>
      <c r="BC566" s="50" t="s">
        <v>19692</v>
      </c>
      <c r="BD566" s="50" t="s">
        <v>173</v>
      </c>
      <c r="BE566" s="50" t="s">
        <v>174</v>
      </c>
      <c r="BF566" s="50" t="s">
        <v>173</v>
      </c>
      <c r="BG566" s="50" t="s">
        <v>124</v>
      </c>
      <c r="BH566" s="50" t="s">
        <v>12023</v>
      </c>
      <c r="BI566" s="50" t="s">
        <v>11889</v>
      </c>
      <c r="BJ566" s="50" t="s">
        <v>127</v>
      </c>
      <c r="BK566" s="50" t="s">
        <v>19693</v>
      </c>
      <c r="BL566" s="50" t="s">
        <v>19694</v>
      </c>
      <c r="BM566" s="50" t="s">
        <v>19695</v>
      </c>
      <c r="BN566" s="50" t="s">
        <v>14381</v>
      </c>
      <c r="BO566" s="50" t="s">
        <v>9823</v>
      </c>
      <c r="BP566" s="50" t="s">
        <v>505</v>
      </c>
      <c r="BQ566" s="50" t="s">
        <v>9824</v>
      </c>
      <c r="BR566" s="50" t="s">
        <v>9825</v>
      </c>
      <c r="BS566" s="50" t="s">
        <v>1176</v>
      </c>
      <c r="BU566" s="50" t="s">
        <v>19696</v>
      </c>
      <c r="BV566" s="50" t="s">
        <v>19697</v>
      </c>
      <c r="BW566" s="50" t="s">
        <v>138</v>
      </c>
      <c r="BX566" s="50" t="s">
        <v>19698</v>
      </c>
      <c r="BY566" s="50" t="s">
        <v>19699</v>
      </c>
      <c r="BZ566" s="50" t="s">
        <v>19698</v>
      </c>
      <c r="CA566" s="50" t="s">
        <v>19697</v>
      </c>
      <c r="CB566" s="50" t="s">
        <v>19698</v>
      </c>
      <c r="CC566" s="50" t="s">
        <v>19699</v>
      </c>
      <c r="CD566" s="50" t="s">
        <v>19700</v>
      </c>
      <c r="CE566" s="50" t="s">
        <v>19698</v>
      </c>
      <c r="CF566" s="50" t="s">
        <v>19701</v>
      </c>
      <c r="CG566" s="50" t="s">
        <v>19702</v>
      </c>
      <c r="CH566" s="50" t="s">
        <v>19703</v>
      </c>
      <c r="CJ566" s="50" t="s">
        <v>19704</v>
      </c>
      <c r="CK566" s="50" t="s">
        <v>19705</v>
      </c>
      <c r="CL566" s="50" t="s">
        <v>19692</v>
      </c>
      <c r="CM566" s="50" t="s">
        <v>173</v>
      </c>
      <c r="CN566" s="50" t="s">
        <v>19704</v>
      </c>
      <c r="CP566" s="50" t="s">
        <v>19706</v>
      </c>
      <c r="CQ566" s="50" t="s">
        <v>19706</v>
      </c>
      <c r="CR566" s="50" t="s">
        <v>26046</v>
      </c>
    </row>
    <row r="567" spans="1:96">
      <c r="A567" s="50" t="s">
        <v>337</v>
      </c>
      <c r="B567" s="50">
        <v>463877</v>
      </c>
      <c r="C567" s="50" t="s">
        <v>632</v>
      </c>
      <c r="D567" s="50" t="s">
        <v>18377</v>
      </c>
      <c r="E567" s="50" t="str">
        <f>VLOOKUP(B567,aa!B:F,5,0)</f>
        <v>Ei CARES, Ei Mindspark</v>
      </c>
      <c r="F567" s="50">
        <f>VLOOKUP(B567,aa!B:J,9,0)</f>
        <v>311014</v>
      </c>
      <c r="G567" s="50">
        <f>VLOOKUP(B567,aa!B:L,11,0)</f>
        <v>0</v>
      </c>
      <c r="H567" s="50">
        <f>VLOOKUP(B567,aa!B:O,14,0)</f>
        <v>311014</v>
      </c>
      <c r="I567" s="50">
        <f>VLOOKUP(B567,aa!B:R,17,0)</f>
        <v>0</v>
      </c>
      <c r="K567" s="50" t="s">
        <v>152</v>
      </c>
      <c r="L567" s="50">
        <v>0</v>
      </c>
      <c r="M567" s="50">
        <v>0</v>
      </c>
      <c r="N567" s="50">
        <v>0</v>
      </c>
      <c r="O567" s="50">
        <v>0</v>
      </c>
      <c r="Q567" s="50">
        <v>0</v>
      </c>
      <c r="R567" s="50">
        <v>162</v>
      </c>
      <c r="S567" s="50" t="s">
        <v>102</v>
      </c>
      <c r="T567" s="50">
        <v>0</v>
      </c>
      <c r="U567" s="50">
        <v>0</v>
      </c>
      <c r="W567" s="50" t="s">
        <v>102</v>
      </c>
      <c r="X567" s="50" t="s">
        <v>275</v>
      </c>
      <c r="Z567" s="50" t="s">
        <v>16421</v>
      </c>
      <c r="AA567" s="50" t="s">
        <v>109</v>
      </c>
      <c r="AB567" s="50" t="s">
        <v>102</v>
      </c>
      <c r="AC567" s="50" t="s">
        <v>109</v>
      </c>
      <c r="AD567" s="50" t="s">
        <v>102</v>
      </c>
      <c r="AE567" s="50" t="s">
        <v>109</v>
      </c>
      <c r="AF567" s="50" t="s">
        <v>102</v>
      </c>
      <c r="AG567" s="50" t="s">
        <v>109</v>
      </c>
      <c r="AH567" s="50" t="s">
        <v>102</v>
      </c>
      <c r="AI567" s="50" t="s">
        <v>102</v>
      </c>
      <c r="AL567" s="50" t="s">
        <v>102</v>
      </c>
      <c r="AM567" s="50" t="s">
        <v>102</v>
      </c>
      <c r="AN567" s="50" t="s">
        <v>102</v>
      </c>
      <c r="AO567" s="50" t="s">
        <v>115</v>
      </c>
      <c r="AP567" s="50" t="s">
        <v>115</v>
      </c>
      <c r="AU567" s="50" t="s">
        <v>102</v>
      </c>
      <c r="AW567" s="50" t="s">
        <v>104</v>
      </c>
      <c r="AX567" s="50" t="s">
        <v>119</v>
      </c>
      <c r="AY567" s="50" t="s">
        <v>170</v>
      </c>
      <c r="AZ567" s="50" t="s">
        <v>118</v>
      </c>
      <c r="BB567" s="50" t="s">
        <v>209</v>
      </c>
      <c r="BC567" s="50" t="s">
        <v>623</v>
      </c>
      <c r="BD567" s="50" t="s">
        <v>621</v>
      </c>
      <c r="BE567" s="50" t="s">
        <v>622</v>
      </c>
      <c r="BF567" s="50" t="s">
        <v>623</v>
      </c>
      <c r="BG567" s="50" t="s">
        <v>124</v>
      </c>
      <c r="BH567" s="50" t="s">
        <v>11888</v>
      </c>
      <c r="BI567" s="50" t="s">
        <v>11889</v>
      </c>
      <c r="BJ567" s="50" t="s">
        <v>127</v>
      </c>
      <c r="BK567" s="50" t="s">
        <v>18378</v>
      </c>
      <c r="BL567" s="50" t="s">
        <v>18379</v>
      </c>
      <c r="BM567" s="50" t="s">
        <v>18380</v>
      </c>
      <c r="BN567" s="50" t="s">
        <v>15791</v>
      </c>
      <c r="BO567" s="50" t="s">
        <v>2284</v>
      </c>
      <c r="BP567" s="50" t="s">
        <v>505</v>
      </c>
      <c r="BQ567" s="50" t="s">
        <v>2285</v>
      </c>
      <c r="BR567" s="50" t="s">
        <v>2286</v>
      </c>
      <c r="BS567" s="50" t="s">
        <v>1342</v>
      </c>
      <c r="BU567" s="50" t="s">
        <v>18381</v>
      </c>
      <c r="BV567" s="50" t="s">
        <v>18382</v>
      </c>
      <c r="BX567" s="50" t="s">
        <v>18383</v>
      </c>
      <c r="BY567" s="50" t="s">
        <v>18384</v>
      </c>
      <c r="BZ567" s="50" t="s">
        <v>18385</v>
      </c>
      <c r="CA567" s="50" t="s">
        <v>18382</v>
      </c>
      <c r="CB567" s="50" t="s">
        <v>18383</v>
      </c>
      <c r="CC567" s="50" t="s">
        <v>18384</v>
      </c>
      <c r="CD567" s="50" t="s">
        <v>18382</v>
      </c>
      <c r="CE567" s="50" t="s">
        <v>18383</v>
      </c>
      <c r="CF567" s="50" t="s">
        <v>18384</v>
      </c>
      <c r="CG567" s="50" t="s">
        <v>9607</v>
      </c>
      <c r="CH567" s="50" t="s">
        <v>18386</v>
      </c>
      <c r="CJ567" s="50" t="s">
        <v>7250</v>
      </c>
      <c r="CK567" s="50" t="s">
        <v>18386</v>
      </c>
      <c r="CL567" s="50" t="s">
        <v>623</v>
      </c>
      <c r="CM567" s="50" t="s">
        <v>621</v>
      </c>
      <c r="CN567" s="50" t="s">
        <v>7250</v>
      </c>
      <c r="CO567" s="50" t="s">
        <v>18387</v>
      </c>
      <c r="CP567" s="50" t="s">
        <v>18388</v>
      </c>
      <c r="CQ567" s="50" t="s">
        <v>18388</v>
      </c>
    </row>
    <row r="568" spans="1:96">
      <c r="A568" s="50" t="s">
        <v>149</v>
      </c>
      <c r="B568" s="50">
        <v>1424516</v>
      </c>
      <c r="C568" s="50" t="s">
        <v>11947</v>
      </c>
      <c r="D568" s="50" t="s">
        <v>910</v>
      </c>
      <c r="E568" s="50" t="e">
        <f>VLOOKUP(B568,aa!B:F,5,0)</f>
        <v>#N/A</v>
      </c>
      <c r="F568" s="50" t="e">
        <f>VLOOKUP(B568,aa!B:J,9,0)</f>
        <v>#N/A</v>
      </c>
      <c r="G568" s="50" t="e">
        <f>VLOOKUP(B568,aa!B:L,11,0)</f>
        <v>#N/A</v>
      </c>
      <c r="H568" s="50" t="e">
        <f>VLOOKUP(B568,aa!B:O,14,0)</f>
        <v>#N/A</v>
      </c>
      <c r="I568" s="50" t="e">
        <f>VLOOKUP(B568,aa!B:R,17,0)</f>
        <v>#N/A</v>
      </c>
      <c r="K568" s="50" t="s">
        <v>97</v>
      </c>
      <c r="L568" s="50">
        <v>1008504</v>
      </c>
      <c r="M568" s="50">
        <v>1008504</v>
      </c>
      <c r="N568" s="50">
        <v>1008504</v>
      </c>
      <c r="O568" s="50">
        <v>1003</v>
      </c>
      <c r="P568" s="50" t="s">
        <v>12466</v>
      </c>
      <c r="Q568" s="50">
        <v>0</v>
      </c>
      <c r="R568" s="50">
        <v>0</v>
      </c>
      <c r="T568" s="50">
        <v>0</v>
      </c>
      <c r="U568" s="50">
        <v>0</v>
      </c>
      <c r="W568" s="50" t="s">
        <v>102</v>
      </c>
      <c r="X568" s="50" t="s">
        <v>103</v>
      </c>
      <c r="Y568" s="50" t="s">
        <v>104</v>
      </c>
      <c r="AA568" s="50" t="s">
        <v>12467</v>
      </c>
      <c r="AB568" s="50" t="s">
        <v>12468</v>
      </c>
      <c r="AC568" s="50" t="s">
        <v>11952</v>
      </c>
      <c r="AD568" s="50" t="s">
        <v>12469</v>
      </c>
      <c r="AE568" s="50" t="s">
        <v>109</v>
      </c>
      <c r="AF568" s="50" t="s">
        <v>102</v>
      </c>
      <c r="AG568" s="50" t="s">
        <v>109</v>
      </c>
      <c r="AH568" s="50" t="s">
        <v>102</v>
      </c>
      <c r="AI568" s="50" t="s">
        <v>102</v>
      </c>
      <c r="AJ568" s="50" t="s">
        <v>11930</v>
      </c>
      <c r="AK568" s="50" t="s">
        <v>12470</v>
      </c>
      <c r="AL568" s="50" t="s">
        <v>12471</v>
      </c>
      <c r="AM568" s="50" t="s">
        <v>12471</v>
      </c>
      <c r="AN568" s="50" t="s">
        <v>102</v>
      </c>
      <c r="AO568" s="50" t="s">
        <v>12472</v>
      </c>
      <c r="AP568" s="50" t="s">
        <v>12472</v>
      </c>
      <c r="AU568" s="50" t="s">
        <v>117</v>
      </c>
      <c r="AV568" s="50" t="s">
        <v>118</v>
      </c>
      <c r="AW568" s="50" t="s">
        <v>102</v>
      </c>
      <c r="AX568" s="50" t="s">
        <v>119</v>
      </c>
      <c r="BB568" s="50" t="s">
        <v>120</v>
      </c>
      <c r="BC568" s="50" t="s">
        <v>920</v>
      </c>
      <c r="BD568" s="50" t="s">
        <v>211</v>
      </c>
      <c r="BE568" s="50" t="s">
        <v>212</v>
      </c>
      <c r="BF568" s="50" t="s">
        <v>213</v>
      </c>
      <c r="BG568" s="50" t="s">
        <v>124</v>
      </c>
      <c r="BH568" s="50" t="s">
        <v>11976</v>
      </c>
      <c r="BI568" s="50" t="s">
        <v>12047</v>
      </c>
      <c r="BJ568" s="50" t="s">
        <v>127</v>
      </c>
      <c r="BK568" s="50" t="s">
        <v>12473</v>
      </c>
      <c r="BL568" s="50" t="s">
        <v>922</v>
      </c>
      <c r="BM568" s="50" t="s">
        <v>12474</v>
      </c>
      <c r="BN568" s="50" t="s">
        <v>11954</v>
      </c>
      <c r="BO568" s="50" t="s">
        <v>415</v>
      </c>
      <c r="BP568" s="50" t="s">
        <v>350</v>
      </c>
      <c r="BQ568" s="50" t="s">
        <v>416</v>
      </c>
      <c r="BR568" s="50" t="s">
        <v>417</v>
      </c>
      <c r="BS568" s="50" t="s">
        <v>293</v>
      </c>
      <c r="BU568" s="50" t="s">
        <v>12475</v>
      </c>
      <c r="BV568" s="50" t="s">
        <v>12476</v>
      </c>
      <c r="BW568" s="50" t="s">
        <v>138</v>
      </c>
      <c r="BX568" s="50" t="s">
        <v>12477</v>
      </c>
      <c r="BY568" s="50" t="s">
        <v>12478</v>
      </c>
      <c r="BZ568" s="50" t="s">
        <v>929</v>
      </c>
      <c r="CA568" s="50" t="s">
        <v>12476</v>
      </c>
      <c r="CB568" s="50" t="s">
        <v>12477</v>
      </c>
      <c r="CC568" s="50" t="s">
        <v>12478</v>
      </c>
      <c r="CD568" s="50" t="s">
        <v>12476</v>
      </c>
      <c r="CE568" s="50" t="s">
        <v>12477</v>
      </c>
      <c r="CF568" s="50" t="s">
        <v>12478</v>
      </c>
      <c r="CG568" s="50" t="s">
        <v>102</v>
      </c>
      <c r="CH568" s="50" t="s">
        <v>931</v>
      </c>
      <c r="CJ568" s="50" t="s">
        <v>932</v>
      </c>
      <c r="CL568" s="50" t="s">
        <v>920</v>
      </c>
      <c r="CM568" s="50" t="s">
        <v>211</v>
      </c>
      <c r="CN568" s="50" t="s">
        <v>932</v>
      </c>
      <c r="CP568" s="50" t="s">
        <v>931</v>
      </c>
      <c r="CQ568" s="50" t="s">
        <v>931</v>
      </c>
      <c r="CR568" s="50" t="s">
        <v>26044</v>
      </c>
    </row>
    <row r="569" spans="1:96">
      <c r="A569" s="50" t="s">
        <v>337</v>
      </c>
      <c r="B569" s="50">
        <v>3144641</v>
      </c>
      <c r="C569" s="50" t="s">
        <v>12423</v>
      </c>
      <c r="D569" s="50" t="s">
        <v>14967</v>
      </c>
      <c r="E569" s="50" t="e">
        <f>VLOOKUP(B569,aa!B:F,5,0)</f>
        <v>#N/A</v>
      </c>
      <c r="F569" s="50" t="e">
        <f>VLOOKUP(B569,aa!B:J,9,0)</f>
        <v>#N/A</v>
      </c>
      <c r="G569" s="50" t="e">
        <f>VLOOKUP(B569,aa!B:L,11,0)</f>
        <v>#N/A</v>
      </c>
      <c r="H569" s="50" t="e">
        <f>VLOOKUP(B569,aa!B:O,14,0)</f>
        <v>#N/A</v>
      </c>
      <c r="I569" s="50" t="e">
        <f>VLOOKUP(B569,aa!B:R,17,0)</f>
        <v>#N/A</v>
      </c>
      <c r="K569" s="50" t="s">
        <v>97</v>
      </c>
      <c r="L569" s="50">
        <v>249975</v>
      </c>
      <c r="M569" s="50">
        <v>249975</v>
      </c>
      <c r="N569" s="50">
        <v>249975</v>
      </c>
      <c r="O569" s="50">
        <v>500</v>
      </c>
      <c r="P569" s="50" t="s">
        <v>364</v>
      </c>
      <c r="Q569" s="50">
        <v>0</v>
      </c>
      <c r="R569" s="50">
        <v>0</v>
      </c>
      <c r="T569" s="50">
        <v>0</v>
      </c>
      <c r="U569" s="50">
        <v>0</v>
      </c>
      <c r="W569" s="50" t="s">
        <v>102</v>
      </c>
      <c r="X569" s="50" t="s">
        <v>103</v>
      </c>
      <c r="Y569" s="50" t="s">
        <v>104</v>
      </c>
      <c r="AA569" s="50" t="s">
        <v>12062</v>
      </c>
      <c r="AB569" s="50" t="s">
        <v>14968</v>
      </c>
      <c r="AC569" s="50" t="s">
        <v>6895</v>
      </c>
      <c r="AD569" s="50" t="s">
        <v>14969</v>
      </c>
      <c r="AE569" s="50" t="s">
        <v>109</v>
      </c>
      <c r="AF569" s="50" t="s">
        <v>102</v>
      </c>
      <c r="AG569" s="50" t="s">
        <v>109</v>
      </c>
      <c r="AH569" s="50" t="s">
        <v>102</v>
      </c>
      <c r="AI569" s="50" t="s">
        <v>102</v>
      </c>
      <c r="AJ569" s="50" t="s">
        <v>12062</v>
      </c>
      <c r="AK569" s="50" t="s">
        <v>12062</v>
      </c>
      <c r="AL569" s="50" t="s">
        <v>14970</v>
      </c>
      <c r="AM569" s="50" t="s">
        <v>14971</v>
      </c>
      <c r="AN569" s="50" t="s">
        <v>14972</v>
      </c>
      <c r="AO569" s="50" t="s">
        <v>2307</v>
      </c>
      <c r="AP569" s="50" t="s">
        <v>2307</v>
      </c>
      <c r="AU569" s="50" t="s">
        <v>117</v>
      </c>
      <c r="AV569" s="50" t="s">
        <v>118</v>
      </c>
      <c r="AW569" s="50" t="s">
        <v>102</v>
      </c>
      <c r="AX569" s="50" t="s">
        <v>119</v>
      </c>
      <c r="BB569" s="50" t="s">
        <v>120</v>
      </c>
      <c r="BC569" s="50" t="s">
        <v>952</v>
      </c>
      <c r="BD569" s="50" t="s">
        <v>410</v>
      </c>
      <c r="BE569" s="50" t="s">
        <v>212</v>
      </c>
      <c r="BF569" s="50" t="s">
        <v>410</v>
      </c>
      <c r="BG569" s="50" t="s">
        <v>124</v>
      </c>
      <c r="BH569" s="50" t="s">
        <v>5651</v>
      </c>
      <c r="BI569" s="50" t="s">
        <v>11889</v>
      </c>
      <c r="BJ569" s="50" t="s">
        <v>127</v>
      </c>
      <c r="BK569" s="50" t="s">
        <v>14973</v>
      </c>
      <c r="BL569" s="50" t="s">
        <v>14974</v>
      </c>
      <c r="BM569" s="50" t="s">
        <v>14975</v>
      </c>
      <c r="BN569" s="50" t="s">
        <v>11954</v>
      </c>
      <c r="BO569" s="50" t="s">
        <v>896</v>
      </c>
      <c r="BP569" s="50" t="s">
        <v>350</v>
      </c>
      <c r="BQ569" s="50" t="s">
        <v>897</v>
      </c>
      <c r="BR569" s="50" t="s">
        <v>898</v>
      </c>
      <c r="BS569" s="50" t="s">
        <v>899</v>
      </c>
      <c r="BU569" s="50" t="s">
        <v>14976</v>
      </c>
      <c r="BV569" s="50" t="s">
        <v>14977</v>
      </c>
      <c r="BW569" s="50" t="s">
        <v>138</v>
      </c>
      <c r="BX569" s="50" t="s">
        <v>14978</v>
      </c>
      <c r="BY569" s="50" t="s">
        <v>14979</v>
      </c>
      <c r="BZ569" s="50" t="s">
        <v>14980</v>
      </c>
      <c r="CA569" s="50" t="s">
        <v>14981</v>
      </c>
      <c r="CB569" s="50" t="s">
        <v>14978</v>
      </c>
      <c r="CC569" s="50" t="s">
        <v>14979</v>
      </c>
      <c r="CD569" s="50" t="s">
        <v>14981</v>
      </c>
      <c r="CE569" s="50" t="s">
        <v>14978</v>
      </c>
      <c r="CF569" s="50" t="s">
        <v>14979</v>
      </c>
      <c r="CG569" s="50" t="s">
        <v>3841</v>
      </c>
      <c r="CH569" s="50" t="s">
        <v>14982</v>
      </c>
      <c r="CJ569" s="50" t="s">
        <v>14983</v>
      </c>
      <c r="CK569" s="50" t="s">
        <v>14984</v>
      </c>
      <c r="CL569" s="50" t="s">
        <v>952</v>
      </c>
      <c r="CM569" s="50" t="s">
        <v>410</v>
      </c>
      <c r="CN569" s="50" t="s">
        <v>14983</v>
      </c>
      <c r="CP569" s="50" t="s">
        <v>14774</v>
      </c>
      <c r="CQ569" s="50" t="s">
        <v>14984</v>
      </c>
      <c r="CR569" s="50" t="s">
        <v>26044</v>
      </c>
    </row>
    <row r="570" spans="1:96">
      <c r="A570" s="50" t="s">
        <v>337</v>
      </c>
      <c r="B570" s="50">
        <v>5069315</v>
      </c>
      <c r="C570" s="50" t="s">
        <v>985</v>
      </c>
      <c r="D570" s="50" t="s">
        <v>20743</v>
      </c>
      <c r="E570" s="50" t="e">
        <f>VLOOKUP(B570,aa!B:F,5,0)</f>
        <v>#N/A</v>
      </c>
      <c r="F570" s="50" t="e">
        <f>VLOOKUP(B570,aa!B:J,9,0)</f>
        <v>#N/A</v>
      </c>
      <c r="G570" s="50" t="e">
        <f>VLOOKUP(B570,aa!B:L,11,0)</f>
        <v>#N/A</v>
      </c>
      <c r="H570" s="50" t="e">
        <f>VLOOKUP(B570,aa!B:O,14,0)</f>
        <v>#N/A</v>
      </c>
      <c r="I570" s="50" t="e">
        <f>VLOOKUP(B570,aa!B:R,17,0)</f>
        <v>#N/A</v>
      </c>
      <c r="K570" s="50" t="s">
        <v>97</v>
      </c>
      <c r="L570" s="50">
        <v>381631</v>
      </c>
      <c r="M570" s="50">
        <v>381631</v>
      </c>
      <c r="N570" s="50">
        <v>381631</v>
      </c>
      <c r="O570" s="50">
        <v>694</v>
      </c>
      <c r="P570" s="50" t="s">
        <v>3431</v>
      </c>
      <c r="Q570" s="50">
        <v>0</v>
      </c>
      <c r="R570" s="50">
        <v>0</v>
      </c>
      <c r="T570" s="50">
        <v>0</v>
      </c>
      <c r="U570" s="50">
        <v>0</v>
      </c>
      <c r="W570" s="50" t="s">
        <v>102</v>
      </c>
      <c r="X570" s="50" t="s">
        <v>275</v>
      </c>
      <c r="Z570" s="50" t="s">
        <v>13583</v>
      </c>
      <c r="AA570" s="50" t="s">
        <v>109</v>
      </c>
      <c r="AB570" s="50" t="s">
        <v>102</v>
      </c>
      <c r="AC570" s="50" t="s">
        <v>109</v>
      </c>
      <c r="AD570" s="50" t="s">
        <v>102</v>
      </c>
      <c r="AE570" s="50" t="s">
        <v>109</v>
      </c>
      <c r="AF570" s="50" t="s">
        <v>102</v>
      </c>
      <c r="AG570" s="50" t="s">
        <v>109</v>
      </c>
      <c r="AH570" s="50" t="s">
        <v>102</v>
      </c>
      <c r="AI570" s="50" t="s">
        <v>102</v>
      </c>
      <c r="AJ570" s="50" t="s">
        <v>11888</v>
      </c>
      <c r="AK570" s="50" t="s">
        <v>11888</v>
      </c>
      <c r="AL570" s="50" t="s">
        <v>20744</v>
      </c>
      <c r="AM570" s="50" t="s">
        <v>20745</v>
      </c>
      <c r="AN570" s="50" t="s">
        <v>20746</v>
      </c>
      <c r="AO570" s="50" t="s">
        <v>4840</v>
      </c>
      <c r="AP570" s="50" t="s">
        <v>4840</v>
      </c>
      <c r="AU570" s="50" t="s">
        <v>117</v>
      </c>
      <c r="AV570" s="50" t="s">
        <v>118</v>
      </c>
      <c r="AW570" s="50" t="s">
        <v>102</v>
      </c>
      <c r="AX570" s="50" t="s">
        <v>119</v>
      </c>
      <c r="BB570" s="50" t="s">
        <v>120</v>
      </c>
      <c r="BC570" s="50" t="s">
        <v>20747</v>
      </c>
      <c r="BD570" s="50" t="s">
        <v>621</v>
      </c>
      <c r="BE570" s="50" t="s">
        <v>622</v>
      </c>
      <c r="BF570" s="50" t="s">
        <v>976</v>
      </c>
      <c r="BG570" s="50" t="s">
        <v>124</v>
      </c>
      <c r="BH570" s="50" t="s">
        <v>13583</v>
      </c>
      <c r="BI570" s="50" t="s">
        <v>14059</v>
      </c>
      <c r="BJ570" s="50" t="s">
        <v>127</v>
      </c>
      <c r="BK570" s="50" t="s">
        <v>20748</v>
      </c>
      <c r="BL570" s="50" t="s">
        <v>20749</v>
      </c>
      <c r="BM570" s="50" t="s">
        <v>20750</v>
      </c>
      <c r="BN570" s="50" t="s">
        <v>11954</v>
      </c>
      <c r="BO570" s="50" t="s">
        <v>2284</v>
      </c>
      <c r="BP570" s="50" t="s">
        <v>132</v>
      </c>
      <c r="BQ570" s="50" t="s">
        <v>2285</v>
      </c>
      <c r="BR570" s="50" t="s">
        <v>2286</v>
      </c>
      <c r="BS570" s="50" t="s">
        <v>1342</v>
      </c>
      <c r="BU570" s="50" t="s">
        <v>20751</v>
      </c>
      <c r="BV570" s="50" t="s">
        <v>20752</v>
      </c>
      <c r="BW570" s="50" t="s">
        <v>138</v>
      </c>
      <c r="BX570" s="50" t="s">
        <v>20753</v>
      </c>
      <c r="BY570" s="50" t="s">
        <v>20754</v>
      </c>
      <c r="BZ570" s="50" t="s">
        <v>20755</v>
      </c>
      <c r="CA570" s="50" t="s">
        <v>20752</v>
      </c>
      <c r="CB570" s="50" t="s">
        <v>20753</v>
      </c>
      <c r="CC570" s="50" t="s">
        <v>20754</v>
      </c>
      <c r="CD570" s="50" t="s">
        <v>20752</v>
      </c>
      <c r="CE570" s="50" t="s">
        <v>20753</v>
      </c>
      <c r="CF570" s="50" t="s">
        <v>20754</v>
      </c>
      <c r="CG570" s="50" t="s">
        <v>102</v>
      </c>
      <c r="CH570" s="50" t="s">
        <v>20756</v>
      </c>
      <c r="CJ570" s="50" t="s">
        <v>20757</v>
      </c>
      <c r="CL570" s="50" t="s">
        <v>20747</v>
      </c>
      <c r="CM570" s="50" t="s">
        <v>621</v>
      </c>
      <c r="CN570" s="50" t="s">
        <v>20757</v>
      </c>
      <c r="CO570" s="50" t="s">
        <v>20758</v>
      </c>
      <c r="CP570" s="50" t="s">
        <v>20756</v>
      </c>
      <c r="CQ570" s="50" t="s">
        <v>20759</v>
      </c>
    </row>
    <row r="571" spans="1:96">
      <c r="A571" s="50" t="s">
        <v>149</v>
      </c>
      <c r="B571" s="50">
        <v>3269893</v>
      </c>
      <c r="C571" s="50" t="s">
        <v>11882</v>
      </c>
      <c r="D571" s="50" t="s">
        <v>5145</v>
      </c>
      <c r="E571" s="50" t="e">
        <f>VLOOKUP(B571,aa!B:F,5,0)</f>
        <v>#N/A</v>
      </c>
      <c r="F571" s="50" t="e">
        <f>VLOOKUP(B571,aa!B:J,9,0)</f>
        <v>#N/A</v>
      </c>
      <c r="G571" s="50" t="e">
        <f>VLOOKUP(B571,aa!B:L,11,0)</f>
        <v>#N/A</v>
      </c>
      <c r="H571" s="50" t="e">
        <f>VLOOKUP(B571,aa!B:O,14,0)</f>
        <v>#N/A</v>
      </c>
      <c r="I571" s="50" t="e">
        <f>VLOOKUP(B571,aa!B:R,17,0)</f>
        <v>#N/A</v>
      </c>
      <c r="K571" s="50" t="s">
        <v>97</v>
      </c>
      <c r="L571" s="50">
        <v>241800</v>
      </c>
      <c r="M571" s="50">
        <v>241800</v>
      </c>
      <c r="N571" s="50">
        <v>241800</v>
      </c>
      <c r="O571" s="50">
        <v>310</v>
      </c>
      <c r="P571" s="50" t="s">
        <v>2110</v>
      </c>
      <c r="Q571" s="50">
        <v>0</v>
      </c>
      <c r="R571" s="50">
        <v>0</v>
      </c>
      <c r="T571" s="50">
        <v>0</v>
      </c>
      <c r="U571" s="50">
        <v>0</v>
      </c>
      <c r="W571" s="50" t="s">
        <v>102</v>
      </c>
      <c r="X571" s="50" t="s">
        <v>275</v>
      </c>
      <c r="Z571" s="50" t="s">
        <v>13583</v>
      </c>
      <c r="AA571" s="50" t="s">
        <v>109</v>
      </c>
      <c r="AB571" s="50" t="s">
        <v>102</v>
      </c>
      <c r="AC571" s="50" t="s">
        <v>109</v>
      </c>
      <c r="AD571" s="50" t="s">
        <v>102</v>
      </c>
      <c r="AE571" s="50" t="s">
        <v>109</v>
      </c>
      <c r="AF571" s="50" t="s">
        <v>102</v>
      </c>
      <c r="AG571" s="50" t="s">
        <v>109</v>
      </c>
      <c r="AH571" s="50" t="s">
        <v>102</v>
      </c>
      <c r="AI571" s="50" t="s">
        <v>15296</v>
      </c>
      <c r="AJ571" s="50" t="s">
        <v>9814</v>
      </c>
      <c r="AK571" s="50" t="s">
        <v>9814</v>
      </c>
      <c r="AL571" s="50" t="s">
        <v>15297</v>
      </c>
      <c r="AM571" s="50" t="s">
        <v>15298</v>
      </c>
      <c r="AN571" s="50" t="s">
        <v>102</v>
      </c>
      <c r="AO571" s="50" t="s">
        <v>6752</v>
      </c>
      <c r="AP571" s="50" t="s">
        <v>6752</v>
      </c>
      <c r="AU571" s="50" t="s">
        <v>318</v>
      </c>
      <c r="AV571" s="50" t="s">
        <v>250</v>
      </c>
      <c r="AW571" s="50" t="s">
        <v>102</v>
      </c>
      <c r="AX571" s="50" t="s">
        <v>119</v>
      </c>
      <c r="BB571" s="50" t="s">
        <v>120</v>
      </c>
      <c r="BC571" s="50" t="s">
        <v>4153</v>
      </c>
      <c r="BD571" s="50" t="s">
        <v>320</v>
      </c>
      <c r="BE571" s="50" t="s">
        <v>122</v>
      </c>
      <c r="BF571" s="50" t="s">
        <v>123</v>
      </c>
      <c r="BG571" s="50" t="s">
        <v>124</v>
      </c>
      <c r="BH571" s="50" t="s">
        <v>12023</v>
      </c>
      <c r="BI571" s="50" t="s">
        <v>11889</v>
      </c>
      <c r="BJ571" s="50" t="s">
        <v>127</v>
      </c>
      <c r="BK571" s="50" t="s">
        <v>15299</v>
      </c>
      <c r="BL571" s="50" t="s">
        <v>5153</v>
      </c>
      <c r="BM571" s="50" t="s">
        <v>15300</v>
      </c>
      <c r="BN571" s="50" t="s">
        <v>15295</v>
      </c>
      <c r="BO571" s="50" t="s">
        <v>3267</v>
      </c>
      <c r="BP571" s="50" t="s">
        <v>350</v>
      </c>
      <c r="BQ571" s="50" t="s">
        <v>3268</v>
      </c>
      <c r="BR571" s="50" t="s">
        <v>3269</v>
      </c>
      <c r="BS571" s="50" t="s">
        <v>135</v>
      </c>
      <c r="BU571" s="50" t="s">
        <v>15301</v>
      </c>
      <c r="BV571" s="50" t="s">
        <v>15302</v>
      </c>
      <c r="BW571" s="50" t="s">
        <v>598</v>
      </c>
      <c r="BX571" s="50" t="s">
        <v>15303</v>
      </c>
      <c r="BY571" s="50" t="s">
        <v>15304</v>
      </c>
      <c r="BZ571" s="50" t="s">
        <v>5159</v>
      </c>
      <c r="CA571" s="50" t="s">
        <v>15305</v>
      </c>
      <c r="CB571" s="50" t="s">
        <v>15306</v>
      </c>
      <c r="CC571" s="50" t="s">
        <v>15304</v>
      </c>
      <c r="CD571" s="50" t="s">
        <v>15302</v>
      </c>
      <c r="CE571" s="50" t="s">
        <v>15303</v>
      </c>
      <c r="CF571" s="50" t="s">
        <v>15304</v>
      </c>
      <c r="CG571" s="50" t="s">
        <v>102</v>
      </c>
      <c r="CH571" s="50" t="s">
        <v>15307</v>
      </c>
      <c r="CJ571" s="50" t="s">
        <v>5161</v>
      </c>
      <c r="CL571" s="50" t="s">
        <v>4153</v>
      </c>
      <c r="CM571" s="50" t="s">
        <v>320</v>
      </c>
      <c r="CN571" s="50" t="s">
        <v>5161</v>
      </c>
      <c r="CO571" s="50" t="s">
        <v>5162</v>
      </c>
      <c r="CP571" s="50" t="s">
        <v>5160</v>
      </c>
      <c r="CQ571" s="50" t="s">
        <v>5160</v>
      </c>
    </row>
    <row r="572" spans="1:96">
      <c r="A572" s="50" t="s">
        <v>149</v>
      </c>
      <c r="B572" s="50">
        <v>28968</v>
      </c>
      <c r="C572" s="50" t="s">
        <v>12491</v>
      </c>
      <c r="D572" s="50" t="s">
        <v>4492</v>
      </c>
      <c r="E572" s="50" t="e">
        <f>VLOOKUP(B572,aa!B:F,5,0)</f>
        <v>#N/A</v>
      </c>
      <c r="F572" s="50" t="e">
        <f>VLOOKUP(B572,aa!B:J,9,0)</f>
        <v>#N/A</v>
      </c>
      <c r="G572" s="50" t="e">
        <f>VLOOKUP(B572,aa!B:L,11,0)</f>
        <v>#N/A</v>
      </c>
      <c r="H572" s="50" t="e">
        <f>VLOOKUP(B572,aa!B:O,14,0)</f>
        <v>#N/A</v>
      </c>
      <c r="I572" s="50" t="e">
        <f>VLOOKUP(B572,aa!B:R,17,0)</f>
        <v>#N/A</v>
      </c>
      <c r="K572" s="50" t="s">
        <v>152</v>
      </c>
      <c r="L572" s="50">
        <v>123843</v>
      </c>
      <c r="M572" s="50">
        <v>123843</v>
      </c>
      <c r="N572" s="50">
        <v>0</v>
      </c>
      <c r="O572" s="50">
        <v>0</v>
      </c>
      <c r="Q572" s="50">
        <v>123843</v>
      </c>
      <c r="R572" s="50">
        <v>112</v>
      </c>
      <c r="S572" s="50" t="s">
        <v>14805</v>
      </c>
      <c r="T572" s="50">
        <v>0</v>
      </c>
      <c r="U572" s="50">
        <v>0</v>
      </c>
      <c r="W572" s="50" t="s">
        <v>102</v>
      </c>
      <c r="X572" s="50" t="s">
        <v>103</v>
      </c>
      <c r="Y572" s="50" t="s">
        <v>155</v>
      </c>
      <c r="AA572" s="50" t="s">
        <v>14806</v>
      </c>
      <c r="AB572" s="50" t="s">
        <v>14807</v>
      </c>
      <c r="AC572" s="50" t="s">
        <v>14808</v>
      </c>
      <c r="AD572" s="50" t="s">
        <v>14807</v>
      </c>
      <c r="AE572" s="50" t="s">
        <v>14809</v>
      </c>
      <c r="AF572" s="50" t="s">
        <v>14807</v>
      </c>
      <c r="AG572" s="50" t="s">
        <v>14810</v>
      </c>
      <c r="AH572" s="50" t="s">
        <v>14807</v>
      </c>
      <c r="AI572" s="50" t="s">
        <v>14811</v>
      </c>
      <c r="AJ572" s="50" t="s">
        <v>13863</v>
      </c>
      <c r="AK572" s="50" t="s">
        <v>13964</v>
      </c>
      <c r="AL572" s="50" t="s">
        <v>14812</v>
      </c>
      <c r="AM572" s="50" t="s">
        <v>14813</v>
      </c>
      <c r="AN572" s="50" t="s">
        <v>14814</v>
      </c>
      <c r="AO572" s="50" t="s">
        <v>14815</v>
      </c>
      <c r="AP572" s="50" t="s">
        <v>14815</v>
      </c>
      <c r="AU572" s="50" t="s">
        <v>102</v>
      </c>
      <c r="AW572" s="50" t="s">
        <v>655</v>
      </c>
      <c r="AX572" s="50" t="s">
        <v>119</v>
      </c>
      <c r="AZ572" s="50" t="s">
        <v>250</v>
      </c>
      <c r="BB572" s="50" t="s">
        <v>120</v>
      </c>
      <c r="BC572" s="50" t="s">
        <v>448</v>
      </c>
      <c r="BD572" s="50" t="s">
        <v>449</v>
      </c>
      <c r="BE572" s="50" t="s">
        <v>122</v>
      </c>
      <c r="BF572" s="50" t="s">
        <v>450</v>
      </c>
      <c r="BG572" s="50" t="s">
        <v>124</v>
      </c>
      <c r="BH572" s="50" t="s">
        <v>5651</v>
      </c>
      <c r="BI572" s="50" t="s">
        <v>11889</v>
      </c>
      <c r="BJ572" s="50" t="s">
        <v>127</v>
      </c>
      <c r="BK572" s="50" t="s">
        <v>14816</v>
      </c>
      <c r="BL572" s="50" t="s">
        <v>4504</v>
      </c>
      <c r="BM572" s="50" t="s">
        <v>14817</v>
      </c>
      <c r="BN572" s="50" t="s">
        <v>14804</v>
      </c>
      <c r="BO572" s="50" t="s">
        <v>8788</v>
      </c>
      <c r="BP572" s="50" t="s">
        <v>132</v>
      </c>
      <c r="BQ572" s="50" t="s">
        <v>8789</v>
      </c>
      <c r="BR572" s="50" t="s">
        <v>8790</v>
      </c>
      <c r="BS572" s="50" t="s">
        <v>1006</v>
      </c>
      <c r="BU572" s="50" t="s">
        <v>14818</v>
      </c>
      <c r="BV572" s="50" t="s">
        <v>4507</v>
      </c>
      <c r="BW572" s="50" t="s">
        <v>138</v>
      </c>
      <c r="BX572" s="50" t="s">
        <v>4508</v>
      </c>
      <c r="BY572" s="50" t="s">
        <v>4509</v>
      </c>
      <c r="BZ572" s="50" t="s">
        <v>4510</v>
      </c>
      <c r="CA572" s="50" t="s">
        <v>4507</v>
      </c>
      <c r="CB572" s="50" t="s">
        <v>4508</v>
      </c>
      <c r="CC572" s="50" t="s">
        <v>4509</v>
      </c>
      <c r="CD572" s="50" t="s">
        <v>14819</v>
      </c>
      <c r="CE572" s="50" t="s">
        <v>14820</v>
      </c>
      <c r="CF572" s="50" t="s">
        <v>14821</v>
      </c>
      <c r="CG572" s="50" t="s">
        <v>102</v>
      </c>
      <c r="CH572" s="50" t="s">
        <v>4511</v>
      </c>
      <c r="CJ572" s="50" t="s">
        <v>4512</v>
      </c>
      <c r="CL572" s="50" t="s">
        <v>448</v>
      </c>
      <c r="CM572" s="50" t="s">
        <v>449</v>
      </c>
      <c r="CN572" s="50" t="s">
        <v>4512</v>
      </c>
      <c r="CO572" s="50" t="s">
        <v>4513</v>
      </c>
      <c r="CP572" s="50" t="s">
        <v>4511</v>
      </c>
      <c r="CQ572" s="50" t="s">
        <v>4511</v>
      </c>
    </row>
    <row r="573" spans="1:96">
      <c r="A573" s="50" t="s">
        <v>93</v>
      </c>
      <c r="B573" s="50">
        <v>5018174</v>
      </c>
      <c r="C573" s="50" t="s">
        <v>222</v>
      </c>
      <c r="D573" s="50" t="s">
        <v>10599</v>
      </c>
      <c r="E573" s="50" t="e">
        <f>VLOOKUP(B573,aa!B:F,5,0)</f>
        <v>#N/A</v>
      </c>
      <c r="F573" s="50" t="e">
        <f>VLOOKUP(B573,aa!B:J,9,0)</f>
        <v>#N/A</v>
      </c>
      <c r="G573" s="50" t="e">
        <f>VLOOKUP(B573,aa!B:L,11,0)</f>
        <v>#N/A</v>
      </c>
      <c r="H573" s="50" t="e">
        <f>VLOOKUP(B573,aa!B:O,14,0)</f>
        <v>#N/A</v>
      </c>
      <c r="I573" s="50" t="e">
        <f>VLOOKUP(B573,aa!B:R,17,0)</f>
        <v>#N/A</v>
      </c>
      <c r="K573" s="50" t="s">
        <v>152</v>
      </c>
      <c r="L573" s="50">
        <v>0</v>
      </c>
      <c r="M573" s="50">
        <v>0</v>
      </c>
      <c r="N573" s="50">
        <v>0</v>
      </c>
      <c r="O573" s="50">
        <v>0</v>
      </c>
      <c r="Q573" s="50">
        <v>0</v>
      </c>
      <c r="R573" s="50">
        <v>205</v>
      </c>
      <c r="S573" s="50" t="s">
        <v>102</v>
      </c>
      <c r="T573" s="50">
        <v>0</v>
      </c>
      <c r="U573" s="50">
        <v>0</v>
      </c>
      <c r="W573" s="50" t="s">
        <v>102</v>
      </c>
      <c r="X573" s="50" t="s">
        <v>275</v>
      </c>
      <c r="Z573" s="50" t="s">
        <v>19469</v>
      </c>
      <c r="AA573" s="50" t="s">
        <v>109</v>
      </c>
      <c r="AB573" s="50" t="s">
        <v>102</v>
      </c>
      <c r="AC573" s="50" t="s">
        <v>109</v>
      </c>
      <c r="AD573" s="50" t="s">
        <v>102</v>
      </c>
      <c r="AE573" s="50" t="s">
        <v>109</v>
      </c>
      <c r="AF573" s="50" t="s">
        <v>102</v>
      </c>
      <c r="AG573" s="50" t="s">
        <v>109</v>
      </c>
      <c r="AH573" s="50" t="s">
        <v>102</v>
      </c>
      <c r="AI573" s="50" t="s">
        <v>102</v>
      </c>
      <c r="AL573" s="50" t="s">
        <v>102</v>
      </c>
      <c r="AM573" s="50" t="s">
        <v>102</v>
      </c>
      <c r="AN573" s="50" t="s">
        <v>102</v>
      </c>
      <c r="AO573" s="50" t="s">
        <v>115</v>
      </c>
      <c r="AP573" s="50" t="s">
        <v>115</v>
      </c>
      <c r="AU573" s="50" t="s">
        <v>102</v>
      </c>
      <c r="AW573" s="50" t="s">
        <v>1384</v>
      </c>
      <c r="AX573" s="50" t="s">
        <v>119</v>
      </c>
      <c r="AZ573" s="50" t="s">
        <v>250</v>
      </c>
      <c r="BB573" s="50" t="s">
        <v>209</v>
      </c>
      <c r="BC573" s="50" t="s">
        <v>1759</v>
      </c>
      <c r="BD573" s="50" t="s">
        <v>410</v>
      </c>
      <c r="BE573" s="50" t="s">
        <v>212</v>
      </c>
      <c r="BF573" s="50" t="s">
        <v>410</v>
      </c>
      <c r="BG573" s="50" t="s">
        <v>124</v>
      </c>
      <c r="BH573" s="50" t="s">
        <v>12082</v>
      </c>
      <c r="BI573" s="50" t="s">
        <v>11889</v>
      </c>
      <c r="BJ573" s="50" t="s">
        <v>127</v>
      </c>
      <c r="BK573" s="50" t="s">
        <v>19470</v>
      </c>
      <c r="BL573" s="50" t="s">
        <v>10602</v>
      </c>
      <c r="BM573" s="50" t="s">
        <v>19471</v>
      </c>
      <c r="BN573" s="50" t="s">
        <v>18123</v>
      </c>
      <c r="BO573" s="50" t="s">
        <v>415</v>
      </c>
      <c r="BP573" s="50" t="s">
        <v>505</v>
      </c>
      <c r="BQ573" s="50" t="s">
        <v>416</v>
      </c>
      <c r="BR573" s="50" t="s">
        <v>417</v>
      </c>
      <c r="BS573" s="50" t="s">
        <v>222</v>
      </c>
      <c r="BU573" s="50" t="s">
        <v>19472</v>
      </c>
      <c r="BV573" s="50" t="s">
        <v>3585</v>
      </c>
      <c r="BW573" s="50" t="s">
        <v>598</v>
      </c>
      <c r="BX573" s="50" t="s">
        <v>225</v>
      </c>
      <c r="BY573" s="50" t="s">
        <v>10475</v>
      </c>
      <c r="BZ573" s="50" t="s">
        <v>1769</v>
      </c>
      <c r="CA573" s="50" t="s">
        <v>3585</v>
      </c>
      <c r="CB573" s="50" t="s">
        <v>225</v>
      </c>
      <c r="CC573" s="50" t="s">
        <v>10475</v>
      </c>
      <c r="CD573" s="50" t="s">
        <v>3585</v>
      </c>
      <c r="CE573" s="50" t="s">
        <v>225</v>
      </c>
      <c r="CF573" s="50" t="s">
        <v>10475</v>
      </c>
      <c r="CG573" s="50" t="s">
        <v>102</v>
      </c>
      <c r="CH573" s="50" t="s">
        <v>19473</v>
      </c>
      <c r="CJ573" s="50" t="s">
        <v>1774</v>
      </c>
      <c r="CL573" s="50" t="s">
        <v>1759</v>
      </c>
      <c r="CM573" s="50" t="s">
        <v>410</v>
      </c>
      <c r="CN573" s="50" t="s">
        <v>1774</v>
      </c>
      <c r="CP573" s="50" t="s">
        <v>1773</v>
      </c>
      <c r="CQ573" s="50" t="s">
        <v>1773</v>
      </c>
      <c r="CR573" s="50" t="s">
        <v>26048</v>
      </c>
    </row>
    <row r="574" spans="1:96">
      <c r="A574" s="50" t="s">
        <v>337</v>
      </c>
      <c r="B574" s="50">
        <v>214620</v>
      </c>
      <c r="C574" s="50" t="s">
        <v>183</v>
      </c>
      <c r="D574" s="50" t="s">
        <v>13582</v>
      </c>
      <c r="E574" s="50" t="e">
        <f>VLOOKUP(B574,aa!B:F,5,0)</f>
        <v>#N/A</v>
      </c>
      <c r="F574" s="50" t="e">
        <f>VLOOKUP(B574,aa!B:J,9,0)</f>
        <v>#N/A</v>
      </c>
      <c r="G574" s="50" t="e">
        <f>VLOOKUP(B574,aa!B:L,11,0)</f>
        <v>#N/A</v>
      </c>
      <c r="H574" s="50" t="e">
        <f>VLOOKUP(B574,aa!B:O,14,0)</f>
        <v>#N/A</v>
      </c>
      <c r="I574" s="50" t="e">
        <f>VLOOKUP(B574,aa!B:R,17,0)</f>
        <v>#N/A</v>
      </c>
      <c r="K574" s="50" t="s">
        <v>97</v>
      </c>
      <c r="L574" s="50">
        <v>474345</v>
      </c>
      <c r="M574" s="50">
        <v>474345</v>
      </c>
      <c r="N574" s="50">
        <v>474345</v>
      </c>
      <c r="O574" s="50">
        <v>620</v>
      </c>
      <c r="P574" s="50" t="s">
        <v>13584</v>
      </c>
      <c r="Q574" s="50">
        <v>0</v>
      </c>
      <c r="R574" s="50">
        <v>0</v>
      </c>
      <c r="T574" s="50">
        <v>0</v>
      </c>
      <c r="U574" s="50">
        <v>0</v>
      </c>
      <c r="W574" s="50" t="s">
        <v>102</v>
      </c>
      <c r="X574" s="50" t="s">
        <v>275</v>
      </c>
      <c r="Z574" s="50" t="s">
        <v>12158</v>
      </c>
      <c r="AA574" s="50" t="s">
        <v>109</v>
      </c>
      <c r="AB574" s="50" t="s">
        <v>102</v>
      </c>
      <c r="AC574" s="50" t="s">
        <v>109</v>
      </c>
      <c r="AD574" s="50" t="s">
        <v>102</v>
      </c>
      <c r="AE574" s="50" t="s">
        <v>109</v>
      </c>
      <c r="AF574" s="50" t="s">
        <v>102</v>
      </c>
      <c r="AG574" s="50" t="s">
        <v>109</v>
      </c>
      <c r="AH574" s="50" t="s">
        <v>102</v>
      </c>
      <c r="AI574" s="50" t="s">
        <v>102</v>
      </c>
      <c r="AJ574" s="50" t="s">
        <v>8060</v>
      </c>
      <c r="AK574" s="50" t="s">
        <v>8060</v>
      </c>
      <c r="AL574" s="50" t="s">
        <v>13585</v>
      </c>
      <c r="AM574" s="50" t="s">
        <v>13586</v>
      </c>
      <c r="AN574" s="50" t="s">
        <v>13587</v>
      </c>
      <c r="AO574" s="50" t="s">
        <v>13588</v>
      </c>
      <c r="AP574" s="50" t="s">
        <v>13588</v>
      </c>
      <c r="AU574" s="50" t="s">
        <v>117</v>
      </c>
      <c r="AV574" s="50" t="s">
        <v>118</v>
      </c>
      <c r="AW574" s="50" t="s">
        <v>102</v>
      </c>
      <c r="AX574" s="50" t="s">
        <v>119</v>
      </c>
      <c r="BB574" s="50" t="s">
        <v>120</v>
      </c>
      <c r="BC574" s="50" t="s">
        <v>375</v>
      </c>
      <c r="BD574" s="50" t="s">
        <v>376</v>
      </c>
      <c r="BE574" s="50" t="s">
        <v>174</v>
      </c>
      <c r="BF574" s="50" t="s">
        <v>376</v>
      </c>
      <c r="BG574" s="50" t="s">
        <v>124</v>
      </c>
      <c r="BH574" s="50" t="s">
        <v>12327</v>
      </c>
      <c r="BI574" s="50" t="s">
        <v>13208</v>
      </c>
      <c r="BJ574" s="50" t="s">
        <v>127</v>
      </c>
      <c r="BK574" s="50" t="s">
        <v>13589</v>
      </c>
      <c r="BL574" s="50" t="s">
        <v>13590</v>
      </c>
      <c r="BM574" s="50" t="s">
        <v>13591</v>
      </c>
      <c r="BN574" s="50" t="s">
        <v>13583</v>
      </c>
      <c r="BO574" s="50" t="s">
        <v>6926</v>
      </c>
      <c r="BP574" s="50" t="s">
        <v>180</v>
      </c>
      <c r="BQ574" s="50" t="s">
        <v>6927</v>
      </c>
      <c r="BR574" s="50" t="s">
        <v>6928</v>
      </c>
      <c r="BS574" s="50" t="s">
        <v>1858</v>
      </c>
      <c r="BU574" s="50" t="s">
        <v>13592</v>
      </c>
      <c r="BV574" s="50" t="s">
        <v>13593</v>
      </c>
      <c r="BW574" s="50" t="s">
        <v>138</v>
      </c>
      <c r="BX574" s="50" t="s">
        <v>13594</v>
      </c>
      <c r="BY574" s="50" t="s">
        <v>13595</v>
      </c>
      <c r="BZ574" s="50" t="s">
        <v>13596</v>
      </c>
      <c r="CA574" s="50" t="s">
        <v>13593</v>
      </c>
      <c r="CB574" s="50" t="s">
        <v>13594</v>
      </c>
      <c r="CC574" s="50" t="s">
        <v>13595</v>
      </c>
      <c r="CD574" s="50" t="s">
        <v>13593</v>
      </c>
      <c r="CE574" s="50" t="s">
        <v>13594</v>
      </c>
      <c r="CF574" s="50" t="s">
        <v>13595</v>
      </c>
      <c r="CG574" s="50" t="s">
        <v>13597</v>
      </c>
      <c r="CH574" s="50" t="s">
        <v>13598</v>
      </c>
      <c r="CJ574" s="50" t="s">
        <v>13599</v>
      </c>
      <c r="CK574" s="50" t="s">
        <v>13598</v>
      </c>
      <c r="CL574" s="50" t="s">
        <v>375</v>
      </c>
      <c r="CM574" s="50" t="s">
        <v>376</v>
      </c>
      <c r="CN574" s="50" t="s">
        <v>13599</v>
      </c>
      <c r="CP574" s="50" t="s">
        <v>13598</v>
      </c>
      <c r="CQ574" s="50" t="s">
        <v>13598</v>
      </c>
    </row>
    <row r="575" spans="1:96">
      <c r="A575" s="50" t="s">
        <v>495</v>
      </c>
      <c r="B575" s="50">
        <v>416343</v>
      </c>
      <c r="C575" s="50" t="s">
        <v>632</v>
      </c>
      <c r="D575" s="50" t="s">
        <v>8816</v>
      </c>
      <c r="E575" s="50" t="e">
        <f>VLOOKUP(B575,aa!B:F,5,0)</f>
        <v>#N/A</v>
      </c>
      <c r="F575" s="50" t="e">
        <f>VLOOKUP(B575,aa!B:J,9,0)</f>
        <v>#N/A</v>
      </c>
      <c r="G575" s="50" t="e">
        <f>VLOOKUP(B575,aa!B:L,11,0)</f>
        <v>#N/A</v>
      </c>
      <c r="H575" s="50" t="e">
        <f>VLOOKUP(B575,aa!B:O,14,0)</f>
        <v>#N/A</v>
      </c>
      <c r="I575" s="50" t="e">
        <f>VLOOKUP(B575,aa!B:R,17,0)</f>
        <v>#N/A</v>
      </c>
      <c r="K575" s="50" t="s">
        <v>97</v>
      </c>
      <c r="L575" s="50">
        <v>542816</v>
      </c>
      <c r="M575" s="50">
        <v>542816</v>
      </c>
      <c r="N575" s="50">
        <v>542816</v>
      </c>
      <c r="O575" s="50">
        <v>656</v>
      </c>
      <c r="P575" s="50" t="s">
        <v>18213</v>
      </c>
      <c r="Q575" s="50">
        <v>0</v>
      </c>
      <c r="R575" s="50">
        <v>0</v>
      </c>
      <c r="T575" s="50">
        <v>0</v>
      </c>
      <c r="U575" s="50">
        <v>0</v>
      </c>
      <c r="W575" s="50" t="s">
        <v>102</v>
      </c>
      <c r="X575" s="50" t="s">
        <v>103</v>
      </c>
      <c r="Y575" s="50" t="s">
        <v>104</v>
      </c>
      <c r="AA575" s="50" t="s">
        <v>17783</v>
      </c>
      <c r="AB575" s="50" t="s">
        <v>18214</v>
      </c>
      <c r="AC575" s="50" t="s">
        <v>18215</v>
      </c>
      <c r="AD575" s="50" t="s">
        <v>18216</v>
      </c>
      <c r="AE575" s="50" t="s">
        <v>109</v>
      </c>
      <c r="AF575" s="50" t="s">
        <v>102</v>
      </c>
      <c r="AG575" s="50" t="s">
        <v>109</v>
      </c>
      <c r="AH575" s="50" t="s">
        <v>102</v>
      </c>
      <c r="AI575" s="50" t="s">
        <v>18217</v>
      </c>
      <c r="AJ575" s="50" t="s">
        <v>12873</v>
      </c>
      <c r="AK575" s="50" t="s">
        <v>13964</v>
      </c>
      <c r="AL575" s="50" t="s">
        <v>18218</v>
      </c>
      <c r="AM575" s="50" t="s">
        <v>18219</v>
      </c>
      <c r="AN575" s="50" t="s">
        <v>1089</v>
      </c>
      <c r="AO575" s="50" t="s">
        <v>18220</v>
      </c>
      <c r="AP575" s="50" t="s">
        <v>18220</v>
      </c>
      <c r="AU575" s="50" t="s">
        <v>117</v>
      </c>
      <c r="AV575" s="50" t="s">
        <v>118</v>
      </c>
      <c r="AW575" s="50" t="s">
        <v>102</v>
      </c>
      <c r="AX575" s="50" t="s">
        <v>119</v>
      </c>
      <c r="BB575" s="50" t="s">
        <v>120</v>
      </c>
      <c r="BC575" s="50" t="s">
        <v>8824</v>
      </c>
      <c r="BD575" s="50" t="s">
        <v>621</v>
      </c>
      <c r="BE575" s="50" t="s">
        <v>622</v>
      </c>
      <c r="BF575" s="50" t="s">
        <v>976</v>
      </c>
      <c r="BG575" s="50" t="s">
        <v>124</v>
      </c>
      <c r="BH575" s="50" t="s">
        <v>11959</v>
      </c>
      <c r="BI575" s="50" t="s">
        <v>11889</v>
      </c>
      <c r="BJ575" s="50" t="s">
        <v>127</v>
      </c>
      <c r="BK575" s="50" t="s">
        <v>18221</v>
      </c>
      <c r="BL575" s="50" t="s">
        <v>8826</v>
      </c>
      <c r="BM575" s="50" t="s">
        <v>18222</v>
      </c>
      <c r="BN575" s="50" t="s">
        <v>17783</v>
      </c>
      <c r="BO575" s="50" t="s">
        <v>1670</v>
      </c>
      <c r="BP575" s="50" t="s">
        <v>132</v>
      </c>
      <c r="BQ575" s="50" t="s">
        <v>1671</v>
      </c>
      <c r="BR575" s="50" t="s">
        <v>1672</v>
      </c>
      <c r="BS575" s="50" t="s">
        <v>507</v>
      </c>
      <c r="BU575" s="50" t="s">
        <v>18223</v>
      </c>
      <c r="BV575" s="50" t="s">
        <v>18224</v>
      </c>
      <c r="BW575" s="50" t="s">
        <v>138</v>
      </c>
      <c r="BX575" s="50" t="s">
        <v>8831</v>
      </c>
      <c r="BY575" s="50" t="s">
        <v>18225</v>
      </c>
      <c r="BZ575" s="50" t="s">
        <v>8829</v>
      </c>
      <c r="CA575" s="50" t="s">
        <v>18224</v>
      </c>
      <c r="CB575" s="50" t="s">
        <v>8831</v>
      </c>
      <c r="CC575" s="50" t="s">
        <v>18225</v>
      </c>
      <c r="CD575" s="50" t="s">
        <v>8833</v>
      </c>
      <c r="CE575" s="50" t="s">
        <v>8834</v>
      </c>
      <c r="CF575" s="50" t="s">
        <v>8835</v>
      </c>
      <c r="CG575" s="50" t="s">
        <v>102</v>
      </c>
      <c r="CH575" s="50" t="s">
        <v>18226</v>
      </c>
      <c r="CJ575" s="50" t="s">
        <v>7502</v>
      </c>
      <c r="CL575" s="50" t="s">
        <v>8824</v>
      </c>
      <c r="CM575" s="50" t="s">
        <v>621</v>
      </c>
      <c r="CN575" s="50" t="s">
        <v>7502</v>
      </c>
      <c r="CO575" s="50" t="s">
        <v>8837</v>
      </c>
      <c r="CP575" s="50" t="s">
        <v>8836</v>
      </c>
      <c r="CQ575" s="50" t="s">
        <v>8836</v>
      </c>
    </row>
    <row r="576" spans="1:96">
      <c r="A576" s="50" t="s">
        <v>337</v>
      </c>
      <c r="B576" s="50">
        <v>5018584</v>
      </c>
      <c r="C576" s="50" t="s">
        <v>1111</v>
      </c>
      <c r="D576" s="50" t="s">
        <v>20063</v>
      </c>
      <c r="E576" s="50" t="e">
        <f>VLOOKUP(B576,aa!B:F,5,0)</f>
        <v>#N/A</v>
      </c>
      <c r="F576" s="50" t="e">
        <f>VLOOKUP(B576,aa!B:J,9,0)</f>
        <v>#N/A</v>
      </c>
      <c r="G576" s="50" t="e">
        <f>VLOOKUP(B576,aa!B:L,11,0)</f>
        <v>#N/A</v>
      </c>
      <c r="H576" s="50" t="e">
        <f>VLOOKUP(B576,aa!B:O,14,0)</f>
        <v>#N/A</v>
      </c>
      <c r="I576" s="50" t="e">
        <f>VLOOKUP(B576,aa!B:R,17,0)</f>
        <v>#N/A</v>
      </c>
      <c r="K576" s="50" t="s">
        <v>848</v>
      </c>
      <c r="L576" s="50">
        <v>113070</v>
      </c>
      <c r="M576" s="50">
        <v>133423</v>
      </c>
      <c r="N576" s="50">
        <v>0</v>
      </c>
      <c r="O576" s="50">
        <v>0</v>
      </c>
      <c r="Q576" s="50">
        <v>0</v>
      </c>
      <c r="R576" s="50">
        <v>0</v>
      </c>
      <c r="T576" s="50">
        <v>113070</v>
      </c>
      <c r="U576" s="50">
        <v>109</v>
      </c>
      <c r="V576" s="50" t="s">
        <v>20064</v>
      </c>
      <c r="W576" s="50" t="s">
        <v>102</v>
      </c>
      <c r="X576" s="50" t="s">
        <v>103</v>
      </c>
      <c r="Y576" s="50" t="s">
        <v>104</v>
      </c>
      <c r="AA576" s="50" t="s">
        <v>12289</v>
      </c>
      <c r="AB576" s="50" t="s">
        <v>20065</v>
      </c>
      <c r="AC576" s="50" t="s">
        <v>11886</v>
      </c>
      <c r="AD576" s="50" t="s">
        <v>20065</v>
      </c>
      <c r="AE576" s="50" t="s">
        <v>109</v>
      </c>
      <c r="AF576" s="50" t="s">
        <v>102</v>
      </c>
      <c r="AG576" s="50" t="s">
        <v>109</v>
      </c>
      <c r="AH576" s="50" t="s">
        <v>102</v>
      </c>
      <c r="AI576" s="50" t="s">
        <v>102</v>
      </c>
      <c r="AJ576" s="50" t="s">
        <v>12470</v>
      </c>
      <c r="AK576" s="50" t="s">
        <v>12470</v>
      </c>
      <c r="AL576" s="50" t="s">
        <v>20066</v>
      </c>
      <c r="AM576" s="50" t="s">
        <v>5007</v>
      </c>
      <c r="AN576" s="50" t="s">
        <v>20067</v>
      </c>
      <c r="AO576" s="50" t="s">
        <v>15210</v>
      </c>
      <c r="AP576" s="50" t="s">
        <v>15210</v>
      </c>
      <c r="AU576" s="50" t="s">
        <v>102</v>
      </c>
      <c r="AW576" s="50" t="s">
        <v>102</v>
      </c>
      <c r="AX576" s="50" t="s">
        <v>119</v>
      </c>
      <c r="BA576" s="50" t="s">
        <v>250</v>
      </c>
      <c r="BB576" s="50" t="s">
        <v>120</v>
      </c>
      <c r="BC576" s="50" t="s">
        <v>20068</v>
      </c>
      <c r="BD576" s="50" t="s">
        <v>4404</v>
      </c>
      <c r="BE576" s="50" t="s">
        <v>174</v>
      </c>
      <c r="BF576" s="50" t="s">
        <v>4405</v>
      </c>
      <c r="BG576" s="50" t="s">
        <v>124</v>
      </c>
      <c r="BH576" s="50" t="s">
        <v>4045</v>
      </c>
      <c r="BI576" s="50" t="s">
        <v>11889</v>
      </c>
      <c r="BJ576" s="50" t="s">
        <v>127</v>
      </c>
      <c r="BK576" s="50" t="s">
        <v>20069</v>
      </c>
      <c r="BL576" s="50" t="s">
        <v>20070</v>
      </c>
      <c r="BM576" s="50" t="s">
        <v>20071</v>
      </c>
      <c r="BN576" s="50" t="s">
        <v>12783</v>
      </c>
      <c r="BO576" s="50" t="s">
        <v>16015</v>
      </c>
      <c r="BP576" s="50" t="s">
        <v>505</v>
      </c>
      <c r="BQ576" s="50" t="s">
        <v>16016</v>
      </c>
      <c r="BR576" s="50" t="s">
        <v>16017</v>
      </c>
      <c r="BS576" s="50" t="s">
        <v>4413</v>
      </c>
      <c r="BU576" s="50" t="s">
        <v>20072</v>
      </c>
      <c r="BV576" s="50" t="s">
        <v>20073</v>
      </c>
      <c r="BX576" s="50" t="s">
        <v>20074</v>
      </c>
      <c r="BY576" s="50" t="s">
        <v>20075</v>
      </c>
      <c r="BZ576" s="50" t="s">
        <v>20074</v>
      </c>
      <c r="CA576" s="50" t="s">
        <v>20073</v>
      </c>
      <c r="CB576" s="50" t="s">
        <v>20074</v>
      </c>
      <c r="CC576" s="50" t="s">
        <v>20075</v>
      </c>
      <c r="CD576" s="50" t="s">
        <v>20073</v>
      </c>
      <c r="CE576" s="50" t="s">
        <v>20074</v>
      </c>
      <c r="CF576" s="50" t="s">
        <v>20075</v>
      </c>
      <c r="CG576" s="50" t="s">
        <v>14025</v>
      </c>
      <c r="CH576" s="50" t="s">
        <v>20076</v>
      </c>
      <c r="CJ576" s="50" t="s">
        <v>20077</v>
      </c>
      <c r="CK576" s="50" t="s">
        <v>20078</v>
      </c>
      <c r="CL576" s="50" t="s">
        <v>20068</v>
      </c>
      <c r="CM576" s="50" t="s">
        <v>4404</v>
      </c>
      <c r="CN576" s="50" t="s">
        <v>20077</v>
      </c>
      <c r="CP576" s="50" t="s">
        <v>20079</v>
      </c>
      <c r="CQ576" s="50" t="s">
        <v>20079</v>
      </c>
      <c r="CR576" s="50" t="s">
        <v>26046</v>
      </c>
    </row>
    <row r="577" spans="1:96">
      <c r="A577" s="50" t="s">
        <v>149</v>
      </c>
      <c r="B577" s="50">
        <v>5002619</v>
      </c>
      <c r="C577" s="50" t="s">
        <v>183</v>
      </c>
      <c r="D577" s="50" t="s">
        <v>9128</v>
      </c>
      <c r="E577" s="50" t="e">
        <f>VLOOKUP(B577,aa!B:F,5,0)</f>
        <v>#N/A</v>
      </c>
      <c r="F577" s="50" t="e">
        <f>VLOOKUP(B577,aa!B:J,9,0)</f>
        <v>#N/A</v>
      </c>
      <c r="G577" s="50" t="e">
        <f>VLOOKUP(B577,aa!B:L,11,0)</f>
        <v>#N/A</v>
      </c>
      <c r="H577" s="50" t="e">
        <f>VLOOKUP(B577,aa!B:O,14,0)</f>
        <v>#N/A</v>
      </c>
      <c r="I577" s="50" t="e">
        <f>VLOOKUP(B577,aa!B:R,17,0)</f>
        <v>#N/A</v>
      </c>
      <c r="K577" s="50" t="s">
        <v>97</v>
      </c>
      <c r="L577" s="50">
        <v>204100</v>
      </c>
      <c r="M577" s="50">
        <v>204100</v>
      </c>
      <c r="N577" s="50">
        <v>204100</v>
      </c>
      <c r="O577" s="50">
        <v>298</v>
      </c>
      <c r="P577" s="50" t="s">
        <v>6543</v>
      </c>
      <c r="Q577" s="50">
        <v>0</v>
      </c>
      <c r="R577" s="50">
        <v>0</v>
      </c>
      <c r="T577" s="50">
        <v>0</v>
      </c>
      <c r="U577" s="50">
        <v>0</v>
      </c>
      <c r="W577" s="50" t="s">
        <v>102</v>
      </c>
      <c r="X577" s="50" t="s">
        <v>275</v>
      </c>
      <c r="Z577" s="50" t="s">
        <v>13340</v>
      </c>
      <c r="AA577" s="50" t="s">
        <v>109</v>
      </c>
      <c r="AB577" s="50" t="s">
        <v>102</v>
      </c>
      <c r="AC577" s="50" t="s">
        <v>109</v>
      </c>
      <c r="AD577" s="50" t="s">
        <v>102</v>
      </c>
      <c r="AE577" s="50" t="s">
        <v>109</v>
      </c>
      <c r="AF577" s="50" t="s">
        <v>102</v>
      </c>
      <c r="AG577" s="50" t="s">
        <v>109</v>
      </c>
      <c r="AH577" s="50" t="s">
        <v>102</v>
      </c>
      <c r="AI577" s="50" t="s">
        <v>102</v>
      </c>
      <c r="AJ577" s="50" t="s">
        <v>15422</v>
      </c>
      <c r="AK577" s="50" t="s">
        <v>15422</v>
      </c>
      <c r="AL577" s="50" t="s">
        <v>18491</v>
      </c>
      <c r="AM577" s="50" t="s">
        <v>18491</v>
      </c>
      <c r="AN577" s="50" t="s">
        <v>102</v>
      </c>
      <c r="AO577" s="50" t="s">
        <v>18492</v>
      </c>
      <c r="AP577" s="50" t="s">
        <v>18492</v>
      </c>
      <c r="AU577" s="50" t="s">
        <v>117</v>
      </c>
      <c r="AV577" s="50" t="s">
        <v>118</v>
      </c>
      <c r="AW577" s="50" t="s">
        <v>102</v>
      </c>
      <c r="AX577" s="50" t="s">
        <v>119</v>
      </c>
      <c r="BB577" s="50" t="s">
        <v>120</v>
      </c>
      <c r="BC577" s="50" t="s">
        <v>375</v>
      </c>
      <c r="BD577" s="50" t="s">
        <v>376</v>
      </c>
      <c r="BE577" s="50" t="s">
        <v>174</v>
      </c>
      <c r="BF577" s="50" t="s">
        <v>376</v>
      </c>
      <c r="BG577" s="50" t="s">
        <v>124</v>
      </c>
      <c r="BH577" s="50" t="s">
        <v>12427</v>
      </c>
      <c r="BI577" s="50" t="s">
        <v>11889</v>
      </c>
      <c r="BJ577" s="50" t="s">
        <v>127</v>
      </c>
      <c r="BK577" s="50" t="s">
        <v>18493</v>
      </c>
      <c r="BL577" s="50" t="s">
        <v>9135</v>
      </c>
      <c r="BM577" s="50" t="s">
        <v>18494</v>
      </c>
      <c r="BN577" s="50" t="s">
        <v>12158</v>
      </c>
      <c r="BO577" s="50" t="s">
        <v>179</v>
      </c>
      <c r="BP577" s="50" t="s">
        <v>180</v>
      </c>
      <c r="BQ577" s="50" t="s">
        <v>181</v>
      </c>
      <c r="BR577" s="50" t="s">
        <v>182</v>
      </c>
      <c r="BS577" s="50" t="s">
        <v>384</v>
      </c>
      <c r="BU577" s="50" t="s">
        <v>18495</v>
      </c>
      <c r="BV577" s="50" t="s">
        <v>9138</v>
      </c>
      <c r="BW577" s="50" t="s">
        <v>569</v>
      </c>
      <c r="BX577" s="50" t="s">
        <v>9142</v>
      </c>
      <c r="BY577" s="50" t="s">
        <v>9140</v>
      </c>
      <c r="BZ577" s="50" t="s">
        <v>9141</v>
      </c>
      <c r="CA577" s="50" t="s">
        <v>9138</v>
      </c>
      <c r="CB577" s="50" t="s">
        <v>9142</v>
      </c>
      <c r="CC577" s="50" t="s">
        <v>9140</v>
      </c>
      <c r="CD577" s="50" t="s">
        <v>18496</v>
      </c>
      <c r="CE577" s="50" t="s">
        <v>9144</v>
      </c>
      <c r="CF577" s="50" t="s">
        <v>9145</v>
      </c>
      <c r="CG577" s="50" t="s">
        <v>102</v>
      </c>
      <c r="CH577" s="50" t="s">
        <v>18497</v>
      </c>
      <c r="CJ577" s="50" t="s">
        <v>9147</v>
      </c>
      <c r="CL577" s="50" t="s">
        <v>375</v>
      </c>
      <c r="CM577" s="50" t="s">
        <v>376</v>
      </c>
      <c r="CN577" s="50" t="s">
        <v>9147</v>
      </c>
      <c r="CP577" s="50" t="s">
        <v>9148</v>
      </c>
      <c r="CQ577" s="50" t="s">
        <v>9149</v>
      </c>
      <c r="CR577" s="50" t="s">
        <v>26044</v>
      </c>
    </row>
    <row r="578" spans="1:96">
      <c r="A578" s="50" t="s">
        <v>337</v>
      </c>
      <c r="B578" s="50">
        <v>5015638</v>
      </c>
      <c r="C578" s="50" t="s">
        <v>12155</v>
      </c>
      <c r="D578" s="50" t="s">
        <v>18699</v>
      </c>
      <c r="E578" s="50" t="e">
        <f>VLOOKUP(B578,aa!B:F,5,0)</f>
        <v>#N/A</v>
      </c>
      <c r="F578" s="50" t="e">
        <f>VLOOKUP(B578,aa!B:J,9,0)</f>
        <v>#N/A</v>
      </c>
      <c r="G578" s="50" t="e">
        <f>VLOOKUP(B578,aa!B:L,11,0)</f>
        <v>#N/A</v>
      </c>
      <c r="H578" s="50" t="e">
        <f>VLOOKUP(B578,aa!B:O,14,0)</f>
        <v>#N/A</v>
      </c>
      <c r="I578" s="50" t="e">
        <f>VLOOKUP(B578,aa!B:R,17,0)</f>
        <v>#N/A</v>
      </c>
      <c r="K578" s="50" t="s">
        <v>152</v>
      </c>
      <c r="L578" s="50">
        <v>42480</v>
      </c>
      <c r="M578" s="50">
        <v>42480</v>
      </c>
      <c r="N578" s="50">
        <v>0</v>
      </c>
      <c r="O578" s="50">
        <v>0</v>
      </c>
      <c r="Q578" s="50">
        <v>42480</v>
      </c>
      <c r="R578" s="50">
        <v>59</v>
      </c>
      <c r="S578" s="50" t="s">
        <v>995</v>
      </c>
      <c r="T578" s="50">
        <v>0</v>
      </c>
      <c r="U578" s="50">
        <v>0</v>
      </c>
      <c r="W578" s="50" t="s">
        <v>102</v>
      </c>
      <c r="X578" s="50" t="s">
        <v>103</v>
      </c>
      <c r="Y578" s="50" t="s">
        <v>104</v>
      </c>
      <c r="AA578" s="50" t="s">
        <v>12873</v>
      </c>
      <c r="AB578" s="50" t="s">
        <v>18700</v>
      </c>
      <c r="AC578" s="50" t="s">
        <v>12713</v>
      </c>
      <c r="AD578" s="50" t="s">
        <v>18700</v>
      </c>
      <c r="AE578" s="50" t="s">
        <v>109</v>
      </c>
      <c r="AF578" s="50" t="s">
        <v>102</v>
      </c>
      <c r="AG578" s="50" t="s">
        <v>109</v>
      </c>
      <c r="AH578" s="50" t="s">
        <v>102</v>
      </c>
      <c r="AI578" s="50" t="s">
        <v>102</v>
      </c>
      <c r="AJ578" s="50" t="s">
        <v>2050</v>
      </c>
      <c r="AK578" s="50" t="s">
        <v>2050</v>
      </c>
      <c r="AL578" s="50" t="s">
        <v>18701</v>
      </c>
      <c r="AM578" s="50" t="s">
        <v>18700</v>
      </c>
      <c r="AN578" s="50" t="s">
        <v>18700</v>
      </c>
      <c r="AO578" s="50" t="s">
        <v>317</v>
      </c>
      <c r="AP578" s="50" t="s">
        <v>317</v>
      </c>
      <c r="AU578" s="50" t="s">
        <v>102</v>
      </c>
      <c r="AW578" s="50" t="s">
        <v>104</v>
      </c>
      <c r="AX578" s="50" t="s">
        <v>447</v>
      </c>
      <c r="AY578" s="50" t="s">
        <v>170</v>
      </c>
      <c r="AZ578" s="50" t="s">
        <v>118</v>
      </c>
      <c r="BB578" s="50" t="s">
        <v>120</v>
      </c>
      <c r="BC578" s="50" t="s">
        <v>12104</v>
      </c>
      <c r="BD578" s="50" t="s">
        <v>1208</v>
      </c>
      <c r="BE578" s="50" t="s">
        <v>174</v>
      </c>
      <c r="BF578" s="50" t="s">
        <v>1172</v>
      </c>
      <c r="BG578" s="50" t="s">
        <v>124</v>
      </c>
      <c r="BH578" s="50" t="s">
        <v>12023</v>
      </c>
      <c r="BI578" s="50" t="s">
        <v>11889</v>
      </c>
      <c r="BJ578" s="50" t="s">
        <v>127</v>
      </c>
      <c r="BK578" s="50" t="s">
        <v>18702</v>
      </c>
      <c r="BL578" s="50" t="s">
        <v>18703</v>
      </c>
      <c r="BM578" s="50" t="s">
        <v>18704</v>
      </c>
      <c r="BN578" s="50" t="s">
        <v>12158</v>
      </c>
      <c r="BO578" s="50" t="s">
        <v>1212</v>
      </c>
      <c r="BP578" s="50" t="s">
        <v>180</v>
      </c>
      <c r="BQ578" s="50" t="s">
        <v>1213</v>
      </c>
      <c r="BR578" s="50" t="s">
        <v>1214</v>
      </c>
      <c r="BS578" s="50" t="s">
        <v>1215</v>
      </c>
      <c r="BU578" s="50" t="s">
        <v>18705</v>
      </c>
      <c r="BV578" s="50" t="s">
        <v>18706</v>
      </c>
      <c r="BW578" s="50" t="s">
        <v>138</v>
      </c>
      <c r="BX578" s="50" t="s">
        <v>18707</v>
      </c>
      <c r="BY578" s="50" t="s">
        <v>18708</v>
      </c>
      <c r="BZ578" s="50" t="s">
        <v>18707</v>
      </c>
      <c r="CA578" s="50" t="s">
        <v>18706</v>
      </c>
      <c r="CB578" s="50" t="s">
        <v>18707</v>
      </c>
      <c r="CC578" s="50" t="s">
        <v>18708</v>
      </c>
      <c r="CD578" s="50" t="s">
        <v>18706</v>
      </c>
      <c r="CE578" s="50" t="s">
        <v>18707</v>
      </c>
      <c r="CF578" s="50" t="s">
        <v>18708</v>
      </c>
      <c r="CG578" s="50" t="s">
        <v>18709</v>
      </c>
      <c r="CH578" s="50" t="s">
        <v>18710</v>
      </c>
      <c r="CJ578" s="50" t="s">
        <v>18711</v>
      </c>
      <c r="CK578" s="50" t="s">
        <v>18710</v>
      </c>
      <c r="CL578" s="50" t="s">
        <v>12104</v>
      </c>
      <c r="CM578" s="50" t="s">
        <v>1208</v>
      </c>
      <c r="CN578" s="50" t="s">
        <v>18711</v>
      </c>
      <c r="CP578" s="50" t="s">
        <v>18712</v>
      </c>
      <c r="CQ578" s="50" t="s">
        <v>18712</v>
      </c>
      <c r="CR578" s="50" t="s">
        <v>26046</v>
      </c>
    </row>
    <row r="579" spans="1:96">
      <c r="A579" s="50" t="s">
        <v>337</v>
      </c>
      <c r="B579" s="50">
        <v>1881318</v>
      </c>
      <c r="C579" s="50" t="s">
        <v>12155</v>
      </c>
      <c r="D579" s="50" t="s">
        <v>13109</v>
      </c>
      <c r="E579" s="50" t="e">
        <f>VLOOKUP(B579,aa!B:F,5,0)</f>
        <v>#N/A</v>
      </c>
      <c r="F579" s="50" t="e">
        <f>VLOOKUP(B579,aa!B:J,9,0)</f>
        <v>#N/A</v>
      </c>
      <c r="G579" s="50" t="e">
        <f>VLOOKUP(B579,aa!B:L,11,0)</f>
        <v>#N/A</v>
      </c>
      <c r="H579" s="50" t="e">
        <f>VLOOKUP(B579,aa!B:O,14,0)</f>
        <v>#N/A</v>
      </c>
      <c r="I579" s="50" t="e">
        <f>VLOOKUP(B579,aa!B:R,17,0)</f>
        <v>#N/A</v>
      </c>
      <c r="K579" s="50" t="s">
        <v>848</v>
      </c>
      <c r="L579" s="50">
        <v>263997</v>
      </c>
      <c r="M579" s="50">
        <v>311516</v>
      </c>
      <c r="N579" s="50">
        <v>0</v>
      </c>
      <c r="O579" s="50">
        <v>0</v>
      </c>
      <c r="Q579" s="50">
        <v>0</v>
      </c>
      <c r="R579" s="50">
        <v>0</v>
      </c>
      <c r="T579" s="50">
        <v>263997</v>
      </c>
      <c r="U579" s="50">
        <v>416</v>
      </c>
      <c r="V579" s="50" t="s">
        <v>12956</v>
      </c>
      <c r="W579" s="50" t="s">
        <v>102</v>
      </c>
      <c r="X579" s="50" t="s">
        <v>103</v>
      </c>
      <c r="Y579" s="50" t="s">
        <v>104</v>
      </c>
      <c r="AA579" s="50" t="s">
        <v>11888</v>
      </c>
      <c r="AB579" s="50" t="s">
        <v>13111</v>
      </c>
      <c r="AC579" s="50" t="s">
        <v>12713</v>
      </c>
      <c r="AD579" s="50" t="s">
        <v>13111</v>
      </c>
      <c r="AE579" s="50" t="s">
        <v>109</v>
      </c>
      <c r="AF579" s="50" t="s">
        <v>102</v>
      </c>
      <c r="AG579" s="50" t="s">
        <v>109</v>
      </c>
      <c r="AH579" s="50" t="s">
        <v>102</v>
      </c>
      <c r="AI579" s="50" t="s">
        <v>102</v>
      </c>
      <c r="AJ579" s="50" t="s">
        <v>8747</v>
      </c>
      <c r="AK579" s="50" t="s">
        <v>8747</v>
      </c>
      <c r="AL579" s="50" t="s">
        <v>13112</v>
      </c>
      <c r="AM579" s="50" t="s">
        <v>13111</v>
      </c>
      <c r="AN579" s="50" t="s">
        <v>13111</v>
      </c>
      <c r="AO579" s="50" t="s">
        <v>13113</v>
      </c>
      <c r="AP579" s="50" t="s">
        <v>13113</v>
      </c>
      <c r="AU579" s="50" t="s">
        <v>102</v>
      </c>
      <c r="AW579" s="50" t="s">
        <v>102</v>
      </c>
      <c r="AX579" s="50" t="s">
        <v>119</v>
      </c>
      <c r="BA579" s="50" t="s">
        <v>250</v>
      </c>
      <c r="BB579" s="50" t="s">
        <v>120</v>
      </c>
      <c r="BC579" s="50" t="s">
        <v>7508</v>
      </c>
      <c r="BD579" s="50" t="s">
        <v>1208</v>
      </c>
      <c r="BE579" s="50" t="s">
        <v>174</v>
      </c>
      <c r="BF579" s="50" t="s">
        <v>1172</v>
      </c>
      <c r="BG579" s="50" t="s">
        <v>124</v>
      </c>
      <c r="BH579" s="50" t="s">
        <v>11888</v>
      </c>
      <c r="BI579" s="50" t="s">
        <v>11889</v>
      </c>
      <c r="BJ579" s="50" t="s">
        <v>127</v>
      </c>
      <c r="BK579" s="50" t="s">
        <v>13114</v>
      </c>
      <c r="BL579" s="50" t="s">
        <v>13115</v>
      </c>
      <c r="BM579" s="50" t="s">
        <v>13116</v>
      </c>
      <c r="BN579" s="50" t="s">
        <v>13110</v>
      </c>
      <c r="BO579" s="50" t="s">
        <v>1212</v>
      </c>
      <c r="BP579" s="50" t="s">
        <v>180</v>
      </c>
      <c r="BQ579" s="50" t="s">
        <v>1213</v>
      </c>
      <c r="BR579" s="50" t="s">
        <v>1214</v>
      </c>
      <c r="BS579" s="50" t="s">
        <v>1215</v>
      </c>
      <c r="BU579" s="50" t="s">
        <v>13117</v>
      </c>
      <c r="BV579" s="50" t="s">
        <v>13118</v>
      </c>
      <c r="BW579" s="50" t="s">
        <v>354</v>
      </c>
      <c r="BX579" s="50" t="s">
        <v>13119</v>
      </c>
      <c r="BY579" s="50" t="s">
        <v>13120</v>
      </c>
      <c r="BZ579" s="50" t="s">
        <v>13119</v>
      </c>
      <c r="CA579" s="50" t="s">
        <v>13118</v>
      </c>
      <c r="CB579" s="50" t="s">
        <v>13119</v>
      </c>
      <c r="CC579" s="50" t="s">
        <v>13120</v>
      </c>
      <c r="CD579" s="50" t="s">
        <v>13118</v>
      </c>
      <c r="CE579" s="50" t="s">
        <v>13119</v>
      </c>
      <c r="CF579" s="50" t="s">
        <v>13120</v>
      </c>
      <c r="CG579" s="50" t="s">
        <v>13121</v>
      </c>
      <c r="CH579" s="50" t="s">
        <v>13122</v>
      </c>
      <c r="CJ579" s="50" t="s">
        <v>7525</v>
      </c>
      <c r="CK579" s="50" t="s">
        <v>13122</v>
      </c>
      <c r="CL579" s="50" t="s">
        <v>7508</v>
      </c>
      <c r="CM579" s="50" t="s">
        <v>1208</v>
      </c>
      <c r="CN579" s="50" t="s">
        <v>7525</v>
      </c>
      <c r="CP579" s="50" t="s">
        <v>13123</v>
      </c>
      <c r="CQ579" s="50" t="s">
        <v>13123</v>
      </c>
    </row>
    <row r="580" spans="1:96">
      <c r="A580" s="50" t="s">
        <v>337</v>
      </c>
      <c r="B580" s="50">
        <v>3996943</v>
      </c>
      <c r="C580" s="50" t="s">
        <v>12096</v>
      </c>
      <c r="D580" s="50" t="s">
        <v>17697</v>
      </c>
      <c r="E580" s="50" t="e">
        <f>VLOOKUP(B580,aa!B:F,5,0)</f>
        <v>#N/A</v>
      </c>
      <c r="F580" s="50" t="e">
        <f>VLOOKUP(B580,aa!B:J,9,0)</f>
        <v>#N/A</v>
      </c>
      <c r="G580" s="50" t="e">
        <f>VLOOKUP(B580,aa!B:L,11,0)</f>
        <v>#N/A</v>
      </c>
      <c r="H580" s="50" t="e">
        <f>VLOOKUP(B580,aa!B:O,14,0)</f>
        <v>#N/A</v>
      </c>
      <c r="I580" s="50" t="e">
        <f>VLOOKUP(B580,aa!B:R,17,0)</f>
        <v>#N/A</v>
      </c>
      <c r="K580" s="50" t="s">
        <v>97</v>
      </c>
      <c r="L580" s="50">
        <v>123690</v>
      </c>
      <c r="M580" s="50">
        <v>123690</v>
      </c>
      <c r="N580" s="50">
        <v>123690</v>
      </c>
      <c r="O580" s="50">
        <v>70</v>
      </c>
      <c r="P580" s="50" t="s">
        <v>17698</v>
      </c>
      <c r="Q580" s="50">
        <v>0</v>
      </c>
      <c r="R580" s="50">
        <v>0</v>
      </c>
      <c r="T580" s="50">
        <v>0</v>
      </c>
      <c r="U580" s="50">
        <v>0</v>
      </c>
      <c r="W580" s="50" t="s">
        <v>102</v>
      </c>
      <c r="X580" s="50" t="s">
        <v>103</v>
      </c>
      <c r="Y580" s="50" t="s">
        <v>155</v>
      </c>
      <c r="AA580" s="50" t="s">
        <v>12289</v>
      </c>
      <c r="AB580" s="50" t="s">
        <v>17699</v>
      </c>
      <c r="AC580" s="50" t="s">
        <v>12041</v>
      </c>
      <c r="AD580" s="50" t="s">
        <v>17699</v>
      </c>
      <c r="AE580" s="50" t="s">
        <v>14059</v>
      </c>
      <c r="AF580" s="50" t="s">
        <v>17699</v>
      </c>
      <c r="AG580" s="50" t="s">
        <v>6895</v>
      </c>
      <c r="AH580" s="50" t="s">
        <v>17699</v>
      </c>
      <c r="AI580" s="50" t="s">
        <v>102</v>
      </c>
      <c r="AJ580" s="50" t="s">
        <v>8186</v>
      </c>
      <c r="AK580" s="50" t="s">
        <v>8186</v>
      </c>
      <c r="AL580" s="50" t="s">
        <v>17700</v>
      </c>
      <c r="AM580" s="50" t="s">
        <v>5650</v>
      </c>
      <c r="AN580" s="50" t="s">
        <v>17701</v>
      </c>
      <c r="AO580" s="50" t="s">
        <v>17702</v>
      </c>
      <c r="AP580" s="50" t="s">
        <v>17702</v>
      </c>
      <c r="AU580" s="50" t="s">
        <v>117</v>
      </c>
      <c r="AV580" s="50" t="s">
        <v>118</v>
      </c>
      <c r="AW580" s="50" t="s">
        <v>102</v>
      </c>
      <c r="AX580" s="50" t="s">
        <v>119</v>
      </c>
      <c r="BB580" s="50" t="s">
        <v>120</v>
      </c>
      <c r="BC580" s="50" t="s">
        <v>17703</v>
      </c>
      <c r="BD580" s="50" t="s">
        <v>376</v>
      </c>
      <c r="BE580" s="50" t="s">
        <v>174</v>
      </c>
      <c r="BF580" s="50" t="s">
        <v>376</v>
      </c>
      <c r="BG580" s="50" t="s">
        <v>124</v>
      </c>
      <c r="BH580" s="50" t="s">
        <v>12023</v>
      </c>
      <c r="BI580" s="50" t="s">
        <v>11889</v>
      </c>
      <c r="BJ580" s="50" t="s">
        <v>127</v>
      </c>
      <c r="BK580" s="50" t="s">
        <v>17704</v>
      </c>
      <c r="BL580" s="50" t="s">
        <v>17705</v>
      </c>
      <c r="BM580" s="50" t="s">
        <v>17706</v>
      </c>
      <c r="BN580" s="50" t="s">
        <v>13110</v>
      </c>
      <c r="BO580" s="50" t="s">
        <v>13780</v>
      </c>
      <c r="BP580" s="50" t="s">
        <v>180</v>
      </c>
      <c r="BQ580" s="50" t="s">
        <v>13781</v>
      </c>
      <c r="BR580" s="50" t="s">
        <v>13782</v>
      </c>
      <c r="BS580" s="50" t="s">
        <v>13783</v>
      </c>
      <c r="BU580" s="50" t="s">
        <v>17707</v>
      </c>
      <c r="BV580" s="50" t="s">
        <v>17708</v>
      </c>
      <c r="BW580" s="50" t="s">
        <v>138</v>
      </c>
      <c r="BX580" s="50" t="s">
        <v>17709</v>
      </c>
      <c r="BY580" s="50" t="s">
        <v>17710</v>
      </c>
      <c r="BZ580" s="50" t="s">
        <v>17711</v>
      </c>
      <c r="CA580" s="50" t="s">
        <v>17712</v>
      </c>
      <c r="CB580" s="50" t="s">
        <v>17709</v>
      </c>
      <c r="CC580" s="50" t="s">
        <v>17713</v>
      </c>
      <c r="CD580" s="50" t="s">
        <v>17712</v>
      </c>
      <c r="CE580" s="50" t="s">
        <v>17709</v>
      </c>
      <c r="CF580" s="50" t="s">
        <v>17713</v>
      </c>
      <c r="CG580" s="50" t="s">
        <v>2555</v>
      </c>
      <c r="CH580" s="50" t="s">
        <v>17714</v>
      </c>
      <c r="CJ580" s="50" t="s">
        <v>17715</v>
      </c>
      <c r="CK580" s="50" t="s">
        <v>17716</v>
      </c>
      <c r="CL580" s="50" t="s">
        <v>17703</v>
      </c>
      <c r="CM580" s="50" t="s">
        <v>376</v>
      </c>
      <c r="CN580" s="50" t="s">
        <v>17715</v>
      </c>
      <c r="CP580" s="50" t="s">
        <v>17717</v>
      </c>
      <c r="CQ580" s="50" t="s">
        <v>17717</v>
      </c>
    </row>
    <row r="581" spans="1:96">
      <c r="A581" s="50" t="s">
        <v>337</v>
      </c>
      <c r="B581" s="50">
        <v>5068265</v>
      </c>
      <c r="C581" s="50" t="s">
        <v>11995</v>
      </c>
      <c r="D581" s="50" t="s">
        <v>20732</v>
      </c>
      <c r="E581" s="50" t="str">
        <f>VLOOKUP(B581,aa!B:F,5,0)</f>
        <v>Ei CARES</v>
      </c>
      <c r="F581" s="50">
        <f>VLOOKUP(B581,aa!B:J,9,0)</f>
        <v>122850</v>
      </c>
      <c r="G581" s="50">
        <f>VLOOKUP(B581,aa!B:L,11,0)</f>
        <v>0</v>
      </c>
      <c r="H581" s="50">
        <f>VLOOKUP(B581,aa!B:O,14,0)</f>
        <v>122850</v>
      </c>
      <c r="I581" s="50">
        <f>VLOOKUP(B581,aa!B:R,17,0)</f>
        <v>0</v>
      </c>
      <c r="K581" s="50" t="s">
        <v>152</v>
      </c>
      <c r="L581" s="50">
        <v>122850</v>
      </c>
      <c r="M581" s="50">
        <v>122850</v>
      </c>
      <c r="N581" s="50">
        <v>0</v>
      </c>
      <c r="O581" s="50">
        <v>0</v>
      </c>
      <c r="Q581" s="50">
        <v>122850</v>
      </c>
      <c r="R581" s="50">
        <v>75</v>
      </c>
      <c r="S581" s="50" t="s">
        <v>20733</v>
      </c>
      <c r="T581" s="50">
        <v>0</v>
      </c>
      <c r="U581" s="50">
        <v>0</v>
      </c>
      <c r="W581" s="50" t="s">
        <v>102</v>
      </c>
      <c r="X581" s="50" t="s">
        <v>103</v>
      </c>
      <c r="Y581" s="50" t="s">
        <v>104</v>
      </c>
      <c r="AA581" s="50" t="s">
        <v>12041</v>
      </c>
      <c r="AB581" s="50" t="s">
        <v>8539</v>
      </c>
      <c r="AC581" s="50" t="s">
        <v>6895</v>
      </c>
      <c r="AD581" s="50" t="s">
        <v>8539</v>
      </c>
      <c r="AE581" s="50" t="s">
        <v>109</v>
      </c>
      <c r="AF581" s="50" t="s">
        <v>102</v>
      </c>
      <c r="AG581" s="50" t="s">
        <v>109</v>
      </c>
      <c r="AH581" s="50" t="s">
        <v>102</v>
      </c>
      <c r="AI581" s="50" t="s">
        <v>102</v>
      </c>
      <c r="AJ581" s="50" t="s">
        <v>13302</v>
      </c>
      <c r="AK581" s="50" t="s">
        <v>13302</v>
      </c>
      <c r="AL581" s="50" t="s">
        <v>20734</v>
      </c>
      <c r="AM581" s="50" t="s">
        <v>20734</v>
      </c>
      <c r="AN581" s="50" t="s">
        <v>102</v>
      </c>
      <c r="AO581" s="50" t="s">
        <v>4950</v>
      </c>
      <c r="AP581" s="50" t="s">
        <v>4950</v>
      </c>
      <c r="AU581" s="50" t="s">
        <v>102</v>
      </c>
      <c r="AW581" s="50" t="s">
        <v>102</v>
      </c>
      <c r="AX581" s="50" t="s">
        <v>119</v>
      </c>
      <c r="AY581" s="50" t="s">
        <v>1138</v>
      </c>
      <c r="AZ581" s="50" t="s">
        <v>118</v>
      </c>
      <c r="BB581" s="50" t="s">
        <v>209</v>
      </c>
      <c r="BC581" s="50" t="s">
        <v>1609</v>
      </c>
      <c r="BD581" s="50" t="s">
        <v>285</v>
      </c>
      <c r="BE581" s="50" t="s">
        <v>212</v>
      </c>
      <c r="BF581" s="50" t="s">
        <v>286</v>
      </c>
      <c r="BG581" s="50" t="s">
        <v>124</v>
      </c>
      <c r="BH581" s="50" t="s">
        <v>11959</v>
      </c>
      <c r="BI581" s="50" t="s">
        <v>12047</v>
      </c>
      <c r="BJ581" s="50" t="s">
        <v>127</v>
      </c>
      <c r="BK581" s="50" t="s">
        <v>20735</v>
      </c>
      <c r="BL581" s="50" t="s">
        <v>20736</v>
      </c>
      <c r="BM581" s="50" t="s">
        <v>20737</v>
      </c>
      <c r="BN581" s="50" t="s">
        <v>14210</v>
      </c>
      <c r="BO581" s="50" t="s">
        <v>3997</v>
      </c>
      <c r="BP581" s="50" t="s">
        <v>505</v>
      </c>
      <c r="BQ581" s="50" t="s">
        <v>3998</v>
      </c>
      <c r="BR581" s="50" t="s">
        <v>3999</v>
      </c>
      <c r="BS581" s="50" t="s">
        <v>3362</v>
      </c>
      <c r="BU581" s="50" t="s">
        <v>20738</v>
      </c>
      <c r="BV581" s="50" t="s">
        <v>19148</v>
      </c>
      <c r="BW581" s="50" t="s">
        <v>354</v>
      </c>
      <c r="BX581" s="50" t="s">
        <v>1618</v>
      </c>
      <c r="BY581" s="50" t="s">
        <v>1619</v>
      </c>
      <c r="BZ581" s="50" t="s">
        <v>1618</v>
      </c>
      <c r="CA581" s="50" t="s">
        <v>19148</v>
      </c>
      <c r="CB581" s="50" t="s">
        <v>1618</v>
      </c>
      <c r="CC581" s="50" t="s">
        <v>1619</v>
      </c>
      <c r="CD581" s="50" t="s">
        <v>20739</v>
      </c>
      <c r="CE581" s="50" t="s">
        <v>1615</v>
      </c>
      <c r="CF581" s="50" t="s">
        <v>1616</v>
      </c>
      <c r="CG581" s="50" t="s">
        <v>573</v>
      </c>
      <c r="CH581" s="50" t="s">
        <v>20740</v>
      </c>
      <c r="CJ581" s="50" t="s">
        <v>20741</v>
      </c>
      <c r="CK581" s="50" t="s">
        <v>20740</v>
      </c>
      <c r="CL581" s="50" t="s">
        <v>1609</v>
      </c>
      <c r="CM581" s="50" t="s">
        <v>285</v>
      </c>
      <c r="CN581" s="50" t="s">
        <v>20741</v>
      </c>
      <c r="CP581" s="50" t="s">
        <v>20742</v>
      </c>
      <c r="CQ581" s="50" t="s">
        <v>20742</v>
      </c>
    </row>
    <row r="582" spans="1:96">
      <c r="A582" s="50" t="s">
        <v>337</v>
      </c>
      <c r="B582" s="50">
        <v>2053321</v>
      </c>
      <c r="C582" s="50" t="s">
        <v>12507</v>
      </c>
      <c r="D582" s="50" t="s">
        <v>13393</v>
      </c>
      <c r="E582" s="50" t="e">
        <f>VLOOKUP(B582,aa!B:F,5,0)</f>
        <v>#N/A</v>
      </c>
      <c r="F582" s="50" t="e">
        <f>VLOOKUP(B582,aa!B:J,9,0)</f>
        <v>#N/A</v>
      </c>
      <c r="G582" s="50" t="e">
        <f>VLOOKUP(B582,aa!B:L,11,0)</f>
        <v>#N/A</v>
      </c>
      <c r="H582" s="50" t="e">
        <f>VLOOKUP(B582,aa!B:O,14,0)</f>
        <v>#N/A</v>
      </c>
      <c r="I582" s="50" t="e">
        <f>VLOOKUP(B582,aa!B:R,17,0)</f>
        <v>#N/A</v>
      </c>
      <c r="K582" s="50" t="s">
        <v>97</v>
      </c>
      <c r="L582" s="50">
        <v>95519</v>
      </c>
      <c r="M582" s="50">
        <v>95519</v>
      </c>
      <c r="N582" s="50">
        <v>95519</v>
      </c>
      <c r="O582" s="50">
        <v>191</v>
      </c>
      <c r="P582" s="50" t="s">
        <v>364</v>
      </c>
      <c r="Q582" s="50">
        <v>0</v>
      </c>
      <c r="R582" s="50">
        <v>0</v>
      </c>
      <c r="T582" s="50">
        <v>0</v>
      </c>
      <c r="U582" s="50">
        <v>0</v>
      </c>
      <c r="W582" s="50" t="s">
        <v>102</v>
      </c>
      <c r="X582" s="50" t="s">
        <v>103</v>
      </c>
      <c r="Y582" s="50" t="s">
        <v>104</v>
      </c>
      <c r="AA582" s="50" t="s">
        <v>12427</v>
      </c>
      <c r="AB582" s="50" t="s">
        <v>13394</v>
      </c>
      <c r="AC582" s="50" t="s">
        <v>13395</v>
      </c>
      <c r="AD582" s="50" t="s">
        <v>13394</v>
      </c>
      <c r="AE582" s="50" t="s">
        <v>109</v>
      </c>
      <c r="AF582" s="50" t="s">
        <v>102</v>
      </c>
      <c r="AG582" s="50" t="s">
        <v>109</v>
      </c>
      <c r="AH582" s="50" t="s">
        <v>102</v>
      </c>
      <c r="AI582" s="50" t="s">
        <v>102</v>
      </c>
      <c r="AJ582" s="50" t="s">
        <v>13340</v>
      </c>
      <c r="AK582" s="50" t="s">
        <v>13340</v>
      </c>
      <c r="AL582" s="50" t="s">
        <v>13396</v>
      </c>
      <c r="AM582" s="50" t="s">
        <v>13397</v>
      </c>
      <c r="AN582" s="50" t="s">
        <v>13398</v>
      </c>
      <c r="AO582" s="50" t="s">
        <v>2353</v>
      </c>
      <c r="AP582" s="50" t="s">
        <v>2353</v>
      </c>
      <c r="AU582" s="50" t="s">
        <v>117</v>
      </c>
      <c r="AV582" s="50" t="s">
        <v>118</v>
      </c>
      <c r="AW582" s="50" t="s">
        <v>102</v>
      </c>
      <c r="AX582" s="50" t="s">
        <v>119</v>
      </c>
      <c r="BB582" s="50" t="s">
        <v>120</v>
      </c>
      <c r="BC582" s="50" t="s">
        <v>2542</v>
      </c>
      <c r="BD582" s="50" t="s">
        <v>2543</v>
      </c>
      <c r="BE582" s="50" t="s">
        <v>122</v>
      </c>
      <c r="BF582" s="50" t="s">
        <v>557</v>
      </c>
      <c r="BG582" s="50" t="s">
        <v>124</v>
      </c>
      <c r="BH582" s="50" t="s">
        <v>12427</v>
      </c>
      <c r="BI582" s="50" t="s">
        <v>12047</v>
      </c>
      <c r="BJ582" s="50" t="s">
        <v>127</v>
      </c>
      <c r="BK582" s="50" t="s">
        <v>13399</v>
      </c>
      <c r="BL582" s="50" t="s">
        <v>13400</v>
      </c>
      <c r="BM582" s="50" t="s">
        <v>13401</v>
      </c>
      <c r="BN582" s="50" t="s">
        <v>2050</v>
      </c>
      <c r="BO582" s="50" t="s">
        <v>13402</v>
      </c>
      <c r="BP582" s="50" t="s">
        <v>350</v>
      </c>
      <c r="BQ582" s="50" t="s">
        <v>13403</v>
      </c>
      <c r="BR582" s="50" t="s">
        <v>13404</v>
      </c>
      <c r="BS582" s="50" t="s">
        <v>13405</v>
      </c>
      <c r="BU582" s="50" t="s">
        <v>13406</v>
      </c>
      <c r="BV582" s="50" t="s">
        <v>13407</v>
      </c>
      <c r="BW582" s="50" t="s">
        <v>138</v>
      </c>
      <c r="BX582" s="50" t="s">
        <v>13408</v>
      </c>
      <c r="BY582" s="50" t="s">
        <v>13409</v>
      </c>
      <c r="BZ582" s="50" t="s">
        <v>13408</v>
      </c>
      <c r="CA582" s="50" t="s">
        <v>13407</v>
      </c>
      <c r="CB582" s="50" t="s">
        <v>13408</v>
      </c>
      <c r="CC582" s="50" t="s">
        <v>13409</v>
      </c>
      <c r="CD582" s="50" t="s">
        <v>13410</v>
      </c>
      <c r="CE582" s="50" t="s">
        <v>13411</v>
      </c>
      <c r="CF582" s="50" t="s">
        <v>13412</v>
      </c>
      <c r="CG582" s="50" t="s">
        <v>7500</v>
      </c>
      <c r="CH582" s="50" t="s">
        <v>13413</v>
      </c>
      <c r="CJ582" s="50" t="s">
        <v>13414</v>
      </c>
      <c r="CL582" s="50" t="s">
        <v>2542</v>
      </c>
      <c r="CM582" s="50" t="s">
        <v>2543</v>
      </c>
      <c r="CN582" s="50" t="s">
        <v>13414</v>
      </c>
      <c r="CP582" s="50" t="s">
        <v>13415</v>
      </c>
      <c r="CQ582" s="50" t="s">
        <v>13416</v>
      </c>
    </row>
    <row r="583" spans="1:96">
      <c r="A583" s="50" t="s">
        <v>149</v>
      </c>
      <c r="B583" s="50">
        <v>3712077</v>
      </c>
      <c r="C583" s="50" t="s">
        <v>632</v>
      </c>
      <c r="D583" s="50" t="s">
        <v>7234</v>
      </c>
      <c r="E583" s="50" t="e">
        <f>VLOOKUP(B583,aa!B:F,5,0)</f>
        <v>#N/A</v>
      </c>
      <c r="F583" s="50" t="e">
        <f>VLOOKUP(B583,aa!B:J,9,0)</f>
        <v>#N/A</v>
      </c>
      <c r="G583" s="50" t="e">
        <f>VLOOKUP(B583,aa!B:L,11,0)</f>
        <v>#N/A</v>
      </c>
      <c r="H583" s="50" t="e">
        <f>VLOOKUP(B583,aa!B:O,14,0)</f>
        <v>#N/A</v>
      </c>
      <c r="I583" s="50" t="e">
        <f>VLOOKUP(B583,aa!B:R,17,0)</f>
        <v>#N/A</v>
      </c>
      <c r="K583" s="50" t="s">
        <v>97</v>
      </c>
      <c r="L583" s="50">
        <v>142805</v>
      </c>
      <c r="M583" s="50">
        <v>142805</v>
      </c>
      <c r="N583" s="50">
        <v>142805</v>
      </c>
      <c r="O583" s="50">
        <v>119</v>
      </c>
      <c r="P583" s="50" t="s">
        <v>880</v>
      </c>
      <c r="Q583" s="50">
        <v>0</v>
      </c>
      <c r="R583" s="50">
        <v>0</v>
      </c>
      <c r="T583" s="50">
        <v>0</v>
      </c>
      <c r="U583" s="50">
        <v>0</v>
      </c>
      <c r="W583" s="50" t="s">
        <v>102</v>
      </c>
      <c r="X583" s="50" t="s">
        <v>103</v>
      </c>
      <c r="Y583" s="50" t="s">
        <v>104</v>
      </c>
      <c r="AA583" s="50" t="s">
        <v>12217</v>
      </c>
      <c r="AB583" s="50" t="s">
        <v>16797</v>
      </c>
      <c r="AC583" s="50" t="s">
        <v>13395</v>
      </c>
      <c r="AD583" s="50" t="s">
        <v>16798</v>
      </c>
      <c r="AE583" s="50" t="s">
        <v>109</v>
      </c>
      <c r="AF583" s="50" t="s">
        <v>102</v>
      </c>
      <c r="AG583" s="50" t="s">
        <v>109</v>
      </c>
      <c r="AH583" s="50" t="s">
        <v>102</v>
      </c>
      <c r="AI583" s="50" t="s">
        <v>16799</v>
      </c>
      <c r="AJ583" s="50" t="s">
        <v>12609</v>
      </c>
      <c r="AK583" s="50" t="s">
        <v>12609</v>
      </c>
      <c r="AL583" s="50" t="s">
        <v>16800</v>
      </c>
      <c r="AM583" s="50" t="s">
        <v>16801</v>
      </c>
      <c r="AN583" s="50" t="s">
        <v>16798</v>
      </c>
      <c r="AO583" s="50" t="s">
        <v>16802</v>
      </c>
      <c r="AP583" s="50" t="s">
        <v>16802</v>
      </c>
      <c r="AU583" s="50" t="s">
        <v>117</v>
      </c>
      <c r="AV583" s="50" t="s">
        <v>118</v>
      </c>
      <c r="AW583" s="50" t="s">
        <v>102</v>
      </c>
      <c r="AX583" s="50" t="s">
        <v>119</v>
      </c>
      <c r="BB583" s="50" t="s">
        <v>2565</v>
      </c>
      <c r="BC583" s="50" t="s">
        <v>623</v>
      </c>
      <c r="BD583" s="50" t="s">
        <v>621</v>
      </c>
      <c r="BE583" s="50" t="s">
        <v>622</v>
      </c>
      <c r="BF583" s="50" t="s">
        <v>623</v>
      </c>
      <c r="BG583" s="50" t="s">
        <v>124</v>
      </c>
      <c r="BH583" s="50" t="s">
        <v>12023</v>
      </c>
      <c r="BI583" s="50" t="s">
        <v>11889</v>
      </c>
      <c r="BJ583" s="50" t="s">
        <v>127</v>
      </c>
      <c r="BK583" s="50" t="s">
        <v>16803</v>
      </c>
      <c r="BL583" s="50" t="s">
        <v>7241</v>
      </c>
      <c r="BM583" s="50" t="s">
        <v>16804</v>
      </c>
      <c r="BN583" s="50" t="s">
        <v>12873</v>
      </c>
      <c r="BO583" s="50" t="s">
        <v>1339</v>
      </c>
      <c r="BP583" s="50" t="s">
        <v>132</v>
      </c>
      <c r="BQ583" s="50" t="s">
        <v>1340</v>
      </c>
      <c r="BR583" s="50" t="s">
        <v>1341</v>
      </c>
      <c r="BS583" s="50" t="s">
        <v>507</v>
      </c>
      <c r="BU583" s="50" t="s">
        <v>16805</v>
      </c>
      <c r="BV583" s="50" t="s">
        <v>16806</v>
      </c>
      <c r="BX583" s="50" t="s">
        <v>7245</v>
      </c>
      <c r="BY583" s="50" t="s">
        <v>16807</v>
      </c>
      <c r="BZ583" s="50" t="s">
        <v>7245</v>
      </c>
      <c r="CA583" s="50" t="s">
        <v>16806</v>
      </c>
      <c r="CB583" s="50" t="s">
        <v>7245</v>
      </c>
      <c r="CC583" s="50" t="s">
        <v>16807</v>
      </c>
      <c r="CD583" s="50" t="s">
        <v>16806</v>
      </c>
      <c r="CE583" s="50" t="s">
        <v>7245</v>
      </c>
      <c r="CF583" s="50" t="s">
        <v>16807</v>
      </c>
      <c r="CG583" s="50" t="s">
        <v>7248</v>
      </c>
      <c r="CH583" s="50" t="s">
        <v>7249</v>
      </c>
      <c r="CJ583" s="50" t="s">
        <v>7250</v>
      </c>
      <c r="CL583" s="50" t="s">
        <v>623</v>
      </c>
      <c r="CM583" s="50" t="s">
        <v>621</v>
      </c>
      <c r="CN583" s="50" t="s">
        <v>7250</v>
      </c>
      <c r="CO583" s="50" t="s">
        <v>7251</v>
      </c>
      <c r="CP583" s="50" t="s">
        <v>7249</v>
      </c>
      <c r="CQ583" s="50" t="s">
        <v>7249</v>
      </c>
      <c r="CR583" s="50" t="s">
        <v>26048</v>
      </c>
    </row>
    <row r="584" spans="1:96">
      <c r="A584" s="50" t="s">
        <v>149</v>
      </c>
      <c r="B584" s="50">
        <v>249296</v>
      </c>
      <c r="C584" s="50" t="s">
        <v>2525</v>
      </c>
      <c r="D584" s="50" t="s">
        <v>3708</v>
      </c>
      <c r="E584" s="50" t="e">
        <f>VLOOKUP(B584,aa!B:F,5,0)</f>
        <v>#N/A</v>
      </c>
      <c r="F584" s="50" t="e">
        <f>VLOOKUP(B584,aa!B:J,9,0)</f>
        <v>#N/A</v>
      </c>
      <c r="G584" s="50" t="e">
        <f>VLOOKUP(B584,aa!B:L,11,0)</f>
        <v>#N/A</v>
      </c>
      <c r="H584" s="50" t="e">
        <f>VLOOKUP(B584,aa!B:O,14,0)</f>
        <v>#N/A</v>
      </c>
      <c r="I584" s="50" t="e">
        <f>VLOOKUP(B584,aa!B:R,17,0)</f>
        <v>#N/A</v>
      </c>
      <c r="K584" s="50" t="s">
        <v>97</v>
      </c>
      <c r="L584" s="50">
        <v>75899</v>
      </c>
      <c r="M584" s="50">
        <v>75899</v>
      </c>
      <c r="N584" s="50">
        <v>75899</v>
      </c>
      <c r="O584" s="50">
        <v>92</v>
      </c>
      <c r="P584" s="50" t="s">
        <v>3811</v>
      </c>
      <c r="Q584" s="50">
        <v>0</v>
      </c>
      <c r="R584" s="50">
        <v>0</v>
      </c>
      <c r="T584" s="50">
        <v>0</v>
      </c>
      <c r="U584" s="50">
        <v>0</v>
      </c>
      <c r="W584" s="50" t="s">
        <v>102</v>
      </c>
      <c r="X584" s="50" t="s">
        <v>275</v>
      </c>
      <c r="Z584" s="50" t="s">
        <v>126</v>
      </c>
      <c r="AA584" s="50" t="s">
        <v>109</v>
      </c>
      <c r="AB584" s="50" t="s">
        <v>102</v>
      </c>
      <c r="AC584" s="50" t="s">
        <v>109</v>
      </c>
      <c r="AD584" s="50" t="s">
        <v>102</v>
      </c>
      <c r="AE584" s="50" t="s">
        <v>109</v>
      </c>
      <c r="AF584" s="50" t="s">
        <v>102</v>
      </c>
      <c r="AG584" s="50" t="s">
        <v>109</v>
      </c>
      <c r="AH584" s="50" t="s">
        <v>102</v>
      </c>
      <c r="AI584" s="50" t="s">
        <v>102</v>
      </c>
      <c r="AJ584" s="50" t="s">
        <v>9814</v>
      </c>
      <c r="AK584" s="50" t="s">
        <v>9814</v>
      </c>
      <c r="AL584" s="50" t="s">
        <v>14224</v>
      </c>
      <c r="AM584" s="50" t="s">
        <v>14225</v>
      </c>
      <c r="AN584" s="50" t="s">
        <v>1544</v>
      </c>
      <c r="AO584" s="50" t="s">
        <v>14226</v>
      </c>
      <c r="AP584" s="50" t="s">
        <v>14227</v>
      </c>
      <c r="AQ584" s="50" t="s">
        <v>343</v>
      </c>
      <c r="AT584" s="50" t="s">
        <v>169</v>
      </c>
      <c r="AU584" s="50" t="s">
        <v>117</v>
      </c>
      <c r="AV584" s="50" t="s">
        <v>118</v>
      </c>
      <c r="AW584" s="50" t="s">
        <v>102</v>
      </c>
      <c r="AX584" s="50" t="s">
        <v>119</v>
      </c>
      <c r="BB584" s="50" t="s">
        <v>120</v>
      </c>
      <c r="BC584" s="50" t="s">
        <v>3714</v>
      </c>
      <c r="BD584" s="50" t="s">
        <v>730</v>
      </c>
      <c r="BE584" s="50" t="s">
        <v>622</v>
      </c>
      <c r="BF584" s="50" t="s">
        <v>730</v>
      </c>
      <c r="BG584" s="50" t="s">
        <v>124</v>
      </c>
      <c r="BH584" s="50" t="s">
        <v>12023</v>
      </c>
      <c r="BI584" s="50" t="s">
        <v>11889</v>
      </c>
      <c r="BJ584" s="50" t="s">
        <v>127</v>
      </c>
      <c r="BK584" s="50" t="s">
        <v>14228</v>
      </c>
      <c r="BL584" s="50" t="s">
        <v>3716</v>
      </c>
      <c r="BM584" s="50" t="s">
        <v>14229</v>
      </c>
      <c r="BN584" s="50" t="s">
        <v>12217</v>
      </c>
      <c r="BO584" s="50" t="s">
        <v>3606</v>
      </c>
      <c r="BP584" s="50" t="s">
        <v>350</v>
      </c>
      <c r="BQ584" s="50" t="s">
        <v>3607</v>
      </c>
      <c r="BR584" s="50" t="s">
        <v>3608</v>
      </c>
      <c r="BS584" s="50" t="s">
        <v>2525</v>
      </c>
      <c r="BU584" s="50" t="s">
        <v>14230</v>
      </c>
      <c r="BV584" s="50" t="s">
        <v>3719</v>
      </c>
      <c r="BW584" s="50" t="s">
        <v>598</v>
      </c>
      <c r="BX584" s="50" t="s">
        <v>3720</v>
      </c>
      <c r="BY584" s="50" t="s">
        <v>3721</v>
      </c>
      <c r="BZ584" s="50" t="s">
        <v>3722</v>
      </c>
      <c r="CA584" s="50" t="s">
        <v>14231</v>
      </c>
      <c r="CB584" s="50" t="s">
        <v>14232</v>
      </c>
      <c r="CC584" s="50" t="s">
        <v>3721</v>
      </c>
      <c r="CD584" s="50" t="s">
        <v>3719</v>
      </c>
      <c r="CE584" s="50" t="s">
        <v>14233</v>
      </c>
      <c r="CF584" s="50" t="s">
        <v>3721</v>
      </c>
      <c r="CG584" s="50" t="s">
        <v>102</v>
      </c>
      <c r="CH584" s="50" t="s">
        <v>3723</v>
      </c>
      <c r="CJ584" s="50" t="s">
        <v>3724</v>
      </c>
      <c r="CL584" s="50" t="s">
        <v>3714</v>
      </c>
      <c r="CM584" s="50" t="s">
        <v>730</v>
      </c>
      <c r="CN584" s="50" t="s">
        <v>3724</v>
      </c>
      <c r="CP584" s="50" t="s">
        <v>3723</v>
      </c>
      <c r="CQ584" s="50" t="s">
        <v>3723</v>
      </c>
      <c r="CR584" s="50" t="s">
        <v>26048</v>
      </c>
    </row>
    <row r="585" spans="1:96">
      <c r="A585" s="50" t="s">
        <v>337</v>
      </c>
      <c r="B585" s="50">
        <v>3402446</v>
      </c>
      <c r="C585" s="50" t="s">
        <v>12030</v>
      </c>
      <c r="D585" s="50" t="s">
        <v>15872</v>
      </c>
      <c r="E585" s="50" t="e">
        <f>VLOOKUP(B585,aa!B:F,5,0)</f>
        <v>#N/A</v>
      </c>
      <c r="F585" s="50" t="e">
        <f>VLOOKUP(B585,aa!B:J,9,0)</f>
        <v>#N/A</v>
      </c>
      <c r="G585" s="50" t="e">
        <f>VLOOKUP(B585,aa!B:L,11,0)</f>
        <v>#N/A</v>
      </c>
      <c r="H585" s="50" t="e">
        <f>VLOOKUP(B585,aa!B:O,14,0)</f>
        <v>#N/A</v>
      </c>
      <c r="I585" s="50" t="e">
        <f>VLOOKUP(B585,aa!B:R,17,0)</f>
        <v>#N/A</v>
      </c>
      <c r="K585" s="50" t="s">
        <v>97</v>
      </c>
      <c r="L585" s="50">
        <v>72600</v>
      </c>
      <c r="M585" s="50">
        <v>72600</v>
      </c>
      <c r="N585" s="50">
        <v>72600</v>
      </c>
      <c r="O585" s="50">
        <v>121</v>
      </c>
      <c r="P585" s="50" t="s">
        <v>310</v>
      </c>
      <c r="Q585" s="50">
        <v>0</v>
      </c>
      <c r="R585" s="50">
        <v>0</v>
      </c>
      <c r="T585" s="50">
        <v>0</v>
      </c>
      <c r="U585" s="50">
        <v>0</v>
      </c>
      <c r="W585" s="50" t="s">
        <v>102</v>
      </c>
      <c r="X585" s="50" t="s">
        <v>275</v>
      </c>
      <c r="Z585" s="50" t="s">
        <v>14597</v>
      </c>
      <c r="AA585" s="50" t="s">
        <v>109</v>
      </c>
      <c r="AB585" s="50" t="s">
        <v>102</v>
      </c>
      <c r="AC585" s="50" t="s">
        <v>109</v>
      </c>
      <c r="AD585" s="50" t="s">
        <v>102</v>
      </c>
      <c r="AE585" s="50" t="s">
        <v>109</v>
      </c>
      <c r="AF585" s="50" t="s">
        <v>102</v>
      </c>
      <c r="AG585" s="50" t="s">
        <v>109</v>
      </c>
      <c r="AH585" s="50" t="s">
        <v>102</v>
      </c>
      <c r="AI585" s="50" t="s">
        <v>102</v>
      </c>
      <c r="AL585" s="50" t="s">
        <v>12021</v>
      </c>
      <c r="AM585" s="50" t="s">
        <v>102</v>
      </c>
      <c r="AN585" s="50" t="s">
        <v>12021</v>
      </c>
      <c r="AO585" s="50" t="s">
        <v>317</v>
      </c>
      <c r="AP585" s="50" t="s">
        <v>317</v>
      </c>
      <c r="AU585" s="50" t="s">
        <v>318</v>
      </c>
      <c r="AV585" s="50" t="s">
        <v>118</v>
      </c>
      <c r="AW585" s="50" t="s">
        <v>102</v>
      </c>
      <c r="AX585" s="50" t="s">
        <v>119</v>
      </c>
      <c r="BB585" s="50" t="s">
        <v>120</v>
      </c>
      <c r="BC585" s="50" t="s">
        <v>5739</v>
      </c>
      <c r="BD585" s="50" t="s">
        <v>2800</v>
      </c>
      <c r="BE585" s="50" t="s">
        <v>122</v>
      </c>
      <c r="BF585" s="50" t="s">
        <v>346</v>
      </c>
      <c r="BG585" s="50" t="s">
        <v>124</v>
      </c>
      <c r="BH585" s="50" t="s">
        <v>12873</v>
      </c>
      <c r="BI585" s="50" t="s">
        <v>15873</v>
      </c>
      <c r="BJ585" s="50" t="s">
        <v>127</v>
      </c>
      <c r="BK585" s="50" t="s">
        <v>15874</v>
      </c>
      <c r="BL585" s="50" t="s">
        <v>15875</v>
      </c>
      <c r="BM585" s="50" t="s">
        <v>15876</v>
      </c>
      <c r="BN585" s="50" t="s">
        <v>12217</v>
      </c>
      <c r="BO585" s="50" t="s">
        <v>349</v>
      </c>
      <c r="BP585" s="50" t="s">
        <v>350</v>
      </c>
      <c r="BQ585" s="50" t="s">
        <v>351</v>
      </c>
      <c r="BR585" s="50" t="s">
        <v>352</v>
      </c>
      <c r="BS585" s="50" t="s">
        <v>6249</v>
      </c>
      <c r="BU585" s="50" t="s">
        <v>15877</v>
      </c>
      <c r="BV585" s="50" t="s">
        <v>15878</v>
      </c>
      <c r="BW585" s="50" t="s">
        <v>354</v>
      </c>
      <c r="BX585" s="50" t="s">
        <v>15879</v>
      </c>
      <c r="BY585" s="50" t="s">
        <v>15880</v>
      </c>
      <c r="BZ585" s="50" t="s">
        <v>15881</v>
      </c>
      <c r="CA585" s="50" t="s">
        <v>15882</v>
      </c>
      <c r="CB585" s="50" t="s">
        <v>15879</v>
      </c>
      <c r="CC585" s="50" t="s">
        <v>15883</v>
      </c>
      <c r="CD585" s="50" t="s">
        <v>15882</v>
      </c>
      <c r="CE585" s="50" t="s">
        <v>15879</v>
      </c>
      <c r="CF585" s="50" t="s">
        <v>15883</v>
      </c>
      <c r="CG585" s="50" t="s">
        <v>15884</v>
      </c>
      <c r="CH585" s="50" t="s">
        <v>15885</v>
      </c>
      <c r="CJ585" s="50" t="s">
        <v>15886</v>
      </c>
      <c r="CK585" s="50" t="s">
        <v>15885</v>
      </c>
      <c r="CL585" s="50" t="s">
        <v>5739</v>
      </c>
      <c r="CM585" s="50" t="s">
        <v>2800</v>
      </c>
      <c r="CN585" s="50" t="s">
        <v>15886</v>
      </c>
      <c r="CP585" s="50" t="s">
        <v>15887</v>
      </c>
      <c r="CQ585" s="50" t="s">
        <v>15887</v>
      </c>
    </row>
    <row r="586" spans="1:96">
      <c r="A586" s="50" t="s">
        <v>337</v>
      </c>
      <c r="B586" s="50">
        <v>5018211</v>
      </c>
      <c r="C586" s="50" t="s">
        <v>384</v>
      </c>
      <c r="D586" s="50" t="s">
        <v>19517</v>
      </c>
      <c r="E586" s="50" t="str">
        <f>VLOOKUP(B586,aa!B:F,5,0)</f>
        <v>Ei CARES</v>
      </c>
      <c r="F586" s="50">
        <f>VLOOKUP(B586,aa!B:J,9,0)</f>
        <v>735149</v>
      </c>
      <c r="G586" s="50">
        <f>VLOOKUP(B586,aa!B:L,11,0)</f>
        <v>0</v>
      </c>
      <c r="H586" s="50">
        <f>VLOOKUP(B586,aa!B:O,14,0)</f>
        <v>735149</v>
      </c>
      <c r="I586" s="50">
        <f>VLOOKUP(B586,aa!B:R,17,0)</f>
        <v>0</v>
      </c>
      <c r="K586" s="50" t="s">
        <v>152</v>
      </c>
      <c r="L586" s="50">
        <v>334747</v>
      </c>
      <c r="M586" s="50">
        <v>334747</v>
      </c>
      <c r="N586" s="50">
        <v>0</v>
      </c>
      <c r="O586" s="50">
        <v>0</v>
      </c>
      <c r="Q586" s="50">
        <v>334747</v>
      </c>
      <c r="R586" s="50">
        <v>418</v>
      </c>
      <c r="S586" s="50" t="s">
        <v>19169</v>
      </c>
      <c r="T586" s="50">
        <v>0</v>
      </c>
      <c r="U586" s="50">
        <v>0</v>
      </c>
      <c r="W586" s="50" t="s">
        <v>102</v>
      </c>
      <c r="X586" s="50" t="s">
        <v>103</v>
      </c>
      <c r="Y586" s="50" t="s">
        <v>104</v>
      </c>
      <c r="AA586" s="50" t="s">
        <v>14059</v>
      </c>
      <c r="AB586" s="50" t="s">
        <v>19518</v>
      </c>
      <c r="AC586" s="50" t="s">
        <v>11886</v>
      </c>
      <c r="AD586" s="50" t="s">
        <v>19518</v>
      </c>
      <c r="AE586" s="50" t="s">
        <v>109</v>
      </c>
      <c r="AF586" s="50" t="s">
        <v>102</v>
      </c>
      <c r="AG586" s="50" t="s">
        <v>109</v>
      </c>
      <c r="AH586" s="50" t="s">
        <v>102</v>
      </c>
      <c r="AI586" s="50" t="s">
        <v>102</v>
      </c>
      <c r="AJ586" s="50" t="s">
        <v>14597</v>
      </c>
      <c r="AK586" s="50" t="s">
        <v>17302</v>
      </c>
      <c r="AL586" s="50" t="s">
        <v>19519</v>
      </c>
      <c r="AM586" s="50" t="s">
        <v>19520</v>
      </c>
      <c r="AN586" s="50" t="s">
        <v>19521</v>
      </c>
      <c r="AO586" s="50" t="s">
        <v>19522</v>
      </c>
      <c r="AP586" s="50" t="s">
        <v>19522</v>
      </c>
      <c r="AU586" s="50" t="s">
        <v>102</v>
      </c>
      <c r="AW586" s="50" t="s">
        <v>104</v>
      </c>
      <c r="AX586" s="50" t="s">
        <v>447</v>
      </c>
      <c r="AY586" s="50" t="s">
        <v>170</v>
      </c>
      <c r="AZ586" s="50" t="s">
        <v>118</v>
      </c>
      <c r="BB586" s="50" t="s">
        <v>1964</v>
      </c>
      <c r="BC586" s="50" t="s">
        <v>19523</v>
      </c>
      <c r="BD586" s="50" t="s">
        <v>376</v>
      </c>
      <c r="BE586" s="50" t="s">
        <v>174</v>
      </c>
      <c r="BF586" s="50" t="s">
        <v>376</v>
      </c>
      <c r="BG586" s="50" t="s">
        <v>124</v>
      </c>
      <c r="BH586" s="50" t="s">
        <v>12023</v>
      </c>
      <c r="BI586" s="50" t="s">
        <v>11889</v>
      </c>
      <c r="BJ586" s="50" t="s">
        <v>127</v>
      </c>
      <c r="BK586" s="50" t="s">
        <v>19524</v>
      </c>
      <c r="BL586" s="50" t="s">
        <v>19525</v>
      </c>
      <c r="BM586" s="50" t="s">
        <v>19526</v>
      </c>
      <c r="BN586" s="50" t="s">
        <v>12217</v>
      </c>
      <c r="BO586" s="50" t="s">
        <v>13780</v>
      </c>
      <c r="BP586" s="50" t="s">
        <v>505</v>
      </c>
      <c r="BQ586" s="50" t="s">
        <v>13781</v>
      </c>
      <c r="BR586" s="50" t="s">
        <v>13782</v>
      </c>
      <c r="BS586" s="50" t="s">
        <v>13783</v>
      </c>
      <c r="BU586" s="50" t="s">
        <v>19527</v>
      </c>
      <c r="BV586" s="50" t="s">
        <v>19528</v>
      </c>
      <c r="BW586" s="50" t="s">
        <v>138</v>
      </c>
      <c r="BX586" s="50" t="s">
        <v>19529</v>
      </c>
      <c r="BY586" s="50" t="s">
        <v>19530</v>
      </c>
      <c r="BZ586" s="50" t="s">
        <v>19531</v>
      </c>
      <c r="CA586" s="50" t="s">
        <v>19528</v>
      </c>
      <c r="CB586" s="50" t="s">
        <v>19532</v>
      </c>
      <c r="CC586" s="50" t="s">
        <v>19530</v>
      </c>
      <c r="CD586" s="50" t="s">
        <v>19528</v>
      </c>
      <c r="CE586" s="50" t="s">
        <v>19533</v>
      </c>
      <c r="CF586" s="50" t="s">
        <v>19530</v>
      </c>
      <c r="CG586" s="50" t="s">
        <v>102</v>
      </c>
      <c r="CH586" s="50" t="s">
        <v>19534</v>
      </c>
      <c r="CJ586" s="50" t="s">
        <v>19535</v>
      </c>
      <c r="CK586" s="50" t="s">
        <v>19536</v>
      </c>
      <c r="CL586" s="50" t="s">
        <v>19523</v>
      </c>
      <c r="CM586" s="50" t="s">
        <v>376</v>
      </c>
      <c r="CN586" s="50" t="s">
        <v>19535</v>
      </c>
      <c r="CP586" s="50" t="s">
        <v>19537</v>
      </c>
      <c r="CQ586" s="50" t="s">
        <v>19537</v>
      </c>
    </row>
    <row r="587" spans="1:96">
      <c r="A587" s="50" t="s">
        <v>149</v>
      </c>
      <c r="B587" s="50">
        <v>2565760</v>
      </c>
      <c r="C587" s="50" t="s">
        <v>11995</v>
      </c>
      <c r="D587" s="50" t="s">
        <v>4161</v>
      </c>
      <c r="E587" s="50" t="e">
        <f>VLOOKUP(B587,aa!B:F,5,0)</f>
        <v>#N/A</v>
      </c>
      <c r="F587" s="50" t="e">
        <f>VLOOKUP(B587,aa!B:J,9,0)</f>
        <v>#N/A</v>
      </c>
      <c r="G587" s="50" t="e">
        <f>VLOOKUP(B587,aa!B:L,11,0)</f>
        <v>#N/A</v>
      </c>
      <c r="H587" s="50" t="e">
        <f>VLOOKUP(B587,aa!B:O,14,0)</f>
        <v>#N/A</v>
      </c>
      <c r="I587" s="50" t="e">
        <f>VLOOKUP(B587,aa!B:R,17,0)</f>
        <v>#N/A</v>
      </c>
      <c r="K587" s="50" t="s">
        <v>97</v>
      </c>
      <c r="L587" s="50">
        <v>1027051</v>
      </c>
      <c r="M587" s="50">
        <v>1027051</v>
      </c>
      <c r="N587" s="50">
        <v>1027051</v>
      </c>
      <c r="O587" s="50">
        <v>1388</v>
      </c>
      <c r="P587" s="50" t="s">
        <v>14598</v>
      </c>
      <c r="Q587" s="50">
        <v>0</v>
      </c>
      <c r="R587" s="50">
        <v>0</v>
      </c>
      <c r="T587" s="50">
        <v>0</v>
      </c>
      <c r="U587" s="50">
        <v>0</v>
      </c>
      <c r="W587" s="50" t="s">
        <v>102</v>
      </c>
      <c r="X587" s="50" t="s">
        <v>275</v>
      </c>
      <c r="Z587" s="50" t="s">
        <v>12099</v>
      </c>
      <c r="AA587" s="50" t="s">
        <v>109</v>
      </c>
      <c r="AB587" s="50" t="s">
        <v>102</v>
      </c>
      <c r="AC587" s="50" t="s">
        <v>109</v>
      </c>
      <c r="AD587" s="50" t="s">
        <v>102</v>
      </c>
      <c r="AE587" s="50" t="s">
        <v>109</v>
      </c>
      <c r="AF587" s="50" t="s">
        <v>102</v>
      </c>
      <c r="AG587" s="50" t="s">
        <v>109</v>
      </c>
      <c r="AH587" s="50" t="s">
        <v>102</v>
      </c>
      <c r="AI587" s="50" t="s">
        <v>102</v>
      </c>
      <c r="AL587" s="50" t="s">
        <v>14599</v>
      </c>
      <c r="AM587" s="50" t="s">
        <v>102</v>
      </c>
      <c r="AN587" s="50" t="s">
        <v>14599</v>
      </c>
      <c r="AO587" s="50" t="s">
        <v>14600</v>
      </c>
      <c r="AP587" s="50" t="s">
        <v>14600</v>
      </c>
      <c r="AU587" s="50" t="s">
        <v>117</v>
      </c>
      <c r="AV587" s="50" t="s">
        <v>118</v>
      </c>
      <c r="AW587" s="50" t="s">
        <v>102</v>
      </c>
      <c r="AX587" s="50" t="s">
        <v>119</v>
      </c>
      <c r="BB587" s="50" t="s">
        <v>120</v>
      </c>
      <c r="BC587" s="50" t="s">
        <v>284</v>
      </c>
      <c r="BD587" s="50" t="s">
        <v>285</v>
      </c>
      <c r="BE587" s="50" t="s">
        <v>212</v>
      </c>
      <c r="BF587" s="50" t="s">
        <v>286</v>
      </c>
      <c r="BG587" s="50" t="s">
        <v>124</v>
      </c>
      <c r="BH587" s="50" t="s">
        <v>11959</v>
      </c>
      <c r="BI587" s="50" t="s">
        <v>11889</v>
      </c>
      <c r="BJ587" s="50" t="s">
        <v>127</v>
      </c>
      <c r="BK587" s="50" t="s">
        <v>14601</v>
      </c>
      <c r="BL587" s="50" t="s">
        <v>4170</v>
      </c>
      <c r="BM587" s="50" t="s">
        <v>14602</v>
      </c>
      <c r="BN587" s="50" t="s">
        <v>14597</v>
      </c>
      <c r="BO587" s="50" t="s">
        <v>956</v>
      </c>
      <c r="BP587" s="50" t="s">
        <v>350</v>
      </c>
      <c r="BQ587" s="50" t="s">
        <v>958</v>
      </c>
      <c r="BR587" s="50" t="s">
        <v>959</v>
      </c>
      <c r="BS587" s="50" t="s">
        <v>293</v>
      </c>
      <c r="BU587" s="50" t="s">
        <v>14603</v>
      </c>
      <c r="BV587" s="50" t="s">
        <v>14604</v>
      </c>
      <c r="BW587" s="50" t="s">
        <v>138</v>
      </c>
      <c r="BX587" s="50" t="s">
        <v>4174</v>
      </c>
      <c r="BY587" s="50" t="s">
        <v>4175</v>
      </c>
      <c r="BZ587" s="50" t="s">
        <v>4176</v>
      </c>
      <c r="CA587" s="50" t="s">
        <v>14604</v>
      </c>
      <c r="CB587" s="50" t="s">
        <v>4174</v>
      </c>
      <c r="CC587" s="50" t="s">
        <v>4175</v>
      </c>
      <c r="CD587" s="50" t="s">
        <v>14604</v>
      </c>
      <c r="CE587" s="50" t="s">
        <v>4174</v>
      </c>
      <c r="CF587" s="50" t="s">
        <v>4175</v>
      </c>
      <c r="CG587" s="50" t="s">
        <v>102</v>
      </c>
      <c r="CH587" s="50" t="s">
        <v>4181</v>
      </c>
      <c r="CJ587" s="50" t="s">
        <v>4182</v>
      </c>
      <c r="CL587" s="50" t="s">
        <v>284</v>
      </c>
      <c r="CM587" s="50" t="s">
        <v>285</v>
      </c>
      <c r="CN587" s="50" t="s">
        <v>4182</v>
      </c>
      <c r="CP587" s="50" t="s">
        <v>4181</v>
      </c>
      <c r="CQ587" s="50" t="s">
        <v>4181</v>
      </c>
      <c r="CR587" s="50" t="s">
        <v>26040</v>
      </c>
    </row>
    <row r="588" spans="1:96">
      <c r="A588" s="50" t="s">
        <v>149</v>
      </c>
      <c r="B588" s="50">
        <v>3754524</v>
      </c>
      <c r="C588" s="50" t="s">
        <v>985</v>
      </c>
      <c r="D588" s="50" t="s">
        <v>7335</v>
      </c>
      <c r="E588" s="50" t="e">
        <f>VLOOKUP(B588,aa!B:F,5,0)</f>
        <v>#N/A</v>
      </c>
      <c r="F588" s="50" t="e">
        <f>VLOOKUP(B588,aa!B:J,9,0)</f>
        <v>#N/A</v>
      </c>
      <c r="G588" s="50" t="e">
        <f>VLOOKUP(B588,aa!B:L,11,0)</f>
        <v>#N/A</v>
      </c>
      <c r="H588" s="50" t="e">
        <f>VLOOKUP(B588,aa!B:O,14,0)</f>
        <v>#N/A</v>
      </c>
      <c r="I588" s="50" t="e">
        <f>VLOOKUP(B588,aa!B:R,17,0)</f>
        <v>#N/A</v>
      </c>
      <c r="K588" s="50" t="s">
        <v>97</v>
      </c>
      <c r="L588" s="50">
        <v>91858</v>
      </c>
      <c r="M588" s="50">
        <v>91858</v>
      </c>
      <c r="N588" s="50">
        <v>91858</v>
      </c>
      <c r="O588" s="50">
        <v>167</v>
      </c>
      <c r="P588" s="50" t="s">
        <v>3431</v>
      </c>
      <c r="Q588" s="50">
        <v>0</v>
      </c>
      <c r="R588" s="50">
        <v>0</v>
      </c>
      <c r="T588" s="50">
        <v>0</v>
      </c>
      <c r="U588" s="50">
        <v>0</v>
      </c>
      <c r="W588" s="50" t="s">
        <v>102</v>
      </c>
      <c r="X588" s="50" t="s">
        <v>103</v>
      </c>
      <c r="Y588" s="50" t="s">
        <v>104</v>
      </c>
      <c r="AA588" s="50" t="s">
        <v>1427</v>
      </c>
      <c r="AB588" s="50" t="s">
        <v>16853</v>
      </c>
      <c r="AC588" s="50" t="s">
        <v>12713</v>
      </c>
      <c r="AD588" s="50" t="s">
        <v>16853</v>
      </c>
      <c r="AE588" s="50" t="s">
        <v>109</v>
      </c>
      <c r="AF588" s="50" t="s">
        <v>102</v>
      </c>
      <c r="AG588" s="50" t="s">
        <v>109</v>
      </c>
      <c r="AH588" s="50" t="s">
        <v>102</v>
      </c>
      <c r="AI588" s="50" t="s">
        <v>102</v>
      </c>
      <c r="AJ588" s="50" t="s">
        <v>13242</v>
      </c>
      <c r="AK588" s="50" t="s">
        <v>13242</v>
      </c>
      <c r="AL588" s="50" t="s">
        <v>16854</v>
      </c>
      <c r="AM588" s="50" t="s">
        <v>16855</v>
      </c>
      <c r="AN588" s="50" t="s">
        <v>16856</v>
      </c>
      <c r="AO588" s="50" t="s">
        <v>3438</v>
      </c>
      <c r="AP588" s="50" t="s">
        <v>3438</v>
      </c>
      <c r="AU588" s="50" t="s">
        <v>117</v>
      </c>
      <c r="AV588" s="50" t="s">
        <v>118</v>
      </c>
      <c r="AW588" s="50" t="s">
        <v>102</v>
      </c>
      <c r="AX588" s="50" t="s">
        <v>119</v>
      </c>
      <c r="BB588" s="50" t="s">
        <v>120</v>
      </c>
      <c r="BC588" s="50" t="s">
        <v>7340</v>
      </c>
      <c r="BD588" s="50" t="s">
        <v>621</v>
      </c>
      <c r="BE588" s="50" t="s">
        <v>622</v>
      </c>
      <c r="BF588" s="50" t="s">
        <v>976</v>
      </c>
      <c r="BG588" s="50" t="s">
        <v>124</v>
      </c>
      <c r="BH588" s="50" t="s">
        <v>9814</v>
      </c>
      <c r="BI588" s="50" t="s">
        <v>11960</v>
      </c>
      <c r="BJ588" s="50" t="s">
        <v>127</v>
      </c>
      <c r="BK588" s="50" t="s">
        <v>16857</v>
      </c>
      <c r="BL588" s="50" t="s">
        <v>7342</v>
      </c>
      <c r="BM588" s="50" t="s">
        <v>16858</v>
      </c>
      <c r="BN588" s="50" t="s">
        <v>12289</v>
      </c>
      <c r="BO588" s="50" t="s">
        <v>981</v>
      </c>
      <c r="BP588" s="50" t="s">
        <v>505</v>
      </c>
      <c r="BQ588" s="50" t="s">
        <v>982</v>
      </c>
      <c r="BR588" s="50" t="s">
        <v>983</v>
      </c>
      <c r="BS588" s="50" t="s">
        <v>984</v>
      </c>
      <c r="BU588" s="50" t="s">
        <v>16859</v>
      </c>
      <c r="BV588" s="50" t="s">
        <v>7345</v>
      </c>
      <c r="BW588" s="50" t="s">
        <v>138</v>
      </c>
      <c r="BX588" s="50" t="s">
        <v>7346</v>
      </c>
      <c r="BY588" s="50" t="s">
        <v>16860</v>
      </c>
      <c r="BZ588" s="50" t="s">
        <v>7348</v>
      </c>
      <c r="CA588" s="50" t="s">
        <v>7345</v>
      </c>
      <c r="CB588" s="50" t="s">
        <v>7346</v>
      </c>
      <c r="CC588" s="50" t="s">
        <v>16860</v>
      </c>
      <c r="CD588" s="50" t="s">
        <v>16861</v>
      </c>
      <c r="CE588" s="50" t="s">
        <v>16862</v>
      </c>
      <c r="CF588" s="50" t="s">
        <v>16863</v>
      </c>
      <c r="CG588" s="50" t="s">
        <v>102</v>
      </c>
      <c r="CH588" s="50" t="s">
        <v>16864</v>
      </c>
      <c r="CJ588" s="50" t="s">
        <v>7350</v>
      </c>
      <c r="CL588" s="50" t="s">
        <v>7340</v>
      </c>
      <c r="CM588" s="50" t="s">
        <v>621</v>
      </c>
      <c r="CN588" s="50" t="s">
        <v>7350</v>
      </c>
      <c r="CO588" s="50" t="s">
        <v>7187</v>
      </c>
      <c r="CP588" s="50" t="s">
        <v>7349</v>
      </c>
      <c r="CQ588" s="50" t="s">
        <v>7349</v>
      </c>
      <c r="CR588" s="50" t="s">
        <v>26047</v>
      </c>
    </row>
    <row r="589" spans="1:96">
      <c r="A589" s="50" t="s">
        <v>149</v>
      </c>
      <c r="B589" s="50">
        <v>2408882</v>
      </c>
      <c r="C589" s="50" t="s">
        <v>11882</v>
      </c>
      <c r="D589" s="50" t="s">
        <v>3254</v>
      </c>
      <c r="E589" s="50" t="e">
        <f>VLOOKUP(B589,aa!B:F,5,0)</f>
        <v>#N/A</v>
      </c>
      <c r="F589" s="50" t="e">
        <f>VLOOKUP(B589,aa!B:J,9,0)</f>
        <v>#N/A</v>
      </c>
      <c r="G589" s="50" t="e">
        <f>VLOOKUP(B589,aa!B:L,11,0)</f>
        <v>#N/A</v>
      </c>
      <c r="H589" s="50" t="e">
        <f>VLOOKUP(B589,aa!B:O,14,0)</f>
        <v>#N/A</v>
      </c>
      <c r="I589" s="50" t="e">
        <f>VLOOKUP(B589,aa!B:R,17,0)</f>
        <v>#N/A</v>
      </c>
      <c r="K589" s="50" t="s">
        <v>97</v>
      </c>
      <c r="L589" s="50">
        <v>678099</v>
      </c>
      <c r="M589" s="50">
        <v>678099</v>
      </c>
      <c r="N589" s="50">
        <v>678099</v>
      </c>
      <c r="O589" s="50">
        <v>1211</v>
      </c>
      <c r="P589" s="50" t="s">
        <v>3257</v>
      </c>
      <c r="Q589" s="50">
        <v>0</v>
      </c>
      <c r="R589" s="50">
        <v>0</v>
      </c>
      <c r="T589" s="50">
        <v>0</v>
      </c>
      <c r="U589" s="50">
        <v>0</v>
      </c>
      <c r="W589" s="50" t="s">
        <v>102</v>
      </c>
      <c r="X589" s="50" t="s">
        <v>103</v>
      </c>
      <c r="Y589" s="50" t="s">
        <v>398</v>
      </c>
      <c r="AA589" s="50" t="s">
        <v>13833</v>
      </c>
      <c r="AB589" s="50" t="s">
        <v>13899</v>
      </c>
      <c r="AC589" s="50" t="s">
        <v>12084</v>
      </c>
      <c r="AD589" s="50" t="s">
        <v>13900</v>
      </c>
      <c r="AE589" s="50" t="s">
        <v>11886</v>
      </c>
      <c r="AF589" s="50" t="s">
        <v>13900</v>
      </c>
      <c r="AG589" s="50" t="s">
        <v>109</v>
      </c>
      <c r="AH589" s="50" t="s">
        <v>102</v>
      </c>
      <c r="AI589" s="50" t="s">
        <v>13901</v>
      </c>
      <c r="AJ589" s="50" t="s">
        <v>13902</v>
      </c>
      <c r="AK589" s="50" t="s">
        <v>13902</v>
      </c>
      <c r="AL589" s="50" t="s">
        <v>13903</v>
      </c>
      <c r="AM589" s="50" t="s">
        <v>13904</v>
      </c>
      <c r="AN589" s="50" t="s">
        <v>13899</v>
      </c>
      <c r="AO589" s="50" t="s">
        <v>3262</v>
      </c>
      <c r="AP589" s="50" t="s">
        <v>3262</v>
      </c>
      <c r="AU589" s="50" t="s">
        <v>117</v>
      </c>
      <c r="AV589" s="50" t="s">
        <v>118</v>
      </c>
      <c r="AW589" s="50" t="s">
        <v>102</v>
      </c>
      <c r="AX589" s="50" t="s">
        <v>119</v>
      </c>
      <c r="BB589" s="50" t="s">
        <v>120</v>
      </c>
      <c r="BC589" s="50" t="s">
        <v>3263</v>
      </c>
      <c r="BD589" s="50" t="s">
        <v>320</v>
      </c>
      <c r="BE589" s="50" t="s">
        <v>122</v>
      </c>
      <c r="BF589" s="50" t="s">
        <v>123</v>
      </c>
      <c r="BG589" s="50" t="s">
        <v>124</v>
      </c>
      <c r="BH589" s="50" t="s">
        <v>12023</v>
      </c>
      <c r="BI589" s="50" t="s">
        <v>11889</v>
      </c>
      <c r="BJ589" s="50" t="s">
        <v>127</v>
      </c>
      <c r="BK589" s="50" t="s">
        <v>13905</v>
      </c>
      <c r="BL589" s="50" t="s">
        <v>3265</v>
      </c>
      <c r="BM589" s="50" t="s">
        <v>13906</v>
      </c>
      <c r="BN589" s="50" t="s">
        <v>11888</v>
      </c>
      <c r="BO589" s="50" t="s">
        <v>3267</v>
      </c>
      <c r="BP589" s="50" t="s">
        <v>505</v>
      </c>
      <c r="BQ589" s="50" t="s">
        <v>3268</v>
      </c>
      <c r="BR589" s="50" t="s">
        <v>3269</v>
      </c>
      <c r="BS589" s="50" t="s">
        <v>135</v>
      </c>
      <c r="BU589" s="50" t="s">
        <v>13907</v>
      </c>
      <c r="BV589" s="50" t="s">
        <v>3271</v>
      </c>
      <c r="BW589" s="50" t="s">
        <v>138</v>
      </c>
      <c r="BX589" s="50" t="s">
        <v>3272</v>
      </c>
      <c r="BY589" s="50" t="s">
        <v>13908</v>
      </c>
      <c r="BZ589" s="50" t="s">
        <v>3274</v>
      </c>
      <c r="CA589" s="50" t="s">
        <v>3271</v>
      </c>
      <c r="CB589" s="50" t="s">
        <v>13909</v>
      </c>
      <c r="CC589" s="50" t="s">
        <v>13908</v>
      </c>
      <c r="CD589" s="50" t="s">
        <v>3271</v>
      </c>
      <c r="CE589" s="50" t="s">
        <v>13910</v>
      </c>
      <c r="CF589" s="50" t="s">
        <v>13908</v>
      </c>
      <c r="CG589" s="50" t="s">
        <v>102</v>
      </c>
      <c r="CH589" s="50" t="s">
        <v>13911</v>
      </c>
      <c r="CJ589" s="50" t="s">
        <v>2071</v>
      </c>
      <c r="CL589" s="50" t="s">
        <v>3263</v>
      </c>
      <c r="CM589" s="50" t="s">
        <v>320</v>
      </c>
      <c r="CN589" s="50" t="s">
        <v>2071</v>
      </c>
      <c r="CO589" s="50" t="s">
        <v>3276</v>
      </c>
      <c r="CP589" s="50" t="s">
        <v>3275</v>
      </c>
      <c r="CQ589" s="50" t="s">
        <v>3275</v>
      </c>
    </row>
    <row r="590" spans="1:96">
      <c r="A590" s="50" t="s">
        <v>149</v>
      </c>
      <c r="B590" s="50">
        <v>3639531</v>
      </c>
      <c r="C590" s="50" t="s">
        <v>11882</v>
      </c>
      <c r="D590" s="50" t="s">
        <v>16688</v>
      </c>
      <c r="E590" s="50" t="e">
        <f>VLOOKUP(B590,aa!B:F,5,0)</f>
        <v>#N/A</v>
      </c>
      <c r="F590" s="50" t="e">
        <f>VLOOKUP(B590,aa!B:J,9,0)</f>
        <v>#N/A</v>
      </c>
      <c r="G590" s="50" t="e">
        <f>VLOOKUP(B590,aa!B:L,11,0)</f>
        <v>#N/A</v>
      </c>
      <c r="H590" s="50" t="e">
        <f>VLOOKUP(B590,aa!B:O,14,0)</f>
        <v>#N/A</v>
      </c>
      <c r="I590" s="50" t="e">
        <f>VLOOKUP(B590,aa!B:R,17,0)</f>
        <v>#N/A</v>
      </c>
      <c r="K590" s="50" t="s">
        <v>97</v>
      </c>
      <c r="L590" s="50">
        <v>67080</v>
      </c>
      <c r="M590" s="50">
        <v>67080</v>
      </c>
      <c r="N590" s="50">
        <v>67080</v>
      </c>
      <c r="O590" s="50">
        <v>86</v>
      </c>
      <c r="P590" s="50" t="s">
        <v>2110</v>
      </c>
      <c r="Q590" s="50">
        <v>0</v>
      </c>
      <c r="R590" s="50">
        <v>0</v>
      </c>
      <c r="T590" s="50">
        <v>0</v>
      </c>
      <c r="U590" s="50">
        <v>0</v>
      </c>
      <c r="W590" s="50" t="s">
        <v>102</v>
      </c>
      <c r="X590" s="50" t="s">
        <v>275</v>
      </c>
      <c r="Z590" s="50" t="s">
        <v>12099</v>
      </c>
      <c r="AA590" s="50" t="s">
        <v>109</v>
      </c>
      <c r="AB590" s="50" t="s">
        <v>102</v>
      </c>
      <c r="AC590" s="50" t="s">
        <v>109</v>
      </c>
      <c r="AD590" s="50" t="s">
        <v>102</v>
      </c>
      <c r="AE590" s="50" t="s">
        <v>109</v>
      </c>
      <c r="AF590" s="50" t="s">
        <v>102</v>
      </c>
      <c r="AG590" s="50" t="s">
        <v>109</v>
      </c>
      <c r="AH590" s="50" t="s">
        <v>102</v>
      </c>
      <c r="AI590" s="50" t="s">
        <v>102</v>
      </c>
      <c r="AL590" s="50" t="s">
        <v>16689</v>
      </c>
      <c r="AM590" s="50" t="s">
        <v>102</v>
      </c>
      <c r="AN590" s="50" t="s">
        <v>16689</v>
      </c>
      <c r="AO590" s="50" t="s">
        <v>3357</v>
      </c>
      <c r="AP590" s="50" t="s">
        <v>3357</v>
      </c>
      <c r="AU590" s="50" t="s">
        <v>117</v>
      </c>
      <c r="AV590" s="50" t="s">
        <v>118</v>
      </c>
      <c r="AW590" s="50" t="s">
        <v>102</v>
      </c>
      <c r="AX590" s="50" t="s">
        <v>119</v>
      </c>
      <c r="BB590" s="50" t="s">
        <v>120</v>
      </c>
      <c r="BC590" s="50" t="s">
        <v>4153</v>
      </c>
      <c r="BD590" s="50" t="s">
        <v>320</v>
      </c>
      <c r="BE590" s="50" t="s">
        <v>122</v>
      </c>
      <c r="BF590" s="50" t="s">
        <v>123</v>
      </c>
      <c r="BG590" s="50" t="s">
        <v>124</v>
      </c>
      <c r="BH590" s="50" t="s">
        <v>11888</v>
      </c>
      <c r="BI590" s="50" t="s">
        <v>11889</v>
      </c>
      <c r="BJ590" s="50" t="s">
        <v>127</v>
      </c>
      <c r="BK590" s="50" t="s">
        <v>16690</v>
      </c>
      <c r="BL590" s="50" t="s">
        <v>6963</v>
      </c>
      <c r="BM590" s="50" t="s">
        <v>16691</v>
      </c>
      <c r="BN590" s="50" t="s">
        <v>12020</v>
      </c>
      <c r="BO590" s="50" t="s">
        <v>3267</v>
      </c>
      <c r="BP590" s="50" t="s">
        <v>350</v>
      </c>
      <c r="BQ590" s="50" t="s">
        <v>3268</v>
      </c>
      <c r="BR590" s="50" t="s">
        <v>3269</v>
      </c>
      <c r="BS590" s="50" t="s">
        <v>135</v>
      </c>
      <c r="BU590" s="50" t="s">
        <v>16692</v>
      </c>
      <c r="BV590" s="50" t="s">
        <v>6970</v>
      </c>
      <c r="BW590" s="50" t="s">
        <v>138</v>
      </c>
      <c r="BX590" s="50" t="s">
        <v>16693</v>
      </c>
      <c r="BY590" s="50" t="s">
        <v>16694</v>
      </c>
      <c r="BZ590" s="50" t="s">
        <v>6969</v>
      </c>
      <c r="CA590" s="50" t="s">
        <v>6970</v>
      </c>
      <c r="CB590" s="50" t="s">
        <v>16693</v>
      </c>
      <c r="CC590" s="50" t="s">
        <v>16694</v>
      </c>
      <c r="CD590" s="50" t="s">
        <v>6966</v>
      </c>
      <c r="CE590" s="50" t="s">
        <v>6967</v>
      </c>
      <c r="CF590" s="50" t="s">
        <v>6968</v>
      </c>
      <c r="CG590" s="50" t="s">
        <v>102</v>
      </c>
      <c r="CH590" s="50" t="s">
        <v>16695</v>
      </c>
      <c r="CJ590" s="50" t="s">
        <v>6973</v>
      </c>
      <c r="CL590" s="50" t="s">
        <v>4153</v>
      </c>
      <c r="CM590" s="50" t="s">
        <v>320</v>
      </c>
      <c r="CN590" s="50" t="s">
        <v>6973</v>
      </c>
      <c r="CP590" s="50" t="s">
        <v>6972</v>
      </c>
      <c r="CQ590" s="50" t="s">
        <v>6972</v>
      </c>
    </row>
    <row r="591" spans="1:96">
      <c r="A591" s="50" t="s">
        <v>149</v>
      </c>
      <c r="B591" s="50">
        <v>5017204</v>
      </c>
      <c r="C591" s="50" t="s">
        <v>11882</v>
      </c>
      <c r="D591" s="50" t="s">
        <v>9883</v>
      </c>
      <c r="E591" s="50" t="e">
        <f>VLOOKUP(B591,aa!B:F,5,0)</f>
        <v>#N/A</v>
      </c>
      <c r="F591" s="50" t="e">
        <f>VLOOKUP(B591,aa!B:J,9,0)</f>
        <v>#N/A</v>
      </c>
      <c r="G591" s="50" t="e">
        <f>VLOOKUP(B591,aa!B:L,11,0)</f>
        <v>#N/A</v>
      </c>
      <c r="H591" s="50" t="e">
        <f>VLOOKUP(B591,aa!B:O,14,0)</f>
        <v>#N/A</v>
      </c>
      <c r="I591" s="50" t="e">
        <f>VLOOKUP(B591,aa!B:R,17,0)</f>
        <v>#N/A</v>
      </c>
      <c r="K591" s="50" t="s">
        <v>97</v>
      </c>
      <c r="L591" s="50">
        <v>236340</v>
      </c>
      <c r="M591" s="50">
        <v>236340</v>
      </c>
      <c r="N591" s="50">
        <v>236340</v>
      </c>
      <c r="O591" s="50">
        <v>255</v>
      </c>
      <c r="P591" s="50" t="s">
        <v>13260</v>
      </c>
      <c r="Q591" s="50">
        <v>0</v>
      </c>
      <c r="R591" s="50">
        <v>0</v>
      </c>
      <c r="T591" s="50">
        <v>0</v>
      </c>
      <c r="U591" s="50">
        <v>0</v>
      </c>
      <c r="W591" s="50" t="s">
        <v>102</v>
      </c>
      <c r="X591" s="50" t="s">
        <v>275</v>
      </c>
      <c r="Z591" s="50" t="s">
        <v>12099</v>
      </c>
      <c r="AA591" s="50" t="s">
        <v>109</v>
      </c>
      <c r="AB591" s="50" t="s">
        <v>102</v>
      </c>
      <c r="AC591" s="50" t="s">
        <v>109</v>
      </c>
      <c r="AD591" s="50" t="s">
        <v>102</v>
      </c>
      <c r="AE591" s="50" t="s">
        <v>109</v>
      </c>
      <c r="AF591" s="50" t="s">
        <v>102</v>
      </c>
      <c r="AG591" s="50" t="s">
        <v>109</v>
      </c>
      <c r="AH591" s="50" t="s">
        <v>102</v>
      </c>
      <c r="AI591" s="50" t="s">
        <v>102</v>
      </c>
      <c r="AJ591" s="50" t="s">
        <v>12099</v>
      </c>
      <c r="AK591" s="50" t="s">
        <v>12099</v>
      </c>
      <c r="AL591" s="50" t="s">
        <v>19008</v>
      </c>
      <c r="AM591" s="50" t="s">
        <v>19009</v>
      </c>
      <c r="AN591" s="50" t="s">
        <v>19010</v>
      </c>
      <c r="AO591" s="50" t="s">
        <v>3357</v>
      </c>
      <c r="AP591" s="50" t="s">
        <v>3357</v>
      </c>
      <c r="AU591" s="50" t="s">
        <v>117</v>
      </c>
      <c r="AV591" s="50" t="s">
        <v>118</v>
      </c>
      <c r="AW591" s="50" t="s">
        <v>102</v>
      </c>
      <c r="AX591" s="50" t="s">
        <v>119</v>
      </c>
      <c r="BB591" s="50" t="s">
        <v>120</v>
      </c>
      <c r="BC591" s="50" t="s">
        <v>4153</v>
      </c>
      <c r="BD591" s="50" t="s">
        <v>320</v>
      </c>
      <c r="BE591" s="50" t="s">
        <v>122</v>
      </c>
      <c r="BF591" s="50" t="s">
        <v>123</v>
      </c>
      <c r="BG591" s="50" t="s">
        <v>124</v>
      </c>
      <c r="BH591" s="50" t="s">
        <v>11888</v>
      </c>
      <c r="BI591" s="50" t="s">
        <v>11889</v>
      </c>
      <c r="BJ591" s="50" t="s">
        <v>127</v>
      </c>
      <c r="BK591" s="50" t="s">
        <v>19011</v>
      </c>
      <c r="BL591" s="50" t="s">
        <v>9891</v>
      </c>
      <c r="BM591" s="50" t="s">
        <v>19012</v>
      </c>
      <c r="BN591" s="50" t="s">
        <v>12020</v>
      </c>
      <c r="BO591" s="50" t="s">
        <v>3267</v>
      </c>
      <c r="BP591" s="50" t="s">
        <v>350</v>
      </c>
      <c r="BQ591" s="50" t="s">
        <v>3268</v>
      </c>
      <c r="BR591" s="50" t="s">
        <v>3269</v>
      </c>
      <c r="BS591" s="50" t="s">
        <v>135</v>
      </c>
      <c r="BU591" s="50" t="s">
        <v>19013</v>
      </c>
      <c r="BV591" s="50" t="s">
        <v>6970</v>
      </c>
      <c r="BW591" s="50" t="s">
        <v>138</v>
      </c>
      <c r="BX591" s="50" t="s">
        <v>16693</v>
      </c>
      <c r="BY591" s="50" t="s">
        <v>16694</v>
      </c>
      <c r="BZ591" s="50" t="s">
        <v>6969</v>
      </c>
      <c r="CA591" s="50" t="s">
        <v>6970</v>
      </c>
      <c r="CB591" s="50" t="s">
        <v>16693</v>
      </c>
      <c r="CC591" s="50" t="s">
        <v>16694</v>
      </c>
      <c r="CD591" s="50" t="s">
        <v>6966</v>
      </c>
      <c r="CE591" s="50" t="s">
        <v>6967</v>
      </c>
      <c r="CF591" s="50" t="s">
        <v>6968</v>
      </c>
      <c r="CG591" s="50" t="s">
        <v>102</v>
      </c>
      <c r="CH591" s="50" t="s">
        <v>19014</v>
      </c>
      <c r="CJ591" s="50" t="s">
        <v>9897</v>
      </c>
      <c r="CL591" s="50" t="s">
        <v>4153</v>
      </c>
      <c r="CM591" s="50" t="s">
        <v>320</v>
      </c>
      <c r="CN591" s="50" t="s">
        <v>9897</v>
      </c>
      <c r="CP591" s="50" t="s">
        <v>9896</v>
      </c>
      <c r="CQ591" s="50" t="s">
        <v>9896</v>
      </c>
    </row>
    <row r="592" spans="1:96">
      <c r="A592" s="50" t="s">
        <v>337</v>
      </c>
      <c r="B592" s="50">
        <v>251230</v>
      </c>
      <c r="C592" s="50" t="s">
        <v>183</v>
      </c>
      <c r="D592" s="50" t="s">
        <v>14345</v>
      </c>
      <c r="E592" s="50" t="str">
        <f>VLOOKUP(B592,aa!B:F,5,0)</f>
        <v>Ei ASSET, Ei Mindspark</v>
      </c>
      <c r="F592" s="50">
        <f>VLOOKUP(B592,aa!B:J,9,0)</f>
        <v>2307717</v>
      </c>
      <c r="G592" s="50">
        <f>VLOOKUP(B592,aa!B:L,11,0)</f>
        <v>577800</v>
      </c>
      <c r="H592" s="50">
        <f>VLOOKUP(B592,aa!B:O,14,0)</f>
        <v>0</v>
      </c>
      <c r="I592" s="50">
        <f>VLOOKUP(B592,aa!B:R,17,0)</f>
        <v>1729917</v>
      </c>
      <c r="K592" s="50" t="s">
        <v>1715</v>
      </c>
      <c r="L592" s="50">
        <v>1035220</v>
      </c>
      <c r="M592" s="50">
        <v>1115126</v>
      </c>
      <c r="N592" s="50">
        <v>591300</v>
      </c>
      <c r="O592" s="50">
        <v>659</v>
      </c>
      <c r="P592" s="50" t="s">
        <v>14346</v>
      </c>
      <c r="Q592" s="50">
        <v>0</v>
      </c>
      <c r="R592" s="50">
        <v>0</v>
      </c>
      <c r="T592" s="50">
        <v>443920</v>
      </c>
      <c r="U592" s="50">
        <v>778</v>
      </c>
      <c r="V592" s="50" t="s">
        <v>14347</v>
      </c>
      <c r="W592" s="50" t="s">
        <v>102</v>
      </c>
      <c r="X592" s="50" t="s">
        <v>679</v>
      </c>
      <c r="Y592" s="50" t="s">
        <v>104</v>
      </c>
      <c r="Z592" s="50" t="s">
        <v>14348</v>
      </c>
      <c r="AA592" s="50" t="s">
        <v>14349</v>
      </c>
      <c r="AB592" s="50" t="s">
        <v>14350</v>
      </c>
      <c r="AC592" s="50" t="s">
        <v>13263</v>
      </c>
      <c r="AD592" s="50" t="s">
        <v>14350</v>
      </c>
      <c r="AE592" s="50" t="s">
        <v>109</v>
      </c>
      <c r="AF592" s="50" t="s">
        <v>102</v>
      </c>
      <c r="AG592" s="50" t="s">
        <v>109</v>
      </c>
      <c r="AH592" s="50" t="s">
        <v>102</v>
      </c>
      <c r="AI592" s="50" t="s">
        <v>102</v>
      </c>
      <c r="AJ592" s="50" t="s">
        <v>14351</v>
      </c>
      <c r="AK592" s="50" t="s">
        <v>13344</v>
      </c>
      <c r="AL592" s="50" t="s">
        <v>14352</v>
      </c>
      <c r="AM592" s="50" t="s">
        <v>14353</v>
      </c>
      <c r="AN592" s="50" t="s">
        <v>14354</v>
      </c>
      <c r="AO592" s="50" t="s">
        <v>14355</v>
      </c>
      <c r="AP592" s="50" t="s">
        <v>14355</v>
      </c>
      <c r="AU592" s="50" t="s">
        <v>207</v>
      </c>
      <c r="AV592" s="50" t="s">
        <v>118</v>
      </c>
      <c r="AW592" s="50" t="s">
        <v>102</v>
      </c>
      <c r="AX592" s="50" t="s">
        <v>119</v>
      </c>
      <c r="BA592" s="50" t="s">
        <v>250</v>
      </c>
      <c r="BB592" s="50" t="s">
        <v>120</v>
      </c>
      <c r="BC592" s="50" t="s">
        <v>375</v>
      </c>
      <c r="BD592" s="50" t="s">
        <v>376</v>
      </c>
      <c r="BE592" s="50" t="s">
        <v>174</v>
      </c>
      <c r="BF592" s="50" t="s">
        <v>376</v>
      </c>
      <c r="BG592" s="50" t="s">
        <v>124</v>
      </c>
      <c r="BH592" s="50" t="s">
        <v>11888</v>
      </c>
      <c r="BI592" s="50" t="s">
        <v>11889</v>
      </c>
      <c r="BJ592" s="50" t="s">
        <v>127</v>
      </c>
      <c r="BK592" s="50" t="s">
        <v>14356</v>
      </c>
      <c r="BL592" s="50" t="s">
        <v>14357</v>
      </c>
      <c r="BM592" s="50" t="s">
        <v>14358</v>
      </c>
      <c r="BN592" s="50" t="s">
        <v>12838</v>
      </c>
      <c r="BO592" s="50" t="s">
        <v>6926</v>
      </c>
      <c r="BP592" s="50" t="s">
        <v>180</v>
      </c>
      <c r="BQ592" s="50" t="s">
        <v>6927</v>
      </c>
      <c r="BR592" s="50" t="s">
        <v>6928</v>
      </c>
      <c r="BS592" s="50" t="s">
        <v>1858</v>
      </c>
      <c r="BU592" s="50" t="s">
        <v>14359</v>
      </c>
      <c r="BV592" s="50" t="s">
        <v>14360</v>
      </c>
      <c r="BW592" s="50" t="s">
        <v>296</v>
      </c>
      <c r="BX592" s="50" t="s">
        <v>14361</v>
      </c>
      <c r="BY592" s="50" t="s">
        <v>14362</v>
      </c>
      <c r="BZ592" s="50" t="s">
        <v>14363</v>
      </c>
      <c r="CA592" s="50" t="s">
        <v>14364</v>
      </c>
      <c r="CB592" s="50" t="s">
        <v>14363</v>
      </c>
      <c r="CC592" s="50" t="s">
        <v>14365</v>
      </c>
      <c r="CD592" s="50" t="s">
        <v>14366</v>
      </c>
      <c r="CE592" s="50" t="s">
        <v>14367</v>
      </c>
      <c r="CF592" s="50" t="s">
        <v>14368</v>
      </c>
      <c r="CG592" s="50" t="s">
        <v>14369</v>
      </c>
      <c r="CH592" s="50" t="s">
        <v>14370</v>
      </c>
      <c r="CJ592" s="50" t="s">
        <v>14371</v>
      </c>
      <c r="CK592" s="50" t="s">
        <v>14370</v>
      </c>
      <c r="CL592" s="50" t="s">
        <v>375</v>
      </c>
      <c r="CM592" s="50" t="s">
        <v>376</v>
      </c>
      <c r="CN592" s="50" t="s">
        <v>14371</v>
      </c>
      <c r="CP592" s="50" t="s">
        <v>14370</v>
      </c>
      <c r="CQ592" s="50" t="s">
        <v>14370</v>
      </c>
    </row>
    <row r="593" spans="1:96">
      <c r="A593" s="50" t="s">
        <v>337</v>
      </c>
      <c r="B593" s="50">
        <v>255648</v>
      </c>
      <c r="C593" s="50" t="s">
        <v>384</v>
      </c>
      <c r="D593" s="50" t="s">
        <v>14490</v>
      </c>
      <c r="E593" s="50" t="str">
        <f>VLOOKUP(B593,aa!B:F,5,0)</f>
        <v>Ei ASSET, Ei Mindspark</v>
      </c>
      <c r="F593" s="50">
        <f>VLOOKUP(B593,aa!B:J,9,0)</f>
        <v>1705014</v>
      </c>
      <c r="G593" s="50">
        <f>VLOOKUP(B593,aa!B:L,11,0)</f>
        <v>441900</v>
      </c>
      <c r="H593" s="50">
        <f>VLOOKUP(B593,aa!B:O,14,0)</f>
        <v>0</v>
      </c>
      <c r="I593" s="50">
        <f>VLOOKUP(B593,aa!B:R,17,0)</f>
        <v>1263114</v>
      </c>
      <c r="K593" s="50" t="s">
        <v>1715</v>
      </c>
      <c r="L593" s="50">
        <v>816393</v>
      </c>
      <c r="M593" s="50">
        <v>877970</v>
      </c>
      <c r="N593" s="50">
        <v>474300</v>
      </c>
      <c r="O593" s="50">
        <v>533</v>
      </c>
      <c r="P593" s="50" t="s">
        <v>14346</v>
      </c>
      <c r="Q593" s="50">
        <v>0</v>
      </c>
      <c r="R593" s="50">
        <v>0</v>
      </c>
      <c r="T593" s="50">
        <v>342093</v>
      </c>
      <c r="U593" s="50">
        <v>605</v>
      </c>
      <c r="V593" s="50" t="s">
        <v>14347</v>
      </c>
      <c r="W593" s="50" t="s">
        <v>102</v>
      </c>
      <c r="X593" s="50" t="s">
        <v>679</v>
      </c>
      <c r="Y593" s="50" t="s">
        <v>104</v>
      </c>
      <c r="Z593" s="50" t="s">
        <v>14348</v>
      </c>
      <c r="AA593" s="50" t="s">
        <v>14349</v>
      </c>
      <c r="AB593" s="50" t="s">
        <v>14491</v>
      </c>
      <c r="AC593" s="50" t="s">
        <v>13263</v>
      </c>
      <c r="AD593" s="50" t="s">
        <v>14491</v>
      </c>
      <c r="AE593" s="50" t="s">
        <v>109</v>
      </c>
      <c r="AF593" s="50" t="s">
        <v>102</v>
      </c>
      <c r="AG593" s="50" t="s">
        <v>109</v>
      </c>
      <c r="AH593" s="50" t="s">
        <v>102</v>
      </c>
      <c r="AI593" s="50" t="s">
        <v>102</v>
      </c>
      <c r="AJ593" s="50" t="s">
        <v>14351</v>
      </c>
      <c r="AK593" s="50" t="s">
        <v>13344</v>
      </c>
      <c r="AL593" s="50" t="s">
        <v>14492</v>
      </c>
      <c r="AM593" s="50" t="s">
        <v>14493</v>
      </c>
      <c r="AN593" s="50" t="s">
        <v>14494</v>
      </c>
      <c r="AO593" s="50" t="s">
        <v>14355</v>
      </c>
      <c r="AP593" s="50" t="s">
        <v>14355</v>
      </c>
      <c r="AU593" s="50" t="s">
        <v>207</v>
      </c>
      <c r="AV593" s="50" t="s">
        <v>118</v>
      </c>
      <c r="AW593" s="50" t="s">
        <v>102</v>
      </c>
      <c r="AX593" s="50" t="s">
        <v>119</v>
      </c>
      <c r="BA593" s="50" t="s">
        <v>250</v>
      </c>
      <c r="BB593" s="50" t="s">
        <v>120</v>
      </c>
      <c r="BC593" s="50" t="s">
        <v>2820</v>
      </c>
      <c r="BD593" s="50" t="s">
        <v>376</v>
      </c>
      <c r="BE593" s="50" t="s">
        <v>174</v>
      </c>
      <c r="BF593" s="50" t="s">
        <v>376</v>
      </c>
      <c r="BG593" s="50" t="s">
        <v>124</v>
      </c>
      <c r="BH593" s="50" t="s">
        <v>11888</v>
      </c>
      <c r="BI593" s="50" t="s">
        <v>11889</v>
      </c>
      <c r="BJ593" s="50" t="s">
        <v>127</v>
      </c>
      <c r="BK593" s="50" t="s">
        <v>14495</v>
      </c>
      <c r="BL593" s="50" t="s">
        <v>14496</v>
      </c>
      <c r="BM593" s="50" t="s">
        <v>14497</v>
      </c>
      <c r="BN593" s="50" t="s">
        <v>12838</v>
      </c>
      <c r="BO593" s="50" t="s">
        <v>6926</v>
      </c>
      <c r="BP593" s="50" t="s">
        <v>180</v>
      </c>
      <c r="BQ593" s="50" t="s">
        <v>6927</v>
      </c>
      <c r="BR593" s="50" t="s">
        <v>6928</v>
      </c>
      <c r="BS593" s="50" t="s">
        <v>1858</v>
      </c>
      <c r="BU593" s="50" t="s">
        <v>14498</v>
      </c>
      <c r="BV593" s="50" t="s">
        <v>14360</v>
      </c>
      <c r="BW593" s="50" t="s">
        <v>296</v>
      </c>
      <c r="BX593" s="50" t="s">
        <v>14361</v>
      </c>
      <c r="BY593" s="50" t="s">
        <v>14362</v>
      </c>
      <c r="BZ593" s="50" t="s">
        <v>14499</v>
      </c>
      <c r="CA593" s="50" t="s">
        <v>14500</v>
      </c>
      <c r="CB593" s="50" t="s">
        <v>14499</v>
      </c>
      <c r="CC593" s="50" t="s">
        <v>14501</v>
      </c>
      <c r="CD593" s="50" t="s">
        <v>14366</v>
      </c>
      <c r="CE593" s="50" t="s">
        <v>14367</v>
      </c>
      <c r="CF593" s="50" t="s">
        <v>14368</v>
      </c>
      <c r="CG593" s="50" t="s">
        <v>14502</v>
      </c>
      <c r="CH593" s="50" t="s">
        <v>14503</v>
      </c>
      <c r="CJ593" s="50" t="s">
        <v>10306</v>
      </c>
      <c r="CK593" s="50" t="s">
        <v>14504</v>
      </c>
      <c r="CL593" s="50" t="s">
        <v>2820</v>
      </c>
      <c r="CM593" s="50" t="s">
        <v>376</v>
      </c>
      <c r="CN593" s="50" t="s">
        <v>10306</v>
      </c>
      <c r="CP593" s="50" t="s">
        <v>14503</v>
      </c>
      <c r="CQ593" s="50" t="s">
        <v>14503</v>
      </c>
    </row>
    <row r="594" spans="1:96">
      <c r="A594" s="50" t="s">
        <v>337</v>
      </c>
      <c r="B594" s="50">
        <v>4041890</v>
      </c>
      <c r="C594" s="50" t="s">
        <v>12155</v>
      </c>
      <c r="D594" s="50" t="s">
        <v>17994</v>
      </c>
      <c r="E594" s="50" t="str">
        <f>VLOOKUP(B594,aa!B:F,5,0)</f>
        <v>Ei ASSET, Ei Mindspark</v>
      </c>
      <c r="F594" s="50">
        <f>VLOOKUP(B594,aa!B:J,9,0)</f>
        <v>3250816</v>
      </c>
      <c r="G594" s="50">
        <f>VLOOKUP(B594,aa!B:L,11,0)</f>
        <v>800100</v>
      </c>
      <c r="H594" s="50">
        <f>VLOOKUP(B594,aa!B:O,14,0)</f>
        <v>0</v>
      </c>
      <c r="I594" s="50">
        <f>VLOOKUP(B594,aa!B:R,17,0)</f>
        <v>2450716</v>
      </c>
      <c r="K594" s="50" t="s">
        <v>1715</v>
      </c>
      <c r="L594" s="50">
        <v>1408530</v>
      </c>
      <c r="M594" s="50">
        <v>1517885</v>
      </c>
      <c r="N594" s="50">
        <v>801000</v>
      </c>
      <c r="O594" s="50">
        <v>917</v>
      </c>
      <c r="P594" s="50" t="s">
        <v>14346</v>
      </c>
      <c r="Q594" s="50">
        <v>0</v>
      </c>
      <c r="R594" s="50">
        <v>0</v>
      </c>
      <c r="T594" s="50">
        <v>607530</v>
      </c>
      <c r="U594" s="50">
        <v>1127</v>
      </c>
      <c r="V594" s="50" t="s">
        <v>14347</v>
      </c>
      <c r="W594" s="50" t="s">
        <v>102</v>
      </c>
      <c r="X594" s="50" t="s">
        <v>679</v>
      </c>
      <c r="Y594" s="50" t="s">
        <v>104</v>
      </c>
      <c r="Z594" s="50" t="s">
        <v>6895</v>
      </c>
      <c r="AA594" s="50" t="s">
        <v>14349</v>
      </c>
      <c r="AB594" s="50" t="s">
        <v>17995</v>
      </c>
      <c r="AC594" s="50" t="s">
        <v>13263</v>
      </c>
      <c r="AD594" s="50" t="s">
        <v>17995</v>
      </c>
      <c r="AE594" s="50" t="s">
        <v>109</v>
      </c>
      <c r="AF594" s="50" t="s">
        <v>102</v>
      </c>
      <c r="AG594" s="50" t="s">
        <v>109</v>
      </c>
      <c r="AH594" s="50" t="s">
        <v>102</v>
      </c>
      <c r="AI594" s="50" t="s">
        <v>102</v>
      </c>
      <c r="AJ594" s="50" t="s">
        <v>14351</v>
      </c>
      <c r="AK594" s="50" t="s">
        <v>13000</v>
      </c>
      <c r="AL594" s="50" t="s">
        <v>17996</v>
      </c>
      <c r="AM594" s="50" t="s">
        <v>17997</v>
      </c>
      <c r="AN594" s="50" t="s">
        <v>17998</v>
      </c>
      <c r="AO594" s="50" t="s">
        <v>14355</v>
      </c>
      <c r="AP594" s="50" t="s">
        <v>14355</v>
      </c>
      <c r="AU594" s="50" t="s">
        <v>207</v>
      </c>
      <c r="AV594" s="50" t="s">
        <v>118</v>
      </c>
      <c r="AW594" s="50" t="s">
        <v>102</v>
      </c>
      <c r="AX594" s="50" t="s">
        <v>119</v>
      </c>
      <c r="BA594" s="50" t="s">
        <v>250</v>
      </c>
      <c r="BB594" s="50" t="s">
        <v>120</v>
      </c>
      <c r="BC594" s="50" t="s">
        <v>1036</v>
      </c>
      <c r="BD594" s="50" t="s">
        <v>173</v>
      </c>
      <c r="BE594" s="50" t="s">
        <v>174</v>
      </c>
      <c r="BF594" s="50" t="s">
        <v>173</v>
      </c>
      <c r="BG594" s="50" t="s">
        <v>124</v>
      </c>
      <c r="BH594" s="50" t="s">
        <v>11888</v>
      </c>
      <c r="BI594" s="50" t="s">
        <v>11889</v>
      </c>
      <c r="BJ594" s="50" t="s">
        <v>127</v>
      </c>
      <c r="BK594" s="50" t="s">
        <v>17999</v>
      </c>
      <c r="BL594" s="50" t="s">
        <v>18000</v>
      </c>
      <c r="BM594" s="50" t="s">
        <v>18001</v>
      </c>
      <c r="BN594" s="50" t="s">
        <v>12838</v>
      </c>
      <c r="BO594" s="50" t="s">
        <v>8447</v>
      </c>
      <c r="BP594" s="50" t="s">
        <v>180</v>
      </c>
      <c r="BQ594" s="50" t="s">
        <v>8448</v>
      </c>
      <c r="BR594" s="50" t="s">
        <v>8449</v>
      </c>
      <c r="BS594" s="50" t="s">
        <v>8450</v>
      </c>
      <c r="BU594" s="50" t="s">
        <v>18002</v>
      </c>
      <c r="BV594" s="50" t="s">
        <v>18003</v>
      </c>
      <c r="BW594" s="50" t="s">
        <v>296</v>
      </c>
      <c r="BX594" s="50" t="s">
        <v>14361</v>
      </c>
      <c r="BY594" s="50" t="s">
        <v>14362</v>
      </c>
      <c r="BZ594" s="50" t="s">
        <v>18004</v>
      </c>
      <c r="CA594" s="50" t="s">
        <v>18005</v>
      </c>
      <c r="CB594" s="50" t="s">
        <v>18004</v>
      </c>
      <c r="CC594" s="50" t="s">
        <v>18006</v>
      </c>
      <c r="CD594" s="50" t="s">
        <v>14366</v>
      </c>
      <c r="CE594" s="50" t="s">
        <v>14367</v>
      </c>
      <c r="CF594" s="50" t="s">
        <v>14368</v>
      </c>
      <c r="CG594" s="50" t="s">
        <v>8526</v>
      </c>
      <c r="CH594" s="50" t="s">
        <v>18007</v>
      </c>
      <c r="CJ594" s="50" t="s">
        <v>18008</v>
      </c>
      <c r="CK594" s="50" t="s">
        <v>18009</v>
      </c>
      <c r="CL594" s="50" t="s">
        <v>1036</v>
      </c>
      <c r="CM594" s="50" t="s">
        <v>173</v>
      </c>
      <c r="CN594" s="50" t="s">
        <v>18008</v>
      </c>
      <c r="CP594" s="50" t="s">
        <v>18010</v>
      </c>
      <c r="CQ594" s="50" t="s">
        <v>18010</v>
      </c>
    </row>
    <row r="595" spans="1:96">
      <c r="A595" s="50" t="s">
        <v>337</v>
      </c>
      <c r="B595" s="50">
        <v>5018035</v>
      </c>
      <c r="C595" s="50" t="s">
        <v>384</v>
      </c>
      <c r="D595" s="50" t="s">
        <v>19339</v>
      </c>
      <c r="E595" s="50" t="str">
        <f>VLOOKUP(B595,aa!B:F,5,0)</f>
        <v>Ei ASSET, Ei Mindspark</v>
      </c>
      <c r="F595" s="50">
        <f>VLOOKUP(B595,aa!B:J,9,0)</f>
        <v>898769</v>
      </c>
      <c r="G595" s="50">
        <f>VLOOKUP(B595,aa!B:L,11,0)</f>
        <v>191700</v>
      </c>
      <c r="H595" s="50">
        <f>VLOOKUP(B595,aa!B:O,14,0)</f>
        <v>0</v>
      </c>
      <c r="I595" s="50">
        <f>VLOOKUP(B595,aa!B:R,17,0)</f>
        <v>707069</v>
      </c>
      <c r="K595" s="50" t="s">
        <v>193</v>
      </c>
      <c r="L595" s="50">
        <v>170100</v>
      </c>
      <c r="M595" s="50">
        <v>170100</v>
      </c>
      <c r="N595" s="50">
        <v>170100</v>
      </c>
      <c r="O595" s="50">
        <v>190</v>
      </c>
      <c r="P595" s="50" t="s">
        <v>14346</v>
      </c>
      <c r="Q595" s="50">
        <v>0</v>
      </c>
      <c r="R595" s="50">
        <v>0</v>
      </c>
      <c r="T595" s="50">
        <v>0</v>
      </c>
      <c r="U595" s="50">
        <v>253</v>
      </c>
      <c r="V595" s="50" t="s">
        <v>102</v>
      </c>
      <c r="W595" s="50" t="s">
        <v>102</v>
      </c>
      <c r="X595" s="50" t="s">
        <v>679</v>
      </c>
      <c r="Y595" s="50" t="s">
        <v>104</v>
      </c>
      <c r="Z595" s="50" t="s">
        <v>19341</v>
      </c>
      <c r="AA595" s="50" t="s">
        <v>14349</v>
      </c>
      <c r="AB595" s="50" t="s">
        <v>19342</v>
      </c>
      <c r="AC595" s="50" t="s">
        <v>13263</v>
      </c>
      <c r="AD595" s="50" t="s">
        <v>19342</v>
      </c>
      <c r="AE595" s="50" t="s">
        <v>109</v>
      </c>
      <c r="AF595" s="50" t="s">
        <v>102</v>
      </c>
      <c r="AG595" s="50" t="s">
        <v>109</v>
      </c>
      <c r="AH595" s="50" t="s">
        <v>102</v>
      </c>
      <c r="AI595" s="50" t="s">
        <v>102</v>
      </c>
      <c r="AJ595" s="50" t="s">
        <v>14351</v>
      </c>
      <c r="AK595" s="50" t="s">
        <v>13000</v>
      </c>
      <c r="AL595" s="50" t="s">
        <v>19343</v>
      </c>
      <c r="AM595" s="50" t="s">
        <v>19344</v>
      </c>
      <c r="AN595" s="50" t="s">
        <v>19345</v>
      </c>
      <c r="AO595" s="50" t="s">
        <v>19346</v>
      </c>
      <c r="AP595" s="50" t="s">
        <v>19346</v>
      </c>
      <c r="AU595" s="50" t="s">
        <v>207</v>
      </c>
      <c r="AV595" s="50" t="s">
        <v>118</v>
      </c>
      <c r="AW595" s="50" t="s">
        <v>102</v>
      </c>
      <c r="AX595" s="50" t="s">
        <v>119</v>
      </c>
      <c r="BA595" s="50" t="s">
        <v>250</v>
      </c>
      <c r="BB595" s="50" t="s">
        <v>120</v>
      </c>
      <c r="BC595" s="50" t="s">
        <v>13207</v>
      </c>
      <c r="BD595" s="50" t="s">
        <v>376</v>
      </c>
      <c r="BE595" s="50" t="s">
        <v>174</v>
      </c>
      <c r="BF595" s="50" t="s">
        <v>376</v>
      </c>
      <c r="BG595" s="50" t="s">
        <v>124</v>
      </c>
      <c r="BH595" s="50" t="s">
        <v>19347</v>
      </c>
      <c r="BI595" s="50" t="s">
        <v>11889</v>
      </c>
      <c r="BJ595" s="50" t="s">
        <v>127</v>
      </c>
      <c r="BK595" s="50" t="s">
        <v>19348</v>
      </c>
      <c r="BL595" s="50" t="s">
        <v>19349</v>
      </c>
      <c r="BM595" s="50" t="s">
        <v>19350</v>
      </c>
      <c r="BN595" s="50" t="s">
        <v>19340</v>
      </c>
      <c r="BO595" s="50" t="s">
        <v>6926</v>
      </c>
      <c r="BP595" s="50" t="s">
        <v>180</v>
      </c>
      <c r="BQ595" s="50" t="s">
        <v>6927</v>
      </c>
      <c r="BR595" s="50" t="s">
        <v>6928</v>
      </c>
      <c r="BS595" s="50" t="s">
        <v>1858</v>
      </c>
      <c r="BU595" s="50" t="s">
        <v>19351</v>
      </c>
      <c r="BV595" s="50" t="s">
        <v>19352</v>
      </c>
      <c r="BW595" s="50" t="s">
        <v>16620</v>
      </c>
      <c r="BX595" s="50" t="s">
        <v>19353</v>
      </c>
      <c r="BY595" s="50" t="s">
        <v>19354</v>
      </c>
      <c r="BZ595" s="50" t="s">
        <v>19355</v>
      </c>
      <c r="CA595" s="50" t="s">
        <v>19356</v>
      </c>
      <c r="CB595" s="50" t="s">
        <v>19355</v>
      </c>
      <c r="CC595" s="50" t="s">
        <v>19357</v>
      </c>
      <c r="CD595" s="50" t="s">
        <v>19358</v>
      </c>
      <c r="CE595" s="50" t="s">
        <v>19359</v>
      </c>
      <c r="CF595" s="50" t="s">
        <v>19360</v>
      </c>
      <c r="CG595" s="50" t="s">
        <v>19361</v>
      </c>
      <c r="CH595" s="50" t="s">
        <v>19362</v>
      </c>
      <c r="CJ595" s="50" t="s">
        <v>19363</v>
      </c>
      <c r="CK595" s="50" t="s">
        <v>19362</v>
      </c>
      <c r="CL595" s="50" t="s">
        <v>13207</v>
      </c>
      <c r="CM595" s="50" t="s">
        <v>376</v>
      </c>
      <c r="CN595" s="50" t="s">
        <v>19363</v>
      </c>
      <c r="CP595" s="50" t="s">
        <v>19362</v>
      </c>
      <c r="CQ595" s="50" t="s">
        <v>19362</v>
      </c>
    </row>
    <row r="596" spans="1:96">
      <c r="A596" s="50" t="s">
        <v>337</v>
      </c>
      <c r="B596" s="50">
        <v>5077577</v>
      </c>
      <c r="C596" s="50" t="s">
        <v>13158</v>
      </c>
      <c r="D596" s="50" t="s">
        <v>20831</v>
      </c>
      <c r="E596" s="50" t="e">
        <f>VLOOKUP(B596,aa!B:F,5,0)</f>
        <v>#N/A</v>
      </c>
      <c r="F596" s="50" t="e">
        <f>VLOOKUP(B596,aa!B:J,9,0)</f>
        <v>#N/A</v>
      </c>
      <c r="G596" s="50" t="e">
        <f>VLOOKUP(B596,aa!B:L,11,0)</f>
        <v>#N/A</v>
      </c>
      <c r="H596" s="50" t="e">
        <f>VLOOKUP(B596,aa!B:O,14,0)</f>
        <v>#N/A</v>
      </c>
      <c r="I596" s="50" t="e">
        <f>VLOOKUP(B596,aa!B:R,17,0)</f>
        <v>#N/A</v>
      </c>
      <c r="K596" s="50" t="s">
        <v>1746</v>
      </c>
      <c r="L596" s="50">
        <v>1344160</v>
      </c>
      <c r="M596" s="50">
        <v>1443232</v>
      </c>
      <c r="N596" s="50">
        <v>432960</v>
      </c>
      <c r="O596" s="50">
        <v>1000</v>
      </c>
      <c r="P596" s="50" t="s">
        <v>20832</v>
      </c>
      <c r="Q596" s="50">
        <v>360800</v>
      </c>
      <c r="R596" s="50">
        <v>500</v>
      </c>
      <c r="S596" s="50" t="s">
        <v>20833</v>
      </c>
      <c r="T596" s="50">
        <v>550400</v>
      </c>
      <c r="U596" s="50">
        <v>500</v>
      </c>
      <c r="V596" s="50" t="s">
        <v>6782</v>
      </c>
      <c r="W596" s="50" t="s">
        <v>102</v>
      </c>
      <c r="X596" s="50" t="s">
        <v>103</v>
      </c>
      <c r="Y596" s="50" t="s">
        <v>398</v>
      </c>
      <c r="AA596" s="50" t="s">
        <v>12099</v>
      </c>
      <c r="AB596" s="50" t="s">
        <v>20834</v>
      </c>
      <c r="AC596" s="50" t="s">
        <v>13395</v>
      </c>
      <c r="AD596" s="50" t="s">
        <v>20835</v>
      </c>
      <c r="AE596" s="50" t="s">
        <v>12713</v>
      </c>
      <c r="AF596" s="50" t="s">
        <v>20835</v>
      </c>
      <c r="AG596" s="50" t="s">
        <v>109</v>
      </c>
      <c r="AH596" s="50" t="s">
        <v>102</v>
      </c>
      <c r="AI596" s="50" t="s">
        <v>102</v>
      </c>
      <c r="AL596" s="50" t="s">
        <v>20836</v>
      </c>
      <c r="AM596" s="50" t="s">
        <v>102</v>
      </c>
      <c r="AN596" s="50" t="s">
        <v>20836</v>
      </c>
      <c r="AO596" s="50" t="s">
        <v>20837</v>
      </c>
      <c r="AP596" s="50" t="s">
        <v>20837</v>
      </c>
      <c r="AU596" s="50" t="s">
        <v>6700</v>
      </c>
      <c r="AV596" s="50" t="s">
        <v>250</v>
      </c>
      <c r="AW596" s="50" t="s">
        <v>155</v>
      </c>
      <c r="AX596" s="50" t="s">
        <v>119</v>
      </c>
      <c r="AZ596" s="50" t="s">
        <v>250</v>
      </c>
      <c r="BA596" s="50" t="s">
        <v>250</v>
      </c>
      <c r="BB596" s="50" t="s">
        <v>120</v>
      </c>
      <c r="BC596" s="50" t="s">
        <v>19371</v>
      </c>
      <c r="BD596" s="50" t="s">
        <v>19372</v>
      </c>
      <c r="BE596" s="50" t="s">
        <v>212</v>
      </c>
      <c r="BF596" s="50" t="s">
        <v>213</v>
      </c>
      <c r="BG596" s="50" t="s">
        <v>124</v>
      </c>
      <c r="BH596" s="50" t="s">
        <v>13680</v>
      </c>
      <c r="BI596" s="50" t="s">
        <v>12047</v>
      </c>
      <c r="BJ596" s="50" t="s">
        <v>127</v>
      </c>
      <c r="BK596" s="50" t="s">
        <v>20838</v>
      </c>
      <c r="BL596" s="50" t="s">
        <v>20839</v>
      </c>
      <c r="BM596" s="50" t="s">
        <v>20840</v>
      </c>
      <c r="BN596" s="50" t="s">
        <v>15177</v>
      </c>
      <c r="BO596" s="50" t="s">
        <v>956</v>
      </c>
      <c r="BP596" s="50" t="s">
        <v>180</v>
      </c>
      <c r="BQ596" s="50" t="s">
        <v>958</v>
      </c>
      <c r="BR596" s="50" t="s">
        <v>959</v>
      </c>
      <c r="BS596" s="50" t="s">
        <v>293</v>
      </c>
      <c r="BU596" s="50" t="s">
        <v>20841</v>
      </c>
      <c r="BV596" s="50" t="s">
        <v>10447</v>
      </c>
      <c r="BW596" s="50" t="s">
        <v>354</v>
      </c>
      <c r="BX596" s="50" t="s">
        <v>10448</v>
      </c>
      <c r="BY596" s="50" t="s">
        <v>9098</v>
      </c>
      <c r="BZ596" s="50" t="s">
        <v>20842</v>
      </c>
      <c r="CA596" s="50" t="s">
        <v>10447</v>
      </c>
      <c r="CB596" s="50" t="s">
        <v>10448</v>
      </c>
      <c r="CC596" s="50" t="s">
        <v>9098</v>
      </c>
      <c r="CD596" s="50" t="s">
        <v>10447</v>
      </c>
      <c r="CE596" s="50" t="s">
        <v>10448</v>
      </c>
      <c r="CF596" s="50" t="s">
        <v>9098</v>
      </c>
      <c r="CG596" s="50" t="s">
        <v>102</v>
      </c>
      <c r="CH596" s="50" t="s">
        <v>19376</v>
      </c>
      <c r="CJ596" s="50" t="s">
        <v>19377</v>
      </c>
      <c r="CL596" s="50" t="s">
        <v>19371</v>
      </c>
      <c r="CM596" s="50" t="s">
        <v>19372</v>
      </c>
      <c r="CN596" s="50" t="s">
        <v>19377</v>
      </c>
      <c r="CP596" s="50" t="s">
        <v>10451</v>
      </c>
      <c r="CQ596" s="50" t="s">
        <v>10451</v>
      </c>
      <c r="CR596" s="50" t="s">
        <v>26048</v>
      </c>
    </row>
    <row r="597" spans="1:96">
      <c r="A597" s="50" t="s">
        <v>337</v>
      </c>
      <c r="B597" s="50">
        <v>5070312</v>
      </c>
      <c r="C597" s="50" t="s">
        <v>293</v>
      </c>
      <c r="D597" s="50" t="s">
        <v>20770</v>
      </c>
      <c r="E597" s="50" t="e">
        <f>VLOOKUP(B597,aa!B:F,5,0)</f>
        <v>#N/A</v>
      </c>
      <c r="F597" s="50" t="e">
        <f>VLOOKUP(B597,aa!B:J,9,0)</f>
        <v>#N/A</v>
      </c>
      <c r="G597" s="50" t="e">
        <f>VLOOKUP(B597,aa!B:L,11,0)</f>
        <v>#N/A</v>
      </c>
      <c r="H597" s="50" t="e">
        <f>VLOOKUP(B597,aa!B:O,14,0)</f>
        <v>#N/A</v>
      </c>
      <c r="I597" s="50" t="e">
        <f>VLOOKUP(B597,aa!B:R,17,0)</f>
        <v>#N/A</v>
      </c>
      <c r="K597" s="50" t="s">
        <v>1746</v>
      </c>
      <c r="L597" s="50">
        <v>0</v>
      </c>
      <c r="M597" s="50">
        <v>0</v>
      </c>
      <c r="N597" s="50">
        <v>0</v>
      </c>
      <c r="O597" s="50">
        <v>250</v>
      </c>
      <c r="P597" s="50" t="s">
        <v>102</v>
      </c>
      <c r="Q597" s="50">
        <v>0</v>
      </c>
      <c r="R597" s="50">
        <v>250</v>
      </c>
      <c r="S597" s="50" t="s">
        <v>102</v>
      </c>
      <c r="T597" s="50">
        <v>0</v>
      </c>
      <c r="U597" s="50">
        <v>250</v>
      </c>
      <c r="V597" s="50" t="s">
        <v>102</v>
      </c>
      <c r="W597" s="50" t="s">
        <v>102</v>
      </c>
      <c r="X597" s="50" t="s">
        <v>275</v>
      </c>
      <c r="Z597" s="50" t="s">
        <v>14705</v>
      </c>
      <c r="AA597" s="50" t="s">
        <v>109</v>
      </c>
      <c r="AB597" s="50" t="s">
        <v>102</v>
      </c>
      <c r="AC597" s="50" t="s">
        <v>109</v>
      </c>
      <c r="AD597" s="50" t="s">
        <v>102</v>
      </c>
      <c r="AE597" s="50" t="s">
        <v>109</v>
      </c>
      <c r="AF597" s="50" t="s">
        <v>102</v>
      </c>
      <c r="AG597" s="50" t="s">
        <v>109</v>
      </c>
      <c r="AH597" s="50" t="s">
        <v>102</v>
      </c>
      <c r="AI597" s="50" t="s">
        <v>102</v>
      </c>
      <c r="AL597" s="50" t="s">
        <v>102</v>
      </c>
      <c r="AM597" s="50" t="s">
        <v>102</v>
      </c>
      <c r="AN597" s="50" t="s">
        <v>102</v>
      </c>
      <c r="AO597" s="50" t="s">
        <v>115</v>
      </c>
      <c r="AP597" s="50" t="s">
        <v>115</v>
      </c>
      <c r="AU597" s="50" t="s">
        <v>6700</v>
      </c>
      <c r="AV597" s="50" t="s">
        <v>250</v>
      </c>
      <c r="AW597" s="50" t="s">
        <v>155</v>
      </c>
      <c r="AX597" s="50" t="s">
        <v>119</v>
      </c>
      <c r="AZ597" s="50" t="s">
        <v>250</v>
      </c>
      <c r="BA597" s="50" t="s">
        <v>250</v>
      </c>
      <c r="BB597" s="50" t="s">
        <v>120</v>
      </c>
      <c r="BC597" s="50" t="s">
        <v>7718</v>
      </c>
      <c r="BD597" s="50" t="s">
        <v>211</v>
      </c>
      <c r="BE597" s="50" t="s">
        <v>212</v>
      </c>
      <c r="BF597" s="50" t="s">
        <v>213</v>
      </c>
      <c r="BG597" s="50" t="s">
        <v>124</v>
      </c>
      <c r="BH597" s="50" t="s">
        <v>13680</v>
      </c>
      <c r="BI597" s="50" t="s">
        <v>12047</v>
      </c>
      <c r="BJ597" s="50" t="s">
        <v>127</v>
      </c>
      <c r="BK597" s="50" t="s">
        <v>20771</v>
      </c>
      <c r="BL597" s="50" t="s">
        <v>20772</v>
      </c>
      <c r="BM597" s="50" t="s">
        <v>20773</v>
      </c>
      <c r="BN597" s="50" t="s">
        <v>14705</v>
      </c>
      <c r="BO597" s="50" t="s">
        <v>956</v>
      </c>
      <c r="BP597" s="50" t="s">
        <v>258</v>
      </c>
      <c r="BQ597" s="50" t="s">
        <v>958</v>
      </c>
      <c r="BR597" s="50" t="s">
        <v>959</v>
      </c>
      <c r="BS597" s="50" t="s">
        <v>4765</v>
      </c>
      <c r="BU597" s="50" t="s">
        <v>20774</v>
      </c>
      <c r="BV597" s="50" t="s">
        <v>3585</v>
      </c>
      <c r="BX597" s="50" t="s">
        <v>225</v>
      </c>
      <c r="BY597" s="50" t="s">
        <v>8332</v>
      </c>
      <c r="CA597" s="50" t="s">
        <v>3585</v>
      </c>
      <c r="CB597" s="50" t="s">
        <v>225</v>
      </c>
      <c r="CC597" s="50" t="s">
        <v>8332</v>
      </c>
      <c r="CD597" s="50" t="s">
        <v>3585</v>
      </c>
      <c r="CE597" s="50" t="s">
        <v>225</v>
      </c>
      <c r="CF597" s="50" t="s">
        <v>8332</v>
      </c>
      <c r="CG597" s="50" t="s">
        <v>102</v>
      </c>
      <c r="CH597" s="50" t="s">
        <v>20775</v>
      </c>
      <c r="CJ597" s="50" t="s">
        <v>20776</v>
      </c>
      <c r="CL597" s="50" t="s">
        <v>7718</v>
      </c>
      <c r="CM597" s="50" t="s">
        <v>211</v>
      </c>
      <c r="CN597" s="50" t="s">
        <v>20776</v>
      </c>
      <c r="CP597" s="50" t="s">
        <v>20777</v>
      </c>
      <c r="CQ597" s="50" t="s">
        <v>20777</v>
      </c>
      <c r="CR597" s="50" t="s">
        <v>26048</v>
      </c>
    </row>
    <row r="598" spans="1:96">
      <c r="A598" s="50" t="s">
        <v>337</v>
      </c>
      <c r="B598" s="50">
        <v>5070482</v>
      </c>
      <c r="C598" s="50" t="s">
        <v>293</v>
      </c>
      <c r="D598" s="50" t="s">
        <v>20778</v>
      </c>
      <c r="E598" s="50" t="e">
        <f>VLOOKUP(B598,aa!B:F,5,0)</f>
        <v>#N/A</v>
      </c>
      <c r="F598" s="50" t="e">
        <f>VLOOKUP(B598,aa!B:J,9,0)</f>
        <v>#N/A</v>
      </c>
      <c r="G598" s="50" t="e">
        <f>VLOOKUP(B598,aa!B:L,11,0)</f>
        <v>#N/A</v>
      </c>
      <c r="H598" s="50" t="e">
        <f>VLOOKUP(B598,aa!B:O,14,0)</f>
        <v>#N/A</v>
      </c>
      <c r="I598" s="50" t="e">
        <f>VLOOKUP(B598,aa!B:R,17,0)</f>
        <v>#N/A</v>
      </c>
      <c r="K598" s="50" t="s">
        <v>1746</v>
      </c>
      <c r="L598" s="50">
        <v>0</v>
      </c>
      <c r="M598" s="50">
        <v>0</v>
      </c>
      <c r="N598" s="50">
        <v>0</v>
      </c>
      <c r="O598" s="50">
        <v>250</v>
      </c>
      <c r="P598" s="50" t="s">
        <v>102</v>
      </c>
      <c r="Q598" s="50">
        <v>0</v>
      </c>
      <c r="R598" s="50">
        <v>250</v>
      </c>
      <c r="S598" s="50" t="s">
        <v>102</v>
      </c>
      <c r="T598" s="50">
        <v>0</v>
      </c>
      <c r="U598" s="50">
        <v>250</v>
      </c>
      <c r="V598" s="50" t="s">
        <v>102</v>
      </c>
      <c r="W598" s="50" t="s">
        <v>102</v>
      </c>
      <c r="X598" s="50" t="s">
        <v>275</v>
      </c>
      <c r="Z598" s="50" t="s">
        <v>14705</v>
      </c>
      <c r="AA598" s="50" t="s">
        <v>109</v>
      </c>
      <c r="AB598" s="50" t="s">
        <v>102</v>
      </c>
      <c r="AC598" s="50" t="s">
        <v>109</v>
      </c>
      <c r="AD598" s="50" t="s">
        <v>102</v>
      </c>
      <c r="AE598" s="50" t="s">
        <v>109</v>
      </c>
      <c r="AF598" s="50" t="s">
        <v>102</v>
      </c>
      <c r="AG598" s="50" t="s">
        <v>109</v>
      </c>
      <c r="AH598" s="50" t="s">
        <v>102</v>
      </c>
      <c r="AI598" s="50" t="s">
        <v>102</v>
      </c>
      <c r="AL598" s="50" t="s">
        <v>102</v>
      </c>
      <c r="AM598" s="50" t="s">
        <v>102</v>
      </c>
      <c r="AN598" s="50" t="s">
        <v>102</v>
      </c>
      <c r="AO598" s="50" t="s">
        <v>115</v>
      </c>
      <c r="AP598" s="50" t="s">
        <v>115</v>
      </c>
      <c r="AU598" s="50" t="s">
        <v>6700</v>
      </c>
      <c r="AV598" s="50" t="s">
        <v>250</v>
      </c>
      <c r="AW598" s="50" t="s">
        <v>155</v>
      </c>
      <c r="AX598" s="50" t="s">
        <v>119</v>
      </c>
      <c r="AZ598" s="50" t="s">
        <v>250</v>
      </c>
      <c r="BA598" s="50" t="s">
        <v>250</v>
      </c>
      <c r="BB598" s="50" t="s">
        <v>120</v>
      </c>
      <c r="BC598" s="50" t="s">
        <v>7718</v>
      </c>
      <c r="BD598" s="50" t="s">
        <v>211</v>
      </c>
      <c r="BE598" s="50" t="s">
        <v>212</v>
      </c>
      <c r="BF598" s="50" t="s">
        <v>213</v>
      </c>
      <c r="BG598" s="50" t="s">
        <v>124</v>
      </c>
      <c r="BH598" s="50" t="s">
        <v>13680</v>
      </c>
      <c r="BI598" s="50" t="s">
        <v>12047</v>
      </c>
      <c r="BJ598" s="50" t="s">
        <v>127</v>
      </c>
      <c r="BK598" s="50" t="s">
        <v>20779</v>
      </c>
      <c r="BL598" s="50" t="s">
        <v>20780</v>
      </c>
      <c r="BM598" s="50" t="s">
        <v>20781</v>
      </c>
      <c r="BN598" s="50" t="s">
        <v>14705</v>
      </c>
      <c r="BO598" s="50" t="s">
        <v>956</v>
      </c>
      <c r="BP598" s="50" t="s">
        <v>258</v>
      </c>
      <c r="BQ598" s="50" t="s">
        <v>958</v>
      </c>
      <c r="BR598" s="50" t="s">
        <v>959</v>
      </c>
      <c r="BS598" s="50" t="s">
        <v>4765</v>
      </c>
      <c r="BU598" s="50" t="s">
        <v>20782</v>
      </c>
      <c r="BV598" s="50" t="s">
        <v>3585</v>
      </c>
      <c r="BX598" s="50" t="s">
        <v>225</v>
      </c>
      <c r="BY598" s="50" t="s">
        <v>8332</v>
      </c>
      <c r="CA598" s="50" t="s">
        <v>3585</v>
      </c>
      <c r="CB598" s="50" t="s">
        <v>225</v>
      </c>
      <c r="CC598" s="50" t="s">
        <v>8332</v>
      </c>
      <c r="CD598" s="50" t="s">
        <v>3585</v>
      </c>
      <c r="CE598" s="50" t="s">
        <v>225</v>
      </c>
      <c r="CF598" s="50" t="s">
        <v>8332</v>
      </c>
      <c r="CG598" s="50" t="s">
        <v>102</v>
      </c>
      <c r="CH598" s="50" t="s">
        <v>20783</v>
      </c>
      <c r="CJ598" s="50" t="s">
        <v>20784</v>
      </c>
      <c r="CL598" s="50" t="s">
        <v>7718</v>
      </c>
      <c r="CM598" s="50" t="s">
        <v>211</v>
      </c>
      <c r="CN598" s="50" t="s">
        <v>20784</v>
      </c>
      <c r="CP598" s="50" t="s">
        <v>20785</v>
      </c>
      <c r="CQ598" s="50" t="s">
        <v>20785</v>
      </c>
      <c r="CR598" s="50" t="s">
        <v>26048</v>
      </c>
    </row>
    <row r="599" spans="1:96">
      <c r="A599" s="50" t="s">
        <v>495</v>
      </c>
      <c r="B599" s="50">
        <v>2285293</v>
      </c>
      <c r="C599" s="50" t="s">
        <v>3562</v>
      </c>
      <c r="D599" s="50" t="s">
        <v>2966</v>
      </c>
      <c r="E599" s="50" t="e">
        <f>VLOOKUP(B599,aa!B:F,5,0)</f>
        <v>#N/A</v>
      </c>
      <c r="F599" s="50" t="e">
        <f>VLOOKUP(B599,aa!B:J,9,0)</f>
        <v>#N/A</v>
      </c>
      <c r="G599" s="50" t="e">
        <f>VLOOKUP(B599,aa!B:L,11,0)</f>
        <v>#N/A</v>
      </c>
      <c r="H599" s="50" t="e">
        <f>VLOOKUP(B599,aa!B:O,14,0)</f>
        <v>#N/A</v>
      </c>
      <c r="I599" s="50" t="e">
        <f>VLOOKUP(B599,aa!B:R,17,0)</f>
        <v>#N/A</v>
      </c>
      <c r="K599" s="50" t="s">
        <v>97</v>
      </c>
      <c r="L599" s="50">
        <v>748706</v>
      </c>
      <c r="M599" s="50">
        <v>748706</v>
      </c>
      <c r="N599" s="50">
        <v>748706</v>
      </c>
      <c r="O599" s="50">
        <v>468</v>
      </c>
      <c r="P599" s="50" t="s">
        <v>678</v>
      </c>
      <c r="Q599" s="50">
        <v>0</v>
      </c>
      <c r="R599" s="50">
        <v>0</v>
      </c>
      <c r="T599" s="50">
        <v>0</v>
      </c>
      <c r="U599" s="50">
        <v>0</v>
      </c>
      <c r="W599" s="50" t="s">
        <v>102</v>
      </c>
      <c r="X599" s="50" t="s">
        <v>275</v>
      </c>
      <c r="Z599" s="50" t="s">
        <v>12041</v>
      </c>
      <c r="AA599" s="50" t="s">
        <v>109</v>
      </c>
      <c r="AB599" s="50" t="s">
        <v>102</v>
      </c>
      <c r="AC599" s="50" t="s">
        <v>109</v>
      </c>
      <c r="AD599" s="50" t="s">
        <v>102</v>
      </c>
      <c r="AE599" s="50" t="s">
        <v>109</v>
      </c>
      <c r="AF599" s="50" t="s">
        <v>102</v>
      </c>
      <c r="AG599" s="50" t="s">
        <v>109</v>
      </c>
      <c r="AH599" s="50" t="s">
        <v>102</v>
      </c>
      <c r="AI599" s="50" t="s">
        <v>102</v>
      </c>
      <c r="AJ599" s="50" t="s">
        <v>3849</v>
      </c>
      <c r="AK599" s="50" t="s">
        <v>3849</v>
      </c>
      <c r="AL599" s="50" t="s">
        <v>13685</v>
      </c>
      <c r="AM599" s="50" t="s">
        <v>13686</v>
      </c>
      <c r="AN599" s="50" t="s">
        <v>13687</v>
      </c>
      <c r="AO599" s="50" t="s">
        <v>6139</v>
      </c>
      <c r="AP599" s="50" t="s">
        <v>6139</v>
      </c>
      <c r="AU599" s="50" t="s">
        <v>6700</v>
      </c>
      <c r="AV599" s="50" t="s">
        <v>118</v>
      </c>
      <c r="AW599" s="50" t="s">
        <v>102</v>
      </c>
      <c r="AX599" s="50" t="s">
        <v>119</v>
      </c>
      <c r="BB599" s="50" t="s">
        <v>2565</v>
      </c>
      <c r="BC599" s="50" t="s">
        <v>2327</v>
      </c>
      <c r="BD599" s="50" t="s">
        <v>730</v>
      </c>
      <c r="BE599" s="50" t="s">
        <v>622</v>
      </c>
      <c r="BF599" s="50" t="s">
        <v>730</v>
      </c>
      <c r="BG599" s="50" t="s">
        <v>124</v>
      </c>
      <c r="BH599" s="50" t="s">
        <v>11959</v>
      </c>
      <c r="BI599" s="50" t="s">
        <v>11960</v>
      </c>
      <c r="BJ599" s="50" t="s">
        <v>127</v>
      </c>
      <c r="BK599" s="50" t="s">
        <v>13688</v>
      </c>
      <c r="BL599" s="50" t="s">
        <v>2973</v>
      </c>
      <c r="BM599" s="50" t="s">
        <v>13689</v>
      </c>
      <c r="BN599" s="50" t="s">
        <v>13034</v>
      </c>
      <c r="BO599" s="50" t="s">
        <v>734</v>
      </c>
      <c r="BP599" s="50" t="s">
        <v>350</v>
      </c>
      <c r="BQ599" s="50" t="s">
        <v>735</v>
      </c>
      <c r="BR599" s="50" t="s">
        <v>736</v>
      </c>
      <c r="BS599" s="50" t="s">
        <v>2569</v>
      </c>
      <c r="BT599" s="50" t="s">
        <v>985</v>
      </c>
      <c r="BU599" s="50" t="s">
        <v>13690</v>
      </c>
      <c r="BV599" s="50" t="s">
        <v>13691</v>
      </c>
      <c r="BW599" s="50" t="s">
        <v>138</v>
      </c>
      <c r="BX599" s="50" t="s">
        <v>13692</v>
      </c>
      <c r="BY599" s="50" t="s">
        <v>13693</v>
      </c>
      <c r="BZ599" s="50" t="s">
        <v>2979</v>
      </c>
      <c r="CA599" s="50" t="s">
        <v>2976</v>
      </c>
      <c r="CB599" s="50" t="s">
        <v>13692</v>
      </c>
      <c r="CC599" s="50" t="s">
        <v>13693</v>
      </c>
      <c r="CD599" s="50" t="s">
        <v>13694</v>
      </c>
      <c r="CE599" s="50" t="s">
        <v>2979</v>
      </c>
      <c r="CF599" s="50" t="s">
        <v>13695</v>
      </c>
      <c r="CG599" s="50" t="s">
        <v>2980</v>
      </c>
      <c r="CH599" s="50" t="s">
        <v>13696</v>
      </c>
      <c r="CJ599" s="50" t="s">
        <v>2982</v>
      </c>
      <c r="CK599" s="50" t="s">
        <v>13697</v>
      </c>
      <c r="CL599" s="50" t="s">
        <v>2327</v>
      </c>
      <c r="CM599" s="50" t="s">
        <v>730</v>
      </c>
      <c r="CN599" s="50" t="s">
        <v>2982</v>
      </c>
      <c r="CP599" s="50" t="s">
        <v>2984</v>
      </c>
      <c r="CQ599" s="50" t="s">
        <v>2984</v>
      </c>
    </row>
    <row r="600" spans="1:96">
      <c r="A600" s="50" t="s">
        <v>495</v>
      </c>
      <c r="B600" s="50">
        <v>365439</v>
      </c>
      <c r="C600" s="50" t="s">
        <v>3562</v>
      </c>
      <c r="D600" s="50" t="s">
        <v>7036</v>
      </c>
      <c r="E600" s="50" t="str">
        <f>VLOOKUP(B600,aa!B:F,5,0)</f>
        <v>Ei ASSET</v>
      </c>
      <c r="F600" s="50">
        <f>VLOOKUP(B600,aa!B:J,9,0)</f>
        <v>259018</v>
      </c>
      <c r="G600" s="50">
        <f>VLOOKUP(B600,aa!B:L,11,0)</f>
        <v>259018</v>
      </c>
      <c r="H600" s="50">
        <f>VLOOKUP(B600,aa!B:O,14,0)</f>
        <v>0</v>
      </c>
      <c r="I600" s="50">
        <f>VLOOKUP(B600,aa!B:R,17,0)</f>
        <v>0</v>
      </c>
      <c r="K600" s="50" t="s">
        <v>97</v>
      </c>
      <c r="L600" s="50">
        <v>498338</v>
      </c>
      <c r="M600" s="50">
        <v>498338</v>
      </c>
      <c r="N600" s="50">
        <v>498338</v>
      </c>
      <c r="O600" s="50">
        <v>623</v>
      </c>
      <c r="P600" s="50" t="s">
        <v>1297</v>
      </c>
      <c r="Q600" s="50">
        <v>0</v>
      </c>
      <c r="R600" s="50">
        <v>0</v>
      </c>
      <c r="T600" s="50">
        <v>0</v>
      </c>
      <c r="U600" s="50">
        <v>0</v>
      </c>
      <c r="W600" s="50" t="s">
        <v>102</v>
      </c>
      <c r="X600" s="50" t="s">
        <v>275</v>
      </c>
      <c r="Z600" s="50" t="s">
        <v>12041</v>
      </c>
      <c r="AA600" s="50" t="s">
        <v>109</v>
      </c>
      <c r="AB600" s="50" t="s">
        <v>102</v>
      </c>
      <c r="AC600" s="50" t="s">
        <v>109</v>
      </c>
      <c r="AD600" s="50" t="s">
        <v>102</v>
      </c>
      <c r="AE600" s="50" t="s">
        <v>109</v>
      </c>
      <c r="AF600" s="50" t="s">
        <v>102</v>
      </c>
      <c r="AG600" s="50" t="s">
        <v>109</v>
      </c>
      <c r="AH600" s="50" t="s">
        <v>102</v>
      </c>
      <c r="AI600" s="50" t="s">
        <v>102</v>
      </c>
      <c r="AJ600" s="50" t="s">
        <v>3849</v>
      </c>
      <c r="AK600" s="50" t="s">
        <v>3849</v>
      </c>
      <c r="AL600" s="50" t="s">
        <v>16713</v>
      </c>
      <c r="AM600" s="50" t="s">
        <v>16714</v>
      </c>
      <c r="AN600" s="50" t="s">
        <v>16715</v>
      </c>
      <c r="AO600" s="50" t="s">
        <v>6139</v>
      </c>
      <c r="AP600" s="50" t="s">
        <v>16716</v>
      </c>
      <c r="AT600" s="50" t="s">
        <v>169</v>
      </c>
      <c r="AU600" s="50" t="s">
        <v>117</v>
      </c>
      <c r="AV600" s="50" t="s">
        <v>118</v>
      </c>
      <c r="AW600" s="50" t="s">
        <v>102</v>
      </c>
      <c r="AX600" s="50" t="s">
        <v>119</v>
      </c>
      <c r="BB600" s="50" t="s">
        <v>171</v>
      </c>
      <c r="BC600" s="50" t="s">
        <v>2327</v>
      </c>
      <c r="BD600" s="50" t="s">
        <v>730</v>
      </c>
      <c r="BE600" s="50" t="s">
        <v>622</v>
      </c>
      <c r="BF600" s="50" t="s">
        <v>730</v>
      </c>
      <c r="BG600" s="50" t="s">
        <v>124</v>
      </c>
      <c r="BH600" s="50" t="s">
        <v>11959</v>
      </c>
      <c r="BI600" s="50" t="s">
        <v>11960</v>
      </c>
      <c r="BJ600" s="50" t="s">
        <v>127</v>
      </c>
      <c r="BK600" s="50" t="s">
        <v>16717</v>
      </c>
      <c r="BL600" s="50" t="s">
        <v>7042</v>
      </c>
      <c r="BM600" s="50" t="s">
        <v>16718</v>
      </c>
      <c r="BN600" s="50" t="s">
        <v>13034</v>
      </c>
      <c r="BO600" s="50" t="s">
        <v>734</v>
      </c>
      <c r="BP600" s="50" t="s">
        <v>350</v>
      </c>
      <c r="BQ600" s="50" t="s">
        <v>735</v>
      </c>
      <c r="BR600" s="50" t="s">
        <v>736</v>
      </c>
      <c r="BS600" s="50" t="s">
        <v>2569</v>
      </c>
      <c r="BT600" s="50" t="s">
        <v>985</v>
      </c>
      <c r="BU600" s="50" t="s">
        <v>16719</v>
      </c>
      <c r="BV600" s="50" t="s">
        <v>7044</v>
      </c>
      <c r="BW600" s="50" t="s">
        <v>138</v>
      </c>
      <c r="BX600" s="50" t="s">
        <v>16720</v>
      </c>
      <c r="BY600" s="50" t="s">
        <v>16721</v>
      </c>
      <c r="BZ600" s="50" t="s">
        <v>7046</v>
      </c>
      <c r="CA600" s="50" t="s">
        <v>7044</v>
      </c>
      <c r="CB600" s="50" t="s">
        <v>16720</v>
      </c>
      <c r="CC600" s="50" t="s">
        <v>16721</v>
      </c>
      <c r="CD600" s="50" t="s">
        <v>13694</v>
      </c>
      <c r="CE600" s="50" t="s">
        <v>7046</v>
      </c>
      <c r="CF600" s="50" t="s">
        <v>13695</v>
      </c>
      <c r="CG600" s="50" t="s">
        <v>3841</v>
      </c>
      <c r="CH600" s="50" t="s">
        <v>13696</v>
      </c>
      <c r="CJ600" s="50" t="s">
        <v>2982</v>
      </c>
      <c r="CK600" s="50" t="s">
        <v>13697</v>
      </c>
      <c r="CL600" s="50" t="s">
        <v>2327</v>
      </c>
      <c r="CM600" s="50" t="s">
        <v>730</v>
      </c>
      <c r="CN600" s="50" t="s">
        <v>2982</v>
      </c>
      <c r="CO600" s="50" t="s">
        <v>2983</v>
      </c>
      <c r="CP600" s="50" t="s">
        <v>7047</v>
      </c>
      <c r="CQ600" s="50" t="s">
        <v>7047</v>
      </c>
    </row>
    <row r="601" spans="1:96">
      <c r="A601" s="50" t="s">
        <v>149</v>
      </c>
      <c r="B601" s="50">
        <v>3826566</v>
      </c>
      <c r="C601" s="50" t="s">
        <v>3562</v>
      </c>
      <c r="D601" s="50" t="s">
        <v>7553</v>
      </c>
      <c r="E601" s="50" t="e">
        <f>VLOOKUP(B601,aa!B:F,5,0)</f>
        <v>#N/A</v>
      </c>
      <c r="F601" s="50" t="e">
        <f>VLOOKUP(B601,aa!B:J,9,0)</f>
        <v>#N/A</v>
      </c>
      <c r="G601" s="50" t="e">
        <f>VLOOKUP(B601,aa!B:L,11,0)</f>
        <v>#N/A</v>
      </c>
      <c r="H601" s="50" t="e">
        <f>VLOOKUP(B601,aa!B:O,14,0)</f>
        <v>#N/A</v>
      </c>
      <c r="I601" s="50" t="e">
        <f>VLOOKUP(B601,aa!B:R,17,0)</f>
        <v>#N/A</v>
      </c>
      <c r="K601" s="50" t="s">
        <v>97</v>
      </c>
      <c r="L601" s="50">
        <v>274336</v>
      </c>
      <c r="M601" s="50">
        <v>274336</v>
      </c>
      <c r="N601" s="50">
        <v>274336</v>
      </c>
      <c r="O601" s="50">
        <v>422</v>
      </c>
      <c r="P601" s="50" t="s">
        <v>1122</v>
      </c>
      <c r="Q601" s="50">
        <v>0</v>
      </c>
      <c r="R601" s="50">
        <v>0</v>
      </c>
      <c r="T601" s="50">
        <v>0</v>
      </c>
      <c r="U601" s="50">
        <v>0</v>
      </c>
      <c r="W601" s="50" t="s">
        <v>102</v>
      </c>
      <c r="X601" s="50" t="s">
        <v>275</v>
      </c>
      <c r="Z601" s="50" t="s">
        <v>126</v>
      </c>
      <c r="AA601" s="50" t="s">
        <v>109</v>
      </c>
      <c r="AB601" s="50" t="s">
        <v>102</v>
      </c>
      <c r="AC601" s="50" t="s">
        <v>109</v>
      </c>
      <c r="AD601" s="50" t="s">
        <v>102</v>
      </c>
      <c r="AE601" s="50" t="s">
        <v>109</v>
      </c>
      <c r="AF601" s="50" t="s">
        <v>102</v>
      </c>
      <c r="AG601" s="50" t="s">
        <v>109</v>
      </c>
      <c r="AH601" s="50" t="s">
        <v>102</v>
      </c>
      <c r="AI601" s="50" t="s">
        <v>102</v>
      </c>
      <c r="AL601" s="50" t="s">
        <v>17075</v>
      </c>
      <c r="AM601" s="50" t="s">
        <v>102</v>
      </c>
      <c r="AN601" s="50" t="s">
        <v>17075</v>
      </c>
      <c r="AO601" s="50" t="s">
        <v>17076</v>
      </c>
      <c r="AP601" s="50" t="s">
        <v>17077</v>
      </c>
      <c r="AQ601" s="50" t="s">
        <v>169</v>
      </c>
      <c r="AT601" s="50" t="s">
        <v>169</v>
      </c>
      <c r="AU601" s="50" t="s">
        <v>117</v>
      </c>
      <c r="AV601" s="50" t="s">
        <v>118</v>
      </c>
      <c r="AW601" s="50" t="s">
        <v>102</v>
      </c>
      <c r="AX601" s="50" t="s">
        <v>119</v>
      </c>
      <c r="BB601" s="50" t="s">
        <v>120</v>
      </c>
      <c r="BC601" s="50" t="s">
        <v>1729</v>
      </c>
      <c r="BD601" s="50" t="s">
        <v>730</v>
      </c>
      <c r="BE601" s="50" t="s">
        <v>622</v>
      </c>
      <c r="BF601" s="50" t="s">
        <v>730</v>
      </c>
      <c r="BG601" s="50" t="s">
        <v>124</v>
      </c>
      <c r="BH601" s="50" t="s">
        <v>126</v>
      </c>
      <c r="BI601" s="50" t="s">
        <v>12250</v>
      </c>
      <c r="BJ601" s="50" t="s">
        <v>127</v>
      </c>
      <c r="BK601" s="50" t="s">
        <v>17078</v>
      </c>
      <c r="BL601" s="50" t="s">
        <v>7557</v>
      </c>
      <c r="BM601" s="50" t="s">
        <v>17079</v>
      </c>
      <c r="BN601" s="50" t="s">
        <v>15873</v>
      </c>
      <c r="BO601" s="50" t="s">
        <v>7559</v>
      </c>
      <c r="BP601" s="50" t="s">
        <v>505</v>
      </c>
      <c r="BQ601" s="50" t="s">
        <v>7560</v>
      </c>
      <c r="BR601" s="50" t="s">
        <v>7561</v>
      </c>
      <c r="BS601" s="50" t="s">
        <v>3562</v>
      </c>
      <c r="BU601" s="50" t="s">
        <v>17080</v>
      </c>
      <c r="BV601" s="50" t="s">
        <v>17081</v>
      </c>
      <c r="BW601" s="50" t="s">
        <v>354</v>
      </c>
      <c r="BX601" s="50" t="s">
        <v>17082</v>
      </c>
      <c r="BY601" s="50" t="s">
        <v>17083</v>
      </c>
      <c r="BZ601" s="50" t="s">
        <v>7566</v>
      </c>
      <c r="CA601" s="50" t="s">
        <v>17081</v>
      </c>
      <c r="CB601" s="50" t="s">
        <v>17082</v>
      </c>
      <c r="CC601" s="50" t="s">
        <v>17083</v>
      </c>
      <c r="CD601" s="50" t="s">
        <v>17081</v>
      </c>
      <c r="CE601" s="50" t="s">
        <v>17082</v>
      </c>
      <c r="CF601" s="50" t="s">
        <v>17083</v>
      </c>
      <c r="CG601" s="50" t="s">
        <v>102</v>
      </c>
      <c r="CH601" s="50" t="s">
        <v>7568</v>
      </c>
      <c r="CJ601" s="50" t="s">
        <v>7569</v>
      </c>
      <c r="CL601" s="50" t="s">
        <v>1729</v>
      </c>
      <c r="CM601" s="50" t="s">
        <v>730</v>
      </c>
      <c r="CN601" s="50" t="s">
        <v>7569</v>
      </c>
      <c r="CP601" s="50" t="s">
        <v>7568</v>
      </c>
      <c r="CQ601" s="50" t="s">
        <v>7568</v>
      </c>
      <c r="CR601" s="50" t="s">
        <v>26048</v>
      </c>
    </row>
    <row r="602" spans="1:96">
      <c r="A602" s="50" t="s">
        <v>337</v>
      </c>
      <c r="B602" s="50">
        <v>5074421</v>
      </c>
      <c r="C602" s="50" t="s">
        <v>11882</v>
      </c>
      <c r="D602" s="50" t="s">
        <v>20825</v>
      </c>
      <c r="E602" s="50" t="e">
        <f>VLOOKUP(B602,aa!B:F,5,0)</f>
        <v>#N/A</v>
      </c>
      <c r="F602" s="50" t="e">
        <f>VLOOKUP(B602,aa!B:J,9,0)</f>
        <v>#N/A</v>
      </c>
      <c r="G602" s="50" t="e">
        <f>VLOOKUP(B602,aa!B:L,11,0)</f>
        <v>#N/A</v>
      </c>
      <c r="H602" s="50" t="e">
        <f>VLOOKUP(B602,aa!B:O,14,0)</f>
        <v>#N/A</v>
      </c>
      <c r="I602" s="50" t="e">
        <f>VLOOKUP(B602,aa!B:R,17,0)</f>
        <v>#N/A</v>
      </c>
      <c r="K602" s="50" t="s">
        <v>97</v>
      </c>
      <c r="L602" s="50">
        <v>7020</v>
      </c>
      <c r="M602" s="50">
        <v>7020</v>
      </c>
      <c r="N602" s="50">
        <v>7020</v>
      </c>
      <c r="O602" s="50">
        <v>9</v>
      </c>
      <c r="P602" s="50" t="s">
        <v>2110</v>
      </c>
      <c r="Q602" s="50">
        <v>0</v>
      </c>
      <c r="R602" s="50">
        <v>0</v>
      </c>
      <c r="T602" s="50">
        <v>0</v>
      </c>
      <c r="U602" s="50">
        <v>0</v>
      </c>
      <c r="W602" s="50" t="s">
        <v>102</v>
      </c>
      <c r="X602" s="50" t="s">
        <v>275</v>
      </c>
      <c r="Z602" s="50" t="s">
        <v>18515</v>
      </c>
      <c r="AA602" s="50" t="s">
        <v>109</v>
      </c>
      <c r="AB602" s="50" t="s">
        <v>102</v>
      </c>
      <c r="AC602" s="50" t="s">
        <v>109</v>
      </c>
      <c r="AD602" s="50" t="s">
        <v>102</v>
      </c>
      <c r="AE602" s="50" t="s">
        <v>109</v>
      </c>
      <c r="AF602" s="50" t="s">
        <v>102</v>
      </c>
      <c r="AG602" s="50" t="s">
        <v>109</v>
      </c>
      <c r="AH602" s="50" t="s">
        <v>102</v>
      </c>
      <c r="AI602" s="50" t="s">
        <v>102</v>
      </c>
      <c r="AL602" s="50" t="s">
        <v>10458</v>
      </c>
      <c r="AM602" s="50" t="s">
        <v>102</v>
      </c>
      <c r="AN602" s="50" t="s">
        <v>10458</v>
      </c>
      <c r="AO602" s="50" t="s">
        <v>3357</v>
      </c>
      <c r="AP602" s="50" t="s">
        <v>3357</v>
      </c>
      <c r="AU602" s="50" t="s">
        <v>117</v>
      </c>
      <c r="AV602" s="50" t="s">
        <v>118</v>
      </c>
      <c r="AW602" s="50" t="s">
        <v>102</v>
      </c>
      <c r="AX602" s="50" t="s">
        <v>119</v>
      </c>
      <c r="BB602" s="50" t="s">
        <v>120</v>
      </c>
      <c r="BC602" s="50" t="s">
        <v>4153</v>
      </c>
      <c r="BD602" s="50" t="s">
        <v>320</v>
      </c>
      <c r="BE602" s="50" t="s">
        <v>122</v>
      </c>
      <c r="BF602" s="50" t="s">
        <v>123</v>
      </c>
      <c r="BG602" s="50" t="s">
        <v>124</v>
      </c>
      <c r="BH602" s="50" t="s">
        <v>11888</v>
      </c>
      <c r="BI602" s="50" t="s">
        <v>11889</v>
      </c>
      <c r="BJ602" s="50" t="s">
        <v>127</v>
      </c>
      <c r="BK602" s="50" t="s">
        <v>20826</v>
      </c>
      <c r="BL602" s="50" t="s">
        <v>20827</v>
      </c>
      <c r="BM602" s="50" t="s">
        <v>20828</v>
      </c>
      <c r="BN602" s="50" t="s">
        <v>16372</v>
      </c>
      <c r="BO602" s="50" t="s">
        <v>3267</v>
      </c>
      <c r="BP602" s="50" t="s">
        <v>350</v>
      </c>
      <c r="BQ602" s="50" t="s">
        <v>3268</v>
      </c>
      <c r="BR602" s="50" t="s">
        <v>3269</v>
      </c>
      <c r="BS602" s="50" t="s">
        <v>135</v>
      </c>
      <c r="BU602" s="50" t="s">
        <v>20829</v>
      </c>
      <c r="BV602" s="50" t="s">
        <v>6970</v>
      </c>
      <c r="BW602" s="50" t="s">
        <v>138</v>
      </c>
      <c r="BX602" s="50" t="s">
        <v>16693</v>
      </c>
      <c r="BY602" s="50" t="s">
        <v>16694</v>
      </c>
      <c r="CA602" s="50" t="s">
        <v>6970</v>
      </c>
      <c r="CB602" s="50" t="s">
        <v>16693</v>
      </c>
      <c r="CC602" s="50" t="s">
        <v>16694</v>
      </c>
      <c r="CD602" s="50" t="s">
        <v>6966</v>
      </c>
      <c r="CE602" s="50" t="s">
        <v>6967</v>
      </c>
      <c r="CF602" s="50" t="s">
        <v>16694</v>
      </c>
      <c r="CG602" s="50" t="s">
        <v>102</v>
      </c>
      <c r="CH602" s="50" t="s">
        <v>19014</v>
      </c>
      <c r="CJ602" s="50" t="s">
        <v>9897</v>
      </c>
      <c r="CL602" s="50" t="s">
        <v>4153</v>
      </c>
      <c r="CM602" s="50" t="s">
        <v>320</v>
      </c>
      <c r="CN602" s="50" t="s">
        <v>9897</v>
      </c>
      <c r="CP602" s="50" t="s">
        <v>20830</v>
      </c>
      <c r="CQ602" s="50" t="s">
        <v>20830</v>
      </c>
    </row>
    <row r="603" spans="1:96">
      <c r="A603" s="50" t="s">
        <v>337</v>
      </c>
      <c r="B603" s="50">
        <v>5094396</v>
      </c>
      <c r="C603" s="50" t="s">
        <v>985</v>
      </c>
      <c r="D603" s="50" t="s">
        <v>20843</v>
      </c>
      <c r="E603" s="50" t="str">
        <f>VLOOKUP(B603,aa!B:F,5,0)</f>
        <v>Ei Mindspark</v>
      </c>
      <c r="F603" s="50">
        <f>VLOOKUP(B603,aa!B:J,9,0)</f>
        <v>264522</v>
      </c>
      <c r="G603" s="50">
        <f>VLOOKUP(B603,aa!B:L,11,0)</f>
        <v>0</v>
      </c>
      <c r="H603" s="50">
        <f>VLOOKUP(B603,aa!B:O,14,0)</f>
        <v>0</v>
      </c>
      <c r="I603" s="50">
        <f>VLOOKUP(B603,aa!B:R,17,0)</f>
        <v>264522</v>
      </c>
      <c r="K603" s="50" t="s">
        <v>848</v>
      </c>
      <c r="L603" s="50">
        <v>0</v>
      </c>
      <c r="M603" s="50">
        <v>0</v>
      </c>
      <c r="N603" s="50">
        <v>0</v>
      </c>
      <c r="O603" s="50">
        <v>0</v>
      </c>
      <c r="Q603" s="50">
        <v>0</v>
      </c>
      <c r="R603" s="50">
        <v>0</v>
      </c>
      <c r="T603" s="50">
        <v>0</v>
      </c>
      <c r="U603" s="50">
        <v>102</v>
      </c>
      <c r="V603" s="50" t="s">
        <v>102</v>
      </c>
      <c r="W603" s="50" t="s">
        <v>102</v>
      </c>
      <c r="X603" s="50" t="s">
        <v>275</v>
      </c>
      <c r="Z603" s="50" t="s">
        <v>12327</v>
      </c>
      <c r="AA603" s="50" t="s">
        <v>109</v>
      </c>
      <c r="AB603" s="50" t="s">
        <v>102</v>
      </c>
      <c r="AC603" s="50" t="s">
        <v>109</v>
      </c>
      <c r="AD603" s="50" t="s">
        <v>102</v>
      </c>
      <c r="AE603" s="50" t="s">
        <v>109</v>
      </c>
      <c r="AF603" s="50" t="s">
        <v>102</v>
      </c>
      <c r="AG603" s="50" t="s">
        <v>109</v>
      </c>
      <c r="AH603" s="50" t="s">
        <v>102</v>
      </c>
      <c r="AI603" s="50" t="s">
        <v>102</v>
      </c>
      <c r="AL603" s="50" t="s">
        <v>102</v>
      </c>
      <c r="AM603" s="50" t="s">
        <v>102</v>
      </c>
      <c r="AN603" s="50" t="s">
        <v>102</v>
      </c>
      <c r="AO603" s="50" t="s">
        <v>115</v>
      </c>
      <c r="AP603" s="50" t="s">
        <v>115</v>
      </c>
      <c r="AU603" s="50" t="s">
        <v>102</v>
      </c>
      <c r="AW603" s="50" t="s">
        <v>102</v>
      </c>
      <c r="AX603" s="50" t="s">
        <v>119</v>
      </c>
      <c r="BA603" s="50" t="s">
        <v>250</v>
      </c>
      <c r="BB603" s="50" t="s">
        <v>120</v>
      </c>
      <c r="BC603" s="50" t="s">
        <v>2127</v>
      </c>
      <c r="BD603" s="50" t="s">
        <v>621</v>
      </c>
      <c r="BE603" s="50" t="s">
        <v>622</v>
      </c>
      <c r="BF603" s="50" t="s">
        <v>976</v>
      </c>
      <c r="BG603" s="50" t="s">
        <v>124</v>
      </c>
      <c r="BH603" s="50" t="s">
        <v>12327</v>
      </c>
      <c r="BI603" s="50" t="s">
        <v>11889</v>
      </c>
      <c r="BJ603" s="50" t="s">
        <v>127</v>
      </c>
      <c r="BK603" s="50" t="s">
        <v>20845</v>
      </c>
      <c r="BL603" s="50" t="s">
        <v>20846</v>
      </c>
      <c r="BM603" s="50" t="s">
        <v>20847</v>
      </c>
      <c r="BN603" s="50" t="s">
        <v>20844</v>
      </c>
      <c r="BO603" s="50" t="s">
        <v>13638</v>
      </c>
      <c r="BP603" s="50" t="s">
        <v>132</v>
      </c>
      <c r="BQ603" s="50" t="s">
        <v>13639</v>
      </c>
      <c r="BR603" s="50" t="s">
        <v>13640</v>
      </c>
      <c r="BS603" s="50" t="s">
        <v>2847</v>
      </c>
      <c r="BU603" s="50" t="s">
        <v>20848</v>
      </c>
      <c r="BV603" s="50" t="s">
        <v>20849</v>
      </c>
      <c r="BW603" s="50" t="s">
        <v>354</v>
      </c>
      <c r="BX603" s="50" t="s">
        <v>20850</v>
      </c>
      <c r="BY603" s="50" t="s">
        <v>20851</v>
      </c>
      <c r="BZ603" s="50" t="s">
        <v>20852</v>
      </c>
      <c r="CA603" s="50" t="s">
        <v>20849</v>
      </c>
      <c r="CB603" s="50" t="s">
        <v>20853</v>
      </c>
      <c r="CC603" s="50" t="s">
        <v>20851</v>
      </c>
      <c r="CD603" s="50" t="s">
        <v>20849</v>
      </c>
      <c r="CE603" s="50" t="s">
        <v>20853</v>
      </c>
      <c r="CF603" s="50" t="s">
        <v>20851</v>
      </c>
      <c r="CG603" s="50" t="s">
        <v>20854</v>
      </c>
      <c r="CH603" s="50" t="s">
        <v>20855</v>
      </c>
      <c r="CJ603" s="50" t="s">
        <v>20856</v>
      </c>
      <c r="CK603" s="50" t="s">
        <v>20857</v>
      </c>
      <c r="CL603" s="50" t="s">
        <v>2127</v>
      </c>
      <c r="CM603" s="50" t="s">
        <v>621</v>
      </c>
      <c r="CN603" s="50" t="s">
        <v>20856</v>
      </c>
      <c r="CP603" s="50" t="s">
        <v>20858</v>
      </c>
      <c r="CQ603" s="50" t="s">
        <v>20858</v>
      </c>
    </row>
    <row r="604" spans="1:96">
      <c r="A604" s="50" t="s">
        <v>337</v>
      </c>
      <c r="B604" s="50">
        <v>5000918</v>
      </c>
      <c r="C604" s="50" t="s">
        <v>985</v>
      </c>
      <c r="D604" s="50" t="s">
        <v>18438</v>
      </c>
      <c r="E604" s="50" t="str">
        <f>VLOOKUP(B604,aa!B:F,5,0)</f>
        <v>Ei ASSET</v>
      </c>
      <c r="F604" s="50">
        <f>VLOOKUP(B604,aa!B:J,9,0)</f>
        <v>1294802</v>
      </c>
      <c r="G604" s="50">
        <f>VLOOKUP(B604,aa!B:L,11,0)</f>
        <v>1294802</v>
      </c>
      <c r="H604" s="50">
        <f>VLOOKUP(B604,aa!B:O,14,0)</f>
        <v>0</v>
      </c>
      <c r="I604" s="50">
        <f>VLOOKUP(B604,aa!B:R,17,0)</f>
        <v>0</v>
      </c>
      <c r="K604" s="50" t="s">
        <v>97</v>
      </c>
      <c r="L604" s="50">
        <v>1294802</v>
      </c>
      <c r="M604" s="50">
        <v>1294802</v>
      </c>
      <c r="N604" s="50">
        <v>1294802</v>
      </c>
      <c r="O604" s="50">
        <v>1423</v>
      </c>
      <c r="P604" s="50" t="s">
        <v>1798</v>
      </c>
      <c r="Q604" s="50">
        <v>0</v>
      </c>
      <c r="R604" s="50">
        <v>0</v>
      </c>
      <c r="T604" s="50">
        <v>0</v>
      </c>
      <c r="U604" s="50">
        <v>0</v>
      </c>
      <c r="W604" s="50" t="s">
        <v>102</v>
      </c>
      <c r="X604" s="50" t="s">
        <v>275</v>
      </c>
      <c r="Z604" s="50" t="s">
        <v>13863</v>
      </c>
      <c r="AA604" s="50" t="s">
        <v>109</v>
      </c>
      <c r="AB604" s="50" t="s">
        <v>102</v>
      </c>
      <c r="AC604" s="50" t="s">
        <v>109</v>
      </c>
      <c r="AD604" s="50" t="s">
        <v>102</v>
      </c>
      <c r="AE604" s="50" t="s">
        <v>109</v>
      </c>
      <c r="AF604" s="50" t="s">
        <v>102</v>
      </c>
      <c r="AG604" s="50" t="s">
        <v>109</v>
      </c>
      <c r="AH604" s="50" t="s">
        <v>102</v>
      </c>
      <c r="AI604" s="50" t="s">
        <v>18440</v>
      </c>
      <c r="AJ604" s="50" t="s">
        <v>12084</v>
      </c>
      <c r="AK604" s="50" t="s">
        <v>12752</v>
      </c>
      <c r="AL604" s="50" t="s">
        <v>18441</v>
      </c>
      <c r="AM604" s="50" t="s">
        <v>18442</v>
      </c>
      <c r="AN604" s="50" t="s">
        <v>102</v>
      </c>
      <c r="AO604" s="50" t="s">
        <v>18443</v>
      </c>
      <c r="AP604" s="50" t="s">
        <v>18443</v>
      </c>
      <c r="AU604" s="50" t="s">
        <v>117</v>
      </c>
      <c r="AV604" s="50" t="s">
        <v>118</v>
      </c>
      <c r="AW604" s="50" t="s">
        <v>102</v>
      </c>
      <c r="AX604" s="50" t="s">
        <v>119</v>
      </c>
      <c r="BB604" s="50" t="s">
        <v>120</v>
      </c>
      <c r="BC604" s="50" t="s">
        <v>2127</v>
      </c>
      <c r="BD604" s="50" t="s">
        <v>621</v>
      </c>
      <c r="BE604" s="50" t="s">
        <v>622</v>
      </c>
      <c r="BF604" s="50" t="s">
        <v>976</v>
      </c>
      <c r="BG604" s="50" t="s">
        <v>124</v>
      </c>
      <c r="BH604" s="50" t="s">
        <v>13863</v>
      </c>
      <c r="BI604" s="50" t="s">
        <v>11889</v>
      </c>
      <c r="BJ604" s="50" t="s">
        <v>127</v>
      </c>
      <c r="BK604" s="50" t="s">
        <v>18444</v>
      </c>
      <c r="BL604" s="50" t="s">
        <v>18445</v>
      </c>
      <c r="BM604" s="50" t="s">
        <v>18446</v>
      </c>
      <c r="BN604" s="50" t="s">
        <v>18439</v>
      </c>
      <c r="BO604" s="50" t="s">
        <v>13638</v>
      </c>
      <c r="BP604" s="50" t="s">
        <v>132</v>
      </c>
      <c r="BQ604" s="50" t="s">
        <v>13639</v>
      </c>
      <c r="BR604" s="50" t="s">
        <v>13640</v>
      </c>
      <c r="BS604" s="50" t="s">
        <v>2847</v>
      </c>
      <c r="BU604" s="50" t="s">
        <v>18447</v>
      </c>
      <c r="BV604" s="50" t="s">
        <v>18448</v>
      </c>
      <c r="BW604" s="50" t="s">
        <v>598</v>
      </c>
      <c r="BX604" s="50" t="s">
        <v>18449</v>
      </c>
      <c r="BY604" s="50" t="s">
        <v>18450</v>
      </c>
      <c r="BZ604" s="50" t="s">
        <v>18451</v>
      </c>
      <c r="CA604" s="50" t="s">
        <v>18452</v>
      </c>
      <c r="CB604" s="50" t="s">
        <v>18453</v>
      </c>
      <c r="CC604" s="50" t="s">
        <v>18454</v>
      </c>
      <c r="CD604" s="50" t="s">
        <v>18455</v>
      </c>
      <c r="CE604" s="50" t="s">
        <v>18456</v>
      </c>
      <c r="CF604" s="50" t="s">
        <v>18454</v>
      </c>
      <c r="CG604" s="50" t="s">
        <v>18457</v>
      </c>
      <c r="CH604" s="50" t="s">
        <v>18458</v>
      </c>
      <c r="CJ604" s="50" t="s">
        <v>18459</v>
      </c>
      <c r="CK604" s="50" t="s">
        <v>18460</v>
      </c>
      <c r="CL604" s="50" t="s">
        <v>2127</v>
      </c>
      <c r="CM604" s="50" t="s">
        <v>621</v>
      </c>
      <c r="CN604" s="50" t="s">
        <v>18459</v>
      </c>
      <c r="CO604" s="50" t="s">
        <v>18461</v>
      </c>
      <c r="CP604" s="50" t="s">
        <v>18462</v>
      </c>
      <c r="CQ604" s="50" t="s">
        <v>18463</v>
      </c>
    </row>
    <row r="605" spans="1:96">
      <c r="A605" s="50" t="s">
        <v>337</v>
      </c>
      <c r="B605" s="50">
        <v>5099788</v>
      </c>
      <c r="C605" s="50" t="s">
        <v>985</v>
      </c>
      <c r="D605" s="50" t="s">
        <v>20874</v>
      </c>
      <c r="E605" s="50" t="str">
        <f>VLOOKUP(B605,aa!B:F,5,0)</f>
        <v>Ei ASSET, Ei Mindspark</v>
      </c>
      <c r="F605" s="50">
        <f>VLOOKUP(B605,aa!B:J,9,0)</f>
        <v>194721</v>
      </c>
      <c r="G605" s="50">
        <f>VLOOKUP(B605,aa!B:L,11,0)</f>
        <v>194721</v>
      </c>
      <c r="H605" s="50">
        <f>VLOOKUP(B605,aa!B:O,14,0)</f>
        <v>0</v>
      </c>
      <c r="I605" s="50">
        <f>VLOOKUP(B605,aa!B:R,17,0)</f>
        <v>0</v>
      </c>
      <c r="K605" s="50" t="s">
        <v>97</v>
      </c>
      <c r="L605" s="50">
        <v>194721</v>
      </c>
      <c r="M605" s="50">
        <v>194721</v>
      </c>
      <c r="N605" s="50">
        <v>194721</v>
      </c>
      <c r="O605" s="50">
        <v>214</v>
      </c>
      <c r="P605" s="50" t="s">
        <v>1798</v>
      </c>
      <c r="Q605" s="50">
        <v>0</v>
      </c>
      <c r="R605" s="50">
        <v>0</v>
      </c>
      <c r="T605" s="50">
        <v>0</v>
      </c>
      <c r="U605" s="50">
        <v>0</v>
      </c>
      <c r="W605" s="50" t="s">
        <v>102</v>
      </c>
      <c r="X605" s="50" t="s">
        <v>275</v>
      </c>
      <c r="Z605" s="50" t="s">
        <v>13863</v>
      </c>
      <c r="AA605" s="50" t="s">
        <v>109</v>
      </c>
      <c r="AB605" s="50" t="s">
        <v>102</v>
      </c>
      <c r="AC605" s="50" t="s">
        <v>109</v>
      </c>
      <c r="AD605" s="50" t="s">
        <v>102</v>
      </c>
      <c r="AE605" s="50" t="s">
        <v>109</v>
      </c>
      <c r="AF605" s="50" t="s">
        <v>102</v>
      </c>
      <c r="AG605" s="50" t="s">
        <v>109</v>
      </c>
      <c r="AH605" s="50" t="s">
        <v>102</v>
      </c>
      <c r="AI605" s="50" t="s">
        <v>20875</v>
      </c>
      <c r="AJ605" s="50" t="s">
        <v>12084</v>
      </c>
      <c r="AK605" s="50" t="s">
        <v>12752</v>
      </c>
      <c r="AL605" s="50" t="s">
        <v>20876</v>
      </c>
      <c r="AM605" s="50" t="s">
        <v>20877</v>
      </c>
      <c r="AN605" s="50" t="s">
        <v>102</v>
      </c>
      <c r="AO605" s="50" t="s">
        <v>18443</v>
      </c>
      <c r="AP605" s="50" t="s">
        <v>18443</v>
      </c>
      <c r="AU605" s="50" t="s">
        <v>117</v>
      </c>
      <c r="AV605" s="50" t="s">
        <v>118</v>
      </c>
      <c r="AW605" s="50" t="s">
        <v>102</v>
      </c>
      <c r="AX605" s="50" t="s">
        <v>119</v>
      </c>
      <c r="BB605" s="50" t="s">
        <v>120</v>
      </c>
      <c r="BC605" s="50" t="s">
        <v>2127</v>
      </c>
      <c r="BD605" s="50" t="s">
        <v>621</v>
      </c>
      <c r="BE605" s="50" t="s">
        <v>622</v>
      </c>
      <c r="BF605" s="50" t="s">
        <v>976</v>
      </c>
      <c r="BG605" s="50" t="s">
        <v>124</v>
      </c>
      <c r="BH605" s="50" t="s">
        <v>13863</v>
      </c>
      <c r="BI605" s="50" t="s">
        <v>11889</v>
      </c>
      <c r="BJ605" s="50" t="s">
        <v>127</v>
      </c>
      <c r="BK605" s="50" t="s">
        <v>20878</v>
      </c>
      <c r="BL605" s="50" t="s">
        <v>20879</v>
      </c>
      <c r="BM605" s="50" t="s">
        <v>20880</v>
      </c>
      <c r="BN605" s="50" t="s">
        <v>18439</v>
      </c>
      <c r="BO605" s="50" t="s">
        <v>13638</v>
      </c>
      <c r="BP605" s="50" t="s">
        <v>132</v>
      </c>
      <c r="BQ605" s="50" t="s">
        <v>13639</v>
      </c>
      <c r="BR605" s="50" t="s">
        <v>13640</v>
      </c>
      <c r="BS605" s="50" t="s">
        <v>2847</v>
      </c>
      <c r="BU605" s="50" t="s">
        <v>20881</v>
      </c>
      <c r="BV605" s="50" t="s">
        <v>18448</v>
      </c>
      <c r="BW605" s="50" t="s">
        <v>598</v>
      </c>
      <c r="BX605" s="50" t="s">
        <v>18449</v>
      </c>
      <c r="BY605" s="50" t="s">
        <v>18450</v>
      </c>
      <c r="BZ605" s="50" t="s">
        <v>20882</v>
      </c>
      <c r="CA605" s="50" t="s">
        <v>18452</v>
      </c>
      <c r="CB605" s="50" t="s">
        <v>18453</v>
      </c>
      <c r="CC605" s="50" t="s">
        <v>20883</v>
      </c>
      <c r="CD605" s="50" t="s">
        <v>20884</v>
      </c>
      <c r="CE605" s="50" t="s">
        <v>20885</v>
      </c>
      <c r="CF605" s="50" t="s">
        <v>20883</v>
      </c>
      <c r="CG605" s="50" t="s">
        <v>18457</v>
      </c>
      <c r="CH605" s="50" t="s">
        <v>18458</v>
      </c>
      <c r="CJ605" s="50" t="s">
        <v>18459</v>
      </c>
      <c r="CK605" s="50" t="s">
        <v>20886</v>
      </c>
      <c r="CL605" s="50" t="s">
        <v>2127</v>
      </c>
      <c r="CM605" s="50" t="s">
        <v>621</v>
      </c>
      <c r="CN605" s="50" t="s">
        <v>20887</v>
      </c>
      <c r="CO605" s="50" t="s">
        <v>18461</v>
      </c>
      <c r="CP605" s="50" t="s">
        <v>20888</v>
      </c>
      <c r="CQ605" s="50" t="s">
        <v>20889</v>
      </c>
    </row>
    <row r="606" spans="1:96">
      <c r="A606" s="50" t="s">
        <v>337</v>
      </c>
      <c r="B606" s="50">
        <v>1324784</v>
      </c>
      <c r="C606" s="50" t="s">
        <v>12030</v>
      </c>
      <c r="D606" s="50" t="s">
        <v>12392</v>
      </c>
      <c r="E606" s="50" t="str">
        <f>VLOOKUP(B606,aa!B:F,5,0)</f>
        <v>Ei CARES</v>
      </c>
      <c r="F606" s="50">
        <f>VLOOKUP(B606,aa!B:J,9,0)</f>
        <v>180024</v>
      </c>
      <c r="G606" s="50">
        <f>VLOOKUP(B606,aa!B:L,11,0)</f>
        <v>0</v>
      </c>
      <c r="H606" s="50">
        <f>VLOOKUP(B606,aa!B:O,14,0)</f>
        <v>180024</v>
      </c>
      <c r="I606" s="50">
        <f>VLOOKUP(B606,aa!B:R,17,0)</f>
        <v>0</v>
      </c>
      <c r="K606" s="50" t="s">
        <v>152</v>
      </c>
      <c r="L606" s="50">
        <v>49148</v>
      </c>
      <c r="M606" s="50">
        <v>49148</v>
      </c>
      <c r="N606" s="50">
        <v>0</v>
      </c>
      <c r="O606" s="50">
        <v>0</v>
      </c>
      <c r="Q606" s="50">
        <v>49148</v>
      </c>
      <c r="R606" s="50">
        <v>119</v>
      </c>
      <c r="S606" s="50" t="s">
        <v>12394</v>
      </c>
      <c r="T606" s="50">
        <v>0</v>
      </c>
      <c r="U606" s="50">
        <v>0</v>
      </c>
      <c r="W606" s="50" t="s">
        <v>102</v>
      </c>
      <c r="X606" s="50" t="s">
        <v>103</v>
      </c>
      <c r="Y606" s="50" t="s">
        <v>104</v>
      </c>
      <c r="AA606" s="50" t="s">
        <v>12395</v>
      </c>
      <c r="AB606" s="50" t="s">
        <v>12396</v>
      </c>
      <c r="AC606" s="50" t="s">
        <v>11886</v>
      </c>
      <c r="AD606" s="50" t="s">
        <v>12396</v>
      </c>
      <c r="AE606" s="50" t="s">
        <v>109</v>
      </c>
      <c r="AF606" s="50" t="s">
        <v>102</v>
      </c>
      <c r="AG606" s="50" t="s">
        <v>109</v>
      </c>
      <c r="AH606" s="50" t="s">
        <v>102</v>
      </c>
      <c r="AI606" s="50" t="s">
        <v>102</v>
      </c>
      <c r="AJ606" s="50" t="s">
        <v>12397</v>
      </c>
      <c r="AK606" s="50" t="s">
        <v>12397</v>
      </c>
      <c r="AL606" s="50" t="s">
        <v>12398</v>
      </c>
      <c r="AM606" s="50" t="s">
        <v>12399</v>
      </c>
      <c r="AN606" s="50" t="s">
        <v>12400</v>
      </c>
      <c r="AO606" s="50" t="s">
        <v>12401</v>
      </c>
      <c r="AP606" s="50" t="s">
        <v>12401</v>
      </c>
      <c r="AU606" s="50" t="s">
        <v>102</v>
      </c>
      <c r="AW606" s="50" t="s">
        <v>104</v>
      </c>
      <c r="AX606" s="50" t="s">
        <v>447</v>
      </c>
      <c r="AY606" s="50" t="s">
        <v>170</v>
      </c>
      <c r="AZ606" s="50" t="s">
        <v>118</v>
      </c>
      <c r="BB606" s="50" t="s">
        <v>120</v>
      </c>
      <c r="BC606" s="50" t="s">
        <v>319</v>
      </c>
      <c r="BD606" s="50" t="s">
        <v>320</v>
      </c>
      <c r="BE606" s="50" t="s">
        <v>122</v>
      </c>
      <c r="BF606" s="50" t="s">
        <v>123</v>
      </c>
      <c r="BG606" s="50" t="s">
        <v>124</v>
      </c>
      <c r="BH606" s="50" t="s">
        <v>12327</v>
      </c>
      <c r="BI606" s="50" t="s">
        <v>11889</v>
      </c>
      <c r="BJ606" s="50" t="s">
        <v>127</v>
      </c>
      <c r="BK606" s="50" t="s">
        <v>12402</v>
      </c>
      <c r="BL606" s="50" t="s">
        <v>12403</v>
      </c>
      <c r="BM606" s="50" t="s">
        <v>12404</v>
      </c>
      <c r="BN606" s="50" t="s">
        <v>12393</v>
      </c>
      <c r="BO606" s="50" t="s">
        <v>4845</v>
      </c>
      <c r="BP606" s="50" t="s">
        <v>350</v>
      </c>
      <c r="BQ606" s="50" t="s">
        <v>4846</v>
      </c>
      <c r="BR606" s="50" t="s">
        <v>4847</v>
      </c>
      <c r="BS606" s="50" t="s">
        <v>8756</v>
      </c>
      <c r="BT606" s="50" t="s">
        <v>5574</v>
      </c>
      <c r="BU606" s="50" t="s">
        <v>12405</v>
      </c>
      <c r="BV606" s="50" t="s">
        <v>12406</v>
      </c>
      <c r="BW606" s="50" t="s">
        <v>138</v>
      </c>
      <c r="BX606" s="50" t="s">
        <v>12407</v>
      </c>
      <c r="BY606" s="50" t="s">
        <v>12408</v>
      </c>
      <c r="BZ606" s="50" t="s">
        <v>12409</v>
      </c>
      <c r="CA606" s="50" t="s">
        <v>12406</v>
      </c>
      <c r="CB606" s="50" t="s">
        <v>12407</v>
      </c>
      <c r="CC606" s="50" t="s">
        <v>12408</v>
      </c>
      <c r="CD606" s="50" t="s">
        <v>12406</v>
      </c>
      <c r="CE606" s="50" t="s">
        <v>12407</v>
      </c>
      <c r="CF606" s="50" t="s">
        <v>12408</v>
      </c>
      <c r="CG606" s="50" t="s">
        <v>12115</v>
      </c>
      <c r="CH606" s="50" t="s">
        <v>12410</v>
      </c>
      <c r="CJ606" s="50" t="s">
        <v>12411</v>
      </c>
      <c r="CK606" s="50" t="s">
        <v>12412</v>
      </c>
      <c r="CL606" s="50" t="s">
        <v>319</v>
      </c>
      <c r="CM606" s="50" t="s">
        <v>320</v>
      </c>
      <c r="CN606" s="50" t="s">
        <v>12411</v>
      </c>
      <c r="CP606" s="50" t="s">
        <v>12410</v>
      </c>
      <c r="CQ606" s="50" t="s">
        <v>12410</v>
      </c>
    </row>
    <row r="607" spans="1:96">
      <c r="A607" s="50" t="s">
        <v>149</v>
      </c>
      <c r="B607" s="50">
        <v>551567</v>
      </c>
      <c r="C607" s="50" t="s">
        <v>11882</v>
      </c>
      <c r="D607" s="50" t="s">
        <v>11091</v>
      </c>
      <c r="E607" s="50" t="e">
        <f>VLOOKUP(B607,aa!B:F,5,0)</f>
        <v>#N/A</v>
      </c>
      <c r="F607" s="50" t="e">
        <f>VLOOKUP(B607,aa!B:J,9,0)</f>
        <v>#N/A</v>
      </c>
      <c r="G607" s="50" t="e">
        <f>VLOOKUP(B607,aa!B:L,11,0)</f>
        <v>#N/A</v>
      </c>
      <c r="H607" s="50" t="e">
        <f>VLOOKUP(B607,aa!B:O,14,0)</f>
        <v>#N/A</v>
      </c>
      <c r="I607" s="50" t="e">
        <f>VLOOKUP(B607,aa!B:R,17,0)</f>
        <v>#N/A</v>
      </c>
      <c r="K607" s="50" t="s">
        <v>97</v>
      </c>
      <c r="L607" s="50">
        <v>370377</v>
      </c>
      <c r="M607" s="50">
        <v>370377</v>
      </c>
      <c r="N607" s="50">
        <v>370377</v>
      </c>
      <c r="O607" s="50">
        <v>463</v>
      </c>
      <c r="P607" s="50" t="s">
        <v>1297</v>
      </c>
      <c r="Q607" s="50">
        <v>0</v>
      </c>
      <c r="R607" s="50">
        <v>0</v>
      </c>
      <c r="T607" s="50">
        <v>0</v>
      </c>
      <c r="U607" s="50">
        <v>0</v>
      </c>
      <c r="W607" s="50" t="s">
        <v>102</v>
      </c>
      <c r="X607" s="50" t="s">
        <v>103</v>
      </c>
      <c r="Y607" s="50" t="s">
        <v>104</v>
      </c>
      <c r="AA607" s="50" t="s">
        <v>11884</v>
      </c>
      <c r="AB607" s="50" t="s">
        <v>21104</v>
      </c>
      <c r="AC607" s="50" t="s">
        <v>11886</v>
      </c>
      <c r="AD607" s="50" t="s">
        <v>21104</v>
      </c>
      <c r="AE607" s="50" t="s">
        <v>109</v>
      </c>
      <c r="AF607" s="50" t="s">
        <v>102</v>
      </c>
      <c r="AG607" s="50" t="s">
        <v>109</v>
      </c>
      <c r="AH607" s="50" t="s">
        <v>102</v>
      </c>
      <c r="AI607" s="50" t="s">
        <v>21105</v>
      </c>
      <c r="AJ607" s="50" t="s">
        <v>21106</v>
      </c>
      <c r="AK607" s="50" t="s">
        <v>21106</v>
      </c>
      <c r="AL607" s="50" t="s">
        <v>21107</v>
      </c>
      <c r="AM607" s="50" t="s">
        <v>21108</v>
      </c>
      <c r="AN607" s="50" t="s">
        <v>21109</v>
      </c>
      <c r="AO607" s="50" t="s">
        <v>1304</v>
      </c>
      <c r="AP607" s="50" t="s">
        <v>1304</v>
      </c>
      <c r="AU607" s="50" t="s">
        <v>117</v>
      </c>
      <c r="AV607" s="50" t="s">
        <v>118</v>
      </c>
      <c r="AW607" s="50" t="s">
        <v>102</v>
      </c>
      <c r="AX607" s="50" t="s">
        <v>119</v>
      </c>
      <c r="BB607" s="50" t="s">
        <v>120</v>
      </c>
      <c r="BC607" s="50" t="s">
        <v>1407</v>
      </c>
      <c r="BD607" s="50" t="s">
        <v>449</v>
      </c>
      <c r="BE607" s="50" t="s">
        <v>122</v>
      </c>
      <c r="BF607" s="50" t="s">
        <v>450</v>
      </c>
      <c r="BG607" s="50" t="s">
        <v>124</v>
      </c>
      <c r="BH607" s="50" t="s">
        <v>11888</v>
      </c>
      <c r="BI607" s="50" t="s">
        <v>11889</v>
      </c>
      <c r="BJ607" s="50" t="s">
        <v>127</v>
      </c>
      <c r="BK607" s="50" t="s">
        <v>21110</v>
      </c>
      <c r="BL607" s="50" t="s">
        <v>11104</v>
      </c>
      <c r="BM607" s="50" t="s">
        <v>21111</v>
      </c>
      <c r="BN607" s="50" t="s">
        <v>12393</v>
      </c>
      <c r="BO607" s="50" t="s">
        <v>3267</v>
      </c>
      <c r="BP607" s="50" t="s">
        <v>350</v>
      </c>
      <c r="BQ607" s="50" t="s">
        <v>3268</v>
      </c>
      <c r="BR607" s="50" t="s">
        <v>3269</v>
      </c>
      <c r="BS607" s="50" t="s">
        <v>135</v>
      </c>
      <c r="BU607" s="50" t="s">
        <v>21112</v>
      </c>
      <c r="BV607" s="50" t="s">
        <v>11893</v>
      </c>
      <c r="BW607" s="50" t="s">
        <v>598</v>
      </c>
      <c r="BX607" s="50" t="s">
        <v>7967</v>
      </c>
      <c r="BY607" s="50" t="s">
        <v>11894</v>
      </c>
      <c r="BZ607" s="50" t="s">
        <v>11113</v>
      </c>
      <c r="CA607" s="50" t="s">
        <v>11114</v>
      </c>
      <c r="CB607" s="50" t="s">
        <v>21113</v>
      </c>
      <c r="CC607" s="50" t="s">
        <v>11894</v>
      </c>
      <c r="CD607" s="50" t="s">
        <v>11893</v>
      </c>
      <c r="CE607" s="50" t="s">
        <v>7967</v>
      </c>
      <c r="CF607" s="50" t="s">
        <v>11894</v>
      </c>
      <c r="CG607" s="50" t="s">
        <v>1417</v>
      </c>
      <c r="CH607" s="50" t="s">
        <v>21114</v>
      </c>
      <c r="CJ607" s="50" t="s">
        <v>4271</v>
      </c>
      <c r="CK607" s="50" t="s">
        <v>21115</v>
      </c>
      <c r="CL607" s="50" t="s">
        <v>1407</v>
      </c>
      <c r="CM607" s="50" t="s">
        <v>449</v>
      </c>
      <c r="CN607" s="50" t="s">
        <v>4271</v>
      </c>
      <c r="CO607" s="50" t="s">
        <v>11122</v>
      </c>
      <c r="CP607" s="50" t="s">
        <v>11123</v>
      </c>
      <c r="CQ607" s="50" t="s">
        <v>11123</v>
      </c>
    </row>
    <row r="608" spans="1:96">
      <c r="A608" s="50" t="s">
        <v>149</v>
      </c>
      <c r="B608" s="50">
        <v>82810</v>
      </c>
      <c r="C608" s="50" t="s">
        <v>11882</v>
      </c>
      <c r="D608" s="50" t="s">
        <v>21529</v>
      </c>
      <c r="E608" s="50" t="e">
        <f>VLOOKUP(B608,aa!B:F,5,0)</f>
        <v>#N/A</v>
      </c>
      <c r="F608" s="50" t="e">
        <f>VLOOKUP(B608,aa!B:J,9,0)</f>
        <v>#N/A</v>
      </c>
      <c r="G608" s="50" t="e">
        <f>VLOOKUP(B608,aa!B:L,11,0)</f>
        <v>#N/A</v>
      </c>
      <c r="H608" s="50" t="e">
        <f>VLOOKUP(B608,aa!B:O,14,0)</f>
        <v>#N/A</v>
      </c>
      <c r="I608" s="50" t="e">
        <f>VLOOKUP(B608,aa!B:R,17,0)</f>
        <v>#N/A</v>
      </c>
      <c r="K608" s="50" t="s">
        <v>97</v>
      </c>
      <c r="L608" s="50">
        <v>603961</v>
      </c>
      <c r="M608" s="50">
        <v>603961</v>
      </c>
      <c r="N608" s="50">
        <v>603961</v>
      </c>
      <c r="O608" s="50">
        <v>762</v>
      </c>
      <c r="P608" s="50" t="s">
        <v>18563</v>
      </c>
      <c r="Q608" s="50">
        <v>0</v>
      </c>
      <c r="R608" s="50">
        <v>0</v>
      </c>
      <c r="T608" s="50">
        <v>0</v>
      </c>
      <c r="U608" s="50">
        <v>0</v>
      </c>
      <c r="W608" s="50" t="s">
        <v>102</v>
      </c>
      <c r="X608" s="50" t="s">
        <v>103</v>
      </c>
      <c r="Y608" s="50" t="s">
        <v>104</v>
      </c>
      <c r="AA608" s="50" t="s">
        <v>11884</v>
      </c>
      <c r="AB608" s="50" t="s">
        <v>21530</v>
      </c>
      <c r="AC608" s="50" t="s">
        <v>11886</v>
      </c>
      <c r="AD608" s="50" t="s">
        <v>21530</v>
      </c>
      <c r="AE608" s="50" t="s">
        <v>109</v>
      </c>
      <c r="AF608" s="50" t="s">
        <v>102</v>
      </c>
      <c r="AG608" s="50" t="s">
        <v>109</v>
      </c>
      <c r="AH608" s="50" t="s">
        <v>102</v>
      </c>
      <c r="AI608" s="50" t="s">
        <v>21531</v>
      </c>
      <c r="AJ608" s="50" t="s">
        <v>13867</v>
      </c>
      <c r="AK608" s="50" t="s">
        <v>13867</v>
      </c>
      <c r="AL608" s="50" t="s">
        <v>21532</v>
      </c>
      <c r="AM608" s="50" t="s">
        <v>21533</v>
      </c>
      <c r="AN608" s="50" t="s">
        <v>21530</v>
      </c>
      <c r="AO608" s="50" t="s">
        <v>21534</v>
      </c>
      <c r="AP608" s="50" t="s">
        <v>21534</v>
      </c>
      <c r="AU608" s="50" t="s">
        <v>117</v>
      </c>
      <c r="AV608" s="50" t="s">
        <v>118</v>
      </c>
      <c r="AW608" s="50" t="s">
        <v>102</v>
      </c>
      <c r="AX608" s="50" t="s">
        <v>119</v>
      </c>
      <c r="BB608" s="50" t="s">
        <v>120</v>
      </c>
      <c r="BC608" s="50" t="s">
        <v>2204</v>
      </c>
      <c r="BD608" s="50" t="s">
        <v>121</v>
      </c>
      <c r="BE608" s="50" t="s">
        <v>122</v>
      </c>
      <c r="BF608" s="50" t="s">
        <v>123</v>
      </c>
      <c r="BG608" s="50" t="s">
        <v>124</v>
      </c>
      <c r="BH608" s="50" t="s">
        <v>11888</v>
      </c>
      <c r="BI608" s="50" t="s">
        <v>11889</v>
      </c>
      <c r="BJ608" s="50" t="s">
        <v>127</v>
      </c>
      <c r="BK608" s="50" t="s">
        <v>21535</v>
      </c>
      <c r="BL608" s="50" t="s">
        <v>11719</v>
      </c>
      <c r="BM608" s="50" t="s">
        <v>21536</v>
      </c>
      <c r="BN608" s="50" t="s">
        <v>12393</v>
      </c>
      <c r="BO608" s="50" t="s">
        <v>3267</v>
      </c>
      <c r="BP608" s="50" t="s">
        <v>350</v>
      </c>
      <c r="BQ608" s="50" t="s">
        <v>3268</v>
      </c>
      <c r="BR608" s="50" t="s">
        <v>3269</v>
      </c>
      <c r="BS608" s="50" t="s">
        <v>135</v>
      </c>
      <c r="BU608" s="50" t="s">
        <v>21537</v>
      </c>
      <c r="BV608" s="50" t="s">
        <v>11893</v>
      </c>
      <c r="BW608" s="50" t="s">
        <v>598</v>
      </c>
      <c r="BX608" s="50" t="s">
        <v>7967</v>
      </c>
      <c r="BY608" s="50" t="s">
        <v>11894</v>
      </c>
      <c r="BZ608" s="50" t="s">
        <v>11725</v>
      </c>
      <c r="CA608" s="50" t="s">
        <v>21538</v>
      </c>
      <c r="CB608" s="50" t="s">
        <v>11723</v>
      </c>
      <c r="CC608" s="50" t="s">
        <v>11894</v>
      </c>
      <c r="CD608" s="50" t="s">
        <v>11893</v>
      </c>
      <c r="CE608" s="50" t="s">
        <v>7967</v>
      </c>
      <c r="CF608" s="50" t="s">
        <v>11894</v>
      </c>
      <c r="CG608" s="50" t="s">
        <v>11726</v>
      </c>
      <c r="CH608" s="50" t="s">
        <v>21539</v>
      </c>
      <c r="CJ608" s="50" t="s">
        <v>147</v>
      </c>
      <c r="CL608" s="50" t="s">
        <v>2204</v>
      </c>
      <c r="CM608" s="50" t="s">
        <v>121</v>
      </c>
      <c r="CN608" s="50" t="s">
        <v>147</v>
      </c>
      <c r="CO608" s="50" t="s">
        <v>11728</v>
      </c>
      <c r="CP608" s="50" t="s">
        <v>11727</v>
      </c>
      <c r="CQ608" s="50" t="s">
        <v>11727</v>
      </c>
    </row>
    <row r="609" spans="1:96">
      <c r="A609" s="50" t="s">
        <v>149</v>
      </c>
      <c r="B609" s="50">
        <v>1002463</v>
      </c>
      <c r="C609" s="50" t="s">
        <v>11882</v>
      </c>
      <c r="D609" s="50" t="s">
        <v>94</v>
      </c>
      <c r="E609" s="50" t="e">
        <f>VLOOKUP(B609,aa!B:F,5,0)</f>
        <v>#N/A</v>
      </c>
      <c r="F609" s="50" t="e">
        <f>VLOOKUP(B609,aa!B:J,9,0)</f>
        <v>#N/A</v>
      </c>
      <c r="G609" s="50" t="e">
        <f>VLOOKUP(B609,aa!B:L,11,0)</f>
        <v>#N/A</v>
      </c>
      <c r="H609" s="50" t="e">
        <f>VLOOKUP(B609,aa!B:O,14,0)</f>
        <v>#N/A</v>
      </c>
      <c r="I609" s="50" t="e">
        <f>VLOOKUP(B609,aa!B:R,17,0)</f>
        <v>#N/A</v>
      </c>
      <c r="K609" s="50" t="s">
        <v>97</v>
      </c>
      <c r="L609" s="50">
        <v>283982</v>
      </c>
      <c r="M609" s="50">
        <v>283982</v>
      </c>
      <c r="N609" s="50">
        <v>283982</v>
      </c>
      <c r="O609" s="50">
        <v>355</v>
      </c>
      <c r="P609" s="50" t="s">
        <v>1297</v>
      </c>
      <c r="Q609" s="50">
        <v>0</v>
      </c>
      <c r="R609" s="50">
        <v>0</v>
      </c>
      <c r="T609" s="50">
        <v>0</v>
      </c>
      <c r="U609" s="50">
        <v>0</v>
      </c>
      <c r="W609" s="50" t="s">
        <v>102</v>
      </c>
      <c r="X609" s="50" t="s">
        <v>103</v>
      </c>
      <c r="Y609" s="50" t="s">
        <v>104</v>
      </c>
      <c r="AA609" s="50" t="s">
        <v>11884</v>
      </c>
      <c r="AB609" s="50" t="s">
        <v>11885</v>
      </c>
      <c r="AC609" s="50" t="s">
        <v>11886</v>
      </c>
      <c r="AD609" s="50" t="s">
        <v>11885</v>
      </c>
      <c r="AE609" s="50" t="s">
        <v>109</v>
      </c>
      <c r="AF609" s="50" t="s">
        <v>102</v>
      </c>
      <c r="AG609" s="50" t="s">
        <v>109</v>
      </c>
      <c r="AH609" s="50" t="s">
        <v>102</v>
      </c>
      <c r="AI609" s="50" t="s">
        <v>102</v>
      </c>
      <c r="AL609" s="50" t="s">
        <v>11887</v>
      </c>
      <c r="AM609" s="50" t="s">
        <v>102</v>
      </c>
      <c r="AN609" s="50" t="s">
        <v>11887</v>
      </c>
      <c r="AO609" s="50" t="s">
        <v>1304</v>
      </c>
      <c r="AP609" s="50" t="s">
        <v>1304</v>
      </c>
      <c r="AU609" s="50" t="s">
        <v>117</v>
      </c>
      <c r="AV609" s="50" t="s">
        <v>118</v>
      </c>
      <c r="AW609" s="50" t="s">
        <v>102</v>
      </c>
      <c r="AX609" s="50" t="s">
        <v>119</v>
      </c>
      <c r="BB609" s="50" t="s">
        <v>120</v>
      </c>
      <c r="BC609" s="50" t="s">
        <v>121</v>
      </c>
      <c r="BD609" s="50" t="s">
        <v>121</v>
      </c>
      <c r="BE609" s="50" t="s">
        <v>122</v>
      </c>
      <c r="BF609" s="50" t="s">
        <v>123</v>
      </c>
      <c r="BG609" s="50" t="s">
        <v>124</v>
      </c>
      <c r="BH609" s="50" t="s">
        <v>11888</v>
      </c>
      <c r="BI609" s="50" t="s">
        <v>11889</v>
      </c>
      <c r="BJ609" s="50" t="s">
        <v>127</v>
      </c>
      <c r="BK609" s="50" t="s">
        <v>11890</v>
      </c>
      <c r="BL609" s="50" t="s">
        <v>129</v>
      </c>
      <c r="BM609" s="50" t="s">
        <v>11891</v>
      </c>
      <c r="BN609" s="50" t="s">
        <v>11883</v>
      </c>
      <c r="BO609" s="50" t="s">
        <v>3267</v>
      </c>
      <c r="BP609" s="50" t="s">
        <v>132</v>
      </c>
      <c r="BQ609" s="50" t="s">
        <v>3268</v>
      </c>
      <c r="BR609" s="50" t="s">
        <v>3269</v>
      </c>
      <c r="BS609" s="50" t="s">
        <v>135</v>
      </c>
      <c r="BU609" s="50" t="s">
        <v>11892</v>
      </c>
      <c r="BV609" s="50" t="s">
        <v>11893</v>
      </c>
      <c r="BW609" s="50" t="s">
        <v>598</v>
      </c>
      <c r="BX609" s="50" t="s">
        <v>7967</v>
      </c>
      <c r="BY609" s="50" t="s">
        <v>11894</v>
      </c>
      <c r="BZ609" s="50" t="s">
        <v>141</v>
      </c>
      <c r="CA609" s="50" t="s">
        <v>11895</v>
      </c>
      <c r="CB609" s="50" t="s">
        <v>139</v>
      </c>
      <c r="CC609" s="50" t="s">
        <v>11894</v>
      </c>
      <c r="CD609" s="50" t="s">
        <v>11893</v>
      </c>
      <c r="CE609" s="50" t="s">
        <v>7967</v>
      </c>
      <c r="CF609" s="50" t="s">
        <v>11894</v>
      </c>
      <c r="CG609" s="50" t="s">
        <v>145</v>
      </c>
      <c r="CH609" s="50" t="s">
        <v>11896</v>
      </c>
      <c r="CJ609" s="50" t="s">
        <v>147</v>
      </c>
      <c r="CL609" s="50" t="s">
        <v>121</v>
      </c>
      <c r="CM609" s="50" t="s">
        <v>121</v>
      </c>
      <c r="CN609" s="50" t="s">
        <v>147</v>
      </c>
      <c r="CO609" s="50" t="s">
        <v>148</v>
      </c>
      <c r="CP609" s="50" t="s">
        <v>146</v>
      </c>
      <c r="CQ609" s="50" t="s">
        <v>146</v>
      </c>
    </row>
    <row r="610" spans="1:96">
      <c r="A610" s="50" t="s">
        <v>149</v>
      </c>
      <c r="B610" s="50">
        <v>395154</v>
      </c>
      <c r="C610" s="50" t="s">
        <v>11882</v>
      </c>
      <c r="D610" s="50" t="s">
        <v>7952</v>
      </c>
      <c r="E610" s="50" t="e">
        <f>VLOOKUP(B610,aa!B:F,5,0)</f>
        <v>#N/A</v>
      </c>
      <c r="F610" s="50" t="e">
        <f>VLOOKUP(B610,aa!B:J,9,0)</f>
        <v>#N/A</v>
      </c>
      <c r="G610" s="50" t="e">
        <f>VLOOKUP(B610,aa!B:L,11,0)</f>
        <v>#N/A</v>
      </c>
      <c r="H610" s="50" t="e">
        <f>VLOOKUP(B610,aa!B:O,14,0)</f>
        <v>#N/A</v>
      </c>
      <c r="I610" s="50" t="e">
        <f>VLOOKUP(B610,aa!B:R,17,0)</f>
        <v>#N/A</v>
      </c>
      <c r="K610" s="50" t="s">
        <v>97</v>
      </c>
      <c r="L610" s="50">
        <v>755153</v>
      </c>
      <c r="M610" s="50">
        <v>755153</v>
      </c>
      <c r="N610" s="50">
        <v>755153</v>
      </c>
      <c r="O610" s="50">
        <v>944</v>
      </c>
      <c r="P610" s="50" t="s">
        <v>1297</v>
      </c>
      <c r="Q610" s="50">
        <v>0</v>
      </c>
      <c r="R610" s="50">
        <v>0</v>
      </c>
      <c r="T610" s="50">
        <v>0</v>
      </c>
      <c r="U610" s="50">
        <v>0</v>
      </c>
      <c r="W610" s="50" t="s">
        <v>102</v>
      </c>
      <c r="X610" s="50" t="s">
        <v>103</v>
      </c>
      <c r="Y610" s="50" t="s">
        <v>104</v>
      </c>
      <c r="AA610" s="50" t="s">
        <v>11884</v>
      </c>
      <c r="AB610" s="50" t="s">
        <v>17368</v>
      </c>
      <c r="AC610" s="50" t="s">
        <v>11886</v>
      </c>
      <c r="AD610" s="50" t="s">
        <v>17368</v>
      </c>
      <c r="AE610" s="50" t="s">
        <v>109</v>
      </c>
      <c r="AF610" s="50" t="s">
        <v>102</v>
      </c>
      <c r="AG610" s="50" t="s">
        <v>109</v>
      </c>
      <c r="AH610" s="50" t="s">
        <v>102</v>
      </c>
      <c r="AI610" s="50" t="s">
        <v>17369</v>
      </c>
      <c r="AJ610" s="50" t="s">
        <v>13344</v>
      </c>
      <c r="AK610" s="50" t="s">
        <v>13344</v>
      </c>
      <c r="AL610" s="50" t="s">
        <v>17370</v>
      </c>
      <c r="AM610" s="50" t="s">
        <v>17371</v>
      </c>
      <c r="AN610" s="50" t="s">
        <v>5926</v>
      </c>
      <c r="AO610" s="50" t="s">
        <v>1304</v>
      </c>
      <c r="AP610" s="50" t="s">
        <v>1304</v>
      </c>
      <c r="AU610" s="50" t="s">
        <v>117</v>
      </c>
      <c r="AV610" s="50" t="s">
        <v>118</v>
      </c>
      <c r="AW610" s="50" t="s">
        <v>102</v>
      </c>
      <c r="AX610" s="50" t="s">
        <v>119</v>
      </c>
      <c r="BB610" s="50" t="s">
        <v>120</v>
      </c>
      <c r="BC610" s="50" t="s">
        <v>448</v>
      </c>
      <c r="BD610" s="50" t="s">
        <v>449</v>
      </c>
      <c r="BE610" s="50" t="s">
        <v>122</v>
      </c>
      <c r="BF610" s="50" t="s">
        <v>450</v>
      </c>
      <c r="BG610" s="50" t="s">
        <v>124</v>
      </c>
      <c r="BH610" s="50" t="s">
        <v>11888</v>
      </c>
      <c r="BI610" s="50" t="s">
        <v>11889</v>
      </c>
      <c r="BJ610" s="50" t="s">
        <v>127</v>
      </c>
      <c r="BK610" s="50" t="s">
        <v>17372</v>
      </c>
      <c r="BL610" s="50" t="s">
        <v>7961</v>
      </c>
      <c r="BM610" s="50" t="s">
        <v>17373</v>
      </c>
      <c r="BN610" s="50" t="s">
        <v>14080</v>
      </c>
      <c r="BO610" s="50" t="s">
        <v>3267</v>
      </c>
      <c r="BP610" s="50" t="s">
        <v>350</v>
      </c>
      <c r="BQ610" s="50" t="s">
        <v>3268</v>
      </c>
      <c r="BR610" s="50" t="s">
        <v>3269</v>
      </c>
      <c r="BS610" s="50" t="s">
        <v>135</v>
      </c>
      <c r="BU610" s="50" t="s">
        <v>17374</v>
      </c>
      <c r="BV610" s="50" t="s">
        <v>11893</v>
      </c>
      <c r="BW610" s="50" t="s">
        <v>598</v>
      </c>
      <c r="BX610" s="50" t="s">
        <v>7967</v>
      </c>
      <c r="BY610" s="50" t="s">
        <v>11894</v>
      </c>
      <c r="BZ610" s="50" t="s">
        <v>7967</v>
      </c>
      <c r="CA610" s="50" t="s">
        <v>17375</v>
      </c>
      <c r="CB610" s="50" t="s">
        <v>7965</v>
      </c>
      <c r="CC610" s="50" t="s">
        <v>11894</v>
      </c>
      <c r="CD610" s="50" t="s">
        <v>11893</v>
      </c>
      <c r="CE610" s="50" t="s">
        <v>7967</v>
      </c>
      <c r="CF610" s="50" t="s">
        <v>11894</v>
      </c>
      <c r="CG610" s="50" t="s">
        <v>3251</v>
      </c>
      <c r="CH610" s="50" t="s">
        <v>17376</v>
      </c>
      <c r="CJ610" s="50" t="s">
        <v>7972</v>
      </c>
      <c r="CL610" s="50" t="s">
        <v>448</v>
      </c>
      <c r="CM610" s="50" t="s">
        <v>449</v>
      </c>
      <c r="CN610" s="50" t="s">
        <v>7972</v>
      </c>
      <c r="CO610" s="50" t="s">
        <v>7974</v>
      </c>
      <c r="CP610" s="50" t="s">
        <v>7971</v>
      </c>
      <c r="CQ610" s="50" t="s">
        <v>7973</v>
      </c>
    </row>
    <row r="611" spans="1:96">
      <c r="A611" s="50" t="s">
        <v>149</v>
      </c>
      <c r="B611" s="50">
        <v>3283255</v>
      </c>
      <c r="C611" s="50" t="s">
        <v>3562</v>
      </c>
      <c r="D611" s="50" t="s">
        <v>5188</v>
      </c>
      <c r="E611" s="50" t="str">
        <f>VLOOKUP(B611,aa!B:F,5,0)</f>
        <v>Ei ASSET</v>
      </c>
      <c r="F611" s="50">
        <f>VLOOKUP(B611,aa!B:J,9,0)</f>
        <v>582547</v>
      </c>
      <c r="G611" s="50">
        <f>VLOOKUP(B611,aa!B:L,11,0)</f>
        <v>582547</v>
      </c>
      <c r="H611" s="50">
        <f>VLOOKUP(B611,aa!B:O,14,0)</f>
        <v>0</v>
      </c>
      <c r="I611" s="50">
        <f>VLOOKUP(B611,aa!B:R,17,0)</f>
        <v>0</v>
      </c>
      <c r="K611" s="50" t="s">
        <v>97</v>
      </c>
      <c r="L611" s="50">
        <v>137216</v>
      </c>
      <c r="M611" s="50">
        <v>137216</v>
      </c>
      <c r="N611" s="50">
        <v>137216</v>
      </c>
      <c r="O611" s="50">
        <v>196</v>
      </c>
      <c r="P611" s="50" t="s">
        <v>799</v>
      </c>
      <c r="Q611" s="50">
        <v>0</v>
      </c>
      <c r="R611" s="50">
        <v>0</v>
      </c>
      <c r="T611" s="50">
        <v>0</v>
      </c>
      <c r="U611" s="50">
        <v>0</v>
      </c>
      <c r="W611" s="50" t="s">
        <v>102</v>
      </c>
      <c r="X611" s="50" t="s">
        <v>275</v>
      </c>
      <c r="Z611" s="50" t="s">
        <v>12395</v>
      </c>
      <c r="AA611" s="50" t="s">
        <v>109</v>
      </c>
      <c r="AB611" s="50" t="s">
        <v>102</v>
      </c>
      <c r="AC611" s="50" t="s">
        <v>109</v>
      </c>
      <c r="AD611" s="50" t="s">
        <v>102</v>
      </c>
      <c r="AE611" s="50" t="s">
        <v>109</v>
      </c>
      <c r="AF611" s="50" t="s">
        <v>102</v>
      </c>
      <c r="AG611" s="50" t="s">
        <v>109</v>
      </c>
      <c r="AH611" s="50" t="s">
        <v>102</v>
      </c>
      <c r="AI611" s="50" t="s">
        <v>102</v>
      </c>
      <c r="AJ611" s="50" t="s">
        <v>13395</v>
      </c>
      <c r="AK611" s="50" t="s">
        <v>13395</v>
      </c>
      <c r="AL611" s="50" t="s">
        <v>15319</v>
      </c>
      <c r="AM611" s="50" t="s">
        <v>15320</v>
      </c>
      <c r="AN611" s="50" t="s">
        <v>15321</v>
      </c>
      <c r="AO611" s="50" t="s">
        <v>5193</v>
      </c>
      <c r="AP611" s="50" t="s">
        <v>5193</v>
      </c>
      <c r="AU611" s="50" t="s">
        <v>117</v>
      </c>
      <c r="AV611" s="50" t="s">
        <v>250</v>
      </c>
      <c r="AW611" s="50" t="s">
        <v>102</v>
      </c>
      <c r="AX611" s="50" t="s">
        <v>119</v>
      </c>
      <c r="BB611" s="50" t="s">
        <v>120</v>
      </c>
      <c r="BC611" s="50" t="s">
        <v>4889</v>
      </c>
      <c r="BD611" s="50" t="s">
        <v>730</v>
      </c>
      <c r="BE611" s="50" t="s">
        <v>622</v>
      </c>
      <c r="BF611" s="50" t="s">
        <v>730</v>
      </c>
      <c r="BG611" s="50" t="s">
        <v>124</v>
      </c>
      <c r="BH611" s="50" t="s">
        <v>12023</v>
      </c>
      <c r="BI611" s="50" t="s">
        <v>11889</v>
      </c>
      <c r="BJ611" s="50" t="s">
        <v>127</v>
      </c>
      <c r="BK611" s="50" t="s">
        <v>15322</v>
      </c>
      <c r="BL611" s="50" t="s">
        <v>5195</v>
      </c>
      <c r="BM611" s="50" t="s">
        <v>5196</v>
      </c>
      <c r="BN611" s="50" t="s">
        <v>12395</v>
      </c>
      <c r="BO611" s="50" t="s">
        <v>5197</v>
      </c>
      <c r="BP611" s="50" t="s">
        <v>350</v>
      </c>
      <c r="BQ611" s="50" t="s">
        <v>5198</v>
      </c>
      <c r="BR611" s="50" t="s">
        <v>5199</v>
      </c>
      <c r="BS611" s="50" t="s">
        <v>2569</v>
      </c>
      <c r="BU611" s="50" t="s">
        <v>15323</v>
      </c>
      <c r="BV611" s="50" t="s">
        <v>15324</v>
      </c>
      <c r="BW611" s="50" t="s">
        <v>138</v>
      </c>
      <c r="BX611" s="50" t="s">
        <v>5202</v>
      </c>
      <c r="BY611" s="50" t="s">
        <v>5203</v>
      </c>
      <c r="BZ611" s="50" t="s">
        <v>5204</v>
      </c>
      <c r="CA611" s="50" t="s">
        <v>15325</v>
      </c>
      <c r="CB611" s="50" t="s">
        <v>5202</v>
      </c>
      <c r="CC611" s="50" t="s">
        <v>5203</v>
      </c>
      <c r="CD611" s="50" t="s">
        <v>15326</v>
      </c>
      <c r="CE611" s="50" t="s">
        <v>15327</v>
      </c>
      <c r="CF611" s="50" t="s">
        <v>15328</v>
      </c>
      <c r="CG611" s="50" t="s">
        <v>5207</v>
      </c>
      <c r="CH611" s="50" t="s">
        <v>5208</v>
      </c>
      <c r="CJ611" s="50" t="s">
        <v>4903</v>
      </c>
      <c r="CK611" s="50" t="s">
        <v>5209</v>
      </c>
      <c r="CL611" s="50" t="s">
        <v>4889</v>
      </c>
      <c r="CM611" s="50" t="s">
        <v>730</v>
      </c>
      <c r="CN611" s="50" t="s">
        <v>4903</v>
      </c>
      <c r="CP611" s="50" t="s">
        <v>5210</v>
      </c>
      <c r="CQ611" s="50" t="s">
        <v>5211</v>
      </c>
    </row>
    <row r="612" spans="1:96">
      <c r="A612" s="50" t="s">
        <v>337</v>
      </c>
      <c r="B612" s="50">
        <v>1011788</v>
      </c>
      <c r="C612" s="50" t="s">
        <v>11898</v>
      </c>
      <c r="D612" s="50" t="s">
        <v>11897</v>
      </c>
      <c r="E612" s="50" t="e">
        <f>VLOOKUP(B612,aa!B:F,5,0)</f>
        <v>#N/A</v>
      </c>
      <c r="F612" s="50" t="e">
        <f>VLOOKUP(B612,aa!B:J,9,0)</f>
        <v>#N/A</v>
      </c>
      <c r="G612" s="50" t="e">
        <f>VLOOKUP(B612,aa!B:L,11,0)</f>
        <v>#N/A</v>
      </c>
      <c r="H612" s="50" t="e">
        <f>VLOOKUP(B612,aa!B:O,14,0)</f>
        <v>#N/A</v>
      </c>
      <c r="I612" s="50" t="e">
        <f>VLOOKUP(B612,aa!B:R,17,0)</f>
        <v>#N/A</v>
      </c>
      <c r="K612" s="50" t="s">
        <v>97</v>
      </c>
      <c r="L612" s="50">
        <v>570210</v>
      </c>
      <c r="M612" s="50">
        <v>570210</v>
      </c>
      <c r="N612" s="50">
        <v>570210</v>
      </c>
      <c r="O612" s="50">
        <v>2075</v>
      </c>
      <c r="P612" s="50" t="s">
        <v>11900</v>
      </c>
      <c r="Q612" s="50">
        <v>0</v>
      </c>
      <c r="R612" s="50">
        <v>0</v>
      </c>
      <c r="T612" s="50">
        <v>0</v>
      </c>
      <c r="U612" s="50">
        <v>0</v>
      </c>
      <c r="W612" s="50" t="s">
        <v>102</v>
      </c>
      <c r="X612" s="50" t="s">
        <v>103</v>
      </c>
      <c r="Y612" s="50" t="s">
        <v>104</v>
      </c>
      <c r="AA612" s="50" t="s">
        <v>11899</v>
      </c>
      <c r="AB612" s="50" t="s">
        <v>11901</v>
      </c>
      <c r="AC612" s="50" t="s">
        <v>11902</v>
      </c>
      <c r="AD612" s="50" t="s">
        <v>11903</v>
      </c>
      <c r="AE612" s="50" t="s">
        <v>109</v>
      </c>
      <c r="AF612" s="50" t="s">
        <v>102</v>
      </c>
      <c r="AG612" s="50" t="s">
        <v>109</v>
      </c>
      <c r="AH612" s="50" t="s">
        <v>102</v>
      </c>
      <c r="AI612" s="50" t="s">
        <v>11904</v>
      </c>
      <c r="AJ612" s="50" t="s">
        <v>11905</v>
      </c>
      <c r="AK612" s="50" t="s">
        <v>11905</v>
      </c>
      <c r="AL612" s="50" t="s">
        <v>11906</v>
      </c>
      <c r="AM612" s="50" t="s">
        <v>11907</v>
      </c>
      <c r="AN612" s="50" t="s">
        <v>11908</v>
      </c>
      <c r="AO612" s="50" t="s">
        <v>11909</v>
      </c>
      <c r="AP612" s="50" t="s">
        <v>11910</v>
      </c>
      <c r="AR612" s="50" t="s">
        <v>169</v>
      </c>
      <c r="AU612" s="50" t="s">
        <v>117</v>
      </c>
      <c r="AV612" s="50" t="s">
        <v>118</v>
      </c>
      <c r="AW612" s="50" t="s">
        <v>102</v>
      </c>
      <c r="AX612" s="50" t="s">
        <v>119</v>
      </c>
      <c r="BB612" s="50" t="s">
        <v>120</v>
      </c>
      <c r="BC612" s="50" t="s">
        <v>121</v>
      </c>
      <c r="BD612" s="50" t="s">
        <v>121</v>
      </c>
      <c r="BE612" s="50" t="s">
        <v>122</v>
      </c>
      <c r="BF612" s="50" t="s">
        <v>123</v>
      </c>
      <c r="BG612" s="50" t="s">
        <v>124</v>
      </c>
      <c r="BH612" s="50" t="s">
        <v>11911</v>
      </c>
      <c r="BI612" s="50" t="s">
        <v>11889</v>
      </c>
      <c r="BJ612" s="50" t="s">
        <v>127</v>
      </c>
      <c r="BK612" s="50" t="s">
        <v>11912</v>
      </c>
      <c r="BL612" s="50" t="s">
        <v>11913</v>
      </c>
      <c r="BM612" s="50" t="s">
        <v>11914</v>
      </c>
      <c r="BN612" s="50" t="s">
        <v>11899</v>
      </c>
      <c r="BO612" s="50" t="s">
        <v>7005</v>
      </c>
      <c r="BP612" s="50" t="s">
        <v>350</v>
      </c>
      <c r="BQ612" s="50" t="s">
        <v>7006</v>
      </c>
      <c r="BR612" s="50" t="s">
        <v>7007</v>
      </c>
      <c r="BS612" s="50" t="s">
        <v>7008</v>
      </c>
      <c r="BU612" s="50" t="s">
        <v>11915</v>
      </c>
      <c r="BV612" s="50" t="s">
        <v>11916</v>
      </c>
      <c r="BW612" s="50" t="s">
        <v>598</v>
      </c>
      <c r="BX612" s="50" t="s">
        <v>11917</v>
      </c>
      <c r="BY612" s="50" t="s">
        <v>11918</v>
      </c>
      <c r="BZ612" s="50" t="s">
        <v>11919</v>
      </c>
      <c r="CA612" s="50" t="s">
        <v>11920</v>
      </c>
      <c r="CB612" s="50" t="s">
        <v>11917</v>
      </c>
      <c r="CC612" s="50" t="s">
        <v>11918</v>
      </c>
      <c r="CD612" s="50" t="s">
        <v>11921</v>
      </c>
      <c r="CE612" s="50" t="s">
        <v>11917</v>
      </c>
      <c r="CF612" s="50" t="s">
        <v>11918</v>
      </c>
      <c r="CG612" s="50" t="s">
        <v>6919</v>
      </c>
      <c r="CH612" s="50" t="s">
        <v>11897</v>
      </c>
      <c r="CJ612" s="50" t="s">
        <v>11649</v>
      </c>
      <c r="CK612" s="50" t="s">
        <v>11922</v>
      </c>
      <c r="CL612" s="50" t="s">
        <v>121</v>
      </c>
      <c r="CM612" s="50" t="s">
        <v>2226</v>
      </c>
      <c r="CN612" s="50" t="s">
        <v>11649</v>
      </c>
      <c r="CO612" s="50" t="s">
        <v>11923</v>
      </c>
      <c r="CP612" s="50" t="s">
        <v>11924</v>
      </c>
      <c r="CQ612" s="50" t="s">
        <v>11924</v>
      </c>
    </row>
    <row r="613" spans="1:96">
      <c r="A613" s="50" t="s">
        <v>149</v>
      </c>
      <c r="B613" s="50">
        <v>3707644</v>
      </c>
      <c r="C613" s="50" t="s">
        <v>11947</v>
      </c>
      <c r="D613" s="50" t="s">
        <v>7217</v>
      </c>
      <c r="E613" s="50" t="e">
        <f>VLOOKUP(B613,aa!B:F,5,0)</f>
        <v>#N/A</v>
      </c>
      <c r="F613" s="50" t="e">
        <f>VLOOKUP(B613,aa!B:J,9,0)</f>
        <v>#N/A</v>
      </c>
      <c r="G613" s="50" t="e">
        <f>VLOOKUP(B613,aa!B:L,11,0)</f>
        <v>#N/A</v>
      </c>
      <c r="H613" s="50" t="e">
        <f>VLOOKUP(B613,aa!B:O,14,0)</f>
        <v>#N/A</v>
      </c>
      <c r="I613" s="50" t="e">
        <f>VLOOKUP(B613,aa!B:R,17,0)</f>
        <v>#N/A</v>
      </c>
      <c r="K613" s="50" t="s">
        <v>97</v>
      </c>
      <c r="L613" s="50">
        <v>30485</v>
      </c>
      <c r="M613" s="50">
        <v>30485</v>
      </c>
      <c r="N613" s="50">
        <v>30485</v>
      </c>
      <c r="O613" s="50">
        <v>44</v>
      </c>
      <c r="P613" s="50" t="s">
        <v>16790</v>
      </c>
      <c r="Q613" s="50">
        <v>0</v>
      </c>
      <c r="R613" s="50">
        <v>0</v>
      </c>
      <c r="T613" s="50">
        <v>0</v>
      </c>
      <c r="U613" s="50">
        <v>0</v>
      </c>
      <c r="W613" s="50" t="s">
        <v>102</v>
      </c>
      <c r="X613" s="50" t="s">
        <v>275</v>
      </c>
      <c r="Z613" s="50" t="s">
        <v>11884</v>
      </c>
      <c r="AA613" s="50" t="s">
        <v>109</v>
      </c>
      <c r="AB613" s="50" t="s">
        <v>102</v>
      </c>
      <c r="AC613" s="50" t="s">
        <v>109</v>
      </c>
      <c r="AD613" s="50" t="s">
        <v>102</v>
      </c>
      <c r="AE613" s="50" t="s">
        <v>109</v>
      </c>
      <c r="AF613" s="50" t="s">
        <v>102</v>
      </c>
      <c r="AG613" s="50" t="s">
        <v>109</v>
      </c>
      <c r="AH613" s="50" t="s">
        <v>102</v>
      </c>
      <c r="AI613" s="50" t="s">
        <v>102</v>
      </c>
      <c r="AJ613" s="50" t="s">
        <v>11899</v>
      </c>
      <c r="AK613" s="50" t="s">
        <v>14455</v>
      </c>
      <c r="AL613" s="50" t="s">
        <v>16791</v>
      </c>
      <c r="AM613" s="50" t="s">
        <v>16791</v>
      </c>
      <c r="AN613" s="50" t="s">
        <v>102</v>
      </c>
      <c r="AO613" s="50" t="s">
        <v>16792</v>
      </c>
      <c r="AP613" s="50" t="s">
        <v>16792</v>
      </c>
      <c r="AU613" s="50" t="s">
        <v>117</v>
      </c>
      <c r="AV613" s="50" t="s">
        <v>118</v>
      </c>
      <c r="AW613" s="50" t="s">
        <v>102</v>
      </c>
      <c r="AX613" s="50" t="s">
        <v>119</v>
      </c>
      <c r="BB613" s="50" t="s">
        <v>120</v>
      </c>
      <c r="BC613" s="50" t="s">
        <v>920</v>
      </c>
      <c r="BD613" s="50" t="s">
        <v>211</v>
      </c>
      <c r="BE613" s="50" t="s">
        <v>212</v>
      </c>
      <c r="BF613" s="50" t="s">
        <v>213</v>
      </c>
      <c r="BG613" s="50" t="s">
        <v>124</v>
      </c>
      <c r="BH613" s="50" t="s">
        <v>11959</v>
      </c>
      <c r="BI613" s="50" t="s">
        <v>11889</v>
      </c>
      <c r="BJ613" s="50" t="s">
        <v>127</v>
      </c>
      <c r="BK613" s="50" t="s">
        <v>16793</v>
      </c>
      <c r="BL613" s="50" t="s">
        <v>7223</v>
      </c>
      <c r="BM613" s="50" t="s">
        <v>16794</v>
      </c>
      <c r="BN613" s="50" t="s">
        <v>11899</v>
      </c>
      <c r="BO613" s="50" t="s">
        <v>415</v>
      </c>
      <c r="BP613" s="50" t="s">
        <v>180</v>
      </c>
      <c r="BQ613" s="50" t="s">
        <v>416</v>
      </c>
      <c r="BR613" s="50" t="s">
        <v>417</v>
      </c>
      <c r="BS613" s="50" t="s">
        <v>7225</v>
      </c>
      <c r="BU613" s="50" t="s">
        <v>16795</v>
      </c>
      <c r="BV613" s="50" t="s">
        <v>16796</v>
      </c>
      <c r="BW613" s="50" t="s">
        <v>354</v>
      </c>
      <c r="BX613" s="50" t="s">
        <v>7228</v>
      </c>
      <c r="BY613" s="50" t="s">
        <v>7229</v>
      </c>
      <c r="BZ613" s="50" t="s">
        <v>7230</v>
      </c>
      <c r="CA613" s="50" t="s">
        <v>16796</v>
      </c>
      <c r="CB613" s="50" t="s">
        <v>7228</v>
      </c>
      <c r="CC613" s="50" t="s">
        <v>7229</v>
      </c>
      <c r="CD613" s="50" t="s">
        <v>16796</v>
      </c>
      <c r="CE613" s="50" t="s">
        <v>7228</v>
      </c>
      <c r="CF613" s="50" t="s">
        <v>7229</v>
      </c>
      <c r="CG613" s="50" t="s">
        <v>102</v>
      </c>
      <c r="CH613" s="50" t="s">
        <v>7232</v>
      </c>
      <c r="CJ613" s="50" t="s">
        <v>7233</v>
      </c>
      <c r="CL613" s="50" t="s">
        <v>920</v>
      </c>
      <c r="CM613" s="50" t="s">
        <v>211</v>
      </c>
      <c r="CN613" s="50" t="s">
        <v>7233</v>
      </c>
      <c r="CP613" s="50" t="s">
        <v>7232</v>
      </c>
      <c r="CQ613" s="50" t="s">
        <v>7232</v>
      </c>
      <c r="CR613" s="50" t="s">
        <v>26044</v>
      </c>
    </row>
    <row r="614" spans="1:96">
      <c r="A614" s="50" t="s">
        <v>149</v>
      </c>
      <c r="B614" s="50">
        <v>5004123</v>
      </c>
      <c r="C614" s="50" t="s">
        <v>2525</v>
      </c>
      <c r="D614" s="50" t="s">
        <v>9190</v>
      </c>
      <c r="E614" s="50" t="e">
        <f>VLOOKUP(B614,aa!B:F,5,0)</f>
        <v>#N/A</v>
      </c>
      <c r="F614" s="50" t="e">
        <f>VLOOKUP(B614,aa!B:J,9,0)</f>
        <v>#N/A</v>
      </c>
      <c r="G614" s="50" t="e">
        <f>VLOOKUP(B614,aa!B:L,11,0)</f>
        <v>#N/A</v>
      </c>
      <c r="H614" s="50" t="e">
        <f>VLOOKUP(B614,aa!B:O,14,0)</f>
        <v>#N/A</v>
      </c>
      <c r="I614" s="50" t="e">
        <f>VLOOKUP(B614,aa!B:R,17,0)</f>
        <v>#N/A</v>
      </c>
      <c r="K614" s="50" t="s">
        <v>97</v>
      </c>
      <c r="L614" s="50">
        <v>317442</v>
      </c>
      <c r="M614" s="50">
        <v>317442</v>
      </c>
      <c r="N614" s="50">
        <v>317442</v>
      </c>
      <c r="O614" s="50">
        <v>444</v>
      </c>
      <c r="P614" s="50" t="s">
        <v>1954</v>
      </c>
      <c r="Q614" s="50">
        <v>0</v>
      </c>
      <c r="R614" s="50">
        <v>0</v>
      </c>
      <c r="T614" s="50">
        <v>0</v>
      </c>
      <c r="U614" s="50">
        <v>0</v>
      </c>
      <c r="W614" s="50" t="s">
        <v>102</v>
      </c>
      <c r="X614" s="50" t="s">
        <v>275</v>
      </c>
      <c r="Z614" s="50" t="s">
        <v>126</v>
      </c>
      <c r="AA614" s="50" t="s">
        <v>109</v>
      </c>
      <c r="AB614" s="50" t="s">
        <v>102</v>
      </c>
      <c r="AC614" s="50" t="s">
        <v>109</v>
      </c>
      <c r="AD614" s="50" t="s">
        <v>102</v>
      </c>
      <c r="AE614" s="50" t="s">
        <v>109</v>
      </c>
      <c r="AF614" s="50" t="s">
        <v>102</v>
      </c>
      <c r="AG614" s="50" t="s">
        <v>109</v>
      </c>
      <c r="AH614" s="50" t="s">
        <v>102</v>
      </c>
      <c r="AI614" s="50" t="s">
        <v>102</v>
      </c>
      <c r="AJ614" s="50" t="s">
        <v>3849</v>
      </c>
      <c r="AK614" s="50" t="s">
        <v>3849</v>
      </c>
      <c r="AL614" s="50" t="s">
        <v>18548</v>
      </c>
      <c r="AM614" s="50" t="s">
        <v>18549</v>
      </c>
      <c r="AN614" s="50" t="s">
        <v>18550</v>
      </c>
      <c r="AO614" s="50" t="s">
        <v>18551</v>
      </c>
      <c r="AP614" s="50" t="s">
        <v>18552</v>
      </c>
      <c r="AQ614" s="50" t="s">
        <v>343</v>
      </c>
      <c r="AT614" s="50" t="s">
        <v>169</v>
      </c>
      <c r="AU614" s="50" t="s">
        <v>117</v>
      </c>
      <c r="AV614" s="50" t="s">
        <v>118</v>
      </c>
      <c r="AW614" s="50" t="s">
        <v>102</v>
      </c>
      <c r="AX614" s="50" t="s">
        <v>119</v>
      </c>
      <c r="BB614" s="50" t="s">
        <v>3678</v>
      </c>
      <c r="BC614" s="50" t="s">
        <v>2327</v>
      </c>
      <c r="BD614" s="50" t="s">
        <v>730</v>
      </c>
      <c r="BE614" s="50" t="s">
        <v>622</v>
      </c>
      <c r="BF614" s="50" t="s">
        <v>730</v>
      </c>
      <c r="BG614" s="50" t="s">
        <v>124</v>
      </c>
      <c r="BH614" s="50" t="s">
        <v>11959</v>
      </c>
      <c r="BI614" s="50" t="s">
        <v>11960</v>
      </c>
      <c r="BJ614" s="50" t="s">
        <v>127</v>
      </c>
      <c r="BK614" s="50" t="s">
        <v>18553</v>
      </c>
      <c r="BL614" s="50" t="s">
        <v>9201</v>
      </c>
      <c r="BM614" s="50" t="s">
        <v>18554</v>
      </c>
      <c r="BN614" s="50" t="s">
        <v>11884</v>
      </c>
      <c r="BO614" s="50" t="s">
        <v>3606</v>
      </c>
      <c r="BP614" s="50" t="s">
        <v>350</v>
      </c>
      <c r="BQ614" s="50" t="s">
        <v>3607</v>
      </c>
      <c r="BR614" s="50" t="s">
        <v>3608</v>
      </c>
      <c r="BS614" s="50" t="s">
        <v>2525</v>
      </c>
      <c r="BU614" s="50" t="s">
        <v>18555</v>
      </c>
      <c r="BV614" s="50" t="s">
        <v>18556</v>
      </c>
      <c r="BX614" s="50" t="s">
        <v>18557</v>
      </c>
      <c r="BY614" s="50" t="s">
        <v>18558</v>
      </c>
      <c r="BZ614" s="50" t="s">
        <v>9207</v>
      </c>
      <c r="CA614" s="50" t="s">
        <v>18559</v>
      </c>
      <c r="CB614" s="50" t="s">
        <v>18560</v>
      </c>
      <c r="CC614" s="50" t="s">
        <v>18561</v>
      </c>
      <c r="CD614" s="50" t="s">
        <v>18559</v>
      </c>
      <c r="CE614" s="50" t="s">
        <v>18560</v>
      </c>
      <c r="CF614" s="50" t="s">
        <v>18561</v>
      </c>
      <c r="CG614" s="50" t="s">
        <v>102</v>
      </c>
      <c r="CH614" s="50" t="s">
        <v>18562</v>
      </c>
      <c r="CJ614" s="50" t="s">
        <v>4712</v>
      </c>
      <c r="CL614" s="50" t="s">
        <v>2327</v>
      </c>
      <c r="CM614" s="50" t="s">
        <v>730</v>
      </c>
      <c r="CN614" s="50" t="s">
        <v>4712</v>
      </c>
      <c r="CP614" s="50" t="s">
        <v>9208</v>
      </c>
      <c r="CQ614" s="50" t="s">
        <v>9208</v>
      </c>
      <c r="CR614" s="50" t="s">
        <v>26048</v>
      </c>
    </row>
    <row r="615" spans="1:96">
      <c r="A615" s="50" t="s">
        <v>337</v>
      </c>
      <c r="B615" s="50">
        <v>2827739</v>
      </c>
      <c r="C615" s="50" t="s">
        <v>293</v>
      </c>
      <c r="D615" s="50" t="s">
        <v>14761</v>
      </c>
      <c r="E615" s="50" t="str">
        <f>VLOOKUP(B615,aa!B:F,5,0)</f>
        <v>Ei CARES, Ei Mindspark</v>
      </c>
      <c r="F615" s="50">
        <f>VLOOKUP(B615,aa!B:J,9,0)</f>
        <v>1080881</v>
      </c>
      <c r="G615" s="50">
        <f>VLOOKUP(B615,aa!B:L,11,0)</f>
        <v>0</v>
      </c>
      <c r="H615" s="50">
        <f>VLOOKUP(B615,aa!B:O,14,0)</f>
        <v>585503</v>
      </c>
      <c r="I615" s="50">
        <f>VLOOKUP(B615,aa!B:R,17,0)</f>
        <v>495378</v>
      </c>
      <c r="K615" s="50" t="s">
        <v>152</v>
      </c>
      <c r="L615" s="50">
        <v>0</v>
      </c>
      <c r="M615" s="50">
        <v>0</v>
      </c>
      <c r="N615" s="50">
        <v>0</v>
      </c>
      <c r="O615" s="50">
        <v>0</v>
      </c>
      <c r="Q615" s="50">
        <v>0</v>
      </c>
      <c r="R615" s="50">
        <v>366</v>
      </c>
      <c r="S615" s="50" t="s">
        <v>102</v>
      </c>
      <c r="T615" s="50">
        <v>0</v>
      </c>
      <c r="U615" s="50">
        <v>0</v>
      </c>
      <c r="W615" s="50" t="s">
        <v>102</v>
      </c>
      <c r="X615" s="50" t="s">
        <v>275</v>
      </c>
      <c r="Z615" s="50" t="s">
        <v>12043</v>
      </c>
      <c r="AA615" s="50" t="s">
        <v>109</v>
      </c>
      <c r="AB615" s="50" t="s">
        <v>102</v>
      </c>
      <c r="AC615" s="50" t="s">
        <v>109</v>
      </c>
      <c r="AD615" s="50" t="s">
        <v>102</v>
      </c>
      <c r="AE615" s="50" t="s">
        <v>109</v>
      </c>
      <c r="AF615" s="50" t="s">
        <v>102</v>
      </c>
      <c r="AG615" s="50" t="s">
        <v>109</v>
      </c>
      <c r="AH615" s="50" t="s">
        <v>102</v>
      </c>
      <c r="AI615" s="50" t="s">
        <v>102</v>
      </c>
      <c r="AL615" s="50" t="s">
        <v>102</v>
      </c>
      <c r="AM615" s="50" t="s">
        <v>102</v>
      </c>
      <c r="AN615" s="50" t="s">
        <v>102</v>
      </c>
      <c r="AO615" s="50" t="s">
        <v>115</v>
      </c>
      <c r="AP615" s="50" t="s">
        <v>115</v>
      </c>
      <c r="AU615" s="50" t="s">
        <v>102</v>
      </c>
      <c r="AW615" s="50" t="s">
        <v>104</v>
      </c>
      <c r="AX615" s="50" t="s">
        <v>447</v>
      </c>
      <c r="AY615" s="50" t="s">
        <v>170</v>
      </c>
      <c r="AZ615" s="50" t="s">
        <v>118</v>
      </c>
      <c r="BB615" s="50" t="s">
        <v>120</v>
      </c>
      <c r="BC615" s="50" t="s">
        <v>14762</v>
      </c>
      <c r="BD615" s="50" t="s">
        <v>410</v>
      </c>
      <c r="BE615" s="50" t="s">
        <v>212</v>
      </c>
      <c r="BF615" s="50" t="s">
        <v>410</v>
      </c>
      <c r="BG615" s="50" t="s">
        <v>124</v>
      </c>
      <c r="BH615" s="50" t="s">
        <v>12043</v>
      </c>
      <c r="BI615" s="50" t="s">
        <v>11889</v>
      </c>
      <c r="BJ615" s="50" t="s">
        <v>127</v>
      </c>
      <c r="BK615" s="50" t="s">
        <v>14763</v>
      </c>
      <c r="BL615" s="50" t="s">
        <v>14764</v>
      </c>
      <c r="BM615" s="50" t="s">
        <v>14765</v>
      </c>
      <c r="BN615" s="50" t="s">
        <v>12043</v>
      </c>
      <c r="BO615" s="50" t="s">
        <v>896</v>
      </c>
      <c r="BP615" s="50" t="s">
        <v>258</v>
      </c>
      <c r="BQ615" s="50" t="s">
        <v>897</v>
      </c>
      <c r="BR615" s="50" t="s">
        <v>898</v>
      </c>
      <c r="BS615" s="50" t="s">
        <v>899</v>
      </c>
      <c r="BU615" s="50" t="s">
        <v>14766</v>
      </c>
      <c r="BV615" s="50" t="s">
        <v>14767</v>
      </c>
      <c r="BW615" s="50" t="s">
        <v>354</v>
      </c>
      <c r="BX615" s="50" t="s">
        <v>14768</v>
      </c>
      <c r="BY615" s="50" t="s">
        <v>14769</v>
      </c>
      <c r="BZ615" s="50" t="s">
        <v>14770</v>
      </c>
      <c r="CA615" s="50" t="s">
        <v>14771</v>
      </c>
      <c r="CB615" s="50" t="s">
        <v>14770</v>
      </c>
      <c r="CC615" s="50" t="s">
        <v>14769</v>
      </c>
      <c r="CD615" s="50" t="s">
        <v>14771</v>
      </c>
      <c r="CE615" s="50" t="s">
        <v>14770</v>
      </c>
      <c r="CF615" s="50" t="s">
        <v>14769</v>
      </c>
      <c r="CG615" s="50" t="s">
        <v>3841</v>
      </c>
      <c r="CH615" s="50" t="s">
        <v>14772</v>
      </c>
      <c r="CJ615" s="50" t="s">
        <v>14773</v>
      </c>
      <c r="CK615" s="50" t="s">
        <v>14772</v>
      </c>
      <c r="CL615" s="50" t="s">
        <v>14762</v>
      </c>
      <c r="CM615" s="50" t="s">
        <v>410</v>
      </c>
      <c r="CN615" s="50" t="s">
        <v>14773</v>
      </c>
      <c r="CP615" s="50" t="s">
        <v>14774</v>
      </c>
      <c r="CQ615" s="50" t="s">
        <v>14772</v>
      </c>
    </row>
    <row r="616" spans="1:96">
      <c r="A616" s="50" t="s">
        <v>337</v>
      </c>
      <c r="B616" s="50">
        <v>5100324</v>
      </c>
      <c r="C616" s="50" t="s">
        <v>3562</v>
      </c>
      <c r="D616" s="50" t="s">
        <v>20890</v>
      </c>
      <c r="E616" s="50" t="str">
        <f>VLOOKUP(B616,aa!B:F,5,0)</f>
        <v>Ei Mindspark</v>
      </c>
      <c r="F616" s="50">
        <f>VLOOKUP(B616,aa!B:J,9,0)</f>
        <v>294530</v>
      </c>
      <c r="G616" s="50">
        <f>VLOOKUP(B616,aa!B:L,11,0)</f>
        <v>0</v>
      </c>
      <c r="H616" s="50">
        <f>VLOOKUP(B616,aa!B:O,14,0)</f>
        <v>0</v>
      </c>
      <c r="I616" s="50">
        <f>VLOOKUP(B616,aa!B:R,17,0)</f>
        <v>294530</v>
      </c>
      <c r="K616" s="50" t="s">
        <v>848</v>
      </c>
      <c r="L616" s="50">
        <v>117826</v>
      </c>
      <c r="M616" s="50">
        <v>139035</v>
      </c>
      <c r="N616" s="50">
        <v>0</v>
      </c>
      <c r="O616" s="50">
        <v>0</v>
      </c>
      <c r="Q616" s="50">
        <v>0</v>
      </c>
      <c r="R616" s="50">
        <v>0</v>
      </c>
      <c r="T616" s="50">
        <v>117826</v>
      </c>
      <c r="U616" s="50">
        <v>139</v>
      </c>
      <c r="V616" s="50" t="s">
        <v>19950</v>
      </c>
      <c r="W616" s="50" t="s">
        <v>102</v>
      </c>
      <c r="X616" s="50" t="s">
        <v>103</v>
      </c>
      <c r="Y616" s="50" t="s">
        <v>104</v>
      </c>
      <c r="AA616" s="50" t="s">
        <v>12043</v>
      </c>
      <c r="AB616" s="50" t="s">
        <v>20891</v>
      </c>
      <c r="AC616" s="50" t="s">
        <v>11886</v>
      </c>
      <c r="AD616" s="50" t="s">
        <v>20891</v>
      </c>
      <c r="AE616" s="50" t="s">
        <v>109</v>
      </c>
      <c r="AF616" s="50" t="s">
        <v>102</v>
      </c>
      <c r="AG616" s="50" t="s">
        <v>109</v>
      </c>
      <c r="AH616" s="50" t="s">
        <v>102</v>
      </c>
      <c r="AI616" s="50" t="s">
        <v>102</v>
      </c>
      <c r="AJ616" s="50" t="s">
        <v>6895</v>
      </c>
      <c r="AK616" s="50" t="s">
        <v>6895</v>
      </c>
      <c r="AL616" s="50" t="s">
        <v>20892</v>
      </c>
      <c r="AM616" s="50" t="s">
        <v>20893</v>
      </c>
      <c r="AN616" s="50" t="s">
        <v>20894</v>
      </c>
      <c r="AO616" s="50" t="s">
        <v>20895</v>
      </c>
      <c r="AP616" s="50" t="s">
        <v>20895</v>
      </c>
      <c r="AU616" s="50" t="s">
        <v>102</v>
      </c>
      <c r="AW616" s="50" t="s">
        <v>102</v>
      </c>
      <c r="AX616" s="50" t="s">
        <v>119</v>
      </c>
      <c r="BA616" s="50" t="s">
        <v>250</v>
      </c>
      <c r="BB616" s="50" t="s">
        <v>120</v>
      </c>
      <c r="BC616" s="50" t="s">
        <v>1729</v>
      </c>
      <c r="BD616" s="50" t="s">
        <v>730</v>
      </c>
      <c r="BE616" s="50" t="s">
        <v>622</v>
      </c>
      <c r="BF616" s="50" t="s">
        <v>730</v>
      </c>
      <c r="BG616" s="50" t="s">
        <v>124</v>
      </c>
      <c r="BH616" s="50" t="s">
        <v>12043</v>
      </c>
      <c r="BI616" s="50" t="s">
        <v>11889</v>
      </c>
      <c r="BJ616" s="50" t="s">
        <v>127</v>
      </c>
      <c r="BK616" s="50" t="s">
        <v>20896</v>
      </c>
      <c r="BL616" s="50" t="s">
        <v>20897</v>
      </c>
      <c r="BM616" s="50" t="s">
        <v>20898</v>
      </c>
      <c r="BN616" s="50" t="s">
        <v>12043</v>
      </c>
      <c r="BO616" s="50" t="s">
        <v>3910</v>
      </c>
      <c r="BP616" s="50" t="s">
        <v>350</v>
      </c>
      <c r="BQ616" s="50" t="s">
        <v>3911</v>
      </c>
      <c r="BR616" s="50" t="s">
        <v>3912</v>
      </c>
      <c r="BS616" s="50" t="s">
        <v>7862</v>
      </c>
      <c r="BU616" s="50" t="s">
        <v>20899</v>
      </c>
      <c r="BV616" s="50" t="s">
        <v>20900</v>
      </c>
      <c r="BW616" s="50" t="s">
        <v>354</v>
      </c>
      <c r="BX616" s="50" t="s">
        <v>20901</v>
      </c>
      <c r="BY616" s="50" t="s">
        <v>20902</v>
      </c>
      <c r="BZ616" s="50" t="s">
        <v>20903</v>
      </c>
      <c r="CA616" s="50" t="s">
        <v>20904</v>
      </c>
      <c r="CB616" s="50" t="s">
        <v>17082</v>
      </c>
      <c r="CC616" s="50" t="s">
        <v>20905</v>
      </c>
      <c r="CD616" s="50" t="s">
        <v>20904</v>
      </c>
      <c r="CE616" s="50" t="s">
        <v>17082</v>
      </c>
      <c r="CF616" s="50" t="s">
        <v>20905</v>
      </c>
      <c r="CG616" s="50" t="s">
        <v>492</v>
      </c>
      <c r="CH616" s="50" t="s">
        <v>20906</v>
      </c>
      <c r="CJ616" s="50" t="s">
        <v>6855</v>
      </c>
      <c r="CK616" s="50" t="s">
        <v>20907</v>
      </c>
      <c r="CL616" s="50" t="s">
        <v>1729</v>
      </c>
      <c r="CM616" s="50" t="s">
        <v>730</v>
      </c>
      <c r="CN616" s="50" t="s">
        <v>6855</v>
      </c>
      <c r="CP616" s="50" t="s">
        <v>20908</v>
      </c>
      <c r="CQ616" s="50" t="s">
        <v>20908</v>
      </c>
    </row>
    <row r="617" spans="1:96">
      <c r="A617" s="50" t="s">
        <v>337</v>
      </c>
      <c r="B617" s="50">
        <v>5097252</v>
      </c>
      <c r="C617" s="50" t="s">
        <v>12121</v>
      </c>
      <c r="D617" s="50" t="s">
        <v>20859</v>
      </c>
      <c r="E617" s="50" t="e">
        <f>VLOOKUP(B617,aa!B:F,5,0)</f>
        <v>#N/A</v>
      </c>
      <c r="F617" s="50" t="e">
        <f>VLOOKUP(B617,aa!B:J,9,0)</f>
        <v>#N/A</v>
      </c>
      <c r="G617" s="50" t="e">
        <f>VLOOKUP(B617,aa!B:L,11,0)</f>
        <v>#N/A</v>
      </c>
      <c r="H617" s="50" t="e">
        <f>VLOOKUP(B617,aa!B:O,14,0)</f>
        <v>#N/A</v>
      </c>
      <c r="I617" s="50" t="e">
        <f>VLOOKUP(B617,aa!B:R,17,0)</f>
        <v>#N/A</v>
      </c>
      <c r="K617" s="50" t="s">
        <v>97</v>
      </c>
      <c r="L617" s="50">
        <v>487822</v>
      </c>
      <c r="M617" s="50">
        <v>487822</v>
      </c>
      <c r="N617" s="50">
        <v>487822</v>
      </c>
      <c r="O617" s="50">
        <v>841</v>
      </c>
      <c r="P617" s="50" t="s">
        <v>14554</v>
      </c>
      <c r="Q617" s="50">
        <v>0</v>
      </c>
      <c r="R617" s="50">
        <v>0</v>
      </c>
      <c r="T617" s="50">
        <v>0</v>
      </c>
      <c r="U617" s="50">
        <v>0</v>
      </c>
      <c r="W617" s="50" t="s">
        <v>102</v>
      </c>
      <c r="X617" s="50" t="s">
        <v>275</v>
      </c>
      <c r="Z617" s="50" t="s">
        <v>12211</v>
      </c>
      <c r="AA617" s="50" t="s">
        <v>109</v>
      </c>
      <c r="AB617" s="50" t="s">
        <v>102</v>
      </c>
      <c r="AC617" s="50" t="s">
        <v>109</v>
      </c>
      <c r="AD617" s="50" t="s">
        <v>102</v>
      </c>
      <c r="AE617" s="50" t="s">
        <v>109</v>
      </c>
      <c r="AF617" s="50" t="s">
        <v>102</v>
      </c>
      <c r="AG617" s="50" t="s">
        <v>109</v>
      </c>
      <c r="AH617" s="50" t="s">
        <v>102</v>
      </c>
      <c r="AI617" s="50" t="s">
        <v>102</v>
      </c>
      <c r="AJ617" s="50" t="s">
        <v>11911</v>
      </c>
      <c r="AK617" s="50" t="s">
        <v>11911</v>
      </c>
      <c r="AL617" s="50" t="s">
        <v>20860</v>
      </c>
      <c r="AM617" s="50" t="s">
        <v>20861</v>
      </c>
      <c r="AN617" s="50" t="s">
        <v>20862</v>
      </c>
      <c r="AO617" s="50" t="s">
        <v>20863</v>
      </c>
      <c r="AP617" s="50" t="s">
        <v>20863</v>
      </c>
      <c r="AU617" s="50" t="s">
        <v>117</v>
      </c>
      <c r="AV617" s="50" t="s">
        <v>118</v>
      </c>
      <c r="AW617" s="50" t="s">
        <v>102</v>
      </c>
      <c r="AX617" s="50" t="s">
        <v>119</v>
      </c>
      <c r="BB617" s="50" t="s">
        <v>20864</v>
      </c>
      <c r="BC617" s="50" t="s">
        <v>1104</v>
      </c>
      <c r="BD617" s="50" t="s">
        <v>449</v>
      </c>
      <c r="BE617" s="50" t="s">
        <v>122</v>
      </c>
      <c r="BF617" s="50" t="s">
        <v>253</v>
      </c>
      <c r="BG617" s="50" t="s">
        <v>124</v>
      </c>
      <c r="BH617" s="50" t="s">
        <v>12023</v>
      </c>
      <c r="BI617" s="50" t="s">
        <v>11889</v>
      </c>
      <c r="BJ617" s="50" t="s">
        <v>127</v>
      </c>
      <c r="BK617" s="50" t="s">
        <v>20865</v>
      </c>
      <c r="BL617" s="50" t="s">
        <v>20866</v>
      </c>
      <c r="BM617" s="50" t="s">
        <v>20867</v>
      </c>
      <c r="BN617" s="50" t="s">
        <v>12211</v>
      </c>
      <c r="BO617" s="50" t="s">
        <v>10675</v>
      </c>
      <c r="BP617" s="50" t="s">
        <v>350</v>
      </c>
      <c r="BQ617" s="50" t="s">
        <v>10676</v>
      </c>
      <c r="BR617" s="50" t="s">
        <v>10677</v>
      </c>
      <c r="BS617" s="50" t="s">
        <v>10678</v>
      </c>
      <c r="BU617" s="50" t="s">
        <v>20868</v>
      </c>
      <c r="BV617" s="50" t="s">
        <v>20869</v>
      </c>
      <c r="BW617" s="50" t="s">
        <v>138</v>
      </c>
      <c r="BX617" s="50" t="s">
        <v>1997</v>
      </c>
      <c r="BY617" s="50" t="s">
        <v>20870</v>
      </c>
      <c r="BZ617" s="50" t="s">
        <v>20871</v>
      </c>
      <c r="CA617" s="50" t="s">
        <v>20869</v>
      </c>
      <c r="CB617" s="50" t="s">
        <v>1997</v>
      </c>
      <c r="CC617" s="50" t="s">
        <v>20870</v>
      </c>
      <c r="CD617" s="50" t="s">
        <v>20869</v>
      </c>
      <c r="CE617" s="50" t="s">
        <v>1997</v>
      </c>
      <c r="CF617" s="50" t="s">
        <v>20870</v>
      </c>
      <c r="CG617" s="50" t="s">
        <v>11377</v>
      </c>
      <c r="CH617" s="50" t="s">
        <v>20872</v>
      </c>
      <c r="CJ617" s="50" t="s">
        <v>10687</v>
      </c>
      <c r="CK617" s="50" t="s">
        <v>20872</v>
      </c>
      <c r="CL617" s="50" t="s">
        <v>1104</v>
      </c>
      <c r="CM617" s="50" t="s">
        <v>449</v>
      </c>
      <c r="CN617" s="50" t="s">
        <v>10687</v>
      </c>
      <c r="CP617" s="50" t="s">
        <v>20873</v>
      </c>
      <c r="CQ617" s="50" t="s">
        <v>20873</v>
      </c>
    </row>
    <row r="618" spans="1:96">
      <c r="A618" s="50" t="s">
        <v>149</v>
      </c>
      <c r="B618" s="50">
        <v>549920</v>
      </c>
      <c r="C618" s="50" t="s">
        <v>11882</v>
      </c>
      <c r="D618" s="50" t="s">
        <v>21092</v>
      </c>
      <c r="E618" s="50" t="e">
        <f>VLOOKUP(B618,aa!B:F,5,0)</f>
        <v>#N/A</v>
      </c>
      <c r="F618" s="50" t="e">
        <f>VLOOKUP(B618,aa!B:J,9,0)</f>
        <v>#N/A</v>
      </c>
      <c r="G618" s="50" t="e">
        <f>VLOOKUP(B618,aa!B:L,11,0)</f>
        <v>#N/A</v>
      </c>
      <c r="H618" s="50" t="e">
        <f>VLOOKUP(B618,aa!B:O,14,0)</f>
        <v>#N/A</v>
      </c>
      <c r="I618" s="50" t="e">
        <f>VLOOKUP(B618,aa!B:R,17,0)</f>
        <v>#N/A</v>
      </c>
      <c r="K618" s="50" t="s">
        <v>97</v>
      </c>
      <c r="L618" s="50">
        <v>267183</v>
      </c>
      <c r="M618" s="50">
        <v>267183</v>
      </c>
      <c r="N618" s="50">
        <v>267183</v>
      </c>
      <c r="O618" s="50">
        <v>334</v>
      </c>
      <c r="P618" s="50" t="s">
        <v>1297</v>
      </c>
      <c r="Q618" s="50">
        <v>0</v>
      </c>
      <c r="R618" s="50">
        <v>0</v>
      </c>
      <c r="T618" s="50">
        <v>0</v>
      </c>
      <c r="U618" s="50">
        <v>0</v>
      </c>
      <c r="W618" s="50" t="s">
        <v>102</v>
      </c>
      <c r="X618" s="50" t="s">
        <v>103</v>
      </c>
      <c r="Y618" s="50" t="s">
        <v>104</v>
      </c>
      <c r="AA618" s="50" t="s">
        <v>12975</v>
      </c>
      <c r="AB618" s="50" t="s">
        <v>21093</v>
      </c>
      <c r="AC618" s="50" t="s">
        <v>11886</v>
      </c>
      <c r="AD618" s="50" t="s">
        <v>21093</v>
      </c>
      <c r="AE618" s="50" t="s">
        <v>109</v>
      </c>
      <c r="AF618" s="50" t="s">
        <v>102</v>
      </c>
      <c r="AG618" s="50" t="s">
        <v>109</v>
      </c>
      <c r="AH618" s="50" t="s">
        <v>102</v>
      </c>
      <c r="AI618" s="50" t="s">
        <v>21094</v>
      </c>
      <c r="AJ618" s="50" t="s">
        <v>12728</v>
      </c>
      <c r="AK618" s="50" t="s">
        <v>12728</v>
      </c>
      <c r="AL618" s="50" t="s">
        <v>21095</v>
      </c>
      <c r="AM618" s="50" t="s">
        <v>21096</v>
      </c>
      <c r="AN618" s="50" t="s">
        <v>21097</v>
      </c>
      <c r="AO618" s="50" t="s">
        <v>1304</v>
      </c>
      <c r="AP618" s="50" t="s">
        <v>1304</v>
      </c>
      <c r="AU618" s="50" t="s">
        <v>117</v>
      </c>
      <c r="AV618" s="50" t="s">
        <v>118</v>
      </c>
      <c r="AW618" s="50" t="s">
        <v>102</v>
      </c>
      <c r="AX618" s="50" t="s">
        <v>119</v>
      </c>
      <c r="BB618" s="50" t="s">
        <v>120</v>
      </c>
      <c r="BC618" s="50" t="s">
        <v>1407</v>
      </c>
      <c r="BD618" s="50" t="s">
        <v>449</v>
      </c>
      <c r="BE618" s="50" t="s">
        <v>122</v>
      </c>
      <c r="BF618" s="50" t="s">
        <v>450</v>
      </c>
      <c r="BG618" s="50" t="s">
        <v>124</v>
      </c>
      <c r="BH618" s="50" t="s">
        <v>11888</v>
      </c>
      <c r="BI618" s="50" t="s">
        <v>11889</v>
      </c>
      <c r="BJ618" s="50" t="s">
        <v>127</v>
      </c>
      <c r="BK618" s="50" t="s">
        <v>21098</v>
      </c>
      <c r="BL618" s="50" t="s">
        <v>11079</v>
      </c>
      <c r="BM618" s="50" t="s">
        <v>21099</v>
      </c>
      <c r="BN618" s="50" t="s">
        <v>12211</v>
      </c>
      <c r="BO618" s="50" t="s">
        <v>3267</v>
      </c>
      <c r="BP618" s="50" t="s">
        <v>350</v>
      </c>
      <c r="BQ618" s="50" t="s">
        <v>3268</v>
      </c>
      <c r="BR618" s="50" t="s">
        <v>3269</v>
      </c>
      <c r="BS618" s="50" t="s">
        <v>135</v>
      </c>
      <c r="BU618" s="50" t="s">
        <v>21100</v>
      </c>
      <c r="BV618" s="50" t="s">
        <v>11893</v>
      </c>
      <c r="BW618" s="50" t="s">
        <v>598</v>
      </c>
      <c r="BX618" s="50" t="s">
        <v>7967</v>
      </c>
      <c r="BY618" s="50" t="s">
        <v>11894</v>
      </c>
      <c r="BZ618" s="50" t="s">
        <v>11085</v>
      </c>
      <c r="CA618" s="50" t="s">
        <v>21101</v>
      </c>
      <c r="CB618" s="50" t="s">
        <v>21102</v>
      </c>
      <c r="CC618" s="50" t="s">
        <v>11894</v>
      </c>
      <c r="CD618" s="50" t="s">
        <v>11893</v>
      </c>
      <c r="CE618" s="50" t="s">
        <v>7967</v>
      </c>
      <c r="CF618" s="50" t="s">
        <v>11894</v>
      </c>
      <c r="CG618" s="50" t="s">
        <v>3251</v>
      </c>
      <c r="CH618" s="50" t="s">
        <v>21103</v>
      </c>
      <c r="CJ618" s="50" t="s">
        <v>1419</v>
      </c>
      <c r="CL618" s="50" t="s">
        <v>1407</v>
      </c>
      <c r="CM618" s="50" t="s">
        <v>449</v>
      </c>
      <c r="CN618" s="50" t="s">
        <v>1419</v>
      </c>
      <c r="CO618" s="50" t="s">
        <v>11090</v>
      </c>
      <c r="CP618" s="50" t="s">
        <v>11089</v>
      </c>
      <c r="CQ618" s="50" t="s">
        <v>11089</v>
      </c>
    </row>
    <row r="619" spans="1:96">
      <c r="A619" s="50" t="s">
        <v>337</v>
      </c>
      <c r="B619" s="50">
        <v>5103484</v>
      </c>
      <c r="C619" s="50" t="s">
        <v>2151</v>
      </c>
      <c r="D619" s="50" t="s">
        <v>20909</v>
      </c>
      <c r="E619" s="50" t="str">
        <f>VLOOKUP(B619,aa!B:F,5,0)</f>
        <v>Ei Mindspark</v>
      </c>
      <c r="F619" s="50">
        <f>VLOOKUP(B619,aa!B:J,9,0)</f>
        <v>406759</v>
      </c>
      <c r="G619" s="50">
        <f>VLOOKUP(B619,aa!B:L,11,0)</f>
        <v>0</v>
      </c>
      <c r="H619" s="50">
        <f>VLOOKUP(B619,aa!B:O,14,0)</f>
        <v>0</v>
      </c>
      <c r="I619" s="50">
        <f>VLOOKUP(B619,aa!B:R,17,0)</f>
        <v>406759</v>
      </c>
      <c r="K619" s="50" t="s">
        <v>193</v>
      </c>
      <c r="L619" s="50">
        <v>81000</v>
      </c>
      <c r="M619" s="50">
        <v>81000</v>
      </c>
      <c r="N619" s="50">
        <v>81000</v>
      </c>
      <c r="O619" s="50">
        <v>90</v>
      </c>
      <c r="P619" s="50" t="s">
        <v>2451</v>
      </c>
      <c r="Q619" s="50">
        <v>0</v>
      </c>
      <c r="R619" s="50">
        <v>0</v>
      </c>
      <c r="T619" s="50">
        <v>0</v>
      </c>
      <c r="U619" s="50">
        <v>120</v>
      </c>
      <c r="V619" s="50" t="s">
        <v>102</v>
      </c>
      <c r="W619" s="50" t="s">
        <v>102</v>
      </c>
      <c r="X619" s="50" t="s">
        <v>275</v>
      </c>
      <c r="Z619" s="50" t="s">
        <v>20910</v>
      </c>
      <c r="AA619" s="50" t="s">
        <v>109</v>
      </c>
      <c r="AB619" s="50" t="s">
        <v>102</v>
      </c>
      <c r="AC619" s="50" t="s">
        <v>109</v>
      </c>
      <c r="AD619" s="50" t="s">
        <v>102</v>
      </c>
      <c r="AE619" s="50" t="s">
        <v>109</v>
      </c>
      <c r="AF619" s="50" t="s">
        <v>102</v>
      </c>
      <c r="AG619" s="50" t="s">
        <v>109</v>
      </c>
      <c r="AH619" s="50" t="s">
        <v>102</v>
      </c>
      <c r="AI619" s="50" t="s">
        <v>102</v>
      </c>
      <c r="AJ619" s="50" t="s">
        <v>13242</v>
      </c>
      <c r="AK619" s="50" t="s">
        <v>13242</v>
      </c>
      <c r="AL619" s="50" t="s">
        <v>20911</v>
      </c>
      <c r="AM619" s="50" t="s">
        <v>20912</v>
      </c>
      <c r="AN619" s="50" t="s">
        <v>20913</v>
      </c>
      <c r="AO619" s="50" t="s">
        <v>19346</v>
      </c>
      <c r="AP619" s="50" t="s">
        <v>19346</v>
      </c>
      <c r="AU619" s="50" t="s">
        <v>207</v>
      </c>
      <c r="AV619" s="50" t="s">
        <v>118</v>
      </c>
      <c r="AW619" s="50" t="s">
        <v>102</v>
      </c>
      <c r="AX619" s="50" t="s">
        <v>119</v>
      </c>
      <c r="BA619" s="50" t="s">
        <v>250</v>
      </c>
      <c r="BB619" s="50" t="s">
        <v>20914</v>
      </c>
      <c r="BC619" s="50" t="s">
        <v>920</v>
      </c>
      <c r="BD619" s="50" t="s">
        <v>211</v>
      </c>
      <c r="BE619" s="50" t="s">
        <v>212</v>
      </c>
      <c r="BF619" s="50" t="s">
        <v>213</v>
      </c>
      <c r="BG619" s="50" t="s">
        <v>124</v>
      </c>
      <c r="BH619" s="50" t="s">
        <v>20910</v>
      </c>
      <c r="BI619" s="50" t="s">
        <v>12435</v>
      </c>
      <c r="BJ619" s="50" t="s">
        <v>127</v>
      </c>
      <c r="BK619" s="50" t="s">
        <v>20915</v>
      </c>
      <c r="BL619" s="50" t="s">
        <v>20916</v>
      </c>
      <c r="BM619" s="50" t="s">
        <v>20917</v>
      </c>
      <c r="BN619" s="50" t="s">
        <v>20910</v>
      </c>
      <c r="BO619" s="50" t="s">
        <v>1309</v>
      </c>
      <c r="BP619" s="50" t="s">
        <v>180</v>
      </c>
      <c r="BQ619" s="50" t="s">
        <v>1310</v>
      </c>
      <c r="BR619" s="50" t="s">
        <v>1311</v>
      </c>
      <c r="BS619" s="50" t="s">
        <v>1312</v>
      </c>
      <c r="BU619" s="50" t="s">
        <v>20918</v>
      </c>
      <c r="BV619" s="50" t="s">
        <v>20919</v>
      </c>
      <c r="BW619" s="50" t="s">
        <v>9184</v>
      </c>
      <c r="BX619" s="50" t="s">
        <v>20920</v>
      </c>
      <c r="BY619" s="50" t="s">
        <v>20921</v>
      </c>
      <c r="BZ619" s="50" t="s">
        <v>20922</v>
      </c>
      <c r="CA619" s="50" t="s">
        <v>20919</v>
      </c>
      <c r="CB619" s="50" t="s">
        <v>20922</v>
      </c>
      <c r="CC619" s="50" t="s">
        <v>20923</v>
      </c>
      <c r="CD619" s="50" t="s">
        <v>20919</v>
      </c>
      <c r="CE619" s="50" t="s">
        <v>20922</v>
      </c>
      <c r="CF619" s="50" t="s">
        <v>20923</v>
      </c>
      <c r="CG619" s="50" t="s">
        <v>5007</v>
      </c>
      <c r="CH619" s="50" t="s">
        <v>20924</v>
      </c>
      <c r="CJ619" s="50" t="s">
        <v>932</v>
      </c>
      <c r="CK619" s="50" t="s">
        <v>20924</v>
      </c>
      <c r="CL619" s="50" t="s">
        <v>920</v>
      </c>
      <c r="CM619" s="50" t="s">
        <v>211</v>
      </c>
      <c r="CN619" s="50" t="s">
        <v>932</v>
      </c>
      <c r="CP619" s="50" t="s">
        <v>20925</v>
      </c>
      <c r="CQ619" s="50" t="s">
        <v>20925</v>
      </c>
    </row>
    <row r="620" spans="1:96">
      <c r="A620" s="50" t="s">
        <v>337</v>
      </c>
      <c r="B620" s="50">
        <v>4007320</v>
      </c>
      <c r="C620" s="50" t="s">
        <v>985</v>
      </c>
      <c r="D620" s="50" t="s">
        <v>17957</v>
      </c>
      <c r="E620" s="50" t="e">
        <f>VLOOKUP(B620,aa!B:F,5,0)</f>
        <v>#N/A</v>
      </c>
      <c r="F620" s="50" t="e">
        <f>VLOOKUP(B620,aa!B:J,9,0)</f>
        <v>#N/A</v>
      </c>
      <c r="G620" s="50" t="e">
        <f>VLOOKUP(B620,aa!B:L,11,0)</f>
        <v>#N/A</v>
      </c>
      <c r="H620" s="50" t="e">
        <f>VLOOKUP(B620,aa!B:O,14,0)</f>
        <v>#N/A</v>
      </c>
      <c r="I620" s="50" t="e">
        <f>VLOOKUP(B620,aa!B:R,17,0)</f>
        <v>#N/A</v>
      </c>
      <c r="K620" s="50" t="s">
        <v>152</v>
      </c>
      <c r="L620" s="50">
        <v>41998</v>
      </c>
      <c r="M620" s="50">
        <v>41998</v>
      </c>
      <c r="N620" s="50">
        <v>0</v>
      </c>
      <c r="O620" s="50">
        <v>0</v>
      </c>
      <c r="Q620" s="50">
        <v>41998</v>
      </c>
      <c r="R620" s="50">
        <v>61</v>
      </c>
      <c r="S620" s="50" t="s">
        <v>1750</v>
      </c>
      <c r="T620" s="50">
        <v>0</v>
      </c>
      <c r="U620" s="50">
        <v>0</v>
      </c>
      <c r="W620" s="50" t="s">
        <v>102</v>
      </c>
      <c r="X620" s="50" t="s">
        <v>275</v>
      </c>
      <c r="Z620" s="50" t="s">
        <v>15933</v>
      </c>
      <c r="AA620" s="50" t="s">
        <v>109</v>
      </c>
      <c r="AB620" s="50" t="s">
        <v>102</v>
      </c>
      <c r="AC620" s="50" t="s">
        <v>109</v>
      </c>
      <c r="AD620" s="50" t="s">
        <v>102</v>
      </c>
      <c r="AE620" s="50" t="s">
        <v>109</v>
      </c>
      <c r="AF620" s="50" t="s">
        <v>102</v>
      </c>
      <c r="AG620" s="50" t="s">
        <v>109</v>
      </c>
      <c r="AH620" s="50" t="s">
        <v>102</v>
      </c>
      <c r="AI620" s="50" t="s">
        <v>102</v>
      </c>
      <c r="AJ620" s="50" t="s">
        <v>13302</v>
      </c>
      <c r="AK620" s="50" t="s">
        <v>13302</v>
      </c>
      <c r="AL620" s="50" t="s">
        <v>17958</v>
      </c>
      <c r="AM620" s="50" t="s">
        <v>8459</v>
      </c>
      <c r="AN620" s="50" t="s">
        <v>5926</v>
      </c>
      <c r="AO620" s="50" t="s">
        <v>17959</v>
      </c>
      <c r="AP620" s="50" t="s">
        <v>17959</v>
      </c>
      <c r="AU620" s="50" t="s">
        <v>102</v>
      </c>
      <c r="AW620" s="50" t="s">
        <v>102</v>
      </c>
      <c r="AX620" s="50" t="s">
        <v>119</v>
      </c>
      <c r="AY620" s="50" t="s">
        <v>170</v>
      </c>
      <c r="AZ620" s="50" t="s">
        <v>118</v>
      </c>
      <c r="BB620" s="50" t="s">
        <v>209</v>
      </c>
      <c r="BC620" s="50" t="s">
        <v>2127</v>
      </c>
      <c r="BD620" s="50" t="s">
        <v>621</v>
      </c>
      <c r="BE620" s="50" t="s">
        <v>622</v>
      </c>
      <c r="BF620" s="50" t="s">
        <v>976</v>
      </c>
      <c r="BG620" s="50" t="s">
        <v>124</v>
      </c>
      <c r="BH620" s="50" t="s">
        <v>14415</v>
      </c>
      <c r="BI620" s="50" t="s">
        <v>11889</v>
      </c>
      <c r="BJ620" s="50" t="s">
        <v>127</v>
      </c>
      <c r="BK620" s="50" t="s">
        <v>17960</v>
      </c>
      <c r="BL620" s="50" t="s">
        <v>17961</v>
      </c>
      <c r="BM620" s="50" t="s">
        <v>17962</v>
      </c>
      <c r="BN620" s="50" t="s">
        <v>3849</v>
      </c>
      <c r="BO620" s="50" t="s">
        <v>13638</v>
      </c>
      <c r="BP620" s="50" t="s">
        <v>505</v>
      </c>
      <c r="BQ620" s="50" t="s">
        <v>13639</v>
      </c>
      <c r="BR620" s="50" t="s">
        <v>13640</v>
      </c>
      <c r="BS620" s="50" t="s">
        <v>2847</v>
      </c>
      <c r="BU620" s="50" t="s">
        <v>17963</v>
      </c>
      <c r="BV620" s="50" t="s">
        <v>17964</v>
      </c>
      <c r="BW620" s="50" t="s">
        <v>138</v>
      </c>
      <c r="BX620" s="50" t="s">
        <v>17965</v>
      </c>
      <c r="BY620" s="50" t="s">
        <v>17966</v>
      </c>
      <c r="BZ620" s="50" t="s">
        <v>17965</v>
      </c>
      <c r="CA620" s="50" t="s">
        <v>17964</v>
      </c>
      <c r="CB620" s="50" t="s">
        <v>17965</v>
      </c>
      <c r="CC620" s="50" t="s">
        <v>17966</v>
      </c>
      <c r="CD620" s="50" t="s">
        <v>17967</v>
      </c>
      <c r="CE620" s="50" t="s">
        <v>17965</v>
      </c>
      <c r="CF620" s="50" t="s">
        <v>17968</v>
      </c>
      <c r="CG620" s="50" t="s">
        <v>10117</v>
      </c>
      <c r="CH620" s="50" t="s">
        <v>17969</v>
      </c>
      <c r="CJ620" s="50" t="s">
        <v>8655</v>
      </c>
      <c r="CK620" s="50" t="s">
        <v>17970</v>
      </c>
      <c r="CL620" s="50" t="s">
        <v>2127</v>
      </c>
      <c r="CM620" s="50" t="s">
        <v>621</v>
      </c>
      <c r="CN620" s="50" t="s">
        <v>8655</v>
      </c>
      <c r="CP620" s="50" t="s">
        <v>17969</v>
      </c>
      <c r="CQ620" s="50" t="s">
        <v>17969</v>
      </c>
    </row>
    <row r="621" spans="1:96">
      <c r="A621" s="50" t="s">
        <v>337</v>
      </c>
      <c r="B621" s="50">
        <v>4129415</v>
      </c>
      <c r="C621" s="50" t="s">
        <v>384</v>
      </c>
      <c r="D621" s="50" t="s">
        <v>18149</v>
      </c>
      <c r="E621" s="50" t="str">
        <f>VLOOKUP(B621,aa!B:F,5,0)</f>
        <v>Ei Mindspark</v>
      </c>
      <c r="F621" s="50">
        <f>VLOOKUP(B621,aa!B:J,9,0)</f>
        <v>358492</v>
      </c>
      <c r="G621" s="50">
        <f>VLOOKUP(B621,aa!B:L,11,0)</f>
        <v>0</v>
      </c>
      <c r="H621" s="50">
        <f>VLOOKUP(B621,aa!B:O,14,0)</f>
        <v>0</v>
      </c>
      <c r="I621" s="50">
        <f>VLOOKUP(B621,aa!B:R,17,0)</f>
        <v>358492</v>
      </c>
      <c r="K621" s="50" t="s">
        <v>848</v>
      </c>
      <c r="L621" s="50">
        <v>48816</v>
      </c>
      <c r="M621" s="50">
        <v>57603</v>
      </c>
      <c r="N621" s="50">
        <v>0</v>
      </c>
      <c r="O621" s="50">
        <v>0</v>
      </c>
      <c r="Q621" s="50">
        <v>0</v>
      </c>
      <c r="R621" s="50">
        <v>0</v>
      </c>
      <c r="T621" s="50">
        <v>48816</v>
      </c>
      <c r="U621" s="50">
        <v>192</v>
      </c>
      <c r="V621" s="50" t="s">
        <v>18150</v>
      </c>
      <c r="W621" s="50" t="s">
        <v>102</v>
      </c>
      <c r="X621" s="50" t="s">
        <v>275</v>
      </c>
      <c r="Z621" s="50" t="s">
        <v>11886</v>
      </c>
      <c r="AA621" s="50" t="s">
        <v>109</v>
      </c>
      <c r="AB621" s="50" t="s">
        <v>102</v>
      </c>
      <c r="AC621" s="50" t="s">
        <v>109</v>
      </c>
      <c r="AD621" s="50" t="s">
        <v>102</v>
      </c>
      <c r="AE621" s="50" t="s">
        <v>109</v>
      </c>
      <c r="AF621" s="50" t="s">
        <v>102</v>
      </c>
      <c r="AG621" s="50" t="s">
        <v>109</v>
      </c>
      <c r="AH621" s="50" t="s">
        <v>102</v>
      </c>
      <c r="AI621" s="50" t="s">
        <v>102</v>
      </c>
      <c r="AJ621" s="50" t="s">
        <v>17126</v>
      </c>
      <c r="AK621" s="50" t="s">
        <v>17126</v>
      </c>
      <c r="AL621" s="50" t="s">
        <v>18151</v>
      </c>
      <c r="AM621" s="50" t="s">
        <v>1221</v>
      </c>
      <c r="AN621" s="50" t="s">
        <v>18152</v>
      </c>
      <c r="AO621" s="50" t="s">
        <v>18153</v>
      </c>
      <c r="AP621" s="50" t="s">
        <v>18153</v>
      </c>
      <c r="AU621" s="50" t="s">
        <v>102</v>
      </c>
      <c r="AW621" s="50" t="s">
        <v>102</v>
      </c>
      <c r="AX621" s="50" t="s">
        <v>119</v>
      </c>
      <c r="BA621" s="50" t="s">
        <v>250</v>
      </c>
      <c r="BB621" s="50" t="s">
        <v>120</v>
      </c>
      <c r="BC621" s="50" t="s">
        <v>18154</v>
      </c>
      <c r="BD621" s="50" t="s">
        <v>1171</v>
      </c>
      <c r="BE621" s="50" t="s">
        <v>174</v>
      </c>
      <c r="BF621" s="50" t="s">
        <v>1172</v>
      </c>
      <c r="BG621" s="50" t="s">
        <v>124</v>
      </c>
      <c r="BH621" s="50" t="s">
        <v>18155</v>
      </c>
      <c r="BI621" s="50" t="s">
        <v>11889</v>
      </c>
      <c r="BJ621" s="50" t="s">
        <v>127</v>
      </c>
      <c r="BK621" s="50" t="s">
        <v>18156</v>
      </c>
      <c r="BL621" s="50" t="s">
        <v>18157</v>
      </c>
      <c r="BM621" s="50" t="s">
        <v>18158</v>
      </c>
      <c r="BN621" s="50" t="s">
        <v>15933</v>
      </c>
      <c r="BO621" s="50" t="s">
        <v>5557</v>
      </c>
      <c r="BP621" s="50" t="s">
        <v>180</v>
      </c>
      <c r="BQ621" s="50" t="s">
        <v>5558</v>
      </c>
      <c r="BR621" s="50" t="s">
        <v>5559</v>
      </c>
      <c r="BS621" s="50" t="s">
        <v>5560</v>
      </c>
      <c r="BU621" s="50" t="s">
        <v>18159</v>
      </c>
      <c r="BV621" s="50" t="s">
        <v>18160</v>
      </c>
      <c r="BW621" s="50" t="s">
        <v>354</v>
      </c>
      <c r="BX621" s="50" t="s">
        <v>18161</v>
      </c>
      <c r="BY621" s="50" t="s">
        <v>18162</v>
      </c>
      <c r="BZ621" s="50" t="s">
        <v>18161</v>
      </c>
      <c r="CA621" s="50" t="s">
        <v>18163</v>
      </c>
      <c r="CB621" s="50" t="s">
        <v>18161</v>
      </c>
      <c r="CC621" s="50" t="s">
        <v>18162</v>
      </c>
      <c r="CD621" s="50" t="s">
        <v>18163</v>
      </c>
      <c r="CE621" s="50" t="s">
        <v>18161</v>
      </c>
      <c r="CF621" s="50" t="s">
        <v>18162</v>
      </c>
      <c r="CG621" s="50" t="s">
        <v>18164</v>
      </c>
      <c r="CH621" s="50" t="s">
        <v>18165</v>
      </c>
      <c r="CJ621" s="50" t="s">
        <v>18166</v>
      </c>
      <c r="CK621" s="50" t="s">
        <v>18165</v>
      </c>
      <c r="CL621" s="50" t="s">
        <v>18154</v>
      </c>
      <c r="CM621" s="50" t="s">
        <v>1171</v>
      </c>
      <c r="CN621" s="50" t="s">
        <v>18166</v>
      </c>
      <c r="CP621" s="50" t="s">
        <v>14774</v>
      </c>
      <c r="CQ621" s="50" t="s">
        <v>18167</v>
      </c>
    </row>
    <row r="622" spans="1:96">
      <c r="A622" s="50" t="s">
        <v>337</v>
      </c>
      <c r="B622" s="50">
        <v>5107064</v>
      </c>
      <c r="C622" s="50" t="s">
        <v>384</v>
      </c>
      <c r="D622" s="50" t="s">
        <v>20926</v>
      </c>
      <c r="E622" s="50" t="str">
        <f>VLOOKUP(B622,aa!B:F,5,0)</f>
        <v>Ei Mindspark</v>
      </c>
      <c r="F622" s="50">
        <f>VLOOKUP(B622,aa!B:J,9,0)</f>
        <v>273064</v>
      </c>
      <c r="G622" s="50">
        <f>VLOOKUP(B622,aa!B:L,11,0)</f>
        <v>0</v>
      </c>
      <c r="H622" s="50">
        <f>VLOOKUP(B622,aa!B:O,14,0)</f>
        <v>0</v>
      </c>
      <c r="I622" s="50">
        <f>VLOOKUP(B622,aa!B:R,17,0)</f>
        <v>273064</v>
      </c>
      <c r="K622" s="50" t="s">
        <v>848</v>
      </c>
      <c r="L622" s="50">
        <v>28730</v>
      </c>
      <c r="M622" s="50">
        <v>33901</v>
      </c>
      <c r="N622" s="50">
        <v>0</v>
      </c>
      <c r="O622" s="50">
        <v>0</v>
      </c>
      <c r="Q622" s="50">
        <v>0</v>
      </c>
      <c r="R622" s="50">
        <v>0</v>
      </c>
      <c r="T622" s="50">
        <v>28730</v>
      </c>
      <c r="U622" s="50">
        <v>113</v>
      </c>
      <c r="V622" s="50" t="s">
        <v>18150</v>
      </c>
      <c r="W622" s="50" t="s">
        <v>102</v>
      </c>
      <c r="X622" s="50" t="s">
        <v>275</v>
      </c>
      <c r="Z622" s="50" t="s">
        <v>11886</v>
      </c>
      <c r="AA622" s="50" t="s">
        <v>109</v>
      </c>
      <c r="AB622" s="50" t="s">
        <v>102</v>
      </c>
      <c r="AC622" s="50" t="s">
        <v>109</v>
      </c>
      <c r="AD622" s="50" t="s">
        <v>102</v>
      </c>
      <c r="AE622" s="50" t="s">
        <v>109</v>
      </c>
      <c r="AF622" s="50" t="s">
        <v>102</v>
      </c>
      <c r="AG622" s="50" t="s">
        <v>109</v>
      </c>
      <c r="AH622" s="50" t="s">
        <v>102</v>
      </c>
      <c r="AI622" s="50" t="s">
        <v>102</v>
      </c>
      <c r="AJ622" s="50" t="s">
        <v>17126</v>
      </c>
      <c r="AK622" s="50" t="s">
        <v>17126</v>
      </c>
      <c r="AL622" s="50" t="s">
        <v>20927</v>
      </c>
      <c r="AM622" s="50" t="s">
        <v>1221</v>
      </c>
      <c r="AN622" s="50" t="s">
        <v>20928</v>
      </c>
      <c r="AO622" s="50" t="s">
        <v>18153</v>
      </c>
      <c r="AP622" s="50" t="s">
        <v>18153</v>
      </c>
      <c r="AU622" s="50" t="s">
        <v>102</v>
      </c>
      <c r="AW622" s="50" t="s">
        <v>102</v>
      </c>
      <c r="AX622" s="50" t="s">
        <v>119</v>
      </c>
      <c r="BA622" s="50" t="s">
        <v>250</v>
      </c>
      <c r="BB622" s="50" t="s">
        <v>120</v>
      </c>
      <c r="BC622" s="50" t="s">
        <v>18154</v>
      </c>
      <c r="BD622" s="50" t="s">
        <v>1171</v>
      </c>
      <c r="BE622" s="50" t="s">
        <v>174</v>
      </c>
      <c r="BF622" s="50" t="s">
        <v>1172</v>
      </c>
      <c r="BG622" s="50" t="s">
        <v>124</v>
      </c>
      <c r="BH622" s="50" t="s">
        <v>18155</v>
      </c>
      <c r="BI622" s="50" t="s">
        <v>11889</v>
      </c>
      <c r="BJ622" s="50" t="s">
        <v>127</v>
      </c>
      <c r="BK622" s="50" t="s">
        <v>20929</v>
      </c>
      <c r="BL622" s="50" t="s">
        <v>20930</v>
      </c>
      <c r="BM622" s="50" t="s">
        <v>20931</v>
      </c>
      <c r="BN622" s="50" t="s">
        <v>15933</v>
      </c>
      <c r="BO622" s="50" t="s">
        <v>5557</v>
      </c>
      <c r="BP622" s="50" t="s">
        <v>180</v>
      </c>
      <c r="BQ622" s="50" t="s">
        <v>5558</v>
      </c>
      <c r="BR622" s="50" t="s">
        <v>5559</v>
      </c>
      <c r="BS622" s="50" t="s">
        <v>5560</v>
      </c>
      <c r="BU622" s="50" t="s">
        <v>20932</v>
      </c>
      <c r="BV622" s="50" t="s">
        <v>20933</v>
      </c>
      <c r="BW622" s="50" t="s">
        <v>354</v>
      </c>
      <c r="BX622" s="50" t="s">
        <v>18161</v>
      </c>
      <c r="BY622" s="50" t="s">
        <v>20934</v>
      </c>
      <c r="CA622" s="50" t="s">
        <v>20935</v>
      </c>
      <c r="CB622" s="50" t="s">
        <v>18161</v>
      </c>
      <c r="CC622" s="50" t="s">
        <v>18162</v>
      </c>
      <c r="CD622" s="50" t="s">
        <v>20935</v>
      </c>
      <c r="CE622" s="50" t="s">
        <v>18161</v>
      </c>
      <c r="CF622" s="50" t="s">
        <v>18162</v>
      </c>
      <c r="CG622" s="50" t="s">
        <v>102</v>
      </c>
      <c r="CH622" s="50" t="s">
        <v>20936</v>
      </c>
      <c r="CJ622" s="50" t="s">
        <v>20937</v>
      </c>
      <c r="CL622" s="50" t="s">
        <v>18154</v>
      </c>
      <c r="CM622" s="50" t="s">
        <v>1171</v>
      </c>
      <c r="CN622" s="50" t="s">
        <v>20937</v>
      </c>
      <c r="CP622" s="50" t="s">
        <v>20938</v>
      </c>
      <c r="CQ622" s="50" t="s">
        <v>20938</v>
      </c>
    </row>
    <row r="623" spans="1:96">
      <c r="A623" s="50" t="s">
        <v>337</v>
      </c>
      <c r="B623" s="50">
        <v>5018337</v>
      </c>
      <c r="C623" s="50" t="s">
        <v>293</v>
      </c>
      <c r="D623" s="50" t="s">
        <v>19626</v>
      </c>
      <c r="E623" s="50" t="str">
        <f>VLOOKUP(B623,aa!B:F,5,0)</f>
        <v>Ei CARES</v>
      </c>
      <c r="F623" s="50">
        <f>VLOOKUP(B623,aa!B:J,9,0)</f>
        <v>1000314</v>
      </c>
      <c r="G623" s="50">
        <f>VLOOKUP(B623,aa!B:L,11,0)</f>
        <v>0</v>
      </c>
      <c r="H623" s="50">
        <f>VLOOKUP(B623,aa!B:O,14,0)</f>
        <v>1000314</v>
      </c>
      <c r="I623" s="50">
        <f>VLOOKUP(B623,aa!B:R,17,0)</f>
        <v>0</v>
      </c>
      <c r="K623" s="50" t="s">
        <v>152</v>
      </c>
      <c r="L623" s="50">
        <v>909207</v>
      </c>
      <c r="M623" s="50">
        <v>909207</v>
      </c>
      <c r="N623" s="50">
        <v>0</v>
      </c>
      <c r="O623" s="50">
        <v>0</v>
      </c>
      <c r="Q623" s="50">
        <v>909207</v>
      </c>
      <c r="R623" s="50">
        <v>505</v>
      </c>
      <c r="S623" s="50" t="s">
        <v>3005</v>
      </c>
      <c r="T623" s="50">
        <v>0</v>
      </c>
      <c r="U623" s="50">
        <v>0</v>
      </c>
      <c r="W623" s="50" t="s">
        <v>102</v>
      </c>
      <c r="X623" s="50" t="s">
        <v>103</v>
      </c>
      <c r="Y623" s="50" t="s">
        <v>155</v>
      </c>
      <c r="AA623" s="50" t="s">
        <v>11959</v>
      </c>
      <c r="AB623" s="50" t="s">
        <v>19627</v>
      </c>
      <c r="AC623" s="50" t="s">
        <v>5651</v>
      </c>
      <c r="AD623" s="50" t="s">
        <v>19627</v>
      </c>
      <c r="AE623" s="50" t="s">
        <v>12327</v>
      </c>
      <c r="AF623" s="50" t="s">
        <v>19627</v>
      </c>
      <c r="AG623" s="50" t="s">
        <v>12084</v>
      </c>
      <c r="AH623" s="50" t="s">
        <v>19627</v>
      </c>
      <c r="AI623" s="50" t="s">
        <v>102</v>
      </c>
      <c r="AL623" s="50" t="s">
        <v>19628</v>
      </c>
      <c r="AM623" s="50" t="s">
        <v>102</v>
      </c>
      <c r="AN623" s="50" t="s">
        <v>19628</v>
      </c>
      <c r="AO623" s="50" t="s">
        <v>19629</v>
      </c>
      <c r="AP623" s="50" t="s">
        <v>19629</v>
      </c>
      <c r="AU623" s="50" t="s">
        <v>102</v>
      </c>
      <c r="AW623" s="50" t="s">
        <v>155</v>
      </c>
      <c r="AX623" s="50" t="s">
        <v>447</v>
      </c>
      <c r="AY623" s="50" t="s">
        <v>1138</v>
      </c>
      <c r="AZ623" s="50" t="s">
        <v>118</v>
      </c>
      <c r="BA623" s="50" t="s">
        <v>208</v>
      </c>
      <c r="BB623" s="50" t="s">
        <v>1964</v>
      </c>
      <c r="BC623" s="50" t="s">
        <v>7718</v>
      </c>
      <c r="BD623" s="50" t="s">
        <v>211</v>
      </c>
      <c r="BE623" s="50" t="s">
        <v>212</v>
      </c>
      <c r="BF623" s="50" t="s">
        <v>213</v>
      </c>
      <c r="BG623" s="50" t="s">
        <v>124</v>
      </c>
      <c r="BH623" s="50" t="s">
        <v>13680</v>
      </c>
      <c r="BI623" s="50" t="s">
        <v>11960</v>
      </c>
      <c r="BJ623" s="50" t="s">
        <v>127</v>
      </c>
      <c r="BK623" s="50" t="s">
        <v>19630</v>
      </c>
      <c r="BL623" s="50" t="s">
        <v>19631</v>
      </c>
      <c r="BM623" s="50" t="s">
        <v>19632</v>
      </c>
      <c r="BN623" s="50" t="s">
        <v>17126</v>
      </c>
      <c r="BO623" s="50" t="s">
        <v>19633</v>
      </c>
      <c r="BP623" s="50" t="s">
        <v>505</v>
      </c>
      <c r="BQ623" s="50" t="s">
        <v>19634</v>
      </c>
      <c r="BR623" s="50" t="s">
        <v>19635</v>
      </c>
      <c r="BS623" s="50" t="s">
        <v>2463</v>
      </c>
      <c r="BU623" s="50" t="s">
        <v>19636</v>
      </c>
      <c r="BV623" s="50" t="s">
        <v>19637</v>
      </c>
      <c r="BW623" s="50" t="s">
        <v>598</v>
      </c>
      <c r="BX623" s="50" t="s">
        <v>225</v>
      </c>
      <c r="BY623" s="50" t="s">
        <v>19638</v>
      </c>
      <c r="BZ623" s="50" t="s">
        <v>19639</v>
      </c>
      <c r="CA623" s="50" t="s">
        <v>19640</v>
      </c>
      <c r="CB623" s="50" t="s">
        <v>225</v>
      </c>
      <c r="CC623" s="50" t="s">
        <v>19638</v>
      </c>
      <c r="CD623" s="50" t="s">
        <v>19641</v>
      </c>
      <c r="CE623" s="50" t="s">
        <v>225</v>
      </c>
      <c r="CF623" s="50" t="s">
        <v>19642</v>
      </c>
      <c r="CG623" s="50" t="s">
        <v>9458</v>
      </c>
      <c r="CH623" s="50" t="s">
        <v>19643</v>
      </c>
      <c r="CJ623" s="50" t="s">
        <v>19644</v>
      </c>
      <c r="CK623" s="50" t="s">
        <v>19645</v>
      </c>
      <c r="CL623" s="50" t="s">
        <v>7718</v>
      </c>
      <c r="CM623" s="50" t="s">
        <v>211</v>
      </c>
      <c r="CN623" s="50" t="s">
        <v>19644</v>
      </c>
      <c r="CP623" s="50" t="s">
        <v>19643</v>
      </c>
      <c r="CQ623" s="50" t="s">
        <v>19643</v>
      </c>
    </row>
    <row r="624" spans="1:96">
      <c r="A624" s="50" t="s">
        <v>337</v>
      </c>
      <c r="B624" s="50">
        <v>3996253</v>
      </c>
      <c r="C624" s="50" t="s">
        <v>11995</v>
      </c>
      <c r="D624" s="50" t="s">
        <v>17677</v>
      </c>
      <c r="E624" s="50" t="e">
        <f>VLOOKUP(B624,aa!B:F,5,0)</f>
        <v>#N/A</v>
      </c>
      <c r="F624" s="50" t="e">
        <f>VLOOKUP(B624,aa!B:J,9,0)</f>
        <v>#N/A</v>
      </c>
      <c r="G624" s="50" t="e">
        <f>VLOOKUP(B624,aa!B:L,11,0)</f>
        <v>#N/A</v>
      </c>
      <c r="H624" s="50" t="e">
        <f>VLOOKUP(B624,aa!B:O,14,0)</f>
        <v>#N/A</v>
      </c>
      <c r="I624" s="50" t="e">
        <f>VLOOKUP(B624,aa!B:R,17,0)</f>
        <v>#N/A</v>
      </c>
      <c r="K624" s="50" t="s">
        <v>97</v>
      </c>
      <c r="L624" s="50">
        <v>226500</v>
      </c>
      <c r="M624" s="50">
        <v>226500</v>
      </c>
      <c r="N624" s="50">
        <v>226500</v>
      </c>
      <c r="O624" s="50">
        <v>302</v>
      </c>
      <c r="P624" s="50" t="s">
        <v>101</v>
      </c>
      <c r="Q624" s="50">
        <v>0</v>
      </c>
      <c r="R624" s="50">
        <v>0</v>
      </c>
      <c r="T624" s="50">
        <v>0</v>
      </c>
      <c r="U624" s="50">
        <v>0</v>
      </c>
      <c r="W624" s="50" t="s">
        <v>102</v>
      </c>
      <c r="X624" s="50" t="s">
        <v>103</v>
      </c>
      <c r="Y624" s="50" t="s">
        <v>104</v>
      </c>
      <c r="AA624" s="50" t="s">
        <v>12430</v>
      </c>
      <c r="AB624" s="50" t="s">
        <v>17678</v>
      </c>
      <c r="AC624" s="50" t="s">
        <v>11886</v>
      </c>
      <c r="AD624" s="50" t="s">
        <v>17678</v>
      </c>
      <c r="AE624" s="50" t="s">
        <v>109</v>
      </c>
      <c r="AF624" s="50" t="s">
        <v>102</v>
      </c>
      <c r="AG624" s="50" t="s">
        <v>109</v>
      </c>
      <c r="AH624" s="50" t="s">
        <v>102</v>
      </c>
      <c r="AI624" s="50" t="s">
        <v>102</v>
      </c>
      <c r="AL624" s="50" t="s">
        <v>17679</v>
      </c>
      <c r="AM624" s="50" t="s">
        <v>102</v>
      </c>
      <c r="AN624" s="50" t="s">
        <v>17679</v>
      </c>
      <c r="AO624" s="50" t="s">
        <v>116</v>
      </c>
      <c r="AP624" s="50" t="s">
        <v>116</v>
      </c>
      <c r="AU624" s="50" t="s">
        <v>117</v>
      </c>
      <c r="AV624" s="50" t="s">
        <v>118</v>
      </c>
      <c r="AW624" s="50" t="s">
        <v>102</v>
      </c>
      <c r="AX624" s="50" t="s">
        <v>119</v>
      </c>
      <c r="BB624" s="50" t="s">
        <v>120</v>
      </c>
      <c r="BC624" s="50" t="s">
        <v>17680</v>
      </c>
      <c r="BD624" s="50" t="s">
        <v>6390</v>
      </c>
      <c r="BE624" s="50" t="s">
        <v>212</v>
      </c>
      <c r="BF624" s="50" t="s">
        <v>286</v>
      </c>
      <c r="BG624" s="50" t="s">
        <v>124</v>
      </c>
      <c r="BH624" s="50" t="s">
        <v>12430</v>
      </c>
      <c r="BI624" s="50" t="s">
        <v>12047</v>
      </c>
      <c r="BJ624" s="50" t="s">
        <v>127</v>
      </c>
      <c r="BK624" s="50" t="s">
        <v>17681</v>
      </c>
      <c r="BL624" s="50" t="s">
        <v>17682</v>
      </c>
      <c r="BM624" s="50" t="s">
        <v>17683</v>
      </c>
      <c r="BN624" s="50" t="s">
        <v>12430</v>
      </c>
      <c r="BO624" s="50" t="s">
        <v>17684</v>
      </c>
      <c r="BP624" s="50" t="s">
        <v>132</v>
      </c>
      <c r="BQ624" s="50" t="s">
        <v>17685</v>
      </c>
      <c r="BR624" s="50" t="s">
        <v>17686</v>
      </c>
      <c r="BS624" s="50" t="s">
        <v>17687</v>
      </c>
      <c r="BU624" s="50" t="s">
        <v>17688</v>
      </c>
      <c r="BV624" s="50" t="s">
        <v>17689</v>
      </c>
      <c r="BW624" s="50" t="s">
        <v>354</v>
      </c>
      <c r="BX624" s="50" t="s">
        <v>17690</v>
      </c>
      <c r="BY624" s="50" t="s">
        <v>17691</v>
      </c>
      <c r="BZ624" s="50" t="s">
        <v>17692</v>
      </c>
      <c r="CA624" s="50" t="s">
        <v>17693</v>
      </c>
      <c r="CB624" s="50" t="s">
        <v>17690</v>
      </c>
      <c r="CC624" s="50" t="s">
        <v>17694</v>
      </c>
      <c r="CD624" s="50" t="s">
        <v>17693</v>
      </c>
      <c r="CE624" s="50" t="s">
        <v>17690</v>
      </c>
      <c r="CF624" s="50" t="s">
        <v>17694</v>
      </c>
      <c r="CG624" s="50" t="s">
        <v>6401</v>
      </c>
      <c r="CH624" s="50" t="s">
        <v>17695</v>
      </c>
      <c r="CJ624" s="50" t="s">
        <v>17696</v>
      </c>
      <c r="CK624" s="50" t="s">
        <v>17695</v>
      </c>
      <c r="CL624" s="50" t="s">
        <v>17680</v>
      </c>
      <c r="CM624" s="50" t="s">
        <v>6390</v>
      </c>
      <c r="CN624" s="50" t="s">
        <v>17696</v>
      </c>
      <c r="CP624" s="50" t="s">
        <v>17695</v>
      </c>
      <c r="CQ624" s="50" t="s">
        <v>17695</v>
      </c>
      <c r="CR624" s="50" t="s">
        <v>26049</v>
      </c>
    </row>
    <row r="625" spans="1:96">
      <c r="A625" s="50" t="s">
        <v>337</v>
      </c>
      <c r="B625" s="50">
        <v>2509933</v>
      </c>
      <c r="C625" s="50" t="s">
        <v>13158</v>
      </c>
      <c r="D625" s="50" t="s">
        <v>3879</v>
      </c>
      <c r="E625" s="50" t="e">
        <f>VLOOKUP(B625,aa!B:F,5,0)</f>
        <v>#N/A</v>
      </c>
      <c r="F625" s="50" t="e">
        <f>VLOOKUP(B625,aa!B:J,9,0)</f>
        <v>#N/A</v>
      </c>
      <c r="G625" s="50" t="e">
        <f>VLOOKUP(B625,aa!B:L,11,0)</f>
        <v>#N/A</v>
      </c>
      <c r="H625" s="50" t="e">
        <f>VLOOKUP(B625,aa!B:O,14,0)</f>
        <v>#N/A</v>
      </c>
      <c r="I625" s="50" t="e">
        <f>VLOOKUP(B625,aa!B:R,17,0)</f>
        <v>#N/A</v>
      </c>
      <c r="K625" s="50" t="s">
        <v>97</v>
      </c>
      <c r="L625" s="50">
        <v>0</v>
      </c>
      <c r="M625" s="50">
        <v>0</v>
      </c>
      <c r="N625" s="50">
        <v>0</v>
      </c>
      <c r="O625" s="50">
        <v>984</v>
      </c>
      <c r="P625" s="50" t="s">
        <v>102</v>
      </c>
      <c r="Q625" s="50">
        <v>0</v>
      </c>
      <c r="R625" s="50">
        <v>0</v>
      </c>
      <c r="T625" s="50">
        <v>0</v>
      </c>
      <c r="U625" s="50">
        <v>0</v>
      </c>
      <c r="W625" s="50" t="s">
        <v>102</v>
      </c>
      <c r="X625" s="50" t="s">
        <v>275</v>
      </c>
      <c r="Z625" s="50" t="s">
        <v>12820</v>
      </c>
      <c r="AA625" s="50" t="s">
        <v>109</v>
      </c>
      <c r="AB625" s="50" t="s">
        <v>102</v>
      </c>
      <c r="AC625" s="50" t="s">
        <v>109</v>
      </c>
      <c r="AD625" s="50" t="s">
        <v>102</v>
      </c>
      <c r="AE625" s="50" t="s">
        <v>109</v>
      </c>
      <c r="AF625" s="50" t="s">
        <v>102</v>
      </c>
      <c r="AG625" s="50" t="s">
        <v>109</v>
      </c>
      <c r="AH625" s="50" t="s">
        <v>102</v>
      </c>
      <c r="AI625" s="50" t="s">
        <v>102</v>
      </c>
      <c r="AL625" s="50" t="s">
        <v>102</v>
      </c>
      <c r="AM625" s="50" t="s">
        <v>102</v>
      </c>
      <c r="AN625" s="50" t="s">
        <v>102</v>
      </c>
      <c r="AO625" s="50" t="s">
        <v>115</v>
      </c>
      <c r="AP625" s="50" t="s">
        <v>115</v>
      </c>
      <c r="AU625" s="50" t="s">
        <v>117</v>
      </c>
      <c r="AV625" s="50" t="s">
        <v>118</v>
      </c>
      <c r="AW625" s="50" t="s">
        <v>102</v>
      </c>
      <c r="AX625" s="50" t="s">
        <v>119</v>
      </c>
      <c r="BB625" s="50" t="s">
        <v>120</v>
      </c>
      <c r="BC625" s="50" t="s">
        <v>1407</v>
      </c>
      <c r="BD625" s="50" t="s">
        <v>449</v>
      </c>
      <c r="BE625" s="50" t="s">
        <v>122</v>
      </c>
      <c r="BF625" s="50" t="s">
        <v>450</v>
      </c>
      <c r="BG625" s="50" t="s">
        <v>124</v>
      </c>
      <c r="BH625" s="50" t="s">
        <v>12084</v>
      </c>
      <c r="BI625" s="50" t="s">
        <v>11889</v>
      </c>
      <c r="BJ625" s="50" t="s">
        <v>127</v>
      </c>
      <c r="BK625" s="50" t="s">
        <v>14333</v>
      </c>
      <c r="BL625" s="50" t="s">
        <v>14334</v>
      </c>
      <c r="BM625" s="50" t="s">
        <v>14335</v>
      </c>
      <c r="BN625" s="50" t="s">
        <v>12820</v>
      </c>
      <c r="BO625" s="50" t="s">
        <v>180</v>
      </c>
      <c r="BP625" s="50" t="s">
        <v>505</v>
      </c>
      <c r="BQ625" s="50" t="s">
        <v>8588</v>
      </c>
      <c r="BR625" s="50" t="s">
        <v>14336</v>
      </c>
      <c r="BS625" s="50" t="s">
        <v>2593</v>
      </c>
      <c r="BT625" s="50" t="s">
        <v>4765</v>
      </c>
      <c r="BU625" s="50" t="s">
        <v>14337</v>
      </c>
      <c r="BV625" s="50" t="s">
        <v>14338</v>
      </c>
      <c r="BW625" s="50" t="s">
        <v>598</v>
      </c>
      <c r="BX625" s="50" t="s">
        <v>14339</v>
      </c>
      <c r="BY625" s="50" t="s">
        <v>14340</v>
      </c>
      <c r="BZ625" s="50" t="s">
        <v>14341</v>
      </c>
      <c r="CA625" s="50" t="s">
        <v>14342</v>
      </c>
      <c r="CB625" s="50" t="s">
        <v>8588</v>
      </c>
      <c r="CC625" s="50" t="s">
        <v>14343</v>
      </c>
      <c r="CD625" s="50" t="s">
        <v>14342</v>
      </c>
      <c r="CE625" s="50" t="s">
        <v>8588</v>
      </c>
      <c r="CF625" s="50" t="s">
        <v>14343</v>
      </c>
      <c r="CG625" s="50" t="s">
        <v>907</v>
      </c>
      <c r="CH625" s="50" t="s">
        <v>1407</v>
      </c>
      <c r="CJ625" s="50" t="s">
        <v>1419</v>
      </c>
      <c r="CK625" s="50" t="s">
        <v>14344</v>
      </c>
      <c r="CL625" s="50" t="s">
        <v>1407</v>
      </c>
      <c r="CM625" s="50" t="s">
        <v>449</v>
      </c>
      <c r="CN625" s="50" t="s">
        <v>1419</v>
      </c>
      <c r="CP625" s="50" t="s">
        <v>14344</v>
      </c>
      <c r="CQ625" s="50" t="s">
        <v>14344</v>
      </c>
    </row>
    <row r="626" spans="1:96">
      <c r="A626" s="50" t="s">
        <v>337</v>
      </c>
      <c r="B626" s="50">
        <v>3031830</v>
      </c>
      <c r="C626" s="50" t="s">
        <v>13158</v>
      </c>
      <c r="D626" s="50" t="s">
        <v>3879</v>
      </c>
      <c r="E626" s="50" t="e">
        <f>VLOOKUP(B626,aa!B:F,5,0)</f>
        <v>#N/A</v>
      </c>
      <c r="F626" s="50" t="e">
        <f>VLOOKUP(B626,aa!B:J,9,0)</f>
        <v>#N/A</v>
      </c>
      <c r="G626" s="50" t="e">
        <f>VLOOKUP(B626,aa!B:L,11,0)</f>
        <v>#N/A</v>
      </c>
      <c r="H626" s="50" t="e">
        <f>VLOOKUP(B626,aa!B:O,14,0)</f>
        <v>#N/A</v>
      </c>
      <c r="I626" s="50" t="e">
        <f>VLOOKUP(B626,aa!B:R,17,0)</f>
        <v>#N/A</v>
      </c>
      <c r="K626" s="50" t="s">
        <v>97</v>
      </c>
      <c r="L626" s="50">
        <v>0</v>
      </c>
      <c r="M626" s="50">
        <v>0</v>
      </c>
      <c r="N626" s="50">
        <v>0</v>
      </c>
      <c r="O626" s="50">
        <v>1309</v>
      </c>
      <c r="P626" s="50" t="s">
        <v>102</v>
      </c>
      <c r="Q626" s="50">
        <v>0</v>
      </c>
      <c r="R626" s="50">
        <v>0</v>
      </c>
      <c r="T626" s="50">
        <v>0</v>
      </c>
      <c r="U626" s="50">
        <v>0</v>
      </c>
      <c r="W626" s="50" t="s">
        <v>102</v>
      </c>
      <c r="X626" s="50" t="s">
        <v>275</v>
      </c>
      <c r="Z626" s="50" t="s">
        <v>12820</v>
      </c>
      <c r="AA626" s="50" t="s">
        <v>109</v>
      </c>
      <c r="AB626" s="50" t="s">
        <v>102</v>
      </c>
      <c r="AC626" s="50" t="s">
        <v>109</v>
      </c>
      <c r="AD626" s="50" t="s">
        <v>102</v>
      </c>
      <c r="AE626" s="50" t="s">
        <v>109</v>
      </c>
      <c r="AF626" s="50" t="s">
        <v>102</v>
      </c>
      <c r="AG626" s="50" t="s">
        <v>109</v>
      </c>
      <c r="AH626" s="50" t="s">
        <v>102</v>
      </c>
      <c r="AI626" s="50" t="s">
        <v>102</v>
      </c>
      <c r="AL626" s="50" t="s">
        <v>102</v>
      </c>
      <c r="AM626" s="50" t="s">
        <v>102</v>
      </c>
      <c r="AN626" s="50" t="s">
        <v>102</v>
      </c>
      <c r="AO626" s="50" t="s">
        <v>115</v>
      </c>
      <c r="AP626" s="50" t="s">
        <v>115</v>
      </c>
      <c r="AU626" s="50" t="s">
        <v>117</v>
      </c>
      <c r="AV626" s="50" t="s">
        <v>118</v>
      </c>
      <c r="AW626" s="50" t="s">
        <v>102</v>
      </c>
      <c r="AX626" s="50" t="s">
        <v>119</v>
      </c>
      <c r="BB626" s="50" t="s">
        <v>120</v>
      </c>
      <c r="BC626" s="50" t="s">
        <v>920</v>
      </c>
      <c r="BD626" s="50" t="s">
        <v>211</v>
      </c>
      <c r="BE626" s="50" t="s">
        <v>212</v>
      </c>
      <c r="BF626" s="50" t="s">
        <v>213</v>
      </c>
      <c r="BG626" s="50" t="s">
        <v>124</v>
      </c>
      <c r="BH626" s="50" t="s">
        <v>12084</v>
      </c>
      <c r="BI626" s="50" t="s">
        <v>11889</v>
      </c>
      <c r="BJ626" s="50" t="s">
        <v>127</v>
      </c>
      <c r="BK626" s="50" t="s">
        <v>14853</v>
      </c>
      <c r="BL626" s="50" t="s">
        <v>14854</v>
      </c>
      <c r="BM626" s="50" t="s">
        <v>14855</v>
      </c>
      <c r="BN626" s="50" t="s">
        <v>12820</v>
      </c>
      <c r="BO626" s="50" t="s">
        <v>180</v>
      </c>
      <c r="BP626" s="50" t="s">
        <v>180</v>
      </c>
      <c r="BQ626" s="50" t="s">
        <v>8588</v>
      </c>
      <c r="BR626" s="50" t="s">
        <v>14336</v>
      </c>
      <c r="BS626" s="50" t="s">
        <v>2593</v>
      </c>
      <c r="BT626" s="50" t="s">
        <v>4765</v>
      </c>
      <c r="BU626" s="50" t="s">
        <v>14856</v>
      </c>
      <c r="BV626" s="50" t="s">
        <v>14338</v>
      </c>
      <c r="BW626" s="50" t="s">
        <v>598</v>
      </c>
      <c r="BX626" s="50" t="s">
        <v>14339</v>
      </c>
      <c r="BY626" s="50" t="s">
        <v>14340</v>
      </c>
      <c r="BZ626" s="50" t="s">
        <v>14857</v>
      </c>
      <c r="CA626" s="50" t="s">
        <v>14342</v>
      </c>
      <c r="CB626" s="50" t="s">
        <v>8588</v>
      </c>
      <c r="CC626" s="50" t="s">
        <v>14343</v>
      </c>
      <c r="CD626" s="50" t="s">
        <v>14342</v>
      </c>
      <c r="CE626" s="50" t="s">
        <v>8588</v>
      </c>
      <c r="CF626" s="50" t="s">
        <v>14343</v>
      </c>
      <c r="CG626" s="50" t="s">
        <v>907</v>
      </c>
      <c r="CH626" s="50" t="s">
        <v>7718</v>
      </c>
      <c r="CJ626" s="50" t="s">
        <v>8919</v>
      </c>
      <c r="CK626" s="50" t="s">
        <v>14858</v>
      </c>
      <c r="CL626" s="50" t="s">
        <v>920</v>
      </c>
      <c r="CM626" s="50" t="s">
        <v>211</v>
      </c>
      <c r="CN626" s="50" t="s">
        <v>8919</v>
      </c>
      <c r="CP626" s="50" t="s">
        <v>14858</v>
      </c>
      <c r="CQ626" s="50" t="s">
        <v>14858</v>
      </c>
    </row>
    <row r="627" spans="1:96">
      <c r="A627" s="50" t="s">
        <v>337</v>
      </c>
      <c r="B627" s="50">
        <v>3149549</v>
      </c>
      <c r="C627" s="50" t="s">
        <v>13158</v>
      </c>
      <c r="D627" s="50" t="s">
        <v>3879</v>
      </c>
      <c r="E627" s="50" t="e">
        <f>VLOOKUP(B627,aa!B:F,5,0)</f>
        <v>#N/A</v>
      </c>
      <c r="F627" s="50" t="e">
        <f>VLOOKUP(B627,aa!B:J,9,0)</f>
        <v>#N/A</v>
      </c>
      <c r="G627" s="50" t="e">
        <f>VLOOKUP(B627,aa!B:L,11,0)</f>
        <v>#N/A</v>
      </c>
      <c r="H627" s="50" t="e">
        <f>VLOOKUP(B627,aa!B:O,14,0)</f>
        <v>#N/A</v>
      </c>
      <c r="I627" s="50" t="e">
        <f>VLOOKUP(B627,aa!B:R,17,0)</f>
        <v>#N/A</v>
      </c>
      <c r="K627" s="50" t="s">
        <v>97</v>
      </c>
      <c r="L627" s="50">
        <v>0</v>
      </c>
      <c r="M627" s="50">
        <v>0</v>
      </c>
      <c r="N627" s="50">
        <v>0</v>
      </c>
      <c r="O627" s="50">
        <v>2079</v>
      </c>
      <c r="P627" s="50" t="s">
        <v>102</v>
      </c>
      <c r="Q627" s="50">
        <v>0</v>
      </c>
      <c r="R627" s="50">
        <v>0</v>
      </c>
      <c r="T627" s="50">
        <v>0</v>
      </c>
      <c r="U627" s="50">
        <v>0</v>
      </c>
      <c r="W627" s="50" t="s">
        <v>102</v>
      </c>
      <c r="X627" s="50" t="s">
        <v>275</v>
      </c>
      <c r="Z627" s="50" t="s">
        <v>12820</v>
      </c>
      <c r="AA627" s="50" t="s">
        <v>109</v>
      </c>
      <c r="AB627" s="50" t="s">
        <v>102</v>
      </c>
      <c r="AC627" s="50" t="s">
        <v>109</v>
      </c>
      <c r="AD627" s="50" t="s">
        <v>102</v>
      </c>
      <c r="AE627" s="50" t="s">
        <v>109</v>
      </c>
      <c r="AF627" s="50" t="s">
        <v>102</v>
      </c>
      <c r="AG627" s="50" t="s">
        <v>109</v>
      </c>
      <c r="AH627" s="50" t="s">
        <v>102</v>
      </c>
      <c r="AI627" s="50" t="s">
        <v>102</v>
      </c>
      <c r="AL627" s="50" t="s">
        <v>102</v>
      </c>
      <c r="AM627" s="50" t="s">
        <v>102</v>
      </c>
      <c r="AN627" s="50" t="s">
        <v>102</v>
      </c>
      <c r="AO627" s="50" t="s">
        <v>115</v>
      </c>
      <c r="AP627" s="50" t="s">
        <v>115</v>
      </c>
      <c r="AU627" s="50" t="s">
        <v>117</v>
      </c>
      <c r="AV627" s="50" t="s">
        <v>118</v>
      </c>
      <c r="AW627" s="50" t="s">
        <v>102</v>
      </c>
      <c r="AX627" s="50" t="s">
        <v>119</v>
      </c>
      <c r="BB627" s="50" t="s">
        <v>120</v>
      </c>
      <c r="BC627" s="50" t="s">
        <v>2327</v>
      </c>
      <c r="BD627" s="50" t="s">
        <v>730</v>
      </c>
      <c r="BE627" s="50" t="s">
        <v>622</v>
      </c>
      <c r="BF627" s="50" t="s">
        <v>730</v>
      </c>
      <c r="BG627" s="50" t="s">
        <v>124</v>
      </c>
      <c r="BH627" s="50" t="s">
        <v>12084</v>
      </c>
      <c r="BI627" s="50" t="s">
        <v>11889</v>
      </c>
      <c r="BJ627" s="50" t="s">
        <v>127</v>
      </c>
      <c r="BK627" s="50" t="s">
        <v>15004</v>
      </c>
      <c r="BL627" s="50" t="s">
        <v>15005</v>
      </c>
      <c r="BM627" s="50" t="s">
        <v>15006</v>
      </c>
      <c r="BN627" s="50" t="s">
        <v>12820</v>
      </c>
      <c r="BO627" s="50" t="s">
        <v>180</v>
      </c>
      <c r="BP627" s="50" t="s">
        <v>505</v>
      </c>
      <c r="BQ627" s="50" t="s">
        <v>8588</v>
      </c>
      <c r="BR627" s="50" t="s">
        <v>14336</v>
      </c>
      <c r="BS627" s="50" t="s">
        <v>2593</v>
      </c>
      <c r="BT627" s="50" t="s">
        <v>4765</v>
      </c>
      <c r="BU627" s="50" t="s">
        <v>15007</v>
      </c>
      <c r="BV627" s="50" t="s">
        <v>14338</v>
      </c>
      <c r="BW627" s="50" t="s">
        <v>598</v>
      </c>
      <c r="BX627" s="50" t="s">
        <v>14339</v>
      </c>
      <c r="BY627" s="50" t="s">
        <v>14340</v>
      </c>
      <c r="BZ627" s="50" t="s">
        <v>15008</v>
      </c>
      <c r="CA627" s="50" t="s">
        <v>14342</v>
      </c>
      <c r="CB627" s="50" t="s">
        <v>8588</v>
      </c>
      <c r="CC627" s="50" t="s">
        <v>14343</v>
      </c>
      <c r="CD627" s="50" t="s">
        <v>14342</v>
      </c>
      <c r="CE627" s="50" t="s">
        <v>8588</v>
      </c>
      <c r="CF627" s="50" t="s">
        <v>14343</v>
      </c>
      <c r="CG627" s="50" t="s">
        <v>102</v>
      </c>
      <c r="CH627" s="50" t="s">
        <v>2327</v>
      </c>
      <c r="CJ627" s="50" t="s">
        <v>9694</v>
      </c>
      <c r="CL627" s="50" t="s">
        <v>2327</v>
      </c>
      <c r="CM627" s="50" t="s">
        <v>730</v>
      </c>
      <c r="CN627" s="50" t="s">
        <v>9694</v>
      </c>
      <c r="CP627" s="50" t="s">
        <v>15009</v>
      </c>
      <c r="CQ627" s="50" t="s">
        <v>15009</v>
      </c>
    </row>
    <row r="628" spans="1:96">
      <c r="A628" s="50" t="s">
        <v>337</v>
      </c>
      <c r="B628" s="50">
        <v>3409378</v>
      </c>
      <c r="C628" s="50" t="s">
        <v>418</v>
      </c>
      <c r="D628" s="50" t="s">
        <v>15907</v>
      </c>
      <c r="E628" s="50" t="str">
        <f>VLOOKUP(B628,aa!B:F,5,0)</f>
        <v>Ei CARES</v>
      </c>
      <c r="F628" s="50">
        <f>VLOOKUP(B628,aa!B:J,9,0)</f>
        <v>564127</v>
      </c>
      <c r="G628" s="50">
        <f>VLOOKUP(B628,aa!B:L,11,0)</f>
        <v>0</v>
      </c>
      <c r="H628" s="50">
        <f>VLOOKUP(B628,aa!B:O,14,0)</f>
        <v>564127</v>
      </c>
      <c r="I628" s="50">
        <f>VLOOKUP(B628,aa!B:R,17,0)</f>
        <v>0</v>
      </c>
      <c r="K628" s="50" t="s">
        <v>152</v>
      </c>
      <c r="L628" s="50">
        <v>0</v>
      </c>
      <c r="M628" s="50">
        <v>0</v>
      </c>
      <c r="N628" s="50">
        <v>0</v>
      </c>
      <c r="O628" s="50">
        <v>0</v>
      </c>
      <c r="Q628" s="50">
        <v>0</v>
      </c>
      <c r="R628" s="50">
        <v>97</v>
      </c>
      <c r="S628" s="50" t="s">
        <v>102</v>
      </c>
      <c r="T628" s="50">
        <v>0</v>
      </c>
      <c r="U628" s="50">
        <v>0</v>
      </c>
      <c r="W628" s="50" t="s">
        <v>102</v>
      </c>
      <c r="X628" s="50" t="s">
        <v>275</v>
      </c>
      <c r="Z628" s="50" t="s">
        <v>11886</v>
      </c>
      <c r="AA628" s="50" t="s">
        <v>109</v>
      </c>
      <c r="AB628" s="50" t="s">
        <v>102</v>
      </c>
      <c r="AC628" s="50" t="s">
        <v>109</v>
      </c>
      <c r="AD628" s="50" t="s">
        <v>102</v>
      </c>
      <c r="AE628" s="50" t="s">
        <v>109</v>
      </c>
      <c r="AF628" s="50" t="s">
        <v>102</v>
      </c>
      <c r="AG628" s="50" t="s">
        <v>109</v>
      </c>
      <c r="AH628" s="50" t="s">
        <v>102</v>
      </c>
      <c r="AI628" s="50" t="s">
        <v>102</v>
      </c>
      <c r="AL628" s="50" t="s">
        <v>102</v>
      </c>
      <c r="AM628" s="50" t="s">
        <v>102</v>
      </c>
      <c r="AN628" s="50" t="s">
        <v>102</v>
      </c>
      <c r="AO628" s="50" t="s">
        <v>115</v>
      </c>
      <c r="AP628" s="50" t="s">
        <v>115</v>
      </c>
      <c r="AU628" s="50" t="s">
        <v>102</v>
      </c>
      <c r="AW628" s="50" t="s">
        <v>102</v>
      </c>
      <c r="AX628" s="50" t="s">
        <v>447</v>
      </c>
      <c r="AY628" s="50" t="s">
        <v>170</v>
      </c>
      <c r="AZ628" s="50" t="s">
        <v>118</v>
      </c>
      <c r="BB628" s="50" t="s">
        <v>120</v>
      </c>
      <c r="BC628" s="50" t="s">
        <v>409</v>
      </c>
      <c r="BD628" s="50" t="s">
        <v>410</v>
      </c>
      <c r="BE628" s="50" t="s">
        <v>212</v>
      </c>
      <c r="BF628" s="50" t="s">
        <v>410</v>
      </c>
      <c r="BG628" s="50" t="s">
        <v>124</v>
      </c>
      <c r="BH628" s="50" t="s">
        <v>12084</v>
      </c>
      <c r="BI628" s="50" t="s">
        <v>11889</v>
      </c>
      <c r="BJ628" s="50" t="s">
        <v>127</v>
      </c>
      <c r="BK628" s="50" t="s">
        <v>15908</v>
      </c>
      <c r="BL628" s="50" t="s">
        <v>15909</v>
      </c>
      <c r="BM628" s="50" t="s">
        <v>15910</v>
      </c>
      <c r="BN628" s="50" t="s">
        <v>12820</v>
      </c>
      <c r="BO628" s="50" t="s">
        <v>15911</v>
      </c>
      <c r="BP628" s="50" t="s">
        <v>505</v>
      </c>
      <c r="BQ628" s="50" t="s">
        <v>15912</v>
      </c>
      <c r="BR628" s="50" t="s">
        <v>15913</v>
      </c>
      <c r="BS628" s="50" t="s">
        <v>9337</v>
      </c>
      <c r="BU628" s="50" t="s">
        <v>15914</v>
      </c>
      <c r="BV628" s="50" t="s">
        <v>15915</v>
      </c>
      <c r="BW628" s="50" t="s">
        <v>598</v>
      </c>
      <c r="BX628" s="50" t="s">
        <v>15916</v>
      </c>
      <c r="BY628" s="50" t="s">
        <v>15917</v>
      </c>
      <c r="BZ628" s="50" t="s">
        <v>15916</v>
      </c>
      <c r="CA628" s="50" t="s">
        <v>15915</v>
      </c>
      <c r="CB628" s="50" t="s">
        <v>15916</v>
      </c>
      <c r="CC628" s="50" t="s">
        <v>15917</v>
      </c>
      <c r="CD628" s="50" t="s">
        <v>15915</v>
      </c>
      <c r="CE628" s="50" t="s">
        <v>15916</v>
      </c>
      <c r="CF628" s="50" t="s">
        <v>15917</v>
      </c>
      <c r="CG628" s="50" t="s">
        <v>573</v>
      </c>
      <c r="CH628" s="50" t="s">
        <v>15918</v>
      </c>
      <c r="CJ628" s="50" t="s">
        <v>9348</v>
      </c>
      <c r="CK628" s="50" t="s">
        <v>15918</v>
      </c>
      <c r="CL628" s="50" t="s">
        <v>409</v>
      </c>
      <c r="CM628" s="50" t="s">
        <v>410</v>
      </c>
      <c r="CN628" s="50" t="s">
        <v>9348</v>
      </c>
      <c r="CP628" s="50" t="s">
        <v>15918</v>
      </c>
      <c r="CQ628" s="50" t="s">
        <v>15918</v>
      </c>
    </row>
    <row r="629" spans="1:96">
      <c r="A629" s="50" t="s">
        <v>149</v>
      </c>
      <c r="B629" s="50">
        <v>348782</v>
      </c>
      <c r="C629" s="50" t="s">
        <v>13158</v>
      </c>
      <c r="D629" s="50" t="s">
        <v>6337</v>
      </c>
      <c r="E629" s="50" t="e">
        <f>VLOOKUP(B629,aa!B:F,5,0)</f>
        <v>#N/A</v>
      </c>
      <c r="F629" s="50" t="e">
        <f>VLOOKUP(B629,aa!B:J,9,0)</f>
        <v>#N/A</v>
      </c>
      <c r="G629" s="50" t="e">
        <f>VLOOKUP(B629,aa!B:L,11,0)</f>
        <v>#N/A</v>
      </c>
      <c r="H629" s="50" t="e">
        <f>VLOOKUP(B629,aa!B:O,14,0)</f>
        <v>#N/A</v>
      </c>
      <c r="I629" s="50" t="e">
        <f>VLOOKUP(B629,aa!B:R,17,0)</f>
        <v>#N/A</v>
      </c>
      <c r="K629" s="50" t="s">
        <v>97</v>
      </c>
      <c r="L629" s="50">
        <v>0</v>
      </c>
      <c r="M629" s="50">
        <v>0</v>
      </c>
      <c r="N629" s="50">
        <v>0</v>
      </c>
      <c r="O629" s="50">
        <v>553</v>
      </c>
      <c r="P629" s="50" t="s">
        <v>102</v>
      </c>
      <c r="Q629" s="50">
        <v>0</v>
      </c>
      <c r="R629" s="50">
        <v>0</v>
      </c>
      <c r="T629" s="50">
        <v>0</v>
      </c>
      <c r="U629" s="50">
        <v>0</v>
      </c>
      <c r="W629" s="50" t="s">
        <v>102</v>
      </c>
      <c r="X629" s="50" t="s">
        <v>275</v>
      </c>
      <c r="Z629" s="50" t="s">
        <v>12820</v>
      </c>
      <c r="AA629" s="50" t="s">
        <v>109</v>
      </c>
      <c r="AB629" s="50" t="s">
        <v>102</v>
      </c>
      <c r="AC629" s="50" t="s">
        <v>109</v>
      </c>
      <c r="AD629" s="50" t="s">
        <v>102</v>
      </c>
      <c r="AE629" s="50" t="s">
        <v>109</v>
      </c>
      <c r="AF629" s="50" t="s">
        <v>102</v>
      </c>
      <c r="AG629" s="50" t="s">
        <v>109</v>
      </c>
      <c r="AH629" s="50" t="s">
        <v>102</v>
      </c>
      <c r="AI629" s="50" t="s">
        <v>102</v>
      </c>
      <c r="AL629" s="50" t="s">
        <v>102</v>
      </c>
      <c r="AM629" s="50" t="s">
        <v>102</v>
      </c>
      <c r="AN629" s="50" t="s">
        <v>102</v>
      </c>
      <c r="AO629" s="50" t="s">
        <v>115</v>
      </c>
      <c r="AP629" s="50" t="s">
        <v>115</v>
      </c>
      <c r="AU629" s="50" t="s">
        <v>117</v>
      </c>
      <c r="AV629" s="50" t="s">
        <v>118</v>
      </c>
      <c r="AW629" s="50" t="s">
        <v>102</v>
      </c>
      <c r="AX629" s="50" t="s">
        <v>119</v>
      </c>
      <c r="BB629" s="50" t="s">
        <v>120</v>
      </c>
      <c r="BC629" s="50" t="s">
        <v>284</v>
      </c>
      <c r="BD629" s="50" t="s">
        <v>285</v>
      </c>
      <c r="BE629" s="50" t="s">
        <v>212</v>
      </c>
      <c r="BF629" s="50" t="s">
        <v>286</v>
      </c>
      <c r="BG629" s="50" t="s">
        <v>124</v>
      </c>
      <c r="BH629" s="50" t="s">
        <v>12084</v>
      </c>
      <c r="BI629" s="50" t="s">
        <v>11889</v>
      </c>
      <c r="BJ629" s="50" t="s">
        <v>127</v>
      </c>
      <c r="BK629" s="50" t="s">
        <v>16231</v>
      </c>
      <c r="BL629" s="50" t="s">
        <v>6346</v>
      </c>
      <c r="BM629" s="50" t="s">
        <v>16232</v>
      </c>
      <c r="BN629" s="50" t="s">
        <v>12820</v>
      </c>
      <c r="BO629" s="50" t="s">
        <v>180</v>
      </c>
      <c r="BP629" s="50" t="s">
        <v>180</v>
      </c>
      <c r="BQ629" s="50" t="s">
        <v>8588</v>
      </c>
      <c r="BR629" s="50" t="s">
        <v>14336</v>
      </c>
      <c r="BS629" s="50" t="s">
        <v>2593</v>
      </c>
      <c r="BT629" s="50" t="s">
        <v>4765</v>
      </c>
      <c r="BU629" s="50" t="s">
        <v>16233</v>
      </c>
      <c r="BV629" s="50" t="s">
        <v>14338</v>
      </c>
      <c r="BW629" s="50" t="s">
        <v>598</v>
      </c>
      <c r="BX629" s="50" t="s">
        <v>14339</v>
      </c>
      <c r="BY629" s="50" t="s">
        <v>14340</v>
      </c>
      <c r="CA629" s="50" t="s">
        <v>14342</v>
      </c>
      <c r="CB629" s="50" t="s">
        <v>8588</v>
      </c>
      <c r="CC629" s="50" t="s">
        <v>14343</v>
      </c>
      <c r="CD629" s="50" t="s">
        <v>14342</v>
      </c>
      <c r="CE629" s="50" t="s">
        <v>8588</v>
      </c>
      <c r="CF629" s="50" t="s">
        <v>14343</v>
      </c>
      <c r="CG629" s="50" t="s">
        <v>102</v>
      </c>
      <c r="CH629" s="50" t="s">
        <v>284</v>
      </c>
      <c r="CJ629" s="50" t="s">
        <v>6355</v>
      </c>
      <c r="CL629" s="50" t="s">
        <v>284</v>
      </c>
      <c r="CM629" s="50" t="s">
        <v>285</v>
      </c>
      <c r="CN629" s="50" t="s">
        <v>6355</v>
      </c>
      <c r="CP629" s="50" t="s">
        <v>6354</v>
      </c>
      <c r="CQ629" s="50" t="s">
        <v>6354</v>
      </c>
    </row>
    <row r="630" spans="1:96">
      <c r="A630" s="50" t="s">
        <v>337</v>
      </c>
      <c r="B630" s="50">
        <v>3588889</v>
      </c>
      <c r="C630" s="50" t="s">
        <v>13158</v>
      </c>
      <c r="D630" s="50" t="s">
        <v>6778</v>
      </c>
      <c r="E630" s="50" t="e">
        <f>VLOOKUP(B630,aa!B:F,5,0)</f>
        <v>#N/A</v>
      </c>
      <c r="F630" s="50" t="e">
        <f>VLOOKUP(B630,aa!B:J,9,0)</f>
        <v>#N/A</v>
      </c>
      <c r="G630" s="50" t="e">
        <f>VLOOKUP(B630,aa!B:L,11,0)</f>
        <v>#N/A</v>
      </c>
      <c r="H630" s="50" t="e">
        <f>VLOOKUP(B630,aa!B:O,14,0)</f>
        <v>#N/A</v>
      </c>
      <c r="I630" s="50" t="e">
        <f>VLOOKUP(B630,aa!B:R,17,0)</f>
        <v>#N/A</v>
      </c>
      <c r="K630" s="50" t="s">
        <v>97</v>
      </c>
      <c r="L630" s="50">
        <v>0</v>
      </c>
      <c r="M630" s="50">
        <v>0</v>
      </c>
      <c r="N630" s="50">
        <v>0</v>
      </c>
      <c r="O630" s="50">
        <v>862</v>
      </c>
      <c r="P630" s="50" t="s">
        <v>102</v>
      </c>
      <c r="Q630" s="50">
        <v>0</v>
      </c>
      <c r="R630" s="50">
        <v>0</v>
      </c>
      <c r="T630" s="50">
        <v>0</v>
      </c>
      <c r="U630" s="50">
        <v>0</v>
      </c>
      <c r="W630" s="50" t="s">
        <v>102</v>
      </c>
      <c r="X630" s="50" t="s">
        <v>275</v>
      </c>
      <c r="Z630" s="50" t="s">
        <v>12820</v>
      </c>
      <c r="AA630" s="50" t="s">
        <v>109</v>
      </c>
      <c r="AB630" s="50" t="s">
        <v>102</v>
      </c>
      <c r="AC630" s="50" t="s">
        <v>109</v>
      </c>
      <c r="AD630" s="50" t="s">
        <v>102</v>
      </c>
      <c r="AE630" s="50" t="s">
        <v>109</v>
      </c>
      <c r="AF630" s="50" t="s">
        <v>102</v>
      </c>
      <c r="AG630" s="50" t="s">
        <v>109</v>
      </c>
      <c r="AH630" s="50" t="s">
        <v>102</v>
      </c>
      <c r="AI630" s="50" t="s">
        <v>102</v>
      </c>
      <c r="AL630" s="50" t="s">
        <v>102</v>
      </c>
      <c r="AM630" s="50" t="s">
        <v>102</v>
      </c>
      <c r="AN630" s="50" t="s">
        <v>102</v>
      </c>
      <c r="AO630" s="50" t="s">
        <v>115</v>
      </c>
      <c r="AP630" s="50" t="s">
        <v>115</v>
      </c>
      <c r="AU630" s="50" t="s">
        <v>117</v>
      </c>
      <c r="AV630" s="50" t="s">
        <v>118</v>
      </c>
      <c r="AW630" s="50" t="s">
        <v>102</v>
      </c>
      <c r="AX630" s="50" t="s">
        <v>119</v>
      </c>
      <c r="BB630" s="50" t="s">
        <v>120</v>
      </c>
      <c r="BC630" s="50" t="s">
        <v>2127</v>
      </c>
      <c r="BD630" s="50" t="s">
        <v>621</v>
      </c>
      <c r="BE630" s="50" t="s">
        <v>622</v>
      </c>
      <c r="BF630" s="50" t="s">
        <v>976</v>
      </c>
      <c r="BG630" s="50" t="s">
        <v>124</v>
      </c>
      <c r="BH630" s="50" t="s">
        <v>12084</v>
      </c>
      <c r="BI630" s="50" t="s">
        <v>11889</v>
      </c>
      <c r="BJ630" s="50" t="s">
        <v>127</v>
      </c>
      <c r="BK630" s="50" t="s">
        <v>16542</v>
      </c>
      <c r="BL630" s="50" t="s">
        <v>16543</v>
      </c>
      <c r="BM630" s="50" t="s">
        <v>16544</v>
      </c>
      <c r="BN630" s="50" t="s">
        <v>12820</v>
      </c>
      <c r="BO630" s="50" t="s">
        <v>180</v>
      </c>
      <c r="BP630" s="50" t="s">
        <v>180</v>
      </c>
      <c r="BQ630" s="50" t="s">
        <v>8588</v>
      </c>
      <c r="BR630" s="50" t="s">
        <v>14336</v>
      </c>
      <c r="BS630" s="50" t="s">
        <v>2593</v>
      </c>
      <c r="BT630" s="50" t="s">
        <v>4765</v>
      </c>
      <c r="BU630" s="50" t="s">
        <v>16545</v>
      </c>
      <c r="BV630" s="50" t="s">
        <v>14338</v>
      </c>
      <c r="BW630" s="50" t="s">
        <v>598</v>
      </c>
      <c r="BX630" s="50" t="s">
        <v>14339</v>
      </c>
      <c r="BY630" s="50" t="s">
        <v>14340</v>
      </c>
      <c r="BZ630" s="50" t="s">
        <v>16546</v>
      </c>
      <c r="CA630" s="50" t="s">
        <v>16547</v>
      </c>
      <c r="CB630" s="50" t="s">
        <v>8588</v>
      </c>
      <c r="CC630" s="50" t="s">
        <v>14343</v>
      </c>
      <c r="CD630" s="50" t="s">
        <v>16547</v>
      </c>
      <c r="CE630" s="50" t="s">
        <v>8588</v>
      </c>
      <c r="CF630" s="50" t="s">
        <v>14343</v>
      </c>
      <c r="CG630" s="50" t="s">
        <v>907</v>
      </c>
      <c r="CH630" s="50" t="s">
        <v>16548</v>
      </c>
      <c r="CJ630" s="50" t="s">
        <v>6953</v>
      </c>
      <c r="CK630" s="50" t="s">
        <v>16549</v>
      </c>
      <c r="CL630" s="50" t="s">
        <v>2127</v>
      </c>
      <c r="CM630" s="50" t="s">
        <v>621</v>
      </c>
      <c r="CN630" s="50" t="s">
        <v>6953</v>
      </c>
      <c r="CP630" s="50" t="s">
        <v>16548</v>
      </c>
      <c r="CQ630" s="50" t="s">
        <v>16548</v>
      </c>
    </row>
    <row r="631" spans="1:96">
      <c r="A631" s="50" t="s">
        <v>337</v>
      </c>
      <c r="B631" s="50">
        <v>3638758</v>
      </c>
      <c r="C631" s="50" t="s">
        <v>418</v>
      </c>
      <c r="D631" s="50" t="s">
        <v>16676</v>
      </c>
      <c r="E631" s="50" t="e">
        <f>VLOOKUP(B631,aa!B:F,5,0)</f>
        <v>#N/A</v>
      </c>
      <c r="F631" s="50" t="e">
        <f>VLOOKUP(B631,aa!B:J,9,0)</f>
        <v>#N/A</v>
      </c>
      <c r="G631" s="50" t="e">
        <f>VLOOKUP(B631,aa!B:L,11,0)</f>
        <v>#N/A</v>
      </c>
      <c r="H631" s="50" t="e">
        <f>VLOOKUP(B631,aa!B:O,14,0)</f>
        <v>#N/A</v>
      </c>
      <c r="I631" s="50" t="e">
        <f>VLOOKUP(B631,aa!B:R,17,0)</f>
        <v>#N/A</v>
      </c>
      <c r="K631" s="50" t="s">
        <v>152</v>
      </c>
      <c r="L631" s="50">
        <v>0</v>
      </c>
      <c r="M631" s="50">
        <v>0</v>
      </c>
      <c r="N631" s="50">
        <v>0</v>
      </c>
      <c r="O631" s="50">
        <v>0</v>
      </c>
      <c r="Q631" s="50">
        <v>0</v>
      </c>
      <c r="R631" s="50">
        <v>86</v>
      </c>
      <c r="S631" s="50" t="s">
        <v>102</v>
      </c>
      <c r="T631" s="50">
        <v>0</v>
      </c>
      <c r="U631" s="50">
        <v>0</v>
      </c>
      <c r="W631" s="50" t="s">
        <v>102</v>
      </c>
      <c r="X631" s="50" t="s">
        <v>275</v>
      </c>
      <c r="Z631" s="50" t="s">
        <v>11886</v>
      </c>
      <c r="AA631" s="50" t="s">
        <v>109</v>
      </c>
      <c r="AB631" s="50" t="s">
        <v>102</v>
      </c>
      <c r="AC631" s="50" t="s">
        <v>109</v>
      </c>
      <c r="AD631" s="50" t="s">
        <v>102</v>
      </c>
      <c r="AE631" s="50" t="s">
        <v>109</v>
      </c>
      <c r="AF631" s="50" t="s">
        <v>102</v>
      </c>
      <c r="AG631" s="50" t="s">
        <v>109</v>
      </c>
      <c r="AH631" s="50" t="s">
        <v>102</v>
      </c>
      <c r="AI631" s="50" t="s">
        <v>102</v>
      </c>
      <c r="AL631" s="50" t="s">
        <v>102</v>
      </c>
      <c r="AM631" s="50" t="s">
        <v>102</v>
      </c>
      <c r="AN631" s="50" t="s">
        <v>102</v>
      </c>
      <c r="AO631" s="50" t="s">
        <v>115</v>
      </c>
      <c r="AP631" s="50" t="s">
        <v>115</v>
      </c>
      <c r="AU631" s="50" t="s">
        <v>102</v>
      </c>
      <c r="AW631" s="50" t="s">
        <v>104</v>
      </c>
      <c r="AX631" s="50" t="s">
        <v>447</v>
      </c>
      <c r="AY631" s="50" t="s">
        <v>170</v>
      </c>
      <c r="AZ631" s="50" t="s">
        <v>118</v>
      </c>
      <c r="BB631" s="50" t="s">
        <v>120</v>
      </c>
      <c r="BC631" s="50" t="s">
        <v>9329</v>
      </c>
      <c r="BD631" s="50" t="s">
        <v>410</v>
      </c>
      <c r="BE631" s="50" t="s">
        <v>212</v>
      </c>
      <c r="BF631" s="50" t="s">
        <v>410</v>
      </c>
      <c r="BG631" s="50" t="s">
        <v>124</v>
      </c>
      <c r="BH631" s="50" t="s">
        <v>12084</v>
      </c>
      <c r="BI631" s="50" t="s">
        <v>11889</v>
      </c>
      <c r="BJ631" s="50" t="s">
        <v>127</v>
      </c>
      <c r="BK631" s="50" t="s">
        <v>16677</v>
      </c>
      <c r="BL631" s="50" t="s">
        <v>16678</v>
      </c>
      <c r="BM631" s="50" t="s">
        <v>16679</v>
      </c>
      <c r="BN631" s="50" t="s">
        <v>12820</v>
      </c>
      <c r="BO631" s="50" t="s">
        <v>15911</v>
      </c>
      <c r="BP631" s="50" t="s">
        <v>505</v>
      </c>
      <c r="BQ631" s="50" t="s">
        <v>15912</v>
      </c>
      <c r="BR631" s="50" t="s">
        <v>15913</v>
      </c>
      <c r="BS631" s="50" t="s">
        <v>9337</v>
      </c>
      <c r="BT631" s="50" t="s">
        <v>15159</v>
      </c>
      <c r="BU631" s="50" t="s">
        <v>16680</v>
      </c>
      <c r="BV631" s="50" t="s">
        <v>16681</v>
      </c>
      <c r="BW631" s="50" t="s">
        <v>138</v>
      </c>
      <c r="BX631" s="50" t="s">
        <v>16682</v>
      </c>
      <c r="BY631" s="50" t="s">
        <v>16683</v>
      </c>
      <c r="BZ631" s="50" t="s">
        <v>16684</v>
      </c>
      <c r="CA631" s="50" t="s">
        <v>16681</v>
      </c>
      <c r="CB631" s="50" t="s">
        <v>16682</v>
      </c>
      <c r="CC631" s="50" t="s">
        <v>16683</v>
      </c>
      <c r="CD631" s="50" t="s">
        <v>16681</v>
      </c>
      <c r="CE631" s="50" t="s">
        <v>16682</v>
      </c>
      <c r="CF631" s="50" t="s">
        <v>16683</v>
      </c>
      <c r="CG631" s="50" t="s">
        <v>4937</v>
      </c>
      <c r="CH631" s="50" t="s">
        <v>16685</v>
      </c>
      <c r="CJ631" s="50" t="s">
        <v>16686</v>
      </c>
      <c r="CK631" s="50" t="s">
        <v>16685</v>
      </c>
      <c r="CL631" s="50" t="s">
        <v>9329</v>
      </c>
      <c r="CM631" s="50" t="s">
        <v>410</v>
      </c>
      <c r="CN631" s="50" t="s">
        <v>16686</v>
      </c>
      <c r="CP631" s="50" t="s">
        <v>16687</v>
      </c>
      <c r="CQ631" s="50" t="s">
        <v>16687</v>
      </c>
      <c r="CR631" s="50" t="s">
        <v>26050</v>
      </c>
    </row>
    <row r="632" spans="1:96">
      <c r="A632" s="50" t="s">
        <v>337</v>
      </c>
      <c r="B632" s="50">
        <v>3889453</v>
      </c>
      <c r="C632" s="50" t="s">
        <v>13158</v>
      </c>
      <c r="D632" s="50" t="s">
        <v>17275</v>
      </c>
      <c r="E632" s="50" t="e">
        <f>VLOOKUP(B632,aa!B:F,5,0)</f>
        <v>#N/A</v>
      </c>
      <c r="F632" s="50" t="e">
        <f>VLOOKUP(B632,aa!B:J,9,0)</f>
        <v>#N/A</v>
      </c>
      <c r="G632" s="50" t="e">
        <f>VLOOKUP(B632,aa!B:L,11,0)</f>
        <v>#N/A</v>
      </c>
      <c r="H632" s="50" t="e">
        <f>VLOOKUP(B632,aa!B:O,14,0)</f>
        <v>#N/A</v>
      </c>
      <c r="I632" s="50" t="e">
        <f>VLOOKUP(B632,aa!B:R,17,0)</f>
        <v>#N/A</v>
      </c>
      <c r="K632" s="50" t="s">
        <v>97</v>
      </c>
      <c r="L632" s="50">
        <v>0</v>
      </c>
      <c r="M632" s="50">
        <v>0</v>
      </c>
      <c r="N632" s="50">
        <v>0</v>
      </c>
      <c r="O632" s="50">
        <v>677</v>
      </c>
      <c r="P632" s="50" t="s">
        <v>102</v>
      </c>
      <c r="Q632" s="50">
        <v>0</v>
      </c>
      <c r="R632" s="50">
        <v>0</v>
      </c>
      <c r="T632" s="50">
        <v>0</v>
      </c>
      <c r="U632" s="50">
        <v>0</v>
      </c>
      <c r="W632" s="50" t="s">
        <v>102</v>
      </c>
      <c r="X632" s="50" t="s">
        <v>275</v>
      </c>
      <c r="Z632" s="50" t="s">
        <v>12820</v>
      </c>
      <c r="AA632" s="50" t="s">
        <v>109</v>
      </c>
      <c r="AB632" s="50" t="s">
        <v>102</v>
      </c>
      <c r="AC632" s="50" t="s">
        <v>109</v>
      </c>
      <c r="AD632" s="50" t="s">
        <v>102</v>
      </c>
      <c r="AE632" s="50" t="s">
        <v>109</v>
      </c>
      <c r="AF632" s="50" t="s">
        <v>102</v>
      </c>
      <c r="AG632" s="50" t="s">
        <v>109</v>
      </c>
      <c r="AH632" s="50" t="s">
        <v>102</v>
      </c>
      <c r="AI632" s="50" t="s">
        <v>102</v>
      </c>
      <c r="AL632" s="50" t="s">
        <v>102</v>
      </c>
      <c r="AM632" s="50" t="s">
        <v>102</v>
      </c>
      <c r="AN632" s="50" t="s">
        <v>102</v>
      </c>
      <c r="AO632" s="50" t="s">
        <v>115</v>
      </c>
      <c r="AP632" s="50" t="s">
        <v>115</v>
      </c>
      <c r="AU632" s="50" t="s">
        <v>117</v>
      </c>
      <c r="AV632" s="50" t="s">
        <v>118</v>
      </c>
      <c r="AW632" s="50" t="s">
        <v>102</v>
      </c>
      <c r="AX632" s="50" t="s">
        <v>119</v>
      </c>
      <c r="BB632" s="50" t="s">
        <v>120</v>
      </c>
      <c r="BC632" s="50" t="s">
        <v>2127</v>
      </c>
      <c r="BD632" s="50" t="s">
        <v>621</v>
      </c>
      <c r="BE632" s="50" t="s">
        <v>622</v>
      </c>
      <c r="BF632" s="50" t="s">
        <v>976</v>
      </c>
      <c r="BG632" s="50" t="s">
        <v>124</v>
      </c>
      <c r="BH632" s="50" t="s">
        <v>12084</v>
      </c>
      <c r="BI632" s="50" t="s">
        <v>11889</v>
      </c>
      <c r="BJ632" s="50" t="s">
        <v>127</v>
      </c>
      <c r="BK632" s="50" t="s">
        <v>17276</v>
      </c>
      <c r="BL632" s="50" t="s">
        <v>17277</v>
      </c>
      <c r="BM632" s="50" t="s">
        <v>17278</v>
      </c>
      <c r="BN632" s="50" t="s">
        <v>12820</v>
      </c>
      <c r="BO632" s="50" t="s">
        <v>180</v>
      </c>
      <c r="BP632" s="50" t="s">
        <v>180</v>
      </c>
      <c r="BQ632" s="50" t="s">
        <v>8588</v>
      </c>
      <c r="BR632" s="50" t="s">
        <v>14336</v>
      </c>
      <c r="BS632" s="50" t="s">
        <v>2593</v>
      </c>
      <c r="BT632" s="50" t="s">
        <v>4765</v>
      </c>
      <c r="BU632" s="50" t="s">
        <v>17279</v>
      </c>
      <c r="BV632" s="50" t="s">
        <v>14338</v>
      </c>
      <c r="BW632" s="50" t="s">
        <v>598</v>
      </c>
      <c r="BX632" s="50" t="s">
        <v>14339</v>
      </c>
      <c r="BY632" s="50" t="s">
        <v>14340</v>
      </c>
      <c r="BZ632" s="50" t="s">
        <v>17280</v>
      </c>
      <c r="CA632" s="50" t="s">
        <v>14342</v>
      </c>
      <c r="CB632" s="50" t="s">
        <v>8588</v>
      </c>
      <c r="CC632" s="50" t="s">
        <v>14343</v>
      </c>
      <c r="CD632" s="50" t="s">
        <v>14342</v>
      </c>
      <c r="CE632" s="50" t="s">
        <v>8588</v>
      </c>
      <c r="CF632" s="50" t="s">
        <v>14343</v>
      </c>
      <c r="CG632" s="50" t="s">
        <v>907</v>
      </c>
      <c r="CH632" s="50" t="s">
        <v>2127</v>
      </c>
      <c r="CJ632" s="50" t="s">
        <v>6540</v>
      </c>
      <c r="CK632" s="50" t="s">
        <v>17281</v>
      </c>
      <c r="CL632" s="50" t="s">
        <v>2127</v>
      </c>
      <c r="CM632" s="50" t="s">
        <v>621</v>
      </c>
      <c r="CN632" s="50" t="s">
        <v>6540</v>
      </c>
      <c r="CP632" s="50" t="s">
        <v>17282</v>
      </c>
      <c r="CQ632" s="50" t="s">
        <v>17282</v>
      </c>
    </row>
    <row r="633" spans="1:96">
      <c r="A633" s="50" t="s">
        <v>337</v>
      </c>
      <c r="B633" s="50">
        <v>4000118</v>
      </c>
      <c r="C633" s="50" t="s">
        <v>13158</v>
      </c>
      <c r="D633" s="50" t="s">
        <v>8523</v>
      </c>
      <c r="E633" s="50" t="e">
        <f>VLOOKUP(B633,aa!B:F,5,0)</f>
        <v>#N/A</v>
      </c>
      <c r="F633" s="50" t="e">
        <f>VLOOKUP(B633,aa!B:J,9,0)</f>
        <v>#N/A</v>
      </c>
      <c r="G633" s="50" t="e">
        <f>VLOOKUP(B633,aa!B:L,11,0)</f>
        <v>#N/A</v>
      </c>
      <c r="H633" s="50" t="e">
        <f>VLOOKUP(B633,aa!B:O,14,0)</f>
        <v>#N/A</v>
      </c>
      <c r="I633" s="50" t="e">
        <f>VLOOKUP(B633,aa!B:R,17,0)</f>
        <v>#N/A</v>
      </c>
      <c r="K633" s="50" t="s">
        <v>97</v>
      </c>
      <c r="L633" s="50">
        <v>0</v>
      </c>
      <c r="M633" s="50">
        <v>0</v>
      </c>
      <c r="N633" s="50">
        <v>0</v>
      </c>
      <c r="O633" s="50">
        <v>603</v>
      </c>
      <c r="P633" s="50" t="s">
        <v>102</v>
      </c>
      <c r="Q633" s="50">
        <v>0</v>
      </c>
      <c r="R633" s="50">
        <v>0</v>
      </c>
      <c r="T633" s="50">
        <v>0</v>
      </c>
      <c r="U633" s="50">
        <v>0</v>
      </c>
      <c r="W633" s="50" t="s">
        <v>102</v>
      </c>
      <c r="X633" s="50" t="s">
        <v>275</v>
      </c>
      <c r="Z633" s="50" t="s">
        <v>12820</v>
      </c>
      <c r="AA633" s="50" t="s">
        <v>109</v>
      </c>
      <c r="AB633" s="50" t="s">
        <v>102</v>
      </c>
      <c r="AC633" s="50" t="s">
        <v>109</v>
      </c>
      <c r="AD633" s="50" t="s">
        <v>102</v>
      </c>
      <c r="AE633" s="50" t="s">
        <v>109</v>
      </c>
      <c r="AF633" s="50" t="s">
        <v>102</v>
      </c>
      <c r="AG633" s="50" t="s">
        <v>109</v>
      </c>
      <c r="AH633" s="50" t="s">
        <v>102</v>
      </c>
      <c r="AI633" s="50" t="s">
        <v>102</v>
      </c>
      <c r="AL633" s="50" t="s">
        <v>102</v>
      </c>
      <c r="AM633" s="50" t="s">
        <v>102</v>
      </c>
      <c r="AN633" s="50" t="s">
        <v>102</v>
      </c>
      <c r="AO633" s="50" t="s">
        <v>115</v>
      </c>
      <c r="AP633" s="50" t="s">
        <v>115</v>
      </c>
      <c r="AU633" s="50" t="s">
        <v>117</v>
      </c>
      <c r="AV633" s="50" t="s">
        <v>118</v>
      </c>
      <c r="AW633" s="50" t="s">
        <v>102</v>
      </c>
      <c r="AX633" s="50" t="s">
        <v>119</v>
      </c>
      <c r="BB633" s="50" t="s">
        <v>120</v>
      </c>
      <c r="BC633" s="50" t="s">
        <v>8524</v>
      </c>
      <c r="BD633" s="50" t="s">
        <v>1244</v>
      </c>
      <c r="BE633" s="50" t="s">
        <v>122</v>
      </c>
      <c r="BF633" s="50" t="s">
        <v>1244</v>
      </c>
      <c r="BG633" s="50" t="s">
        <v>124</v>
      </c>
      <c r="BH633" s="50" t="s">
        <v>12084</v>
      </c>
      <c r="BI633" s="50" t="s">
        <v>11889</v>
      </c>
      <c r="BJ633" s="50" t="s">
        <v>127</v>
      </c>
      <c r="BK633" s="50" t="s">
        <v>17903</v>
      </c>
      <c r="BL633" s="50" t="s">
        <v>17904</v>
      </c>
      <c r="BM633" s="50" t="s">
        <v>17905</v>
      </c>
      <c r="BN633" s="50" t="s">
        <v>12820</v>
      </c>
      <c r="BO633" s="50" t="s">
        <v>180</v>
      </c>
      <c r="BP633" s="50" t="s">
        <v>505</v>
      </c>
      <c r="BQ633" s="50" t="s">
        <v>8588</v>
      </c>
      <c r="BR633" s="50" t="s">
        <v>14336</v>
      </c>
      <c r="BS633" s="50" t="s">
        <v>2593</v>
      </c>
      <c r="BT633" s="50" t="s">
        <v>4765</v>
      </c>
      <c r="BU633" s="50" t="s">
        <v>17906</v>
      </c>
      <c r="BV633" s="50" t="s">
        <v>14338</v>
      </c>
      <c r="BW633" s="50" t="s">
        <v>598</v>
      </c>
      <c r="BX633" s="50" t="s">
        <v>14339</v>
      </c>
      <c r="BY633" s="50" t="s">
        <v>14340</v>
      </c>
      <c r="BZ633" s="50" t="s">
        <v>17907</v>
      </c>
      <c r="CA633" s="50" t="s">
        <v>14342</v>
      </c>
      <c r="CB633" s="50" t="s">
        <v>8588</v>
      </c>
      <c r="CC633" s="50" t="s">
        <v>14343</v>
      </c>
      <c r="CD633" s="50" t="s">
        <v>14342</v>
      </c>
      <c r="CE633" s="50" t="s">
        <v>8588</v>
      </c>
      <c r="CF633" s="50" t="s">
        <v>14343</v>
      </c>
      <c r="CG633" s="50" t="s">
        <v>102</v>
      </c>
      <c r="CH633" s="50" t="s">
        <v>8524</v>
      </c>
      <c r="CJ633" s="50" t="s">
        <v>17908</v>
      </c>
      <c r="CL633" s="50" t="s">
        <v>8524</v>
      </c>
      <c r="CM633" s="50" t="s">
        <v>1244</v>
      </c>
      <c r="CN633" s="50" t="s">
        <v>17908</v>
      </c>
      <c r="CP633" s="50" t="s">
        <v>17909</v>
      </c>
      <c r="CQ633" s="50" t="s">
        <v>17909</v>
      </c>
    </row>
    <row r="634" spans="1:96">
      <c r="A634" s="50" t="s">
        <v>337</v>
      </c>
      <c r="B634" s="50">
        <v>4000123</v>
      </c>
      <c r="C634" s="50" t="s">
        <v>13158</v>
      </c>
      <c r="D634" s="50" t="s">
        <v>8525</v>
      </c>
      <c r="E634" s="50" t="e">
        <f>VLOOKUP(B634,aa!B:F,5,0)</f>
        <v>#N/A</v>
      </c>
      <c r="F634" s="50" t="e">
        <f>VLOOKUP(B634,aa!B:J,9,0)</f>
        <v>#N/A</v>
      </c>
      <c r="G634" s="50" t="e">
        <f>VLOOKUP(B634,aa!B:L,11,0)</f>
        <v>#N/A</v>
      </c>
      <c r="H634" s="50" t="e">
        <f>VLOOKUP(B634,aa!B:O,14,0)</f>
        <v>#N/A</v>
      </c>
      <c r="I634" s="50" t="e">
        <f>VLOOKUP(B634,aa!B:R,17,0)</f>
        <v>#N/A</v>
      </c>
      <c r="K634" s="50" t="s">
        <v>97</v>
      </c>
      <c r="L634" s="50">
        <v>0</v>
      </c>
      <c r="M634" s="50">
        <v>0</v>
      </c>
      <c r="N634" s="50">
        <v>0</v>
      </c>
      <c r="O634" s="50">
        <v>361</v>
      </c>
      <c r="P634" s="50" t="s">
        <v>102</v>
      </c>
      <c r="Q634" s="50">
        <v>0</v>
      </c>
      <c r="R634" s="50">
        <v>0</v>
      </c>
      <c r="T634" s="50">
        <v>0</v>
      </c>
      <c r="U634" s="50">
        <v>0</v>
      </c>
      <c r="W634" s="50" t="s">
        <v>102</v>
      </c>
      <c r="X634" s="50" t="s">
        <v>275</v>
      </c>
      <c r="Z634" s="50" t="s">
        <v>12820</v>
      </c>
      <c r="AA634" s="50" t="s">
        <v>109</v>
      </c>
      <c r="AB634" s="50" t="s">
        <v>102</v>
      </c>
      <c r="AC634" s="50" t="s">
        <v>109</v>
      </c>
      <c r="AD634" s="50" t="s">
        <v>102</v>
      </c>
      <c r="AE634" s="50" t="s">
        <v>109</v>
      </c>
      <c r="AF634" s="50" t="s">
        <v>102</v>
      </c>
      <c r="AG634" s="50" t="s">
        <v>109</v>
      </c>
      <c r="AH634" s="50" t="s">
        <v>102</v>
      </c>
      <c r="AI634" s="50" t="s">
        <v>102</v>
      </c>
      <c r="AL634" s="50" t="s">
        <v>102</v>
      </c>
      <c r="AM634" s="50" t="s">
        <v>102</v>
      </c>
      <c r="AN634" s="50" t="s">
        <v>102</v>
      </c>
      <c r="AO634" s="50" t="s">
        <v>115</v>
      </c>
      <c r="AP634" s="50" t="s">
        <v>115</v>
      </c>
      <c r="AU634" s="50" t="s">
        <v>117</v>
      </c>
      <c r="AV634" s="50" t="s">
        <v>118</v>
      </c>
      <c r="AW634" s="50" t="s">
        <v>102</v>
      </c>
      <c r="AX634" s="50" t="s">
        <v>119</v>
      </c>
      <c r="BB634" s="50" t="s">
        <v>120</v>
      </c>
      <c r="BC634" s="50" t="s">
        <v>8527</v>
      </c>
      <c r="BD634" s="50" t="s">
        <v>1244</v>
      </c>
      <c r="BE634" s="50" t="s">
        <v>122</v>
      </c>
      <c r="BF634" s="50" t="s">
        <v>1244</v>
      </c>
      <c r="BG634" s="50" t="s">
        <v>124</v>
      </c>
      <c r="BH634" s="50" t="s">
        <v>12084</v>
      </c>
      <c r="BI634" s="50" t="s">
        <v>11889</v>
      </c>
      <c r="BJ634" s="50" t="s">
        <v>127</v>
      </c>
      <c r="BK634" s="50" t="s">
        <v>17910</v>
      </c>
      <c r="BL634" s="50" t="s">
        <v>17911</v>
      </c>
      <c r="BM634" s="50" t="s">
        <v>17912</v>
      </c>
      <c r="BN634" s="50" t="s">
        <v>12820</v>
      </c>
      <c r="BO634" s="50" t="s">
        <v>180</v>
      </c>
      <c r="BP634" s="50" t="s">
        <v>180</v>
      </c>
      <c r="BQ634" s="50" t="s">
        <v>8588</v>
      </c>
      <c r="BR634" s="50" t="s">
        <v>14336</v>
      </c>
      <c r="BS634" s="50" t="s">
        <v>2593</v>
      </c>
      <c r="BT634" s="50" t="s">
        <v>4765</v>
      </c>
      <c r="BU634" s="50" t="s">
        <v>17913</v>
      </c>
      <c r="BV634" s="50" t="s">
        <v>14338</v>
      </c>
      <c r="BW634" s="50" t="s">
        <v>598</v>
      </c>
      <c r="BX634" s="50" t="s">
        <v>14339</v>
      </c>
      <c r="BY634" s="50" t="s">
        <v>14340</v>
      </c>
      <c r="CA634" s="50" t="s">
        <v>14342</v>
      </c>
      <c r="CB634" s="50" t="s">
        <v>8588</v>
      </c>
      <c r="CC634" s="50" t="s">
        <v>14343</v>
      </c>
      <c r="CD634" s="50" t="s">
        <v>14342</v>
      </c>
      <c r="CE634" s="50" t="s">
        <v>8588</v>
      </c>
      <c r="CF634" s="50" t="s">
        <v>14343</v>
      </c>
      <c r="CG634" s="50" t="s">
        <v>102</v>
      </c>
      <c r="CH634" s="50" t="s">
        <v>8527</v>
      </c>
      <c r="CJ634" s="50" t="s">
        <v>17914</v>
      </c>
      <c r="CL634" s="50" t="s">
        <v>8527</v>
      </c>
      <c r="CM634" s="50" t="s">
        <v>1244</v>
      </c>
      <c r="CN634" s="50" t="s">
        <v>17914</v>
      </c>
      <c r="CP634" s="50" t="s">
        <v>17915</v>
      </c>
      <c r="CQ634" s="50" t="s">
        <v>17915</v>
      </c>
    </row>
    <row r="635" spans="1:96">
      <c r="A635" s="50" t="s">
        <v>495</v>
      </c>
      <c r="B635" s="50">
        <v>4000126</v>
      </c>
      <c r="C635" s="50" t="s">
        <v>13158</v>
      </c>
      <c r="D635" s="50" t="s">
        <v>8528</v>
      </c>
      <c r="E635" s="50" t="e">
        <f>VLOOKUP(B635,aa!B:F,5,0)</f>
        <v>#N/A</v>
      </c>
      <c r="F635" s="50" t="e">
        <f>VLOOKUP(B635,aa!B:J,9,0)</f>
        <v>#N/A</v>
      </c>
      <c r="G635" s="50" t="e">
        <f>VLOOKUP(B635,aa!B:L,11,0)</f>
        <v>#N/A</v>
      </c>
      <c r="H635" s="50" t="e">
        <f>VLOOKUP(B635,aa!B:O,14,0)</f>
        <v>#N/A</v>
      </c>
      <c r="I635" s="50" t="e">
        <f>VLOOKUP(B635,aa!B:R,17,0)</f>
        <v>#N/A</v>
      </c>
      <c r="K635" s="50" t="s">
        <v>97</v>
      </c>
      <c r="L635" s="50">
        <v>0</v>
      </c>
      <c r="M635" s="50">
        <v>0</v>
      </c>
      <c r="N635" s="50">
        <v>0</v>
      </c>
      <c r="O635" s="50">
        <v>914</v>
      </c>
      <c r="P635" s="50" t="s">
        <v>102</v>
      </c>
      <c r="Q635" s="50">
        <v>0</v>
      </c>
      <c r="R635" s="50">
        <v>0</v>
      </c>
      <c r="T635" s="50">
        <v>0</v>
      </c>
      <c r="U635" s="50">
        <v>0</v>
      </c>
      <c r="W635" s="50" t="s">
        <v>102</v>
      </c>
      <c r="X635" s="50" t="s">
        <v>275</v>
      </c>
      <c r="Z635" s="50" t="s">
        <v>12820</v>
      </c>
      <c r="AA635" s="50" t="s">
        <v>109</v>
      </c>
      <c r="AB635" s="50" t="s">
        <v>102</v>
      </c>
      <c r="AC635" s="50" t="s">
        <v>109</v>
      </c>
      <c r="AD635" s="50" t="s">
        <v>102</v>
      </c>
      <c r="AE635" s="50" t="s">
        <v>109</v>
      </c>
      <c r="AF635" s="50" t="s">
        <v>102</v>
      </c>
      <c r="AG635" s="50" t="s">
        <v>109</v>
      </c>
      <c r="AH635" s="50" t="s">
        <v>102</v>
      </c>
      <c r="AI635" s="50" t="s">
        <v>102</v>
      </c>
      <c r="AL635" s="50" t="s">
        <v>102</v>
      </c>
      <c r="AM635" s="50" t="s">
        <v>102</v>
      </c>
      <c r="AN635" s="50" t="s">
        <v>102</v>
      </c>
      <c r="AO635" s="50" t="s">
        <v>115</v>
      </c>
      <c r="AP635" s="50" t="s">
        <v>115</v>
      </c>
      <c r="AU635" s="50" t="s">
        <v>117</v>
      </c>
      <c r="AV635" s="50" t="s">
        <v>118</v>
      </c>
      <c r="AW635" s="50" t="s">
        <v>102</v>
      </c>
      <c r="AX635" s="50" t="s">
        <v>119</v>
      </c>
      <c r="BB635" s="50" t="s">
        <v>171</v>
      </c>
      <c r="BC635" s="50" t="s">
        <v>623</v>
      </c>
      <c r="BD635" s="50" t="s">
        <v>621</v>
      </c>
      <c r="BE635" s="50" t="s">
        <v>622</v>
      </c>
      <c r="BF635" s="50" t="s">
        <v>623</v>
      </c>
      <c r="BG635" s="50" t="s">
        <v>124</v>
      </c>
      <c r="BH635" s="50" t="s">
        <v>12084</v>
      </c>
      <c r="BI635" s="50" t="s">
        <v>11889</v>
      </c>
      <c r="BJ635" s="50" t="s">
        <v>127</v>
      </c>
      <c r="BK635" s="50" t="s">
        <v>17916</v>
      </c>
      <c r="BL635" s="50" t="s">
        <v>17917</v>
      </c>
      <c r="BM635" s="50" t="s">
        <v>17918</v>
      </c>
      <c r="BN635" s="50" t="s">
        <v>12820</v>
      </c>
      <c r="BO635" s="50" t="s">
        <v>180</v>
      </c>
      <c r="BP635" s="50" t="s">
        <v>505</v>
      </c>
      <c r="BQ635" s="50" t="s">
        <v>8588</v>
      </c>
      <c r="BR635" s="50" t="s">
        <v>14336</v>
      </c>
      <c r="BS635" s="50" t="s">
        <v>2593</v>
      </c>
      <c r="BT635" s="50" t="s">
        <v>4765</v>
      </c>
      <c r="BU635" s="50" t="s">
        <v>17919</v>
      </c>
      <c r="BV635" s="50" t="s">
        <v>14338</v>
      </c>
      <c r="BW635" s="50" t="s">
        <v>598</v>
      </c>
      <c r="BX635" s="50" t="s">
        <v>14339</v>
      </c>
      <c r="BY635" s="50" t="s">
        <v>14340</v>
      </c>
      <c r="BZ635" s="50" t="s">
        <v>17920</v>
      </c>
      <c r="CA635" s="50" t="s">
        <v>17921</v>
      </c>
      <c r="CB635" s="50" t="s">
        <v>8588</v>
      </c>
      <c r="CC635" s="50" t="s">
        <v>14343</v>
      </c>
      <c r="CD635" s="50" t="s">
        <v>17921</v>
      </c>
      <c r="CE635" s="50" t="s">
        <v>8588</v>
      </c>
      <c r="CF635" s="50" t="s">
        <v>14343</v>
      </c>
      <c r="CG635" s="50" t="s">
        <v>102</v>
      </c>
      <c r="CH635" s="50" t="s">
        <v>623</v>
      </c>
      <c r="CJ635" s="50" t="s">
        <v>17922</v>
      </c>
      <c r="CL635" s="50" t="s">
        <v>623</v>
      </c>
      <c r="CM635" s="50" t="s">
        <v>621</v>
      </c>
      <c r="CN635" s="50" t="s">
        <v>17922</v>
      </c>
      <c r="CP635" s="50" t="s">
        <v>17923</v>
      </c>
      <c r="CQ635" s="50" t="s">
        <v>17923</v>
      </c>
    </row>
    <row r="636" spans="1:96">
      <c r="A636" s="50" t="s">
        <v>337</v>
      </c>
      <c r="B636" s="50">
        <v>4062318</v>
      </c>
      <c r="C636" s="50" t="s">
        <v>13158</v>
      </c>
      <c r="D636" s="50" t="s">
        <v>8657</v>
      </c>
      <c r="E636" s="50" t="e">
        <f>VLOOKUP(B636,aa!B:F,5,0)</f>
        <v>#N/A</v>
      </c>
      <c r="F636" s="50" t="e">
        <f>VLOOKUP(B636,aa!B:J,9,0)</f>
        <v>#N/A</v>
      </c>
      <c r="G636" s="50" t="e">
        <f>VLOOKUP(B636,aa!B:L,11,0)</f>
        <v>#N/A</v>
      </c>
      <c r="H636" s="50" t="e">
        <f>VLOOKUP(B636,aa!B:O,14,0)</f>
        <v>#N/A</v>
      </c>
      <c r="I636" s="50" t="e">
        <f>VLOOKUP(B636,aa!B:R,17,0)</f>
        <v>#N/A</v>
      </c>
      <c r="K636" s="50" t="s">
        <v>97</v>
      </c>
      <c r="L636" s="50">
        <v>0</v>
      </c>
      <c r="M636" s="50">
        <v>0</v>
      </c>
      <c r="N636" s="50">
        <v>0</v>
      </c>
      <c r="O636" s="50">
        <v>270</v>
      </c>
      <c r="P636" s="50" t="s">
        <v>102</v>
      </c>
      <c r="Q636" s="50">
        <v>0</v>
      </c>
      <c r="R636" s="50">
        <v>0</v>
      </c>
      <c r="T636" s="50">
        <v>0</v>
      </c>
      <c r="U636" s="50">
        <v>0</v>
      </c>
      <c r="W636" s="50" t="s">
        <v>102</v>
      </c>
      <c r="X636" s="50" t="s">
        <v>275</v>
      </c>
      <c r="Z636" s="50" t="s">
        <v>12820</v>
      </c>
      <c r="AA636" s="50" t="s">
        <v>109</v>
      </c>
      <c r="AB636" s="50" t="s">
        <v>102</v>
      </c>
      <c r="AC636" s="50" t="s">
        <v>109</v>
      </c>
      <c r="AD636" s="50" t="s">
        <v>102</v>
      </c>
      <c r="AE636" s="50" t="s">
        <v>109</v>
      </c>
      <c r="AF636" s="50" t="s">
        <v>102</v>
      </c>
      <c r="AG636" s="50" t="s">
        <v>109</v>
      </c>
      <c r="AH636" s="50" t="s">
        <v>102</v>
      </c>
      <c r="AI636" s="50" t="s">
        <v>102</v>
      </c>
      <c r="AL636" s="50" t="s">
        <v>102</v>
      </c>
      <c r="AM636" s="50" t="s">
        <v>102</v>
      </c>
      <c r="AN636" s="50" t="s">
        <v>102</v>
      </c>
      <c r="AO636" s="50" t="s">
        <v>115</v>
      </c>
      <c r="AP636" s="50" t="s">
        <v>115</v>
      </c>
      <c r="AU636" s="50" t="s">
        <v>117</v>
      </c>
      <c r="AV636" s="50" t="s">
        <v>118</v>
      </c>
      <c r="AW636" s="50" t="s">
        <v>102</v>
      </c>
      <c r="AX636" s="50" t="s">
        <v>119</v>
      </c>
      <c r="BB636" s="50" t="s">
        <v>120</v>
      </c>
      <c r="BC636" s="50" t="s">
        <v>7718</v>
      </c>
      <c r="BD636" s="50" t="s">
        <v>211</v>
      </c>
      <c r="BE636" s="50" t="s">
        <v>212</v>
      </c>
      <c r="BF636" s="50" t="s">
        <v>213</v>
      </c>
      <c r="BG636" s="50" t="s">
        <v>124</v>
      </c>
      <c r="BH636" s="50" t="s">
        <v>12084</v>
      </c>
      <c r="BI636" s="50" t="s">
        <v>11889</v>
      </c>
      <c r="BJ636" s="50" t="s">
        <v>127</v>
      </c>
      <c r="BK636" s="50" t="s">
        <v>18025</v>
      </c>
      <c r="BL636" s="50" t="s">
        <v>18026</v>
      </c>
      <c r="BM636" s="50" t="s">
        <v>18027</v>
      </c>
      <c r="BN636" s="50" t="s">
        <v>12820</v>
      </c>
      <c r="BO636" s="50" t="s">
        <v>180</v>
      </c>
      <c r="BP636" s="50" t="s">
        <v>180</v>
      </c>
      <c r="BQ636" s="50" t="s">
        <v>8588</v>
      </c>
      <c r="BR636" s="50" t="s">
        <v>14336</v>
      </c>
      <c r="BS636" s="50" t="s">
        <v>2593</v>
      </c>
      <c r="BT636" s="50" t="s">
        <v>4765</v>
      </c>
      <c r="BU636" s="50" t="s">
        <v>18028</v>
      </c>
      <c r="BV636" s="50" t="s">
        <v>14338</v>
      </c>
      <c r="BW636" s="50" t="s">
        <v>598</v>
      </c>
      <c r="BX636" s="50" t="s">
        <v>14339</v>
      </c>
      <c r="BY636" s="50" t="s">
        <v>14340</v>
      </c>
      <c r="BZ636" s="50" t="s">
        <v>18029</v>
      </c>
      <c r="CA636" s="50" t="s">
        <v>14342</v>
      </c>
      <c r="CB636" s="50" t="s">
        <v>8588</v>
      </c>
      <c r="CC636" s="50" t="s">
        <v>14343</v>
      </c>
      <c r="CD636" s="50" t="s">
        <v>14342</v>
      </c>
      <c r="CE636" s="50" t="s">
        <v>8588</v>
      </c>
      <c r="CF636" s="50" t="s">
        <v>14343</v>
      </c>
      <c r="CG636" s="50" t="s">
        <v>907</v>
      </c>
      <c r="CH636" s="50" t="s">
        <v>920</v>
      </c>
      <c r="CJ636" s="50" t="s">
        <v>5844</v>
      </c>
      <c r="CK636" s="50" t="s">
        <v>18030</v>
      </c>
      <c r="CL636" s="50" t="s">
        <v>7718</v>
      </c>
      <c r="CM636" s="50" t="s">
        <v>211</v>
      </c>
      <c r="CN636" s="50" t="s">
        <v>5844</v>
      </c>
      <c r="CP636" s="50" t="s">
        <v>18030</v>
      </c>
      <c r="CQ636" s="50" t="s">
        <v>18030</v>
      </c>
    </row>
    <row r="637" spans="1:96">
      <c r="A637" s="50" t="s">
        <v>495</v>
      </c>
      <c r="B637" s="50">
        <v>434619</v>
      </c>
      <c r="C637" s="50" t="s">
        <v>13158</v>
      </c>
      <c r="D637" s="50" t="s">
        <v>8942</v>
      </c>
      <c r="E637" s="50" t="e">
        <f>VLOOKUP(B637,aa!B:F,5,0)</f>
        <v>#N/A</v>
      </c>
      <c r="F637" s="50" t="e">
        <f>VLOOKUP(B637,aa!B:J,9,0)</f>
        <v>#N/A</v>
      </c>
      <c r="G637" s="50" t="e">
        <f>VLOOKUP(B637,aa!B:L,11,0)</f>
        <v>#N/A</v>
      </c>
      <c r="H637" s="50" t="e">
        <f>VLOOKUP(B637,aa!B:O,14,0)</f>
        <v>#N/A</v>
      </c>
      <c r="I637" s="50" t="e">
        <f>VLOOKUP(B637,aa!B:R,17,0)</f>
        <v>#N/A</v>
      </c>
      <c r="K637" s="50" t="s">
        <v>97</v>
      </c>
      <c r="L637" s="50">
        <v>0</v>
      </c>
      <c r="M637" s="50">
        <v>0</v>
      </c>
      <c r="N637" s="50">
        <v>0</v>
      </c>
      <c r="O637" s="50">
        <v>518</v>
      </c>
      <c r="P637" s="50" t="s">
        <v>102</v>
      </c>
      <c r="Q637" s="50">
        <v>0</v>
      </c>
      <c r="R637" s="50">
        <v>0</v>
      </c>
      <c r="T637" s="50">
        <v>0</v>
      </c>
      <c r="U637" s="50">
        <v>0</v>
      </c>
      <c r="W637" s="50" t="s">
        <v>102</v>
      </c>
      <c r="X637" s="50" t="s">
        <v>275</v>
      </c>
      <c r="Z637" s="50" t="s">
        <v>12820</v>
      </c>
      <c r="AA637" s="50" t="s">
        <v>109</v>
      </c>
      <c r="AB637" s="50" t="s">
        <v>102</v>
      </c>
      <c r="AC637" s="50" t="s">
        <v>109</v>
      </c>
      <c r="AD637" s="50" t="s">
        <v>102</v>
      </c>
      <c r="AE637" s="50" t="s">
        <v>109</v>
      </c>
      <c r="AF637" s="50" t="s">
        <v>102</v>
      </c>
      <c r="AG637" s="50" t="s">
        <v>109</v>
      </c>
      <c r="AH637" s="50" t="s">
        <v>102</v>
      </c>
      <c r="AI637" s="50" t="s">
        <v>102</v>
      </c>
      <c r="AL637" s="50" t="s">
        <v>102</v>
      </c>
      <c r="AM637" s="50" t="s">
        <v>102</v>
      </c>
      <c r="AN637" s="50" t="s">
        <v>102</v>
      </c>
      <c r="AO637" s="50" t="s">
        <v>115</v>
      </c>
      <c r="AP637" s="50" t="s">
        <v>115</v>
      </c>
      <c r="AU637" s="50" t="s">
        <v>117</v>
      </c>
      <c r="AV637" s="50" t="s">
        <v>118</v>
      </c>
      <c r="AW637" s="50" t="s">
        <v>102</v>
      </c>
      <c r="AX637" s="50" t="s">
        <v>119</v>
      </c>
      <c r="BB637" s="50" t="s">
        <v>171</v>
      </c>
      <c r="BC637" s="50" t="s">
        <v>623</v>
      </c>
      <c r="BD637" s="50" t="s">
        <v>621</v>
      </c>
      <c r="BE637" s="50" t="s">
        <v>622</v>
      </c>
      <c r="BF637" s="50" t="s">
        <v>623</v>
      </c>
      <c r="BG637" s="50" t="s">
        <v>124</v>
      </c>
      <c r="BH637" s="50" t="s">
        <v>12084</v>
      </c>
      <c r="BI637" s="50" t="s">
        <v>11889</v>
      </c>
      <c r="BJ637" s="50" t="s">
        <v>127</v>
      </c>
      <c r="BK637" s="50" t="s">
        <v>18317</v>
      </c>
      <c r="BL637" s="50" t="s">
        <v>18318</v>
      </c>
      <c r="BM637" s="50" t="s">
        <v>18319</v>
      </c>
      <c r="BN637" s="50" t="s">
        <v>12820</v>
      </c>
      <c r="BO637" s="50" t="s">
        <v>180</v>
      </c>
      <c r="BP637" s="50" t="s">
        <v>180</v>
      </c>
      <c r="BQ637" s="50" t="s">
        <v>8588</v>
      </c>
      <c r="BR637" s="50" t="s">
        <v>14336</v>
      </c>
      <c r="BS637" s="50" t="s">
        <v>2593</v>
      </c>
      <c r="BT637" s="50" t="s">
        <v>4765</v>
      </c>
      <c r="BU637" s="50" t="s">
        <v>18320</v>
      </c>
      <c r="BV637" s="50" t="s">
        <v>14338</v>
      </c>
      <c r="BW637" s="50" t="s">
        <v>598</v>
      </c>
      <c r="BX637" s="50" t="s">
        <v>14339</v>
      </c>
      <c r="BY637" s="50" t="s">
        <v>14340</v>
      </c>
      <c r="BZ637" s="50" t="s">
        <v>18321</v>
      </c>
      <c r="CA637" s="50" t="s">
        <v>14342</v>
      </c>
      <c r="CB637" s="50" t="s">
        <v>8588</v>
      </c>
      <c r="CC637" s="50" t="s">
        <v>14343</v>
      </c>
      <c r="CD637" s="50" t="s">
        <v>14342</v>
      </c>
      <c r="CE637" s="50" t="s">
        <v>8588</v>
      </c>
      <c r="CF637" s="50" t="s">
        <v>14343</v>
      </c>
      <c r="CG637" s="50" t="s">
        <v>102</v>
      </c>
      <c r="CH637" s="50" t="s">
        <v>623</v>
      </c>
      <c r="CJ637" s="50" t="s">
        <v>18322</v>
      </c>
      <c r="CL637" s="50" t="s">
        <v>623</v>
      </c>
      <c r="CM637" s="50" t="s">
        <v>621</v>
      </c>
      <c r="CN637" s="50" t="s">
        <v>18322</v>
      </c>
      <c r="CP637" s="50" t="s">
        <v>18323</v>
      </c>
      <c r="CQ637" s="50" t="s">
        <v>18323</v>
      </c>
    </row>
    <row r="638" spans="1:96">
      <c r="A638" s="50" t="s">
        <v>337</v>
      </c>
      <c r="B638" s="50">
        <v>5017050</v>
      </c>
      <c r="C638" s="50" t="s">
        <v>985</v>
      </c>
      <c r="D638" s="50" t="s">
        <v>3879</v>
      </c>
      <c r="E638" s="50" t="e">
        <f>VLOOKUP(B638,aa!B:F,5,0)</f>
        <v>#N/A</v>
      </c>
      <c r="F638" s="50" t="e">
        <f>VLOOKUP(B638,aa!B:J,9,0)</f>
        <v>#N/A</v>
      </c>
      <c r="G638" s="50" t="e">
        <f>VLOOKUP(B638,aa!B:L,11,0)</f>
        <v>#N/A</v>
      </c>
      <c r="H638" s="50" t="e">
        <f>VLOOKUP(B638,aa!B:O,14,0)</f>
        <v>#N/A</v>
      </c>
      <c r="I638" s="50" t="e">
        <f>VLOOKUP(B638,aa!B:R,17,0)</f>
        <v>#N/A</v>
      </c>
      <c r="K638" s="50" t="s">
        <v>97</v>
      </c>
      <c r="L638" s="50">
        <v>0</v>
      </c>
      <c r="M638" s="50">
        <v>0</v>
      </c>
      <c r="N638" s="50">
        <v>0</v>
      </c>
      <c r="O638" s="50">
        <v>200</v>
      </c>
      <c r="P638" s="50" t="s">
        <v>102</v>
      </c>
      <c r="Q638" s="50">
        <v>0</v>
      </c>
      <c r="R638" s="50">
        <v>0</v>
      </c>
      <c r="T638" s="50">
        <v>0</v>
      </c>
      <c r="U638" s="50">
        <v>0</v>
      </c>
      <c r="W638" s="50" t="s">
        <v>102</v>
      </c>
      <c r="X638" s="50" t="s">
        <v>275</v>
      </c>
      <c r="Z638" s="50" t="s">
        <v>18984</v>
      </c>
      <c r="AA638" s="50" t="s">
        <v>109</v>
      </c>
      <c r="AB638" s="50" t="s">
        <v>102</v>
      </c>
      <c r="AC638" s="50" t="s">
        <v>109</v>
      </c>
      <c r="AD638" s="50" t="s">
        <v>102</v>
      </c>
      <c r="AE638" s="50" t="s">
        <v>109</v>
      </c>
      <c r="AF638" s="50" t="s">
        <v>102</v>
      </c>
      <c r="AG638" s="50" t="s">
        <v>109</v>
      </c>
      <c r="AH638" s="50" t="s">
        <v>102</v>
      </c>
      <c r="AI638" s="50" t="s">
        <v>102</v>
      </c>
      <c r="AL638" s="50" t="s">
        <v>102</v>
      </c>
      <c r="AM638" s="50" t="s">
        <v>102</v>
      </c>
      <c r="AN638" s="50" t="s">
        <v>102</v>
      </c>
      <c r="AO638" s="50" t="s">
        <v>115</v>
      </c>
      <c r="AP638" s="50" t="s">
        <v>115</v>
      </c>
      <c r="AU638" s="50" t="s">
        <v>117</v>
      </c>
      <c r="AV638" s="50" t="s">
        <v>118</v>
      </c>
      <c r="AW638" s="50" t="s">
        <v>102</v>
      </c>
      <c r="AX638" s="50" t="s">
        <v>119</v>
      </c>
      <c r="BB638" s="50" t="s">
        <v>120</v>
      </c>
      <c r="BC638" s="50" t="s">
        <v>8152</v>
      </c>
      <c r="BD638" s="50" t="s">
        <v>621</v>
      </c>
      <c r="BE638" s="50" t="s">
        <v>622</v>
      </c>
      <c r="BF638" s="50" t="s">
        <v>976</v>
      </c>
      <c r="BG638" s="50" t="s">
        <v>124</v>
      </c>
      <c r="BH638" s="50" t="s">
        <v>12084</v>
      </c>
      <c r="BI638" s="50" t="s">
        <v>11889</v>
      </c>
      <c r="BJ638" s="50" t="s">
        <v>127</v>
      </c>
      <c r="BK638" s="50" t="s">
        <v>18985</v>
      </c>
      <c r="BL638" s="50" t="s">
        <v>18986</v>
      </c>
      <c r="BM638" s="50" t="s">
        <v>18987</v>
      </c>
      <c r="BN638" s="50" t="s">
        <v>12820</v>
      </c>
      <c r="BO638" s="50" t="s">
        <v>505</v>
      </c>
      <c r="BP638" s="50" t="s">
        <v>505</v>
      </c>
      <c r="BQ638" s="50" t="s">
        <v>225</v>
      </c>
      <c r="BR638" s="50" t="s">
        <v>506</v>
      </c>
      <c r="BS638" s="50" t="s">
        <v>2593</v>
      </c>
      <c r="BT638" s="50" t="s">
        <v>4765</v>
      </c>
      <c r="BU638" s="50" t="s">
        <v>18988</v>
      </c>
      <c r="BV638" s="50" t="s">
        <v>14338</v>
      </c>
      <c r="BW638" s="50" t="s">
        <v>598</v>
      </c>
      <c r="BX638" s="50" t="s">
        <v>14339</v>
      </c>
      <c r="BY638" s="50" t="s">
        <v>14340</v>
      </c>
      <c r="BZ638" s="50" t="s">
        <v>18989</v>
      </c>
      <c r="CA638" s="50" t="s">
        <v>14338</v>
      </c>
      <c r="CB638" s="50" t="s">
        <v>14339</v>
      </c>
      <c r="CC638" s="50" t="s">
        <v>14340</v>
      </c>
      <c r="CD638" s="50" t="s">
        <v>14338</v>
      </c>
      <c r="CE638" s="50" t="s">
        <v>14339</v>
      </c>
      <c r="CF638" s="50" t="s">
        <v>14340</v>
      </c>
      <c r="CG638" s="50" t="s">
        <v>18990</v>
      </c>
      <c r="CH638" s="50" t="s">
        <v>8152</v>
      </c>
      <c r="CJ638" s="50" t="s">
        <v>10909</v>
      </c>
      <c r="CK638" s="50" t="s">
        <v>18991</v>
      </c>
      <c r="CL638" s="50" t="s">
        <v>8152</v>
      </c>
      <c r="CM638" s="50" t="s">
        <v>621</v>
      </c>
      <c r="CN638" s="50" t="s">
        <v>10909</v>
      </c>
      <c r="CP638" s="50" t="s">
        <v>18992</v>
      </c>
      <c r="CQ638" s="50" t="s">
        <v>18992</v>
      </c>
    </row>
    <row r="639" spans="1:96">
      <c r="A639" s="50" t="s">
        <v>337</v>
      </c>
      <c r="B639" s="50">
        <v>5108173</v>
      </c>
      <c r="C639" s="50" t="s">
        <v>13158</v>
      </c>
      <c r="D639" s="50" t="s">
        <v>20939</v>
      </c>
      <c r="E639" s="50" t="e">
        <f>VLOOKUP(B639,aa!B:F,5,0)</f>
        <v>#N/A</v>
      </c>
      <c r="F639" s="50" t="e">
        <f>VLOOKUP(B639,aa!B:J,9,0)</f>
        <v>#N/A</v>
      </c>
      <c r="G639" s="50" t="e">
        <f>VLOOKUP(B639,aa!B:L,11,0)</f>
        <v>#N/A</v>
      </c>
      <c r="H639" s="50" t="e">
        <f>VLOOKUP(B639,aa!B:O,14,0)</f>
        <v>#N/A</v>
      </c>
      <c r="I639" s="50" t="e">
        <f>VLOOKUP(B639,aa!B:R,17,0)</f>
        <v>#N/A</v>
      </c>
      <c r="K639" s="50" t="s">
        <v>97</v>
      </c>
      <c r="L639" s="50">
        <v>0</v>
      </c>
      <c r="M639" s="50">
        <v>0</v>
      </c>
      <c r="N639" s="50">
        <v>0</v>
      </c>
      <c r="O639" s="50">
        <v>248</v>
      </c>
      <c r="P639" s="50" t="s">
        <v>102</v>
      </c>
      <c r="Q639" s="50">
        <v>0</v>
      </c>
      <c r="R639" s="50">
        <v>0</v>
      </c>
      <c r="T639" s="50">
        <v>0</v>
      </c>
      <c r="U639" s="50">
        <v>0</v>
      </c>
      <c r="W639" s="50" t="s">
        <v>102</v>
      </c>
      <c r="X639" s="50" t="s">
        <v>275</v>
      </c>
      <c r="Z639" s="50" t="s">
        <v>18984</v>
      </c>
      <c r="AA639" s="50" t="s">
        <v>109</v>
      </c>
      <c r="AB639" s="50" t="s">
        <v>102</v>
      </c>
      <c r="AC639" s="50" t="s">
        <v>109</v>
      </c>
      <c r="AD639" s="50" t="s">
        <v>102</v>
      </c>
      <c r="AE639" s="50" t="s">
        <v>109</v>
      </c>
      <c r="AF639" s="50" t="s">
        <v>102</v>
      </c>
      <c r="AG639" s="50" t="s">
        <v>109</v>
      </c>
      <c r="AH639" s="50" t="s">
        <v>102</v>
      </c>
      <c r="AI639" s="50" t="s">
        <v>102</v>
      </c>
      <c r="AL639" s="50" t="s">
        <v>102</v>
      </c>
      <c r="AM639" s="50" t="s">
        <v>102</v>
      </c>
      <c r="AN639" s="50" t="s">
        <v>102</v>
      </c>
      <c r="AO639" s="50" t="s">
        <v>115</v>
      </c>
      <c r="AP639" s="50" t="s">
        <v>115</v>
      </c>
      <c r="AU639" s="50" t="s">
        <v>117</v>
      </c>
      <c r="AV639" s="50" t="s">
        <v>118</v>
      </c>
      <c r="AW639" s="50" t="s">
        <v>102</v>
      </c>
      <c r="AX639" s="50" t="s">
        <v>119</v>
      </c>
      <c r="BB639" s="50" t="s">
        <v>1964</v>
      </c>
      <c r="BC639" s="50" t="s">
        <v>1759</v>
      </c>
      <c r="BD639" s="50" t="s">
        <v>410</v>
      </c>
      <c r="BE639" s="50" t="s">
        <v>212</v>
      </c>
      <c r="BF639" s="50" t="s">
        <v>410</v>
      </c>
      <c r="BG639" s="50" t="s">
        <v>124</v>
      </c>
      <c r="BH639" s="50" t="s">
        <v>12084</v>
      </c>
      <c r="BI639" s="50" t="s">
        <v>11889</v>
      </c>
      <c r="BJ639" s="50" t="s">
        <v>127</v>
      </c>
      <c r="BK639" s="50" t="s">
        <v>20940</v>
      </c>
      <c r="BL639" s="50" t="s">
        <v>20941</v>
      </c>
      <c r="BM639" s="50" t="s">
        <v>20942</v>
      </c>
      <c r="BN639" s="50" t="s">
        <v>12820</v>
      </c>
      <c r="BO639" s="50" t="s">
        <v>505</v>
      </c>
      <c r="BP639" s="50" t="s">
        <v>505</v>
      </c>
      <c r="BQ639" s="50" t="s">
        <v>225</v>
      </c>
      <c r="BR639" s="50" t="s">
        <v>506</v>
      </c>
      <c r="BS639" s="50" t="s">
        <v>2593</v>
      </c>
      <c r="BT639" s="50" t="s">
        <v>4765</v>
      </c>
      <c r="BU639" s="50" t="s">
        <v>20943</v>
      </c>
      <c r="BV639" s="50" t="s">
        <v>14338</v>
      </c>
      <c r="BW639" s="50" t="s">
        <v>598</v>
      </c>
      <c r="BX639" s="50" t="s">
        <v>14339</v>
      </c>
      <c r="BY639" s="50" t="s">
        <v>14340</v>
      </c>
      <c r="CA639" s="50" t="s">
        <v>14338</v>
      </c>
      <c r="CB639" s="50" t="s">
        <v>14339</v>
      </c>
      <c r="CC639" s="50" t="s">
        <v>14340</v>
      </c>
      <c r="CD639" s="50" t="s">
        <v>14338</v>
      </c>
      <c r="CE639" s="50" t="s">
        <v>14339</v>
      </c>
      <c r="CF639" s="50" t="s">
        <v>14340</v>
      </c>
      <c r="CG639" s="50" t="s">
        <v>102</v>
      </c>
      <c r="CH639" s="50" t="s">
        <v>20944</v>
      </c>
      <c r="CJ639" s="50" t="s">
        <v>3654</v>
      </c>
      <c r="CL639" s="50" t="s">
        <v>1759</v>
      </c>
      <c r="CM639" s="50" t="s">
        <v>410</v>
      </c>
      <c r="CN639" s="50" t="s">
        <v>3654</v>
      </c>
      <c r="CP639" s="50" t="s">
        <v>20944</v>
      </c>
      <c r="CQ639" s="50" t="s">
        <v>20944</v>
      </c>
    </row>
    <row r="640" spans="1:96">
      <c r="A640" s="50" t="s">
        <v>337</v>
      </c>
      <c r="B640" s="50">
        <v>5108240</v>
      </c>
      <c r="C640" s="50" t="s">
        <v>13158</v>
      </c>
      <c r="D640" s="50" t="s">
        <v>20945</v>
      </c>
      <c r="E640" s="50" t="e">
        <f>VLOOKUP(B640,aa!B:F,5,0)</f>
        <v>#N/A</v>
      </c>
      <c r="F640" s="50" t="e">
        <f>VLOOKUP(B640,aa!B:J,9,0)</f>
        <v>#N/A</v>
      </c>
      <c r="G640" s="50" t="e">
        <f>VLOOKUP(B640,aa!B:L,11,0)</f>
        <v>#N/A</v>
      </c>
      <c r="H640" s="50" t="e">
        <f>VLOOKUP(B640,aa!B:O,14,0)</f>
        <v>#N/A</v>
      </c>
      <c r="I640" s="50" t="e">
        <f>VLOOKUP(B640,aa!B:R,17,0)</f>
        <v>#N/A</v>
      </c>
      <c r="K640" s="50" t="s">
        <v>97</v>
      </c>
      <c r="L640" s="50">
        <v>0</v>
      </c>
      <c r="M640" s="50">
        <v>0</v>
      </c>
      <c r="N640" s="50">
        <v>0</v>
      </c>
      <c r="O640" s="50">
        <v>298</v>
      </c>
      <c r="P640" s="50" t="s">
        <v>102</v>
      </c>
      <c r="Q640" s="50">
        <v>0</v>
      </c>
      <c r="R640" s="50">
        <v>0</v>
      </c>
      <c r="T640" s="50">
        <v>0</v>
      </c>
      <c r="U640" s="50">
        <v>0</v>
      </c>
      <c r="W640" s="50" t="s">
        <v>102</v>
      </c>
      <c r="X640" s="50" t="s">
        <v>275</v>
      </c>
      <c r="Z640" s="50" t="s">
        <v>18984</v>
      </c>
      <c r="AA640" s="50" t="s">
        <v>109</v>
      </c>
      <c r="AB640" s="50" t="s">
        <v>102</v>
      </c>
      <c r="AC640" s="50" t="s">
        <v>109</v>
      </c>
      <c r="AD640" s="50" t="s">
        <v>102</v>
      </c>
      <c r="AE640" s="50" t="s">
        <v>109</v>
      </c>
      <c r="AF640" s="50" t="s">
        <v>102</v>
      </c>
      <c r="AG640" s="50" t="s">
        <v>109</v>
      </c>
      <c r="AH640" s="50" t="s">
        <v>102</v>
      </c>
      <c r="AI640" s="50" t="s">
        <v>102</v>
      </c>
      <c r="AL640" s="50" t="s">
        <v>102</v>
      </c>
      <c r="AM640" s="50" t="s">
        <v>102</v>
      </c>
      <c r="AN640" s="50" t="s">
        <v>102</v>
      </c>
      <c r="AO640" s="50" t="s">
        <v>115</v>
      </c>
      <c r="AP640" s="50" t="s">
        <v>115</v>
      </c>
      <c r="AU640" s="50" t="s">
        <v>117</v>
      </c>
      <c r="AV640" s="50" t="s">
        <v>118</v>
      </c>
      <c r="AW640" s="50" t="s">
        <v>102</v>
      </c>
      <c r="AX640" s="50" t="s">
        <v>119</v>
      </c>
      <c r="BB640" s="50" t="s">
        <v>1964</v>
      </c>
      <c r="BC640" s="50" t="s">
        <v>1759</v>
      </c>
      <c r="BD640" s="50" t="s">
        <v>410</v>
      </c>
      <c r="BE640" s="50" t="s">
        <v>212</v>
      </c>
      <c r="BF640" s="50" t="s">
        <v>410</v>
      </c>
      <c r="BG640" s="50" t="s">
        <v>124</v>
      </c>
      <c r="BH640" s="50" t="s">
        <v>12084</v>
      </c>
      <c r="BI640" s="50" t="s">
        <v>11889</v>
      </c>
      <c r="BJ640" s="50" t="s">
        <v>127</v>
      </c>
      <c r="BK640" s="50" t="s">
        <v>20946</v>
      </c>
      <c r="BL640" s="50" t="s">
        <v>20947</v>
      </c>
      <c r="BM640" s="50" t="s">
        <v>20948</v>
      </c>
      <c r="BN640" s="50" t="s">
        <v>12820</v>
      </c>
      <c r="BO640" s="50" t="s">
        <v>505</v>
      </c>
      <c r="BP640" s="50" t="s">
        <v>505</v>
      </c>
      <c r="BQ640" s="50" t="s">
        <v>225</v>
      </c>
      <c r="BR640" s="50" t="s">
        <v>506</v>
      </c>
      <c r="BS640" s="50" t="s">
        <v>2593</v>
      </c>
      <c r="BT640" s="50" t="s">
        <v>4765</v>
      </c>
      <c r="BU640" s="50" t="s">
        <v>20949</v>
      </c>
      <c r="BV640" s="50" t="s">
        <v>14338</v>
      </c>
      <c r="BW640" s="50" t="s">
        <v>598</v>
      </c>
      <c r="BX640" s="50" t="s">
        <v>14339</v>
      </c>
      <c r="BY640" s="50" t="s">
        <v>14340</v>
      </c>
      <c r="CA640" s="50" t="s">
        <v>14338</v>
      </c>
      <c r="CB640" s="50" t="s">
        <v>14339</v>
      </c>
      <c r="CC640" s="50" t="s">
        <v>14340</v>
      </c>
      <c r="CD640" s="50" t="s">
        <v>14338</v>
      </c>
      <c r="CE640" s="50" t="s">
        <v>14339</v>
      </c>
      <c r="CF640" s="50" t="s">
        <v>14340</v>
      </c>
      <c r="CG640" s="50" t="s">
        <v>102</v>
      </c>
      <c r="CH640" s="50" t="s">
        <v>20950</v>
      </c>
      <c r="CJ640" s="50" t="s">
        <v>6272</v>
      </c>
      <c r="CL640" s="50" t="s">
        <v>1759</v>
      </c>
      <c r="CM640" s="50" t="s">
        <v>410</v>
      </c>
      <c r="CN640" s="50" t="s">
        <v>6272</v>
      </c>
      <c r="CP640" s="50" t="s">
        <v>20950</v>
      </c>
      <c r="CQ640" s="50" t="s">
        <v>20950</v>
      </c>
    </row>
    <row r="641" spans="1:96">
      <c r="A641" s="50" t="s">
        <v>337</v>
      </c>
      <c r="B641" s="50">
        <v>5108368</v>
      </c>
      <c r="C641" s="50" t="s">
        <v>13158</v>
      </c>
      <c r="D641" s="50" t="s">
        <v>20951</v>
      </c>
      <c r="E641" s="50" t="e">
        <f>VLOOKUP(B641,aa!B:F,5,0)</f>
        <v>#N/A</v>
      </c>
      <c r="F641" s="50" t="e">
        <f>VLOOKUP(B641,aa!B:J,9,0)</f>
        <v>#N/A</v>
      </c>
      <c r="G641" s="50" t="e">
        <f>VLOOKUP(B641,aa!B:L,11,0)</f>
        <v>#N/A</v>
      </c>
      <c r="H641" s="50" t="e">
        <f>VLOOKUP(B641,aa!B:O,14,0)</f>
        <v>#N/A</v>
      </c>
      <c r="I641" s="50" t="e">
        <f>VLOOKUP(B641,aa!B:R,17,0)</f>
        <v>#N/A</v>
      </c>
      <c r="K641" s="50" t="s">
        <v>97</v>
      </c>
      <c r="L641" s="50">
        <v>0</v>
      </c>
      <c r="M641" s="50">
        <v>0</v>
      </c>
      <c r="N641" s="50">
        <v>0</v>
      </c>
      <c r="O641" s="50">
        <v>503</v>
      </c>
      <c r="P641" s="50" t="s">
        <v>102</v>
      </c>
      <c r="Q641" s="50">
        <v>0</v>
      </c>
      <c r="R641" s="50">
        <v>0</v>
      </c>
      <c r="T641" s="50">
        <v>0</v>
      </c>
      <c r="U641" s="50">
        <v>0</v>
      </c>
      <c r="W641" s="50" t="s">
        <v>102</v>
      </c>
      <c r="X641" s="50" t="s">
        <v>275</v>
      </c>
      <c r="Z641" s="50" t="s">
        <v>18984</v>
      </c>
      <c r="AA641" s="50" t="s">
        <v>109</v>
      </c>
      <c r="AB641" s="50" t="s">
        <v>102</v>
      </c>
      <c r="AC641" s="50" t="s">
        <v>109</v>
      </c>
      <c r="AD641" s="50" t="s">
        <v>102</v>
      </c>
      <c r="AE641" s="50" t="s">
        <v>109</v>
      </c>
      <c r="AF641" s="50" t="s">
        <v>102</v>
      </c>
      <c r="AG641" s="50" t="s">
        <v>109</v>
      </c>
      <c r="AH641" s="50" t="s">
        <v>102</v>
      </c>
      <c r="AI641" s="50" t="s">
        <v>102</v>
      </c>
      <c r="AL641" s="50" t="s">
        <v>102</v>
      </c>
      <c r="AM641" s="50" t="s">
        <v>102</v>
      </c>
      <c r="AN641" s="50" t="s">
        <v>102</v>
      </c>
      <c r="AO641" s="50" t="s">
        <v>115</v>
      </c>
      <c r="AP641" s="50" t="s">
        <v>115</v>
      </c>
      <c r="AU641" s="50" t="s">
        <v>117</v>
      </c>
      <c r="AV641" s="50" t="s">
        <v>118</v>
      </c>
      <c r="AW641" s="50" t="s">
        <v>102</v>
      </c>
      <c r="AX641" s="50" t="s">
        <v>119</v>
      </c>
      <c r="BB641" s="50" t="s">
        <v>1964</v>
      </c>
      <c r="BC641" s="50" t="s">
        <v>1759</v>
      </c>
      <c r="BD641" s="50" t="s">
        <v>410</v>
      </c>
      <c r="BE641" s="50" t="s">
        <v>212</v>
      </c>
      <c r="BF641" s="50" t="s">
        <v>410</v>
      </c>
      <c r="BG641" s="50" t="s">
        <v>124</v>
      </c>
      <c r="BH641" s="50" t="s">
        <v>12084</v>
      </c>
      <c r="BI641" s="50" t="s">
        <v>11889</v>
      </c>
      <c r="BJ641" s="50" t="s">
        <v>127</v>
      </c>
      <c r="BK641" s="50" t="s">
        <v>20952</v>
      </c>
      <c r="BL641" s="50" t="s">
        <v>20953</v>
      </c>
      <c r="BM641" s="50" t="s">
        <v>20954</v>
      </c>
      <c r="BN641" s="50" t="s">
        <v>12820</v>
      </c>
      <c r="BO641" s="50" t="s">
        <v>505</v>
      </c>
      <c r="BP641" s="50" t="s">
        <v>505</v>
      </c>
      <c r="BQ641" s="50" t="s">
        <v>225</v>
      </c>
      <c r="BR641" s="50" t="s">
        <v>506</v>
      </c>
      <c r="BS641" s="50" t="s">
        <v>2593</v>
      </c>
      <c r="BT641" s="50" t="s">
        <v>4765</v>
      </c>
      <c r="BU641" s="50" t="s">
        <v>20955</v>
      </c>
      <c r="BV641" s="50" t="s">
        <v>14338</v>
      </c>
      <c r="BW641" s="50" t="s">
        <v>598</v>
      </c>
      <c r="BX641" s="50" t="s">
        <v>14339</v>
      </c>
      <c r="BY641" s="50" t="s">
        <v>14340</v>
      </c>
      <c r="CA641" s="50" t="s">
        <v>14338</v>
      </c>
      <c r="CB641" s="50" t="s">
        <v>14339</v>
      </c>
      <c r="CC641" s="50" t="s">
        <v>14340</v>
      </c>
      <c r="CD641" s="50" t="s">
        <v>14338</v>
      </c>
      <c r="CE641" s="50" t="s">
        <v>14339</v>
      </c>
      <c r="CF641" s="50" t="s">
        <v>14340</v>
      </c>
      <c r="CG641" s="50" t="s">
        <v>102</v>
      </c>
      <c r="CH641" s="50" t="s">
        <v>20956</v>
      </c>
      <c r="CJ641" s="50" t="s">
        <v>3350</v>
      </c>
      <c r="CL641" s="50" t="s">
        <v>1759</v>
      </c>
      <c r="CM641" s="50" t="s">
        <v>410</v>
      </c>
      <c r="CN641" s="50" t="s">
        <v>3350</v>
      </c>
      <c r="CP641" s="50" t="s">
        <v>20956</v>
      </c>
      <c r="CQ641" s="50" t="s">
        <v>20956</v>
      </c>
    </row>
    <row r="642" spans="1:96">
      <c r="A642" s="50" t="s">
        <v>337</v>
      </c>
      <c r="B642" s="50">
        <v>5108463</v>
      </c>
      <c r="C642" s="50" t="s">
        <v>13158</v>
      </c>
      <c r="D642" s="50" t="s">
        <v>20957</v>
      </c>
      <c r="E642" s="50" t="e">
        <f>VLOOKUP(B642,aa!B:F,5,0)</f>
        <v>#N/A</v>
      </c>
      <c r="F642" s="50" t="e">
        <f>VLOOKUP(B642,aa!B:J,9,0)</f>
        <v>#N/A</v>
      </c>
      <c r="G642" s="50" t="e">
        <f>VLOOKUP(B642,aa!B:L,11,0)</f>
        <v>#N/A</v>
      </c>
      <c r="H642" s="50" t="e">
        <f>VLOOKUP(B642,aa!B:O,14,0)</f>
        <v>#N/A</v>
      </c>
      <c r="I642" s="50" t="e">
        <f>VLOOKUP(B642,aa!B:R,17,0)</f>
        <v>#N/A</v>
      </c>
      <c r="K642" s="50" t="s">
        <v>97</v>
      </c>
      <c r="L642" s="50">
        <v>0</v>
      </c>
      <c r="M642" s="50">
        <v>0</v>
      </c>
      <c r="N642" s="50">
        <v>0</v>
      </c>
      <c r="O642" s="50">
        <v>465</v>
      </c>
      <c r="P642" s="50" t="s">
        <v>102</v>
      </c>
      <c r="Q642" s="50">
        <v>0</v>
      </c>
      <c r="R642" s="50">
        <v>0</v>
      </c>
      <c r="T642" s="50">
        <v>0</v>
      </c>
      <c r="U642" s="50">
        <v>0</v>
      </c>
      <c r="W642" s="50" t="s">
        <v>102</v>
      </c>
      <c r="X642" s="50" t="s">
        <v>275</v>
      </c>
      <c r="Z642" s="50" t="s">
        <v>18984</v>
      </c>
      <c r="AA642" s="50" t="s">
        <v>109</v>
      </c>
      <c r="AB642" s="50" t="s">
        <v>102</v>
      </c>
      <c r="AC642" s="50" t="s">
        <v>109</v>
      </c>
      <c r="AD642" s="50" t="s">
        <v>102</v>
      </c>
      <c r="AE642" s="50" t="s">
        <v>109</v>
      </c>
      <c r="AF642" s="50" t="s">
        <v>102</v>
      </c>
      <c r="AG642" s="50" t="s">
        <v>109</v>
      </c>
      <c r="AH642" s="50" t="s">
        <v>102</v>
      </c>
      <c r="AI642" s="50" t="s">
        <v>102</v>
      </c>
      <c r="AL642" s="50" t="s">
        <v>102</v>
      </c>
      <c r="AM642" s="50" t="s">
        <v>102</v>
      </c>
      <c r="AN642" s="50" t="s">
        <v>102</v>
      </c>
      <c r="AO642" s="50" t="s">
        <v>115</v>
      </c>
      <c r="AP642" s="50" t="s">
        <v>115</v>
      </c>
      <c r="AU642" s="50" t="s">
        <v>117</v>
      </c>
      <c r="AV642" s="50" t="s">
        <v>118</v>
      </c>
      <c r="AW642" s="50" t="s">
        <v>102</v>
      </c>
      <c r="AX642" s="50" t="s">
        <v>119</v>
      </c>
      <c r="BB642" s="50" t="s">
        <v>1964</v>
      </c>
      <c r="BC642" s="50" t="s">
        <v>1759</v>
      </c>
      <c r="BD642" s="50" t="s">
        <v>410</v>
      </c>
      <c r="BE642" s="50" t="s">
        <v>212</v>
      </c>
      <c r="BF642" s="50" t="s">
        <v>410</v>
      </c>
      <c r="BG642" s="50" t="s">
        <v>124</v>
      </c>
      <c r="BH642" s="50" t="s">
        <v>12084</v>
      </c>
      <c r="BI642" s="50" t="s">
        <v>11889</v>
      </c>
      <c r="BJ642" s="50" t="s">
        <v>127</v>
      </c>
      <c r="BK642" s="50" t="s">
        <v>20958</v>
      </c>
      <c r="BL642" s="50" t="s">
        <v>20959</v>
      </c>
      <c r="BM642" s="50" t="s">
        <v>20960</v>
      </c>
      <c r="BN642" s="50" t="s">
        <v>12820</v>
      </c>
      <c r="BO642" s="50" t="s">
        <v>505</v>
      </c>
      <c r="BP642" s="50" t="s">
        <v>505</v>
      </c>
      <c r="BQ642" s="50" t="s">
        <v>225</v>
      </c>
      <c r="BR642" s="50" t="s">
        <v>506</v>
      </c>
      <c r="BS642" s="50" t="s">
        <v>2593</v>
      </c>
      <c r="BT642" s="50" t="s">
        <v>4765</v>
      </c>
      <c r="BU642" s="50" t="s">
        <v>20961</v>
      </c>
      <c r="BV642" s="50" t="s">
        <v>14338</v>
      </c>
      <c r="BW642" s="50" t="s">
        <v>598</v>
      </c>
      <c r="BX642" s="50" t="s">
        <v>14339</v>
      </c>
      <c r="BY642" s="50" t="s">
        <v>14340</v>
      </c>
      <c r="CA642" s="50" t="s">
        <v>14338</v>
      </c>
      <c r="CB642" s="50" t="s">
        <v>14339</v>
      </c>
      <c r="CC642" s="50" t="s">
        <v>14340</v>
      </c>
      <c r="CD642" s="50" t="s">
        <v>14338</v>
      </c>
      <c r="CE642" s="50" t="s">
        <v>14339</v>
      </c>
      <c r="CF642" s="50" t="s">
        <v>14340</v>
      </c>
      <c r="CG642" s="50" t="s">
        <v>102</v>
      </c>
      <c r="CH642" s="50" t="s">
        <v>20962</v>
      </c>
      <c r="CJ642" s="50" t="s">
        <v>2740</v>
      </c>
      <c r="CL642" s="50" t="s">
        <v>1759</v>
      </c>
      <c r="CM642" s="50" t="s">
        <v>410</v>
      </c>
      <c r="CN642" s="50" t="s">
        <v>2740</v>
      </c>
      <c r="CP642" s="50" t="s">
        <v>20962</v>
      </c>
      <c r="CQ642" s="50" t="s">
        <v>20962</v>
      </c>
    </row>
    <row r="643" spans="1:96">
      <c r="A643" s="50" t="s">
        <v>337</v>
      </c>
      <c r="B643" s="50">
        <v>5070237</v>
      </c>
      <c r="C643" s="50" t="s">
        <v>293</v>
      </c>
      <c r="D643" s="50" t="s">
        <v>20760</v>
      </c>
      <c r="E643" s="50" t="e">
        <f>VLOOKUP(B643,aa!B:F,5,0)</f>
        <v>#N/A</v>
      </c>
      <c r="F643" s="50" t="e">
        <f>VLOOKUP(B643,aa!B:J,9,0)</f>
        <v>#N/A</v>
      </c>
      <c r="G643" s="50" t="e">
        <f>VLOOKUP(B643,aa!B:L,11,0)</f>
        <v>#N/A</v>
      </c>
      <c r="H643" s="50" t="e">
        <f>VLOOKUP(B643,aa!B:O,14,0)</f>
        <v>#N/A</v>
      </c>
      <c r="I643" s="50" t="e">
        <f>VLOOKUP(B643,aa!B:R,17,0)</f>
        <v>#N/A</v>
      </c>
      <c r="K643" s="50" t="s">
        <v>97</v>
      </c>
      <c r="L643" s="50">
        <v>0</v>
      </c>
      <c r="M643" s="50">
        <v>0</v>
      </c>
      <c r="N643" s="50">
        <v>0</v>
      </c>
      <c r="O643" s="50">
        <v>250</v>
      </c>
      <c r="P643" s="50" t="s">
        <v>102</v>
      </c>
      <c r="Q643" s="50">
        <v>0</v>
      </c>
      <c r="R643" s="50">
        <v>0</v>
      </c>
      <c r="T643" s="50">
        <v>0</v>
      </c>
      <c r="U643" s="50">
        <v>0</v>
      </c>
      <c r="W643" s="50" t="s">
        <v>102</v>
      </c>
      <c r="X643" s="50" t="s">
        <v>275</v>
      </c>
      <c r="Z643" s="50" t="s">
        <v>13964</v>
      </c>
      <c r="AA643" s="50" t="s">
        <v>109</v>
      </c>
      <c r="AB643" s="50" t="s">
        <v>102</v>
      </c>
      <c r="AC643" s="50" t="s">
        <v>109</v>
      </c>
      <c r="AD643" s="50" t="s">
        <v>102</v>
      </c>
      <c r="AE643" s="50" t="s">
        <v>109</v>
      </c>
      <c r="AF643" s="50" t="s">
        <v>102</v>
      </c>
      <c r="AG643" s="50" t="s">
        <v>109</v>
      </c>
      <c r="AH643" s="50" t="s">
        <v>102</v>
      </c>
      <c r="AI643" s="50" t="s">
        <v>102</v>
      </c>
      <c r="AL643" s="50" t="s">
        <v>102</v>
      </c>
      <c r="AM643" s="50" t="s">
        <v>102</v>
      </c>
      <c r="AN643" s="50" t="s">
        <v>102</v>
      </c>
      <c r="AO643" s="50" t="s">
        <v>115</v>
      </c>
      <c r="AP643" s="50" t="s">
        <v>115</v>
      </c>
      <c r="AU643" s="50" t="s">
        <v>117</v>
      </c>
      <c r="AV643" s="50" t="s">
        <v>118</v>
      </c>
      <c r="AW643" s="50" t="s">
        <v>102</v>
      </c>
      <c r="AX643" s="50" t="s">
        <v>119</v>
      </c>
      <c r="BB643" s="50" t="s">
        <v>120</v>
      </c>
      <c r="BC643" s="50" t="s">
        <v>7718</v>
      </c>
      <c r="BD643" s="50" t="s">
        <v>211</v>
      </c>
      <c r="BE643" s="50" t="s">
        <v>212</v>
      </c>
      <c r="BF643" s="50" t="s">
        <v>213</v>
      </c>
      <c r="BG643" s="50" t="s">
        <v>124</v>
      </c>
      <c r="BH643" s="50" t="s">
        <v>11959</v>
      </c>
      <c r="BI643" s="50" t="s">
        <v>11889</v>
      </c>
      <c r="BJ643" s="50" t="s">
        <v>127</v>
      </c>
      <c r="BK643" s="50" t="s">
        <v>20761</v>
      </c>
      <c r="BL643" s="50" t="s">
        <v>20762</v>
      </c>
      <c r="BM643" s="50" t="s">
        <v>20763</v>
      </c>
      <c r="BN643" s="50" t="s">
        <v>13964</v>
      </c>
      <c r="BO643" s="50" t="s">
        <v>290</v>
      </c>
      <c r="BP643" s="50" t="s">
        <v>505</v>
      </c>
      <c r="BQ643" s="50" t="s">
        <v>291</v>
      </c>
      <c r="BR643" s="50" t="s">
        <v>292</v>
      </c>
      <c r="BS643" s="50" t="s">
        <v>4765</v>
      </c>
      <c r="BU643" s="50" t="s">
        <v>20764</v>
      </c>
      <c r="BV643" s="50" t="s">
        <v>3585</v>
      </c>
      <c r="BW643" s="50" t="s">
        <v>598</v>
      </c>
      <c r="BX643" s="50" t="s">
        <v>225</v>
      </c>
      <c r="BY643" s="50" t="s">
        <v>8332</v>
      </c>
      <c r="CA643" s="50" t="s">
        <v>20765</v>
      </c>
      <c r="CB643" s="50" t="s">
        <v>20766</v>
      </c>
      <c r="CC643" s="50" t="s">
        <v>20767</v>
      </c>
      <c r="CD643" s="50" t="s">
        <v>20765</v>
      </c>
      <c r="CE643" s="50" t="s">
        <v>20766</v>
      </c>
      <c r="CF643" s="50" t="s">
        <v>20767</v>
      </c>
      <c r="CG643" s="50" t="s">
        <v>102</v>
      </c>
      <c r="CH643" s="50" t="s">
        <v>20768</v>
      </c>
      <c r="CJ643" s="50" t="s">
        <v>10157</v>
      </c>
      <c r="CL643" s="50" t="s">
        <v>7718</v>
      </c>
      <c r="CM643" s="50" t="s">
        <v>211</v>
      </c>
      <c r="CN643" s="50" t="s">
        <v>10157</v>
      </c>
      <c r="CP643" s="50" t="s">
        <v>20769</v>
      </c>
      <c r="CQ643" s="50" t="s">
        <v>20769</v>
      </c>
      <c r="CR643" s="50" t="s">
        <v>26048</v>
      </c>
    </row>
    <row r="644" spans="1:96">
      <c r="A644" s="50" t="s">
        <v>337</v>
      </c>
      <c r="B644" s="50">
        <v>5070551</v>
      </c>
      <c r="C644" s="50" t="s">
        <v>293</v>
      </c>
      <c r="D644" s="50" t="s">
        <v>20786</v>
      </c>
      <c r="E644" s="50" t="e">
        <f>VLOOKUP(B644,aa!B:F,5,0)</f>
        <v>#N/A</v>
      </c>
      <c r="F644" s="50" t="e">
        <f>VLOOKUP(B644,aa!B:J,9,0)</f>
        <v>#N/A</v>
      </c>
      <c r="G644" s="50" t="e">
        <f>VLOOKUP(B644,aa!B:L,11,0)</f>
        <v>#N/A</v>
      </c>
      <c r="H644" s="50" t="e">
        <f>VLOOKUP(B644,aa!B:O,14,0)</f>
        <v>#N/A</v>
      </c>
      <c r="I644" s="50" t="e">
        <f>VLOOKUP(B644,aa!B:R,17,0)</f>
        <v>#N/A</v>
      </c>
      <c r="K644" s="50" t="s">
        <v>97</v>
      </c>
      <c r="L644" s="50">
        <v>0</v>
      </c>
      <c r="M644" s="50">
        <v>0</v>
      </c>
      <c r="N644" s="50">
        <v>0</v>
      </c>
      <c r="O644" s="50">
        <v>250</v>
      </c>
      <c r="P644" s="50" t="s">
        <v>102</v>
      </c>
      <c r="Q644" s="50">
        <v>0</v>
      </c>
      <c r="R644" s="50">
        <v>0</v>
      </c>
      <c r="T644" s="50">
        <v>0</v>
      </c>
      <c r="U644" s="50">
        <v>0</v>
      </c>
      <c r="W644" s="50" t="s">
        <v>102</v>
      </c>
      <c r="X644" s="50" t="s">
        <v>275</v>
      </c>
      <c r="Z644" s="50" t="s">
        <v>13964</v>
      </c>
      <c r="AA644" s="50" t="s">
        <v>109</v>
      </c>
      <c r="AB644" s="50" t="s">
        <v>102</v>
      </c>
      <c r="AC644" s="50" t="s">
        <v>109</v>
      </c>
      <c r="AD644" s="50" t="s">
        <v>102</v>
      </c>
      <c r="AE644" s="50" t="s">
        <v>109</v>
      </c>
      <c r="AF644" s="50" t="s">
        <v>102</v>
      </c>
      <c r="AG644" s="50" t="s">
        <v>109</v>
      </c>
      <c r="AH644" s="50" t="s">
        <v>102</v>
      </c>
      <c r="AI644" s="50" t="s">
        <v>102</v>
      </c>
      <c r="AL644" s="50" t="s">
        <v>102</v>
      </c>
      <c r="AM644" s="50" t="s">
        <v>102</v>
      </c>
      <c r="AN644" s="50" t="s">
        <v>102</v>
      </c>
      <c r="AO644" s="50" t="s">
        <v>115</v>
      </c>
      <c r="AP644" s="50" t="s">
        <v>115</v>
      </c>
      <c r="AU644" s="50" t="s">
        <v>117</v>
      </c>
      <c r="AV644" s="50" t="s">
        <v>118</v>
      </c>
      <c r="AW644" s="50" t="s">
        <v>102</v>
      </c>
      <c r="AX644" s="50" t="s">
        <v>119</v>
      </c>
      <c r="BB644" s="50" t="s">
        <v>120</v>
      </c>
      <c r="BC644" s="50" t="s">
        <v>7718</v>
      </c>
      <c r="BD644" s="50" t="s">
        <v>211</v>
      </c>
      <c r="BE644" s="50" t="s">
        <v>212</v>
      </c>
      <c r="BF644" s="50" t="s">
        <v>213</v>
      </c>
      <c r="BG644" s="50" t="s">
        <v>124</v>
      </c>
      <c r="BH644" s="50" t="s">
        <v>11959</v>
      </c>
      <c r="BI644" s="50" t="s">
        <v>11889</v>
      </c>
      <c r="BJ644" s="50" t="s">
        <v>127</v>
      </c>
      <c r="BK644" s="50" t="s">
        <v>20787</v>
      </c>
      <c r="BL644" s="50" t="s">
        <v>20788</v>
      </c>
      <c r="BM644" s="50" t="s">
        <v>20789</v>
      </c>
      <c r="BN644" s="50" t="s">
        <v>13964</v>
      </c>
      <c r="BO644" s="50" t="s">
        <v>290</v>
      </c>
      <c r="BP644" s="50" t="s">
        <v>505</v>
      </c>
      <c r="BQ644" s="50" t="s">
        <v>291</v>
      </c>
      <c r="BR644" s="50" t="s">
        <v>292</v>
      </c>
      <c r="BS644" s="50" t="s">
        <v>4765</v>
      </c>
      <c r="BU644" s="50" t="s">
        <v>20790</v>
      </c>
      <c r="BV644" s="50" t="s">
        <v>3585</v>
      </c>
      <c r="BW644" s="50" t="s">
        <v>598</v>
      </c>
      <c r="BX644" s="50" t="s">
        <v>225</v>
      </c>
      <c r="BY644" s="50" t="s">
        <v>226</v>
      </c>
      <c r="CA644" s="50" t="s">
        <v>20791</v>
      </c>
      <c r="CB644" s="50" t="s">
        <v>20792</v>
      </c>
      <c r="CC644" s="50" t="s">
        <v>20793</v>
      </c>
      <c r="CD644" s="50" t="s">
        <v>20791</v>
      </c>
      <c r="CE644" s="50" t="s">
        <v>20792</v>
      </c>
      <c r="CF644" s="50" t="s">
        <v>20793</v>
      </c>
      <c r="CG644" s="50" t="s">
        <v>102</v>
      </c>
      <c r="CH644" s="50" t="s">
        <v>20794</v>
      </c>
      <c r="CJ644" s="50" t="s">
        <v>20795</v>
      </c>
      <c r="CL644" s="50" t="s">
        <v>7718</v>
      </c>
      <c r="CM644" s="50" t="s">
        <v>211</v>
      </c>
      <c r="CN644" s="50" t="s">
        <v>20795</v>
      </c>
      <c r="CP644" s="50" t="s">
        <v>20796</v>
      </c>
      <c r="CQ644" s="50" t="s">
        <v>20796</v>
      </c>
      <c r="CR644" s="50" t="s">
        <v>26048</v>
      </c>
    </row>
    <row r="645" spans="1:96">
      <c r="A645" s="50" t="s">
        <v>149</v>
      </c>
      <c r="B645" s="50">
        <v>20191</v>
      </c>
      <c r="C645" s="50" t="s">
        <v>2151</v>
      </c>
      <c r="D645" s="50" t="s">
        <v>2384</v>
      </c>
      <c r="E645" s="50" t="e">
        <f>VLOOKUP(B645,aa!B:F,5,0)</f>
        <v>#N/A</v>
      </c>
      <c r="F645" s="50" t="e">
        <f>VLOOKUP(B645,aa!B:J,9,0)</f>
        <v>#N/A</v>
      </c>
      <c r="G645" s="50" t="e">
        <f>VLOOKUP(B645,aa!B:L,11,0)</f>
        <v>#N/A</v>
      </c>
      <c r="H645" s="50" t="e">
        <f>VLOOKUP(B645,aa!B:O,14,0)</f>
        <v>#N/A</v>
      </c>
      <c r="I645" s="50" t="e">
        <f>VLOOKUP(B645,aa!B:R,17,0)</f>
        <v>#N/A</v>
      </c>
      <c r="K645" s="50" t="s">
        <v>1746</v>
      </c>
      <c r="L645" s="50">
        <v>3849966</v>
      </c>
      <c r="M645" s="50">
        <v>4203918</v>
      </c>
      <c r="N645" s="50">
        <v>724449</v>
      </c>
      <c r="O645" s="50">
        <v>580</v>
      </c>
      <c r="P645" s="50" t="s">
        <v>13286</v>
      </c>
      <c r="Q645" s="50">
        <v>1159118</v>
      </c>
      <c r="R645" s="50">
        <v>580</v>
      </c>
      <c r="S645" s="50" t="s">
        <v>13287</v>
      </c>
      <c r="T645" s="50">
        <v>1966399</v>
      </c>
      <c r="U645" s="50">
        <v>774</v>
      </c>
      <c r="V645" s="50" t="s">
        <v>13288</v>
      </c>
      <c r="W645" s="50" t="s">
        <v>102</v>
      </c>
      <c r="X645" s="50" t="s">
        <v>103</v>
      </c>
      <c r="Y645" s="50" t="s">
        <v>155</v>
      </c>
      <c r="AA645" s="50" t="s">
        <v>3679</v>
      </c>
      <c r="AB645" s="50" t="s">
        <v>13289</v>
      </c>
      <c r="AC645" s="50" t="s">
        <v>12289</v>
      </c>
      <c r="AD645" s="50" t="s">
        <v>13289</v>
      </c>
      <c r="AE645" s="50" t="s">
        <v>1427</v>
      </c>
      <c r="AF645" s="50" t="s">
        <v>13289</v>
      </c>
      <c r="AG645" s="50" t="s">
        <v>11886</v>
      </c>
      <c r="AH645" s="50" t="s">
        <v>13289</v>
      </c>
      <c r="AI645" s="50" t="s">
        <v>102</v>
      </c>
      <c r="AL645" s="50" t="s">
        <v>13290</v>
      </c>
      <c r="AM645" s="50" t="s">
        <v>102</v>
      </c>
      <c r="AN645" s="50" t="s">
        <v>13290</v>
      </c>
      <c r="AO645" s="50" t="s">
        <v>13291</v>
      </c>
      <c r="AP645" s="50" t="s">
        <v>13291</v>
      </c>
      <c r="AU645" s="50" t="s">
        <v>117</v>
      </c>
      <c r="AV645" s="50" t="s">
        <v>118</v>
      </c>
      <c r="AW645" s="50" t="s">
        <v>155</v>
      </c>
      <c r="AX645" s="50" t="s">
        <v>119</v>
      </c>
      <c r="AZ645" s="50" t="s">
        <v>250</v>
      </c>
      <c r="BA645" s="50" t="s">
        <v>250</v>
      </c>
      <c r="BB645" s="50" t="s">
        <v>120</v>
      </c>
      <c r="BC645" s="50" t="s">
        <v>1786</v>
      </c>
      <c r="BD645" s="50" t="s">
        <v>410</v>
      </c>
      <c r="BE645" s="50" t="s">
        <v>212</v>
      </c>
      <c r="BF645" s="50" t="s">
        <v>213</v>
      </c>
      <c r="BG645" s="50" t="s">
        <v>124</v>
      </c>
      <c r="BH645" s="50" t="s">
        <v>11959</v>
      </c>
      <c r="BI645" s="50" t="s">
        <v>11889</v>
      </c>
      <c r="BJ645" s="50" t="s">
        <v>127</v>
      </c>
      <c r="BK645" s="50" t="s">
        <v>13292</v>
      </c>
      <c r="BL645" s="50" t="s">
        <v>2399</v>
      </c>
      <c r="BM645" s="50" t="s">
        <v>13293</v>
      </c>
      <c r="BN645" s="50" t="s">
        <v>12086</v>
      </c>
      <c r="BO645" s="50" t="s">
        <v>7108</v>
      </c>
      <c r="BP645" s="50" t="s">
        <v>505</v>
      </c>
      <c r="BQ645" s="50" t="s">
        <v>7109</v>
      </c>
      <c r="BR645" s="50" t="s">
        <v>2151</v>
      </c>
      <c r="BS645" s="50" t="s">
        <v>2151</v>
      </c>
      <c r="BU645" s="50" t="s">
        <v>13294</v>
      </c>
      <c r="BV645" s="50" t="s">
        <v>13295</v>
      </c>
      <c r="BW645" s="50" t="s">
        <v>138</v>
      </c>
      <c r="BX645" s="50" t="s">
        <v>2403</v>
      </c>
      <c r="BY645" s="50" t="s">
        <v>2404</v>
      </c>
      <c r="BZ645" s="50" t="s">
        <v>2403</v>
      </c>
      <c r="CA645" s="50" t="s">
        <v>13295</v>
      </c>
      <c r="CB645" s="50" t="s">
        <v>2403</v>
      </c>
      <c r="CC645" s="50" t="s">
        <v>2404</v>
      </c>
      <c r="CD645" s="50" t="s">
        <v>13295</v>
      </c>
      <c r="CE645" s="50" t="s">
        <v>2403</v>
      </c>
      <c r="CF645" s="50" t="s">
        <v>2404</v>
      </c>
      <c r="CG645" s="50" t="s">
        <v>2405</v>
      </c>
      <c r="CH645" s="50" t="s">
        <v>13296</v>
      </c>
      <c r="CJ645" s="50" t="s">
        <v>2407</v>
      </c>
      <c r="CK645" s="50" t="s">
        <v>2406</v>
      </c>
      <c r="CL645" s="50" t="s">
        <v>1786</v>
      </c>
      <c r="CM645" s="50" t="s">
        <v>410</v>
      </c>
      <c r="CN645" s="50" t="s">
        <v>2407</v>
      </c>
      <c r="CO645" s="50" t="s">
        <v>2408</v>
      </c>
      <c r="CP645" s="50" t="s">
        <v>2406</v>
      </c>
      <c r="CQ645" s="50" t="s">
        <v>2406</v>
      </c>
      <c r="CR645" s="50" t="s">
        <v>26042</v>
      </c>
    </row>
    <row r="646" spans="1:96">
      <c r="A646" s="50" t="s">
        <v>337</v>
      </c>
      <c r="B646" s="50">
        <v>5029152</v>
      </c>
      <c r="C646" s="50" t="s">
        <v>2151</v>
      </c>
      <c r="D646" s="50" t="s">
        <v>20185</v>
      </c>
      <c r="E646" s="50" t="e">
        <f>VLOOKUP(B646,aa!B:F,5,0)</f>
        <v>#N/A</v>
      </c>
      <c r="F646" s="50" t="e">
        <f>VLOOKUP(B646,aa!B:J,9,0)</f>
        <v>#N/A</v>
      </c>
      <c r="G646" s="50" t="e">
        <f>VLOOKUP(B646,aa!B:L,11,0)</f>
        <v>#N/A</v>
      </c>
      <c r="H646" s="50" t="e">
        <f>VLOOKUP(B646,aa!B:O,14,0)</f>
        <v>#N/A</v>
      </c>
      <c r="I646" s="50" t="e">
        <f>VLOOKUP(B646,aa!B:R,17,0)</f>
        <v>#N/A</v>
      </c>
      <c r="K646" s="50" t="s">
        <v>1746</v>
      </c>
      <c r="L646" s="50">
        <v>1116418</v>
      </c>
      <c r="M646" s="50">
        <v>1204623</v>
      </c>
      <c r="N646" s="50">
        <v>240919</v>
      </c>
      <c r="O646" s="50">
        <v>194</v>
      </c>
      <c r="P646" s="50" t="s">
        <v>20186</v>
      </c>
      <c r="Q646" s="50">
        <v>385470</v>
      </c>
      <c r="R646" s="50">
        <v>194</v>
      </c>
      <c r="S646" s="50" t="s">
        <v>20187</v>
      </c>
      <c r="T646" s="50">
        <v>490029</v>
      </c>
      <c r="U646" s="50">
        <v>194</v>
      </c>
      <c r="V646" s="50" t="s">
        <v>20188</v>
      </c>
      <c r="W646" s="50" t="s">
        <v>102</v>
      </c>
      <c r="X646" s="50" t="s">
        <v>103</v>
      </c>
      <c r="Y646" s="50" t="s">
        <v>155</v>
      </c>
      <c r="AA646" s="50" t="s">
        <v>3679</v>
      </c>
      <c r="AB646" s="50" t="s">
        <v>20189</v>
      </c>
      <c r="AC646" s="50" t="s">
        <v>12289</v>
      </c>
      <c r="AD646" s="50" t="s">
        <v>20189</v>
      </c>
      <c r="AE646" s="50" t="s">
        <v>1427</v>
      </c>
      <c r="AF646" s="50" t="s">
        <v>20189</v>
      </c>
      <c r="AG646" s="50" t="s">
        <v>11886</v>
      </c>
      <c r="AH646" s="50" t="s">
        <v>20189</v>
      </c>
      <c r="AI646" s="50" t="s">
        <v>102</v>
      </c>
      <c r="AL646" s="50" t="s">
        <v>20190</v>
      </c>
      <c r="AM646" s="50" t="s">
        <v>102</v>
      </c>
      <c r="AN646" s="50" t="s">
        <v>20190</v>
      </c>
      <c r="AO646" s="50" t="s">
        <v>20191</v>
      </c>
      <c r="AP646" s="50" t="s">
        <v>20191</v>
      </c>
      <c r="AU646" s="50" t="s">
        <v>117</v>
      </c>
      <c r="AV646" s="50" t="s">
        <v>118</v>
      </c>
      <c r="AW646" s="50" t="s">
        <v>155</v>
      </c>
      <c r="AX646" s="50" t="s">
        <v>119</v>
      </c>
      <c r="AZ646" s="50" t="s">
        <v>250</v>
      </c>
      <c r="BA646" s="50" t="s">
        <v>250</v>
      </c>
      <c r="BB646" s="50" t="s">
        <v>120</v>
      </c>
      <c r="BC646" s="50" t="s">
        <v>1786</v>
      </c>
      <c r="BD646" s="50" t="s">
        <v>410</v>
      </c>
      <c r="BE646" s="50" t="s">
        <v>212</v>
      </c>
      <c r="BF646" s="50" t="s">
        <v>213</v>
      </c>
      <c r="BG646" s="50" t="s">
        <v>124</v>
      </c>
      <c r="BH646" s="50" t="s">
        <v>6918</v>
      </c>
      <c r="BI646" s="50" t="s">
        <v>11889</v>
      </c>
      <c r="BJ646" s="50" t="s">
        <v>127</v>
      </c>
      <c r="BK646" s="50" t="s">
        <v>20192</v>
      </c>
      <c r="BL646" s="50" t="s">
        <v>20193</v>
      </c>
      <c r="BM646" s="50" t="s">
        <v>20194</v>
      </c>
      <c r="BN646" s="50" t="s">
        <v>12086</v>
      </c>
      <c r="BO646" s="50" t="s">
        <v>7108</v>
      </c>
      <c r="BP646" s="50" t="s">
        <v>505</v>
      </c>
      <c r="BQ646" s="50" t="s">
        <v>7109</v>
      </c>
      <c r="BR646" s="50" t="s">
        <v>2151</v>
      </c>
      <c r="BS646" s="50" t="s">
        <v>2151</v>
      </c>
      <c r="BU646" s="50" t="s">
        <v>20195</v>
      </c>
      <c r="BV646" s="50" t="s">
        <v>13295</v>
      </c>
      <c r="BW646" s="50" t="s">
        <v>138</v>
      </c>
      <c r="BX646" s="50" t="s">
        <v>2403</v>
      </c>
      <c r="BY646" s="50" t="s">
        <v>2404</v>
      </c>
      <c r="BZ646" s="50" t="s">
        <v>2403</v>
      </c>
      <c r="CA646" s="50" t="s">
        <v>13295</v>
      </c>
      <c r="CB646" s="50" t="s">
        <v>2403</v>
      </c>
      <c r="CC646" s="50" t="s">
        <v>2404</v>
      </c>
      <c r="CD646" s="50" t="s">
        <v>20196</v>
      </c>
      <c r="CE646" s="50" t="s">
        <v>20197</v>
      </c>
      <c r="CF646" s="50" t="s">
        <v>20198</v>
      </c>
      <c r="CG646" s="50" t="s">
        <v>2405</v>
      </c>
      <c r="CH646" s="50" t="s">
        <v>13296</v>
      </c>
      <c r="CJ646" s="50" t="s">
        <v>2407</v>
      </c>
      <c r="CL646" s="50" t="s">
        <v>1786</v>
      </c>
      <c r="CM646" s="50" t="s">
        <v>410</v>
      </c>
      <c r="CN646" s="50" t="s">
        <v>2407</v>
      </c>
      <c r="CO646" s="50" t="s">
        <v>2408</v>
      </c>
      <c r="CP646" s="50" t="s">
        <v>2406</v>
      </c>
      <c r="CQ646" s="50" t="s">
        <v>2406</v>
      </c>
      <c r="CR646" s="50" t="s">
        <v>26042</v>
      </c>
    </row>
  </sheetData>
  <autoFilter ref="A1:CR646" xr:uid="{5996A915-5B27-8644-90A5-895EC21FB1B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842D1-9918-2243-941A-0FEEBBCBE6D7}">
  <dimension ref="A4:H35"/>
  <sheetViews>
    <sheetView workbookViewId="0">
      <selection activeCell="F5" sqref="F5"/>
    </sheetView>
  </sheetViews>
  <sheetFormatPr baseColWidth="10" defaultRowHeight="29"/>
  <cols>
    <col min="1" max="1" width="31.83203125" style="15" customWidth="1"/>
    <col min="2" max="2" width="31.83203125" style="35" customWidth="1"/>
    <col min="3" max="3" width="32.33203125" style="21" customWidth="1"/>
    <col min="4" max="4" width="37.5" style="21" customWidth="1"/>
    <col min="5" max="5" width="16.6640625" style="15" bestFit="1" customWidth="1"/>
    <col min="6" max="6" width="25.5" style="15" bestFit="1" customWidth="1"/>
    <col min="7" max="7" width="32.5" style="15" bestFit="1" customWidth="1"/>
    <col min="8" max="16384" width="10.83203125" style="15"/>
  </cols>
  <sheetData>
    <row r="4" spans="1:7">
      <c r="A4" s="16"/>
      <c r="B4" s="17"/>
      <c r="C4" s="18" t="s">
        <v>24864</v>
      </c>
      <c r="D4" s="18" t="s">
        <v>24851</v>
      </c>
      <c r="E4" s="16"/>
      <c r="F4" s="16" t="s">
        <v>24852</v>
      </c>
      <c r="G4" s="16" t="s">
        <v>24853</v>
      </c>
    </row>
    <row r="5" spans="1:7" ht="146" customHeight="1">
      <c r="A5" s="16"/>
      <c r="B5" s="17"/>
      <c r="C5" s="18" t="s">
        <v>24862</v>
      </c>
      <c r="D5" s="18"/>
      <c r="E5" s="16"/>
      <c r="F5" s="19" t="s">
        <v>24883</v>
      </c>
      <c r="G5" s="19" t="s">
        <v>24863</v>
      </c>
    </row>
    <row r="6" spans="1:7" ht="24" customHeight="1">
      <c r="A6" s="20" t="s">
        <v>24854</v>
      </c>
      <c r="B6" s="88" t="s">
        <v>24868</v>
      </c>
      <c r="C6" s="86" t="s">
        <v>24877</v>
      </c>
      <c r="D6" s="86" t="s">
        <v>24873</v>
      </c>
      <c r="E6" s="92" t="s">
        <v>24872</v>
      </c>
      <c r="F6" s="21"/>
    </row>
    <row r="7" spans="1:7" ht="40" customHeight="1">
      <c r="A7" s="20" t="s">
        <v>121</v>
      </c>
      <c r="B7" s="87"/>
      <c r="C7" s="85"/>
      <c r="D7" s="89"/>
      <c r="E7" s="85"/>
      <c r="F7" s="21"/>
      <c r="G7" s="22"/>
    </row>
    <row r="8" spans="1:7">
      <c r="A8" s="20" t="s">
        <v>1407</v>
      </c>
      <c r="B8" s="87"/>
      <c r="C8" s="85"/>
      <c r="D8" s="89"/>
      <c r="E8" s="85"/>
      <c r="F8" s="21"/>
      <c r="G8" s="23"/>
    </row>
    <row r="9" spans="1:7" ht="24" customHeight="1">
      <c r="A9" s="20" t="s">
        <v>448</v>
      </c>
      <c r="B9" s="87"/>
      <c r="C9" s="85"/>
      <c r="D9" s="89"/>
      <c r="E9" s="85"/>
      <c r="F9" s="21"/>
      <c r="G9" s="23"/>
    </row>
    <row r="10" spans="1:7">
      <c r="A10" s="20" t="s">
        <v>4153</v>
      </c>
      <c r="B10" s="87"/>
      <c r="C10" s="85"/>
      <c r="D10" s="89"/>
      <c r="E10" s="85"/>
      <c r="F10" s="21"/>
      <c r="G10" s="23"/>
    </row>
    <row r="11" spans="1:7">
      <c r="A11" s="20" t="s">
        <v>9082</v>
      </c>
      <c r="B11" s="87"/>
      <c r="C11" s="85"/>
      <c r="D11" s="89" t="s">
        <v>24878</v>
      </c>
      <c r="E11" s="85"/>
      <c r="F11" s="21"/>
      <c r="G11" s="23"/>
    </row>
    <row r="12" spans="1:7" ht="50" customHeight="1">
      <c r="A12" s="20" t="s">
        <v>589</v>
      </c>
      <c r="B12" s="87" t="s">
        <v>24882</v>
      </c>
      <c r="C12" s="85"/>
      <c r="D12" s="89"/>
      <c r="E12" s="85"/>
      <c r="F12" s="21"/>
      <c r="G12" s="23"/>
    </row>
    <row r="13" spans="1:7" ht="30" thickBot="1">
      <c r="A13" s="24" t="s">
        <v>8930</v>
      </c>
      <c r="B13" s="87"/>
      <c r="C13" s="85"/>
      <c r="D13" s="89"/>
      <c r="E13" s="85"/>
      <c r="F13" s="21"/>
      <c r="G13" s="23"/>
    </row>
    <row r="14" spans="1:7" ht="31" customHeight="1">
      <c r="A14" s="25" t="s">
        <v>24855</v>
      </c>
      <c r="B14" s="90" t="s">
        <v>24869</v>
      </c>
      <c r="C14" s="85"/>
      <c r="D14" s="89" t="s">
        <v>24867</v>
      </c>
      <c r="E14" s="85" t="s">
        <v>24856</v>
      </c>
      <c r="F14" s="21"/>
      <c r="G14" s="23"/>
    </row>
    <row r="15" spans="1:7">
      <c r="A15" s="26" t="s">
        <v>555</v>
      </c>
      <c r="B15" s="90"/>
      <c r="C15" s="85"/>
      <c r="D15" s="89"/>
      <c r="E15" s="85"/>
      <c r="F15" s="21"/>
    </row>
    <row r="16" spans="1:7">
      <c r="A16" s="26" t="s">
        <v>4216</v>
      </c>
      <c r="B16" s="90"/>
      <c r="C16" s="85"/>
      <c r="D16" s="89"/>
      <c r="E16" s="85"/>
      <c r="F16" s="21"/>
    </row>
    <row r="17" spans="1:6">
      <c r="A17" s="26" t="s">
        <v>8152</v>
      </c>
      <c r="B17" s="90"/>
      <c r="C17" s="85"/>
      <c r="D17" s="89"/>
      <c r="E17" s="85"/>
      <c r="F17" s="21"/>
    </row>
    <row r="18" spans="1:6">
      <c r="A18" s="26" t="s">
        <v>2258</v>
      </c>
      <c r="B18" s="90"/>
      <c r="C18" s="85"/>
      <c r="D18" s="89"/>
      <c r="E18" s="85"/>
      <c r="F18" s="21"/>
    </row>
    <row r="19" spans="1:6">
      <c r="A19" s="26" t="s">
        <v>4889</v>
      </c>
      <c r="B19" s="90"/>
      <c r="C19" s="85"/>
      <c r="D19" s="89"/>
      <c r="E19" s="85"/>
      <c r="F19" s="21"/>
    </row>
    <row r="20" spans="1:6" ht="24" customHeight="1">
      <c r="A20" s="27" t="s">
        <v>24857</v>
      </c>
      <c r="B20" s="90" t="s">
        <v>24870</v>
      </c>
      <c r="C20" s="89" t="s">
        <v>24881</v>
      </c>
      <c r="D20" s="89" t="s">
        <v>24874</v>
      </c>
      <c r="E20" s="85"/>
      <c r="F20" s="21"/>
    </row>
    <row r="21" spans="1:6">
      <c r="A21" s="27" t="s">
        <v>623</v>
      </c>
      <c r="B21" s="90"/>
      <c r="C21" s="85"/>
      <c r="D21" s="89"/>
      <c r="E21" s="85"/>
      <c r="F21" s="21"/>
    </row>
    <row r="22" spans="1:6">
      <c r="A22" s="27" t="s">
        <v>2127</v>
      </c>
      <c r="B22" s="90"/>
      <c r="C22" s="85"/>
      <c r="D22" s="89"/>
      <c r="E22" s="85"/>
      <c r="F22" s="21"/>
    </row>
    <row r="23" spans="1:6">
      <c r="A23" s="27" t="s">
        <v>284</v>
      </c>
      <c r="B23" s="90"/>
      <c r="C23" s="85"/>
      <c r="D23" s="89"/>
      <c r="E23" s="85"/>
      <c r="F23" s="21"/>
    </row>
    <row r="24" spans="1:6" ht="30" thickBot="1">
      <c r="A24" s="28"/>
      <c r="B24" s="90"/>
      <c r="C24" s="85"/>
      <c r="D24" s="89"/>
      <c r="E24" s="85"/>
      <c r="F24" s="21"/>
    </row>
    <row r="25" spans="1:6" ht="24" customHeight="1">
      <c r="A25" s="29" t="s">
        <v>24859</v>
      </c>
      <c r="B25" s="91" t="s">
        <v>211</v>
      </c>
      <c r="C25" s="89" t="s">
        <v>24879</v>
      </c>
      <c r="D25" s="89" t="s">
        <v>24866</v>
      </c>
      <c r="E25" s="85" t="s">
        <v>24858</v>
      </c>
    </row>
    <row r="26" spans="1:6">
      <c r="A26" s="30" t="s">
        <v>920</v>
      </c>
      <c r="B26" s="91"/>
      <c r="C26" s="85"/>
      <c r="D26" s="89"/>
      <c r="E26" s="85"/>
    </row>
    <row r="27" spans="1:6">
      <c r="A27" s="30" t="s">
        <v>409</v>
      </c>
      <c r="B27" s="87" t="s">
        <v>24871</v>
      </c>
      <c r="C27" s="85"/>
      <c r="D27" s="89" t="s">
        <v>24875</v>
      </c>
      <c r="E27" s="85"/>
    </row>
    <row r="28" spans="1:6">
      <c r="A28" s="30" t="s">
        <v>1759</v>
      </c>
      <c r="B28" s="91"/>
      <c r="C28" s="85"/>
      <c r="D28" s="89"/>
      <c r="E28" s="85"/>
    </row>
    <row r="29" spans="1:6" ht="30" thickBot="1">
      <c r="A29" s="31" t="s">
        <v>6510</v>
      </c>
      <c r="B29" s="91"/>
      <c r="C29" s="85"/>
      <c r="D29" s="89"/>
      <c r="E29" s="85"/>
    </row>
    <row r="30" spans="1:6" ht="24" customHeight="1">
      <c r="A30" s="32" t="s">
        <v>24860</v>
      </c>
      <c r="B30" s="85" t="s">
        <v>174</v>
      </c>
      <c r="C30" s="89" t="s">
        <v>24880</v>
      </c>
      <c r="D30" s="89" t="s">
        <v>24876</v>
      </c>
      <c r="E30" s="85" t="s">
        <v>12058</v>
      </c>
    </row>
    <row r="31" spans="1:6">
      <c r="A31" s="33" t="s">
        <v>375</v>
      </c>
      <c r="B31" s="85"/>
      <c r="C31" s="85"/>
      <c r="D31" s="85"/>
      <c r="E31" s="85"/>
    </row>
    <row r="32" spans="1:6">
      <c r="A32" s="33" t="s">
        <v>1170</v>
      </c>
      <c r="B32" s="85"/>
      <c r="C32" s="85"/>
      <c r="D32" s="85"/>
      <c r="E32" s="85"/>
    </row>
    <row r="33" spans="1:8">
      <c r="A33" s="33" t="s">
        <v>2542</v>
      </c>
      <c r="B33" s="85"/>
      <c r="C33" s="85"/>
      <c r="D33" s="85"/>
      <c r="E33" s="85"/>
    </row>
    <row r="34" spans="1:8" ht="30" thickBot="1">
      <c r="A34" s="34" t="s">
        <v>12104</v>
      </c>
      <c r="B34" s="85"/>
      <c r="C34" s="85"/>
      <c r="D34" s="85"/>
      <c r="E34" s="85"/>
    </row>
    <row r="35" spans="1:8">
      <c r="A35" s="15" t="s">
        <v>24865</v>
      </c>
      <c r="B35" s="17"/>
      <c r="C35" s="18">
        <v>10</v>
      </c>
      <c r="D35" s="18">
        <v>14</v>
      </c>
      <c r="E35" s="18">
        <v>4</v>
      </c>
      <c r="F35" s="21">
        <v>5</v>
      </c>
      <c r="G35" s="21">
        <v>1</v>
      </c>
      <c r="H35" s="21">
        <f>SUM(C35:G35)</f>
        <v>34</v>
      </c>
    </row>
  </sheetData>
  <mergeCells count="22">
    <mergeCell ref="C20:C24"/>
    <mergeCell ref="D27:D29"/>
    <mergeCell ref="B27:B29"/>
    <mergeCell ref="C25:C29"/>
    <mergeCell ref="C30:C34"/>
    <mergeCell ref="D30:D34"/>
    <mergeCell ref="E25:E29"/>
    <mergeCell ref="E30:E34"/>
    <mergeCell ref="C6:C19"/>
    <mergeCell ref="B30:B34"/>
    <mergeCell ref="B12:B13"/>
    <mergeCell ref="B6:B11"/>
    <mergeCell ref="D6:D10"/>
    <mergeCell ref="B14:B19"/>
    <mergeCell ref="B20:B24"/>
    <mergeCell ref="B25:B26"/>
    <mergeCell ref="D11:D13"/>
    <mergeCell ref="D25:D26"/>
    <mergeCell ref="E6:E13"/>
    <mergeCell ref="E14:E24"/>
    <mergeCell ref="D14:D19"/>
    <mergeCell ref="D20:D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CD624-DA5D-E64A-8FFD-D1B3921C69BE}">
  <dimension ref="A1:R737"/>
  <sheetViews>
    <sheetView topLeftCell="A33" workbookViewId="0">
      <selection activeCell="F45" sqref="F45:F151"/>
    </sheetView>
  </sheetViews>
  <sheetFormatPr baseColWidth="10" defaultRowHeight="16"/>
  <cols>
    <col min="1" max="1" width="10.83203125" style="50"/>
    <col min="10" max="10" width="16.5" customWidth="1"/>
    <col min="17" max="17" width="12" style="62" bestFit="1" customWidth="1"/>
    <col min="18" max="18" width="11" style="69" bestFit="1" customWidth="1"/>
  </cols>
  <sheetData>
    <row r="1" spans="1:18">
      <c r="A1" s="48"/>
      <c r="D1" s="13"/>
    </row>
    <row r="2" spans="1:18">
      <c r="C2" s="50" t="s">
        <v>16358</v>
      </c>
      <c r="D2" s="13"/>
      <c r="E2" s="50" t="s">
        <v>2543</v>
      </c>
      <c r="Q2" s="62">
        <v>158773</v>
      </c>
    </row>
    <row r="3" spans="1:18">
      <c r="C3" s="50" t="s">
        <v>19577</v>
      </c>
      <c r="D3" s="13"/>
      <c r="E3" s="50" t="s">
        <v>376</v>
      </c>
      <c r="Q3" s="62">
        <v>3552349</v>
      </c>
      <c r="R3" s="69">
        <v>1616619</v>
      </c>
    </row>
    <row r="4" spans="1:18">
      <c r="C4" s="50" t="s">
        <v>623</v>
      </c>
      <c r="D4" s="13"/>
      <c r="E4" s="50" t="s">
        <v>621</v>
      </c>
      <c r="Q4" s="62">
        <v>525210</v>
      </c>
      <c r="R4" s="69">
        <v>2104860</v>
      </c>
    </row>
    <row r="5" spans="1:18">
      <c r="C5" s="50" t="s">
        <v>7420</v>
      </c>
      <c r="D5" s="13"/>
      <c r="E5" s="50" t="s">
        <v>556</v>
      </c>
      <c r="Q5" s="62">
        <v>5016606</v>
      </c>
      <c r="R5" s="69">
        <v>3780526</v>
      </c>
    </row>
    <row r="6" spans="1:18">
      <c r="C6" s="50" t="s">
        <v>920</v>
      </c>
      <c r="D6" s="13"/>
      <c r="E6" s="50" t="s">
        <v>211</v>
      </c>
      <c r="Q6" s="62">
        <v>5018377</v>
      </c>
      <c r="R6" s="69">
        <v>1155119</v>
      </c>
    </row>
    <row r="7" spans="1:18">
      <c r="C7" s="50" t="s">
        <v>3214</v>
      </c>
      <c r="D7" s="13"/>
      <c r="E7" s="50" t="s">
        <v>410</v>
      </c>
      <c r="Q7" s="62">
        <v>20191</v>
      </c>
      <c r="R7" s="69">
        <v>1155556</v>
      </c>
    </row>
    <row r="8" spans="1:18">
      <c r="C8" s="50" t="s">
        <v>9082</v>
      </c>
      <c r="D8" s="13"/>
      <c r="E8" s="50" t="s">
        <v>1244</v>
      </c>
      <c r="Q8" s="62">
        <v>5029152</v>
      </c>
      <c r="R8" s="69">
        <v>1553466</v>
      </c>
    </row>
    <row r="9" spans="1:18">
      <c r="C9" s="50" t="s">
        <v>17740</v>
      </c>
      <c r="D9" s="13"/>
      <c r="E9" s="50" t="s">
        <v>345</v>
      </c>
      <c r="J9" s="48" t="s">
        <v>0</v>
      </c>
      <c r="K9" s="48" t="s">
        <v>1</v>
      </c>
      <c r="L9" s="48" t="s">
        <v>11881</v>
      </c>
      <c r="M9" s="48" t="s">
        <v>2</v>
      </c>
      <c r="Q9" s="62">
        <v>2821214</v>
      </c>
      <c r="R9" s="69">
        <v>3567542</v>
      </c>
    </row>
    <row r="10" spans="1:18">
      <c r="C10" s="50" t="s">
        <v>18234</v>
      </c>
      <c r="D10" s="13"/>
      <c r="E10" s="50" t="s">
        <v>6390</v>
      </c>
      <c r="J10" s="50"/>
      <c r="K10" s="50"/>
      <c r="L10" s="50"/>
      <c r="M10" s="50"/>
      <c r="Q10" s="62">
        <v>3150210</v>
      </c>
      <c r="R10" s="69">
        <v>3992841</v>
      </c>
    </row>
    <row r="11" spans="1:18">
      <c r="C11" s="50" t="s">
        <v>620</v>
      </c>
      <c r="D11" s="13"/>
      <c r="E11" s="50" t="s">
        <v>173</v>
      </c>
      <c r="J11" s="50" t="s">
        <v>337</v>
      </c>
      <c r="K11" s="50">
        <v>5018417</v>
      </c>
      <c r="L11" s="50" t="s">
        <v>12121</v>
      </c>
      <c r="M11" s="50" t="s">
        <v>19720</v>
      </c>
      <c r="Q11" s="62">
        <v>2559923</v>
      </c>
      <c r="R11" s="69">
        <v>5017017</v>
      </c>
    </row>
    <row r="12" spans="1:18">
      <c r="C12" s="50" t="s">
        <v>555</v>
      </c>
      <c r="D12" s="13"/>
      <c r="E12" s="50" t="s">
        <v>730</v>
      </c>
      <c r="J12" s="50" t="s">
        <v>337</v>
      </c>
      <c r="K12" s="50">
        <v>1114832</v>
      </c>
      <c r="L12" s="50" t="s">
        <v>12121</v>
      </c>
      <c r="M12" s="50" t="s">
        <v>12120</v>
      </c>
      <c r="Q12" s="62">
        <v>2614572</v>
      </c>
      <c r="R12" s="69">
        <v>5017812</v>
      </c>
    </row>
    <row r="13" spans="1:18">
      <c r="C13" s="50" t="s">
        <v>18075</v>
      </c>
      <c r="D13" s="13"/>
      <c r="E13" s="50" t="s">
        <v>449</v>
      </c>
      <c r="J13" s="50" t="s">
        <v>337</v>
      </c>
      <c r="K13" s="50">
        <v>3583679</v>
      </c>
      <c r="L13" s="50" t="s">
        <v>12121</v>
      </c>
      <c r="M13" s="50" t="s">
        <v>16519</v>
      </c>
      <c r="Q13" s="62">
        <v>3306257</v>
      </c>
      <c r="R13" s="69">
        <v>3990168</v>
      </c>
    </row>
    <row r="14" spans="1:18">
      <c r="C14" s="50" t="s">
        <v>8637</v>
      </c>
      <c r="D14" s="13"/>
      <c r="E14" s="50" t="s">
        <v>6595</v>
      </c>
      <c r="J14" s="50" t="s">
        <v>337</v>
      </c>
      <c r="K14" s="50">
        <v>3791464</v>
      </c>
      <c r="L14" s="50" t="s">
        <v>12121</v>
      </c>
      <c r="M14" s="50" t="s">
        <v>16982</v>
      </c>
      <c r="Q14" s="62">
        <v>5017739</v>
      </c>
      <c r="R14" s="69">
        <v>3591328</v>
      </c>
    </row>
    <row r="15" spans="1:18">
      <c r="C15" s="50" t="s">
        <v>4049</v>
      </c>
      <c r="D15" s="13"/>
      <c r="E15" s="50" t="s">
        <v>1208</v>
      </c>
      <c r="J15" s="50" t="s">
        <v>149</v>
      </c>
      <c r="K15" s="50">
        <v>2448365</v>
      </c>
      <c r="L15" s="50" t="s">
        <v>12121</v>
      </c>
      <c r="M15" s="50" t="s">
        <v>3372</v>
      </c>
      <c r="Q15" s="62">
        <v>3302960</v>
      </c>
      <c r="R15" s="69">
        <v>5018668</v>
      </c>
    </row>
    <row r="16" spans="1:18">
      <c r="C16" s="50" t="s">
        <v>375</v>
      </c>
      <c r="D16" s="13"/>
      <c r="E16" s="50" t="s">
        <v>320</v>
      </c>
      <c r="J16" s="50" t="s">
        <v>149</v>
      </c>
      <c r="K16" s="50">
        <v>2562273</v>
      </c>
      <c r="L16" s="50" t="s">
        <v>12121</v>
      </c>
      <c r="M16" s="50" t="s">
        <v>4128</v>
      </c>
      <c r="Q16" s="62">
        <v>3955038</v>
      </c>
      <c r="R16" s="69">
        <v>4165785</v>
      </c>
    </row>
    <row r="17" spans="3:18">
      <c r="C17" s="50" t="s">
        <v>6922</v>
      </c>
      <c r="E17" s="50" t="s">
        <v>1171</v>
      </c>
      <c r="J17" s="50" t="s">
        <v>149</v>
      </c>
      <c r="K17" s="50">
        <v>4001826</v>
      </c>
      <c r="L17" s="50" t="s">
        <v>12121</v>
      </c>
      <c r="M17" s="50" t="s">
        <v>8532</v>
      </c>
      <c r="Q17" s="62">
        <v>3285152</v>
      </c>
      <c r="R17" s="69">
        <v>3443832</v>
      </c>
    </row>
    <row r="18" spans="3:18">
      <c r="C18" s="50" t="s">
        <v>1759</v>
      </c>
      <c r="E18" s="50" t="s">
        <v>121</v>
      </c>
      <c r="J18" s="50" t="s">
        <v>149</v>
      </c>
      <c r="K18" s="50">
        <v>1649456</v>
      </c>
      <c r="L18" s="50" t="s">
        <v>12121</v>
      </c>
      <c r="M18" s="50" t="s">
        <v>1421</v>
      </c>
      <c r="Q18" s="62">
        <v>3878188</v>
      </c>
      <c r="R18" s="69">
        <v>3301477</v>
      </c>
    </row>
    <row r="19" spans="3:18">
      <c r="C19" s="50" t="s">
        <v>19727</v>
      </c>
      <c r="E19" s="50" t="s">
        <v>8930</v>
      </c>
      <c r="J19" s="50" t="s">
        <v>149</v>
      </c>
      <c r="K19" s="50">
        <v>3182761</v>
      </c>
      <c r="L19" s="50" t="s">
        <v>12121</v>
      </c>
      <c r="M19" s="50" t="s">
        <v>4924</v>
      </c>
      <c r="Q19" s="62">
        <v>547865</v>
      </c>
      <c r="R19" s="69">
        <v>1482482</v>
      </c>
    </row>
    <row r="20" spans="3:18">
      <c r="C20" s="50" t="s">
        <v>448</v>
      </c>
      <c r="E20" s="50" t="s">
        <v>2800</v>
      </c>
      <c r="G20">
        <v>23</v>
      </c>
      <c r="J20" s="50" t="s">
        <v>93</v>
      </c>
      <c r="K20" s="50">
        <v>3507484</v>
      </c>
      <c r="L20" s="50" t="s">
        <v>12121</v>
      </c>
      <c r="M20" s="50" t="s">
        <v>6439</v>
      </c>
      <c r="Q20" s="62">
        <v>5055276</v>
      </c>
      <c r="R20" s="69">
        <v>5039845</v>
      </c>
    </row>
    <row r="21" spans="3:18">
      <c r="C21" s="50" t="s">
        <v>5020</v>
      </c>
      <c r="E21" s="50" t="s">
        <v>4404</v>
      </c>
      <c r="G21">
        <v>25</v>
      </c>
      <c r="H21">
        <f>25/23</f>
        <v>1.0869565217391304</v>
      </c>
      <c r="J21" s="50" t="s">
        <v>337</v>
      </c>
      <c r="K21" s="50">
        <v>5018520</v>
      </c>
      <c r="L21" s="50" t="s">
        <v>12121</v>
      </c>
      <c r="M21" s="50" t="s">
        <v>19976</v>
      </c>
      <c r="Q21" s="62">
        <v>253271</v>
      </c>
      <c r="R21" s="69">
        <v>5037382</v>
      </c>
    </row>
    <row r="22" spans="3:18">
      <c r="C22" s="50" t="s">
        <v>13207</v>
      </c>
      <c r="E22" s="50" t="s">
        <v>5879</v>
      </c>
      <c r="G22" s="78">
        <f>G21/G21</f>
        <v>1</v>
      </c>
      <c r="J22" s="50" t="s">
        <v>337</v>
      </c>
      <c r="K22" s="50">
        <v>5097252</v>
      </c>
      <c r="L22" s="50" t="s">
        <v>12121</v>
      </c>
      <c r="M22" s="50" t="s">
        <v>20859</v>
      </c>
      <c r="Q22" s="62">
        <v>5017199</v>
      </c>
      <c r="R22" s="69">
        <v>5017915</v>
      </c>
    </row>
    <row r="23" spans="3:18">
      <c r="C23" s="50" t="s">
        <v>19597</v>
      </c>
      <c r="E23" s="50" t="s">
        <v>252</v>
      </c>
      <c r="Q23" s="62">
        <v>3242514</v>
      </c>
      <c r="R23" s="69">
        <v>3990957</v>
      </c>
    </row>
    <row r="24" spans="3:18">
      <c r="C24" s="50" t="s">
        <v>17157</v>
      </c>
      <c r="E24" s="50" t="s">
        <v>285</v>
      </c>
      <c r="Q24" s="62">
        <v>4166956</v>
      </c>
      <c r="R24" s="69">
        <v>1035545</v>
      </c>
    </row>
    <row r="25" spans="3:18">
      <c r="C25" s="50" t="s">
        <v>19865</v>
      </c>
      <c r="E25" s="50" t="s">
        <v>20156</v>
      </c>
      <c r="Q25" s="62">
        <v>10423</v>
      </c>
      <c r="R25" s="69">
        <v>3072629</v>
      </c>
    </row>
    <row r="26" spans="3:18">
      <c r="C26" s="50" t="s">
        <v>18175</v>
      </c>
      <c r="E26" s="50" t="s">
        <v>20088</v>
      </c>
      <c r="Q26" s="62">
        <v>3989841</v>
      </c>
      <c r="R26" s="69">
        <v>1338674</v>
      </c>
    </row>
    <row r="27" spans="3:18">
      <c r="C27" s="50" t="s">
        <v>19772</v>
      </c>
      <c r="E27" s="50" t="s">
        <v>19372</v>
      </c>
      <c r="Q27" s="62">
        <v>5002738</v>
      </c>
      <c r="R27" s="69">
        <v>3992442</v>
      </c>
    </row>
    <row r="28" spans="3:18">
      <c r="C28" s="50" t="s">
        <v>6594</v>
      </c>
      <c r="E28" s="50"/>
      <c r="Q28" s="62">
        <v>3514450</v>
      </c>
      <c r="R28" s="69">
        <v>4030028</v>
      </c>
    </row>
    <row r="29" spans="3:18">
      <c r="C29" s="50" t="s">
        <v>17422</v>
      </c>
      <c r="E29" s="50" t="s">
        <v>15570</v>
      </c>
      <c r="Q29" s="62">
        <v>27245</v>
      </c>
      <c r="R29" s="69">
        <v>641697</v>
      </c>
    </row>
    <row r="30" spans="3:18">
      <c r="C30" s="50" t="s">
        <v>1913</v>
      </c>
      <c r="E30" s="50" t="s">
        <v>9269</v>
      </c>
      <c r="Q30" s="62">
        <v>5017936</v>
      </c>
      <c r="R30" s="69">
        <v>3757528</v>
      </c>
    </row>
    <row r="31" spans="3:18">
      <c r="C31" s="50" t="s">
        <v>5248</v>
      </c>
      <c r="E31" s="57" t="s">
        <v>26261</v>
      </c>
      <c r="Q31" s="62">
        <v>3167641</v>
      </c>
      <c r="R31" s="69">
        <v>63421</v>
      </c>
    </row>
    <row r="32" spans="3:18">
      <c r="C32" s="50" t="s">
        <v>4644</v>
      </c>
      <c r="Q32" s="62">
        <v>2528645</v>
      </c>
      <c r="R32" s="69">
        <v>3155272</v>
      </c>
    </row>
    <row r="33" spans="3:18">
      <c r="C33" s="50" t="s">
        <v>5553</v>
      </c>
      <c r="Q33" s="62">
        <v>3425691</v>
      </c>
      <c r="R33" s="69">
        <v>608032</v>
      </c>
    </row>
    <row r="34" spans="3:18">
      <c r="C34" s="50" t="s">
        <v>2204</v>
      </c>
      <c r="Q34" s="62">
        <v>2470921</v>
      </c>
      <c r="R34" s="69">
        <v>5016188</v>
      </c>
    </row>
    <row r="35" spans="3:18">
      <c r="C35" s="50" t="s">
        <v>8930</v>
      </c>
      <c r="Q35" s="62">
        <v>5035523</v>
      </c>
      <c r="R35" s="69">
        <v>209833</v>
      </c>
    </row>
    <row r="36" spans="3:18">
      <c r="C36" s="50" t="s">
        <v>2799</v>
      </c>
      <c r="Q36" s="62">
        <v>5040517</v>
      </c>
      <c r="R36" s="69">
        <v>8625</v>
      </c>
    </row>
    <row r="37" spans="3:18">
      <c r="C37" s="50" t="s">
        <v>2327</v>
      </c>
      <c r="Q37" s="62">
        <v>241346</v>
      </c>
      <c r="R37" s="69">
        <v>3814193</v>
      </c>
    </row>
    <row r="38" spans="3:18">
      <c r="C38" s="50" t="s">
        <v>7403</v>
      </c>
      <c r="Q38" s="62">
        <v>3395252</v>
      </c>
      <c r="R38" s="69">
        <v>5015850</v>
      </c>
    </row>
    <row r="39" spans="3:18">
      <c r="C39" s="50" t="s">
        <v>5878</v>
      </c>
      <c r="Q39" s="62">
        <v>5017865</v>
      </c>
      <c r="R39" s="69">
        <v>2503955</v>
      </c>
    </row>
    <row r="40" spans="3:18">
      <c r="C40" s="50" t="s">
        <v>13515</v>
      </c>
      <c r="Q40" s="62">
        <v>5015855</v>
      </c>
      <c r="R40" s="69">
        <v>3875940</v>
      </c>
    </row>
    <row r="41" spans="3:18">
      <c r="C41" s="50" t="s">
        <v>16471</v>
      </c>
      <c r="Q41" s="62">
        <v>4052744</v>
      </c>
      <c r="R41" s="69">
        <v>5018584</v>
      </c>
    </row>
    <row r="42" spans="3:18">
      <c r="C42" s="50" t="s">
        <v>2022</v>
      </c>
      <c r="Q42" s="62">
        <v>5015866</v>
      </c>
      <c r="R42" s="69">
        <v>452934</v>
      </c>
    </row>
    <row r="43" spans="3:18">
      <c r="C43" s="50" t="s">
        <v>409</v>
      </c>
      <c r="Q43" s="62">
        <v>3582467</v>
      </c>
      <c r="R43" s="69">
        <v>96888</v>
      </c>
    </row>
    <row r="44" spans="3:18">
      <c r="C44" s="50" t="s">
        <v>15830</v>
      </c>
      <c r="Q44" s="62">
        <v>2450639</v>
      </c>
      <c r="R44" s="69">
        <v>5003047</v>
      </c>
    </row>
    <row r="45" spans="3:18">
      <c r="C45" s="50" t="s">
        <v>6194</v>
      </c>
      <c r="F45" s="50" t="s">
        <v>26356</v>
      </c>
      <c r="Q45" s="62">
        <v>5094396</v>
      </c>
      <c r="R45" s="69">
        <v>5046169</v>
      </c>
    </row>
    <row r="46" spans="3:18">
      <c r="C46" s="50" t="s">
        <v>17880</v>
      </c>
      <c r="F46" s="50" t="s">
        <v>26356</v>
      </c>
      <c r="Q46" s="62">
        <v>3168781</v>
      </c>
    </row>
    <row r="47" spans="3:18">
      <c r="C47" s="50" t="s">
        <v>2542</v>
      </c>
      <c r="F47" s="50" t="s">
        <v>26356</v>
      </c>
      <c r="Q47" s="62">
        <v>2459310</v>
      </c>
    </row>
    <row r="48" spans="3:18">
      <c r="C48" s="50" t="s">
        <v>8307</v>
      </c>
      <c r="F48" s="50" t="s">
        <v>26356</v>
      </c>
      <c r="Q48" s="62">
        <v>3187344</v>
      </c>
    </row>
    <row r="49" spans="3:6">
      <c r="C49" s="50" t="s">
        <v>15501</v>
      </c>
      <c r="F49" s="50" t="s">
        <v>26356</v>
      </c>
    </row>
    <row r="50" spans="3:6">
      <c r="C50" s="50" t="s">
        <v>4216</v>
      </c>
      <c r="F50" s="50" t="s">
        <v>26356</v>
      </c>
    </row>
    <row r="51" spans="3:6">
      <c r="C51" s="50" t="s">
        <v>6280</v>
      </c>
      <c r="F51" s="50" t="s">
        <v>26356</v>
      </c>
    </row>
    <row r="52" spans="3:6">
      <c r="C52" s="50" t="s">
        <v>2127</v>
      </c>
      <c r="F52" s="50" t="s">
        <v>26356</v>
      </c>
    </row>
    <row r="53" spans="3:6">
      <c r="C53" s="50" t="s">
        <v>6305</v>
      </c>
      <c r="F53" s="50" t="s">
        <v>26356</v>
      </c>
    </row>
    <row r="54" spans="3:6">
      <c r="C54" s="50" t="s">
        <v>3754</v>
      </c>
      <c r="F54" s="50" t="s">
        <v>26356</v>
      </c>
    </row>
    <row r="55" spans="3:6">
      <c r="C55" s="50" t="s">
        <v>1609</v>
      </c>
      <c r="F55" s="50" t="s">
        <v>26356</v>
      </c>
    </row>
    <row r="56" spans="3:6">
      <c r="C56" s="50" t="s">
        <v>729</v>
      </c>
      <c r="F56" s="50" t="s">
        <v>26356</v>
      </c>
    </row>
    <row r="57" spans="3:6">
      <c r="C57" s="50" t="s">
        <v>1552</v>
      </c>
      <c r="F57" s="50" t="s">
        <v>26356</v>
      </c>
    </row>
    <row r="58" spans="3:6">
      <c r="C58" s="50" t="s">
        <v>10200</v>
      </c>
      <c r="F58" s="50" t="s">
        <v>26356</v>
      </c>
    </row>
    <row r="59" spans="3:6">
      <c r="C59" s="50" t="s">
        <v>9564</v>
      </c>
      <c r="F59" s="50" t="s">
        <v>26356</v>
      </c>
    </row>
    <row r="60" spans="3:6">
      <c r="C60" s="50" t="s">
        <v>284</v>
      </c>
      <c r="F60" s="50" t="s">
        <v>26356</v>
      </c>
    </row>
    <row r="61" spans="3:6">
      <c r="C61" s="50" t="s">
        <v>1729</v>
      </c>
      <c r="F61" s="50" t="s">
        <v>26356</v>
      </c>
    </row>
    <row r="62" spans="3:6">
      <c r="C62" s="50" t="s">
        <v>4864</v>
      </c>
      <c r="F62" s="50" t="s">
        <v>26356</v>
      </c>
    </row>
    <row r="63" spans="3:6">
      <c r="C63" s="50" t="s">
        <v>4841</v>
      </c>
      <c r="F63" s="50" t="s">
        <v>26356</v>
      </c>
    </row>
    <row r="64" spans="3:6">
      <c r="C64" s="50" t="s">
        <v>121</v>
      </c>
      <c r="F64" s="50" t="s">
        <v>26356</v>
      </c>
    </row>
    <row r="65" spans="3:6">
      <c r="C65" s="50" t="s">
        <v>691</v>
      </c>
      <c r="F65" s="50" t="s">
        <v>26356</v>
      </c>
    </row>
    <row r="66" spans="3:6">
      <c r="C66" s="50" t="s">
        <v>814</v>
      </c>
      <c r="F66" s="50" t="s">
        <v>26356</v>
      </c>
    </row>
    <row r="67" spans="3:6">
      <c r="C67" s="50" t="s">
        <v>3284</v>
      </c>
      <c r="F67" s="50" t="s">
        <v>26356</v>
      </c>
    </row>
    <row r="68" spans="3:6">
      <c r="C68" s="50" t="s">
        <v>16011</v>
      </c>
      <c r="F68" s="50" t="s">
        <v>26356</v>
      </c>
    </row>
    <row r="69" spans="3:6">
      <c r="C69" s="50" t="s">
        <v>17538</v>
      </c>
      <c r="F69" s="50" t="s">
        <v>26356</v>
      </c>
    </row>
    <row r="70" spans="3:6">
      <c r="C70" s="50" t="s">
        <v>12104</v>
      </c>
      <c r="F70" s="50" t="s">
        <v>26356</v>
      </c>
    </row>
    <row r="71" spans="3:6">
      <c r="C71" s="50" t="s">
        <v>8152</v>
      </c>
      <c r="F71" s="50" t="s">
        <v>26356</v>
      </c>
    </row>
    <row r="72" spans="3:6">
      <c r="C72" s="50" t="s">
        <v>19052</v>
      </c>
      <c r="F72" s="50" t="s">
        <v>26356</v>
      </c>
    </row>
    <row r="73" spans="3:6">
      <c r="C73" s="50" t="s">
        <v>17816</v>
      </c>
      <c r="F73" s="50" t="s">
        <v>26356</v>
      </c>
    </row>
    <row r="74" spans="3:6">
      <c r="C74" s="50" t="s">
        <v>3854</v>
      </c>
      <c r="F74" s="50" t="s">
        <v>26356</v>
      </c>
    </row>
    <row r="75" spans="3:6">
      <c r="C75" s="50" t="s">
        <v>3735</v>
      </c>
      <c r="F75" s="50" t="s">
        <v>26356</v>
      </c>
    </row>
    <row r="76" spans="3:6">
      <c r="C76" s="50" t="s">
        <v>2056</v>
      </c>
      <c r="F76" s="50" t="s">
        <v>26356</v>
      </c>
    </row>
    <row r="77" spans="3:6">
      <c r="C77" s="50" t="s">
        <v>15542</v>
      </c>
      <c r="F77" s="50" t="s">
        <v>26356</v>
      </c>
    </row>
    <row r="78" spans="3:6">
      <c r="C78" s="50" t="s">
        <v>2373</v>
      </c>
      <c r="F78" s="50" t="s">
        <v>26356</v>
      </c>
    </row>
    <row r="79" spans="3:6">
      <c r="C79" s="50" t="s">
        <v>3490</v>
      </c>
      <c r="F79" s="50" t="s">
        <v>26356</v>
      </c>
    </row>
    <row r="80" spans="3:6">
      <c r="C80" s="50" t="s">
        <v>1480</v>
      </c>
      <c r="F80" s="50" t="s">
        <v>26356</v>
      </c>
    </row>
    <row r="81" spans="3:6">
      <c r="C81" s="50" t="s">
        <v>13348</v>
      </c>
      <c r="F81" s="50" t="s">
        <v>26356</v>
      </c>
    </row>
    <row r="82" spans="3:6">
      <c r="C82" s="50" t="s">
        <v>3058</v>
      </c>
      <c r="F82" s="50" t="s">
        <v>26356</v>
      </c>
    </row>
    <row r="83" spans="3:6">
      <c r="C83" s="50" t="s">
        <v>10993</v>
      </c>
      <c r="F83" s="50" t="s">
        <v>26356</v>
      </c>
    </row>
    <row r="84" spans="3:6">
      <c r="C84" s="50" t="s">
        <v>20134</v>
      </c>
      <c r="F84" s="50" t="s">
        <v>26356</v>
      </c>
    </row>
    <row r="85" spans="3:6">
      <c r="C85" s="50" t="s">
        <v>8240</v>
      </c>
      <c r="F85" s="50" t="s">
        <v>26356</v>
      </c>
    </row>
    <row r="86" spans="3:6">
      <c r="C86" s="50" t="s">
        <v>3714</v>
      </c>
      <c r="F86" s="50" t="s">
        <v>26356</v>
      </c>
    </row>
    <row r="87" spans="3:6">
      <c r="C87" s="50" t="s">
        <v>15759</v>
      </c>
      <c r="F87" s="50" t="s">
        <v>26356</v>
      </c>
    </row>
    <row r="88" spans="3:6">
      <c r="C88" s="50" t="s">
        <v>5071</v>
      </c>
      <c r="F88" s="50" t="s">
        <v>26356</v>
      </c>
    </row>
    <row r="89" spans="3:6">
      <c r="C89" s="50" t="s">
        <v>1104</v>
      </c>
      <c r="F89" s="50" t="s">
        <v>26356</v>
      </c>
    </row>
    <row r="90" spans="3:6">
      <c r="C90" s="50" t="s">
        <v>7901</v>
      </c>
      <c r="F90" s="50" t="s">
        <v>26356</v>
      </c>
    </row>
    <row r="91" spans="3:6">
      <c r="C91" s="50" t="s">
        <v>1407</v>
      </c>
      <c r="F91" s="50" t="s">
        <v>26356</v>
      </c>
    </row>
    <row r="92" spans="3:6">
      <c r="C92" s="50" t="s">
        <v>7718</v>
      </c>
      <c r="F92" s="50" t="s">
        <v>26356</v>
      </c>
    </row>
    <row r="93" spans="3:6">
      <c r="C93" s="50" t="s">
        <v>5173</v>
      </c>
      <c r="F93" s="50" t="s">
        <v>26356</v>
      </c>
    </row>
    <row r="94" spans="3:6">
      <c r="C94" s="50" t="s">
        <v>5504</v>
      </c>
      <c r="F94" s="50" t="s">
        <v>26356</v>
      </c>
    </row>
    <row r="95" spans="3:6">
      <c r="C95" s="50" t="s">
        <v>8443</v>
      </c>
      <c r="F95" s="50" t="s">
        <v>26356</v>
      </c>
    </row>
    <row r="96" spans="3:6">
      <c r="C96" s="50" t="s">
        <v>20336</v>
      </c>
      <c r="F96" s="50" t="s">
        <v>26356</v>
      </c>
    </row>
    <row r="97" spans="3:6">
      <c r="C97" s="50" t="s">
        <v>17555</v>
      </c>
      <c r="F97" s="50" t="s">
        <v>26356</v>
      </c>
    </row>
    <row r="98" spans="3:6">
      <c r="C98" s="50" t="s">
        <v>2840</v>
      </c>
      <c r="F98" s="50" t="s">
        <v>26356</v>
      </c>
    </row>
    <row r="99" spans="3:6">
      <c r="C99" s="50" t="s">
        <v>3830</v>
      </c>
      <c r="F99" s="50" t="s">
        <v>26356</v>
      </c>
    </row>
    <row r="100" spans="3:6">
      <c r="C100" s="50" t="s">
        <v>5093</v>
      </c>
      <c r="F100" s="50" t="s">
        <v>26356</v>
      </c>
    </row>
    <row r="101" spans="3:6">
      <c r="C101" s="50" t="s">
        <v>4403</v>
      </c>
      <c r="F101" s="50" t="s">
        <v>26356</v>
      </c>
    </row>
    <row r="102" spans="3:6">
      <c r="C102" s="50" t="s">
        <v>251</v>
      </c>
      <c r="F102" s="50" t="s">
        <v>26356</v>
      </c>
    </row>
    <row r="103" spans="3:6">
      <c r="C103" s="50" t="s">
        <v>17545</v>
      </c>
      <c r="F103" s="50" t="s">
        <v>26356</v>
      </c>
    </row>
    <row r="104" spans="3:6">
      <c r="C104" s="50" t="s">
        <v>8667</v>
      </c>
      <c r="F104" s="50" t="s">
        <v>26356</v>
      </c>
    </row>
    <row r="105" spans="3:6">
      <c r="C105" s="50" t="s">
        <v>589</v>
      </c>
      <c r="F105" s="50" t="s">
        <v>26356</v>
      </c>
    </row>
    <row r="106" spans="3:6">
      <c r="C106" s="50" t="s">
        <v>1036</v>
      </c>
      <c r="F106" s="50" t="s">
        <v>26356</v>
      </c>
    </row>
    <row r="107" spans="3:6">
      <c r="C107" s="50" t="s">
        <v>9483</v>
      </c>
      <c r="F107" s="50" t="s">
        <v>26356</v>
      </c>
    </row>
    <row r="108" spans="3:6">
      <c r="C108" s="50" t="s">
        <v>6389</v>
      </c>
      <c r="F108" s="50" t="s">
        <v>26356</v>
      </c>
    </row>
    <row r="109" spans="3:6">
      <c r="C109" s="50" t="s">
        <v>8509</v>
      </c>
      <c r="F109" s="50" t="s">
        <v>26356</v>
      </c>
    </row>
    <row r="110" spans="3:6">
      <c r="C110" s="50" t="s">
        <v>20358</v>
      </c>
      <c r="F110" s="50" t="s">
        <v>26356</v>
      </c>
    </row>
    <row r="111" spans="3:6">
      <c r="C111" s="50" t="s">
        <v>6900</v>
      </c>
      <c r="F111" s="50" t="s">
        <v>26356</v>
      </c>
    </row>
    <row r="112" spans="3:6">
      <c r="C112" s="50" t="s">
        <v>8978</v>
      </c>
      <c r="F112" s="50" t="s">
        <v>26356</v>
      </c>
    </row>
    <row r="113" spans="3:6">
      <c r="C113" s="50" t="s">
        <v>4153</v>
      </c>
      <c r="F113" s="50" t="s">
        <v>26356</v>
      </c>
    </row>
    <row r="114" spans="3:6">
      <c r="C114" s="50" t="s">
        <v>7324</v>
      </c>
      <c r="F114" s="50" t="s">
        <v>26356</v>
      </c>
    </row>
    <row r="115" spans="3:6">
      <c r="C115" s="50" t="s">
        <v>5423</v>
      </c>
      <c r="F115" s="50" t="s">
        <v>26356</v>
      </c>
    </row>
    <row r="116" spans="3:6">
      <c r="C116" s="50" t="s">
        <v>17179</v>
      </c>
      <c r="F116" s="50" t="s">
        <v>26356</v>
      </c>
    </row>
    <row r="117" spans="3:6">
      <c r="C117" s="50" t="s">
        <v>13368</v>
      </c>
      <c r="F117" s="50" t="s">
        <v>26356</v>
      </c>
    </row>
    <row r="118" spans="3:6">
      <c r="C118" s="50" t="s">
        <v>18963</v>
      </c>
      <c r="F118" s="50" t="s">
        <v>26356</v>
      </c>
    </row>
    <row r="119" spans="3:6">
      <c r="C119" s="50" t="s">
        <v>8802</v>
      </c>
      <c r="F119" s="50" t="s">
        <v>26356</v>
      </c>
    </row>
    <row r="120" spans="3:6">
      <c r="C120" s="50" t="s">
        <v>19371</v>
      </c>
      <c r="F120" s="50" t="s">
        <v>26356</v>
      </c>
    </row>
    <row r="121" spans="3:6">
      <c r="C121" s="50" t="s">
        <v>3537</v>
      </c>
      <c r="F121" s="50" t="s">
        <v>26356</v>
      </c>
    </row>
    <row r="122" spans="3:6">
      <c r="C122" s="50" t="s">
        <v>6323</v>
      </c>
      <c r="F122" s="50" t="s">
        <v>26356</v>
      </c>
    </row>
    <row r="123" spans="3:6">
      <c r="C123" s="50" t="s">
        <v>1433</v>
      </c>
      <c r="F123" s="50" t="s">
        <v>26356</v>
      </c>
    </row>
    <row r="124" spans="3:6">
      <c r="C124" s="50" t="s">
        <v>4136</v>
      </c>
      <c r="F124" s="50" t="s">
        <v>26356</v>
      </c>
    </row>
    <row r="125" spans="3:6">
      <c r="C125" s="50" t="s">
        <v>5483</v>
      </c>
      <c r="F125" s="50" t="s">
        <v>26356</v>
      </c>
    </row>
    <row r="126" spans="3:6">
      <c r="C126" s="50" t="s">
        <v>13776</v>
      </c>
      <c r="F126" s="50" t="s">
        <v>26356</v>
      </c>
    </row>
    <row r="127" spans="3:6">
      <c r="C127" s="50" t="s">
        <v>18092</v>
      </c>
      <c r="F127" s="50" t="s">
        <v>26356</v>
      </c>
    </row>
    <row r="128" spans="3:6">
      <c r="C128" s="50" t="s">
        <v>1170</v>
      </c>
      <c r="F128" s="50" t="s">
        <v>26356</v>
      </c>
    </row>
    <row r="129" spans="3:6">
      <c r="C129" s="50" t="s">
        <v>172</v>
      </c>
      <c r="F129" s="50" t="s">
        <v>26356</v>
      </c>
    </row>
    <row r="130" spans="3:6">
      <c r="C130" s="50" t="s">
        <v>20379</v>
      </c>
      <c r="F130" s="50" t="s">
        <v>26356</v>
      </c>
    </row>
    <row r="131" spans="3:6">
      <c r="C131" s="50" t="s">
        <v>8540</v>
      </c>
      <c r="F131" s="50" t="s">
        <v>26356</v>
      </c>
    </row>
    <row r="132" spans="3:6">
      <c r="C132" s="50" t="s">
        <v>3465</v>
      </c>
      <c r="F132" s="50" t="s">
        <v>26356</v>
      </c>
    </row>
    <row r="133" spans="3:6">
      <c r="C133" s="50" t="s">
        <v>758</v>
      </c>
      <c r="F133" s="50" t="s">
        <v>26356</v>
      </c>
    </row>
    <row r="134" spans="3:6">
      <c r="C134" s="50" t="s">
        <v>3239</v>
      </c>
      <c r="F134" s="50" t="s">
        <v>26356</v>
      </c>
    </row>
    <row r="135" spans="3:6">
      <c r="C135" s="50" t="s">
        <v>18602</v>
      </c>
      <c r="F135" s="50" t="s">
        <v>26356</v>
      </c>
    </row>
    <row r="136" spans="3:6">
      <c r="C136" s="50" t="s">
        <v>319</v>
      </c>
      <c r="F136" s="50" t="s">
        <v>26356</v>
      </c>
    </row>
    <row r="137" spans="3:6">
      <c r="C137" s="50" t="s">
        <v>17764</v>
      </c>
      <c r="F137" s="50" t="s">
        <v>26356</v>
      </c>
    </row>
    <row r="138" spans="3:6">
      <c r="C138" s="50" t="s">
        <v>16148</v>
      </c>
      <c r="F138" s="50" t="s">
        <v>26356</v>
      </c>
    </row>
    <row r="139" spans="3:6">
      <c r="C139" s="50" t="s">
        <v>11368</v>
      </c>
      <c r="F139" s="50" t="s">
        <v>26356</v>
      </c>
    </row>
    <row r="140" spans="3:6">
      <c r="C140" s="50" t="s">
        <v>862</v>
      </c>
      <c r="F140" s="50" t="s">
        <v>26356</v>
      </c>
    </row>
    <row r="141" spans="3:6">
      <c r="C141" s="50" t="s">
        <v>18395</v>
      </c>
      <c r="F141" s="50" t="s">
        <v>26356</v>
      </c>
    </row>
    <row r="142" spans="3:6">
      <c r="C142" s="50" t="s">
        <v>210</v>
      </c>
      <c r="F142" s="50" t="s">
        <v>26356</v>
      </c>
    </row>
    <row r="143" spans="3:6">
      <c r="C143" s="50" t="s">
        <v>788</v>
      </c>
      <c r="F143" s="50" t="s">
        <v>26356</v>
      </c>
    </row>
    <row r="144" spans="3:6">
      <c r="C144" s="50" t="s">
        <v>838</v>
      </c>
      <c r="F144" s="50" t="s">
        <v>26356</v>
      </c>
    </row>
    <row r="145" spans="3:6">
      <c r="C145" s="50" t="s">
        <v>1897</v>
      </c>
      <c r="F145" s="50" t="s">
        <v>26356</v>
      </c>
    </row>
    <row r="146" spans="3:6">
      <c r="C146" s="50" t="s">
        <v>15569</v>
      </c>
      <c r="F146" s="50" t="s">
        <v>26356</v>
      </c>
    </row>
    <row r="147" spans="3:6">
      <c r="C147" s="50" t="s">
        <v>5591</v>
      </c>
      <c r="F147" s="50" t="s">
        <v>26356</v>
      </c>
    </row>
    <row r="148" spans="3:6">
      <c r="C148" s="50" t="s">
        <v>5606</v>
      </c>
      <c r="F148" s="50" t="s">
        <v>26356</v>
      </c>
    </row>
    <row r="149" spans="3:6">
      <c r="C149" s="50" t="s">
        <v>5622</v>
      </c>
      <c r="F149" s="50" t="s">
        <v>26356</v>
      </c>
    </row>
    <row r="150" spans="3:6">
      <c r="C150" s="50" t="s">
        <v>5637</v>
      </c>
      <c r="F150" s="50" t="s">
        <v>26356</v>
      </c>
    </row>
    <row r="151" spans="3:6">
      <c r="C151" s="50" t="s">
        <v>5720</v>
      </c>
      <c r="F151" s="50" t="s">
        <v>26356</v>
      </c>
    </row>
    <row r="152" spans="3:6">
      <c r="C152" s="50" t="s">
        <v>7266</v>
      </c>
    </row>
    <row r="153" spans="3:6">
      <c r="C153" s="50" t="s">
        <v>20503</v>
      </c>
    </row>
    <row r="154" spans="3:6">
      <c r="C154" s="50" t="s">
        <v>1067</v>
      </c>
    </row>
    <row r="155" spans="3:6">
      <c r="C155" s="50" t="s">
        <v>2955</v>
      </c>
    </row>
    <row r="156" spans="3:6">
      <c r="C156" s="50" t="s">
        <v>20625</v>
      </c>
    </row>
    <row r="157" spans="3:6">
      <c r="C157" s="50" t="s">
        <v>11543</v>
      </c>
    </row>
    <row r="158" spans="3:6">
      <c r="C158" s="50" t="s">
        <v>2611</v>
      </c>
    </row>
    <row r="159" spans="3:6">
      <c r="C159" s="50" t="s">
        <v>20585</v>
      </c>
    </row>
    <row r="160" spans="3:6">
      <c r="C160" s="50" t="s">
        <v>20659</v>
      </c>
    </row>
    <row r="161" spans="3:3">
      <c r="C161" s="50" t="s">
        <v>4889</v>
      </c>
    </row>
    <row r="162" spans="3:3">
      <c r="C162" s="50" t="s">
        <v>6176</v>
      </c>
    </row>
    <row r="163" spans="3:3">
      <c r="C163" s="50" t="s">
        <v>6448</v>
      </c>
    </row>
    <row r="164" spans="3:3">
      <c r="C164" s="50" t="s">
        <v>9268</v>
      </c>
    </row>
    <row r="165" spans="3:3">
      <c r="C165" s="50" t="s">
        <v>17444</v>
      </c>
    </row>
    <row r="166" spans="3:3">
      <c r="C166" s="50" t="s">
        <v>19901</v>
      </c>
    </row>
    <row r="167" spans="3:3">
      <c r="C167" s="50" t="s">
        <v>11335</v>
      </c>
    </row>
    <row r="168" spans="3:3">
      <c r="C168" s="50" t="s">
        <v>19981</v>
      </c>
    </row>
    <row r="169" spans="3:3">
      <c r="C169" s="50" t="s">
        <v>5898</v>
      </c>
    </row>
    <row r="170" spans="3:3">
      <c r="C170" s="50" t="s">
        <v>1243</v>
      </c>
    </row>
    <row r="171" spans="3:3">
      <c r="C171" s="50" t="s">
        <v>21547</v>
      </c>
    </row>
    <row r="172" spans="3:3">
      <c r="C172" s="50" t="s">
        <v>952</v>
      </c>
    </row>
    <row r="173" spans="3:3">
      <c r="C173" s="50" t="s">
        <v>1786</v>
      </c>
    </row>
    <row r="174" spans="3:3">
      <c r="C174" s="50" t="s">
        <v>3079</v>
      </c>
    </row>
    <row r="175" spans="3:3">
      <c r="C175" s="50" t="s">
        <v>10227</v>
      </c>
    </row>
    <row r="176" spans="3:3">
      <c r="C176" s="50" t="s">
        <v>20711</v>
      </c>
    </row>
    <row r="177" spans="3:3">
      <c r="C177" s="50" t="s">
        <v>19692</v>
      </c>
    </row>
    <row r="178" spans="3:3">
      <c r="C178" s="50" t="s">
        <v>20747</v>
      </c>
    </row>
    <row r="179" spans="3:3">
      <c r="C179" s="50" t="s">
        <v>8824</v>
      </c>
    </row>
    <row r="180" spans="3:3">
      <c r="C180" s="50" t="s">
        <v>7508</v>
      </c>
    </row>
    <row r="181" spans="3:3">
      <c r="C181" s="50" t="s">
        <v>17703</v>
      </c>
    </row>
    <row r="182" spans="3:3">
      <c r="C182" s="50" t="s">
        <v>5739</v>
      </c>
    </row>
    <row r="183" spans="3:3">
      <c r="C183" s="50" t="s">
        <v>19523</v>
      </c>
    </row>
    <row r="184" spans="3:3">
      <c r="C184" s="50" t="s">
        <v>7340</v>
      </c>
    </row>
    <row r="185" spans="3:3">
      <c r="C185" s="50" t="s">
        <v>3263</v>
      </c>
    </row>
    <row r="186" spans="3:3">
      <c r="C186" s="50" t="s">
        <v>14762</v>
      </c>
    </row>
    <row r="187" spans="3:3">
      <c r="C187" s="50" t="s">
        <v>18154</v>
      </c>
    </row>
    <row r="188" spans="3:3">
      <c r="C188" s="50" t="s">
        <v>17680</v>
      </c>
    </row>
    <row r="189" spans="3:3">
      <c r="C189" s="50" t="s">
        <v>8524</v>
      </c>
    </row>
    <row r="190" spans="3:3">
      <c r="C190" s="50" t="s">
        <v>8527</v>
      </c>
    </row>
    <row r="191" spans="3:3">
      <c r="C191" s="50" t="s">
        <v>11027</v>
      </c>
    </row>
    <row r="192" spans="3:3">
      <c r="C192" s="57" t="s">
        <v>24960</v>
      </c>
    </row>
    <row r="193" spans="3:3">
      <c r="C193" s="57" t="s">
        <v>21830</v>
      </c>
    </row>
    <row r="194" spans="3:3">
      <c r="C194" s="57" t="s">
        <v>24991</v>
      </c>
    </row>
    <row r="195" spans="3:3">
      <c r="C195" s="57" t="s">
        <v>9178</v>
      </c>
    </row>
    <row r="196" spans="3:3">
      <c r="C196" s="57" t="s">
        <v>25744</v>
      </c>
    </row>
    <row r="197" spans="3:3">
      <c r="C197" s="57" t="s">
        <v>23301</v>
      </c>
    </row>
    <row r="198" spans="3:3">
      <c r="C198" s="57" t="s">
        <v>22048</v>
      </c>
    </row>
    <row r="199" spans="3:3">
      <c r="C199" s="57" t="s">
        <v>25043</v>
      </c>
    </row>
    <row r="200" spans="3:3">
      <c r="C200" s="57" t="s">
        <v>25058</v>
      </c>
    </row>
    <row r="201" spans="3:3">
      <c r="C201" s="57" t="s">
        <v>12162</v>
      </c>
    </row>
    <row r="202" spans="3:3">
      <c r="C202" s="57" t="s">
        <v>26134</v>
      </c>
    </row>
    <row r="203" spans="3:3">
      <c r="C203" s="57" t="s">
        <v>22295</v>
      </c>
    </row>
    <row r="204" spans="3:3">
      <c r="C204" s="57" t="s">
        <v>22535</v>
      </c>
    </row>
    <row r="205" spans="3:3">
      <c r="C205" s="57" t="s">
        <v>6824</v>
      </c>
    </row>
    <row r="206" spans="3:3">
      <c r="C206" s="57" t="s">
        <v>22687</v>
      </c>
    </row>
    <row r="207" spans="3:3">
      <c r="C207" s="57" t="s">
        <v>22805</v>
      </c>
    </row>
    <row r="208" spans="3:3">
      <c r="C208" s="57" t="s">
        <v>22976</v>
      </c>
    </row>
    <row r="209" spans="3:3">
      <c r="C209" s="57" t="s">
        <v>23048</v>
      </c>
    </row>
    <row r="210" spans="3:3">
      <c r="C210" s="57" t="s">
        <v>25335</v>
      </c>
    </row>
    <row r="211" spans="3:3">
      <c r="C211" s="57" t="s">
        <v>23184</v>
      </c>
    </row>
    <row r="212" spans="3:3">
      <c r="C212" s="57" t="s">
        <v>20016</v>
      </c>
    </row>
    <row r="213" spans="3:3">
      <c r="C213" s="57" t="s">
        <v>26245</v>
      </c>
    </row>
    <row r="214" spans="3:3">
      <c r="C214" s="57" t="s">
        <v>23258</v>
      </c>
    </row>
    <row r="215" spans="3:3">
      <c r="C215" s="57" t="s">
        <v>24623</v>
      </c>
    </row>
    <row r="216" spans="3:3">
      <c r="C216" s="57" t="s">
        <v>24645</v>
      </c>
    </row>
    <row r="217" spans="3:3">
      <c r="C217" s="57" t="s">
        <v>23625</v>
      </c>
    </row>
    <row r="218" spans="3:3">
      <c r="C218" s="57" t="s">
        <v>24666</v>
      </c>
    </row>
    <row r="219" spans="3:3">
      <c r="C219" s="57" t="s">
        <v>23645</v>
      </c>
    </row>
    <row r="220" spans="3:3">
      <c r="C220" s="57" t="s">
        <v>15806</v>
      </c>
    </row>
    <row r="221" spans="3:3">
      <c r="C221" s="57" t="s">
        <v>25408</v>
      </c>
    </row>
    <row r="222" spans="3:3">
      <c r="C222" s="57" t="s">
        <v>3358</v>
      </c>
    </row>
    <row r="223" spans="3:3">
      <c r="C223" s="57" t="s">
        <v>26013</v>
      </c>
    </row>
    <row r="224" spans="3:3">
      <c r="C224" s="57" t="s">
        <v>24754</v>
      </c>
    </row>
    <row r="225" spans="3:3">
      <c r="C225" s="57" t="s">
        <v>25499</v>
      </c>
    </row>
    <row r="226" spans="3:3">
      <c r="C226" s="57" t="s">
        <v>9446</v>
      </c>
    </row>
    <row r="227" spans="3:3">
      <c r="C227" s="57" t="s">
        <v>26261</v>
      </c>
    </row>
    <row r="228" spans="3:3">
      <c r="C228" s="57" t="s">
        <v>26281</v>
      </c>
    </row>
    <row r="229" spans="3:3">
      <c r="C229" s="57" t="s">
        <v>26319</v>
      </c>
    </row>
    <row r="610" spans="1:1">
      <c r="A610" s="57"/>
    </row>
    <row r="611" spans="1:1">
      <c r="A611" s="57"/>
    </row>
    <row r="612" spans="1:1">
      <c r="A612" s="57"/>
    </row>
    <row r="613" spans="1:1">
      <c r="A613" s="57"/>
    </row>
    <row r="614" spans="1:1">
      <c r="A614" s="57"/>
    </row>
    <row r="615" spans="1:1">
      <c r="A615" s="57"/>
    </row>
    <row r="616" spans="1:1">
      <c r="A616" s="57"/>
    </row>
    <row r="617" spans="1:1">
      <c r="A617" s="57"/>
    </row>
    <row r="618" spans="1:1">
      <c r="A618" s="57"/>
    </row>
    <row r="619" spans="1:1">
      <c r="A619" s="57"/>
    </row>
    <row r="620" spans="1:1">
      <c r="A620" s="57"/>
    </row>
    <row r="621" spans="1:1">
      <c r="A621" s="57"/>
    </row>
    <row r="622" spans="1:1">
      <c r="A622" s="57"/>
    </row>
    <row r="623" spans="1:1">
      <c r="A623" s="57"/>
    </row>
    <row r="624" spans="1:1">
      <c r="A624" s="57"/>
    </row>
    <row r="625" spans="1:1">
      <c r="A625" s="57"/>
    </row>
    <row r="626" spans="1:1">
      <c r="A626" s="57"/>
    </row>
    <row r="627" spans="1:1">
      <c r="A627" s="57"/>
    </row>
    <row r="628" spans="1:1">
      <c r="A628" s="57"/>
    </row>
    <row r="629" spans="1:1">
      <c r="A629" s="57"/>
    </row>
    <row r="630" spans="1:1">
      <c r="A630" s="57"/>
    </row>
    <row r="631" spans="1:1">
      <c r="A631" s="57"/>
    </row>
    <row r="632" spans="1:1">
      <c r="A632" s="57"/>
    </row>
    <row r="633" spans="1:1">
      <c r="A633" s="57"/>
    </row>
    <row r="634" spans="1:1">
      <c r="A634" s="57"/>
    </row>
    <row r="635" spans="1:1">
      <c r="A635" s="57"/>
    </row>
    <row r="636" spans="1:1">
      <c r="A636" s="57"/>
    </row>
    <row r="637" spans="1:1">
      <c r="A637" s="57"/>
    </row>
    <row r="638" spans="1:1">
      <c r="A638" s="57"/>
    </row>
    <row r="639" spans="1:1">
      <c r="A639" s="57"/>
    </row>
    <row r="640" spans="1:1">
      <c r="A640" s="57"/>
    </row>
    <row r="641" spans="1:1">
      <c r="A641" s="57"/>
    </row>
    <row r="642" spans="1:1">
      <c r="A642" s="57"/>
    </row>
    <row r="643" spans="1:1">
      <c r="A643" s="57"/>
    </row>
    <row r="644" spans="1:1">
      <c r="A644" s="57"/>
    </row>
    <row r="645" spans="1:1">
      <c r="A645" s="57"/>
    </row>
    <row r="646" spans="1:1">
      <c r="A646" s="57"/>
    </row>
    <row r="647" spans="1:1">
      <c r="A647" s="57"/>
    </row>
    <row r="648" spans="1:1">
      <c r="A648" s="57"/>
    </row>
    <row r="649" spans="1:1">
      <c r="A649" s="57"/>
    </row>
    <row r="650" spans="1:1">
      <c r="A650" s="57"/>
    </row>
    <row r="651" spans="1:1">
      <c r="A651" s="57"/>
    </row>
    <row r="652" spans="1:1">
      <c r="A652" s="57"/>
    </row>
    <row r="653" spans="1:1">
      <c r="A653" s="57"/>
    </row>
    <row r="654" spans="1:1">
      <c r="A654" s="57"/>
    </row>
    <row r="655" spans="1:1">
      <c r="A655" s="57"/>
    </row>
    <row r="656" spans="1:1">
      <c r="A656" s="57"/>
    </row>
    <row r="657" spans="1:1">
      <c r="A657" s="57"/>
    </row>
    <row r="658" spans="1:1">
      <c r="A658" s="57"/>
    </row>
    <row r="659" spans="1:1">
      <c r="A659" s="57"/>
    </row>
    <row r="660" spans="1:1">
      <c r="A660" s="57"/>
    </row>
    <row r="661" spans="1:1">
      <c r="A661" s="57"/>
    </row>
    <row r="662" spans="1:1">
      <c r="A662" s="57"/>
    </row>
    <row r="663" spans="1:1">
      <c r="A663" s="57"/>
    </row>
    <row r="664" spans="1:1">
      <c r="A664" s="57"/>
    </row>
    <row r="665" spans="1:1">
      <c r="A665" s="57"/>
    </row>
    <row r="666" spans="1:1">
      <c r="A666" s="57"/>
    </row>
    <row r="667" spans="1:1">
      <c r="A667" s="57"/>
    </row>
    <row r="668" spans="1:1">
      <c r="A668" s="57"/>
    </row>
    <row r="669" spans="1:1">
      <c r="A669" s="57"/>
    </row>
    <row r="670" spans="1:1">
      <c r="A670" s="57"/>
    </row>
    <row r="671" spans="1:1">
      <c r="A671" s="57"/>
    </row>
    <row r="672" spans="1:1">
      <c r="A672" s="57"/>
    </row>
    <row r="673" spans="1:1">
      <c r="A673" s="57"/>
    </row>
    <row r="674" spans="1:1">
      <c r="A674" s="57"/>
    </row>
    <row r="675" spans="1:1">
      <c r="A675" s="57"/>
    </row>
    <row r="676" spans="1:1">
      <c r="A676" s="57"/>
    </row>
    <row r="677" spans="1:1">
      <c r="A677" s="57"/>
    </row>
    <row r="678" spans="1:1">
      <c r="A678" s="57"/>
    </row>
    <row r="679" spans="1:1">
      <c r="A679" s="57"/>
    </row>
    <row r="680" spans="1:1">
      <c r="A680" s="57"/>
    </row>
    <row r="681" spans="1:1">
      <c r="A681" s="57"/>
    </row>
    <row r="682" spans="1:1">
      <c r="A682" s="57"/>
    </row>
    <row r="683" spans="1:1">
      <c r="A683" s="57"/>
    </row>
    <row r="684" spans="1:1">
      <c r="A684" s="57"/>
    </row>
    <row r="685" spans="1:1">
      <c r="A685" s="57"/>
    </row>
    <row r="686" spans="1:1">
      <c r="A686" s="57"/>
    </row>
    <row r="687" spans="1:1">
      <c r="A687" s="57"/>
    </row>
    <row r="688" spans="1:1">
      <c r="A688" s="57"/>
    </row>
    <row r="689" spans="1:1">
      <c r="A689" s="57"/>
    </row>
    <row r="690" spans="1:1">
      <c r="A690" s="57"/>
    </row>
    <row r="691" spans="1:1">
      <c r="A691" s="57"/>
    </row>
    <row r="692" spans="1:1">
      <c r="A692" s="57"/>
    </row>
    <row r="693" spans="1:1">
      <c r="A693" s="57"/>
    </row>
    <row r="694" spans="1:1">
      <c r="A694" s="57"/>
    </row>
    <row r="695" spans="1:1">
      <c r="A695" s="57"/>
    </row>
    <row r="696" spans="1:1">
      <c r="A696" s="57"/>
    </row>
    <row r="697" spans="1:1">
      <c r="A697" s="57"/>
    </row>
    <row r="698" spans="1:1">
      <c r="A698" s="57"/>
    </row>
    <row r="699" spans="1:1">
      <c r="A699" s="57"/>
    </row>
    <row r="700" spans="1:1">
      <c r="A700" s="57"/>
    </row>
    <row r="701" spans="1:1">
      <c r="A701" s="57"/>
    </row>
    <row r="702" spans="1:1">
      <c r="A702" s="57"/>
    </row>
    <row r="703" spans="1:1">
      <c r="A703" s="57"/>
    </row>
    <row r="704" spans="1:1">
      <c r="A704" s="57"/>
    </row>
    <row r="705" spans="1:1">
      <c r="A705" s="57"/>
    </row>
    <row r="706" spans="1:1">
      <c r="A706" s="57"/>
    </row>
    <row r="707" spans="1:1">
      <c r="A707" s="57"/>
    </row>
    <row r="708" spans="1:1">
      <c r="A708" s="57"/>
    </row>
    <row r="709" spans="1:1">
      <c r="A709" s="57"/>
    </row>
    <row r="710" spans="1:1">
      <c r="A710" s="57"/>
    </row>
    <row r="711" spans="1:1">
      <c r="A711" s="57"/>
    </row>
    <row r="712" spans="1:1">
      <c r="A712" s="57"/>
    </row>
    <row r="713" spans="1:1">
      <c r="A713" s="57"/>
    </row>
    <row r="714" spans="1:1">
      <c r="A714" s="57"/>
    </row>
    <row r="715" spans="1:1">
      <c r="A715" s="57"/>
    </row>
    <row r="716" spans="1:1">
      <c r="A716" s="57"/>
    </row>
    <row r="717" spans="1:1">
      <c r="A717" s="57"/>
    </row>
    <row r="718" spans="1:1">
      <c r="A718" s="57"/>
    </row>
    <row r="719" spans="1:1">
      <c r="A719" s="57"/>
    </row>
    <row r="720" spans="1:1">
      <c r="A720" s="57"/>
    </row>
    <row r="721" spans="1:1">
      <c r="A721" s="57"/>
    </row>
    <row r="722" spans="1:1">
      <c r="A722" s="57"/>
    </row>
    <row r="723" spans="1:1">
      <c r="A723" s="57"/>
    </row>
    <row r="724" spans="1:1">
      <c r="A724" s="57"/>
    </row>
    <row r="725" spans="1:1">
      <c r="A725" s="57"/>
    </row>
    <row r="726" spans="1:1">
      <c r="A726" s="57"/>
    </row>
    <row r="727" spans="1:1">
      <c r="A727" s="57"/>
    </row>
    <row r="728" spans="1:1">
      <c r="A728" s="57"/>
    </row>
    <row r="729" spans="1:1">
      <c r="A729" s="57"/>
    </row>
    <row r="730" spans="1:1">
      <c r="A730" s="57"/>
    </row>
    <row r="731" spans="1:1">
      <c r="A731" s="57"/>
    </row>
    <row r="732" spans="1:1">
      <c r="A732" s="57"/>
    </row>
    <row r="733" spans="1:1">
      <c r="A733" s="57"/>
    </row>
    <row r="734" spans="1:1">
      <c r="A734" s="57"/>
    </row>
    <row r="735" spans="1:1">
      <c r="A735" s="57"/>
    </row>
    <row r="736" spans="1:1">
      <c r="A736" s="57"/>
    </row>
    <row r="737" spans="1:1">
      <c r="A737" s="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21141-35F3-EA44-B039-EC66C612A951}">
  <dimension ref="A1:J65"/>
  <sheetViews>
    <sheetView workbookViewId="0">
      <selection activeCell="E7" sqref="E7"/>
    </sheetView>
  </sheetViews>
  <sheetFormatPr baseColWidth="10" defaultRowHeight="15"/>
  <cols>
    <col min="6" max="8" width="23" customWidth="1"/>
  </cols>
  <sheetData>
    <row r="1" spans="1:10">
      <c r="A1" t="s">
        <v>26623</v>
      </c>
      <c r="D1" s="1"/>
      <c r="E1" s="1"/>
      <c r="F1" s="1"/>
      <c r="G1" s="1"/>
      <c r="H1" s="1"/>
    </row>
    <row r="3" spans="1:10">
      <c r="A3" t="s">
        <v>26624</v>
      </c>
    </row>
    <row r="4" spans="1:10">
      <c r="C4" t="s">
        <v>26626</v>
      </c>
      <c r="D4" t="s">
        <v>26629</v>
      </c>
      <c r="E4" t="s">
        <v>26627</v>
      </c>
      <c r="F4" t="s">
        <v>26630</v>
      </c>
    </row>
    <row r="5" spans="1:10">
      <c r="B5" t="s">
        <v>174</v>
      </c>
      <c r="C5">
        <f>COUNTIFS('Drop &amp; Risk Analysis'!$C:$C,"Drop",'Drop &amp; Risk Analysis'!$D:$D,"East")</f>
        <v>13</v>
      </c>
      <c r="D5">
        <f>SUMIFS('Drop &amp; Risk Analysis'!$M:$M,'Drop &amp; Risk Analysis'!$D:$D,"East",'Drop &amp; Risk Analysis'!$C:$C,"Drop")</f>
        <v>10055188</v>
      </c>
      <c r="E5">
        <f>COUNTIFS('Drop &amp; Risk Analysis'!$C:$C,"Risk",'Drop &amp; Risk Analysis'!$D:$D,"East")</f>
        <v>7</v>
      </c>
      <c r="F5">
        <f>SUMIFS('Drop &amp; Risk Analysis'!$M:$M,'Drop &amp; Risk Analysis'!$D:$D,"East",'Drop &amp; Risk Analysis'!$C:$C,"Risk")</f>
        <v>3182227</v>
      </c>
      <c r="G5">
        <f>COUNTIF('Drop &amp; Risk Analysis'!$D:$D,"East")</f>
        <v>103</v>
      </c>
      <c r="H5" s="82">
        <f>(C5+E5)/G5</f>
        <v>0.1941747572815534</v>
      </c>
      <c r="I5">
        <f>SUMIF('Drop &amp; Risk Analysis'!$D:$D,"east",'Drop &amp; Risk Analysis'!$M:$M)</f>
        <v>79077020</v>
      </c>
      <c r="J5" s="82">
        <f>(D5+F5)/I5</f>
        <v>0.167399011748293</v>
      </c>
    </row>
    <row r="6" spans="1:10">
      <c r="B6" t="s">
        <v>26625</v>
      </c>
      <c r="C6">
        <f>COUNTIFS('Drop &amp; Risk Analysis'!$C:$C,"Drop",'Drop &amp; Risk Analysis'!$D:$D,"North")</f>
        <v>16</v>
      </c>
      <c r="D6">
        <f>SUMIFS('Drop &amp; Risk Analysis'!M:M,'Drop &amp; Risk Analysis'!D:D,"North",'Drop &amp; Risk Analysis'!C:C,"Drop")</f>
        <v>15463008</v>
      </c>
      <c r="E6">
        <f>COUNTIFS('Drop &amp; Risk Analysis'!$C:$C,"Risk",'Drop &amp; Risk Analysis'!$D:$D,"North")</f>
        <v>11</v>
      </c>
      <c r="F6">
        <f>SUMIFS('Drop &amp; Risk Analysis'!$M:$M,'Drop &amp; Risk Analysis'!$D:$D,"North",'Drop &amp; Risk Analysis'!$C:$C,"Risk")</f>
        <v>5327193</v>
      </c>
      <c r="G6">
        <f>COUNTIF('Drop &amp; Risk Analysis'!$D:$D,"North")</f>
        <v>201</v>
      </c>
      <c r="H6" s="82">
        <f t="shared" ref="H6:H9" si="0">(C6+E6)/G6</f>
        <v>0.13432835820895522</v>
      </c>
      <c r="I6">
        <f>SUMIF('Drop &amp; Risk Analysis'!$D:$D,"North",'Drop &amp; Risk Analysis'!$M:$M)</f>
        <v>145071838</v>
      </c>
      <c r="J6" s="82">
        <f t="shared" ref="J6:J9" si="1">(D6+F6)/I6</f>
        <v>0.14330969598661872</v>
      </c>
    </row>
    <row r="7" spans="1:10">
      <c r="B7" t="s">
        <v>212</v>
      </c>
      <c r="C7">
        <f>COUNTIFS('Drop &amp; Risk Analysis'!$C:$C,"Drop",'Drop &amp; Risk Analysis'!$D:$D,"South")</f>
        <v>7</v>
      </c>
      <c r="D7">
        <f>SUMIFS('Drop &amp; Risk Analysis'!M:M,'Drop &amp; Risk Analysis'!D:D,"South",'Drop &amp; Risk Analysis'!C:C,"Drop")</f>
        <v>3015313</v>
      </c>
      <c r="E7">
        <f>COUNTIFS('Drop &amp; Risk Analysis'!$C:$C,"Risk",'Drop &amp; Risk Analysis'!$D:$D,"South")</f>
        <v>12</v>
      </c>
      <c r="F7">
        <f>SUMIFS('Drop &amp; Risk Analysis'!$M:$M,'Drop &amp; Risk Analysis'!$D:$D,"South",'Drop &amp; Risk Analysis'!$C:$C,"Risk")</f>
        <v>15381922</v>
      </c>
      <c r="G7">
        <f>COUNTIF('Drop &amp; Risk Analysis'!$D:$D,"South")</f>
        <v>201</v>
      </c>
      <c r="H7" s="82">
        <f t="shared" si="0"/>
        <v>9.4527363184079602E-2</v>
      </c>
      <c r="I7">
        <f>SUMIF('Drop &amp; Risk Analysis'!$D:$D,"South",'Drop &amp; Risk Analysis'!$M:$M)</f>
        <v>151237455</v>
      </c>
      <c r="J7" s="82">
        <f t="shared" si="1"/>
        <v>0.12164470104313777</v>
      </c>
    </row>
    <row r="8" spans="1:10">
      <c r="B8" t="s">
        <v>622</v>
      </c>
      <c r="C8">
        <f>COUNTIFS('Drop &amp; Risk Analysis'!$C:$C,"Drop",'Drop &amp; Risk Analysis'!$D:$D,"West")</f>
        <v>10</v>
      </c>
      <c r="D8">
        <f>SUMIFS('Drop &amp; Risk Analysis'!M:M,'Drop &amp; Risk Analysis'!D:D,"West",'Drop &amp; Risk Analysis'!C:C,"Drop")</f>
        <v>3947803</v>
      </c>
      <c r="E8">
        <f>COUNTIFS('Drop &amp; Risk Analysis'!$C:$C,"Risk",'Drop &amp; Risk Analysis'!$D:$D,"West")</f>
        <v>17</v>
      </c>
      <c r="F8">
        <f>SUMIFS('Drop &amp; Risk Analysis'!$M:$M,'Drop &amp; Risk Analysis'!$D:$D,"West",'Drop &amp; Risk Analysis'!$C:$C,"Risk")</f>
        <v>13564708</v>
      </c>
      <c r="G8">
        <f>COUNTIF('Drop &amp; Risk Analysis'!$D:$D,"West")</f>
        <v>139</v>
      </c>
      <c r="H8" s="82">
        <f t="shared" si="0"/>
        <v>0.19424460431654678</v>
      </c>
      <c r="I8">
        <f>SUMIF('Drop &amp; Risk Analysis'!$D:$D,"West",'Drop &amp; Risk Analysis'!$M:$M)</f>
        <v>100305773</v>
      </c>
      <c r="J8" s="82">
        <f t="shared" si="1"/>
        <v>0.17459125707550252</v>
      </c>
    </row>
    <row r="9" spans="1:10">
      <c r="C9" s="81">
        <f>SUM(C5:C8)</f>
        <v>46</v>
      </c>
      <c r="D9" s="81">
        <f>SUM(D5:D8)</f>
        <v>32481312</v>
      </c>
      <c r="E9" s="81">
        <f>SUM(E5:E8)</f>
        <v>47</v>
      </c>
      <c r="F9" s="81">
        <f>SUM(F5:F8)</f>
        <v>37456050</v>
      </c>
      <c r="G9" s="81">
        <f>SUM(G5:G8)</f>
        <v>644</v>
      </c>
      <c r="H9" s="82">
        <f t="shared" si="0"/>
        <v>0.14440993788819875</v>
      </c>
      <c r="I9">
        <f>SUM(I5:I8)</f>
        <v>475692086</v>
      </c>
      <c r="J9" s="82">
        <f t="shared" si="1"/>
        <v>0.14702233662975003</v>
      </c>
    </row>
    <row r="10" spans="1:10">
      <c r="C10" s="81"/>
      <c r="D10" s="81"/>
      <c r="E10" s="81"/>
      <c r="F10" s="81"/>
    </row>
    <row r="11" spans="1:10">
      <c r="C11" s="81"/>
      <c r="D11" s="81"/>
      <c r="E11" s="81"/>
      <c r="F11" s="81"/>
    </row>
    <row r="12" spans="1:10">
      <c r="C12" t="s">
        <v>26626</v>
      </c>
      <c r="D12" t="s">
        <v>26629</v>
      </c>
      <c r="E12" t="s">
        <v>26627</v>
      </c>
      <c r="F12" t="s">
        <v>26630</v>
      </c>
    </row>
    <row r="13" spans="1:10">
      <c r="B13" t="s">
        <v>337</v>
      </c>
      <c r="C13">
        <f>COUNTIFS('Drop &amp; Risk Analysis'!$C:$C,"Drop",'Drop &amp; Risk Analysis'!$A:$A,"New School")</f>
        <v>19</v>
      </c>
      <c r="D13">
        <f>SUMIFS('Drop &amp; Risk Analysis'!$M:$M,'Drop &amp; Risk Analysis'!$A:$A,"New School",'Drop &amp; Risk Analysis'!$C:$C,"Drop")</f>
        <v>11402972</v>
      </c>
      <c r="E13">
        <f>COUNTIFS('Drop &amp; Risk Analysis'!$C:$C,"Risk",'Drop &amp; Risk Analysis'!$A:$A,"New School")</f>
        <v>21</v>
      </c>
      <c r="F13">
        <f>SUMIFS('Drop &amp; Risk Analysis'!$M:$M,'Drop &amp; Risk Analysis'!$A:$A,"New School",'Drop &amp; Risk Analysis'!$C:$C,"Risk")</f>
        <v>12994065</v>
      </c>
      <c r="G13">
        <f>COUNTIF('Drop &amp; Risk Analysis'!$A:$A,"new School")</f>
        <v>227</v>
      </c>
      <c r="H13" s="82">
        <f t="shared" ref="H13:H17" si="2">(C13+E13)/G13</f>
        <v>0.1762114537444934</v>
      </c>
      <c r="I13">
        <f>SUMIF('Drop &amp; Risk Analysis'!$A:$A,"New School",'Drop &amp; Risk Analysis'!$M:$M)</f>
        <v>109160339</v>
      </c>
      <c r="J13" s="82">
        <f t="shared" ref="J13:J17" si="3">(D13+F13)/I13</f>
        <v>0.2234972630489907</v>
      </c>
    </row>
    <row r="14" spans="1:10" ht="16">
      <c r="B14" s="50" t="s">
        <v>93</v>
      </c>
      <c r="C14">
        <f>COUNTIFS('Drop &amp; Risk Analysis'!$C:$C,"Drop",'Drop &amp; Risk Analysis'!$A:$A,"1-year School")</f>
        <v>11</v>
      </c>
      <c r="D14">
        <f>SUMIFS('Drop &amp; Risk Analysis'!$M:$M,'Drop &amp; Risk Analysis'!$A:$A,"1-year School",'Drop &amp; Risk Analysis'!$C:$C,"Drop")</f>
        <v>8113062</v>
      </c>
      <c r="E14">
        <f>COUNTIFS('Drop &amp; Risk Analysis'!$C:$C,"Risk",'Drop &amp; Risk Analysis'!$A:$A,"1-year School")</f>
        <v>9</v>
      </c>
      <c r="F14">
        <f>SUMIFS('Drop &amp; Risk Analysis'!$M:$M,'Drop &amp; Risk Analysis'!$A:$A,"1-year School",'Drop &amp; Risk Analysis'!$C:$C,"Risk")</f>
        <v>5394086</v>
      </c>
      <c r="G14">
        <f>COUNTIF('Drop &amp; Risk Analysis'!$A:$A,"1-year School")</f>
        <v>102</v>
      </c>
      <c r="H14" s="82">
        <f t="shared" si="2"/>
        <v>0.19607843137254902</v>
      </c>
      <c r="I14">
        <f>SUMIF('Drop &amp; Risk Analysis'!$A:$A,"1-year School",'Drop &amp; Risk Analysis'!$M:$M)</f>
        <v>59639304</v>
      </c>
      <c r="J14" s="82">
        <f t="shared" si="3"/>
        <v>0.22648064437505844</v>
      </c>
    </row>
    <row r="15" spans="1:10" ht="16">
      <c r="B15" s="50" t="s">
        <v>149</v>
      </c>
      <c r="C15">
        <f>COUNTIFS('Drop &amp; Risk Analysis'!$C:$C,"Drop",'Drop &amp; Risk Analysis'!$A:$A,"Retention School")</f>
        <v>16</v>
      </c>
      <c r="D15">
        <f>SUMIFS('Drop &amp; Risk Analysis'!$M:$M,'Drop &amp; Risk Analysis'!$A:$A,"Retention School",'Drop &amp; Risk Analysis'!$C:$C,"Drop")</f>
        <v>12965278</v>
      </c>
      <c r="E15">
        <f>COUNTIFS('Drop &amp; Risk Analysis'!$C:$C,"Risk",'Drop &amp; Risk Analysis'!$A:$A,"Retention School")</f>
        <v>16</v>
      </c>
      <c r="F15">
        <f>SUMIFS('Drop &amp; Risk Analysis'!$M:$M,'Drop &amp; Risk Analysis'!$A:$A,"Retention School",'Drop &amp; Risk Analysis'!$C:$C,"Risk")</f>
        <v>18867649</v>
      </c>
      <c r="G15">
        <f>COUNTIF('Drop &amp; Risk Analysis'!$A:$A,"Retention School")</f>
        <v>299</v>
      </c>
      <c r="H15" s="82">
        <f t="shared" si="2"/>
        <v>0.10702341137123746</v>
      </c>
      <c r="I15">
        <f>SUMIF('Drop &amp; Risk Analysis'!$A:$A,"Retention School",'Drop &amp; Risk Analysis'!$M:$M)</f>
        <v>286270040</v>
      </c>
      <c r="J15" s="82">
        <f t="shared" si="3"/>
        <v>0.1111989469802708</v>
      </c>
    </row>
    <row r="16" spans="1:10" ht="16">
      <c r="B16" s="50" t="s">
        <v>495</v>
      </c>
      <c r="C16">
        <f>COUNTIFS('Drop &amp; Risk Analysis'!$C:$C,"Drop",'Drop &amp; Risk Analysis'!$A:$A,"Key Account")</f>
        <v>0</v>
      </c>
      <c r="D16">
        <f>SUMIFS('Drop &amp; Risk Analysis'!$M:$M,'Drop &amp; Risk Analysis'!$A:$A,"Key Account",'Drop &amp; Risk Analysis'!$C:$C,"Drop")</f>
        <v>0</v>
      </c>
      <c r="E16">
        <f>COUNTIFS('Drop &amp; Risk Analysis'!$C:$C,"Risk",'Drop &amp; Risk Analysis'!$A:$A,"Key Account")</f>
        <v>1</v>
      </c>
      <c r="F16">
        <f>SUMIFS('Drop &amp; Risk Analysis'!$M:$M,'Drop &amp; Risk Analysis'!$A:$A,"Key Account",'Drop &amp; Risk Analysis'!$C:$C,"Risk")</f>
        <v>200250</v>
      </c>
      <c r="G16">
        <f>COUNTIF('Drop &amp; Risk Analysis'!$A:$A,"Key Account")</f>
        <v>17</v>
      </c>
      <c r="H16" s="82">
        <f t="shared" si="2"/>
        <v>5.8823529411764705E-2</v>
      </c>
      <c r="I16">
        <f>SUMIF('Drop &amp; Risk Analysis'!$A:$A,"Key Account",'Drop &amp; Risk Analysis'!$M:$M)</f>
        <v>21022403</v>
      </c>
      <c r="J16" s="82">
        <f t="shared" si="3"/>
        <v>9.5255523357629483E-3</v>
      </c>
    </row>
    <row r="17" spans="2:10">
      <c r="C17" s="81">
        <f>SUM(C13:C15)</f>
        <v>46</v>
      </c>
      <c r="D17" s="81">
        <f>SUM(D13:D15)</f>
        <v>32481312</v>
      </c>
      <c r="E17" s="81">
        <f>SUM(E13:E16)</f>
        <v>47</v>
      </c>
      <c r="F17" s="81">
        <f>SUM(F13:F15)</f>
        <v>37255800</v>
      </c>
      <c r="G17" s="81">
        <v>644</v>
      </c>
      <c r="H17" s="82">
        <f t="shared" si="2"/>
        <v>0.14440993788819875</v>
      </c>
      <c r="I17">
        <f>SUM(I13:I16)</f>
        <v>476092086</v>
      </c>
      <c r="J17" s="82">
        <f t="shared" si="3"/>
        <v>0.14647820043788756</v>
      </c>
    </row>
    <row r="18" spans="2:10">
      <c r="C18" s="81"/>
      <c r="D18" s="81"/>
      <c r="E18" s="81"/>
      <c r="F18" s="81"/>
    </row>
    <row r="19" spans="2:10">
      <c r="C19" s="81"/>
      <c r="D19" s="81"/>
      <c r="E19" s="81"/>
      <c r="F19" s="81"/>
    </row>
    <row r="20" spans="2:10">
      <c r="C20" s="81"/>
      <c r="D20" s="81"/>
      <c r="E20" s="81"/>
      <c r="F20" s="81"/>
    </row>
    <row r="21" spans="2:10">
      <c r="C21" t="s">
        <v>26626</v>
      </c>
      <c r="D21" t="s">
        <v>26629</v>
      </c>
      <c r="E21" t="s">
        <v>26627</v>
      </c>
      <c r="F21" t="s">
        <v>26630</v>
      </c>
    </row>
    <row r="22" spans="2:10">
      <c r="B22" t="s">
        <v>23432</v>
      </c>
      <c r="C22">
        <f>COUNTIFS('Drop &amp; Risk Analysis'!$O:$O,"&gt;0",'Drop &amp; Risk Analysis'!$C:$C,"Drop")</f>
        <v>11</v>
      </c>
      <c r="D22">
        <f>SUMIFS('Drop &amp; Risk Analysis'!$O:$O,'Drop &amp; Risk Analysis'!$C:$C,"Drop")</f>
        <v>2110911</v>
      </c>
      <c r="E22">
        <f>COUNTIFS('Drop &amp; Risk Analysis'!$O:$O,"&gt;0",'Drop &amp; Risk Analysis'!$C:$C,"Risk")</f>
        <v>21</v>
      </c>
      <c r="F22">
        <f>SUMIFS('Drop &amp; Risk Analysis'!$O:$O,'Drop &amp; Risk Analysis'!$C:$C,"Risk")</f>
        <v>10688922</v>
      </c>
      <c r="G22">
        <f>COUNTIF('Drop &amp; Risk Analysis'!O:O,"&gt;0")</f>
        <v>310</v>
      </c>
      <c r="H22" s="82">
        <f t="shared" ref="H22:H25" si="4">(C22+E22)/G22</f>
        <v>0.1032258064516129</v>
      </c>
      <c r="I22">
        <f>SUMIF('Drop &amp; Risk Analysis'!O:O,"&gt;0",'Drop &amp; Risk Analysis'!O:O)</f>
        <v>136603619</v>
      </c>
      <c r="J22" s="82">
        <f t="shared" ref="J22:J25" si="5">(D22+F22)/I22</f>
        <v>9.3700540979079039E-2</v>
      </c>
    </row>
    <row r="23" spans="2:10" ht="16">
      <c r="B23" s="80" t="s">
        <v>23433</v>
      </c>
      <c r="C23">
        <f>COUNTIFS('Drop &amp; Risk Analysis'!$R:$R,"&gt;0",'Drop &amp; Risk Analysis'!$C:$C,"Drop")</f>
        <v>31</v>
      </c>
      <c r="D23">
        <f>SUMIFS('Drop &amp; Risk Analysis'!$R:$R,'Drop &amp; Risk Analysis'!$C:$C,"Drop")</f>
        <v>19777582</v>
      </c>
      <c r="E23">
        <f>COUNTIFS('Drop &amp; Risk Analysis'!$R:$R,"&gt;0",'Drop &amp; Risk Analysis'!$C:$C,"Risk")</f>
        <v>19</v>
      </c>
      <c r="F23">
        <f>SUMIFS('Drop &amp; Risk Analysis'!$R:$R,'Drop &amp; Risk Analysis'!$C:$C,"Risk")</f>
        <v>11440592</v>
      </c>
      <c r="G23">
        <f>COUNTIF('Drop &amp; Risk Analysis'!R:R,"&gt;0")</f>
        <v>255</v>
      </c>
      <c r="H23" s="82">
        <f t="shared" si="4"/>
        <v>0.19607843137254902</v>
      </c>
      <c r="I23">
        <f>SUMIF('Drop &amp; Risk Analysis'!R:R,"&gt;0",'Drop &amp; Risk Analysis'!R:R)</f>
        <v>166583935</v>
      </c>
      <c r="J23" s="82">
        <f t="shared" si="5"/>
        <v>0.18740206851278907</v>
      </c>
    </row>
    <row r="24" spans="2:10" ht="16">
      <c r="B24" s="80" t="s">
        <v>23434</v>
      </c>
      <c r="C24">
        <f>COUNTIFS('Drop &amp; Risk Analysis'!$U:$U,"&gt;0",'Drop &amp; Risk Analysis'!$C:$C,"Drop")</f>
        <v>13</v>
      </c>
      <c r="D24">
        <f>SUMIFS('Drop &amp; Risk Analysis'!$U:$U,'Drop &amp; Risk Analysis'!$C:$C,"Drop")</f>
        <v>10592819</v>
      </c>
      <c r="E24">
        <f>COUNTIFS('Drop &amp; Risk Analysis'!$U:$U,"&gt;0",'Drop &amp; Risk Analysis'!$C:$C,"Risk")</f>
        <v>18</v>
      </c>
      <c r="F24">
        <f>SUMIFS('Drop &amp; Risk Analysis'!$U:$U,'Drop &amp; Risk Analysis'!$C:$C,"Risk")</f>
        <v>15326536</v>
      </c>
      <c r="G24">
        <f>COUNTIF('Drop &amp; Risk Analysis'!U:U,".0")</f>
        <v>418</v>
      </c>
      <c r="H24" s="82">
        <f t="shared" si="4"/>
        <v>7.4162679425837319E-2</v>
      </c>
      <c r="I24">
        <f>SUMIF('Drop &amp; Risk Analysis'!U:U,"&gt;0",'Drop &amp; Risk Analysis'!U:U)</f>
        <v>167897614</v>
      </c>
      <c r="J24" s="82">
        <f t="shared" si="5"/>
        <v>0.15437595795732986</v>
      </c>
    </row>
    <row r="25" spans="2:10">
      <c r="C25" s="81">
        <f>SUM(C22:C24)</f>
        <v>55</v>
      </c>
      <c r="D25" s="81">
        <f>SUM(D22:D24)</f>
        <v>32481312</v>
      </c>
      <c r="E25" s="81">
        <f>SUM(E22:E24)</f>
        <v>58</v>
      </c>
      <c r="F25" s="81">
        <f>SUM(F22:F24)</f>
        <v>37456050</v>
      </c>
      <c r="G25" s="81">
        <f>SUM(G22:G24)</f>
        <v>983</v>
      </c>
      <c r="H25" s="82">
        <f t="shared" si="4"/>
        <v>0.11495422177009156</v>
      </c>
      <c r="I25">
        <f>SUM(I22:I24)</f>
        <v>471085168</v>
      </c>
      <c r="J25" s="82">
        <f t="shared" si="5"/>
        <v>0.14846012303236003</v>
      </c>
    </row>
    <row r="26" spans="2:10">
      <c r="C26" s="81"/>
      <c r="D26" s="81"/>
      <c r="E26" s="81"/>
      <c r="F26" s="81"/>
    </row>
    <row r="27" spans="2:10">
      <c r="C27" s="81"/>
      <c r="D27" s="81"/>
      <c r="E27" s="81"/>
      <c r="F27" s="81"/>
    </row>
    <row r="28" spans="2:10">
      <c r="C28" s="81"/>
      <c r="D28" s="81"/>
      <c r="E28" s="81"/>
      <c r="F28" s="81"/>
    </row>
    <row r="29" spans="2:10">
      <c r="C29" s="81"/>
      <c r="D29" s="81"/>
      <c r="E29" s="81"/>
      <c r="F29" s="81"/>
    </row>
    <row r="30" spans="2:10">
      <c r="C30" s="81" t="s">
        <v>26638</v>
      </c>
      <c r="D30" s="81" t="s">
        <v>26639</v>
      </c>
      <c r="E30" s="81" t="s">
        <v>26640</v>
      </c>
      <c r="F30" s="81" t="s">
        <v>26641</v>
      </c>
    </row>
    <row r="31" spans="2:10">
      <c r="B31" t="s">
        <v>337</v>
      </c>
      <c r="C31" s="81">
        <f>Working!W4</f>
        <v>227</v>
      </c>
      <c r="D31" s="81">
        <f>Working!Z4</f>
        <v>80</v>
      </c>
      <c r="E31" s="81">
        <f>C13+E13</f>
        <v>40</v>
      </c>
      <c r="F31" s="81">
        <f>C31-D31-E31</f>
        <v>107</v>
      </c>
    </row>
    <row r="32" spans="2:10" ht="16">
      <c r="B32" s="50" t="s">
        <v>93</v>
      </c>
      <c r="C32" s="81">
        <f>Working!W5</f>
        <v>102</v>
      </c>
      <c r="D32" s="81">
        <f>Working!Z5</f>
        <v>29</v>
      </c>
      <c r="E32" s="81">
        <f t="shared" ref="E32:E34" si="6">C14+E14</f>
        <v>20</v>
      </c>
      <c r="F32" s="81">
        <f t="shared" ref="F32:F34" si="7">C32-D32-E32</f>
        <v>53</v>
      </c>
    </row>
    <row r="33" spans="1:6" ht="16">
      <c r="B33" s="50" t="s">
        <v>149</v>
      </c>
      <c r="C33" s="81">
        <f>Working!W6</f>
        <v>299</v>
      </c>
      <c r="D33" s="81">
        <f>Working!Z6</f>
        <v>136</v>
      </c>
      <c r="E33" s="81">
        <f t="shared" si="6"/>
        <v>32</v>
      </c>
      <c r="F33" s="81">
        <f t="shared" si="7"/>
        <v>131</v>
      </c>
    </row>
    <row r="34" spans="1:6" ht="16">
      <c r="B34" s="50" t="s">
        <v>495</v>
      </c>
      <c r="C34" s="81">
        <f>Working!W7</f>
        <v>17</v>
      </c>
      <c r="D34" s="81">
        <f>Working!Z7</f>
        <v>6</v>
      </c>
      <c r="E34" s="81">
        <f t="shared" si="6"/>
        <v>1</v>
      </c>
      <c r="F34" s="81">
        <f t="shared" si="7"/>
        <v>10</v>
      </c>
    </row>
    <row r="35" spans="1:6">
      <c r="C35" s="81">
        <f>SUM(C31:C34)</f>
        <v>645</v>
      </c>
      <c r="D35" s="81">
        <f t="shared" ref="D35:F35" si="8">SUM(D31:D34)</f>
        <v>251</v>
      </c>
      <c r="E35" s="81">
        <f t="shared" si="8"/>
        <v>93</v>
      </c>
      <c r="F35" s="81">
        <f t="shared" si="8"/>
        <v>301</v>
      </c>
    </row>
    <row r="36" spans="1:6">
      <c r="C36" s="81"/>
      <c r="D36" s="81"/>
      <c r="E36" s="81"/>
      <c r="F36" s="81"/>
    </row>
    <row r="37" spans="1:6">
      <c r="C37" s="81"/>
      <c r="D37" s="81"/>
      <c r="E37" s="81"/>
      <c r="F37" s="81"/>
    </row>
    <row r="38" spans="1:6">
      <c r="C38" s="81"/>
      <c r="D38" s="81"/>
      <c r="E38" s="81"/>
      <c r="F38" s="81"/>
    </row>
    <row r="39" spans="1:6">
      <c r="C39" s="81"/>
      <c r="D39" s="81"/>
      <c r="E39" s="81"/>
      <c r="F39" s="81"/>
    </row>
    <row r="40" spans="1:6">
      <c r="C40" s="81"/>
      <c r="D40" s="81"/>
      <c r="E40" s="81"/>
      <c r="F40" s="81"/>
    </row>
    <row r="41" spans="1:6">
      <c r="C41" s="81"/>
      <c r="D41" s="81"/>
      <c r="E41" s="81"/>
      <c r="F41" s="81"/>
    </row>
    <row r="42" spans="1:6">
      <c r="C42" s="81"/>
      <c r="D42" s="81"/>
      <c r="E42" s="81"/>
      <c r="F42" s="81"/>
    </row>
    <row r="43" spans="1:6">
      <c r="C43" s="81"/>
      <c r="D43" s="81"/>
      <c r="E43" s="81"/>
      <c r="F43" s="81"/>
    </row>
    <row r="44" spans="1:6">
      <c r="C44" s="81"/>
      <c r="D44" s="81"/>
      <c r="E44" s="81"/>
      <c r="F44" s="81"/>
    </row>
    <row r="45" spans="1:6">
      <c r="A45" t="s">
        <v>26628</v>
      </c>
    </row>
    <row r="46" spans="1:6">
      <c r="A46" t="s">
        <v>174</v>
      </c>
    </row>
    <row r="47" spans="1:6">
      <c r="B47" t="s">
        <v>23432</v>
      </c>
      <c r="C47">
        <f>COUNTIFS('Drop &amp; Risk Analysis'!$O:$O,"&gt;0",'Drop &amp; Risk Analysis'!$D:$D,"East",'Drop &amp; Risk Analysis'!$C:$C,"Drop")</f>
        <v>3</v>
      </c>
      <c r="D47">
        <f>SUMIFS('Drop &amp; Risk Analysis'!$O:$O,'Drop &amp; Risk Analysis'!$C:$C,"Drop",'Drop &amp; Risk Analysis'!$D:$D,"East")</f>
        <v>259847</v>
      </c>
      <c r="E47">
        <f>COUNTIFS('Drop &amp; Risk Analysis'!$O:$O,"&gt;0",'Drop &amp; Risk Analysis'!$D:$D,"East")</f>
        <v>33</v>
      </c>
      <c r="F47" s="82">
        <f>C47/E47</f>
        <v>9.0909090909090912E-2</v>
      </c>
    </row>
    <row r="48" spans="1:6">
      <c r="B48" t="s">
        <v>23433</v>
      </c>
      <c r="C48">
        <f>COUNTIFS('Drop &amp; Risk Analysis'!$R:$R,"&gt;0",'Drop &amp; Risk Analysis'!$D:$D,"East",'Drop &amp; Risk Analysis'!$C:$C,"Drop")</f>
        <v>12</v>
      </c>
      <c r="D48">
        <f>SUMIFS('Drop &amp; Risk Analysis'!$R:$R,'Drop &amp; Risk Analysis'!$C:$C,"Drop",'Drop &amp; Risk Analysis'!$D:$D,"East")</f>
        <v>7825242</v>
      </c>
      <c r="E48">
        <f>COUNTIFS('Drop &amp; Risk Analysis'!$R:$R,"&gt;0",'Drop &amp; Risk Analysis'!$D:$D,"East")</f>
        <v>66</v>
      </c>
      <c r="F48" s="82">
        <f t="shared" ref="F48:F49" si="9">C48/E48</f>
        <v>0.18181818181818182</v>
      </c>
    </row>
    <row r="49" spans="1:6">
      <c r="B49" t="s">
        <v>23434</v>
      </c>
      <c r="C49">
        <f>COUNTIFS('Drop &amp; Risk Analysis'!$U:$U,"&gt;0",'Drop &amp; Risk Analysis'!$D:$D,"East",'Drop &amp; Risk Analysis'!$C:$C,"Drop")</f>
        <v>4</v>
      </c>
      <c r="D49">
        <f>SUMIFS('Drop &amp; Risk Analysis'!$U:$U,'Drop &amp; Risk Analysis'!$C:$C,"Drop",'Drop &amp; Risk Analysis'!$D:$D,"East")</f>
        <v>1970099</v>
      </c>
      <c r="E49">
        <f>COUNTIFS('Drop &amp; Risk Analysis'!$U:$U,"&gt;0",'Drop &amp; Risk Analysis'!$D:$D,"East")</f>
        <v>42</v>
      </c>
      <c r="F49" s="82">
        <f t="shared" si="9"/>
        <v>9.5238095238095233E-2</v>
      </c>
    </row>
    <row r="51" spans="1:6">
      <c r="A51" t="s">
        <v>122</v>
      </c>
    </row>
    <row r="52" spans="1:6">
      <c r="B52" t="s">
        <v>23432</v>
      </c>
      <c r="C52">
        <f>COUNTIFS('Drop &amp; Risk Analysis'!$O:$O,"&gt;0",'Drop &amp; Risk Analysis'!$D:$D,"North",'Drop &amp; Risk Analysis'!$C:$C,"Drop")</f>
        <v>2</v>
      </c>
      <c r="D52">
        <f>SUMIFS('Drop &amp; Risk Analysis'!$O:$O,'Drop &amp; Risk Analysis'!$C:$C,"Drop",'Drop &amp; Risk Analysis'!$D:$D,"North")</f>
        <v>987706</v>
      </c>
      <c r="E52">
        <f>COUNTIFS('Drop &amp; Risk Analysis'!$O:$O,"&gt;0",'Drop &amp; Risk Analysis'!$D:$D,"North")</f>
        <v>90</v>
      </c>
      <c r="F52" s="82">
        <f>C52/E52</f>
        <v>2.2222222222222223E-2</v>
      </c>
    </row>
    <row r="53" spans="1:6">
      <c r="B53" t="s">
        <v>23433</v>
      </c>
      <c r="C53">
        <f>COUNTIFS('Drop &amp; Risk Analysis'!$R:$R,"&gt;0",'Drop &amp; Risk Analysis'!$D:$D,"North",'Drop &amp; Risk Analysis'!$C:$C,"Drop")</f>
        <v>10</v>
      </c>
      <c r="D53">
        <f>SUMIFS('Drop &amp; Risk Analysis'!$R:$R,'Drop &amp; Risk Analysis'!$C:$C,"Drop",'Drop &amp; Risk Analysis'!$D:$D,"North")</f>
        <v>8014417</v>
      </c>
      <c r="E53">
        <f>COUNTIFS('Drop &amp; Risk Analysis'!$R:$R,"&gt;0",'Drop &amp; Risk Analysis'!$D:$D,"North")</f>
        <v>86</v>
      </c>
      <c r="F53" s="82">
        <f t="shared" ref="F53:F54" si="10">C53/E53</f>
        <v>0.11627906976744186</v>
      </c>
    </row>
    <row r="54" spans="1:6">
      <c r="B54" t="s">
        <v>23434</v>
      </c>
      <c r="C54">
        <f>COUNTIFS('Drop &amp; Risk Analysis'!$U:$U,"&gt;0",'Drop &amp; Risk Analysis'!$D:$D,"North",'Drop &amp; Risk Analysis'!$C:$C,"Drop")</f>
        <v>5</v>
      </c>
      <c r="D54">
        <f>SUMIFS('Drop &amp; Risk Analysis'!$U:$U,'Drop &amp; Risk Analysis'!$C:$C,"Drop",'Drop &amp; Risk Analysis'!$D:$D,"North")</f>
        <v>6460885</v>
      </c>
      <c r="E54">
        <f>COUNTIFS('Drop &amp; Risk Analysis'!$U:$U,"&gt;0",'Drop &amp; Risk Analysis'!$D:$D,"North")</f>
        <v>45</v>
      </c>
      <c r="F54" s="82">
        <f t="shared" si="10"/>
        <v>0.1111111111111111</v>
      </c>
    </row>
    <row r="56" spans="1:6">
      <c r="A56" t="s">
        <v>212</v>
      </c>
    </row>
    <row r="57" spans="1:6">
      <c r="B57" t="s">
        <v>23432</v>
      </c>
      <c r="C57">
        <f>COUNTIFS('Drop &amp; Risk Analysis'!$O:$O,"&gt;0",'Drop &amp; Risk Analysis'!$D:$D,"South",'Drop &amp; Risk Analysis'!$C:$C,"Drop")</f>
        <v>2</v>
      </c>
      <c r="D57">
        <f>SUMIFS('Drop &amp; Risk Analysis'!$O:$O,'Drop &amp; Risk Analysis'!$C:$C,"Drop",'Drop &amp; Risk Analysis'!$D:$D,"South")</f>
        <v>425160</v>
      </c>
      <c r="E57">
        <f>COUNTIFS('Drop &amp; Risk Analysis'!$O:$O,"&gt;0",'Drop &amp; Risk Analysis'!$D:$D,"South")</f>
        <v>112</v>
      </c>
      <c r="F57" s="82">
        <f>C57/E57</f>
        <v>1.7857142857142856E-2</v>
      </c>
    </row>
    <row r="58" spans="1:6">
      <c r="B58" t="s">
        <v>23433</v>
      </c>
      <c r="C58">
        <f>COUNTIFS('Drop &amp; Risk Analysis'!$R:$R,"&gt;0",'Drop &amp; Risk Analysis'!$D:$D,"South",'Drop &amp; Risk Analysis'!$C:$C,"Drop")</f>
        <v>4</v>
      </c>
      <c r="D58">
        <f>SUMIFS('Drop &amp; Risk Analysis'!$R:$R,'Drop &amp; Risk Analysis'!$C:$C,"Drop",'Drop &amp; Risk Analysis'!$D:$D,"South")</f>
        <v>1868464</v>
      </c>
      <c r="E58">
        <f>COUNTIFS('Drop &amp; Risk Analysis'!$R:$R,"&gt;0",'Drop &amp; Risk Analysis'!$D:$D,"South")</f>
        <v>62</v>
      </c>
      <c r="F58" s="82">
        <f t="shared" ref="F58:F59" si="11">C58/E58</f>
        <v>6.4516129032258063E-2</v>
      </c>
    </row>
    <row r="59" spans="1:6">
      <c r="B59" t="s">
        <v>23434</v>
      </c>
      <c r="C59">
        <f>COUNTIFS('Drop &amp; Risk Analysis'!$U:$U,"&gt;0",'Drop &amp; Risk Analysis'!$D:$D,"South",'Drop &amp; Risk Analysis'!$C:$C,"Drop")</f>
        <v>2</v>
      </c>
      <c r="D59">
        <f>SUMIFS('Drop &amp; Risk Analysis'!$U:$U,'Drop &amp; Risk Analysis'!$C:$C,"Drop",'Drop &amp; Risk Analysis'!$D:$D,"South")</f>
        <v>721689</v>
      </c>
      <c r="E59">
        <f>COUNTIFS('Drop &amp; Risk Analysis'!$U:$U,"&gt;0",'Drop &amp; Risk Analysis'!$D:$D,"South")</f>
        <v>88</v>
      </c>
      <c r="F59" s="82">
        <f t="shared" si="11"/>
        <v>2.2727272727272728E-2</v>
      </c>
    </row>
    <row r="62" spans="1:6">
      <c r="A62" t="s">
        <v>622</v>
      </c>
    </row>
    <row r="63" spans="1:6">
      <c r="B63" t="s">
        <v>23432</v>
      </c>
      <c r="C63">
        <f>COUNTIFS('Drop &amp; Risk Analysis'!$O:$O,"&gt;0",'Drop &amp; Risk Analysis'!$D:$D,"West",'Drop &amp; Risk Analysis'!$C:$C,"Drop")</f>
        <v>4</v>
      </c>
      <c r="D63">
        <f>SUMIFS('Drop &amp; Risk Analysis'!$O:$O,'Drop &amp; Risk Analysis'!$C:$C,"Drop",'Drop &amp; Risk Analysis'!$D:$D,"West")</f>
        <v>438198</v>
      </c>
      <c r="E63">
        <f>COUNTIFS('Drop &amp; Risk Analysis'!$O:$O,"&gt;0",'Drop &amp; Risk Analysis'!$D:$D,"West")</f>
        <v>75</v>
      </c>
      <c r="F63" s="82">
        <f>C63/E63</f>
        <v>5.3333333333333337E-2</v>
      </c>
    </row>
    <row r="64" spans="1:6">
      <c r="B64" t="s">
        <v>23433</v>
      </c>
      <c r="C64">
        <f>COUNTIFS('Drop &amp; Risk Analysis'!$R:$R,"&gt;0",'Drop &amp; Risk Analysis'!$D:$D,"West",'Drop &amp; Risk Analysis'!$C:$C,"Drop")</f>
        <v>5</v>
      </c>
      <c r="D64">
        <f>SUMIFS('Drop &amp; Risk Analysis'!$R:$R,'Drop &amp; Risk Analysis'!$C:$C,"Drop",'Drop &amp; Risk Analysis'!$D:$D,"West")</f>
        <v>2069459</v>
      </c>
      <c r="E64">
        <f>COUNTIFS('Drop &amp; Risk Analysis'!$R:$R,"&gt;0",'Drop &amp; Risk Analysis'!$D:$D,"West")</f>
        <v>41</v>
      </c>
      <c r="F64" s="82">
        <f t="shared" ref="F64:F65" si="12">C64/E64</f>
        <v>0.12195121951219512</v>
      </c>
    </row>
    <row r="65" spans="2:6">
      <c r="B65" t="s">
        <v>23434</v>
      </c>
      <c r="C65">
        <f>COUNTIFS('Drop &amp; Risk Analysis'!$U:$U,"&gt;0",'Drop &amp; Risk Analysis'!$D:$D,"West",'Drop &amp; Risk Analysis'!$C:$C,"Drop")</f>
        <v>2</v>
      </c>
      <c r="D65">
        <f>SUMIFS('Drop &amp; Risk Analysis'!$U:$U,'Drop &amp; Risk Analysis'!$C:$C,"Drop",'Drop &amp; Risk Analysis'!$D:$D,"West")</f>
        <v>1440146</v>
      </c>
      <c r="E65">
        <f>COUNTIFS('Drop &amp; Risk Analysis'!$U:$U,"&gt;0",'Drop &amp; Risk Analysis'!$D:$D,"West")</f>
        <v>52</v>
      </c>
      <c r="F65" s="82">
        <f t="shared" si="12"/>
        <v>3.8461538461538464E-2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BCB2E-8856-584C-867C-0FE4EFE5A9BF}">
  <dimension ref="A1:AG551"/>
  <sheetViews>
    <sheetView topLeftCell="M110" workbookViewId="0">
      <selection activeCell="Q119" sqref="Q119"/>
    </sheetView>
  </sheetViews>
  <sheetFormatPr baseColWidth="10" defaultRowHeight="24"/>
  <cols>
    <col min="1" max="6" width="0" style="14" hidden="1" customWidth="1"/>
    <col min="7" max="7" width="17.5" style="14" hidden="1" customWidth="1"/>
    <col min="8" max="12" width="0" style="14" hidden="1" customWidth="1"/>
    <col min="13" max="13" width="11.33203125" style="14" bestFit="1" customWidth="1"/>
    <col min="14" max="14" width="14.83203125" style="14" customWidth="1"/>
    <col min="15" max="16" width="11.33203125" style="14" bestFit="1" customWidth="1"/>
    <col min="17" max="17" width="15" style="14" bestFit="1" customWidth="1"/>
    <col min="18" max="18" width="11.33203125" style="14" bestFit="1" customWidth="1"/>
    <col min="19" max="19" width="10.83203125" style="14"/>
    <col min="20" max="20" width="15" style="14" bestFit="1" customWidth="1"/>
    <col min="21" max="21" width="18.1640625" style="14" bestFit="1" customWidth="1"/>
    <col min="22" max="22" width="17.33203125" style="14" customWidth="1"/>
    <col min="23" max="23" width="12.83203125" style="14" bestFit="1" customWidth="1"/>
    <col min="24" max="24" width="15.1640625" style="14" bestFit="1" customWidth="1"/>
    <col min="25" max="25" width="11.33203125" style="14" bestFit="1" customWidth="1"/>
    <col min="26" max="26" width="10.83203125" style="14"/>
    <col min="27" max="27" width="21.33203125" style="14" customWidth="1"/>
    <col min="28" max="28" width="21.83203125" style="14" customWidth="1"/>
    <col min="29" max="30" width="15" style="14" bestFit="1" customWidth="1"/>
    <col min="31" max="31" width="12" style="14" bestFit="1" customWidth="1"/>
    <col min="32" max="32" width="15" style="14" bestFit="1" customWidth="1"/>
    <col min="33" max="33" width="13.5" style="14" bestFit="1" customWidth="1"/>
    <col min="34" max="16384" width="10.83203125" style="14"/>
  </cols>
  <sheetData>
    <row r="1" spans="1:32">
      <c r="A1" s="38"/>
      <c r="B1" s="38"/>
      <c r="C1" s="38"/>
      <c r="AB1" s="93" t="s">
        <v>24849</v>
      </c>
      <c r="AC1" s="93"/>
      <c r="AD1" s="93"/>
    </row>
    <row r="2" spans="1:32">
      <c r="A2" s="38"/>
      <c r="B2" s="38"/>
      <c r="C2" s="38"/>
      <c r="M2" s="14">
        <v>2024</v>
      </c>
      <c r="U2" s="14">
        <v>2025</v>
      </c>
      <c r="V2" s="93">
        <v>2025</v>
      </c>
      <c r="W2" s="93"/>
      <c r="X2" s="93"/>
      <c r="Y2" s="93"/>
      <c r="AA2" s="14">
        <v>2025</v>
      </c>
      <c r="AC2" s="14" t="s">
        <v>24038</v>
      </c>
      <c r="AD2" s="14" t="s">
        <v>23402</v>
      </c>
    </row>
    <row r="3" spans="1:32">
      <c r="A3" s="38"/>
      <c r="B3" s="38"/>
      <c r="C3" s="38"/>
      <c r="V3" s="14" t="s">
        <v>0</v>
      </c>
      <c r="W3" s="14" t="s">
        <v>23429</v>
      </c>
      <c r="X3" s="14" t="s">
        <v>23402</v>
      </c>
      <c r="Y3" s="14" t="s">
        <v>23431</v>
      </c>
      <c r="Z3" s="14" t="s">
        <v>23398</v>
      </c>
      <c r="AB3" s="14" t="s">
        <v>24037</v>
      </c>
      <c r="AC3" s="14">
        <f>COUNTIF('2025'!F:F,"&gt;0")</f>
        <v>233</v>
      </c>
      <c r="AD3" s="14">
        <f>SUMIF('2025'!F:F,"&gt;0",'2025'!F:F)</f>
        <v>234202088</v>
      </c>
    </row>
    <row r="4" spans="1:32">
      <c r="A4" s="38"/>
      <c r="B4" s="38"/>
      <c r="C4" s="38"/>
      <c r="N4" s="14" t="s">
        <v>0</v>
      </c>
      <c r="O4" s="14" t="s">
        <v>23429</v>
      </c>
      <c r="P4" s="14" t="s">
        <v>23430</v>
      </c>
      <c r="Q4" s="14" t="s">
        <v>23402</v>
      </c>
      <c r="R4" s="14" t="s">
        <v>23431</v>
      </c>
      <c r="V4" s="14" t="s">
        <v>337</v>
      </c>
      <c r="W4" s="14">
        <f>COUNTIF('2025'!A:A,"new School")</f>
        <v>227</v>
      </c>
      <c r="X4" s="14">
        <f>SUMIFS('2025'!L:L,'2025'!A:A,"New School")</f>
        <v>109160339</v>
      </c>
      <c r="Y4" s="39">
        <f>X4/100000</f>
        <v>1091.60339</v>
      </c>
      <c r="Z4" s="14">
        <f>COUNTIFS('2025'!$A:$A,"New School",'2025'!$F:$F,"&gt;=0")</f>
        <v>80</v>
      </c>
      <c r="AA4" s="14">
        <f>W4-Z4</f>
        <v>147</v>
      </c>
      <c r="AB4" s="14" t="s">
        <v>23432</v>
      </c>
      <c r="AC4" s="14">
        <f>COUNTIF('2025'!G:G,"&gt;0")</f>
        <v>105</v>
      </c>
      <c r="AD4" s="14">
        <f>SUMIF('2025'!G:G,"&gt;0",'2025'!G:G)</f>
        <v>52502593</v>
      </c>
    </row>
    <row r="5" spans="1:32">
      <c r="A5" s="38"/>
      <c r="B5" s="38"/>
      <c r="C5" s="38"/>
      <c r="N5" s="14" t="s">
        <v>337</v>
      </c>
      <c r="O5" s="14">
        <f>COUNTIF('2024'!A:A,"New school")</f>
        <v>167</v>
      </c>
      <c r="P5" s="14">
        <f>COUNTIFS('2024'!A:A,"New School",'2024'!E:E,"dropped")</f>
        <v>68</v>
      </c>
      <c r="Q5" s="14">
        <f>SUMIFS('2024'!L:L,'2024'!A:A,"New School")</f>
        <v>91593980</v>
      </c>
      <c r="R5" s="39">
        <f>Q5/100000</f>
        <v>915.93979999999999</v>
      </c>
      <c r="V5" s="14" t="s">
        <v>93</v>
      </c>
      <c r="W5" s="14">
        <f>COUNTIF('2025'!A:A,"1-year School")</f>
        <v>102</v>
      </c>
      <c r="X5" s="14">
        <f>SUMIFS('2025'!L:L,'2025'!A:A,"1-year School")</f>
        <v>59639304</v>
      </c>
      <c r="Y5" s="39">
        <f t="shared" ref="Y5:Y8" si="0">X5/100000</f>
        <v>596.39304000000004</v>
      </c>
      <c r="Z5" s="14">
        <f>COUNTIFS('2025'!$A:$A,"1-year School",'2025'!$F:$F,"&gt;=0")</f>
        <v>29</v>
      </c>
      <c r="AA5" s="14">
        <f t="shared" ref="AA5:AA6" si="1">W5-Z5</f>
        <v>73</v>
      </c>
      <c r="AB5" s="14" t="s">
        <v>23433</v>
      </c>
      <c r="AC5" s="14">
        <f>COUNTIF('2025'!H:H,".0")</f>
        <v>129</v>
      </c>
      <c r="AD5" s="14">
        <f>SUMIF('2025'!H:H,"&gt;0",'2025'!H:H)</f>
        <v>92638255</v>
      </c>
    </row>
    <row r="6" spans="1:32">
      <c r="A6" s="38"/>
      <c r="B6" s="38"/>
      <c r="C6" s="38"/>
      <c r="N6" s="14" t="s">
        <v>93</v>
      </c>
      <c r="O6" s="14">
        <f>COUNTIF('2024'!A:A,"1-year School")</f>
        <v>88</v>
      </c>
      <c r="P6" s="14">
        <f>COUNTIFS('2024'!A:A,"1-year School",'2024'!E:E,"dropped")</f>
        <v>24</v>
      </c>
      <c r="Q6" s="14">
        <f>SUMIFS('2024'!L:L,'2024'!A:A,"1-year School")</f>
        <v>78884571</v>
      </c>
      <c r="R6" s="39">
        <f t="shared" ref="R6:R9" si="2">Q6/100000</f>
        <v>788.84571000000005</v>
      </c>
      <c r="V6" s="14" t="s">
        <v>149</v>
      </c>
      <c r="W6" s="14">
        <f>COUNTIF('2025'!A:A,"Retention School")</f>
        <v>299</v>
      </c>
      <c r="X6" s="14">
        <f>SUMIFS('2025'!L:L,'2025'!A:A,"Retention School")</f>
        <v>286270040</v>
      </c>
      <c r="Y6" s="39">
        <f t="shared" si="0"/>
        <v>2862.7004000000002</v>
      </c>
      <c r="Z6" s="14">
        <f>COUNTIFS('2025'!$A:$A,"Retention School",'2025'!$F:$F,"&gt;=0")</f>
        <v>136</v>
      </c>
      <c r="AA6" s="14">
        <f t="shared" si="1"/>
        <v>163</v>
      </c>
      <c r="AB6" s="14" t="s">
        <v>24039</v>
      </c>
      <c r="AC6" s="14">
        <f>COUNTIF('2025'!I:I,"&gt;0")</f>
        <v>108</v>
      </c>
      <c r="AD6" s="14">
        <f>SUMIF('2025'!I:I,"&gt;0",'2025'!I:I)</f>
        <v>89317320</v>
      </c>
    </row>
    <row r="7" spans="1:32">
      <c r="A7" s="38"/>
      <c r="B7" s="38"/>
      <c r="C7" s="38"/>
      <c r="N7" s="14" t="s">
        <v>149</v>
      </c>
      <c r="O7" s="14">
        <f>COUNTIF('2024'!A:A,"Retention school")</f>
        <v>264</v>
      </c>
      <c r="P7" s="14">
        <f>COUNTIFS('2024'!A:A,"Retention School",'2024'!E:E,"dropped")</f>
        <v>22</v>
      </c>
      <c r="Q7" s="14">
        <f>SUMIFS('2024'!L:L,'2024'!A:A,"Retention School")</f>
        <v>223413256</v>
      </c>
      <c r="R7" s="39">
        <f t="shared" si="2"/>
        <v>2234.13256</v>
      </c>
      <c r="V7" s="14" t="s">
        <v>495</v>
      </c>
      <c r="W7" s="14">
        <f>COUNTIF('2025'!A:A,"Key Account")</f>
        <v>17</v>
      </c>
      <c r="X7" s="14">
        <f>SUMIFS('2025'!L:L,'2025'!A:A,"Key Account")</f>
        <v>21022403</v>
      </c>
      <c r="Y7" s="39">
        <f t="shared" si="0"/>
        <v>210.22403</v>
      </c>
      <c r="Z7" s="14">
        <f>COUNTIFS('2025'!$A:$A,"Key Account",'2025'!$F:$F,"&gt;=0")</f>
        <v>6</v>
      </c>
      <c r="AA7" s="93" t="s">
        <v>24847</v>
      </c>
      <c r="AB7" s="93"/>
      <c r="AC7" s="93"/>
    </row>
    <row r="8" spans="1:32">
      <c r="A8" s="38"/>
      <c r="B8" s="38"/>
      <c r="C8" s="38"/>
      <c r="N8" s="14" t="s">
        <v>495</v>
      </c>
      <c r="O8" s="14">
        <f>COUNTIF('2024'!A:A,"Key Account")</f>
        <v>27</v>
      </c>
      <c r="P8" s="14">
        <f>COUNTIFS('2024'!A:A,"Key Account",'2024'!E:E,"dropped")</f>
        <v>12</v>
      </c>
      <c r="Q8" s="14">
        <f>SUMIFS('2024'!L:L,'2024'!A:A,"key account")</f>
        <v>16762230</v>
      </c>
      <c r="R8" s="39">
        <f t="shared" si="2"/>
        <v>167.6223</v>
      </c>
      <c r="V8" s="14" t="s">
        <v>23428</v>
      </c>
      <c r="W8" s="14">
        <f>SUM(W4:W7)</f>
        <v>645</v>
      </c>
      <c r="X8" s="14">
        <f>SUM(X4:X7)</f>
        <v>476092086</v>
      </c>
      <c r="Y8" s="39">
        <f t="shared" si="0"/>
        <v>4760.9208600000002</v>
      </c>
      <c r="AA8" s="14">
        <v>2026</v>
      </c>
      <c r="AB8" s="14" t="s">
        <v>24038</v>
      </c>
      <c r="AC8" s="14" t="s">
        <v>23402</v>
      </c>
    </row>
    <row r="9" spans="1:32">
      <c r="A9" s="38"/>
      <c r="B9" s="38"/>
      <c r="C9" s="38"/>
      <c r="N9" s="14" t="s">
        <v>23428</v>
      </c>
      <c r="O9" s="14">
        <f>SUM(O5:O8)</f>
        <v>546</v>
      </c>
      <c r="P9" s="14">
        <f>SUM(P5:P8)</f>
        <v>126</v>
      </c>
      <c r="Q9" s="14">
        <f>SUM(Q5:Q8)</f>
        <v>410654037</v>
      </c>
      <c r="R9" s="39">
        <f t="shared" si="2"/>
        <v>4106.5403699999997</v>
      </c>
      <c r="AA9" s="14" t="s">
        <v>24037</v>
      </c>
      <c r="AB9" s="14">
        <f>COUNTIF(aa!A:A,"New School")</f>
        <v>134</v>
      </c>
      <c r="AC9" s="14">
        <f>SUMIF(aa!A:A,"New School",aa!J:J)</f>
        <v>59724310</v>
      </c>
    </row>
    <row r="10" spans="1:32">
      <c r="A10" s="38"/>
      <c r="B10" s="38"/>
      <c r="C10" s="38"/>
      <c r="X10" s="14">
        <f>X8-X4</f>
        <v>366931747</v>
      </c>
      <c r="Y10" s="14">
        <f>1.15*Y8</f>
        <v>5475.0589890000001</v>
      </c>
      <c r="AA10" s="14" t="s">
        <v>23432</v>
      </c>
      <c r="AB10" s="14">
        <f>COUNTIFS(aa!A:A,"New School",aa!L:L,"&gt;0")</f>
        <v>50</v>
      </c>
      <c r="AC10" s="14">
        <f>SUMIF(aa!A:A,"new School",aa!L:L)</f>
        <v>14935732</v>
      </c>
    </row>
    <row r="11" spans="1:32">
      <c r="A11" s="38"/>
      <c r="B11" s="38"/>
      <c r="C11" s="38"/>
      <c r="AA11" s="14" t="s">
        <v>23433</v>
      </c>
      <c r="AB11" s="14">
        <f>COUNTIFS(aa!A:A,"New School",aa!O:O,"&gt;0")</f>
        <v>38</v>
      </c>
      <c r="AC11" s="14">
        <f>SUMIF(aa!A:A,"New School",aa!O:O)</f>
        <v>16758558</v>
      </c>
      <c r="AF11" s="14">
        <f>AD3+AG21</f>
        <v>293926398</v>
      </c>
    </row>
    <row r="12" spans="1:32">
      <c r="A12" s="38"/>
      <c r="B12" s="38"/>
      <c r="C12" s="40"/>
      <c r="N12" s="14" t="s">
        <v>23435</v>
      </c>
      <c r="O12" s="14" t="s">
        <v>23436</v>
      </c>
      <c r="P12" s="14" t="s">
        <v>23437</v>
      </c>
      <c r="Q12" s="14" t="s">
        <v>23402</v>
      </c>
      <c r="V12" s="14" t="s">
        <v>23435</v>
      </c>
      <c r="W12" s="14" t="s">
        <v>23436</v>
      </c>
      <c r="X12" s="14" t="s">
        <v>23437</v>
      </c>
      <c r="Y12" s="14" t="s">
        <v>23402</v>
      </c>
      <c r="AA12" s="14" t="s">
        <v>24039</v>
      </c>
      <c r="AB12" s="14">
        <f>COUNTIFS(aa!A:A,"New School",aa!R:R,"&gt;0")</f>
        <v>54</v>
      </c>
      <c r="AC12" s="14">
        <f>SUMIF(aa!A:A,"New School",aa!R:R)</f>
        <v>28403847</v>
      </c>
    </row>
    <row r="13" spans="1:32">
      <c r="A13" s="38"/>
      <c r="B13" s="38"/>
      <c r="C13" s="38"/>
      <c r="N13" s="14" t="s">
        <v>23432</v>
      </c>
      <c r="O13" s="14">
        <v>342</v>
      </c>
      <c r="P13" s="41">
        <f>O13/546</f>
        <v>0.62637362637362637</v>
      </c>
      <c r="Q13" s="14">
        <v>1358</v>
      </c>
      <c r="V13" s="14" t="s">
        <v>23432</v>
      </c>
      <c r="W13" s="14">
        <v>364</v>
      </c>
      <c r="X13" s="41">
        <f>W13/645</f>
        <v>0.56434108527131788</v>
      </c>
      <c r="Y13" s="14">
        <v>1378</v>
      </c>
      <c r="AA13" s="93" t="s">
        <v>24848</v>
      </c>
      <c r="AB13" s="93"/>
      <c r="AC13" s="93"/>
    </row>
    <row r="14" spans="1:32">
      <c r="A14" s="38"/>
      <c r="B14" s="38"/>
      <c r="C14" s="42"/>
      <c r="N14" s="14" t="s">
        <v>23433</v>
      </c>
      <c r="O14" s="14">
        <v>207</v>
      </c>
      <c r="P14" s="41">
        <f t="shared" ref="P14:P15" si="3">O14/546</f>
        <v>0.37912087912087911</v>
      </c>
      <c r="Q14" s="14">
        <v>1402</v>
      </c>
      <c r="V14" s="14" t="s">
        <v>23433</v>
      </c>
      <c r="W14" s="14">
        <v>269</v>
      </c>
      <c r="X14" s="41">
        <f>W14/645</f>
        <v>0.41705426356589148</v>
      </c>
      <c r="Y14" s="14">
        <v>1676</v>
      </c>
      <c r="AA14" s="14" t="s">
        <v>23428</v>
      </c>
      <c r="AB14" s="14">
        <f>SUM(AB15:AB18)</f>
        <v>380</v>
      </c>
      <c r="AC14" s="14">
        <f>SUM(AC15:AC18)</f>
        <v>282369177</v>
      </c>
      <c r="AF14" s="14">
        <f>AC14-AD21</f>
        <v>222644867</v>
      </c>
    </row>
    <row r="15" spans="1:32">
      <c r="A15" s="38"/>
      <c r="B15" s="38"/>
      <c r="C15" s="38"/>
      <c r="N15" s="14" t="s">
        <v>23434</v>
      </c>
      <c r="O15" s="14">
        <v>192</v>
      </c>
      <c r="P15" s="41">
        <f t="shared" si="3"/>
        <v>0.35164835164835168</v>
      </c>
      <c r="Q15" s="14">
        <v>1357</v>
      </c>
      <c r="V15" s="14" t="s">
        <v>23434</v>
      </c>
      <c r="W15" s="14">
        <v>241</v>
      </c>
      <c r="X15" s="41">
        <f>W15/645</f>
        <v>0.37364341085271319</v>
      </c>
      <c r="Y15" s="14">
        <v>1679</v>
      </c>
      <c r="AA15" s="14" t="s">
        <v>174</v>
      </c>
      <c r="AB15" s="14">
        <f>COUNTIF(aa!BC:BC,"East")</f>
        <v>96</v>
      </c>
      <c r="AC15" s="14">
        <f>SUMIF(aa!BC:BC,"East",aa!J:J)</f>
        <v>77971301</v>
      </c>
    </row>
    <row r="16" spans="1:32">
      <c r="A16" s="38"/>
      <c r="B16" s="38"/>
      <c r="C16" s="38"/>
      <c r="AA16" s="14" t="s">
        <v>122</v>
      </c>
      <c r="AB16" s="14">
        <f>COUNTIF(aa!BC:BC,"North")</f>
        <v>121</v>
      </c>
      <c r="AC16" s="14">
        <f>SUMIF(aa!BC:BC,"North",aa!J:J)</f>
        <v>104591986</v>
      </c>
    </row>
    <row r="17" spans="1:33">
      <c r="A17" s="38"/>
      <c r="B17" s="38"/>
      <c r="C17" s="38"/>
      <c r="AA17" s="14" t="s">
        <v>212</v>
      </c>
      <c r="AB17" s="14">
        <f>COUNTIF(aa!BC:BC,"South")</f>
        <v>81</v>
      </c>
      <c r="AC17" s="14">
        <f>SUMIF(aa!BC:BC,"South",aa!J:J)</f>
        <v>52981454</v>
      </c>
    </row>
    <row r="18" spans="1:33">
      <c r="A18" s="38"/>
      <c r="B18" s="38"/>
      <c r="C18" s="38"/>
      <c r="AA18" s="14" t="s">
        <v>622</v>
      </c>
      <c r="AB18" s="14">
        <f>COUNTIF(aa!BC:BC,"West")</f>
        <v>82</v>
      </c>
      <c r="AC18" s="14">
        <f>SUMIF(aa!BC:BC,"West",aa!J:J)</f>
        <v>46824436</v>
      </c>
    </row>
    <row r="19" spans="1:33">
      <c r="A19" s="38"/>
      <c r="B19" s="38"/>
      <c r="C19" s="38"/>
      <c r="N19" s="14" t="s">
        <v>23435</v>
      </c>
      <c r="O19" s="14" t="s">
        <v>23430</v>
      </c>
      <c r="V19" s="14" t="s">
        <v>25651</v>
      </c>
      <c r="W19" s="14" t="s">
        <v>23398</v>
      </c>
      <c r="X19" s="14" t="s">
        <v>23428</v>
      </c>
      <c r="Y19" s="14" t="s">
        <v>25652</v>
      </c>
    </row>
    <row r="20" spans="1:33">
      <c r="A20" s="38"/>
      <c r="B20" s="38"/>
      <c r="C20" s="38"/>
      <c r="N20" s="14" t="s">
        <v>23432</v>
      </c>
      <c r="O20" s="14">
        <v>65</v>
      </c>
      <c r="P20" s="41">
        <f>O20/O13</f>
        <v>0.19005847953216373</v>
      </c>
      <c r="Q20" s="41"/>
      <c r="V20" s="14" t="s">
        <v>25652</v>
      </c>
      <c r="W20" s="14">
        <f>COUNTIFS('2025'!F:F,"&gt;=0",'2025'!BE:BE,"North")</f>
        <v>80</v>
      </c>
      <c r="X20" s="14">
        <f>COUNTIF('2025'!BE:BE,"North")</f>
        <v>201</v>
      </c>
      <c r="Y20" s="14">
        <f>X20-W20</f>
        <v>121</v>
      </c>
      <c r="AA20" s="93" t="s">
        <v>24847</v>
      </c>
      <c r="AB20" s="93"/>
      <c r="AC20" s="93"/>
      <c r="AD20" s="93"/>
      <c r="AE20" s="93"/>
      <c r="AF20" s="93"/>
      <c r="AG20" s="93"/>
    </row>
    <row r="21" spans="1:33">
      <c r="A21" s="38"/>
      <c r="B21" s="38"/>
      <c r="C21" s="38"/>
      <c r="N21" s="14" t="s">
        <v>23433</v>
      </c>
      <c r="O21" s="14">
        <v>52</v>
      </c>
      <c r="P21" s="41">
        <f t="shared" ref="P21:P22" si="4">O21/O14</f>
        <v>0.25120772946859904</v>
      </c>
      <c r="Q21" s="41"/>
      <c r="V21" s="14" t="s">
        <v>25653</v>
      </c>
      <c r="W21" s="14">
        <f>COUNTIFS('2025'!F:F,"&gt;0",'2025'!BE:BE,"North",'2025'!A:A,"New School")</f>
        <v>21</v>
      </c>
      <c r="X21" s="14">
        <f>COUNTIFS('2025'!BE:BE,"North",'2025'!A:A,"New School")</f>
        <v>66</v>
      </c>
      <c r="Y21" s="14">
        <f t="shared" ref="Y21:Y23" si="5">X21-W21</f>
        <v>45</v>
      </c>
      <c r="AA21" s="14" t="s">
        <v>23428</v>
      </c>
      <c r="AB21" s="14">
        <f>COUNTIF(aa!A:A,"New school")</f>
        <v>134</v>
      </c>
      <c r="AC21" s="14">
        <f>COUNTIF(aa!A:A,"1-year School, New School")</f>
        <v>0</v>
      </c>
      <c r="AD21" s="14">
        <f>SUMIF(aa!A:A,"New School",aa!J:J)</f>
        <v>59724310</v>
      </c>
      <c r="AE21" s="14">
        <f>SUMIF(aa!A:A,"1-year School, New School",aa!J:J)</f>
        <v>0</v>
      </c>
      <c r="AF21" s="14">
        <f>AB21+AC21</f>
        <v>134</v>
      </c>
      <c r="AG21" s="14">
        <f>AD21+AE21</f>
        <v>59724310</v>
      </c>
    </row>
    <row r="22" spans="1:33">
      <c r="A22" s="38"/>
      <c r="B22" s="38"/>
      <c r="C22" s="38"/>
      <c r="N22" s="14" t="s">
        <v>23434</v>
      </c>
      <c r="O22" s="14">
        <v>28</v>
      </c>
      <c r="P22" s="41">
        <f t="shared" si="4"/>
        <v>0.14583333333333334</v>
      </c>
      <c r="Q22" s="41"/>
      <c r="V22" s="14" t="s">
        <v>25654</v>
      </c>
      <c r="W22" s="14">
        <f>COUNTIFS('2025'!F:F,"&gt;0",'2025'!BE:BE,"North",'2025'!A:A,"1-year School")</f>
        <v>10</v>
      </c>
      <c r="X22" s="14">
        <f>COUNTIFS('2025'!BE:BE,"North",'2025'!A:A,"1-year School")</f>
        <v>38</v>
      </c>
      <c r="Y22" s="14">
        <f t="shared" si="5"/>
        <v>28</v>
      </c>
      <c r="AA22" s="14" t="s">
        <v>174</v>
      </c>
      <c r="AB22" s="14">
        <f>COUNTIFS(aa!BC:BC,"East",aa!A:A,"New School")</f>
        <v>41</v>
      </c>
      <c r="AC22" s="14">
        <f>COUNTIFS(aa!A:A,"1-year School, New School",aa!BC:BC,"East")</f>
        <v>0</v>
      </c>
      <c r="AD22" s="14">
        <f>SUMIFS(aa!J:J,aa!A:A,"New School",aa!BC:BC,"East")</f>
        <v>22265860</v>
      </c>
      <c r="AE22" s="14">
        <f>SUMIFS(aa!J:J,aa!A:A,"1-year School, New School",aa!BC:BC,"East")</f>
        <v>0</v>
      </c>
      <c r="AF22" s="14">
        <f t="shared" ref="AF22:AF25" si="6">AB22+AC22</f>
        <v>41</v>
      </c>
      <c r="AG22" s="14">
        <f t="shared" ref="AG22:AG25" si="7">AD22+AE22</f>
        <v>22265860</v>
      </c>
    </row>
    <row r="23" spans="1:33">
      <c r="A23" s="38"/>
      <c r="B23" s="38"/>
      <c r="C23" s="38"/>
      <c r="O23" s="14">
        <f>SUM(O20:O22)</f>
        <v>145</v>
      </c>
      <c r="V23" s="14" t="s">
        <v>23420</v>
      </c>
      <c r="W23" s="14">
        <f>COUNTIFS('2025'!F:F,"&gt;0",'2025'!BE:BE,"North",'2025'!A:A,"Retention school")</f>
        <v>49</v>
      </c>
      <c r="X23" s="14">
        <f>COUNTIFS('2025'!BE:BE,"North",'2025'!A:A,"Retention School")</f>
        <v>97</v>
      </c>
      <c r="Y23" s="14">
        <f t="shared" si="5"/>
        <v>48</v>
      </c>
      <c r="AA23" s="14" t="s">
        <v>122</v>
      </c>
      <c r="AB23" s="14">
        <f>COUNTIFS(aa!BC:BC,"North",aa!A:A,"New School")</f>
        <v>40</v>
      </c>
      <c r="AC23" s="14">
        <f>COUNTIFS(aa!A:A,"1-year School, New School",aa!BC:BC,"North")</f>
        <v>0</v>
      </c>
      <c r="AD23" s="14">
        <f>SUMIFS(aa!J:J,aa!A:A,"New School",aa!BC:BC,"North")</f>
        <v>20074374</v>
      </c>
      <c r="AE23" s="14">
        <f>SUMIFS(aa!J:J,aa!A:A,"1-year School, New School",aa!BC:BC,"North")</f>
        <v>0</v>
      </c>
      <c r="AF23" s="14">
        <f t="shared" si="6"/>
        <v>40</v>
      </c>
      <c r="AG23" s="14">
        <f t="shared" si="7"/>
        <v>20074374</v>
      </c>
    </row>
    <row r="24" spans="1:33">
      <c r="A24" s="38"/>
      <c r="B24" s="38"/>
      <c r="C24" s="38"/>
      <c r="AA24" s="14" t="s">
        <v>212</v>
      </c>
      <c r="AB24" s="14">
        <f>COUNTIFS(aa!BC:BC,"South",aa!A:A,"New School")</f>
        <v>19</v>
      </c>
      <c r="AC24" s="14">
        <f>COUNTIFS(aa!A:A,"1-year School, New School",aa!BC:BC,"South")</f>
        <v>0</v>
      </c>
      <c r="AD24" s="14">
        <f>SUMIFS(aa!J:J,aa!A:A,"New School",aa!BC:BC,"South")</f>
        <v>6755089</v>
      </c>
      <c r="AE24" s="14">
        <f>SUMIFS(aa!J:J,aa!A:A,"1-year School, New School",aa!BC:BC,"South")</f>
        <v>0</v>
      </c>
      <c r="AF24" s="14">
        <f t="shared" si="6"/>
        <v>19</v>
      </c>
      <c r="AG24" s="14">
        <f t="shared" si="7"/>
        <v>6755089</v>
      </c>
    </row>
    <row r="25" spans="1:33">
      <c r="A25" s="38"/>
      <c r="B25" s="38"/>
      <c r="C25" s="38"/>
      <c r="N25" s="14" t="s">
        <v>0</v>
      </c>
      <c r="O25" s="14" t="s">
        <v>23430</v>
      </c>
      <c r="Q25" s="14" t="s">
        <v>23402</v>
      </c>
      <c r="AA25" s="14" t="s">
        <v>622</v>
      </c>
      <c r="AB25" s="14">
        <f>COUNTIFS(aa!BC:BC,"West",aa!A:A,"New School")</f>
        <v>33</v>
      </c>
      <c r="AC25" s="14">
        <f>COUNTIFS(aa!A:A,"1-year School, New School",aa!BC:BC,"West")</f>
        <v>0</v>
      </c>
      <c r="AD25" s="14">
        <f>SUMIFS(aa!J:J,aa!A:A,"New School",aa!BC:BC,"West")</f>
        <v>10628987</v>
      </c>
      <c r="AE25" s="14">
        <f>SUMIFS(aa!J:J,aa!A:A,"1-year School, New School",aa!BC:BC,"West")</f>
        <v>0</v>
      </c>
      <c r="AF25" s="14">
        <f t="shared" si="6"/>
        <v>33</v>
      </c>
      <c r="AG25" s="14">
        <f t="shared" si="7"/>
        <v>10628987</v>
      </c>
    </row>
    <row r="26" spans="1:33">
      <c r="A26" s="38"/>
      <c r="B26" s="38"/>
      <c r="C26" s="38"/>
      <c r="N26" s="14" t="s">
        <v>337</v>
      </c>
      <c r="O26" s="14">
        <f>COUNTIFS('2024'!A:A,"New School",'2024'!E:E,"Dropped")</f>
        <v>68</v>
      </c>
      <c r="P26" s="41">
        <f>O26/O5</f>
        <v>0.40718562874251496</v>
      </c>
      <c r="Q26" s="14">
        <v>326</v>
      </c>
      <c r="R26" s="41"/>
    </row>
    <row r="27" spans="1:33">
      <c r="A27" s="38"/>
      <c r="B27" s="38"/>
      <c r="C27" s="38"/>
      <c r="N27" s="14" t="s">
        <v>93</v>
      </c>
      <c r="O27" s="14">
        <f>COUNTIFS('2024'!A:A,"1-year School",'2024'!E:E,"Dropped")</f>
        <v>24</v>
      </c>
      <c r="P27" s="41">
        <f t="shared" ref="P27:P29" si="8">O27/O6</f>
        <v>0.27272727272727271</v>
      </c>
      <c r="Q27" s="14">
        <v>156</v>
      </c>
      <c r="R27" s="41"/>
    </row>
    <row r="28" spans="1:33">
      <c r="A28" s="38"/>
      <c r="B28" s="38"/>
      <c r="C28" s="40"/>
      <c r="N28" s="14" t="s">
        <v>149</v>
      </c>
      <c r="O28" s="14">
        <f>COUNTIFS('2024'!A:A,"Retention School",'2024'!E:E,"Dropped")</f>
        <v>22</v>
      </c>
      <c r="P28" s="41">
        <f t="shared" si="8"/>
        <v>8.3333333333333329E-2</v>
      </c>
      <c r="Q28" s="14">
        <v>131</v>
      </c>
      <c r="R28" s="41"/>
      <c r="AA28" s="93" t="s">
        <v>24848</v>
      </c>
      <c r="AB28" s="93"/>
      <c r="AC28" s="93"/>
    </row>
    <row r="29" spans="1:33">
      <c r="A29" s="38"/>
      <c r="B29" s="38"/>
      <c r="C29" s="38"/>
      <c r="N29" s="14" t="s">
        <v>495</v>
      </c>
      <c r="O29" s="14">
        <f>COUNTIFS('2024'!A:A,"Key Account",'2024'!E:E,"Dropped")</f>
        <v>12</v>
      </c>
      <c r="P29" s="41">
        <f t="shared" si="8"/>
        <v>0.44444444444444442</v>
      </c>
      <c r="Q29" s="14">
        <v>30</v>
      </c>
      <c r="R29" s="41"/>
      <c r="V29" s="94" t="s">
        <v>26354</v>
      </c>
      <c r="W29" s="94"/>
      <c r="X29" s="94"/>
      <c r="Y29" s="94"/>
      <c r="Z29" s="58"/>
      <c r="AA29" s="14" t="s">
        <v>24037</v>
      </c>
      <c r="AC29" s="14">
        <f>SUM(AC30:AC32)</f>
        <v>282999084</v>
      </c>
    </row>
    <row r="30" spans="1:33">
      <c r="A30" s="38"/>
      <c r="B30" s="38"/>
      <c r="C30" s="42"/>
      <c r="N30" s="14" t="s">
        <v>23428</v>
      </c>
      <c r="O30" s="14">
        <f>SUM(O26:O29)</f>
        <v>126</v>
      </c>
      <c r="Q30" s="14">
        <f>SUM(Q26:Q29)</f>
        <v>643</v>
      </c>
      <c r="V30" s="59"/>
      <c r="W30" s="59" t="s">
        <v>23432</v>
      </c>
      <c r="X30" s="59" t="s">
        <v>23433</v>
      </c>
      <c r="Y30" s="59" t="s">
        <v>24039</v>
      </c>
      <c r="Z30" s="58"/>
      <c r="AA30" s="14" t="s">
        <v>23432</v>
      </c>
      <c r="AB30" s="14">
        <f>COUNTIF(aa!L:L,"&gt;0")</f>
        <v>154</v>
      </c>
      <c r="AC30" s="14">
        <f>SUMIF(aa!L:L,"&gt;0",aa!L:L)</f>
        <v>64666940</v>
      </c>
      <c r="AD30" s="41">
        <f>AC30/AC$29</f>
        <v>0.22850582795525939</v>
      </c>
    </row>
    <row r="31" spans="1:33">
      <c r="A31" s="38"/>
      <c r="B31" s="38"/>
      <c r="C31" s="42"/>
      <c r="V31" s="59" t="s">
        <v>337</v>
      </c>
      <c r="W31" s="59" t="e">
        <f>COUNTIFS(#REF!,"New School",#REF!,"&gt;0")</f>
        <v>#REF!</v>
      </c>
      <c r="X31" s="59" t="e">
        <f>COUNTIFS(#REF!,"New School",#REF!,"&gt;0")</f>
        <v>#REF!</v>
      </c>
      <c r="Y31" s="59" t="e">
        <f>COUNTIFS(#REF!,"New School",#REF!,"&gt;0")</f>
        <v>#REF!</v>
      </c>
      <c r="Z31" s="58"/>
      <c r="AA31" s="14" t="s">
        <v>23433</v>
      </c>
      <c r="AB31" s="14">
        <f>COUNTIF(aa!O:O,"&gt;0")</f>
        <v>157</v>
      </c>
      <c r="AC31" s="14">
        <f>SUMIF(aa!O:O,"&gt;0",aa!O:O)</f>
        <v>107921116</v>
      </c>
      <c r="AD31" s="41">
        <f t="shared" ref="AD31:AD32" si="9">AC31/AC$29</f>
        <v>0.3813479339742315</v>
      </c>
    </row>
    <row r="32" spans="1:33">
      <c r="A32" s="38"/>
      <c r="B32" s="38"/>
      <c r="C32" s="42"/>
      <c r="V32" s="59" t="s">
        <v>93</v>
      </c>
      <c r="W32" s="59" t="e">
        <f>COUNTIFS(#REF!,"1-year School",#REF!,"&gt;0")</f>
        <v>#REF!</v>
      </c>
      <c r="X32" s="59" t="e">
        <f>COUNTIFS(#REF!,"1-year School",#REF!,"&gt;0")</f>
        <v>#REF!</v>
      </c>
      <c r="Y32" s="59" t="e">
        <f>COUNTIFS(#REF!,"1-year School",#REF!,"&gt;0")</f>
        <v>#REF!</v>
      </c>
      <c r="Z32" s="58"/>
      <c r="AA32" s="14" t="s">
        <v>24039</v>
      </c>
      <c r="AB32" s="14">
        <f>COUNTIF(aa!R:R,"&gt;0")</f>
        <v>155</v>
      </c>
      <c r="AC32" s="14">
        <f>SUMIF(aa!R:R,"&gt;0",aa!R:R)</f>
        <v>110411028</v>
      </c>
      <c r="AD32" s="41">
        <f t="shared" si="9"/>
        <v>0.39014623807050908</v>
      </c>
    </row>
    <row r="33" spans="1:30">
      <c r="A33" s="38"/>
      <c r="B33" s="38"/>
      <c r="C33" s="42"/>
      <c r="V33" s="59" t="s">
        <v>149</v>
      </c>
      <c r="W33" s="59" t="e">
        <f>COUNTIFS(#REF!,"Retention School",#REF!,"&gt;0")</f>
        <v>#REF!</v>
      </c>
      <c r="X33" s="59" t="e">
        <f>COUNTIFS(#REF!,"Retention School",#REF!,"&gt;0")</f>
        <v>#REF!</v>
      </c>
      <c r="Y33" s="59" t="e">
        <f>COUNTIFS(#REF!,"Retention School",#REF!,"&gt;0")</f>
        <v>#REF!</v>
      </c>
      <c r="Z33" s="58"/>
    </row>
    <row r="34" spans="1:30">
      <c r="A34" s="38"/>
      <c r="B34" s="38"/>
      <c r="C34" s="38"/>
      <c r="V34" s="44"/>
      <c r="W34" s="44" t="e">
        <f>SUM(W31:W33)</f>
        <v>#REF!</v>
      </c>
      <c r="X34" s="44" t="e">
        <f t="shared" ref="X34:Y34" si="10">SUM(X31:X33)</f>
        <v>#REF!</v>
      </c>
      <c r="Y34" s="44" t="e">
        <f t="shared" si="10"/>
        <v>#REF!</v>
      </c>
      <c r="Z34" s="14" t="e">
        <f>SUM(W34:Y34)</f>
        <v>#REF!</v>
      </c>
    </row>
    <row r="35" spans="1:30">
      <c r="A35" s="38"/>
      <c r="B35" s="38"/>
      <c r="C35" s="38"/>
      <c r="V35" s="44"/>
      <c r="W35" s="44" t="e">
        <f>W31*4</f>
        <v>#REF!</v>
      </c>
      <c r="X35" s="44" t="e">
        <f>X31*4</f>
        <v>#REF!</v>
      </c>
      <c r="Y35" s="44" t="e">
        <f>Y31*3</f>
        <v>#REF!</v>
      </c>
      <c r="AA35" s="93" t="s">
        <v>24850</v>
      </c>
      <c r="AB35" s="93"/>
    </row>
    <row r="36" spans="1:30">
      <c r="A36" s="38"/>
      <c r="B36" s="38"/>
      <c r="C36" s="38"/>
      <c r="V36" s="44"/>
      <c r="W36" s="44" t="e">
        <f>W32*3</f>
        <v>#REF!</v>
      </c>
      <c r="X36" s="44" t="e">
        <f>X32*3</f>
        <v>#REF!</v>
      </c>
      <c r="Y36" s="44" t="e">
        <f>Y32*2</f>
        <v>#REF!</v>
      </c>
      <c r="AA36" s="14" t="s">
        <v>24037</v>
      </c>
      <c r="AB36" s="14">
        <f>COUNTIF('2024'!E:E,"Dropped")</f>
        <v>126</v>
      </c>
    </row>
    <row r="37" spans="1:30">
      <c r="A37" s="38"/>
      <c r="B37" s="38"/>
      <c r="C37" s="42"/>
      <c r="V37" s="44"/>
      <c r="W37" s="44" t="e">
        <f>W33*3</f>
        <v>#REF!</v>
      </c>
      <c r="X37" s="44" t="e">
        <f>X33*3</f>
        <v>#REF!</v>
      </c>
      <c r="Y37" s="44" t="e">
        <f>Y33*2</f>
        <v>#REF!</v>
      </c>
      <c r="AA37" s="14" t="s">
        <v>23432</v>
      </c>
      <c r="AB37" s="14">
        <f>COUNTIFS('2024'!E:E,"Dropped",'2024'!N:N,"&gt;0")</f>
        <v>57</v>
      </c>
    </row>
    <row r="38" spans="1:30">
      <c r="A38" s="38"/>
      <c r="B38" s="38"/>
      <c r="C38" s="38"/>
      <c r="V38" s="44"/>
      <c r="W38" s="44" t="e">
        <f>SUM(W35:W37)</f>
        <v>#REF!</v>
      </c>
      <c r="X38" s="44" t="e">
        <f>SUM(X35:X37)</f>
        <v>#REF!</v>
      </c>
      <c r="Y38" s="44" t="e">
        <f>SUM(Y35:Y37)</f>
        <v>#REF!</v>
      </c>
      <c r="AA38" s="14" t="s">
        <v>23433</v>
      </c>
      <c r="AB38" s="14">
        <f>COUNTIFS('2024'!E:E,"Dropped",'2024'!Q:Q,"&gt;0")</f>
        <v>49</v>
      </c>
    </row>
    <row r="39" spans="1:30">
      <c r="A39" s="38"/>
      <c r="B39" s="38"/>
      <c r="C39" s="38"/>
      <c r="V39" s="44"/>
      <c r="W39" s="44" t="e">
        <f>W38+X38+Y38</f>
        <v>#REF!</v>
      </c>
      <c r="X39" s="44"/>
      <c r="Y39" s="44"/>
      <c r="AA39" s="14" t="s">
        <v>24039</v>
      </c>
      <c r="AB39" s="14">
        <f>COUNTIFS('2024'!E:E,"Dropped",'2024'!T:T,"&gt;0")</f>
        <v>26</v>
      </c>
    </row>
    <row r="40" spans="1:30">
      <c r="A40" s="38"/>
      <c r="B40" s="38"/>
      <c r="C40" s="38"/>
      <c r="V40" s="44"/>
      <c r="W40" s="44" t="e">
        <f>W39/150</f>
        <v>#REF!</v>
      </c>
      <c r="X40" s="44"/>
      <c r="Y40" s="44"/>
    </row>
    <row r="41" spans="1:30">
      <c r="A41" s="38"/>
      <c r="B41" s="38"/>
      <c r="C41" s="42"/>
      <c r="T41" s="14">
        <v>1</v>
      </c>
      <c r="AA41" s="14" t="s">
        <v>24884</v>
      </c>
      <c r="AB41" s="14">
        <v>2025</v>
      </c>
      <c r="AC41" s="14">
        <v>2026</v>
      </c>
      <c r="AD41" s="14" t="s">
        <v>25650</v>
      </c>
    </row>
    <row r="42" spans="1:30">
      <c r="A42" s="38"/>
      <c r="B42" s="38"/>
      <c r="C42" s="38"/>
      <c r="T42" s="14">
        <v>1.5</v>
      </c>
      <c r="W42" s="14" t="s">
        <v>26355</v>
      </c>
      <c r="AA42" s="14" t="s">
        <v>24885</v>
      </c>
      <c r="AB42" s="14">
        <f>COUNTIF('2025'!A:A,"New School")</f>
        <v>227</v>
      </c>
      <c r="AC42" s="14">
        <f>AF21</f>
        <v>134</v>
      </c>
      <c r="AD42" s="14">
        <f>AG21</f>
        <v>59724310</v>
      </c>
    </row>
    <row r="43" spans="1:30">
      <c r="A43" s="38"/>
      <c r="B43" s="38"/>
      <c r="C43" s="38"/>
      <c r="T43" s="14">
        <v>0.5</v>
      </c>
      <c r="W43" s="14" t="e">
        <f>W34/Z34</f>
        <v>#REF!</v>
      </c>
      <c r="X43" s="14" t="e">
        <f>X34/Z34</f>
        <v>#REF!</v>
      </c>
      <c r="Y43" s="14" t="e">
        <f>Y34/Z34</f>
        <v>#REF!</v>
      </c>
      <c r="AA43" s="14" t="s">
        <v>24886</v>
      </c>
      <c r="AB43" s="14">
        <f>COUNTIF('2025'!A:A,"1-year School")</f>
        <v>102</v>
      </c>
      <c r="AC43" s="14">
        <f>COUNTIF(aa!A:A,"1-year School")</f>
        <v>69</v>
      </c>
      <c r="AD43" s="14">
        <f>SUMIF(aa!A:A,"1-year School",aa!J:J)</f>
        <v>36684989</v>
      </c>
    </row>
    <row r="44" spans="1:30">
      <c r="A44" s="38"/>
      <c r="B44" s="38"/>
      <c r="C44" s="38"/>
      <c r="W44" s="14">
        <f>40*0.4</f>
        <v>16</v>
      </c>
      <c r="X44" s="14">
        <f>0.3*40</f>
        <v>12</v>
      </c>
      <c r="Y44" s="14">
        <v>12</v>
      </c>
      <c r="AA44" s="14" t="s">
        <v>23420</v>
      </c>
      <c r="AB44" s="14">
        <f>COUNTIF('2025'!A:A,"Retention School")</f>
        <v>299</v>
      </c>
      <c r="AC44" s="14">
        <f>COUNTIF(aa!A:A,"Retention School")</f>
        <v>166</v>
      </c>
      <c r="AD44" s="14">
        <f>SUMIF(aa!A:A,"Retention School",aa!J:J)</f>
        <v>182414328</v>
      </c>
    </row>
    <row r="45" spans="1:30">
      <c r="A45" s="38"/>
      <c r="B45" s="38"/>
      <c r="C45" s="42"/>
      <c r="AB45" s="14">
        <f>SUM(AB42:AB44)</f>
        <v>628</v>
      </c>
      <c r="AC45" s="14">
        <f>SUM(AC42:AC44)</f>
        <v>369</v>
      </c>
      <c r="AD45" s="14">
        <f>SUM(AD42:AD44)</f>
        <v>278823627</v>
      </c>
    </row>
    <row r="46" spans="1:30">
      <c r="A46" s="38"/>
      <c r="B46" s="38"/>
      <c r="C46" s="38"/>
    </row>
    <row r="47" spans="1:30">
      <c r="A47" s="38"/>
      <c r="B47" s="38"/>
      <c r="C47" s="38"/>
      <c r="AA47" s="14" t="s">
        <v>25649</v>
      </c>
    </row>
    <row r="48" spans="1:30">
      <c r="A48" s="38"/>
      <c r="B48" s="38"/>
      <c r="C48" s="42"/>
      <c r="X48" s="46" t="s">
        <v>25655</v>
      </c>
      <c r="AA48" s="14" t="s">
        <v>25649</v>
      </c>
    </row>
    <row r="49" spans="1:31">
      <c r="A49" s="38"/>
      <c r="B49" s="38"/>
      <c r="C49" s="38"/>
      <c r="X49" s="45">
        <f>Y49*100</f>
        <v>1.6237776923076923</v>
      </c>
      <c r="Y49" s="45">
        <f>AB49/130000000</f>
        <v>1.6237776923076923E-2</v>
      </c>
      <c r="AA49" s="14" t="s">
        <v>23432</v>
      </c>
      <c r="AB49" s="47">
        <f>'Drop schools 2026'!J1</f>
        <v>2110911</v>
      </c>
      <c r="AC49" s="14">
        <f>COUNTIF('Drop schools 2026'!J:J,"&gt;0")-1</f>
        <v>11</v>
      </c>
      <c r="AD49" s="41">
        <f>AB49/AB$52</f>
        <v>6.4988477066443617E-2</v>
      </c>
    </row>
    <row r="50" spans="1:31">
      <c r="A50" s="38"/>
      <c r="B50" s="38"/>
      <c r="C50" s="40"/>
      <c r="X50" s="45">
        <f t="shared" ref="X50:X51" si="11">Y50*100</f>
        <v>12.360988750000001</v>
      </c>
      <c r="Y50" s="14">
        <f>AB50/160000000</f>
        <v>0.1236098875</v>
      </c>
      <c r="AA50" s="14" t="s">
        <v>23433</v>
      </c>
      <c r="AB50" s="47">
        <f>'Drop schools 2026'!K1</f>
        <v>19777582</v>
      </c>
      <c r="AC50" s="14">
        <f>COUNTIF('Drop schools 2026'!K:K,"&gt;0")-1</f>
        <v>31</v>
      </c>
      <c r="AD50" s="41">
        <f t="shared" ref="AD50:AD51" si="12">AB50/AB$52</f>
        <v>0.60889110636910238</v>
      </c>
    </row>
    <row r="51" spans="1:31">
      <c r="A51" s="38"/>
      <c r="B51" s="38"/>
      <c r="C51" s="38"/>
      <c r="X51" s="45">
        <f t="shared" si="11"/>
        <v>6.2310699999999999</v>
      </c>
      <c r="Y51" s="14">
        <f>AB51/170000000</f>
        <v>6.2310699999999997E-2</v>
      </c>
      <c r="AA51" s="14" t="s">
        <v>24039</v>
      </c>
      <c r="AB51" s="47">
        <f>'Drop schools 2026'!L1</f>
        <v>10592819</v>
      </c>
      <c r="AC51" s="14">
        <f>COUNTIF('Drop schools 2026'!L:L,"&gt;0")-1</f>
        <v>13</v>
      </c>
      <c r="AD51" s="41">
        <f t="shared" si="12"/>
        <v>0.32612041656445406</v>
      </c>
    </row>
    <row r="52" spans="1:31">
      <c r="A52" s="38"/>
      <c r="B52" s="38"/>
      <c r="C52" s="38"/>
      <c r="AA52" s="14" t="s">
        <v>23428</v>
      </c>
      <c r="AB52" s="47">
        <f>SUM(AB49:AB51)</f>
        <v>32481312</v>
      </c>
      <c r="AC52" s="14">
        <f>COUNT('Drop schools 2026'!B3:B87)</f>
        <v>46</v>
      </c>
    </row>
    <row r="53" spans="1:31">
      <c r="A53" s="38"/>
      <c r="B53" s="38"/>
      <c r="C53" s="40"/>
      <c r="V53" s="14" t="s">
        <v>26354</v>
      </c>
    </row>
    <row r="54" spans="1:31">
      <c r="A54" s="38"/>
      <c r="B54" s="38"/>
      <c r="C54" s="38"/>
      <c r="T54" s="14" t="s">
        <v>26375</v>
      </c>
      <c r="U54" s="14" t="s">
        <v>26378</v>
      </c>
      <c r="V54" s="14" t="s">
        <v>26379</v>
      </c>
      <c r="W54" s="14" t="s">
        <v>26380</v>
      </c>
      <c r="X54" s="14" t="s">
        <v>26383</v>
      </c>
      <c r="AA54" s="14" t="s">
        <v>26384</v>
      </c>
      <c r="AE54" s="14" t="s">
        <v>26385</v>
      </c>
    </row>
    <row r="55" spans="1:31">
      <c r="A55" s="38"/>
      <c r="B55" s="38"/>
      <c r="C55" s="38"/>
      <c r="S55" s="14" t="s">
        <v>26376</v>
      </c>
      <c r="T55" s="14">
        <v>283</v>
      </c>
      <c r="U55" s="14">
        <v>696</v>
      </c>
      <c r="V55" s="14">
        <v>448</v>
      </c>
      <c r="W55" s="14">
        <f>1019+151</f>
        <v>1170</v>
      </c>
      <c r="X55" s="14">
        <v>295</v>
      </c>
      <c r="Y55" s="14">
        <f>SUM(T55:X55)</f>
        <v>2892</v>
      </c>
      <c r="AA55" s="14" t="s">
        <v>24885</v>
      </c>
      <c r="AB55" s="14">
        <f>SUMIF('Drop schools 2026'!F:F,"New School",'Drop schools 2026'!H:H)</f>
        <v>9238550</v>
      </c>
      <c r="AC55" s="14">
        <f>COUNTIF('Drop schools 2026'!F:F,"New School")</f>
        <v>17</v>
      </c>
      <c r="AE55" s="14">
        <f>COUNTIF(RISK!F:F,"New School")</f>
        <v>19</v>
      </c>
    </row>
    <row r="56" spans="1:31">
      <c r="A56" s="38"/>
      <c r="B56" s="38"/>
      <c r="C56" s="38"/>
      <c r="S56" s="14" t="s">
        <v>26377</v>
      </c>
      <c r="T56" s="14">
        <v>641</v>
      </c>
      <c r="U56" s="14">
        <v>336</v>
      </c>
      <c r="V56" s="14">
        <v>148</v>
      </c>
      <c r="W56" s="14">
        <v>612</v>
      </c>
      <c r="X56" s="14">
        <v>268</v>
      </c>
      <c r="Y56" s="14">
        <f>SUM(T56:X56)</f>
        <v>2005</v>
      </c>
      <c r="AA56" s="14" t="s">
        <v>24886</v>
      </c>
      <c r="AB56" s="14">
        <f>SUMIF('Drop schools 2026'!F:F,"1-year School",'Drop schools 2026'!H:H)</f>
        <v>7860967</v>
      </c>
      <c r="AC56" s="14">
        <f>COUNTIF('Drop schools 2026'!F:F,"1-year school")</f>
        <v>11</v>
      </c>
      <c r="AE56" s="14">
        <f>COUNTIF(RISK!F:F,"1-year School")</f>
        <v>8</v>
      </c>
    </row>
    <row r="57" spans="1:31" ht="25" thickBot="1">
      <c r="A57" s="38"/>
      <c r="B57" s="38"/>
      <c r="C57" s="42"/>
      <c r="T57" s="14">
        <f>T55+T56</f>
        <v>924</v>
      </c>
      <c r="U57" s="14">
        <f t="shared" ref="U57:X57" si="13">U55+U56</f>
        <v>1032</v>
      </c>
      <c r="V57" s="14">
        <f t="shared" si="13"/>
        <v>596</v>
      </c>
      <c r="W57" s="14">
        <f t="shared" si="13"/>
        <v>1782</v>
      </c>
      <c r="X57" s="14">
        <f t="shared" si="13"/>
        <v>563</v>
      </c>
      <c r="Y57" s="14">
        <f>Y55+Y56</f>
        <v>4897</v>
      </c>
      <c r="AA57" s="14" t="s">
        <v>23420</v>
      </c>
      <c r="AB57" s="14">
        <f>SUMIF('Drop schools 2026'!F:F,"Retention School",'Drop schools 2026'!H:H)</f>
        <v>13667667</v>
      </c>
      <c r="AC57" s="14">
        <f>COUNTIF('Drop schools 2026'!F:F,"Retention School")</f>
        <v>18</v>
      </c>
      <c r="AE57" s="14">
        <f>COUNTIF(RISK!F:F,"Retention School")</f>
        <v>20</v>
      </c>
    </row>
    <row r="58" spans="1:31" ht="25" thickBot="1">
      <c r="A58" s="38"/>
      <c r="B58" s="38"/>
      <c r="C58" s="38"/>
      <c r="T58" s="74">
        <v>230</v>
      </c>
      <c r="U58" s="74">
        <v>152</v>
      </c>
      <c r="V58" s="74">
        <v>114</v>
      </c>
      <c r="W58" s="74">
        <v>145</v>
      </c>
      <c r="X58" s="74">
        <v>42</v>
      </c>
      <c r="AB58" s="14">
        <f>SUM(AB55:AB57)</f>
        <v>30767184</v>
      </c>
      <c r="AC58" s="14">
        <f>SUM(AC55:AC57)</f>
        <v>46</v>
      </c>
      <c r="AE58" s="14">
        <f>SUM(AE55:AE57)</f>
        <v>47</v>
      </c>
    </row>
    <row r="59" spans="1:31">
      <c r="A59" s="38"/>
      <c r="B59" s="38"/>
      <c r="C59" s="38"/>
      <c r="T59" s="75">
        <f>T57/T58</f>
        <v>4.017391304347826</v>
      </c>
      <c r="U59" s="75">
        <f t="shared" ref="U59:X59" si="14">U57/U58</f>
        <v>6.7894736842105265</v>
      </c>
      <c r="V59" s="75">
        <f t="shared" si="14"/>
        <v>5.2280701754385968</v>
      </c>
      <c r="W59" s="75">
        <f t="shared" si="14"/>
        <v>12.289655172413793</v>
      </c>
      <c r="X59" s="75">
        <f t="shared" si="14"/>
        <v>13.404761904761905</v>
      </c>
    </row>
    <row r="60" spans="1:31">
      <c r="A60" s="38"/>
      <c r="B60" s="38"/>
      <c r="C60" s="38"/>
      <c r="AA60" s="14" t="s">
        <v>55</v>
      </c>
    </row>
    <row r="61" spans="1:31">
      <c r="A61" s="38"/>
      <c r="B61" s="38"/>
      <c r="C61" s="38"/>
      <c r="U61" s="14" t="s">
        <v>26381</v>
      </c>
      <c r="AA61" s="14" t="s">
        <v>174</v>
      </c>
      <c r="AB61" s="14">
        <f>SUMIF('Drop schools 2026'!E:E,"East",'Drop schools 2026'!H:H)</f>
        <v>9983428</v>
      </c>
      <c r="AC61" s="14">
        <f>COUNTIF('Drop schools 2026'!E:E,"East")</f>
        <v>13</v>
      </c>
      <c r="AE61" s="14">
        <f>COUNTIF(RISK!E:E,"East")</f>
        <v>7</v>
      </c>
    </row>
    <row r="62" spans="1:31">
      <c r="A62" s="38"/>
      <c r="B62" s="38"/>
      <c r="C62" s="38"/>
      <c r="T62" s="14">
        <v>242</v>
      </c>
      <c r="U62" s="14" t="s">
        <v>23432</v>
      </c>
      <c r="V62" s="14" t="s">
        <v>23433</v>
      </c>
      <c r="W62" s="14" t="s">
        <v>24039</v>
      </c>
      <c r="AA62" s="14" t="s">
        <v>122</v>
      </c>
      <c r="AB62" s="14">
        <f>SUMIF('Drop schools 2026'!E:E,"North",'Drop schools 2026'!H:H)</f>
        <v>13886939</v>
      </c>
      <c r="AC62" s="14">
        <f>COUNTIF('Drop schools 2026'!E:E,"North")</f>
        <v>16</v>
      </c>
      <c r="AE62" s="14">
        <f>COUNTIF(RISK!E:E,"North")</f>
        <v>11</v>
      </c>
    </row>
    <row r="63" spans="1:31">
      <c r="A63" s="38"/>
      <c r="B63" s="38"/>
      <c r="C63" s="38"/>
      <c r="S63" s="14">
        <v>2025</v>
      </c>
      <c r="T63" s="93" t="s">
        <v>26382</v>
      </c>
      <c r="U63" s="14">
        <v>81672</v>
      </c>
      <c r="V63" s="14">
        <v>65628</v>
      </c>
      <c r="W63" s="14">
        <v>63751</v>
      </c>
      <c r="AA63" s="14" t="s">
        <v>212</v>
      </c>
      <c r="AB63" s="14">
        <f>SUMIF('Drop schools 2026'!E:E,"South",'Drop schools 2026'!H:H)</f>
        <v>3014468</v>
      </c>
      <c r="AC63" s="14">
        <f>COUNTIF('Drop schools 2026'!E:E,"south")</f>
        <v>7</v>
      </c>
      <c r="AE63" s="14">
        <f>COUNTIF(RISK!E:E,"South")</f>
        <v>12</v>
      </c>
    </row>
    <row r="64" spans="1:31">
      <c r="A64" s="38"/>
      <c r="B64" s="38"/>
      <c r="C64" s="38"/>
      <c r="S64" s="14">
        <v>2026</v>
      </c>
      <c r="T64" s="93"/>
      <c r="U64" s="14">
        <f>89541</f>
        <v>89541</v>
      </c>
      <c r="V64" s="14">
        <v>63842</v>
      </c>
      <c r="W64" s="14">
        <v>63179</v>
      </c>
      <c r="AA64" s="14" t="s">
        <v>622</v>
      </c>
      <c r="AB64" s="14">
        <f>SUMIF('Drop schools 2026'!E:E,"west",'Drop schools 2026'!H:H)</f>
        <v>3882349</v>
      </c>
      <c r="AC64" s="14">
        <f>COUNTIF('Drop schools 2026'!E:E,"West")</f>
        <v>10</v>
      </c>
      <c r="AE64" s="14">
        <f>COUNTIF(RISK!E:E,"West")</f>
        <v>17</v>
      </c>
    </row>
    <row r="65" spans="1:31">
      <c r="A65" s="38"/>
      <c r="B65" s="38"/>
      <c r="C65" s="38"/>
      <c r="T65" s="93"/>
      <c r="U65" s="14">
        <f>U64-U63</f>
        <v>7869</v>
      </c>
      <c r="V65" s="14">
        <f t="shared" ref="V65:W65" si="15">V64-V63</f>
        <v>-1786</v>
      </c>
      <c r="W65" s="14">
        <f t="shared" si="15"/>
        <v>-572</v>
      </c>
      <c r="AB65" s="14">
        <f>SUM(AB61:AB64)</f>
        <v>30767184</v>
      </c>
      <c r="AC65" s="14">
        <f>SUM(AC61:AC64)</f>
        <v>46</v>
      </c>
      <c r="AE65" s="14">
        <f>SUM(AE61:AE64)</f>
        <v>47</v>
      </c>
    </row>
    <row r="66" spans="1:31">
      <c r="A66" s="38"/>
      <c r="B66" s="38"/>
      <c r="C66" s="38"/>
      <c r="T66" s="93"/>
      <c r="U66" s="14">
        <f>U64/U63</f>
        <v>1.0963488098736409</v>
      </c>
      <c r="V66" s="14">
        <f t="shared" ref="V66:W66" si="16">V64/V63</f>
        <v>0.97278600597306031</v>
      </c>
      <c r="W66" s="14">
        <f t="shared" si="16"/>
        <v>0.99102759172405142</v>
      </c>
    </row>
    <row r="67" spans="1:31">
      <c r="A67" s="38"/>
      <c r="B67" s="38"/>
      <c r="C67" s="38"/>
      <c r="S67" s="14">
        <v>2025</v>
      </c>
      <c r="T67" s="14" t="s">
        <v>23402</v>
      </c>
      <c r="U67" s="14">
        <v>532</v>
      </c>
      <c r="V67" s="14">
        <v>836</v>
      </c>
      <c r="W67" s="14">
        <v>868</v>
      </c>
      <c r="AA67" s="14" t="s">
        <v>26388</v>
      </c>
      <c r="AB67" s="14" t="s">
        <v>337</v>
      </c>
      <c r="AC67" s="14" t="s">
        <v>26387</v>
      </c>
      <c r="AD67" s="14" t="s">
        <v>23420</v>
      </c>
    </row>
    <row r="68" spans="1:31">
      <c r="A68" s="38"/>
      <c r="B68" s="38"/>
      <c r="C68" s="38"/>
      <c r="S68" s="14">
        <v>2026</v>
      </c>
      <c r="U68" s="14">
        <f>505+47</f>
        <v>552</v>
      </c>
      <c r="V68" s="14">
        <v>889</v>
      </c>
      <c r="W68" s="14">
        <f>856+104</f>
        <v>960</v>
      </c>
      <c r="AA68" s="14" t="s">
        <v>174</v>
      </c>
      <c r="AB68" s="14">
        <f>COUNTIFS('Drop schools 2026'!$F:$F,"New School",'Drop schools 2026'!$E:$E,"East")</f>
        <v>6</v>
      </c>
      <c r="AC68" s="14">
        <f>COUNTIFS('Drop schools 2026'!$F:$F,"1-year School",'Drop schools 2026'!$E:$E,"East")</f>
        <v>2</v>
      </c>
      <c r="AD68" s="14">
        <f>COUNTIFS('Drop schools 2026'!$F:$F,"Retention School",'Drop schools 2026'!$E:$E,"East")</f>
        <v>5</v>
      </c>
      <c r="AE68" s="14">
        <f>SUM(AB68:AD68)</f>
        <v>13</v>
      </c>
    </row>
    <row r="69" spans="1:31">
      <c r="A69" s="38"/>
      <c r="B69" s="38"/>
      <c r="C69" s="38"/>
      <c r="U69" s="14">
        <f>U68/U67</f>
        <v>1.0375939849624061</v>
      </c>
      <c r="V69" s="14">
        <f t="shared" ref="V69:W69" si="17">V68/V67</f>
        <v>1.0633971291866029</v>
      </c>
      <c r="W69" s="14">
        <f t="shared" si="17"/>
        <v>1.1059907834101383</v>
      </c>
      <c r="AA69" s="14" t="s">
        <v>122</v>
      </c>
      <c r="AB69" s="14">
        <f>COUNTIFS('Drop schools 2026'!$F:$F,"New School",'Drop schools 2026'!$E:$E,"North")</f>
        <v>8</v>
      </c>
      <c r="AC69" s="14">
        <f>COUNTIFS('Drop schools 2026'!$F:$F,"1-year School",'Drop schools 2026'!$E:$E,"North")</f>
        <v>3</v>
      </c>
      <c r="AD69" s="14">
        <f>COUNTIFS('Drop schools 2026'!$F:$F,"Retention School",'Drop schools 2026'!$E:$E,"South")</f>
        <v>4</v>
      </c>
      <c r="AE69" s="14">
        <f t="shared" ref="AE69:AE71" si="18">SUM(AB69:AD69)</f>
        <v>15</v>
      </c>
    </row>
    <row r="70" spans="1:31">
      <c r="A70" s="38"/>
      <c r="B70" s="38"/>
      <c r="C70" s="38"/>
      <c r="AA70" s="14" t="s">
        <v>212</v>
      </c>
      <c r="AB70" s="14">
        <f>COUNTIFS('Drop schools 2026'!$F:$F,"New School",'Drop schools 2026'!$E:$E,"South")</f>
        <v>1</v>
      </c>
      <c r="AC70" s="14">
        <f>COUNTIFS('Drop schools 2026'!$F:$F,"1-year School",'Drop schools 2026'!$E:$E,"South")</f>
        <v>2</v>
      </c>
      <c r="AD70" s="14">
        <f>COUNTIFS('Drop schools 2026'!$F:$F,"Retention School",'Drop schools 2026'!$E:$E,"North")</f>
        <v>5</v>
      </c>
      <c r="AE70" s="14">
        <f t="shared" si="18"/>
        <v>8</v>
      </c>
    </row>
    <row r="71" spans="1:31">
      <c r="A71" s="38"/>
      <c r="B71" s="38"/>
      <c r="C71" s="38"/>
      <c r="R71" s="93" t="s">
        <v>26637</v>
      </c>
      <c r="S71" s="93"/>
      <c r="T71" s="93"/>
      <c r="U71" s="93"/>
      <c r="V71" s="93"/>
      <c r="AA71" s="14" t="s">
        <v>622</v>
      </c>
      <c r="AB71" s="14">
        <f>COUNTIFS('Drop schools 2026'!$F:$F,"New School",'Drop schools 2026'!$E:$E,"West")</f>
        <v>2</v>
      </c>
      <c r="AC71" s="14">
        <f>COUNTIFS('Drop schools 2026'!$F:$F,"1-year School",'Drop schools 2026'!$E:$E,"West")</f>
        <v>4</v>
      </c>
      <c r="AD71" s="14">
        <f>COUNTIFS('Drop schools 2026'!$F:$F,"Retention School",'Drop schools 2026'!$E:$E,"West")</f>
        <v>4</v>
      </c>
      <c r="AE71" s="14">
        <f t="shared" si="18"/>
        <v>10</v>
      </c>
    </row>
    <row r="72" spans="1:31">
      <c r="A72" s="38"/>
      <c r="B72" s="38"/>
      <c r="C72" s="38"/>
      <c r="R72" s="14">
        <v>1.1000000000000001</v>
      </c>
      <c r="T72" s="14">
        <v>2025</v>
      </c>
      <c r="U72" s="14">
        <v>2026</v>
      </c>
    </row>
    <row r="73" spans="1:31">
      <c r="A73" s="38"/>
      <c r="B73" s="38"/>
      <c r="C73" s="38"/>
      <c r="S73" s="14">
        <v>645</v>
      </c>
      <c r="T73" s="14">
        <f>SUM('2025'!L:L)</f>
        <v>476092086</v>
      </c>
      <c r="U73" s="14">
        <f>R72*T73</f>
        <v>523701294.60000002</v>
      </c>
      <c r="AA73" s="14" t="s">
        <v>26389</v>
      </c>
      <c r="AB73" s="14" t="s">
        <v>337</v>
      </c>
      <c r="AC73" s="14" t="s">
        <v>26387</v>
      </c>
      <c r="AD73" s="14" t="s">
        <v>23420</v>
      </c>
    </row>
    <row r="74" spans="1:31">
      <c r="A74" s="38"/>
      <c r="B74" s="38"/>
      <c r="C74" s="40"/>
      <c r="S74" s="14">
        <f>'Drop &amp; Risk Working'!C9+'Drop &amp; Risk Working'!E9</f>
        <v>93</v>
      </c>
      <c r="T74" s="14">
        <f>'Drop &amp; Risk Working'!D9+'Drop &amp; Risk Working'!F9</f>
        <v>69937362</v>
      </c>
      <c r="U74" s="14">
        <f>'Drop &amp; Risk Working'!D9+'Drop &amp; Risk Working'!F9</f>
        <v>69937362</v>
      </c>
      <c r="AA74" s="14" t="s">
        <v>174</v>
      </c>
      <c r="AB74" s="14">
        <f>COUNTIFS(RISK!$E:$E,"East",RISK!$F:$F,"New School")</f>
        <v>3</v>
      </c>
      <c r="AC74" s="14">
        <f>COUNTIFS(RISK!$E:$E,"East",RISK!$F:$F,"1-year School")</f>
        <v>0</v>
      </c>
      <c r="AD74" s="14">
        <f>COUNTIFS(RISK!$E:$E,"East",RISK!$F:$F,"Retention School")</f>
        <v>4</v>
      </c>
      <c r="AE74" s="14">
        <f>SUM(AB74:AD74)</f>
        <v>7</v>
      </c>
    </row>
    <row r="75" spans="1:31">
      <c r="A75" s="38"/>
      <c r="B75" s="38"/>
      <c r="C75" s="42"/>
      <c r="S75" s="14">
        <f>COUNTIF('Drop &amp; Risk Analysis'!H:H,"&gt;=0")</f>
        <v>251</v>
      </c>
      <c r="T75" s="14">
        <f>SUMIF('Drop &amp; Risk Analysis'!H:H,"&gt;=0",'Drop &amp; Risk Analysis'!M:M)</f>
        <v>230572694</v>
      </c>
      <c r="U75" s="14">
        <f>SUMIF('Drop &amp; Risk Analysis'!H:H,"&gt;0",'Drop &amp; Risk Analysis'!H:H)+15000000</f>
        <v>249202088</v>
      </c>
      <c r="V75" s="14">
        <f>U75/T75</f>
        <v>1.0807961848249039</v>
      </c>
      <c r="AA75" s="14" t="s">
        <v>122</v>
      </c>
      <c r="AB75" s="14">
        <f>COUNTIFS(RISK!$E:$E,"North",RISK!$F:$F,"New School")</f>
        <v>4</v>
      </c>
      <c r="AC75" s="14">
        <f>COUNTIFS(RISK!$E:$E,"North",RISK!$F:$F,"1-year School")</f>
        <v>3</v>
      </c>
      <c r="AD75" s="14">
        <f>COUNTIFS(RISK!$E:$E,"North",RISK!$F:$F,"Retention School")</f>
        <v>4</v>
      </c>
      <c r="AE75" s="14">
        <f t="shared" ref="AE75:AE77" si="19">SUM(AB75:AD75)</f>
        <v>11</v>
      </c>
    </row>
    <row r="76" spans="1:31">
      <c r="A76" s="38"/>
      <c r="B76" s="38"/>
      <c r="C76" s="38"/>
      <c r="S76" s="14">
        <f>S73-S74-S75</f>
        <v>301</v>
      </c>
      <c r="T76" s="14">
        <f>T73-T75</f>
        <v>245519392</v>
      </c>
      <c r="U76" s="14">
        <f>U73-U75</f>
        <v>274499206.60000002</v>
      </c>
      <c r="V76" s="14">
        <f>U76/T76</f>
        <v>1.1180347277823173</v>
      </c>
      <c r="AA76" s="14" t="s">
        <v>212</v>
      </c>
      <c r="AB76" s="14">
        <f>COUNTIFS(RISK!$E:$E,"South",RISK!$F:$F,"New School")</f>
        <v>2</v>
      </c>
      <c r="AC76" s="14">
        <f>COUNTIFS(RISK!$E:$E,"South",RISK!$F:$F,"1-year School")</f>
        <v>1</v>
      </c>
      <c r="AD76" s="14">
        <f>COUNTIFS(RISK!$E:$E,"South",RISK!$F:$F,"Retention School")</f>
        <v>9</v>
      </c>
      <c r="AE76" s="14">
        <f t="shared" si="19"/>
        <v>12</v>
      </c>
    </row>
    <row r="77" spans="1:31">
      <c r="A77" s="38"/>
      <c r="B77" s="38"/>
      <c r="C77" s="38"/>
      <c r="AA77" s="14" t="s">
        <v>622</v>
      </c>
      <c r="AB77" s="14">
        <f>COUNTIFS(RISK!$E:$E,"West",RISK!$F:$F,"New School")</f>
        <v>10</v>
      </c>
      <c r="AC77" s="14">
        <f>COUNTIFS(RISK!$E:$E,"West",RISK!$F:$F,"1-year School")</f>
        <v>4</v>
      </c>
      <c r="AD77" s="14">
        <f>COUNTIFS(RISK!$E:$E,"West",RISK!$F:$F,"Retention School")</f>
        <v>3</v>
      </c>
      <c r="AE77" s="14">
        <f t="shared" si="19"/>
        <v>17</v>
      </c>
    </row>
    <row r="78" spans="1:31">
      <c r="A78" s="38"/>
      <c r="B78" s="38"/>
      <c r="C78" s="38"/>
    </row>
    <row r="79" spans="1:31">
      <c r="A79" s="38"/>
      <c r="B79" s="38"/>
      <c r="C79" s="42"/>
      <c r="S79" s="14" t="s">
        <v>0</v>
      </c>
      <c r="U79" s="14">
        <v>2025</v>
      </c>
      <c r="V79" s="14">
        <v>2026</v>
      </c>
    </row>
    <row r="80" spans="1:31">
      <c r="A80" s="38"/>
      <c r="B80" s="38"/>
      <c r="C80" s="38"/>
      <c r="R80" s="14" t="s">
        <v>26383</v>
      </c>
      <c r="S80" s="14" t="s">
        <v>337</v>
      </c>
      <c r="T80" s="14">
        <f>Z4</f>
        <v>80</v>
      </c>
      <c r="U80" s="14">
        <f>SUMIFS('2025'!$L:$L,'2025'!$A:$A,"New School",'2025'!$F:$F,"&gt;=0")</f>
        <v>37479082</v>
      </c>
      <c r="V80" s="14">
        <f>SUMIFS('2025'!F:F,'2025'!$A:$A,"New School",'2025'!$F:$F,"&gt;=0")</f>
        <v>49495675</v>
      </c>
      <c r="W80" s="41">
        <f>V80/U80</f>
        <v>1.3206213268510685</v>
      </c>
    </row>
    <row r="81" spans="1:29">
      <c r="A81" s="38"/>
      <c r="B81" s="38"/>
      <c r="C81" s="40"/>
      <c r="S81" s="14" t="s">
        <v>93</v>
      </c>
      <c r="T81" s="14">
        <f t="shared" ref="T81:T83" si="20">Z5</f>
        <v>29</v>
      </c>
      <c r="U81" s="14">
        <f>SUMIFS('2025'!L:L,'2025'!$A:$A,"1-year School",'2025'!$F:$F,"&gt;=0")</f>
        <v>24295330</v>
      </c>
      <c r="V81" s="14">
        <f>SUMIFS('2025'!F:F,'2025'!$A:$A,"1-year School",'2025'!$F:$F,"&gt;=0")</f>
        <v>20175752</v>
      </c>
      <c r="W81" s="41">
        <f t="shared" ref="W81:W84" si="21">V81/U81</f>
        <v>0.83043745444083283</v>
      </c>
    </row>
    <row r="82" spans="1:29">
      <c r="A82" s="38"/>
      <c r="B82" s="38"/>
      <c r="C82" s="38"/>
      <c r="S82" s="14" t="s">
        <v>149</v>
      </c>
      <c r="T82" s="14">
        <f t="shared" si="20"/>
        <v>136</v>
      </c>
      <c r="U82" s="14">
        <f>SUMIFS('2025'!L:L,'2025'!$A:$A,"Retention School",'2025'!$F:$F,"&gt;=0")</f>
        <v>164475774</v>
      </c>
      <c r="V82" s="14">
        <f>SUMIFS('2025'!F:F,'2025'!$A:$A,"Retention School",'2025'!$F:$F,"&gt;=0")+15000000</f>
        <v>176876210</v>
      </c>
      <c r="W82" s="41">
        <f t="shared" si="21"/>
        <v>1.0753936929337691</v>
      </c>
    </row>
    <row r="83" spans="1:29">
      <c r="A83" s="38"/>
      <c r="B83" s="38"/>
      <c r="C83" s="38"/>
      <c r="S83" s="14" t="s">
        <v>495</v>
      </c>
      <c r="T83" s="14">
        <f t="shared" si="20"/>
        <v>6</v>
      </c>
      <c r="U83" s="14">
        <f>SUMIFS('2025'!L:L,'2025'!$A:$A,"Key Account",'2025'!$F:$F,"&gt;=0")</f>
        <v>4322508</v>
      </c>
      <c r="V83" s="14">
        <f>SUMIFS('2025'!F:F,'2025'!$A:$A,"Key Account",'2025'!$F:$F,"&gt;=0")</f>
        <v>2654451</v>
      </c>
      <c r="W83" s="41">
        <f t="shared" si="21"/>
        <v>0.61409973098950887</v>
      </c>
    </row>
    <row r="84" spans="1:29">
      <c r="A84" s="38"/>
      <c r="B84" s="38"/>
      <c r="C84" s="38"/>
      <c r="S84" s="14" t="s">
        <v>23428</v>
      </c>
      <c r="T84" s="14">
        <f>SUM(T80:T83)</f>
        <v>251</v>
      </c>
      <c r="U84" s="14">
        <f>SUM(U80:U83)</f>
        <v>230572694</v>
      </c>
      <c r="V84" s="14">
        <f>SUM(V80:V83)</f>
        <v>249202088</v>
      </c>
      <c r="W84" s="41">
        <f t="shared" si="21"/>
        <v>1.0807961848249039</v>
      </c>
    </row>
    <row r="85" spans="1:29">
      <c r="A85" s="38"/>
      <c r="B85" s="38"/>
      <c r="C85" s="38"/>
      <c r="AC85" s="14">
        <v>1.1000000000000001</v>
      </c>
    </row>
    <row r="86" spans="1:29">
      <c r="A86" s="38"/>
      <c r="B86" s="38"/>
      <c r="C86" s="38"/>
      <c r="R86" s="14" t="s">
        <v>212</v>
      </c>
      <c r="S86" s="14" t="s">
        <v>0</v>
      </c>
      <c r="T86" s="14" t="s">
        <v>23398</v>
      </c>
      <c r="U86" s="14">
        <v>2025</v>
      </c>
      <c r="V86" s="14">
        <v>2026</v>
      </c>
      <c r="X86" s="14" t="s">
        <v>26638</v>
      </c>
      <c r="Y86" s="14" t="s">
        <v>26642</v>
      </c>
      <c r="Z86" s="14" t="s">
        <v>25652</v>
      </c>
      <c r="AA86" s="14" t="s">
        <v>26643</v>
      </c>
    </row>
    <row r="87" spans="1:29">
      <c r="A87" s="38"/>
      <c r="B87" s="38"/>
      <c r="C87" s="38"/>
      <c r="S87" s="14" t="s">
        <v>337</v>
      </c>
      <c r="T87" s="14">
        <f>COUNTIFS('2025'!$A:$A,"New School",'2025'!$F:$F,"&gt;=0",'2025'!$BE:$BE,"South")</f>
        <v>17</v>
      </c>
      <c r="U87" s="14">
        <f>SUMIFS('2025'!L:L,'2025'!$A:$A,"New School",'2025'!$F:$F,"&gt;=0",'2025'!$BE:$BE,"south")</f>
        <v>7934246</v>
      </c>
      <c r="V87" s="14">
        <f>SUMIFS('2025'!F:F,'2025'!$A:$A,"New School",'2025'!$F:$F,"&gt;=0",'2025'!$BE:$BE,"South")</f>
        <v>8821767</v>
      </c>
      <c r="W87" s="41">
        <f>V87/U87</f>
        <v>1.1118595264124655</v>
      </c>
      <c r="X87" s="14">
        <f>COUNTIFS('2025'!$A:$A,"New School",'2025'!$BE:$BE,"South")</f>
        <v>65</v>
      </c>
      <c r="Y87" s="14">
        <f>COUNTIFS('Drop &amp; Risk Analysis'!$C:$C,"Risk",'Drop &amp; Risk Analysis'!$A:$A,"New School",'Drop &amp; Risk Analysis'!$BF:$BF,"South")+COUNTIFS('Drop &amp; Risk Analysis'!$C:$C,"Drop",'Drop &amp; Risk Analysis'!$A:$A,"New School",'Drop &amp; Risk Analysis'!$BF:$BF,"South")</f>
        <v>6</v>
      </c>
      <c r="Z87" s="14">
        <f>X87-T87-Y87</f>
        <v>42</v>
      </c>
      <c r="AA87" s="14">
        <f>SUMIFS('2025'!$L:$L,'2025'!$A:$A,"New School",'2025'!$BE:$BE,"South")</f>
        <v>33148341</v>
      </c>
      <c r="AB87" s="14">
        <f>AA87-V87</f>
        <v>24326574</v>
      </c>
      <c r="AC87" s="14">
        <f>AC$85*AB87</f>
        <v>26759231.400000002</v>
      </c>
    </row>
    <row r="88" spans="1:29">
      <c r="A88" s="38"/>
      <c r="B88" s="38"/>
      <c r="C88" s="38"/>
      <c r="S88" s="14" t="s">
        <v>93</v>
      </c>
      <c r="T88" s="14">
        <f>COUNTIFS('2025'!$A:$A,"1-year School",'2025'!$F:$F,"&gt;=0",'2025'!$BE:$BE,"South")</f>
        <v>6</v>
      </c>
      <c r="U88" s="14">
        <f>SUMIFS('2025'!L:L,'2025'!$A:$A,"1-year School",'2025'!$F:$F,"&gt;=0",'2025'!$BE:$BE,"south")</f>
        <v>3656194</v>
      </c>
      <c r="V88" s="14">
        <f>SUMIFS('2025'!F:F,'2025'!$A:$A,"1-year School",'2025'!$F:$F,"&gt;=0",'2025'!$BE:$BE,"South")</f>
        <v>4793880</v>
      </c>
      <c r="W88" s="41">
        <f t="shared" ref="W88:W91" si="22">V88/U88</f>
        <v>1.3111667488103749</v>
      </c>
      <c r="X88" s="14">
        <f>COUNTIFS('2025'!$A:$A,"1-year School",'2025'!$BE:$BE,"South")</f>
        <v>23</v>
      </c>
      <c r="Y88" s="14">
        <f>COUNTIFS('Drop &amp; Risk Analysis'!$C:$C,"Risk",'Drop &amp; Risk Analysis'!$A:$A,"1-year School",'Drop &amp; Risk Analysis'!$BF:$BF,"South")+COUNTIFS('Drop &amp; Risk Analysis'!$C:$C,"Drop",'Drop &amp; Risk Analysis'!$A:$A,"1-year School",'Drop &amp; Risk Analysis'!$BF:$BF,"South")</f>
        <v>4</v>
      </c>
      <c r="Z88" s="14">
        <f t="shared" ref="Z88:Z91" si="23">X88-T88-Y88</f>
        <v>13</v>
      </c>
      <c r="AA88" s="14">
        <f>SUMIFS('2025'!$L:$L,'2025'!$A:$A,"1-year School",'2025'!$BE:$BE,"South")</f>
        <v>10348967</v>
      </c>
      <c r="AB88" s="14">
        <f t="shared" ref="AB88:AB90" si="24">AA88-V88</f>
        <v>5555087</v>
      </c>
      <c r="AC88" s="14">
        <f t="shared" ref="AC88:AC90" si="25">AC$85*AB88</f>
        <v>6110595.7000000002</v>
      </c>
    </row>
    <row r="89" spans="1:29">
      <c r="A89" s="38"/>
      <c r="B89" s="38"/>
      <c r="C89" s="40"/>
      <c r="S89" s="14" t="s">
        <v>149</v>
      </c>
      <c r="T89" s="14">
        <f>COUNTIFS('2025'!$A:$A,"Retention School",'2025'!$F:$F,"&gt;=0",'2025'!$BE:$BE,"South")</f>
        <v>40</v>
      </c>
      <c r="U89" s="14">
        <f>SUMIFS('2025'!L:L,'2025'!$A:$A,"Retention School",'2025'!$F:$F,"&gt;=0",'2025'!$BE:$BE,"south")</f>
        <v>42196225</v>
      </c>
      <c r="V89" s="14">
        <f>SUMIFS('2025'!F:F,'2025'!$A:$A,"Retention School",'2025'!$F:$F,"&gt;=0",'2025'!$BE:$BE,"South")+15000000</f>
        <v>48969466</v>
      </c>
      <c r="W89" s="41">
        <f t="shared" si="22"/>
        <v>1.1605177003393077</v>
      </c>
      <c r="X89" s="14">
        <f>COUNTIFS('2025'!$A:$A,"Retention School",'2025'!$BE:$BE,"South")</f>
        <v>109</v>
      </c>
      <c r="Y89" s="14">
        <f>COUNTIFS('Drop &amp; Risk Analysis'!$C:$C,"Risk",'Drop &amp; Risk Analysis'!$A:$A,"Retention School",'Drop &amp; Risk Analysis'!$BF:$BF,"South")+COUNTIFS('Drop &amp; Risk Analysis'!$C:$C,"Drop",'Drop &amp; Risk Analysis'!$A:$A,"New School",'Drop &amp; Risk Analysis'!$BF:$BF,"South")</f>
        <v>7</v>
      </c>
      <c r="Z89" s="14">
        <f t="shared" si="23"/>
        <v>62</v>
      </c>
      <c r="AA89" s="14">
        <f>SUMIFS('2025'!$L:$L,'2025'!$A:$A,"Retention School",'2025'!$BE:$BE,"South")</f>
        <v>106189877</v>
      </c>
      <c r="AB89" s="14">
        <f t="shared" si="24"/>
        <v>57220411</v>
      </c>
      <c r="AC89" s="14">
        <f t="shared" si="25"/>
        <v>62942452.100000001</v>
      </c>
    </row>
    <row r="90" spans="1:29">
      <c r="A90" s="38"/>
      <c r="B90" s="38"/>
      <c r="C90" s="40"/>
      <c r="S90" s="14" t="s">
        <v>495</v>
      </c>
      <c r="T90" s="14">
        <f>COUNTIFS('2025'!$A:$A,"Key Account",'2025'!$F:$F,"&gt;=0",'2025'!$BE:$BE,"South")</f>
        <v>1</v>
      </c>
      <c r="U90" s="14">
        <f>SUMIFS('2025'!L:L,'2025'!$A:$A,"Key Account",'2025'!$F:$F,"&gt;=0",'2025'!$BE:$BE,"south")</f>
        <v>579460</v>
      </c>
      <c r="V90" s="14">
        <f>SUMIFS('2025'!F:F,'2025'!$A:$A,"Key Account",'2025'!$F:$F,"&gt;=0",'2025'!$BE:$BE,"South")</f>
        <v>286260</v>
      </c>
      <c r="W90" s="41">
        <f t="shared" si="22"/>
        <v>0.49401166603389363</v>
      </c>
      <c r="X90" s="14">
        <f>COUNTIFS('2025'!$A:$A,"Key Account",'2025'!$BE:$BE,"South")</f>
        <v>4</v>
      </c>
      <c r="Y90" s="14">
        <f>COUNTIFS('Drop &amp; Risk Analysis'!$C:$C,"Risk",'Drop &amp; Risk Analysis'!$A:$A,"Key account",'Drop &amp; Risk Analysis'!$BF:$BF,"South")+COUNTIFS('Drop &amp; Risk Analysis'!$C:$C,"Drop",'Drop &amp; Risk Analysis'!$A:$A,"Key Account",'Drop &amp; Risk Analysis'!$BF:$BF,"South")</f>
        <v>1</v>
      </c>
      <c r="Z90" s="14">
        <f t="shared" si="23"/>
        <v>2</v>
      </c>
      <c r="AA90" s="14">
        <f>SUMIFS('2025'!$L:$L,'2025'!$A:$A,"Key Account",'2025'!$BE:$BE,"South")</f>
        <v>1550270</v>
      </c>
      <c r="AB90" s="14">
        <f t="shared" si="24"/>
        <v>1264010</v>
      </c>
      <c r="AC90" s="14">
        <f t="shared" si="25"/>
        <v>1390411</v>
      </c>
    </row>
    <row r="91" spans="1:29">
      <c r="A91" s="38"/>
      <c r="B91" s="38"/>
      <c r="C91" s="38"/>
      <c r="S91" s="14" t="s">
        <v>23428</v>
      </c>
      <c r="T91" s="14">
        <f>SUM(T87:T90)</f>
        <v>64</v>
      </c>
      <c r="U91" s="14">
        <f>SUM(U87:U90)</f>
        <v>54366125</v>
      </c>
      <c r="V91" s="14">
        <f>SUM(V87:V90)</f>
        <v>62871373</v>
      </c>
      <c r="W91" s="41">
        <f t="shared" si="22"/>
        <v>1.1564438885427277</v>
      </c>
      <c r="X91" s="14">
        <f>SUM(X87:X90)</f>
        <v>201</v>
      </c>
      <c r="Y91" s="14">
        <f>SUM(Y87:Y90)</f>
        <v>18</v>
      </c>
      <c r="Z91" s="14">
        <f t="shared" si="23"/>
        <v>119</v>
      </c>
      <c r="AA91" s="14">
        <f>SUM(AA87:AA90)</f>
        <v>151237455</v>
      </c>
      <c r="AB91" s="14">
        <f>SUM(AB87:AB90)</f>
        <v>88366082</v>
      </c>
      <c r="AC91" s="14">
        <f>SUM(AC87:AC90)</f>
        <v>97202690.200000003</v>
      </c>
    </row>
    <row r="92" spans="1:29">
      <c r="A92" s="38"/>
      <c r="B92" s="38"/>
      <c r="C92" s="38"/>
    </row>
    <row r="93" spans="1:29">
      <c r="A93" s="38"/>
      <c r="B93" s="38"/>
      <c r="C93" s="38"/>
      <c r="R93" s="14" t="s">
        <v>122</v>
      </c>
      <c r="S93" s="14" t="s">
        <v>0</v>
      </c>
      <c r="U93" s="14">
        <v>2025</v>
      </c>
      <c r="V93" s="14">
        <v>2026</v>
      </c>
    </row>
    <row r="94" spans="1:29">
      <c r="A94" s="38"/>
      <c r="B94" s="38"/>
      <c r="C94" s="42"/>
      <c r="S94" s="14" t="s">
        <v>337</v>
      </c>
      <c r="T94" s="14">
        <f>COUNTIFS('2025'!$A:$A,"New School",'2025'!$F:$F,"&gt;=0",'2025'!$BE:$BE,"North")</f>
        <v>21</v>
      </c>
      <c r="U94" s="14">
        <f>SUMIFS('2025'!L:L,'2025'!$A:$A,"New School",'2025'!$F:$F,"&gt;=0",'2025'!BE:BE,"North")</f>
        <v>11090948</v>
      </c>
      <c r="V94" s="14">
        <f>SUMIFS('2025'!F:F,'2025'!$A:$A,"New School",'2025'!$F:$F,"&gt;=0",'2025'!$BE:$BE,"North")</f>
        <v>11649317</v>
      </c>
      <c r="W94" s="41">
        <f>V94/U94</f>
        <v>1.0503445692829865</v>
      </c>
      <c r="X94" s="14">
        <f>COUNTIFS('2025'!$A:$A,"New School",'2025'!$BE:$BE,"North")</f>
        <v>66</v>
      </c>
      <c r="Y94" s="14">
        <f>COUNTIFS('Drop &amp; Risk Analysis'!$C:$C,"Risk",'Drop &amp; Risk Analysis'!$A:$A,"New School",'Drop &amp; Risk Analysis'!$BF:$BF,"North")+COUNTIFS('Drop &amp; Risk Analysis'!$C:$C,"Drop",'Drop &amp; Risk Analysis'!$A:$A,"New School",'Drop &amp; Risk Analysis'!$BF:$BF,"North")</f>
        <v>13</v>
      </c>
      <c r="Z94" s="14">
        <f>X94-T94-Y94</f>
        <v>32</v>
      </c>
      <c r="AA94" s="14">
        <f>SUMIFS('2025'!$L:$L,'2025'!$A:$A,"New School",'2025'!$BE:$BE,"North")</f>
        <v>40357025</v>
      </c>
      <c r="AB94" s="14">
        <f>AA94-V94</f>
        <v>28707708</v>
      </c>
      <c r="AC94" s="14">
        <f>AC$85*AB94</f>
        <v>31578478.800000001</v>
      </c>
    </row>
    <row r="95" spans="1:29">
      <c r="A95" s="38"/>
      <c r="B95" s="38"/>
      <c r="C95" s="38"/>
      <c r="S95" s="14" t="s">
        <v>93</v>
      </c>
      <c r="T95" s="14">
        <f>COUNTIFS('2025'!$A:$A,"1-year School",'2025'!$F:$F,"&gt;=0",'2025'!$BE:$BE,"North")</f>
        <v>10</v>
      </c>
      <c r="U95" s="14">
        <f>SUMIFS('2025'!L:L,'2025'!$A:$A,"1-year School",'2025'!$F:$F,"&gt;=0",'2025'!BE:BE,"North")</f>
        <v>12026434</v>
      </c>
      <c r="V95" s="14">
        <f>SUMIFS('2025'!F:F,'2025'!$A:$A,"1-year School",'2025'!$F:$F,"&gt;=0",'2025'!$BE:$BE,"North")</f>
        <v>8051220</v>
      </c>
      <c r="W95" s="41">
        <f t="shared" ref="W95:W98" si="26">V95/U95</f>
        <v>0.66946029055661882</v>
      </c>
      <c r="X95" s="14">
        <f>COUNTIFS('2025'!$A:$A,"1-year School",'2025'!$BE:$BE,"North")</f>
        <v>38</v>
      </c>
      <c r="Y95" s="14">
        <f>COUNTIFS('Drop &amp; Risk Analysis'!$C:$C,"Risk",'Drop &amp; Risk Analysis'!$A:$A,"1-year School",'Drop &amp; Risk Analysis'!$BF:$BF,"North")+COUNTIFS('Drop &amp; Risk Analysis'!$C:$C,"Drop",'Drop &amp; Risk Analysis'!$A:$A,"1-year School",'Drop &amp; Risk Analysis'!$BF:$BF,"North")</f>
        <v>5</v>
      </c>
      <c r="Z95" s="14">
        <f t="shared" ref="Z95:Z98" si="27">X95-T95-Y95</f>
        <v>23</v>
      </c>
      <c r="AA95" s="14">
        <f>SUMIFS('2025'!$L:$L,'2025'!$A:$A,"1-year School",'2025'!$BE:$BE,"North")</f>
        <v>22373680</v>
      </c>
      <c r="AB95" s="14">
        <f t="shared" ref="AB95:AB97" si="28">AA95-V95</f>
        <v>14322460</v>
      </c>
      <c r="AC95" s="14">
        <f t="shared" ref="AC95:AC97" si="29">AC$85*AB95</f>
        <v>15754706.000000002</v>
      </c>
    </row>
    <row r="96" spans="1:29">
      <c r="A96" s="38"/>
      <c r="B96" s="38"/>
      <c r="C96" s="38"/>
      <c r="S96" s="14" t="s">
        <v>149</v>
      </c>
      <c r="T96" s="14">
        <f>COUNTIFS('2025'!$A:$A,"Retention School",'2025'!$F:$F,"&gt;=0",'2025'!$BE:$BE,"North")</f>
        <v>49</v>
      </c>
      <c r="U96" s="14">
        <f>SUMIFS('2025'!L:L,'2025'!$A:$A,"Retention School",'2025'!$F:$F,"&gt;=0",'2025'!BE:BE,"North")</f>
        <v>57637655</v>
      </c>
      <c r="V96" s="14">
        <f>SUMIFS('2025'!F:F,'2025'!$A:$A,"Retention School",'2025'!$F:$F,"&gt;=0",'2025'!$BE:$BE,"North")</f>
        <v>64096979</v>
      </c>
      <c r="W96" s="41">
        <f t="shared" si="26"/>
        <v>1.1120677793015694</v>
      </c>
      <c r="X96" s="14">
        <f>COUNTIFS('2025'!$A:$A,"Retention School",'2025'!$BE:$BE,"North")</f>
        <v>97</v>
      </c>
      <c r="Y96" s="14">
        <f>COUNTIFS('Drop &amp; Risk Analysis'!$C:$C,"Risk",'Drop &amp; Risk Analysis'!$A:$A,"Retention School",'Drop &amp; Risk Analysis'!$BF:$BF,"North")+COUNTIFS('Drop &amp; Risk Analysis'!$C:$C,"Drop",'Drop &amp; Risk Analysis'!$A:$A,"New School",'Drop &amp; Risk Analysis'!$BF:$BF,"North")</f>
        <v>13</v>
      </c>
      <c r="Z96" s="14">
        <f t="shared" si="27"/>
        <v>35</v>
      </c>
      <c r="AA96" s="14">
        <f>SUMIFS('2025'!$L:$L,'2025'!$A:$A,"Retention School",'2025'!$BE:$BE,"North")</f>
        <v>82341133</v>
      </c>
      <c r="AB96" s="14">
        <f t="shared" si="28"/>
        <v>18244154</v>
      </c>
      <c r="AC96" s="14">
        <f t="shared" si="29"/>
        <v>20068569.400000002</v>
      </c>
    </row>
    <row r="97" spans="1:29">
      <c r="A97" s="38"/>
      <c r="B97" s="38"/>
      <c r="C97" s="38"/>
      <c r="S97" s="14" t="s">
        <v>495</v>
      </c>
      <c r="T97" s="14">
        <f>COUNTIFS('2025'!$A:$A,"Key Account",'2025'!$F:$F,"&gt;=0",'2025'!$BE:$BE,"North")</f>
        <v>0</v>
      </c>
      <c r="U97" s="14">
        <f>SUMIFS('2025'!L:L,'2025'!$A:$A,"Key Account",'2025'!$F:$F,"&gt;=0",'2025'!BE:BE,"North")</f>
        <v>0</v>
      </c>
      <c r="V97" s="14">
        <f>SUMIFS('2025'!F:F,'2025'!$A:$A,"Key Account",'2025'!$F:$F,"&gt;=0",'2025'!$BE:$BE,"North")</f>
        <v>0</v>
      </c>
      <c r="W97" s="41" t="e">
        <f t="shared" si="26"/>
        <v>#DIV/0!</v>
      </c>
      <c r="X97" s="14">
        <f>COUNTIFS('2025'!$A:$A,"Key Account",'2025'!$BE:$BE,"North")</f>
        <v>0</v>
      </c>
      <c r="Y97" s="14">
        <f>COUNTIFS('Drop &amp; Risk Analysis'!$C:$C,"Risk",'Drop &amp; Risk Analysis'!$A:$A,"Key account",'Drop &amp; Risk Analysis'!$BF:$BF,"North")+COUNTIFS('Drop &amp; Risk Analysis'!$C:$C,"Drop",'Drop &amp; Risk Analysis'!$A:$A,"Key Account",'Drop &amp; Risk Analysis'!$BF:$BF,"North")</f>
        <v>0</v>
      </c>
      <c r="Z97" s="14">
        <f t="shared" si="27"/>
        <v>0</v>
      </c>
      <c r="AA97" s="14">
        <f>SUMIFS('2025'!$L:$L,'2025'!$A:$A,"Key Account",'2025'!$BE:$BE,"North")</f>
        <v>0</v>
      </c>
      <c r="AB97" s="14">
        <f t="shared" si="28"/>
        <v>0</v>
      </c>
      <c r="AC97" s="14">
        <f t="shared" si="29"/>
        <v>0</v>
      </c>
    </row>
    <row r="98" spans="1:29">
      <c r="A98" s="38"/>
      <c r="B98" s="43"/>
      <c r="C98" s="43"/>
      <c r="D98" s="43"/>
      <c r="E98" s="43"/>
      <c r="S98" s="14" t="s">
        <v>23428</v>
      </c>
      <c r="T98" s="14">
        <f>SUM(T94:T97)</f>
        <v>80</v>
      </c>
      <c r="U98" s="14">
        <f>SUM(U94:U97)</f>
        <v>80755037</v>
      </c>
      <c r="V98" s="14">
        <f>SUM(V94:V97)</f>
        <v>83797516</v>
      </c>
      <c r="W98" s="41">
        <f t="shared" si="26"/>
        <v>1.0376754084082707</v>
      </c>
      <c r="X98" s="14">
        <f>SUM(X94:X97)</f>
        <v>201</v>
      </c>
      <c r="Y98" s="14">
        <f>SUM(Y94:Y97)</f>
        <v>31</v>
      </c>
      <c r="Z98" s="14">
        <f t="shared" si="27"/>
        <v>90</v>
      </c>
      <c r="AA98" s="14">
        <f>SUM(AA94:AA97)</f>
        <v>145071838</v>
      </c>
      <c r="AB98" s="14">
        <f t="shared" ref="AB98:AC98" si="30">SUM(AB94:AB97)</f>
        <v>61274322</v>
      </c>
      <c r="AC98" s="14">
        <f t="shared" si="30"/>
        <v>67401754.200000003</v>
      </c>
    </row>
    <row r="99" spans="1:29">
      <c r="A99" s="38"/>
    </row>
    <row r="100" spans="1:29">
      <c r="A100" s="38"/>
      <c r="R100" s="14" t="s">
        <v>622</v>
      </c>
      <c r="S100" s="14" t="s">
        <v>0</v>
      </c>
      <c r="T100" s="14" t="s">
        <v>23398</v>
      </c>
      <c r="U100" s="14">
        <v>2025</v>
      </c>
      <c r="V100" s="14">
        <v>2026</v>
      </c>
      <c r="X100" s="14" t="s">
        <v>25652</v>
      </c>
    </row>
    <row r="101" spans="1:29">
      <c r="A101" s="38"/>
      <c r="S101" s="14" t="s">
        <v>337</v>
      </c>
      <c r="T101" s="14">
        <f>COUNTIFS('2025'!$A:$A,"New School",'2025'!$F:$F,"&gt;=0",'2025'!$BE:$BE,"West")</f>
        <v>15</v>
      </c>
      <c r="U101" s="14">
        <f>SUMIFS('2025'!L:L,'2025'!$A:$A,"New School",'2025'!$F:$F,"&gt;=0",'2025'!BE:BE,"West")</f>
        <v>5613849</v>
      </c>
      <c r="V101" s="14">
        <f>SUMIFS('2025'!F:F,'2025'!$A:$A,"New School",'2025'!$F:$F,"&gt;=0",'2025'!$BE:$BE,"West")</f>
        <v>7773884</v>
      </c>
      <c r="W101" s="41">
        <f>V101/U101</f>
        <v>1.384768988264558</v>
      </c>
      <c r="X101" s="14">
        <f>COUNTIFS('2025'!$A:$A,"New School",'2025'!$BE:$BE,"West")</f>
        <v>46</v>
      </c>
      <c r="Y101" s="14">
        <f>COUNTIFS('Drop &amp; Risk Analysis'!$C:$C,"Risk",'Drop &amp; Risk Analysis'!$A:$A,"New School",'Drop &amp; Risk Analysis'!$BF:$BF,"West")+COUNTIFS('Drop &amp; Risk Analysis'!$C:$C,"Drop",'Drop &amp; Risk Analysis'!$A:$A,"New School",'Drop &amp; Risk Analysis'!$BF:$BF,"West")</f>
        <v>12</v>
      </c>
      <c r="Z101" s="14">
        <f>X101-T101-Y101</f>
        <v>19</v>
      </c>
      <c r="AA101" s="14">
        <f>SUMIFS('2025'!$L:$L,'2025'!$A:$A,"New School",'2025'!$BE:$BE,"West")</f>
        <v>14461295</v>
      </c>
      <c r="AB101" s="14">
        <f>AA101-V101</f>
        <v>6687411</v>
      </c>
      <c r="AC101" s="14">
        <f>AC$85*AB101</f>
        <v>7356152.1000000006</v>
      </c>
    </row>
    <row r="102" spans="1:29">
      <c r="A102" s="38"/>
      <c r="S102" s="14" t="s">
        <v>93</v>
      </c>
      <c r="T102" s="14">
        <f>COUNTIFS('2025'!$A:$A,"1-year School",'2025'!$F:$F,"&gt;=0",'2025'!$BE:$BE,"West")</f>
        <v>5</v>
      </c>
      <c r="U102" s="14">
        <f>SUMIFS('2025'!L:L,'2025'!$A:$A,"1-year School",'2025'!$F:$F,"&gt;=0",'2025'!BE:BE,"West")</f>
        <v>4457340</v>
      </c>
      <c r="V102" s="14">
        <f>SUMIFS('2025'!F:F,'2025'!$A:$A,"1-year School",'2025'!$F:$F,"&gt;=0",'2025'!$BE:$BE,"West")</f>
        <v>3087756</v>
      </c>
      <c r="W102" s="41">
        <f t="shared" ref="W102:W105" si="31">V102/U102</f>
        <v>0.69273512902313938</v>
      </c>
      <c r="X102" s="14">
        <f>COUNTIFS('2025'!$A:$A,"1-year School",'2025'!$BE:$BE,"West")</f>
        <v>27</v>
      </c>
      <c r="Y102" s="14">
        <f>COUNTIFS('Drop &amp; Risk Analysis'!$C:$C,"Risk",'Drop &amp; Risk Analysis'!$A:$A,"1-year School",'Drop &amp; Risk Analysis'!$BF:$BF,"West")+COUNTIFS('Drop &amp; Risk Analysis'!$C:$C,"Drop",'Drop &amp; Risk Analysis'!$A:$A,"1-year School",'Drop &amp; Risk Analysis'!$BF:$BF,"West")</f>
        <v>8</v>
      </c>
      <c r="Z102" s="14">
        <f t="shared" ref="Z102:Z104" si="32">X102-T102-Y102</f>
        <v>14</v>
      </c>
      <c r="AA102" s="14">
        <f>SUMIFS('2025'!$L:$L,'2025'!$A:$A,"1-year School",'2025'!$BE:$BE,"West")</f>
        <v>18661204</v>
      </c>
      <c r="AB102" s="14">
        <f t="shared" ref="AB102:AB104" si="33">AA102-V102</f>
        <v>15573448</v>
      </c>
      <c r="AC102" s="14">
        <f t="shared" ref="AC102:AC104" si="34">AC$85*AB102</f>
        <v>17130792.800000001</v>
      </c>
    </row>
    <row r="103" spans="1:29">
      <c r="A103" s="38"/>
      <c r="S103" s="14" t="s">
        <v>149</v>
      </c>
      <c r="T103" s="14">
        <f>COUNTIFS('2025'!$A:$A,"Retention School",'2025'!$F:$F,"&gt;=0",'2025'!$BE:$BE,"West")</f>
        <v>22</v>
      </c>
      <c r="U103" s="14">
        <f>SUMIFS('2025'!L:L,'2025'!$A:$A,"Retention School",'2025'!$F:$F,"&gt;=0",'2025'!BE:BE,"West")</f>
        <v>24989254</v>
      </c>
      <c r="V103" s="14">
        <f>SUMIFS('2025'!F:F,'2025'!$A:$A,"Retention School",'2025'!$F:$F,"&gt;=0",'2025'!$BE:$BE,"West")</f>
        <v>25240739</v>
      </c>
      <c r="W103" s="41">
        <f t="shared" si="31"/>
        <v>1.0100637257918943</v>
      </c>
      <c r="X103" s="14">
        <f>COUNTIFS('2025'!$A:$A,"Retention School",'2025'!$BE:$BE,"West")</f>
        <v>53</v>
      </c>
      <c r="Y103" s="14">
        <f>COUNTIFS('Drop &amp; Risk Analysis'!$C:$C,"Risk",'Drop &amp; Risk Analysis'!$A:$A,"Retention School",'Drop &amp; Risk Analysis'!$BF:$BF,"West")+COUNTIFS('Drop &amp; Risk Analysis'!$C:$C,"Drop",'Drop &amp; Risk Analysis'!$A:$A,"New School",'Drop &amp; Risk Analysis'!$BF:$BF,"West")</f>
        <v>5</v>
      </c>
      <c r="Z103" s="14">
        <f t="shared" si="32"/>
        <v>26</v>
      </c>
      <c r="AA103" s="14">
        <f>SUMIFS('2025'!$L:$L,'2025'!$A:$A,"Retention School",'2025'!$BE:$BE,"West")</f>
        <v>47711141</v>
      </c>
      <c r="AB103" s="14">
        <f t="shared" si="33"/>
        <v>22470402</v>
      </c>
      <c r="AC103" s="14">
        <f t="shared" si="34"/>
        <v>24717442.200000003</v>
      </c>
    </row>
    <row r="104" spans="1:29">
      <c r="A104" s="38"/>
      <c r="S104" s="14" t="s">
        <v>495</v>
      </c>
      <c r="T104" s="14">
        <f>COUNTIFS('2025'!$A:$A,"Key Account",'2025'!$F:$F,"&gt;=0",'2025'!$BE:$BE,"West")</f>
        <v>5</v>
      </c>
      <c r="U104" s="14">
        <f>SUMIFS('2025'!L:L,'2025'!$A:$A,"Key Account",'2025'!$F:$F,"&gt;=0",'2025'!BE:BE,"West")</f>
        <v>3743048</v>
      </c>
      <c r="V104" s="14">
        <f>SUMIFS('2025'!F:F,'2025'!$A:$A,"Key Account",'2025'!$F:$F,"&gt;=0",'2025'!$BE:$BE,"West")</f>
        <v>2368191</v>
      </c>
      <c r="W104" s="41">
        <f t="shared" si="31"/>
        <v>0.63269052387252311</v>
      </c>
      <c r="X104" s="14">
        <f>COUNTIFS('2025'!$A:$A,"Key Account",'2025'!$BE:$BE,"West")</f>
        <v>13</v>
      </c>
      <c r="Y104" s="14">
        <f>COUNTIFS('Drop &amp; Risk Analysis'!$C:$C,"Risk",'Drop &amp; Risk Analysis'!$A:$A,"Key account",'Drop &amp; Risk Analysis'!$BF:$BF,"West")+COUNTIFS('Drop &amp; Risk Analysis'!$C:$C,"Drop",'Drop &amp; Risk Analysis'!$A:$A,"Key Account",'Drop &amp; Risk Analysis'!$BF:$BF,"West")</f>
        <v>0</v>
      </c>
      <c r="Z104" s="14">
        <f t="shared" si="32"/>
        <v>8</v>
      </c>
      <c r="AA104" s="14">
        <f>SUMIFS('2025'!$L:$L,'2025'!$A:$A,"Key Account",'2025'!$BE:$BE,"West")</f>
        <v>19472133</v>
      </c>
      <c r="AB104" s="14">
        <f t="shared" si="33"/>
        <v>17103942</v>
      </c>
      <c r="AC104" s="14">
        <f t="shared" si="34"/>
        <v>18814336.200000003</v>
      </c>
    </row>
    <row r="105" spans="1:29">
      <c r="A105" s="38"/>
      <c r="S105" s="14" t="s">
        <v>23428</v>
      </c>
      <c r="T105" s="14">
        <f>SUM(T101:T104)</f>
        <v>47</v>
      </c>
      <c r="U105" s="14">
        <f>SUM(U101:U104)</f>
        <v>38803491</v>
      </c>
      <c r="V105" s="14">
        <f>SUM(V101:V104)</f>
        <v>38470570</v>
      </c>
      <c r="W105" s="41">
        <f t="shared" si="31"/>
        <v>0.99142033380450223</v>
      </c>
      <c r="X105" s="14">
        <f>SUM(X101:X104)</f>
        <v>139</v>
      </c>
      <c r="Y105" s="14">
        <f t="shared" ref="Y105:Z105" si="35">SUM(Y101:Y104)</f>
        <v>25</v>
      </c>
      <c r="Z105" s="14">
        <f t="shared" si="35"/>
        <v>67</v>
      </c>
      <c r="AA105" s="14">
        <f>SUM(AA101:AA104)</f>
        <v>100305773</v>
      </c>
      <c r="AB105" s="14">
        <f t="shared" ref="AB105:AC105" si="36">SUM(AB101:AB104)</f>
        <v>61835203</v>
      </c>
      <c r="AC105" s="14">
        <f t="shared" si="36"/>
        <v>68018723.300000012</v>
      </c>
    </row>
    <row r="106" spans="1:29">
      <c r="A106" s="38"/>
    </row>
    <row r="107" spans="1:29">
      <c r="A107" s="38"/>
      <c r="R107" s="14" t="s">
        <v>174</v>
      </c>
      <c r="S107" s="14" t="s">
        <v>0</v>
      </c>
      <c r="U107" s="14">
        <v>2025</v>
      </c>
      <c r="V107" s="14">
        <v>2026</v>
      </c>
    </row>
    <row r="108" spans="1:29">
      <c r="A108" s="38"/>
      <c r="S108" s="14" t="s">
        <v>337</v>
      </c>
      <c r="T108" s="14">
        <f>COUNTIFS('2025'!$A:$A,"New School",'2025'!$F:$F,"&gt;=0",'2025'!$BE:$BE,"East")</f>
        <v>27</v>
      </c>
      <c r="U108" s="14">
        <f>SUMIFS('2025'!L:L,'2025'!$A:$A,"New School",'2025'!$F:$F,"&gt;=0",'2025'!BE:BE,"East")</f>
        <v>12840039</v>
      </c>
      <c r="V108" s="14">
        <f>SUMIFS('2025'!F:F,'2025'!$A:$A,"New School",'2025'!$F:$F,"&gt;=0",'2025'!$BE:$BE,"East")</f>
        <v>21250707</v>
      </c>
      <c r="W108" s="41">
        <f>V108/U108</f>
        <v>1.6550344590074844</v>
      </c>
      <c r="X108" s="14">
        <f>COUNTIFS('2025'!$A:$A,"New School",'2025'!$BE:$BE,"East")</f>
        <v>50</v>
      </c>
      <c r="Y108" s="14">
        <f>COUNTIFS('Drop &amp; Risk Analysis'!$C:$C,"Risk",'Drop &amp; Risk Analysis'!$A:$A,"New School",'Drop &amp; Risk Analysis'!$BF:$BF,"East")+COUNTIFS('Drop &amp; Risk Analysis'!$C:$C,"Drop",'Drop &amp; Risk Analysis'!$A:$A,"New School",'Drop &amp; Risk Analysis'!$BF:$BF,"East")</f>
        <v>9</v>
      </c>
      <c r="Z108" s="14">
        <f>X108-T108-Y108</f>
        <v>14</v>
      </c>
      <c r="AA108" s="14">
        <f>SUMIFS('2025'!$L:$L,'2025'!$A:$A,"New School",'2025'!$BE:$BE,"East")</f>
        <v>21193678</v>
      </c>
      <c r="AB108" s="14">
        <f>AA108-V108</f>
        <v>-57029</v>
      </c>
      <c r="AC108" s="14">
        <f>AC$85*AB108</f>
        <v>-62731.9</v>
      </c>
    </row>
    <row r="109" spans="1:29">
      <c r="A109" s="38"/>
      <c r="S109" s="14" t="s">
        <v>93</v>
      </c>
      <c r="T109" s="14">
        <f>COUNTIFS('2025'!$A:$A,"1-year School",'2025'!$F:$F,"&gt;=0",'2025'!$BE:$BE,"East")</f>
        <v>8</v>
      </c>
      <c r="U109" s="14">
        <f>SUMIFS('2025'!L:L,'2025'!$A:$A,"1-year School",'2025'!$F:$F,"&gt;=0",'2025'!BE:BE,"East")</f>
        <v>4155362</v>
      </c>
      <c r="V109" s="14">
        <f>SUMIFS('2025'!F:F,'2025'!$A:$A,"1-year School",'2025'!$F:$F,"&gt;=0",'2025'!$BE:$BE,"East")</f>
        <v>4242896</v>
      </c>
      <c r="W109" s="41">
        <f t="shared" ref="W109:W112" si="37">V109/U109</f>
        <v>1.0210653127212503</v>
      </c>
      <c r="X109" s="14">
        <f>COUNTIFS('2025'!$A:$A,"1-year School",'2025'!$BE:$BE,"East")</f>
        <v>13</v>
      </c>
      <c r="Y109" s="14">
        <f>COUNTIFS('Drop &amp; Risk Analysis'!$C:$C,"Risk",'Drop &amp; Risk Analysis'!$A:$A,"1-year School",'Drop &amp; Risk Analysis'!$BF:$BF,"East")+COUNTIFS('Drop &amp; Risk Analysis'!$C:$C,"Drop",'Drop &amp; Risk Analysis'!$A:$A,"1-year School",'Drop &amp; Risk Analysis'!$BF:$BF,"East")</f>
        <v>3</v>
      </c>
      <c r="Z109" s="14">
        <f t="shared" ref="Z109:Z111" si="38">X109-T109-Y109</f>
        <v>2</v>
      </c>
      <c r="AA109" s="14">
        <f>SUMIFS('2025'!$L:$L,'2025'!$A:$A,"1-year School",'2025'!$BE:$BE,"East")</f>
        <v>7855453</v>
      </c>
      <c r="AB109" s="14">
        <f t="shared" ref="AB109:AB111" si="39">AA109-V109</f>
        <v>3612557</v>
      </c>
      <c r="AC109" s="14">
        <f t="shared" ref="AC109:AC111" si="40">AC$85*AB109</f>
        <v>3973812.7</v>
      </c>
    </row>
    <row r="110" spans="1:29">
      <c r="A110" s="38"/>
      <c r="S110" s="14" t="s">
        <v>149</v>
      </c>
      <c r="T110" s="14">
        <f>COUNTIFS('2025'!$A:$A,"Retention School",'2025'!$F:$F,"&gt;=0",'2025'!$BE:$BE,"East")</f>
        <v>25</v>
      </c>
      <c r="U110" s="14">
        <f>SUMIFS('2025'!L:L,'2025'!$A:$A,"Retention School",'2025'!$F:$F,"&gt;=0",'2025'!BE:BE,"East")</f>
        <v>39652640</v>
      </c>
      <c r="V110" s="14">
        <f>SUMIFS('2025'!F:F,'2025'!$A:$A,"Retention School",'2025'!$F:$F,"&gt;=0",'2025'!$BE:$BE,"East")</f>
        <v>38569026</v>
      </c>
      <c r="W110" s="41">
        <f t="shared" si="37"/>
        <v>0.97267233657078067</v>
      </c>
      <c r="X110" s="14">
        <f>COUNTIFS('2025'!$A:$A,"Retention School",'2025'!$BE:$BE,"East")</f>
        <v>40</v>
      </c>
      <c r="Y110" s="14">
        <f>COUNTIFS('Drop &amp; Risk Analysis'!$C:$C,"Risk",'Drop &amp; Risk Analysis'!$A:$A,"Retention School",'Drop &amp; Risk Analysis'!$BF:$BF,"East")+COUNTIFS('Drop &amp; Risk Analysis'!$C:$C,"Drop",'Drop &amp; Risk Analysis'!$A:$A,"New School",'Drop &amp; Risk Analysis'!$BF:$BF,"East")</f>
        <v>10</v>
      </c>
      <c r="Z110" s="14">
        <f t="shared" si="38"/>
        <v>5</v>
      </c>
      <c r="AA110" s="14">
        <f>SUMIFS('2025'!$L:$L,'2025'!$A:$A,"Retention School",'2025'!$BE:$BE,"East")</f>
        <v>50027889</v>
      </c>
      <c r="AB110" s="14">
        <f t="shared" si="39"/>
        <v>11458863</v>
      </c>
      <c r="AC110" s="14">
        <f t="shared" si="40"/>
        <v>12604749.300000001</v>
      </c>
    </row>
    <row r="111" spans="1:29">
      <c r="A111" s="38"/>
      <c r="S111" s="14" t="s">
        <v>495</v>
      </c>
      <c r="T111" s="14">
        <f>COUNTIFS('2025'!$A:$A,"Key Account",'2025'!$F:$F,"&gt;=0",'2025'!$BE:$BE,"East")</f>
        <v>0</v>
      </c>
      <c r="U111" s="14">
        <f>SUMIFS('2025'!L:L,'2025'!$A:$A,"Key Account",'2025'!$F:$F,"&gt;=0",'2025'!BE:BE,"East")</f>
        <v>0</v>
      </c>
      <c r="V111" s="14">
        <f>SUMIFS('2025'!F:F,'2025'!$A:$A,"Key Account",'2025'!$F:$F,"&gt;=0",'2025'!$BE:$BE,"East")</f>
        <v>0</v>
      </c>
      <c r="W111" s="41" t="e">
        <f t="shared" si="37"/>
        <v>#DIV/0!</v>
      </c>
      <c r="X111" s="14">
        <f>COUNTIFS('2025'!$A:$A,"Key Account",'2025'!$BE:$BE,"East")</f>
        <v>0</v>
      </c>
      <c r="Y111" s="14">
        <f>COUNTIFS('Drop &amp; Risk Analysis'!$C:$C,"Risk",'Drop &amp; Risk Analysis'!$A:$A,"Key account",'Drop &amp; Risk Analysis'!$BF:$BF,"East")+COUNTIFS('Drop &amp; Risk Analysis'!$C:$C,"Drop",'Drop &amp; Risk Analysis'!$A:$A,"Key Account",'Drop &amp; Risk Analysis'!$BF:$BF,"East")</f>
        <v>0</v>
      </c>
      <c r="Z111" s="14">
        <f t="shared" si="38"/>
        <v>0</v>
      </c>
      <c r="AA111" s="14">
        <f>SUMIFS('2025'!$L:$L,'2025'!$A:$A,"Key Account",'2025'!$BE:$BE,"East")</f>
        <v>0</v>
      </c>
      <c r="AB111" s="14">
        <f t="shared" si="39"/>
        <v>0</v>
      </c>
      <c r="AC111" s="14">
        <f t="shared" si="40"/>
        <v>0</v>
      </c>
    </row>
    <row r="112" spans="1:29">
      <c r="A112" s="38"/>
      <c r="S112" s="14" t="s">
        <v>23428</v>
      </c>
      <c r="T112" s="14">
        <f>SUM(T108:T111)</f>
        <v>60</v>
      </c>
      <c r="U112" s="14">
        <f>SUM(U108:U111)</f>
        <v>56648041</v>
      </c>
      <c r="V112" s="14">
        <f>SUM(V108:V111)</f>
        <v>64062629</v>
      </c>
      <c r="W112" s="41">
        <f t="shared" si="37"/>
        <v>1.1308886921614818</v>
      </c>
      <c r="X112" s="14">
        <f>SUM(X108:X111)</f>
        <v>103</v>
      </c>
      <c r="Y112" s="14">
        <f t="shared" ref="Y112:Z112" si="41">SUM(Y108:Y111)</f>
        <v>22</v>
      </c>
      <c r="Z112" s="14">
        <f t="shared" si="41"/>
        <v>21</v>
      </c>
      <c r="AA112" s="14">
        <f>SUM(AA108:AA111)</f>
        <v>79077020</v>
      </c>
      <c r="AB112" s="84">
        <v>100305773</v>
      </c>
      <c r="AC112" s="14">
        <f t="shared" ref="AC112" si="42">SUM(AC108:AC111)</f>
        <v>16515830.100000001</v>
      </c>
    </row>
    <row r="113" spans="1:29">
      <c r="A113" s="38"/>
    </row>
    <row r="114" spans="1:29">
      <c r="A114" s="38"/>
      <c r="T114" s="14">
        <f t="shared" ref="T114" si="43">T112+T105+T98+T91</f>
        <v>251</v>
      </c>
      <c r="X114" s="14">
        <f t="shared" ref="X114:Y114" si="44">X112+X105+X98+X91</f>
        <v>644</v>
      </c>
      <c r="Y114" s="14">
        <f t="shared" si="44"/>
        <v>96</v>
      </c>
      <c r="Z114" s="14">
        <f>Z112+Z105+Z98+Z91</f>
        <v>297</v>
      </c>
      <c r="AA114" s="14">
        <f>AA112+AA105+AA98+AA91</f>
        <v>475692086</v>
      </c>
      <c r="AB114" s="14">
        <f t="shared" ref="AB114" si="45">AB112+AB105+AB98+AB91</f>
        <v>311781380</v>
      </c>
      <c r="AC114" s="14">
        <f>AC112+AC105+AC98+AC91</f>
        <v>249138997.80000001</v>
      </c>
    </row>
    <row r="115" spans="1:29">
      <c r="A115" s="38"/>
    </row>
    <row r="116" spans="1:29">
      <c r="A116" s="38"/>
    </row>
    <row r="117" spans="1:29">
      <c r="A117" s="38"/>
      <c r="Q117" s="14" t="s">
        <v>337</v>
      </c>
    </row>
    <row r="118" spans="1:29">
      <c r="A118" s="38"/>
      <c r="Q118" s="14" t="s">
        <v>26644</v>
      </c>
    </row>
    <row r="119" spans="1:29">
      <c r="A119" s="38"/>
      <c r="Q119" s="14" t="s">
        <v>26645</v>
      </c>
    </row>
    <row r="120" spans="1:29">
      <c r="A120" s="38"/>
    </row>
    <row r="121" spans="1:29">
      <c r="A121" s="38"/>
    </row>
    <row r="122" spans="1:29">
      <c r="A122" s="38"/>
    </row>
    <row r="123" spans="1:29">
      <c r="A123" s="38"/>
    </row>
    <row r="124" spans="1:29">
      <c r="A124" s="38"/>
    </row>
    <row r="125" spans="1:29">
      <c r="A125" s="38"/>
    </row>
    <row r="126" spans="1:29">
      <c r="A126" s="38"/>
    </row>
    <row r="127" spans="1:29">
      <c r="A127" s="38"/>
    </row>
    <row r="128" spans="1:29">
      <c r="A128" s="38"/>
    </row>
    <row r="129" spans="1:1">
      <c r="A129" s="38"/>
    </row>
    <row r="130" spans="1:1">
      <c r="A130" s="38"/>
    </row>
    <row r="131" spans="1:1">
      <c r="A131" s="38"/>
    </row>
    <row r="132" spans="1:1">
      <c r="A132" s="38"/>
    </row>
    <row r="133" spans="1:1">
      <c r="A133" s="38"/>
    </row>
    <row r="134" spans="1:1">
      <c r="A134" s="38"/>
    </row>
    <row r="135" spans="1:1">
      <c r="A135" s="38"/>
    </row>
    <row r="136" spans="1:1">
      <c r="A136" s="38"/>
    </row>
    <row r="137" spans="1:1">
      <c r="A137" s="38"/>
    </row>
    <row r="138" spans="1:1">
      <c r="A138" s="38"/>
    </row>
    <row r="139" spans="1:1">
      <c r="A139" s="38"/>
    </row>
    <row r="140" spans="1:1">
      <c r="A140" s="38"/>
    </row>
    <row r="141" spans="1:1">
      <c r="A141" s="38"/>
    </row>
    <row r="142" spans="1:1">
      <c r="A142" s="38"/>
    </row>
    <row r="143" spans="1:1">
      <c r="A143" s="38"/>
    </row>
    <row r="144" spans="1:1">
      <c r="A144" s="38"/>
    </row>
    <row r="145" spans="1:1">
      <c r="A145" s="38"/>
    </row>
    <row r="146" spans="1:1">
      <c r="A146" s="38"/>
    </row>
    <row r="147" spans="1:1">
      <c r="A147" s="38"/>
    </row>
    <row r="148" spans="1:1">
      <c r="A148" s="38"/>
    </row>
    <row r="149" spans="1:1">
      <c r="A149" s="38"/>
    </row>
    <row r="150" spans="1:1">
      <c r="A150" s="38"/>
    </row>
    <row r="151" spans="1:1">
      <c r="A151" s="38"/>
    </row>
    <row r="152" spans="1:1">
      <c r="A152" s="38"/>
    </row>
    <row r="153" spans="1:1">
      <c r="A153" s="38"/>
    </row>
    <row r="154" spans="1:1">
      <c r="A154" s="38"/>
    </row>
    <row r="155" spans="1:1">
      <c r="A155" s="38"/>
    </row>
    <row r="156" spans="1:1">
      <c r="A156" s="38"/>
    </row>
    <row r="157" spans="1:1">
      <c r="A157" s="38"/>
    </row>
    <row r="158" spans="1:1">
      <c r="A158" s="38"/>
    </row>
    <row r="159" spans="1:1">
      <c r="A159" s="38"/>
    </row>
    <row r="160" spans="1:1">
      <c r="A160" s="38"/>
    </row>
    <row r="161" spans="1:1">
      <c r="A161" s="38"/>
    </row>
    <row r="162" spans="1:1">
      <c r="A162" s="38"/>
    </row>
    <row r="163" spans="1:1">
      <c r="A163" s="38"/>
    </row>
    <row r="164" spans="1:1">
      <c r="A164" s="38"/>
    </row>
    <row r="165" spans="1:1">
      <c r="A165" s="38"/>
    </row>
    <row r="166" spans="1:1">
      <c r="A166" s="38"/>
    </row>
    <row r="167" spans="1:1">
      <c r="A167" s="38"/>
    </row>
    <row r="168" spans="1:1">
      <c r="A168" s="38"/>
    </row>
    <row r="169" spans="1:1">
      <c r="A169" s="38"/>
    </row>
    <row r="170" spans="1:1">
      <c r="A170" s="38"/>
    </row>
    <row r="171" spans="1:1">
      <c r="A171" s="38"/>
    </row>
    <row r="172" spans="1:1">
      <c r="A172" s="38"/>
    </row>
    <row r="173" spans="1:1">
      <c r="A173" s="38"/>
    </row>
    <row r="174" spans="1:1">
      <c r="A174" s="38"/>
    </row>
    <row r="175" spans="1:1">
      <c r="A175" s="38"/>
    </row>
    <row r="176" spans="1:1">
      <c r="A176" s="38"/>
    </row>
    <row r="177" spans="1:1">
      <c r="A177" s="38"/>
    </row>
    <row r="178" spans="1:1">
      <c r="A178" s="38"/>
    </row>
    <row r="179" spans="1:1">
      <c r="A179" s="38"/>
    </row>
    <row r="180" spans="1:1">
      <c r="A180" s="38"/>
    </row>
    <row r="181" spans="1:1">
      <c r="A181" s="38"/>
    </row>
    <row r="182" spans="1:1">
      <c r="A182" s="38"/>
    </row>
    <row r="183" spans="1:1">
      <c r="A183" s="38"/>
    </row>
    <row r="184" spans="1:1">
      <c r="A184" s="38"/>
    </row>
    <row r="185" spans="1:1">
      <c r="A185" s="38"/>
    </row>
    <row r="186" spans="1:1">
      <c r="A186" s="38"/>
    </row>
    <row r="187" spans="1:1">
      <c r="A187" s="38"/>
    </row>
    <row r="188" spans="1:1">
      <c r="A188" s="38"/>
    </row>
    <row r="189" spans="1:1">
      <c r="A189" s="38"/>
    </row>
    <row r="190" spans="1:1">
      <c r="A190" s="38"/>
    </row>
    <row r="191" spans="1:1">
      <c r="A191" s="38"/>
    </row>
    <row r="192" spans="1:1">
      <c r="A192" s="38"/>
    </row>
    <row r="193" spans="1:18">
      <c r="A193" s="38"/>
    </row>
    <row r="194" spans="1:18">
      <c r="A194" s="38"/>
    </row>
    <row r="195" spans="1:18">
      <c r="A195" s="38"/>
      <c r="R195" s="44"/>
    </row>
    <row r="196" spans="1:18">
      <c r="A196" s="38"/>
    </row>
    <row r="197" spans="1:18">
      <c r="A197" s="38"/>
    </row>
    <row r="198" spans="1:18">
      <c r="A198" s="38"/>
    </row>
    <row r="199" spans="1:18">
      <c r="A199" s="38"/>
    </row>
    <row r="200" spans="1:18">
      <c r="A200" s="38"/>
    </row>
    <row r="201" spans="1:18">
      <c r="A201" s="38"/>
    </row>
    <row r="202" spans="1:18">
      <c r="A202" s="38"/>
    </row>
    <row r="203" spans="1:18">
      <c r="A203" s="38"/>
    </row>
    <row r="204" spans="1:18">
      <c r="A204" s="38"/>
    </row>
    <row r="205" spans="1:18">
      <c r="A205" s="38"/>
    </row>
    <row r="206" spans="1:18">
      <c r="A206" s="38"/>
    </row>
    <row r="207" spans="1:18">
      <c r="A207" s="38"/>
    </row>
    <row r="208" spans="1:18">
      <c r="A208" s="38"/>
    </row>
    <row r="209" spans="1:1">
      <c r="A209" s="38"/>
    </row>
    <row r="210" spans="1:1">
      <c r="A210" s="38"/>
    </row>
    <row r="211" spans="1:1">
      <c r="A211" s="38"/>
    </row>
    <row r="212" spans="1:1">
      <c r="A212" s="38"/>
    </row>
    <row r="213" spans="1:1">
      <c r="A213" s="38"/>
    </row>
    <row r="214" spans="1:1">
      <c r="A214" s="38"/>
    </row>
    <row r="215" spans="1:1">
      <c r="A215" s="38"/>
    </row>
    <row r="216" spans="1:1">
      <c r="A216" s="38"/>
    </row>
    <row r="217" spans="1:1">
      <c r="A217" s="38"/>
    </row>
    <row r="218" spans="1:1">
      <c r="A218" s="38"/>
    </row>
    <row r="219" spans="1:1">
      <c r="A219" s="38"/>
    </row>
    <row r="220" spans="1:1">
      <c r="A220" s="38"/>
    </row>
    <row r="221" spans="1:1">
      <c r="A221" s="38"/>
    </row>
    <row r="222" spans="1:1">
      <c r="A222" s="38"/>
    </row>
    <row r="223" spans="1:1">
      <c r="A223" s="38"/>
    </row>
    <row r="224" spans="1:1">
      <c r="A224" s="38"/>
    </row>
    <row r="225" spans="1:1">
      <c r="A225" s="38"/>
    </row>
    <row r="226" spans="1:1">
      <c r="A226" s="38"/>
    </row>
    <row r="227" spans="1:1">
      <c r="A227" s="38"/>
    </row>
    <row r="228" spans="1:1">
      <c r="A228" s="38"/>
    </row>
    <row r="229" spans="1:1">
      <c r="A229" s="38"/>
    </row>
    <row r="230" spans="1:1">
      <c r="A230" s="38"/>
    </row>
    <row r="231" spans="1:1">
      <c r="A231" s="38"/>
    </row>
    <row r="232" spans="1:1">
      <c r="A232" s="38"/>
    </row>
    <row r="233" spans="1:1">
      <c r="A233" s="38"/>
    </row>
    <row r="234" spans="1:1">
      <c r="A234" s="38"/>
    </row>
    <row r="235" spans="1:1">
      <c r="A235" s="38"/>
    </row>
    <row r="236" spans="1:1">
      <c r="A236" s="38"/>
    </row>
    <row r="237" spans="1:1">
      <c r="A237" s="38"/>
    </row>
    <row r="238" spans="1:1">
      <c r="A238" s="38"/>
    </row>
    <row r="239" spans="1:1">
      <c r="A239" s="38"/>
    </row>
    <row r="240" spans="1:1">
      <c r="A240" s="38"/>
    </row>
    <row r="241" spans="1:1">
      <c r="A241" s="38"/>
    </row>
    <row r="242" spans="1:1">
      <c r="A242" s="38"/>
    </row>
    <row r="243" spans="1:1">
      <c r="A243" s="38"/>
    </row>
    <row r="244" spans="1:1">
      <c r="A244" s="38"/>
    </row>
    <row r="245" spans="1:1">
      <c r="A245" s="38"/>
    </row>
    <row r="246" spans="1:1">
      <c r="A246" s="38"/>
    </row>
    <row r="247" spans="1:1">
      <c r="A247" s="38"/>
    </row>
    <row r="248" spans="1:1">
      <c r="A248" s="38"/>
    </row>
    <row r="249" spans="1:1">
      <c r="A249" s="38"/>
    </row>
    <row r="250" spans="1:1">
      <c r="A250" s="38"/>
    </row>
    <row r="251" spans="1:1">
      <c r="A251" s="38"/>
    </row>
    <row r="252" spans="1:1">
      <c r="A252" s="38"/>
    </row>
    <row r="253" spans="1:1">
      <c r="A253" s="38"/>
    </row>
    <row r="254" spans="1:1">
      <c r="A254" s="38"/>
    </row>
    <row r="255" spans="1:1">
      <c r="A255" s="38"/>
    </row>
    <row r="256" spans="1:1">
      <c r="A256" s="38"/>
    </row>
    <row r="257" spans="1:1">
      <c r="A257" s="38"/>
    </row>
    <row r="258" spans="1:1">
      <c r="A258" s="38"/>
    </row>
    <row r="259" spans="1:1">
      <c r="A259" s="38"/>
    </row>
    <row r="260" spans="1:1">
      <c r="A260" s="38"/>
    </row>
    <row r="261" spans="1:1">
      <c r="A261" s="38"/>
    </row>
    <row r="262" spans="1:1">
      <c r="A262" s="38"/>
    </row>
    <row r="263" spans="1:1">
      <c r="A263" s="38"/>
    </row>
    <row r="264" spans="1:1">
      <c r="A264" s="38"/>
    </row>
    <row r="265" spans="1:1">
      <c r="A265" s="38"/>
    </row>
    <row r="266" spans="1:1">
      <c r="A266" s="38"/>
    </row>
    <row r="267" spans="1:1">
      <c r="A267" s="38"/>
    </row>
    <row r="268" spans="1:1">
      <c r="A268" s="38"/>
    </row>
    <row r="269" spans="1:1">
      <c r="A269" s="38"/>
    </row>
    <row r="270" spans="1:1">
      <c r="A270" s="38"/>
    </row>
    <row r="271" spans="1:1">
      <c r="A271" s="38"/>
    </row>
    <row r="272" spans="1:1">
      <c r="A272" s="38"/>
    </row>
    <row r="273" spans="1:1">
      <c r="A273" s="38"/>
    </row>
    <row r="274" spans="1:1">
      <c r="A274" s="38"/>
    </row>
    <row r="275" spans="1:1">
      <c r="A275" s="38"/>
    </row>
    <row r="276" spans="1:1">
      <c r="A276" s="38"/>
    </row>
    <row r="277" spans="1:1">
      <c r="A277" s="38"/>
    </row>
    <row r="278" spans="1:1">
      <c r="A278" s="38"/>
    </row>
    <row r="279" spans="1:1">
      <c r="A279" s="38"/>
    </row>
    <row r="280" spans="1:1">
      <c r="A280" s="38"/>
    </row>
    <row r="281" spans="1:1">
      <c r="A281" s="38"/>
    </row>
    <row r="282" spans="1:1">
      <c r="A282" s="38"/>
    </row>
    <row r="283" spans="1:1">
      <c r="A283" s="38"/>
    </row>
    <row r="284" spans="1:1">
      <c r="A284" s="38"/>
    </row>
    <row r="285" spans="1:1">
      <c r="A285" s="38"/>
    </row>
    <row r="286" spans="1:1">
      <c r="A286" s="38"/>
    </row>
    <row r="287" spans="1:1">
      <c r="A287" s="38"/>
    </row>
    <row r="288" spans="1:1">
      <c r="A288" s="38"/>
    </row>
    <row r="289" spans="1:18">
      <c r="A289" s="38"/>
    </row>
    <row r="290" spans="1:18">
      <c r="A290" s="38"/>
    </row>
    <row r="291" spans="1:18">
      <c r="A291" s="38"/>
    </row>
    <row r="292" spans="1:18">
      <c r="A292" s="38"/>
      <c r="R292" s="44"/>
    </row>
    <row r="293" spans="1:18">
      <c r="A293" s="38"/>
    </row>
    <row r="294" spans="1:18">
      <c r="A294" s="38"/>
    </row>
    <row r="295" spans="1:18">
      <c r="A295" s="38"/>
    </row>
    <row r="296" spans="1:18">
      <c r="A296" s="38"/>
    </row>
    <row r="297" spans="1:18">
      <c r="A297" s="38"/>
    </row>
    <row r="298" spans="1:18">
      <c r="A298" s="38"/>
    </row>
    <row r="299" spans="1:18">
      <c r="A299" s="38"/>
    </row>
    <row r="300" spans="1:18">
      <c r="A300" s="38"/>
    </row>
    <row r="301" spans="1:18">
      <c r="A301" s="38"/>
    </row>
    <row r="302" spans="1:18">
      <c r="A302" s="38"/>
    </row>
    <row r="303" spans="1:18">
      <c r="A303" s="38"/>
    </row>
    <row r="304" spans="1:18">
      <c r="A304" s="38"/>
    </row>
    <row r="305" spans="1:1">
      <c r="A305" s="38"/>
    </row>
    <row r="306" spans="1:1">
      <c r="A306" s="38"/>
    </row>
    <row r="307" spans="1:1">
      <c r="A307" s="38"/>
    </row>
    <row r="308" spans="1:1">
      <c r="A308" s="38"/>
    </row>
    <row r="309" spans="1:1">
      <c r="A309" s="38"/>
    </row>
    <row r="310" spans="1:1">
      <c r="A310" s="38"/>
    </row>
    <row r="311" spans="1:1">
      <c r="A311" s="38"/>
    </row>
    <row r="312" spans="1:1">
      <c r="A312" s="38"/>
    </row>
    <row r="313" spans="1:1">
      <c r="A313" s="38"/>
    </row>
    <row r="314" spans="1:1">
      <c r="A314" s="38"/>
    </row>
    <row r="315" spans="1:1">
      <c r="A315" s="38"/>
    </row>
    <row r="316" spans="1:1">
      <c r="A316" s="38"/>
    </row>
    <row r="317" spans="1:1">
      <c r="A317" s="38"/>
    </row>
    <row r="318" spans="1:1">
      <c r="A318" s="38"/>
    </row>
    <row r="319" spans="1:1">
      <c r="A319" s="38"/>
    </row>
    <row r="320" spans="1:1">
      <c r="A320" s="38"/>
    </row>
    <row r="321" spans="1:1">
      <c r="A321" s="38"/>
    </row>
    <row r="322" spans="1:1">
      <c r="A322" s="38"/>
    </row>
    <row r="323" spans="1:1">
      <c r="A323" s="38"/>
    </row>
    <row r="324" spans="1:1">
      <c r="A324" s="38"/>
    </row>
    <row r="325" spans="1:1">
      <c r="A325" s="38"/>
    </row>
    <row r="326" spans="1:1">
      <c r="A326" s="38"/>
    </row>
    <row r="327" spans="1:1">
      <c r="A327" s="38"/>
    </row>
    <row r="328" spans="1:1">
      <c r="A328" s="38"/>
    </row>
    <row r="329" spans="1:1">
      <c r="A329" s="38"/>
    </row>
    <row r="330" spans="1:1">
      <c r="A330" s="38"/>
    </row>
    <row r="331" spans="1:1">
      <c r="A331" s="38"/>
    </row>
    <row r="332" spans="1:1">
      <c r="A332" s="38"/>
    </row>
    <row r="333" spans="1:1">
      <c r="A333" s="38"/>
    </row>
    <row r="334" spans="1:1">
      <c r="A334" s="38"/>
    </row>
    <row r="335" spans="1:1">
      <c r="A335" s="38"/>
    </row>
    <row r="336" spans="1:1">
      <c r="A336" s="38"/>
    </row>
    <row r="337" spans="1:1">
      <c r="A337" s="38"/>
    </row>
    <row r="338" spans="1:1">
      <c r="A338" s="38"/>
    </row>
    <row r="339" spans="1:1">
      <c r="A339" s="38"/>
    </row>
    <row r="340" spans="1:1">
      <c r="A340" s="38"/>
    </row>
    <row r="341" spans="1:1">
      <c r="A341" s="38"/>
    </row>
    <row r="342" spans="1:1">
      <c r="A342" s="38"/>
    </row>
    <row r="343" spans="1:1">
      <c r="A343" s="38"/>
    </row>
    <row r="344" spans="1:1">
      <c r="A344" s="38"/>
    </row>
    <row r="345" spans="1:1">
      <c r="A345" s="38"/>
    </row>
    <row r="346" spans="1:1">
      <c r="A346" s="38"/>
    </row>
    <row r="347" spans="1:1">
      <c r="A347" s="38"/>
    </row>
    <row r="348" spans="1:1">
      <c r="A348" s="38"/>
    </row>
    <row r="349" spans="1:1">
      <c r="A349" s="38"/>
    </row>
    <row r="350" spans="1:1">
      <c r="A350" s="38"/>
    </row>
    <row r="351" spans="1:1">
      <c r="A351" s="38"/>
    </row>
    <row r="352" spans="1:1">
      <c r="A352" s="38"/>
    </row>
    <row r="353" spans="1:1">
      <c r="A353" s="38"/>
    </row>
    <row r="354" spans="1:1">
      <c r="A354" s="38"/>
    </row>
    <row r="355" spans="1:1">
      <c r="A355" s="38"/>
    </row>
    <row r="356" spans="1:1">
      <c r="A356" s="38"/>
    </row>
    <row r="357" spans="1:1">
      <c r="A357" s="38"/>
    </row>
    <row r="358" spans="1:1">
      <c r="A358" s="38"/>
    </row>
    <row r="359" spans="1:1">
      <c r="A359" s="38"/>
    </row>
    <row r="360" spans="1:1">
      <c r="A360" s="38"/>
    </row>
    <row r="361" spans="1:1">
      <c r="A361" s="38"/>
    </row>
    <row r="362" spans="1:1">
      <c r="A362" s="38"/>
    </row>
    <row r="363" spans="1:1">
      <c r="A363" s="38"/>
    </row>
    <row r="364" spans="1:1">
      <c r="A364" s="38"/>
    </row>
    <row r="365" spans="1:1">
      <c r="A365" s="38"/>
    </row>
    <row r="366" spans="1:1">
      <c r="A366" s="38"/>
    </row>
    <row r="367" spans="1:1">
      <c r="A367" s="38"/>
    </row>
    <row r="368" spans="1:1">
      <c r="A368" s="38"/>
    </row>
    <row r="369" spans="1:1">
      <c r="A369" s="38"/>
    </row>
    <row r="370" spans="1:1">
      <c r="A370" s="38"/>
    </row>
    <row r="371" spans="1:1">
      <c r="A371" s="38"/>
    </row>
    <row r="372" spans="1:1">
      <c r="A372" s="38"/>
    </row>
    <row r="373" spans="1:1">
      <c r="A373" s="38"/>
    </row>
    <row r="374" spans="1:1">
      <c r="A374" s="38"/>
    </row>
    <row r="375" spans="1:1">
      <c r="A375" s="38"/>
    </row>
    <row r="376" spans="1:1">
      <c r="A376" s="38"/>
    </row>
    <row r="377" spans="1:1">
      <c r="A377" s="38"/>
    </row>
    <row r="378" spans="1:1">
      <c r="A378" s="38"/>
    </row>
    <row r="379" spans="1:1">
      <c r="A379" s="38"/>
    </row>
    <row r="380" spans="1:1">
      <c r="A380" s="38"/>
    </row>
    <row r="381" spans="1:1">
      <c r="A381" s="38"/>
    </row>
    <row r="382" spans="1:1">
      <c r="A382" s="38"/>
    </row>
    <row r="383" spans="1:1">
      <c r="A383" s="38"/>
    </row>
    <row r="384" spans="1:1">
      <c r="A384" s="38"/>
    </row>
    <row r="385" spans="1:1">
      <c r="A385" s="38"/>
    </row>
    <row r="386" spans="1:1">
      <c r="A386" s="38"/>
    </row>
    <row r="387" spans="1:1">
      <c r="A387" s="38"/>
    </row>
    <row r="388" spans="1:1">
      <c r="A388" s="38"/>
    </row>
    <row r="389" spans="1:1">
      <c r="A389" s="38"/>
    </row>
    <row r="390" spans="1:1">
      <c r="A390" s="38"/>
    </row>
    <row r="391" spans="1:1">
      <c r="A391" s="38"/>
    </row>
    <row r="392" spans="1:1">
      <c r="A392" s="38"/>
    </row>
    <row r="393" spans="1:1">
      <c r="A393" s="38"/>
    </row>
    <row r="394" spans="1:1">
      <c r="A394" s="38"/>
    </row>
    <row r="395" spans="1:1">
      <c r="A395" s="38"/>
    </row>
    <row r="396" spans="1:1">
      <c r="A396" s="38"/>
    </row>
    <row r="397" spans="1:1">
      <c r="A397" s="38"/>
    </row>
    <row r="398" spans="1:1">
      <c r="A398" s="38"/>
    </row>
    <row r="399" spans="1:1">
      <c r="A399" s="38"/>
    </row>
    <row r="400" spans="1:1">
      <c r="A400" s="38"/>
    </row>
    <row r="401" spans="1:1">
      <c r="A401" s="38"/>
    </row>
    <row r="402" spans="1:1">
      <c r="A402" s="38"/>
    </row>
    <row r="403" spans="1:1">
      <c r="A403" s="38"/>
    </row>
    <row r="404" spans="1:1">
      <c r="A404" s="38"/>
    </row>
    <row r="405" spans="1:1">
      <c r="A405" s="38"/>
    </row>
    <row r="406" spans="1:1">
      <c r="A406" s="38"/>
    </row>
    <row r="407" spans="1:1">
      <c r="A407" s="38"/>
    </row>
    <row r="408" spans="1:1">
      <c r="A408" s="38"/>
    </row>
    <row r="409" spans="1:1">
      <c r="A409" s="38"/>
    </row>
    <row r="410" spans="1:1">
      <c r="A410" s="38"/>
    </row>
    <row r="411" spans="1:1">
      <c r="A411" s="38"/>
    </row>
    <row r="412" spans="1:1">
      <c r="A412" s="38"/>
    </row>
    <row r="413" spans="1:1">
      <c r="A413" s="38"/>
    </row>
    <row r="414" spans="1:1">
      <c r="A414" s="38"/>
    </row>
    <row r="415" spans="1:1">
      <c r="A415" s="38"/>
    </row>
    <row r="416" spans="1:1">
      <c r="A416" s="38"/>
    </row>
    <row r="417" spans="1:1">
      <c r="A417" s="38"/>
    </row>
    <row r="418" spans="1:1">
      <c r="A418" s="38"/>
    </row>
    <row r="419" spans="1:1">
      <c r="A419" s="38"/>
    </row>
    <row r="420" spans="1:1">
      <c r="A420" s="38"/>
    </row>
    <row r="421" spans="1:1">
      <c r="A421" s="38"/>
    </row>
    <row r="422" spans="1:1">
      <c r="A422" s="38"/>
    </row>
    <row r="423" spans="1:1">
      <c r="A423" s="38"/>
    </row>
    <row r="424" spans="1:1">
      <c r="A424" s="38"/>
    </row>
    <row r="425" spans="1:1">
      <c r="A425" s="38"/>
    </row>
    <row r="426" spans="1:1">
      <c r="A426" s="38"/>
    </row>
    <row r="427" spans="1:1">
      <c r="A427" s="38"/>
    </row>
    <row r="428" spans="1:1">
      <c r="A428" s="38"/>
    </row>
    <row r="429" spans="1:1">
      <c r="A429" s="38"/>
    </row>
    <row r="430" spans="1:1">
      <c r="A430" s="38"/>
    </row>
    <row r="431" spans="1:1">
      <c r="A431" s="38"/>
    </row>
    <row r="432" spans="1:1">
      <c r="A432" s="38"/>
    </row>
    <row r="433" spans="1:1">
      <c r="A433" s="38"/>
    </row>
    <row r="434" spans="1:1">
      <c r="A434" s="38"/>
    </row>
    <row r="435" spans="1:1">
      <c r="A435" s="38"/>
    </row>
    <row r="436" spans="1:1">
      <c r="A436" s="38"/>
    </row>
    <row r="437" spans="1:1">
      <c r="A437" s="38"/>
    </row>
    <row r="438" spans="1:1">
      <c r="A438" s="38"/>
    </row>
    <row r="439" spans="1:1">
      <c r="A439" s="38"/>
    </row>
    <row r="440" spans="1:1">
      <c r="A440" s="38"/>
    </row>
    <row r="441" spans="1:1">
      <c r="A441" s="38"/>
    </row>
    <row r="442" spans="1:1">
      <c r="A442" s="38"/>
    </row>
    <row r="443" spans="1:1">
      <c r="A443" s="38"/>
    </row>
    <row r="444" spans="1:1">
      <c r="A444" s="38"/>
    </row>
    <row r="445" spans="1:1">
      <c r="A445" s="38"/>
    </row>
    <row r="446" spans="1:1">
      <c r="A446" s="38"/>
    </row>
    <row r="447" spans="1:1">
      <c r="A447" s="38"/>
    </row>
    <row r="448" spans="1:1">
      <c r="A448" s="38"/>
    </row>
    <row r="449" spans="1:1">
      <c r="A449" s="38"/>
    </row>
    <row r="450" spans="1:1">
      <c r="A450" s="38"/>
    </row>
    <row r="451" spans="1:1">
      <c r="A451" s="38"/>
    </row>
    <row r="452" spans="1:1">
      <c r="A452" s="38"/>
    </row>
    <row r="453" spans="1:1">
      <c r="A453" s="38"/>
    </row>
    <row r="454" spans="1:1">
      <c r="A454" s="38"/>
    </row>
    <row r="455" spans="1:1">
      <c r="A455" s="38"/>
    </row>
    <row r="456" spans="1:1">
      <c r="A456" s="38"/>
    </row>
    <row r="457" spans="1:1">
      <c r="A457" s="38"/>
    </row>
    <row r="458" spans="1:1">
      <c r="A458" s="38"/>
    </row>
    <row r="459" spans="1:1">
      <c r="A459" s="38"/>
    </row>
    <row r="460" spans="1:1">
      <c r="A460" s="38"/>
    </row>
    <row r="461" spans="1:1">
      <c r="A461" s="38"/>
    </row>
    <row r="462" spans="1:1">
      <c r="A462" s="38"/>
    </row>
    <row r="463" spans="1:1">
      <c r="A463" s="38"/>
    </row>
    <row r="464" spans="1:1">
      <c r="A464" s="38"/>
    </row>
    <row r="465" spans="1:1">
      <c r="A465" s="38"/>
    </row>
    <row r="466" spans="1:1">
      <c r="A466" s="38"/>
    </row>
    <row r="467" spans="1:1">
      <c r="A467" s="38"/>
    </row>
    <row r="468" spans="1:1">
      <c r="A468" s="38"/>
    </row>
    <row r="469" spans="1:1">
      <c r="A469" s="38"/>
    </row>
    <row r="470" spans="1:1">
      <c r="A470" s="38"/>
    </row>
    <row r="471" spans="1:1">
      <c r="A471" s="38"/>
    </row>
    <row r="472" spans="1:1">
      <c r="A472" s="38"/>
    </row>
    <row r="473" spans="1:1">
      <c r="A473" s="38"/>
    </row>
    <row r="474" spans="1:1">
      <c r="A474" s="38"/>
    </row>
    <row r="475" spans="1:1">
      <c r="A475" s="38"/>
    </row>
    <row r="476" spans="1:1">
      <c r="A476" s="38"/>
    </row>
    <row r="477" spans="1:1">
      <c r="A477" s="38"/>
    </row>
    <row r="478" spans="1:1">
      <c r="A478" s="38"/>
    </row>
    <row r="479" spans="1:1">
      <c r="A479" s="38"/>
    </row>
    <row r="480" spans="1:1">
      <c r="A480" s="38"/>
    </row>
    <row r="481" spans="1:1">
      <c r="A481" s="38"/>
    </row>
    <row r="482" spans="1:1">
      <c r="A482" s="38"/>
    </row>
    <row r="483" spans="1:1">
      <c r="A483" s="38"/>
    </row>
    <row r="484" spans="1:1">
      <c r="A484" s="38"/>
    </row>
    <row r="485" spans="1:1">
      <c r="A485" s="38"/>
    </row>
    <row r="486" spans="1:1">
      <c r="A486" s="38"/>
    </row>
    <row r="487" spans="1:1">
      <c r="A487" s="38"/>
    </row>
    <row r="488" spans="1:1">
      <c r="A488" s="38"/>
    </row>
    <row r="489" spans="1:1">
      <c r="A489" s="38"/>
    </row>
    <row r="490" spans="1:1">
      <c r="A490" s="38"/>
    </row>
    <row r="491" spans="1:1">
      <c r="A491" s="38"/>
    </row>
    <row r="492" spans="1:1">
      <c r="A492" s="38"/>
    </row>
    <row r="493" spans="1:1">
      <c r="A493" s="38"/>
    </row>
    <row r="494" spans="1:1">
      <c r="A494" s="38"/>
    </row>
    <row r="495" spans="1:1">
      <c r="A495" s="38"/>
    </row>
    <row r="496" spans="1:1">
      <c r="A496" s="38"/>
    </row>
    <row r="497" spans="1:1">
      <c r="A497" s="38"/>
    </row>
    <row r="498" spans="1:1">
      <c r="A498" s="38"/>
    </row>
    <row r="499" spans="1:1">
      <c r="A499" s="38"/>
    </row>
    <row r="500" spans="1:1">
      <c r="A500" s="38"/>
    </row>
    <row r="501" spans="1:1">
      <c r="A501" s="38"/>
    </row>
    <row r="502" spans="1:1">
      <c r="A502" s="38"/>
    </row>
    <row r="503" spans="1:1">
      <c r="A503" s="38"/>
    </row>
    <row r="504" spans="1:1">
      <c r="A504" s="38"/>
    </row>
    <row r="505" spans="1:1">
      <c r="A505" s="38"/>
    </row>
    <row r="506" spans="1:1">
      <c r="A506" s="38"/>
    </row>
    <row r="507" spans="1:1">
      <c r="A507" s="38"/>
    </row>
    <row r="508" spans="1:1">
      <c r="A508" s="38"/>
    </row>
    <row r="509" spans="1:1">
      <c r="A509" s="38"/>
    </row>
    <row r="510" spans="1:1">
      <c r="A510" s="38"/>
    </row>
    <row r="511" spans="1:1">
      <c r="A511" s="38"/>
    </row>
    <row r="512" spans="1:1">
      <c r="A512" s="38"/>
    </row>
    <row r="513" spans="1:1">
      <c r="A513" s="38"/>
    </row>
    <row r="514" spans="1:1">
      <c r="A514" s="38"/>
    </row>
    <row r="515" spans="1:1">
      <c r="A515" s="38"/>
    </row>
    <row r="516" spans="1:1">
      <c r="A516" s="38"/>
    </row>
    <row r="517" spans="1:1">
      <c r="A517" s="38"/>
    </row>
    <row r="518" spans="1:1">
      <c r="A518" s="38"/>
    </row>
    <row r="519" spans="1:1">
      <c r="A519" s="38"/>
    </row>
    <row r="520" spans="1:1">
      <c r="A520" s="38"/>
    </row>
    <row r="521" spans="1:1">
      <c r="A521" s="38"/>
    </row>
    <row r="522" spans="1:1">
      <c r="A522" s="38"/>
    </row>
    <row r="523" spans="1:1">
      <c r="A523" s="38"/>
    </row>
    <row r="524" spans="1:1">
      <c r="A524" s="38"/>
    </row>
    <row r="525" spans="1:1">
      <c r="A525" s="38"/>
    </row>
    <row r="526" spans="1:1">
      <c r="A526" s="38"/>
    </row>
    <row r="527" spans="1:1">
      <c r="A527" s="38"/>
    </row>
    <row r="528" spans="1:1">
      <c r="A528" s="38"/>
    </row>
    <row r="529" spans="1:1">
      <c r="A529" s="38"/>
    </row>
    <row r="530" spans="1:1">
      <c r="A530" s="38"/>
    </row>
    <row r="531" spans="1:1">
      <c r="A531" s="38"/>
    </row>
    <row r="532" spans="1:1">
      <c r="A532" s="38"/>
    </row>
    <row r="533" spans="1:1">
      <c r="A533" s="38"/>
    </row>
    <row r="534" spans="1:1">
      <c r="A534" s="38"/>
    </row>
    <row r="535" spans="1:1">
      <c r="A535" s="38"/>
    </row>
    <row r="536" spans="1:1">
      <c r="A536" s="38"/>
    </row>
    <row r="537" spans="1:1">
      <c r="A537" s="38"/>
    </row>
    <row r="538" spans="1:1">
      <c r="A538" s="38"/>
    </row>
    <row r="539" spans="1:1">
      <c r="A539" s="38"/>
    </row>
    <row r="540" spans="1:1">
      <c r="A540" s="38"/>
    </row>
    <row r="541" spans="1:1">
      <c r="A541" s="38"/>
    </row>
    <row r="542" spans="1:1">
      <c r="A542" s="38"/>
    </row>
    <row r="543" spans="1:1">
      <c r="A543" s="38"/>
    </row>
    <row r="544" spans="1:1">
      <c r="A544" s="38"/>
    </row>
    <row r="545" spans="1:1">
      <c r="A545" s="38"/>
    </row>
    <row r="546" spans="1:1">
      <c r="A546" s="38"/>
    </row>
    <row r="547" spans="1:1">
      <c r="A547" s="38"/>
    </row>
    <row r="548" spans="1:1">
      <c r="A548" s="38"/>
    </row>
    <row r="549" spans="1:1">
      <c r="A549" s="38"/>
    </row>
    <row r="550" spans="1:1">
      <c r="A550" s="38"/>
    </row>
    <row r="551" spans="1:1">
      <c r="A551" s="38"/>
    </row>
  </sheetData>
  <mergeCells count="10">
    <mergeCell ref="R71:V71"/>
    <mergeCell ref="T63:T66"/>
    <mergeCell ref="AB1:AD1"/>
    <mergeCell ref="AA28:AC28"/>
    <mergeCell ref="AA35:AB35"/>
    <mergeCell ref="V2:Y2"/>
    <mergeCell ref="AA20:AG20"/>
    <mergeCell ref="AA13:AC13"/>
    <mergeCell ref="AA7:AC7"/>
    <mergeCell ref="V29:Y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DCCE3-4103-3846-ACB0-49E4CFA10ECF}">
  <dimension ref="A1:J50"/>
  <sheetViews>
    <sheetView workbookViewId="0">
      <selection activeCell="C1" sqref="C1:C1048576"/>
    </sheetView>
  </sheetViews>
  <sheetFormatPr baseColWidth="10" defaultRowHeight="15"/>
  <cols>
    <col min="1" max="1" width="11.33203125" style="55" bestFit="1" customWidth="1"/>
    <col min="2" max="2" width="12" style="62" bestFit="1" customWidth="1"/>
    <col min="3" max="3" width="11.33203125" style="55" customWidth="1"/>
    <col min="4" max="4" width="51.5" style="55" customWidth="1"/>
    <col min="5" max="7" width="10.83203125" style="55"/>
    <col min="8" max="8" width="13.5" style="55" bestFit="1" customWidth="1"/>
    <col min="9" max="9" width="45.83203125" style="56" customWidth="1"/>
    <col min="10" max="16384" width="10.83203125" style="55"/>
  </cols>
  <sheetData>
    <row r="1" spans="1:9">
      <c r="A1" s="54" t="s">
        <v>23399</v>
      </c>
      <c r="B1" s="62" t="s">
        <v>23400</v>
      </c>
      <c r="C1" s="54" t="s">
        <v>8</v>
      </c>
      <c r="D1" s="54" t="s">
        <v>2</v>
      </c>
      <c r="E1" s="54" t="s">
        <v>55</v>
      </c>
      <c r="F1" s="54" t="s">
        <v>0</v>
      </c>
      <c r="G1" s="54" t="s">
        <v>23401</v>
      </c>
      <c r="H1" s="54" t="s">
        <v>23402</v>
      </c>
      <c r="I1" s="54" t="s">
        <v>25656</v>
      </c>
    </row>
    <row r="2" spans="1:9">
      <c r="A2" s="62">
        <v>1</v>
      </c>
      <c r="B2" s="62">
        <v>158773</v>
      </c>
      <c r="C2" s="62" t="s">
        <v>26389</v>
      </c>
      <c r="D2" s="62" t="s">
        <v>12657</v>
      </c>
      <c r="E2" s="62" t="s">
        <v>212</v>
      </c>
      <c r="F2" s="62" t="s">
        <v>149</v>
      </c>
      <c r="G2" s="62" t="s">
        <v>97</v>
      </c>
      <c r="H2" s="63">
        <v>241372</v>
      </c>
      <c r="I2" s="62" t="s">
        <v>25657</v>
      </c>
    </row>
    <row r="3" spans="1:9">
      <c r="A3" s="62">
        <v>3</v>
      </c>
      <c r="B3" s="62">
        <v>525210</v>
      </c>
      <c r="C3" s="62" t="s">
        <v>26389</v>
      </c>
      <c r="D3" s="62" t="s">
        <v>25658</v>
      </c>
      <c r="E3" s="62" t="s">
        <v>212</v>
      </c>
      <c r="F3" s="62" t="s">
        <v>149</v>
      </c>
      <c r="G3" s="62" t="s">
        <v>25659</v>
      </c>
      <c r="H3" s="63">
        <v>3200000</v>
      </c>
      <c r="I3" s="62" t="s">
        <v>25660</v>
      </c>
    </row>
    <row r="4" spans="1:9">
      <c r="A4" s="62">
        <v>4</v>
      </c>
      <c r="B4" s="62">
        <v>5016606</v>
      </c>
      <c r="C4" s="62" t="s">
        <v>26389</v>
      </c>
      <c r="D4" s="62" t="s">
        <v>25658</v>
      </c>
      <c r="E4" s="62" t="s">
        <v>212</v>
      </c>
      <c r="F4" s="62" t="s">
        <v>149</v>
      </c>
      <c r="G4" s="62" t="s">
        <v>25659</v>
      </c>
      <c r="H4" s="62">
        <v>0</v>
      </c>
      <c r="I4" s="62" t="s">
        <v>25660</v>
      </c>
    </row>
    <row r="5" spans="1:9">
      <c r="A5" s="62">
        <v>5</v>
      </c>
      <c r="B5" s="62">
        <v>5018377</v>
      </c>
      <c r="C5" s="62" t="s">
        <v>26389</v>
      </c>
      <c r="D5" s="62" t="s">
        <v>25658</v>
      </c>
      <c r="E5" s="62" t="s">
        <v>212</v>
      </c>
      <c r="F5" s="62" t="s">
        <v>149</v>
      </c>
      <c r="G5" s="62" t="s">
        <v>25659</v>
      </c>
      <c r="H5" s="62">
        <v>0</v>
      </c>
      <c r="I5" s="62" t="s">
        <v>25660</v>
      </c>
    </row>
    <row r="6" spans="1:9">
      <c r="A6" s="62">
        <v>6</v>
      </c>
      <c r="B6" s="62">
        <v>20191</v>
      </c>
      <c r="C6" s="62" t="s">
        <v>26389</v>
      </c>
      <c r="D6" s="62" t="s">
        <v>2384</v>
      </c>
      <c r="E6" s="62" t="s">
        <v>212</v>
      </c>
      <c r="F6" s="62" t="s">
        <v>149</v>
      </c>
      <c r="G6" s="62" t="s">
        <v>25661</v>
      </c>
      <c r="H6" s="63">
        <v>4500000</v>
      </c>
      <c r="I6" s="62" t="s">
        <v>25662</v>
      </c>
    </row>
    <row r="7" spans="1:9">
      <c r="A7" s="62">
        <v>6</v>
      </c>
      <c r="B7" s="62">
        <v>5029152</v>
      </c>
      <c r="C7" s="62" t="s">
        <v>26389</v>
      </c>
      <c r="D7" s="62" t="s">
        <v>2384</v>
      </c>
      <c r="E7" s="62" t="s">
        <v>212</v>
      </c>
      <c r="F7" s="62" t="s">
        <v>149</v>
      </c>
      <c r="G7" s="62" t="s">
        <v>25661</v>
      </c>
      <c r="H7" s="63">
        <v>4500000</v>
      </c>
      <c r="I7" s="62" t="s">
        <v>25662</v>
      </c>
    </row>
    <row r="8" spans="1:9" ht="19">
      <c r="A8" s="62">
        <v>7</v>
      </c>
      <c r="B8" s="62">
        <v>2821214</v>
      </c>
      <c r="C8" s="62" t="s">
        <v>26389</v>
      </c>
      <c r="D8" s="64" t="s">
        <v>4429</v>
      </c>
      <c r="E8" s="62" t="s">
        <v>212</v>
      </c>
      <c r="F8" s="62" t="s">
        <v>149</v>
      </c>
      <c r="G8" s="62" t="s">
        <v>848</v>
      </c>
      <c r="H8" s="63">
        <v>470000</v>
      </c>
      <c r="I8" s="64" t="s">
        <v>25663</v>
      </c>
    </row>
    <row r="9" spans="1:9">
      <c r="A9" s="62">
        <v>8</v>
      </c>
      <c r="B9" s="62">
        <v>3150210</v>
      </c>
      <c r="C9" s="62" t="s">
        <v>26389</v>
      </c>
      <c r="D9" s="62" t="s">
        <v>25664</v>
      </c>
      <c r="E9" s="62" t="s">
        <v>212</v>
      </c>
      <c r="F9" s="62" t="s">
        <v>149</v>
      </c>
      <c r="G9" s="62" t="s">
        <v>152</v>
      </c>
      <c r="H9" s="63">
        <v>800000</v>
      </c>
      <c r="I9" s="62" t="s">
        <v>25665</v>
      </c>
    </row>
    <row r="10" spans="1:9">
      <c r="A10" s="62">
        <v>9</v>
      </c>
      <c r="B10" s="62">
        <v>2559923</v>
      </c>
      <c r="C10" s="62" t="s">
        <v>26389</v>
      </c>
      <c r="D10" s="62" t="s">
        <v>25666</v>
      </c>
      <c r="E10" s="62" t="s">
        <v>212</v>
      </c>
      <c r="F10" s="62" t="s">
        <v>149</v>
      </c>
      <c r="G10" s="62" t="s">
        <v>848</v>
      </c>
      <c r="H10" s="63">
        <v>470000</v>
      </c>
      <c r="I10" s="62" t="s">
        <v>25667</v>
      </c>
    </row>
    <row r="11" spans="1:9">
      <c r="A11" s="62">
        <v>10</v>
      </c>
      <c r="B11" s="62">
        <v>2614572</v>
      </c>
      <c r="C11" s="62" t="s">
        <v>26389</v>
      </c>
      <c r="D11" s="62" t="s">
        <v>25668</v>
      </c>
      <c r="E11" s="62" t="s">
        <v>122</v>
      </c>
      <c r="F11" s="62" t="s">
        <v>149</v>
      </c>
      <c r="G11" s="62" t="s">
        <v>23433</v>
      </c>
      <c r="H11" s="63">
        <v>181000</v>
      </c>
      <c r="I11" s="62" t="s">
        <v>25669</v>
      </c>
    </row>
    <row r="12" spans="1:9">
      <c r="A12" s="62">
        <v>11</v>
      </c>
      <c r="B12" s="62">
        <v>3306257</v>
      </c>
      <c r="C12" s="62" t="s">
        <v>26389</v>
      </c>
      <c r="D12" s="62" t="s">
        <v>25670</v>
      </c>
      <c r="E12" s="62" t="s">
        <v>122</v>
      </c>
      <c r="F12" s="62" t="s">
        <v>93</v>
      </c>
      <c r="G12" s="62" t="s">
        <v>23433</v>
      </c>
      <c r="H12" s="63">
        <v>400000</v>
      </c>
      <c r="I12" s="62" t="s">
        <v>25671</v>
      </c>
    </row>
    <row r="13" spans="1:9">
      <c r="A13" s="62">
        <v>12</v>
      </c>
      <c r="B13" s="62">
        <v>5017739</v>
      </c>
      <c r="C13" s="62" t="s">
        <v>26389</v>
      </c>
      <c r="D13" s="62" t="s">
        <v>10158</v>
      </c>
      <c r="E13" s="62" t="s">
        <v>122</v>
      </c>
      <c r="F13" s="62" t="s">
        <v>93</v>
      </c>
      <c r="G13" s="62" t="s">
        <v>25672</v>
      </c>
      <c r="H13" s="65">
        <v>168020</v>
      </c>
      <c r="I13" s="62" t="s">
        <v>25673</v>
      </c>
    </row>
    <row r="14" spans="1:9">
      <c r="A14" s="62">
        <v>13</v>
      </c>
      <c r="B14" s="62">
        <v>3302960</v>
      </c>
      <c r="C14" s="62" t="s">
        <v>26389</v>
      </c>
      <c r="D14" s="62" t="s">
        <v>25674</v>
      </c>
      <c r="E14" s="62" t="s">
        <v>122</v>
      </c>
      <c r="F14" s="62" t="s">
        <v>337</v>
      </c>
      <c r="G14" s="62" t="s">
        <v>23432</v>
      </c>
      <c r="H14" s="65">
        <v>190009</v>
      </c>
      <c r="I14" s="62" t="s">
        <v>25675</v>
      </c>
    </row>
    <row r="15" spans="1:9">
      <c r="A15" s="62">
        <v>14</v>
      </c>
      <c r="B15" s="62">
        <v>3955038</v>
      </c>
      <c r="C15" s="62" t="s">
        <v>26389</v>
      </c>
      <c r="D15" s="62" t="s">
        <v>25676</v>
      </c>
      <c r="E15" s="62" t="s">
        <v>122</v>
      </c>
      <c r="F15" s="62" t="s">
        <v>93</v>
      </c>
      <c r="G15" s="62" t="s">
        <v>25677</v>
      </c>
      <c r="H15" s="62" t="s">
        <v>26616</v>
      </c>
      <c r="I15" s="62" t="s">
        <v>25678</v>
      </c>
    </row>
    <row r="16" spans="1:9">
      <c r="A16" s="62">
        <v>15</v>
      </c>
      <c r="B16" s="62">
        <v>3285152</v>
      </c>
      <c r="C16" s="62" t="s">
        <v>26389</v>
      </c>
      <c r="D16" s="62" t="s">
        <v>5283</v>
      </c>
      <c r="E16" s="62" t="s">
        <v>122</v>
      </c>
      <c r="F16" s="62" t="s">
        <v>149</v>
      </c>
      <c r="G16" s="62" t="s">
        <v>23432</v>
      </c>
      <c r="H16" s="62" t="s">
        <v>26617</v>
      </c>
      <c r="I16" s="62" t="s">
        <v>25679</v>
      </c>
    </row>
    <row r="17" spans="1:9">
      <c r="A17" s="62">
        <v>16</v>
      </c>
      <c r="B17" s="62">
        <v>3878188</v>
      </c>
      <c r="C17" s="62" t="s">
        <v>26389</v>
      </c>
      <c r="D17" s="62" t="s">
        <v>25680</v>
      </c>
      <c r="E17" s="62" t="s">
        <v>122</v>
      </c>
      <c r="F17" s="62" t="s">
        <v>149</v>
      </c>
      <c r="G17" s="62" t="s">
        <v>23432</v>
      </c>
      <c r="H17" s="63">
        <v>354015</v>
      </c>
      <c r="I17" s="62" t="s">
        <v>25681</v>
      </c>
    </row>
    <row r="18" spans="1:9">
      <c r="A18" s="62">
        <v>18</v>
      </c>
      <c r="B18" s="62">
        <v>5055276</v>
      </c>
      <c r="C18" s="62" t="s">
        <v>26389</v>
      </c>
      <c r="D18" s="62" t="s">
        <v>25682</v>
      </c>
      <c r="E18" s="62" t="s">
        <v>122</v>
      </c>
      <c r="F18" s="62" t="s">
        <v>337</v>
      </c>
      <c r="G18" s="62" t="s">
        <v>23433</v>
      </c>
      <c r="H18" s="65">
        <v>340208</v>
      </c>
      <c r="I18" s="62" t="s">
        <v>25683</v>
      </c>
    </row>
    <row r="19" spans="1:9">
      <c r="A19" s="62">
        <v>19</v>
      </c>
      <c r="B19" s="62">
        <v>253271</v>
      </c>
      <c r="C19" s="62" t="s">
        <v>26389</v>
      </c>
      <c r="D19" s="62" t="s">
        <v>25684</v>
      </c>
      <c r="E19" s="62" t="s">
        <v>122</v>
      </c>
      <c r="F19" s="62" t="s">
        <v>337</v>
      </c>
      <c r="G19" s="62" t="s">
        <v>25685</v>
      </c>
      <c r="H19" s="65">
        <v>1963865</v>
      </c>
      <c r="I19" s="62" t="s">
        <v>25686</v>
      </c>
    </row>
    <row r="20" spans="1:9">
      <c r="A20" s="62">
        <v>20</v>
      </c>
      <c r="B20" s="62">
        <v>5017199</v>
      </c>
      <c r="C20" s="62" t="s">
        <v>26389</v>
      </c>
      <c r="D20" s="2" t="s">
        <v>9862</v>
      </c>
      <c r="E20" s="62" t="s">
        <v>174</v>
      </c>
      <c r="F20" s="62" t="s">
        <v>149</v>
      </c>
      <c r="G20" s="62" t="s">
        <v>23433</v>
      </c>
      <c r="H20" s="63">
        <v>695965</v>
      </c>
      <c r="I20" s="62" t="s">
        <v>25687</v>
      </c>
    </row>
    <row r="21" spans="1:9">
      <c r="A21" s="62">
        <v>21</v>
      </c>
      <c r="B21" s="62">
        <v>3242514</v>
      </c>
      <c r="C21" s="62" t="s">
        <v>26389</v>
      </c>
      <c r="D21" s="2" t="s">
        <v>5040</v>
      </c>
      <c r="E21" s="62" t="s">
        <v>174</v>
      </c>
      <c r="F21" s="62" t="s">
        <v>149</v>
      </c>
      <c r="G21" s="62" t="s">
        <v>23433</v>
      </c>
      <c r="H21" s="62" t="s">
        <v>25688</v>
      </c>
      <c r="I21" s="62" t="s">
        <v>25689</v>
      </c>
    </row>
    <row r="22" spans="1:9">
      <c r="A22" s="62">
        <v>22</v>
      </c>
      <c r="B22" s="62">
        <v>4166956</v>
      </c>
      <c r="C22" s="62" t="s">
        <v>26389</v>
      </c>
      <c r="D22" s="2" t="s">
        <v>8853</v>
      </c>
      <c r="E22" s="62" t="s">
        <v>174</v>
      </c>
      <c r="F22" s="62" t="s">
        <v>149</v>
      </c>
      <c r="G22" s="62" t="s">
        <v>23434</v>
      </c>
      <c r="H22" s="63">
        <v>391291</v>
      </c>
      <c r="I22" s="62" t="s">
        <v>25690</v>
      </c>
    </row>
    <row r="23" spans="1:9">
      <c r="A23" s="62">
        <v>23</v>
      </c>
      <c r="B23" s="62">
        <v>10423</v>
      </c>
      <c r="C23" s="62" t="s">
        <v>26389</v>
      </c>
      <c r="D23" s="2" t="s">
        <v>361</v>
      </c>
      <c r="E23" s="62" t="s">
        <v>174</v>
      </c>
      <c r="F23" s="62" t="s">
        <v>149</v>
      </c>
      <c r="G23" s="62" t="s">
        <v>23432</v>
      </c>
      <c r="H23" s="63">
        <v>603750</v>
      </c>
      <c r="I23" s="62" t="s">
        <v>25691</v>
      </c>
    </row>
    <row r="24" spans="1:9">
      <c r="A24" s="62">
        <v>24</v>
      </c>
      <c r="B24" s="62">
        <v>3989841</v>
      </c>
      <c r="C24" s="62" t="s">
        <v>26389</v>
      </c>
      <c r="D24" s="2" t="s">
        <v>17456</v>
      </c>
      <c r="E24" s="62" t="s">
        <v>174</v>
      </c>
      <c r="F24" s="62" t="s">
        <v>337</v>
      </c>
      <c r="G24" s="62" t="s">
        <v>23433</v>
      </c>
      <c r="H24" s="63">
        <v>910315</v>
      </c>
      <c r="I24" s="62" t="s">
        <v>25692</v>
      </c>
    </row>
    <row r="25" spans="1:9">
      <c r="A25" s="62">
        <v>25</v>
      </c>
      <c r="B25" s="62">
        <v>5002738</v>
      </c>
      <c r="C25" s="62" t="s">
        <v>26389</v>
      </c>
      <c r="D25" s="2" t="s">
        <v>18513</v>
      </c>
      <c r="E25" s="62" t="s">
        <v>174</v>
      </c>
      <c r="F25" s="62" t="s">
        <v>337</v>
      </c>
      <c r="G25" s="62" t="s">
        <v>23433</v>
      </c>
      <c r="H25" s="63">
        <v>144190</v>
      </c>
      <c r="I25" s="62" t="s">
        <v>25657</v>
      </c>
    </row>
    <row r="26" spans="1:9">
      <c r="A26" s="62">
        <v>26</v>
      </c>
      <c r="B26" s="62">
        <v>3514450</v>
      </c>
      <c r="C26" s="62" t="s">
        <v>26389</v>
      </c>
      <c r="D26" s="3" t="s">
        <v>16325</v>
      </c>
      <c r="E26" s="62" t="s">
        <v>174</v>
      </c>
      <c r="F26" s="62" t="s">
        <v>337</v>
      </c>
      <c r="G26" s="62" t="s">
        <v>23433</v>
      </c>
      <c r="H26" s="63">
        <v>108974</v>
      </c>
      <c r="I26" s="62" t="s">
        <v>25657</v>
      </c>
    </row>
    <row r="27" spans="1:9">
      <c r="A27" s="62">
        <v>27</v>
      </c>
      <c r="B27" s="62">
        <v>27245</v>
      </c>
      <c r="C27" s="62" t="s">
        <v>26389</v>
      </c>
      <c r="D27" s="36" t="s">
        <v>4308</v>
      </c>
      <c r="E27" s="3" t="s">
        <v>622</v>
      </c>
      <c r="F27" s="62" t="s">
        <v>93</v>
      </c>
      <c r="G27" s="36" t="s">
        <v>3549</v>
      </c>
      <c r="H27" s="37">
        <v>1128451</v>
      </c>
      <c r="I27" s="36" t="s">
        <v>25693</v>
      </c>
    </row>
    <row r="28" spans="1:9">
      <c r="A28" s="62">
        <v>28</v>
      </c>
      <c r="B28" s="62">
        <v>5017936</v>
      </c>
      <c r="C28" s="62" t="s">
        <v>26389</v>
      </c>
      <c r="D28" s="36" t="s">
        <v>10322</v>
      </c>
      <c r="E28" s="3" t="s">
        <v>622</v>
      </c>
      <c r="F28" s="62" t="s">
        <v>93</v>
      </c>
      <c r="G28" s="36" t="s">
        <v>152</v>
      </c>
      <c r="H28" s="37">
        <v>1306678</v>
      </c>
      <c r="I28" s="36" t="s">
        <v>25694</v>
      </c>
    </row>
    <row r="29" spans="1:9">
      <c r="A29" s="62">
        <v>29</v>
      </c>
      <c r="B29" s="62">
        <v>3167641</v>
      </c>
      <c r="C29" s="62" t="s">
        <v>26389</v>
      </c>
      <c r="D29" s="36" t="s">
        <v>4880</v>
      </c>
      <c r="E29" s="3" t="s">
        <v>622</v>
      </c>
      <c r="F29" s="62" t="s">
        <v>93</v>
      </c>
      <c r="G29" s="36" t="s">
        <v>848</v>
      </c>
      <c r="H29" s="37">
        <v>849921</v>
      </c>
      <c r="I29" s="36" t="s">
        <v>25695</v>
      </c>
    </row>
    <row r="30" spans="1:9">
      <c r="A30" s="62">
        <v>30</v>
      </c>
      <c r="B30" s="62">
        <v>2528645</v>
      </c>
      <c r="C30" s="62" t="s">
        <v>26389</v>
      </c>
      <c r="D30" s="36" t="s">
        <v>3948</v>
      </c>
      <c r="E30" s="3" t="s">
        <v>622</v>
      </c>
      <c r="F30" s="62" t="s">
        <v>149</v>
      </c>
      <c r="G30" s="36" t="s">
        <v>1746</v>
      </c>
      <c r="H30" s="37">
        <v>3606546</v>
      </c>
      <c r="I30" s="36" t="s">
        <v>25696</v>
      </c>
    </row>
    <row r="31" spans="1:9">
      <c r="A31" s="62">
        <v>31</v>
      </c>
      <c r="B31" s="62">
        <v>3425691</v>
      </c>
      <c r="C31" s="62" t="s">
        <v>26389</v>
      </c>
      <c r="D31" s="36" t="s">
        <v>6007</v>
      </c>
      <c r="E31" s="3" t="s">
        <v>622</v>
      </c>
      <c r="F31" s="62" t="s">
        <v>149</v>
      </c>
      <c r="G31" s="36" t="s">
        <v>1746</v>
      </c>
      <c r="H31" s="37">
        <v>3104772</v>
      </c>
      <c r="I31" s="36" t="s">
        <v>25696</v>
      </c>
    </row>
    <row r="32" spans="1:9">
      <c r="A32" s="62">
        <v>32</v>
      </c>
      <c r="B32" s="62">
        <v>2470921</v>
      </c>
      <c r="C32" s="62" t="s">
        <v>26389</v>
      </c>
      <c r="D32" s="36" t="s">
        <v>3548</v>
      </c>
      <c r="E32" s="3" t="s">
        <v>622</v>
      </c>
      <c r="F32" s="62" t="s">
        <v>149</v>
      </c>
      <c r="G32" s="3" t="s">
        <v>3549</v>
      </c>
      <c r="H32" s="61">
        <v>1331844</v>
      </c>
      <c r="I32" s="36" t="s">
        <v>26364</v>
      </c>
    </row>
    <row r="33" spans="1:10">
      <c r="A33" s="62">
        <v>34</v>
      </c>
      <c r="B33" s="62">
        <v>5035523</v>
      </c>
      <c r="C33" s="62" t="s">
        <v>26389</v>
      </c>
      <c r="D33" s="62" t="s">
        <v>26367</v>
      </c>
      <c r="E33" s="62" t="s">
        <v>622</v>
      </c>
      <c r="F33" s="62" t="s">
        <v>337</v>
      </c>
      <c r="G33" s="3"/>
      <c r="H33" s="61">
        <v>110263</v>
      </c>
      <c r="I33" s="62" t="s">
        <v>26368</v>
      </c>
    </row>
    <row r="34" spans="1:10">
      <c r="A34" s="62">
        <v>35</v>
      </c>
      <c r="B34" s="62">
        <v>5040517</v>
      </c>
      <c r="C34" s="62" t="s">
        <v>26389</v>
      </c>
      <c r="D34" s="3" t="s">
        <v>26369</v>
      </c>
      <c r="E34" s="3" t="s">
        <v>622</v>
      </c>
      <c r="F34" s="62" t="s">
        <v>337</v>
      </c>
      <c r="G34" s="3" t="s">
        <v>848</v>
      </c>
      <c r="H34" s="61">
        <v>252013</v>
      </c>
      <c r="I34" s="3" t="s">
        <v>26370</v>
      </c>
    </row>
    <row r="35" spans="1:10">
      <c r="A35" s="62">
        <v>36</v>
      </c>
      <c r="B35" s="62">
        <v>241346</v>
      </c>
      <c r="C35" s="62" t="s">
        <v>26389</v>
      </c>
      <c r="D35" s="3" t="s">
        <v>26371</v>
      </c>
      <c r="E35" s="3" t="s">
        <v>622</v>
      </c>
      <c r="F35" s="62" t="s">
        <v>337</v>
      </c>
      <c r="G35" s="3" t="s">
        <v>848</v>
      </c>
      <c r="H35" s="61">
        <v>434422</v>
      </c>
      <c r="I35" s="3" t="s">
        <v>26370</v>
      </c>
    </row>
    <row r="36" spans="1:10">
      <c r="A36" s="62">
        <v>37</v>
      </c>
      <c r="B36" s="62">
        <v>3395252</v>
      </c>
      <c r="C36" s="62" t="s">
        <v>26389</v>
      </c>
      <c r="D36" s="3" t="s">
        <v>15801</v>
      </c>
      <c r="E36" s="3" t="s">
        <v>622</v>
      </c>
      <c r="F36" s="62" t="s">
        <v>337</v>
      </c>
      <c r="G36" s="3" t="s">
        <v>23433</v>
      </c>
      <c r="H36" s="61">
        <v>108915</v>
      </c>
      <c r="I36" s="3" t="s">
        <v>25657</v>
      </c>
    </row>
    <row r="37" spans="1:10">
      <c r="A37" s="62">
        <v>40</v>
      </c>
      <c r="B37" s="62">
        <v>5017865</v>
      </c>
      <c r="C37" s="62" t="s">
        <v>26389</v>
      </c>
      <c r="D37" s="3" t="s">
        <v>19245</v>
      </c>
      <c r="E37" s="3" t="s">
        <v>622</v>
      </c>
      <c r="F37" s="62" t="s">
        <v>337</v>
      </c>
      <c r="G37" s="3" t="s">
        <v>97</v>
      </c>
      <c r="H37" s="3">
        <v>0</v>
      </c>
      <c r="I37" s="60" t="s">
        <v>26372</v>
      </c>
    </row>
    <row r="38" spans="1:10">
      <c r="A38" s="62">
        <v>41</v>
      </c>
      <c r="B38" s="62">
        <v>5015855</v>
      </c>
      <c r="C38" s="62" t="s">
        <v>26389</v>
      </c>
      <c r="D38" s="3" t="s">
        <v>26373</v>
      </c>
      <c r="E38" s="3" t="s">
        <v>622</v>
      </c>
      <c r="F38" s="62" t="s">
        <v>337</v>
      </c>
      <c r="G38" s="3" t="s">
        <v>97</v>
      </c>
      <c r="H38" s="61">
        <v>893132</v>
      </c>
      <c r="I38" s="60" t="s">
        <v>26372</v>
      </c>
    </row>
    <row r="39" spans="1:10">
      <c r="A39" s="62">
        <v>42</v>
      </c>
      <c r="B39" s="62">
        <v>4052744</v>
      </c>
      <c r="C39" s="62" t="s">
        <v>26389</v>
      </c>
      <c r="D39" s="3" t="s">
        <v>18017</v>
      </c>
      <c r="E39" s="3" t="s">
        <v>622</v>
      </c>
      <c r="F39" s="62" t="s">
        <v>337</v>
      </c>
      <c r="G39" s="3" t="s">
        <v>97</v>
      </c>
      <c r="H39" s="3">
        <v>0</v>
      </c>
      <c r="I39" s="60" t="s">
        <v>26372</v>
      </c>
    </row>
    <row r="40" spans="1:10">
      <c r="A40" s="62">
        <v>43</v>
      </c>
      <c r="B40" s="62">
        <v>5015866</v>
      </c>
      <c r="C40" s="62" t="s">
        <v>26389</v>
      </c>
      <c r="D40" s="3" t="s">
        <v>18749</v>
      </c>
      <c r="E40" s="3" t="s">
        <v>622</v>
      </c>
      <c r="F40" s="62" t="s">
        <v>337</v>
      </c>
      <c r="G40" s="3" t="s">
        <v>97</v>
      </c>
      <c r="H40" s="61">
        <v>115846</v>
      </c>
      <c r="I40" s="60" t="s">
        <v>26372</v>
      </c>
    </row>
    <row r="41" spans="1:10">
      <c r="A41" s="62">
        <v>44</v>
      </c>
      <c r="B41" s="62">
        <v>3582467</v>
      </c>
      <c r="C41" s="62" t="s">
        <v>26389</v>
      </c>
      <c r="D41" s="3" t="s">
        <v>6763</v>
      </c>
      <c r="E41" s="3" t="s">
        <v>622</v>
      </c>
      <c r="F41" s="62" t="s">
        <v>93</v>
      </c>
      <c r="G41" s="3" t="s">
        <v>97</v>
      </c>
      <c r="H41" s="61">
        <v>168000</v>
      </c>
      <c r="I41" s="3" t="s">
        <v>25657</v>
      </c>
    </row>
    <row r="42" spans="1:10">
      <c r="A42" s="62">
        <v>45</v>
      </c>
      <c r="B42" s="62">
        <v>2450639</v>
      </c>
      <c r="C42" s="62" t="s">
        <v>26389</v>
      </c>
      <c r="D42" s="3" t="s">
        <v>13984</v>
      </c>
      <c r="E42" s="3" t="s">
        <v>622</v>
      </c>
      <c r="F42" s="62" t="s">
        <v>337</v>
      </c>
      <c r="G42" s="3" t="s">
        <v>23433</v>
      </c>
      <c r="H42" s="61">
        <v>121188</v>
      </c>
      <c r="I42" s="60" t="s">
        <v>26621</v>
      </c>
    </row>
    <row r="43" spans="1:10">
      <c r="A43" s="62">
        <v>47</v>
      </c>
      <c r="B43" s="62">
        <v>5094396</v>
      </c>
      <c r="C43" s="62" t="s">
        <v>26389</v>
      </c>
      <c r="D43" s="60" t="s">
        <v>20843</v>
      </c>
      <c r="E43" s="3" t="s">
        <v>622</v>
      </c>
      <c r="F43" s="62" t="s">
        <v>337</v>
      </c>
      <c r="G43" s="3" t="s">
        <v>848</v>
      </c>
      <c r="H43" s="61">
        <v>264522</v>
      </c>
      <c r="I43" s="60" t="s">
        <v>26374</v>
      </c>
    </row>
    <row r="44" spans="1:10">
      <c r="A44" s="62">
        <v>48</v>
      </c>
      <c r="B44" s="62">
        <v>3168781</v>
      </c>
      <c r="C44" s="62" t="s">
        <v>26389</v>
      </c>
      <c r="D44" s="3" t="s">
        <v>15110</v>
      </c>
      <c r="E44" s="3" t="s">
        <v>212</v>
      </c>
      <c r="F44" s="62" t="s">
        <v>93</v>
      </c>
      <c r="G44" s="3" t="s">
        <v>25659</v>
      </c>
      <c r="H44" s="61">
        <v>5300000</v>
      </c>
      <c r="I44" s="3" t="s">
        <v>26618</v>
      </c>
    </row>
    <row r="45" spans="1:10">
      <c r="A45" s="62">
        <v>49</v>
      </c>
      <c r="B45" s="62">
        <v>2459310</v>
      </c>
      <c r="C45" s="62" t="s">
        <v>26389</v>
      </c>
      <c r="D45" s="3" t="s">
        <v>14054</v>
      </c>
      <c r="E45" s="3" t="s">
        <v>212</v>
      </c>
      <c r="F45" s="62" t="s">
        <v>337</v>
      </c>
      <c r="G45" s="3" t="s">
        <v>848</v>
      </c>
      <c r="H45" s="3">
        <v>163000</v>
      </c>
      <c r="I45" s="3" t="s">
        <v>26619</v>
      </c>
    </row>
    <row r="46" spans="1:10">
      <c r="A46" s="62">
        <v>50</v>
      </c>
      <c r="B46" s="62">
        <v>3187344</v>
      </c>
      <c r="C46" s="62" t="s">
        <v>26389</v>
      </c>
      <c r="D46" s="3" t="s">
        <v>15150</v>
      </c>
      <c r="E46" s="3" t="s">
        <v>212</v>
      </c>
      <c r="F46" s="62" t="s">
        <v>337</v>
      </c>
      <c r="G46" s="3" t="s">
        <v>848</v>
      </c>
      <c r="H46" s="3">
        <v>180000</v>
      </c>
      <c r="I46" s="3" t="s">
        <v>26620</v>
      </c>
    </row>
    <row r="47" spans="1:10">
      <c r="A47" s="60">
        <v>52</v>
      </c>
      <c r="B47" s="62">
        <v>4104626</v>
      </c>
      <c r="C47" s="62" t="s">
        <v>26389</v>
      </c>
      <c r="D47" s="60" t="s">
        <v>18091</v>
      </c>
      <c r="E47" s="60" t="s">
        <v>122</v>
      </c>
      <c r="F47" s="60" t="s">
        <v>337</v>
      </c>
      <c r="G47" s="60" t="s">
        <v>848</v>
      </c>
      <c r="H47" s="60">
        <v>0</v>
      </c>
      <c r="I47" s="60" t="s">
        <v>26635</v>
      </c>
      <c r="J47" s="60"/>
    </row>
    <row r="48" spans="1:10">
      <c r="A48" s="60">
        <v>53</v>
      </c>
      <c r="B48" s="62">
        <v>308823</v>
      </c>
      <c r="C48" s="62" t="s">
        <v>26389</v>
      </c>
      <c r="D48" s="60" t="s">
        <v>4635</v>
      </c>
      <c r="E48" s="60" t="s">
        <v>122</v>
      </c>
      <c r="F48" s="60" t="s">
        <v>149</v>
      </c>
      <c r="G48" s="60" t="s">
        <v>675</v>
      </c>
      <c r="H48" s="60">
        <v>713000</v>
      </c>
      <c r="I48" s="60" t="s">
        <v>26636</v>
      </c>
      <c r="J48" s="60"/>
    </row>
    <row r="49" spans="9:9">
      <c r="I49" s="60"/>
    </row>
    <row r="50" spans="9:9">
      <c r="I50" s="60"/>
    </row>
  </sheetData>
  <autoFilter ref="A1:K46" xr:uid="{98ADCCE3-4103-3846-ACB0-49E4CFA10EC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76390-FAFA-1F4B-BC7F-A55536EE78F3}">
  <dimension ref="A1:N48"/>
  <sheetViews>
    <sheetView topLeftCell="A18" workbookViewId="0">
      <selection activeCell="D18" sqref="D1:D1048576"/>
    </sheetView>
  </sheetViews>
  <sheetFormatPr baseColWidth="10" defaultRowHeight="16"/>
  <cols>
    <col min="1" max="1" width="11" style="58" bestFit="1" customWidth="1"/>
    <col min="2" max="2" width="11" style="69" bestFit="1" customWidth="1"/>
    <col min="3" max="3" width="11" style="58" customWidth="1"/>
    <col min="4" max="4" width="34.6640625" style="58" bestFit="1" customWidth="1"/>
    <col min="5" max="5" width="10.83203125" style="58"/>
    <col min="6" max="6" width="15.33203125" style="58" bestFit="1" customWidth="1"/>
    <col min="7" max="7" width="27.33203125" style="58" bestFit="1" customWidth="1"/>
    <col min="8" max="8" width="11.83203125" style="58" bestFit="1" customWidth="1"/>
    <col min="9" max="9" width="59.83203125" style="66" customWidth="1"/>
    <col min="10" max="10" width="11" style="58" bestFit="1" customWidth="1"/>
    <col min="11" max="11" width="11.83203125" style="58" bestFit="1" customWidth="1"/>
    <col min="12" max="12" width="11" style="58" bestFit="1" customWidth="1"/>
    <col min="13" max="16384" width="10.83203125" style="58"/>
  </cols>
  <sheetData>
    <row r="1" spans="1:14">
      <c r="J1" s="58">
        <f>SUM(J3:J92)</f>
        <v>2110911</v>
      </c>
      <c r="K1" s="58">
        <f>SUM(K3:K92)</f>
        <v>19777582</v>
      </c>
      <c r="L1" s="58">
        <f>SUM(L3:L92)</f>
        <v>10592819</v>
      </c>
    </row>
    <row r="2" spans="1:14" ht="17">
      <c r="A2" s="67" t="s">
        <v>23399</v>
      </c>
      <c r="B2" s="69" t="s">
        <v>23400</v>
      </c>
      <c r="C2" s="67" t="s">
        <v>8</v>
      </c>
      <c r="D2" s="67" t="s">
        <v>2</v>
      </c>
      <c r="E2" s="67" t="s">
        <v>55</v>
      </c>
      <c r="F2" s="67" t="s">
        <v>0</v>
      </c>
      <c r="G2" s="67" t="s">
        <v>23401</v>
      </c>
      <c r="H2" s="67" t="s">
        <v>23402</v>
      </c>
      <c r="I2" s="68" t="s">
        <v>23403</v>
      </c>
      <c r="J2" s="67" t="s">
        <v>23432</v>
      </c>
      <c r="K2" s="67" t="s">
        <v>23433</v>
      </c>
      <c r="L2" s="67" t="s">
        <v>24039</v>
      </c>
    </row>
    <row r="3" spans="1:14">
      <c r="A3" s="69">
        <v>1</v>
      </c>
      <c r="B3" s="69">
        <v>1616619</v>
      </c>
      <c r="C3" s="69" t="s">
        <v>26388</v>
      </c>
      <c r="D3" s="69" t="s">
        <v>1373</v>
      </c>
      <c r="E3" s="69" t="s">
        <v>212</v>
      </c>
      <c r="F3" s="69" t="s">
        <v>149</v>
      </c>
      <c r="G3" s="69" t="s">
        <v>152</v>
      </c>
      <c r="H3" s="69">
        <v>717402</v>
      </c>
      <c r="I3" s="69" t="s">
        <v>23404</v>
      </c>
      <c r="J3" s="58">
        <f>VLOOKUP(B3,'2025'!B:N,13,0)</f>
        <v>0</v>
      </c>
      <c r="K3" s="58">
        <f>VLOOKUP(B3,'2025'!B:Q,16,0)</f>
        <v>717402</v>
      </c>
      <c r="L3" s="58">
        <f>VLOOKUP(B3,'2025'!B:T,19,0)</f>
        <v>0</v>
      </c>
      <c r="M3" s="58">
        <f>SUM(J3:L3)</f>
        <v>717402</v>
      </c>
      <c r="N3" s="58">
        <f>H3-M3</f>
        <v>0</v>
      </c>
    </row>
    <row r="4" spans="1:14">
      <c r="A4" s="69">
        <v>2</v>
      </c>
      <c r="B4" s="69">
        <v>2104860</v>
      </c>
      <c r="C4" s="69" t="s">
        <v>26388</v>
      </c>
      <c r="D4" s="69" t="s">
        <v>2697</v>
      </c>
      <c r="E4" s="69" t="s">
        <v>212</v>
      </c>
      <c r="F4" s="69" t="s">
        <v>149</v>
      </c>
      <c r="G4" s="69" t="s">
        <v>152</v>
      </c>
      <c r="H4" s="69">
        <v>430441</v>
      </c>
      <c r="I4" s="69" t="s">
        <v>23404</v>
      </c>
      <c r="J4" s="58">
        <f>VLOOKUP(B4,'2025'!B:N,13,0)</f>
        <v>0</v>
      </c>
      <c r="K4" s="58">
        <f>VLOOKUP(B4,'2025'!B:Q,16,0)</f>
        <v>430441</v>
      </c>
      <c r="L4" s="58">
        <f>VLOOKUP(B4,'2025'!B:T,19,0)</f>
        <v>0</v>
      </c>
      <c r="M4" s="58">
        <f t="shared" ref="M4:M34" si="0">SUM(J4:L4)</f>
        <v>430441</v>
      </c>
      <c r="N4" s="58">
        <f t="shared" ref="N4:N34" si="1">H4-M4</f>
        <v>0</v>
      </c>
    </row>
    <row r="5" spans="1:14">
      <c r="A5" s="69">
        <v>3</v>
      </c>
      <c r="B5" s="69">
        <v>3780526</v>
      </c>
      <c r="C5" s="69" t="s">
        <v>26388</v>
      </c>
      <c r="D5" s="69" t="s">
        <v>7429</v>
      </c>
      <c r="E5" s="69" t="s">
        <v>174</v>
      </c>
      <c r="F5" s="50" t="s">
        <v>93</v>
      </c>
      <c r="G5" s="69" t="s">
        <v>643</v>
      </c>
      <c r="H5" s="69">
        <v>1001106</v>
      </c>
      <c r="I5" s="69" t="s">
        <v>23405</v>
      </c>
      <c r="J5" s="58">
        <f>VLOOKUP(B5,'2025'!B:N,13,0)</f>
        <v>0</v>
      </c>
      <c r="K5" s="58">
        <f>VLOOKUP(B5,'2025'!B:Q,16,0)</f>
        <v>788390</v>
      </c>
      <c r="L5" s="58">
        <f>VLOOKUP(B5,'2025'!B:T,19,0)</f>
        <v>212716</v>
      </c>
      <c r="M5" s="58">
        <f t="shared" si="0"/>
        <v>1001106</v>
      </c>
      <c r="N5" s="58">
        <f t="shared" si="1"/>
        <v>0</v>
      </c>
    </row>
    <row r="6" spans="1:14">
      <c r="A6" s="69">
        <v>4</v>
      </c>
      <c r="B6" s="69">
        <v>1155119</v>
      </c>
      <c r="C6" s="69" t="s">
        <v>26388</v>
      </c>
      <c r="D6" s="69" t="s">
        <v>12154</v>
      </c>
      <c r="E6" s="69" t="s">
        <v>174</v>
      </c>
      <c r="F6" s="69" t="s">
        <v>337</v>
      </c>
      <c r="G6" s="69" t="s">
        <v>152</v>
      </c>
      <c r="H6" s="69">
        <v>1355900</v>
      </c>
      <c r="I6" s="69" t="s">
        <v>23406</v>
      </c>
      <c r="J6" s="58">
        <f>VLOOKUP(B6,'2025'!B:N,13,0)</f>
        <v>0</v>
      </c>
      <c r="K6" s="58">
        <f>VLOOKUP(B6,'2025'!B:Q,16,0)</f>
        <v>1355900</v>
      </c>
      <c r="L6" s="58">
        <f>VLOOKUP(B6,'2025'!B:T,19,0)</f>
        <v>0</v>
      </c>
      <c r="M6" s="58">
        <f t="shared" si="0"/>
        <v>1355900</v>
      </c>
      <c r="N6" s="58">
        <f t="shared" si="1"/>
        <v>0</v>
      </c>
    </row>
    <row r="7" spans="1:14">
      <c r="A7" s="69">
        <v>5</v>
      </c>
      <c r="B7" s="69">
        <v>1155556</v>
      </c>
      <c r="C7" s="69" t="s">
        <v>26388</v>
      </c>
      <c r="D7" s="69" t="s">
        <v>12175</v>
      </c>
      <c r="E7" s="69" t="s">
        <v>174</v>
      </c>
      <c r="F7" s="69" t="s">
        <v>337</v>
      </c>
      <c r="G7" s="69" t="s">
        <v>152</v>
      </c>
      <c r="H7" s="69">
        <v>1014000</v>
      </c>
      <c r="I7" s="69" t="s">
        <v>23406</v>
      </c>
      <c r="J7" s="58">
        <f>VLOOKUP(B7,'2025'!B:N,13,0)</f>
        <v>0</v>
      </c>
      <c r="K7" s="58">
        <f>VLOOKUP(B7,'2025'!B:Q,16,0)</f>
        <v>1014000</v>
      </c>
      <c r="L7" s="58">
        <f>VLOOKUP(B7,'2025'!B:T,19,0)</f>
        <v>0</v>
      </c>
      <c r="M7" s="58">
        <f t="shared" si="0"/>
        <v>1014000</v>
      </c>
      <c r="N7" s="58">
        <f t="shared" si="1"/>
        <v>0</v>
      </c>
    </row>
    <row r="8" spans="1:14">
      <c r="A8" s="69">
        <v>6</v>
      </c>
      <c r="B8" s="69">
        <v>1553466</v>
      </c>
      <c r="C8" s="69" t="s">
        <v>26388</v>
      </c>
      <c r="D8" s="69" t="s">
        <v>1156</v>
      </c>
      <c r="E8" s="69" t="s">
        <v>174</v>
      </c>
      <c r="F8" s="69" t="s">
        <v>149</v>
      </c>
      <c r="G8" s="69" t="s">
        <v>152</v>
      </c>
      <c r="H8" s="69">
        <v>822780</v>
      </c>
      <c r="I8" s="69" t="s">
        <v>23407</v>
      </c>
      <c r="J8" s="58">
        <f>VLOOKUP(B8,'2025'!B:N,13,0)</f>
        <v>0</v>
      </c>
      <c r="K8" s="58">
        <f>VLOOKUP(B8,'2025'!B:Q,16,0)</f>
        <v>822780</v>
      </c>
      <c r="L8" s="58">
        <f>VLOOKUP(B8,'2025'!B:T,19,0)</f>
        <v>0</v>
      </c>
      <c r="M8" s="58">
        <f t="shared" si="0"/>
        <v>822780</v>
      </c>
      <c r="N8" s="58">
        <f t="shared" si="1"/>
        <v>0</v>
      </c>
    </row>
    <row r="9" spans="1:14">
      <c r="A9" s="69">
        <v>7</v>
      </c>
      <c r="B9" s="69">
        <v>3567542</v>
      </c>
      <c r="C9" s="69" t="s">
        <v>26388</v>
      </c>
      <c r="D9" s="69" t="s">
        <v>6688</v>
      </c>
      <c r="E9" s="69" t="s">
        <v>212</v>
      </c>
      <c r="F9" s="50" t="s">
        <v>93</v>
      </c>
      <c r="G9" s="69" t="s">
        <v>97</v>
      </c>
      <c r="H9" s="69">
        <v>199260</v>
      </c>
      <c r="I9" s="69" t="s">
        <v>23408</v>
      </c>
      <c r="J9" s="58">
        <f>VLOOKUP(B9,'2025'!B:N,13,0)</f>
        <v>199260</v>
      </c>
      <c r="K9" s="58">
        <f>VLOOKUP(B9,'2025'!B:Q,16,0)</f>
        <v>0</v>
      </c>
      <c r="L9" s="58">
        <f>VLOOKUP(B9,'2025'!B:T,19,0)</f>
        <v>0</v>
      </c>
      <c r="M9" s="58">
        <f t="shared" si="0"/>
        <v>199260</v>
      </c>
      <c r="N9" s="58">
        <f t="shared" si="1"/>
        <v>0</v>
      </c>
    </row>
    <row r="10" spans="1:14">
      <c r="A10" s="69">
        <v>8</v>
      </c>
      <c r="B10" s="69">
        <v>3992841</v>
      </c>
      <c r="C10" s="69" t="s">
        <v>26388</v>
      </c>
      <c r="D10" s="69" t="s">
        <v>17598</v>
      </c>
      <c r="E10" s="69" t="s">
        <v>174</v>
      </c>
      <c r="F10" s="69" t="s">
        <v>337</v>
      </c>
      <c r="G10" s="69" t="s">
        <v>152</v>
      </c>
      <c r="H10" s="69">
        <v>399378</v>
      </c>
      <c r="I10" s="69" t="s">
        <v>23409</v>
      </c>
      <c r="J10" s="58">
        <f>VLOOKUP(B10,'2025'!B:N,13,0)</f>
        <v>0</v>
      </c>
      <c r="K10" s="58">
        <f>VLOOKUP(B10,'2025'!B:Q,16,0)</f>
        <v>399378</v>
      </c>
      <c r="L10" s="58">
        <f>VLOOKUP(B10,'2025'!B:T,19,0)</f>
        <v>0</v>
      </c>
      <c r="M10" s="58">
        <f t="shared" si="0"/>
        <v>399378</v>
      </c>
      <c r="N10" s="58">
        <f t="shared" si="1"/>
        <v>0</v>
      </c>
    </row>
    <row r="11" spans="1:14">
      <c r="A11" s="69">
        <v>9</v>
      </c>
      <c r="B11" s="69">
        <v>5017017</v>
      </c>
      <c r="C11" s="69" t="s">
        <v>26388</v>
      </c>
      <c r="D11" s="69" t="s">
        <v>9835</v>
      </c>
      <c r="E11" s="69" t="s">
        <v>174</v>
      </c>
      <c r="F11" s="69" t="s">
        <v>149</v>
      </c>
      <c r="G11" s="69" t="s">
        <v>152</v>
      </c>
      <c r="H11" s="69">
        <v>1069614</v>
      </c>
      <c r="I11" s="69" t="s">
        <v>23407</v>
      </c>
      <c r="J11" s="58">
        <f>VLOOKUP(B11,'2025'!B:N,13,0)</f>
        <v>0</v>
      </c>
      <c r="K11" s="58">
        <f>VLOOKUP(B11,'2025'!B:Q,16,0)</f>
        <v>1069614</v>
      </c>
      <c r="L11" s="58">
        <f>VLOOKUP(B11,'2025'!B:T,19,0)</f>
        <v>0</v>
      </c>
      <c r="M11" s="58">
        <f t="shared" si="0"/>
        <v>1069614</v>
      </c>
      <c r="N11" s="58">
        <f t="shared" si="1"/>
        <v>0</v>
      </c>
    </row>
    <row r="12" spans="1:14">
      <c r="A12" s="69">
        <v>10</v>
      </c>
      <c r="B12" s="69">
        <v>5017812</v>
      </c>
      <c r="C12" s="69" t="s">
        <v>26388</v>
      </c>
      <c r="D12" s="69" t="s">
        <v>10240</v>
      </c>
      <c r="E12" s="69" t="s">
        <v>174</v>
      </c>
      <c r="F12" s="50" t="s">
        <v>93</v>
      </c>
      <c r="G12" s="69" t="s">
        <v>2163</v>
      </c>
      <c r="H12" s="69">
        <v>930446</v>
      </c>
      <c r="I12" s="69" t="s">
        <v>23410</v>
      </c>
      <c r="J12" s="58">
        <f>VLOOKUP(B12,'2025'!B:N,13,0)</f>
        <v>75294</v>
      </c>
      <c r="K12" s="58">
        <f>VLOOKUP(B12,'2025'!B:Q,16,0)</f>
        <v>92402</v>
      </c>
      <c r="L12" s="58">
        <f>VLOOKUP(B12,'2025'!B:T,19,0)</f>
        <v>762750</v>
      </c>
      <c r="M12" s="58">
        <f t="shared" si="0"/>
        <v>930446</v>
      </c>
      <c r="N12" s="58">
        <f t="shared" si="1"/>
        <v>0</v>
      </c>
    </row>
    <row r="13" spans="1:14">
      <c r="A13" s="69">
        <v>11</v>
      </c>
      <c r="B13" s="69">
        <v>3990168</v>
      </c>
      <c r="C13" s="69" t="s">
        <v>26388</v>
      </c>
      <c r="D13" s="69" t="s">
        <v>8073</v>
      </c>
      <c r="E13" s="69" t="s">
        <v>174</v>
      </c>
      <c r="F13" s="69" t="s">
        <v>149</v>
      </c>
      <c r="G13" s="69" t="s">
        <v>152</v>
      </c>
      <c r="H13" s="69">
        <v>1293985</v>
      </c>
      <c r="I13" s="69" t="s">
        <v>26357</v>
      </c>
      <c r="J13" s="58">
        <f>VLOOKUP(B13,'2025'!B:N,13,0)</f>
        <v>71760</v>
      </c>
      <c r="K13" s="58">
        <f>VLOOKUP(B13,'2025'!B:Q,16,0)</f>
        <v>1293985</v>
      </c>
      <c r="L13" s="58">
        <f>VLOOKUP(B13,'2025'!B:T,19,0)</f>
        <v>0</v>
      </c>
      <c r="M13" s="58">
        <f t="shared" si="0"/>
        <v>1365745</v>
      </c>
      <c r="N13" s="58">
        <f t="shared" si="1"/>
        <v>-71760</v>
      </c>
    </row>
    <row r="14" spans="1:14">
      <c r="A14" s="69">
        <v>12</v>
      </c>
      <c r="B14" s="69">
        <v>3591328</v>
      </c>
      <c r="C14" s="69" t="s">
        <v>26388</v>
      </c>
      <c r="D14" s="69" t="s">
        <v>6779</v>
      </c>
      <c r="E14" s="69" t="s">
        <v>174</v>
      </c>
      <c r="F14" s="69" t="s">
        <v>149</v>
      </c>
      <c r="G14" s="69" t="s">
        <v>2163</v>
      </c>
      <c r="H14" s="69">
        <v>1109546</v>
      </c>
      <c r="I14" s="69" t="s">
        <v>23410</v>
      </c>
      <c r="J14" s="58">
        <f>VLOOKUP(B14,'2025'!B:N,13,0)</f>
        <v>112793</v>
      </c>
      <c r="K14" s="58">
        <f>VLOOKUP(B14,'2025'!B:Q,16,0)</f>
        <v>115190</v>
      </c>
      <c r="L14" s="58">
        <f>VLOOKUP(B14,'2025'!B:T,19,0)</f>
        <v>881563</v>
      </c>
      <c r="M14" s="58">
        <f t="shared" si="0"/>
        <v>1109546</v>
      </c>
      <c r="N14" s="58">
        <f t="shared" si="1"/>
        <v>0</v>
      </c>
    </row>
    <row r="15" spans="1:14">
      <c r="A15" s="69">
        <v>13</v>
      </c>
      <c r="B15" s="69">
        <v>5018668</v>
      </c>
      <c r="C15" s="69" t="s">
        <v>26388</v>
      </c>
      <c r="D15" s="69" t="s">
        <v>20104</v>
      </c>
      <c r="E15" s="69" t="s">
        <v>212</v>
      </c>
      <c r="F15" s="69" t="s">
        <v>337</v>
      </c>
      <c r="G15" s="69" t="s">
        <v>23411</v>
      </c>
      <c r="H15" s="69">
        <v>537465</v>
      </c>
      <c r="I15" s="69" t="s">
        <v>23412</v>
      </c>
      <c r="J15" s="58">
        <f>VLOOKUP(B15,'2025'!B:N,13,0)</f>
        <v>0</v>
      </c>
      <c r="K15" s="58">
        <f>VLOOKUP(B15,'2025'!B:Q,16,0)</f>
        <v>169621</v>
      </c>
      <c r="L15" s="58">
        <f>VLOOKUP(B15,'2025'!B:T,19,0)</f>
        <v>367844</v>
      </c>
      <c r="M15" s="58">
        <f t="shared" si="0"/>
        <v>537465</v>
      </c>
      <c r="N15" s="58">
        <f t="shared" si="1"/>
        <v>0</v>
      </c>
    </row>
    <row r="16" spans="1:14">
      <c r="A16" s="69">
        <v>14</v>
      </c>
      <c r="B16" s="69">
        <v>4165785</v>
      </c>
      <c r="C16" s="69" t="s">
        <v>26388</v>
      </c>
      <c r="D16" s="69" t="s">
        <v>18246</v>
      </c>
      <c r="E16" s="69" t="s">
        <v>174</v>
      </c>
      <c r="F16" s="69" t="s">
        <v>337</v>
      </c>
      <c r="G16" s="69" t="s">
        <v>152</v>
      </c>
      <c r="H16" s="69">
        <v>219765</v>
      </c>
      <c r="I16" s="69" t="s">
        <v>23413</v>
      </c>
      <c r="J16" s="58">
        <f>VLOOKUP(B16,'2025'!B:N,13,0)</f>
        <v>0</v>
      </c>
      <c r="K16" s="58">
        <f>VLOOKUP(B16,'2025'!B:Q,16,0)</f>
        <v>219765</v>
      </c>
      <c r="L16" s="58">
        <f>VLOOKUP(B16,'2025'!B:T,19,0)</f>
        <v>0</v>
      </c>
      <c r="M16" s="58">
        <f t="shared" si="0"/>
        <v>219765</v>
      </c>
      <c r="N16" s="58">
        <f t="shared" si="1"/>
        <v>0</v>
      </c>
    </row>
    <row r="17" spans="1:14">
      <c r="A17" s="69">
        <v>15</v>
      </c>
      <c r="B17" s="69">
        <v>3443832</v>
      </c>
      <c r="C17" s="69" t="s">
        <v>26388</v>
      </c>
      <c r="D17" s="69" t="s">
        <v>6075</v>
      </c>
      <c r="E17" s="69" t="s">
        <v>122</v>
      </c>
      <c r="F17" s="69" t="s">
        <v>149</v>
      </c>
      <c r="G17" s="69" t="s">
        <v>848</v>
      </c>
      <c r="H17" s="69">
        <v>1661233</v>
      </c>
      <c r="I17" s="69" t="s">
        <v>23414</v>
      </c>
      <c r="J17" s="58">
        <f>VLOOKUP(B17,'2025'!B:N,13,0)</f>
        <v>0</v>
      </c>
      <c r="K17" s="58">
        <f>VLOOKUP(B17,'2025'!B:Q,16,0)</f>
        <v>0</v>
      </c>
      <c r="L17" s="58">
        <f>VLOOKUP(B17,'2025'!B:T,19,0)</f>
        <v>1661233</v>
      </c>
      <c r="M17" s="58">
        <f t="shared" si="0"/>
        <v>1661233</v>
      </c>
      <c r="N17" s="58">
        <f t="shared" si="1"/>
        <v>0</v>
      </c>
    </row>
    <row r="18" spans="1:14">
      <c r="A18" s="69">
        <v>16</v>
      </c>
      <c r="B18" s="69">
        <v>3301477</v>
      </c>
      <c r="C18" s="69" t="s">
        <v>26388</v>
      </c>
      <c r="D18" s="69" t="s">
        <v>15433</v>
      </c>
      <c r="E18" s="69" t="s">
        <v>122</v>
      </c>
      <c r="F18" s="69" t="s">
        <v>337</v>
      </c>
      <c r="G18" s="69" t="s">
        <v>152</v>
      </c>
      <c r="H18" s="69">
        <v>532928</v>
      </c>
      <c r="I18" s="69" t="s">
        <v>23415</v>
      </c>
      <c r="J18" s="58">
        <f>VLOOKUP(B18,'2025'!B:N,13,0)</f>
        <v>0</v>
      </c>
      <c r="K18" s="58">
        <f>VLOOKUP(B18,'2025'!B:Q,16,0)</f>
        <v>532928</v>
      </c>
      <c r="L18" s="58">
        <f>VLOOKUP(B18,'2025'!B:T,19,0)</f>
        <v>0</v>
      </c>
      <c r="M18" s="58">
        <f t="shared" si="0"/>
        <v>532928</v>
      </c>
      <c r="N18" s="58">
        <f t="shared" si="1"/>
        <v>0</v>
      </c>
    </row>
    <row r="19" spans="1:14">
      <c r="A19" s="69">
        <v>17</v>
      </c>
      <c r="B19" s="69">
        <v>1482482</v>
      </c>
      <c r="C19" s="69" t="s">
        <v>26388</v>
      </c>
      <c r="D19" s="69" t="s">
        <v>992</v>
      </c>
      <c r="E19" s="69" t="s">
        <v>122</v>
      </c>
      <c r="F19" s="69" t="s">
        <v>149</v>
      </c>
      <c r="G19" s="69" t="s">
        <v>152</v>
      </c>
      <c r="H19" s="69">
        <v>457350</v>
      </c>
      <c r="I19" s="69" t="s">
        <v>25627</v>
      </c>
      <c r="J19" s="58">
        <f>VLOOKUP(B19,'2025'!B:N,13,0)</f>
        <v>0</v>
      </c>
      <c r="K19" s="58">
        <f>VLOOKUP(B19,'2025'!B:Q,16,0)</f>
        <v>457350</v>
      </c>
      <c r="L19" s="58">
        <f>VLOOKUP(B19,'2025'!B:T,19,0)</f>
        <v>0</v>
      </c>
      <c r="M19" s="58">
        <f t="shared" si="0"/>
        <v>457350</v>
      </c>
      <c r="N19" s="58">
        <f t="shared" si="1"/>
        <v>0</v>
      </c>
    </row>
    <row r="20" spans="1:14">
      <c r="A20" s="69">
        <v>18</v>
      </c>
      <c r="B20" s="69">
        <v>5039845</v>
      </c>
      <c r="C20" s="69" t="s">
        <v>26388</v>
      </c>
      <c r="D20" s="69" t="s">
        <v>23416</v>
      </c>
      <c r="E20" s="69" t="s">
        <v>122</v>
      </c>
      <c r="F20" s="69" t="s">
        <v>337</v>
      </c>
      <c r="G20" s="69" t="s">
        <v>193</v>
      </c>
      <c r="H20" s="69">
        <v>408314</v>
      </c>
      <c r="I20" s="69" t="s">
        <v>23417</v>
      </c>
      <c r="J20" s="58">
        <f>VLOOKUP(B20,'2025'!B:N,13,0)</f>
        <v>93019</v>
      </c>
      <c r="K20" s="58">
        <f>VLOOKUP(B20,'2025'!B:Q,16,0)</f>
        <v>0</v>
      </c>
      <c r="L20" s="58">
        <f>VLOOKUP(B20,'2025'!B:T,19,0)</f>
        <v>315295</v>
      </c>
      <c r="M20" s="58">
        <f t="shared" si="0"/>
        <v>408314</v>
      </c>
      <c r="N20" s="58">
        <f t="shared" si="1"/>
        <v>0</v>
      </c>
    </row>
    <row r="21" spans="1:14">
      <c r="A21" s="69">
        <v>19</v>
      </c>
      <c r="B21" s="69">
        <v>5037382</v>
      </c>
      <c r="C21" s="69" t="s">
        <v>26388</v>
      </c>
      <c r="D21" s="69" t="s">
        <v>23418</v>
      </c>
      <c r="E21" s="69" t="s">
        <v>122</v>
      </c>
      <c r="F21" s="69" t="s">
        <v>337</v>
      </c>
      <c r="G21" s="69" t="s">
        <v>152</v>
      </c>
      <c r="H21" s="69">
        <v>353567</v>
      </c>
      <c r="I21" s="69" t="s">
        <v>23419</v>
      </c>
      <c r="J21" s="58">
        <f>VLOOKUP(B21,'2025'!B:N,13,0)</f>
        <v>0</v>
      </c>
      <c r="K21" s="58">
        <f>VLOOKUP(B21,'2025'!B:Q,16,0)</f>
        <v>353567</v>
      </c>
      <c r="L21" s="58">
        <f>VLOOKUP(B21,'2025'!B:T,19,0)</f>
        <v>0</v>
      </c>
      <c r="M21" s="58">
        <f t="shared" si="0"/>
        <v>353567</v>
      </c>
      <c r="N21" s="58">
        <f t="shared" si="1"/>
        <v>0</v>
      </c>
    </row>
    <row r="22" spans="1:14">
      <c r="A22" s="69">
        <v>20</v>
      </c>
      <c r="B22" s="69">
        <v>5017915</v>
      </c>
      <c r="C22" s="69" t="s">
        <v>26388</v>
      </c>
      <c r="D22" s="69" t="s">
        <v>25628</v>
      </c>
      <c r="E22" s="69" t="s">
        <v>212</v>
      </c>
      <c r="F22" s="69" t="s">
        <v>149</v>
      </c>
      <c r="G22" s="69" t="s">
        <v>848</v>
      </c>
      <c r="H22" s="69">
        <v>353000</v>
      </c>
      <c r="I22" s="69" t="s">
        <v>25629</v>
      </c>
      <c r="J22" s="58">
        <f>VLOOKUP(B22,'2025'!B:N,13,0)</f>
        <v>0</v>
      </c>
      <c r="K22" s="58">
        <f>VLOOKUP(B22,'2025'!B:Q,16,0)</f>
        <v>0</v>
      </c>
      <c r="L22" s="58">
        <f>VLOOKUP(B22,'2025'!B:T,19,0)</f>
        <v>353845</v>
      </c>
      <c r="M22" s="58">
        <f t="shared" si="0"/>
        <v>353845</v>
      </c>
      <c r="N22" s="58">
        <f t="shared" si="1"/>
        <v>-845</v>
      </c>
    </row>
    <row r="23" spans="1:14">
      <c r="A23" s="69">
        <v>21</v>
      </c>
      <c r="B23" s="69">
        <v>3990957</v>
      </c>
      <c r="C23" s="69" t="s">
        <v>26388</v>
      </c>
      <c r="D23" s="69" t="s">
        <v>8104</v>
      </c>
      <c r="E23" s="69" t="s">
        <v>212</v>
      </c>
      <c r="F23" s="69" t="s">
        <v>149</v>
      </c>
      <c r="G23" s="69" t="s">
        <v>152</v>
      </c>
      <c r="H23" s="69">
        <v>551000</v>
      </c>
      <c r="I23" s="69" t="s">
        <v>25630</v>
      </c>
      <c r="J23" s="58">
        <f>VLOOKUP(B23,'2025'!B:N,13,0)</f>
        <v>0</v>
      </c>
      <c r="K23" s="58">
        <f>VLOOKUP(B23,'2025'!B:Q,16,0)</f>
        <v>551000</v>
      </c>
      <c r="L23" s="58">
        <f>VLOOKUP(B23,'2025'!B:T,19,0)</f>
        <v>0</v>
      </c>
      <c r="M23" s="58">
        <f t="shared" si="0"/>
        <v>551000</v>
      </c>
      <c r="N23" s="58">
        <f t="shared" si="1"/>
        <v>0</v>
      </c>
    </row>
    <row r="24" spans="1:14">
      <c r="A24" s="69">
        <v>22</v>
      </c>
      <c r="B24" s="69">
        <v>1035545</v>
      </c>
      <c r="C24" s="69" t="s">
        <v>26388</v>
      </c>
      <c r="D24" s="69" t="s">
        <v>25631</v>
      </c>
      <c r="E24" s="69" t="s">
        <v>122</v>
      </c>
      <c r="F24" s="50" t="s">
        <v>93</v>
      </c>
      <c r="G24" s="69" t="s">
        <v>152</v>
      </c>
      <c r="H24" s="70">
        <v>1938522</v>
      </c>
      <c r="I24" s="69" t="s">
        <v>25632</v>
      </c>
      <c r="J24" s="58">
        <f>VLOOKUP(B24,'2025'!B:N,13,0)</f>
        <v>0</v>
      </c>
      <c r="K24" s="58">
        <f>VLOOKUP(B24,'2025'!B:Q,16,0)</f>
        <v>1938522</v>
      </c>
      <c r="L24" s="58">
        <f>VLOOKUP(B24,'2025'!B:T,19,0)</f>
        <v>0</v>
      </c>
      <c r="M24" s="58">
        <f t="shared" si="0"/>
        <v>1938522</v>
      </c>
      <c r="N24" s="58">
        <f t="shared" si="1"/>
        <v>0</v>
      </c>
    </row>
    <row r="25" spans="1:14">
      <c r="A25" s="69">
        <v>23</v>
      </c>
      <c r="B25" s="69">
        <v>3072629</v>
      </c>
      <c r="C25" s="69" t="s">
        <v>26388</v>
      </c>
      <c r="D25" s="69" t="s">
        <v>25633</v>
      </c>
      <c r="E25" s="69" t="s">
        <v>122</v>
      </c>
      <c r="F25" s="69" t="s">
        <v>149</v>
      </c>
      <c r="G25" s="69" t="s">
        <v>25634</v>
      </c>
      <c r="H25" s="70">
        <v>1620407</v>
      </c>
      <c r="I25" s="69" t="s">
        <v>25635</v>
      </c>
      <c r="J25" s="58">
        <f>VLOOKUP(B25,'2025'!B:N,13,0)</f>
        <v>0</v>
      </c>
      <c r="K25" s="58">
        <f>VLOOKUP(B25,'2025'!B:Q,16,0)</f>
        <v>0</v>
      </c>
      <c r="L25" s="58">
        <f>VLOOKUP(B25,'2025'!B:T,19,0)</f>
        <v>1514631</v>
      </c>
      <c r="M25" s="58">
        <f t="shared" si="0"/>
        <v>1514631</v>
      </c>
      <c r="N25" s="58">
        <f t="shared" si="1"/>
        <v>105776</v>
      </c>
    </row>
    <row r="26" spans="1:14">
      <c r="A26" s="69">
        <v>24</v>
      </c>
      <c r="B26" s="69">
        <v>1338674</v>
      </c>
      <c r="C26" s="69" t="s">
        <v>26388</v>
      </c>
      <c r="D26" s="69" t="s">
        <v>25636</v>
      </c>
      <c r="E26" s="69" t="s">
        <v>122</v>
      </c>
      <c r="F26" s="69" t="s">
        <v>337</v>
      </c>
      <c r="G26" s="69" t="s">
        <v>152</v>
      </c>
      <c r="H26" s="70">
        <v>494546</v>
      </c>
      <c r="I26" s="69" t="s">
        <v>25637</v>
      </c>
      <c r="J26" s="58">
        <f>VLOOKUP(B26,'2025'!B:N,13,0)</f>
        <v>0</v>
      </c>
      <c r="K26" s="58">
        <f>VLOOKUP(B26,'2025'!B:Q,16,0)</f>
        <v>494546</v>
      </c>
      <c r="L26" s="58">
        <f>VLOOKUP(B26,'2025'!B:T,19,0)</f>
        <v>0</v>
      </c>
      <c r="M26" s="58">
        <f t="shared" si="0"/>
        <v>494546</v>
      </c>
      <c r="N26" s="58">
        <f t="shared" si="1"/>
        <v>0</v>
      </c>
    </row>
    <row r="27" spans="1:14">
      <c r="A27" s="69">
        <v>25</v>
      </c>
      <c r="B27" s="69">
        <v>3992442</v>
      </c>
      <c r="C27" s="69" t="s">
        <v>26388</v>
      </c>
      <c r="D27" s="69" t="s">
        <v>8195</v>
      </c>
      <c r="E27" s="69" t="s">
        <v>122</v>
      </c>
      <c r="F27" s="69" t="s">
        <v>149</v>
      </c>
      <c r="G27" s="69" t="s">
        <v>848</v>
      </c>
      <c r="H27" s="70">
        <v>663647</v>
      </c>
      <c r="I27" s="69" t="s">
        <v>25638</v>
      </c>
      <c r="J27" s="58">
        <f>VLOOKUP(B27,'2025'!B:N,13,0)</f>
        <v>0</v>
      </c>
      <c r="K27" s="58">
        <f>VLOOKUP(B27,'2025'!B:Q,16,0)</f>
        <v>0</v>
      </c>
      <c r="L27" s="58">
        <f>VLOOKUP(B27,'2025'!B:T,19,0)</f>
        <v>562413</v>
      </c>
      <c r="M27" s="58">
        <f t="shared" si="0"/>
        <v>562413</v>
      </c>
      <c r="N27" s="58">
        <f t="shared" si="1"/>
        <v>101234</v>
      </c>
    </row>
    <row r="28" spans="1:14">
      <c r="A28" s="69">
        <v>26</v>
      </c>
      <c r="B28" s="69">
        <v>4030028</v>
      </c>
      <c r="C28" s="69" t="s">
        <v>26388</v>
      </c>
      <c r="D28" s="69" t="s">
        <v>25639</v>
      </c>
      <c r="E28" s="69" t="s">
        <v>122</v>
      </c>
      <c r="F28" s="50" t="s">
        <v>93</v>
      </c>
      <c r="G28" s="69" t="s">
        <v>152</v>
      </c>
      <c r="H28" s="70">
        <v>593642</v>
      </c>
      <c r="I28" s="69" t="s">
        <v>25640</v>
      </c>
      <c r="J28" s="58">
        <f>VLOOKUP(B28,'2025'!B:N,13,0)</f>
        <v>0</v>
      </c>
      <c r="K28" s="58">
        <f>VLOOKUP(B28,'2025'!B:Q,16,0)</f>
        <v>593642</v>
      </c>
      <c r="L28" s="58">
        <f>VLOOKUP(B28,'2025'!B:T,19,0)</f>
        <v>0</v>
      </c>
      <c r="M28" s="58">
        <f t="shared" si="0"/>
        <v>593642</v>
      </c>
      <c r="N28" s="58">
        <f t="shared" si="1"/>
        <v>0</v>
      </c>
    </row>
    <row r="29" spans="1:14">
      <c r="A29" s="69">
        <v>27</v>
      </c>
      <c r="B29" s="69">
        <v>641697</v>
      </c>
      <c r="C29" s="69" t="s">
        <v>26388</v>
      </c>
      <c r="D29" s="71" t="s">
        <v>25641</v>
      </c>
      <c r="E29" s="69" t="s">
        <v>122</v>
      </c>
      <c r="F29" s="69" t="s">
        <v>337</v>
      </c>
      <c r="G29" s="69" t="s">
        <v>152</v>
      </c>
      <c r="H29" s="70">
        <v>540072</v>
      </c>
      <c r="I29" s="69" t="s">
        <v>25642</v>
      </c>
      <c r="J29" s="58">
        <f>VLOOKUP(B29,'2025'!B:N,13,0)</f>
        <v>0</v>
      </c>
      <c r="K29" s="58">
        <f>VLOOKUP(B29,'2025'!B:Q,16,0)</f>
        <v>540072</v>
      </c>
      <c r="L29" s="58">
        <f>VLOOKUP(B29,'2025'!B:T,19,0)</f>
        <v>0</v>
      </c>
      <c r="M29" s="58">
        <f t="shared" si="0"/>
        <v>540072</v>
      </c>
      <c r="N29" s="58">
        <f t="shared" si="1"/>
        <v>0</v>
      </c>
    </row>
    <row r="30" spans="1:14">
      <c r="A30" s="69">
        <v>28</v>
      </c>
      <c r="B30" s="69">
        <v>3757528</v>
      </c>
      <c r="C30" s="69" t="s">
        <v>26388</v>
      </c>
      <c r="D30" s="69" t="s">
        <v>25643</v>
      </c>
      <c r="E30" s="69" t="s">
        <v>122</v>
      </c>
      <c r="F30" s="69" t="s">
        <v>337</v>
      </c>
      <c r="G30" s="69" t="s">
        <v>97</v>
      </c>
      <c r="H30" s="70">
        <v>894687</v>
      </c>
      <c r="I30" s="69" t="s">
        <v>25644</v>
      </c>
      <c r="J30" s="58">
        <f>VLOOKUP(B30,'2025'!B:N,13,0)</f>
        <v>894687</v>
      </c>
      <c r="K30" s="58">
        <f>VLOOKUP(B30,'2025'!B:Q,16,0)</f>
        <v>0</v>
      </c>
      <c r="L30" s="58">
        <f>VLOOKUP(B30,'2025'!B:T,19,0)</f>
        <v>0</v>
      </c>
      <c r="M30" s="58">
        <f t="shared" si="0"/>
        <v>894687</v>
      </c>
      <c r="N30" s="58">
        <f t="shared" si="1"/>
        <v>0</v>
      </c>
    </row>
    <row r="31" spans="1:14">
      <c r="A31" s="69">
        <v>29</v>
      </c>
      <c r="B31" s="69">
        <v>63421</v>
      </c>
      <c r="C31" s="69" t="s">
        <v>26388</v>
      </c>
      <c r="D31" s="69" t="s">
        <v>11475</v>
      </c>
      <c r="E31" s="69" t="s">
        <v>622</v>
      </c>
      <c r="F31" s="69" t="s">
        <v>149</v>
      </c>
      <c r="G31" s="69" t="s">
        <v>152</v>
      </c>
      <c r="H31" s="70">
        <v>461177</v>
      </c>
      <c r="I31" s="69" t="s">
        <v>25645</v>
      </c>
      <c r="J31" s="58">
        <f>VLOOKUP(B31,'2025'!B:N,13,0)</f>
        <v>0</v>
      </c>
      <c r="K31" s="58">
        <f>VLOOKUP(B31,'2025'!B:Q,16,0)</f>
        <v>461177</v>
      </c>
      <c r="L31" s="58">
        <f>VLOOKUP(B31,'2025'!B:T,19,0)</f>
        <v>0</v>
      </c>
      <c r="M31" s="58">
        <f t="shared" si="0"/>
        <v>461177</v>
      </c>
      <c r="N31" s="58">
        <f t="shared" si="1"/>
        <v>0</v>
      </c>
    </row>
    <row r="32" spans="1:14">
      <c r="A32" s="69">
        <v>30</v>
      </c>
      <c r="B32" s="69">
        <v>3155272</v>
      </c>
      <c r="C32" s="69" t="s">
        <v>26388</v>
      </c>
      <c r="D32" s="69" t="s">
        <v>15052</v>
      </c>
      <c r="E32" s="69" t="s">
        <v>622</v>
      </c>
      <c r="F32" s="50" t="s">
        <v>93</v>
      </c>
      <c r="G32" s="69" t="s">
        <v>8024</v>
      </c>
      <c r="H32" s="70">
        <v>1931311</v>
      </c>
      <c r="I32" s="69" t="s">
        <v>25646</v>
      </c>
      <c r="J32" s="58">
        <f>VLOOKUP(B32,'2025'!B:N,13,0)</f>
        <v>0</v>
      </c>
      <c r="K32" s="58">
        <f>VLOOKUP(B32,'2025'!B:Q,16,0)</f>
        <v>888588</v>
      </c>
      <c r="L32" s="58">
        <f>VLOOKUP(B32,'2025'!B:T,19,0)</f>
        <v>1042723</v>
      </c>
      <c r="M32" s="58">
        <f t="shared" si="0"/>
        <v>1931311</v>
      </c>
      <c r="N32" s="58">
        <f t="shared" si="1"/>
        <v>0</v>
      </c>
    </row>
    <row r="33" spans="1:14">
      <c r="A33" s="69">
        <v>31</v>
      </c>
      <c r="B33" s="69">
        <v>608032</v>
      </c>
      <c r="C33" s="69" t="s">
        <v>26388</v>
      </c>
      <c r="D33" s="69" t="s">
        <v>21231</v>
      </c>
      <c r="E33" s="69" t="s">
        <v>622</v>
      </c>
      <c r="F33" s="50" t="s">
        <v>93</v>
      </c>
      <c r="G33" s="69" t="s">
        <v>97</v>
      </c>
      <c r="H33" s="70">
        <v>81000</v>
      </c>
      <c r="I33" s="69" t="s">
        <v>25647</v>
      </c>
      <c r="J33" s="58">
        <f>VLOOKUP(B33,'2025'!B:N,13,0)</f>
        <v>81000</v>
      </c>
      <c r="K33" s="58">
        <f>VLOOKUP(B33,'2025'!B:Q,16,0)</f>
        <v>0</v>
      </c>
      <c r="L33" s="58">
        <f>VLOOKUP(B33,'2025'!B:T,19,0)</f>
        <v>0</v>
      </c>
      <c r="M33" s="58">
        <f t="shared" si="0"/>
        <v>81000</v>
      </c>
      <c r="N33" s="58">
        <f t="shared" si="1"/>
        <v>0</v>
      </c>
    </row>
    <row r="34" spans="1:14">
      <c r="A34" s="69">
        <v>32</v>
      </c>
      <c r="B34" s="69">
        <v>5016188</v>
      </c>
      <c r="C34" s="69" t="s">
        <v>26388</v>
      </c>
      <c r="D34" s="69" t="s">
        <v>3351</v>
      </c>
      <c r="E34" s="69" t="s">
        <v>622</v>
      </c>
      <c r="F34" s="50" t="s">
        <v>93</v>
      </c>
      <c r="G34" s="69" t="s">
        <v>97</v>
      </c>
      <c r="H34" s="70">
        <v>203400</v>
      </c>
      <c r="I34" s="72" t="s">
        <v>26358</v>
      </c>
      <c r="J34" s="58">
        <f>VLOOKUP(B34,'2025'!B:N,13,0)</f>
        <v>203400</v>
      </c>
      <c r="K34" s="58">
        <f>VLOOKUP(B34,'2025'!B:Q,16,0)</f>
        <v>0</v>
      </c>
      <c r="L34" s="58">
        <f>VLOOKUP(B34,'2025'!B:T,19,0)</f>
        <v>0</v>
      </c>
      <c r="M34" s="58">
        <f t="shared" si="0"/>
        <v>203400</v>
      </c>
      <c r="N34" s="58">
        <f t="shared" si="1"/>
        <v>0</v>
      </c>
    </row>
    <row r="35" spans="1:14">
      <c r="A35" s="69">
        <v>33</v>
      </c>
      <c r="B35" s="69">
        <v>209833</v>
      </c>
      <c r="C35" s="69" t="s">
        <v>26388</v>
      </c>
      <c r="D35" s="69" t="s">
        <v>2671</v>
      </c>
      <c r="E35" s="69" t="s">
        <v>622</v>
      </c>
      <c r="F35" s="69" t="s">
        <v>149</v>
      </c>
      <c r="G35" s="69" t="s">
        <v>152</v>
      </c>
      <c r="H35" s="70">
        <v>360030</v>
      </c>
      <c r="I35" s="69" t="s">
        <v>25648</v>
      </c>
      <c r="J35" s="58">
        <f>VLOOKUP(B35,'2025'!B:N,13,0)</f>
        <v>0</v>
      </c>
      <c r="K35" s="58">
        <f>VLOOKUP(B35,'2025'!B:Q,16,0)</f>
        <v>360030</v>
      </c>
      <c r="L35" s="58">
        <f>VLOOKUP(B35,'2025'!B:T,19,0)</f>
        <v>0</v>
      </c>
      <c r="M35" s="58">
        <f t="shared" ref="M35:M36" si="2">SUM(J35:L35)</f>
        <v>360030</v>
      </c>
      <c r="N35" s="58">
        <f t="shared" ref="N35:N36" si="3">H35-M35</f>
        <v>0</v>
      </c>
    </row>
    <row r="36" spans="1:14">
      <c r="A36" s="69">
        <v>34</v>
      </c>
      <c r="B36" s="69">
        <v>8625</v>
      </c>
      <c r="C36" s="69" t="s">
        <v>26388</v>
      </c>
      <c r="D36" s="72" t="s">
        <v>11729</v>
      </c>
      <c r="E36" s="69" t="s">
        <v>622</v>
      </c>
      <c r="F36" s="50" t="s">
        <v>93</v>
      </c>
      <c r="G36" s="72" t="s">
        <v>23433</v>
      </c>
      <c r="H36" s="73">
        <v>132146</v>
      </c>
      <c r="I36" s="72" t="s">
        <v>26359</v>
      </c>
      <c r="J36" s="58">
        <f>VLOOKUP(B36,'2025'!B:N,13,0)</f>
        <v>0</v>
      </c>
      <c r="K36" s="58">
        <f>VLOOKUP(B36,'2025'!B:Q,16,0)</f>
        <v>197600</v>
      </c>
      <c r="L36" s="58">
        <f>VLOOKUP(B36,'2025'!B:T,19,0)</f>
        <v>0</v>
      </c>
      <c r="M36" s="58">
        <f t="shared" si="2"/>
        <v>197600</v>
      </c>
      <c r="N36" s="58">
        <f t="shared" si="3"/>
        <v>-65454</v>
      </c>
    </row>
    <row r="37" spans="1:14">
      <c r="A37" s="69">
        <v>36</v>
      </c>
      <c r="B37" s="69">
        <v>5015850</v>
      </c>
      <c r="C37" s="69" t="s">
        <v>26388</v>
      </c>
      <c r="D37" s="72" t="s">
        <v>14291</v>
      </c>
      <c r="E37" s="69" t="s">
        <v>622</v>
      </c>
      <c r="F37" s="69" t="s">
        <v>149</v>
      </c>
      <c r="G37" s="72" t="s">
        <v>23432</v>
      </c>
      <c r="H37" s="73">
        <v>22751</v>
      </c>
      <c r="I37" s="72" t="s">
        <v>26360</v>
      </c>
      <c r="J37" s="58">
        <f>VLOOKUP(B37,'2025'!B:N,13,0)</f>
        <v>22751</v>
      </c>
      <c r="K37" s="58">
        <f>VLOOKUP(B37,'2025'!B:Q,16,0)</f>
        <v>0</v>
      </c>
      <c r="L37" s="58">
        <f>VLOOKUP(B37,'2025'!B:T,19,0)</f>
        <v>0</v>
      </c>
      <c r="M37" s="58">
        <f t="shared" ref="M37" si="4">SUM(J37:L37)</f>
        <v>22751</v>
      </c>
      <c r="N37" s="58">
        <f t="shared" ref="N37" si="5">H37-M37</f>
        <v>0</v>
      </c>
    </row>
    <row r="38" spans="1:14">
      <c r="A38" s="69">
        <v>37</v>
      </c>
      <c r="B38" s="69">
        <v>2503955</v>
      </c>
      <c r="C38" s="69" t="s">
        <v>26388</v>
      </c>
      <c r="D38" s="72" t="s">
        <v>14291</v>
      </c>
      <c r="E38" s="69" t="s">
        <v>622</v>
      </c>
      <c r="F38" s="69" t="s">
        <v>149</v>
      </c>
      <c r="G38" s="72" t="s">
        <v>23432</v>
      </c>
      <c r="H38" s="73">
        <v>131047</v>
      </c>
      <c r="I38" s="72" t="s">
        <v>26360</v>
      </c>
      <c r="J38" s="58">
        <f>VLOOKUP(B38,'2025'!B:N,13,0)</f>
        <v>131047</v>
      </c>
      <c r="K38" s="58">
        <f>VLOOKUP(B38,'2025'!B:Q,16,0)</f>
        <v>0</v>
      </c>
      <c r="L38" s="58">
        <f>VLOOKUP(B38,'2025'!B:T,19,0)</f>
        <v>0</v>
      </c>
      <c r="M38" s="58">
        <f t="shared" ref="M38:M41" si="6">SUM(J38:L38)</f>
        <v>131047</v>
      </c>
      <c r="N38" s="58">
        <f t="shared" ref="N38:N41" si="7">H38-M38</f>
        <v>0</v>
      </c>
    </row>
    <row r="39" spans="1:14">
      <c r="A39" s="69">
        <v>38</v>
      </c>
      <c r="B39" s="69">
        <v>3875940</v>
      </c>
      <c r="C39" s="69" t="s">
        <v>26388</v>
      </c>
      <c r="D39" s="69" t="s">
        <v>7753</v>
      </c>
      <c r="E39" s="69" t="s">
        <v>174</v>
      </c>
      <c r="F39" s="69" t="s">
        <v>149</v>
      </c>
      <c r="G39" s="69" t="s">
        <v>152</v>
      </c>
      <c r="H39" s="70">
        <v>214139</v>
      </c>
      <c r="I39" s="69" t="s">
        <v>26361</v>
      </c>
      <c r="J39" s="58">
        <f>VLOOKUP(B39,'2025'!B:N,13,0)</f>
        <v>0</v>
      </c>
      <c r="K39" s="58">
        <f>VLOOKUP(B39,'2025'!B:Q,16,0)</f>
        <v>214139</v>
      </c>
      <c r="L39" s="58">
        <f>VLOOKUP(B39,'2025'!B:T,19,0)</f>
        <v>0</v>
      </c>
      <c r="M39" s="58">
        <f t="shared" si="6"/>
        <v>214139</v>
      </c>
      <c r="N39" s="58">
        <f t="shared" si="7"/>
        <v>0</v>
      </c>
    </row>
    <row r="40" spans="1:14">
      <c r="A40" s="69">
        <v>39</v>
      </c>
      <c r="B40" s="69">
        <v>5018584</v>
      </c>
      <c r="C40" s="69" t="s">
        <v>26388</v>
      </c>
      <c r="D40" s="69" t="s">
        <v>20063</v>
      </c>
      <c r="E40" s="69" t="s">
        <v>174</v>
      </c>
      <c r="F40" s="69" t="s">
        <v>337</v>
      </c>
      <c r="G40" s="69" t="s">
        <v>848</v>
      </c>
      <c r="H40" s="70">
        <v>113070</v>
      </c>
      <c r="I40" s="69" t="s">
        <v>26362</v>
      </c>
      <c r="J40" s="58">
        <f>VLOOKUP(B40,'2025'!B:N,13,0)</f>
        <v>0</v>
      </c>
      <c r="K40" s="58">
        <f>VLOOKUP(B40,'2025'!B:Q,16,0)</f>
        <v>0</v>
      </c>
      <c r="L40" s="58">
        <f>VLOOKUP(B40,'2025'!B:T,19,0)</f>
        <v>113070</v>
      </c>
      <c r="M40" s="58">
        <f t="shared" si="6"/>
        <v>113070</v>
      </c>
      <c r="N40" s="58">
        <f t="shared" si="7"/>
        <v>0</v>
      </c>
    </row>
    <row r="41" spans="1:14">
      <c r="A41" s="69">
        <v>40</v>
      </c>
      <c r="B41" s="69">
        <v>452934</v>
      </c>
      <c r="C41" s="69" t="s">
        <v>26388</v>
      </c>
      <c r="D41" s="69" t="s">
        <v>18350</v>
      </c>
      <c r="E41" s="69" t="s">
        <v>174</v>
      </c>
      <c r="F41" s="69" t="s">
        <v>337</v>
      </c>
      <c r="G41" s="69" t="s">
        <v>152</v>
      </c>
      <c r="H41" s="70">
        <v>439699</v>
      </c>
      <c r="I41" s="69" t="s">
        <v>26363</v>
      </c>
      <c r="J41" s="58">
        <f>VLOOKUP(B41,'2025'!B:N,13,0)</f>
        <v>0</v>
      </c>
      <c r="K41" s="58">
        <f>VLOOKUP(B41,'2025'!B:Q,16,0)</f>
        <v>439699</v>
      </c>
      <c r="L41" s="58">
        <f>VLOOKUP(B41,'2025'!B:T,19,0)</f>
        <v>0</v>
      </c>
      <c r="M41" s="58">
        <f t="shared" si="6"/>
        <v>439699</v>
      </c>
      <c r="N41" s="58">
        <f t="shared" si="7"/>
        <v>0</v>
      </c>
    </row>
    <row r="42" spans="1:14">
      <c r="A42" s="69">
        <v>41</v>
      </c>
      <c r="B42" s="69">
        <v>96888</v>
      </c>
      <c r="C42" s="69" t="s">
        <v>26388</v>
      </c>
      <c r="D42" s="76" t="s">
        <v>26365</v>
      </c>
      <c r="E42" s="3" t="s">
        <v>622</v>
      </c>
      <c r="F42" s="3" t="s">
        <v>337</v>
      </c>
      <c r="G42" s="3" t="s">
        <v>152</v>
      </c>
      <c r="H42" s="61">
        <v>162064</v>
      </c>
      <c r="I42" s="36" t="s">
        <v>26366</v>
      </c>
      <c r="J42" s="58">
        <f>VLOOKUP(B42,'2025'!B:N,13,0)</f>
        <v>0</v>
      </c>
      <c r="K42" s="58">
        <f>VLOOKUP(B42,'2025'!B:Q,16,0)</f>
        <v>162064</v>
      </c>
      <c r="L42" s="58">
        <f>VLOOKUP(B42,'2025'!B:T,19,0)</f>
        <v>0</v>
      </c>
      <c r="M42" s="58">
        <f t="shared" ref="M42:M44" si="8">SUM(J42:L42)</f>
        <v>162064</v>
      </c>
      <c r="N42" s="58">
        <f t="shared" ref="N42:N44" si="9">H42-M42</f>
        <v>0</v>
      </c>
    </row>
    <row r="43" spans="1:14">
      <c r="A43" s="69">
        <v>42</v>
      </c>
      <c r="B43" s="69">
        <v>5003047</v>
      </c>
      <c r="C43" s="69" t="s">
        <v>26388</v>
      </c>
      <c r="D43" s="77" t="s">
        <v>18528</v>
      </c>
      <c r="E43" s="3" t="s">
        <v>622</v>
      </c>
      <c r="F43" s="3" t="s">
        <v>337</v>
      </c>
      <c r="G43" s="3" t="s">
        <v>848</v>
      </c>
      <c r="H43" s="61">
        <v>397423</v>
      </c>
      <c r="I43" s="3" t="s">
        <v>26386</v>
      </c>
      <c r="J43" s="58">
        <f>VLOOKUP(B43,'2025'!B:N,13,0)</f>
        <v>0</v>
      </c>
      <c r="K43" s="58">
        <f>VLOOKUP(B43,'2025'!B:Q,16,0)</f>
        <v>0</v>
      </c>
      <c r="L43" s="58">
        <f>VLOOKUP(B43,'2025'!B:T,19,0)</f>
        <v>397423</v>
      </c>
      <c r="M43" s="58">
        <f t="shared" si="8"/>
        <v>397423</v>
      </c>
      <c r="N43" s="58">
        <f t="shared" si="9"/>
        <v>0</v>
      </c>
    </row>
    <row r="44" spans="1:14">
      <c r="A44" s="69">
        <v>43</v>
      </c>
      <c r="B44" s="69">
        <v>5046169</v>
      </c>
      <c r="C44" s="69" t="s">
        <v>26388</v>
      </c>
      <c r="D44" s="79" t="s">
        <v>20470</v>
      </c>
      <c r="E44" s="60" t="s">
        <v>212</v>
      </c>
      <c r="F44" s="60" t="s">
        <v>93</v>
      </c>
      <c r="G44" s="60" t="s">
        <v>23432</v>
      </c>
      <c r="H44" s="60">
        <v>225900</v>
      </c>
      <c r="I44" s="60" t="s">
        <v>26622</v>
      </c>
      <c r="J44" s="58">
        <f>VLOOKUP(B44,'2025'!B:N,13,0)</f>
        <v>225900</v>
      </c>
      <c r="K44" s="58">
        <f>VLOOKUP(B44,'2025'!B:Q,16,0)</f>
        <v>0</v>
      </c>
      <c r="L44" s="58">
        <f>VLOOKUP(B44,'2025'!B:T,19,0)</f>
        <v>0</v>
      </c>
      <c r="M44" s="58">
        <f t="shared" si="8"/>
        <v>225900</v>
      </c>
      <c r="N44" s="58">
        <f t="shared" si="9"/>
        <v>0</v>
      </c>
    </row>
    <row r="45" spans="1:14">
      <c r="A45" s="69">
        <v>44</v>
      </c>
      <c r="B45" s="69">
        <v>5016248</v>
      </c>
      <c r="C45" s="69" t="s">
        <v>26388</v>
      </c>
      <c r="D45" s="60" t="s">
        <v>18841</v>
      </c>
      <c r="E45" s="60" t="s">
        <v>122</v>
      </c>
      <c r="F45" s="60" t="s">
        <v>337</v>
      </c>
      <c r="G45" s="60" t="s">
        <v>152</v>
      </c>
      <c r="H45" s="60">
        <v>625015</v>
      </c>
      <c r="I45" s="60" t="s">
        <v>26631</v>
      </c>
      <c r="J45" s="66"/>
      <c r="K45" s="58">
        <f>VLOOKUP(B45,'2025'!B:Q,16,0)</f>
        <v>625015</v>
      </c>
      <c r="L45" s="58">
        <f>VLOOKUP(B45,'2025'!B:T,19,0)</f>
        <v>0</v>
      </c>
      <c r="M45" s="58">
        <f>SUM(K45:L45)</f>
        <v>625015</v>
      </c>
    </row>
    <row r="46" spans="1:14">
      <c r="A46" s="69">
        <v>45</v>
      </c>
      <c r="B46" s="69">
        <v>3992830</v>
      </c>
      <c r="C46" s="69" t="s">
        <v>26388</v>
      </c>
      <c r="D46" s="60" t="s">
        <v>17574</v>
      </c>
      <c r="E46" s="60" t="s">
        <v>122</v>
      </c>
      <c r="F46" s="60" t="s">
        <v>337</v>
      </c>
      <c r="G46" s="60" t="s">
        <v>152</v>
      </c>
      <c r="H46" s="60">
        <v>750657</v>
      </c>
      <c r="I46" s="60" t="s">
        <v>26631</v>
      </c>
      <c r="J46" s="66"/>
      <c r="K46" s="58">
        <f>VLOOKUP(B46,'2025'!B:Q,16,0)</f>
        <v>750657</v>
      </c>
      <c r="L46" s="58">
        <f>VLOOKUP(B46,'2025'!B:T,19,0)</f>
        <v>0</v>
      </c>
      <c r="M46" s="58">
        <f>SUM(K46:L46)</f>
        <v>750657</v>
      </c>
    </row>
    <row r="47" spans="1:14">
      <c r="A47" s="69">
        <v>46</v>
      </c>
      <c r="B47" s="69">
        <v>2171347</v>
      </c>
      <c r="C47" s="69" t="s">
        <v>26388</v>
      </c>
      <c r="D47" s="60" t="s">
        <v>2791</v>
      </c>
      <c r="E47" s="60" t="s">
        <v>122</v>
      </c>
      <c r="F47" s="60" t="s">
        <v>149</v>
      </c>
      <c r="G47" s="60" t="s">
        <v>152</v>
      </c>
      <c r="H47" s="60">
        <v>1728118</v>
      </c>
      <c r="I47" s="60" t="s">
        <v>26632</v>
      </c>
      <c r="J47" s="66"/>
      <c r="K47" s="58">
        <f>VLOOKUP(B47,'2025'!B:Q,16,0)</f>
        <v>1728118</v>
      </c>
      <c r="L47" s="58">
        <f>VLOOKUP(B47,'2025'!B:T,19,0)</f>
        <v>0</v>
      </c>
      <c r="M47" s="58">
        <f>SUM(K47:L47)</f>
        <v>1728118</v>
      </c>
    </row>
    <row r="48" spans="1:14">
      <c r="A48" s="69">
        <v>47</v>
      </c>
      <c r="B48" s="69">
        <v>3155338</v>
      </c>
      <c r="C48" s="69" t="s">
        <v>26388</v>
      </c>
      <c r="D48" s="60" t="s">
        <v>4832</v>
      </c>
      <c r="E48" s="60" t="s">
        <v>122</v>
      </c>
      <c r="F48" s="60" t="s">
        <v>93</v>
      </c>
      <c r="G48" s="60" t="s">
        <v>26633</v>
      </c>
      <c r="H48" s="60">
        <v>624234</v>
      </c>
      <c r="I48" s="60" t="s">
        <v>26634</v>
      </c>
      <c r="J48" s="66"/>
      <c r="K48" s="58">
        <f>VLOOKUP(B48,'2025'!B:Q,16,0)</f>
        <v>0</v>
      </c>
      <c r="L48" s="58">
        <f>VLOOKUP(B48,'2025'!B:T,19,0)</f>
        <v>2407313</v>
      </c>
      <c r="M48" s="58">
        <f>SUM(K48:L48)</f>
        <v>2407313</v>
      </c>
    </row>
  </sheetData>
  <autoFilter ref="A2:L41" xr:uid="{2D776390-FAFA-1F4B-BC7F-A55536EE78F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CB21D-AD55-384D-BE1A-AA4FAFAF1E18}">
  <sheetPr filterMode="1"/>
  <dimension ref="A1:CO382"/>
  <sheetViews>
    <sheetView workbookViewId="0">
      <selection activeCell="A4" sqref="A4:XFD379"/>
    </sheetView>
  </sheetViews>
  <sheetFormatPr baseColWidth="10" defaultRowHeight="15"/>
  <cols>
    <col min="3" max="3" width="57.83203125" bestFit="1" customWidth="1"/>
  </cols>
  <sheetData>
    <row r="1" spans="1:9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hidden="1">
      <c r="A2" t="s">
        <v>149</v>
      </c>
      <c r="B2">
        <v>1019428</v>
      </c>
      <c r="C2" t="s">
        <v>191</v>
      </c>
      <c r="D2" t="s">
        <v>21661</v>
      </c>
      <c r="E2" t="s">
        <v>21857</v>
      </c>
      <c r="F2" t="s">
        <v>3549</v>
      </c>
      <c r="G2" t="s">
        <v>98</v>
      </c>
      <c r="H2" t="s">
        <v>24887</v>
      </c>
      <c r="I2" t="s">
        <v>100</v>
      </c>
      <c r="J2">
        <v>0</v>
      </c>
      <c r="K2">
        <v>0</v>
      </c>
      <c r="L2">
        <v>0</v>
      </c>
      <c r="M2">
        <v>800</v>
      </c>
      <c r="N2" t="s">
        <v>102</v>
      </c>
      <c r="O2">
        <v>0</v>
      </c>
      <c r="P2">
        <v>0</v>
      </c>
      <c r="R2">
        <v>0</v>
      </c>
      <c r="S2">
        <v>800</v>
      </c>
      <c r="T2" t="s">
        <v>102</v>
      </c>
      <c r="U2" t="s">
        <v>102</v>
      </c>
      <c r="V2" t="s">
        <v>275</v>
      </c>
      <c r="X2" t="s">
        <v>21857</v>
      </c>
      <c r="Y2" t="s">
        <v>109</v>
      </c>
      <c r="Z2" t="s">
        <v>102</v>
      </c>
      <c r="AA2" t="s">
        <v>109</v>
      </c>
      <c r="AB2" t="s">
        <v>102</v>
      </c>
      <c r="AC2" t="s">
        <v>109</v>
      </c>
      <c r="AD2" t="s">
        <v>102</v>
      </c>
      <c r="AE2" t="s">
        <v>109</v>
      </c>
      <c r="AF2" t="s">
        <v>102</v>
      </c>
      <c r="AG2" t="s">
        <v>102</v>
      </c>
      <c r="AJ2" t="s">
        <v>102</v>
      </c>
      <c r="AK2" t="s">
        <v>102</v>
      </c>
      <c r="AL2" t="s">
        <v>102</v>
      </c>
      <c r="AM2" t="s">
        <v>115</v>
      </c>
      <c r="AN2" t="s">
        <v>115</v>
      </c>
      <c r="AS2" t="s">
        <v>117</v>
      </c>
      <c r="AT2" t="s">
        <v>118</v>
      </c>
      <c r="AU2" t="s">
        <v>102</v>
      </c>
      <c r="AV2" t="s">
        <v>119</v>
      </c>
      <c r="AY2" t="s">
        <v>250</v>
      </c>
      <c r="AZ2" t="s">
        <v>209</v>
      </c>
      <c r="BA2" t="s">
        <v>210</v>
      </c>
      <c r="BB2" t="s">
        <v>211</v>
      </c>
      <c r="BC2" t="s">
        <v>212</v>
      </c>
      <c r="BD2" t="s">
        <v>213</v>
      </c>
      <c r="BE2" t="s">
        <v>124</v>
      </c>
      <c r="BF2" t="s">
        <v>24888</v>
      </c>
      <c r="BG2" t="s">
        <v>23025</v>
      </c>
      <c r="BH2" t="s">
        <v>127</v>
      </c>
      <c r="BI2" t="s">
        <v>24889</v>
      </c>
      <c r="BJ2" t="s">
        <v>217</v>
      </c>
      <c r="BK2" t="s">
        <v>24890</v>
      </c>
      <c r="BL2" t="s">
        <v>21857</v>
      </c>
      <c r="BM2" t="s">
        <v>24891</v>
      </c>
      <c r="BN2" t="s">
        <v>180</v>
      </c>
      <c r="BO2" t="s">
        <v>24892</v>
      </c>
      <c r="BP2" t="s">
        <v>24893</v>
      </c>
      <c r="BQ2" t="s">
        <v>222</v>
      </c>
      <c r="BS2" t="s">
        <v>24894</v>
      </c>
      <c r="BT2" t="s">
        <v>3585</v>
      </c>
      <c r="BU2" t="s">
        <v>598</v>
      </c>
      <c r="BV2" t="s">
        <v>225</v>
      </c>
      <c r="BW2" t="s">
        <v>8332</v>
      </c>
      <c r="BX2" t="s">
        <v>227</v>
      </c>
      <c r="BY2" t="s">
        <v>24895</v>
      </c>
      <c r="BZ2" t="s">
        <v>24896</v>
      </c>
      <c r="CA2" t="s">
        <v>24897</v>
      </c>
      <c r="CB2" t="s">
        <v>24895</v>
      </c>
      <c r="CC2" t="s">
        <v>24896</v>
      </c>
      <c r="CD2" t="s">
        <v>24897</v>
      </c>
      <c r="CE2" t="s">
        <v>102</v>
      </c>
      <c r="CF2" t="s">
        <v>228</v>
      </c>
      <c r="CH2" t="s">
        <v>229</v>
      </c>
      <c r="CJ2" t="s">
        <v>210</v>
      </c>
      <c r="CK2" t="s">
        <v>211</v>
      </c>
      <c r="CL2" t="s">
        <v>229</v>
      </c>
      <c r="CM2" t="s">
        <v>230</v>
      </c>
      <c r="CN2" t="s">
        <v>228</v>
      </c>
      <c r="CO2" t="s">
        <v>228</v>
      </c>
    </row>
    <row r="3" spans="1:93" hidden="1">
      <c r="A3" t="s">
        <v>149</v>
      </c>
      <c r="B3">
        <v>10251</v>
      </c>
      <c r="C3" t="s">
        <v>271</v>
      </c>
      <c r="D3" t="s">
        <v>21661</v>
      </c>
      <c r="E3" t="s">
        <v>22101</v>
      </c>
      <c r="F3" t="s">
        <v>152</v>
      </c>
      <c r="G3" t="s">
        <v>98</v>
      </c>
      <c r="H3" t="s">
        <v>24040</v>
      </c>
      <c r="I3" t="s">
        <v>100</v>
      </c>
      <c r="J3">
        <v>1110525</v>
      </c>
      <c r="K3">
        <v>1110525</v>
      </c>
      <c r="L3">
        <v>0</v>
      </c>
      <c r="M3">
        <v>0</v>
      </c>
      <c r="O3">
        <v>1110525</v>
      </c>
      <c r="P3">
        <v>414</v>
      </c>
      <c r="Q3" t="s">
        <v>24041</v>
      </c>
      <c r="R3">
        <v>0</v>
      </c>
      <c r="S3">
        <v>0</v>
      </c>
      <c r="U3" t="s">
        <v>102</v>
      </c>
      <c r="V3" t="s">
        <v>275</v>
      </c>
      <c r="X3" t="s">
        <v>19143</v>
      </c>
      <c r="Y3" t="s">
        <v>109</v>
      </c>
      <c r="Z3" t="s">
        <v>102</v>
      </c>
      <c r="AA3" t="s">
        <v>109</v>
      </c>
      <c r="AB3" t="s">
        <v>102</v>
      </c>
      <c r="AC3" t="s">
        <v>109</v>
      </c>
      <c r="AD3" t="s">
        <v>102</v>
      </c>
      <c r="AE3" t="s">
        <v>109</v>
      </c>
      <c r="AF3" t="s">
        <v>102</v>
      </c>
      <c r="AG3" t="s">
        <v>102</v>
      </c>
      <c r="AJ3" t="s">
        <v>102</v>
      </c>
      <c r="AK3" t="s">
        <v>102</v>
      </c>
      <c r="AL3" t="s">
        <v>102</v>
      </c>
      <c r="AM3" t="s">
        <v>24042</v>
      </c>
      <c r="AN3" t="s">
        <v>24042</v>
      </c>
      <c r="AS3" t="s">
        <v>102</v>
      </c>
      <c r="AU3" t="s">
        <v>1384</v>
      </c>
      <c r="AV3" t="s">
        <v>119</v>
      </c>
      <c r="AX3" t="s">
        <v>250</v>
      </c>
      <c r="AZ3" t="s">
        <v>171</v>
      </c>
      <c r="BA3" t="s">
        <v>284</v>
      </c>
      <c r="BB3" t="s">
        <v>285</v>
      </c>
      <c r="BC3" t="s">
        <v>212</v>
      </c>
      <c r="BD3" t="s">
        <v>286</v>
      </c>
      <c r="BE3" t="s">
        <v>124</v>
      </c>
      <c r="BF3" t="s">
        <v>12250</v>
      </c>
      <c r="BG3" t="s">
        <v>21667</v>
      </c>
      <c r="BH3" t="s">
        <v>127</v>
      </c>
      <c r="BI3" t="s">
        <v>24043</v>
      </c>
      <c r="BJ3" t="s">
        <v>288</v>
      </c>
      <c r="BK3" t="s">
        <v>24044</v>
      </c>
      <c r="BL3" t="s">
        <v>22101</v>
      </c>
      <c r="BM3" t="s">
        <v>23823</v>
      </c>
      <c r="BN3" t="s">
        <v>132</v>
      </c>
      <c r="BO3" t="s">
        <v>23824</v>
      </c>
      <c r="BP3" t="s">
        <v>23825</v>
      </c>
      <c r="BQ3" t="s">
        <v>293</v>
      </c>
      <c r="BS3" t="s">
        <v>24045</v>
      </c>
      <c r="BT3" t="s">
        <v>24046</v>
      </c>
      <c r="BU3" t="s">
        <v>138</v>
      </c>
      <c r="BV3" t="s">
        <v>297</v>
      </c>
      <c r="BW3" t="s">
        <v>12013</v>
      </c>
      <c r="BY3" t="s">
        <v>24046</v>
      </c>
      <c r="BZ3" t="s">
        <v>297</v>
      </c>
      <c r="CA3" t="s">
        <v>12013</v>
      </c>
      <c r="CB3" t="s">
        <v>24046</v>
      </c>
      <c r="CC3" t="s">
        <v>297</v>
      </c>
      <c r="CD3" t="s">
        <v>12013</v>
      </c>
      <c r="CE3" t="s">
        <v>102</v>
      </c>
      <c r="CF3" t="s">
        <v>12017</v>
      </c>
      <c r="CH3" t="s">
        <v>305</v>
      </c>
      <c r="CJ3" t="s">
        <v>284</v>
      </c>
      <c r="CK3" t="s">
        <v>285</v>
      </c>
      <c r="CL3" t="s">
        <v>305</v>
      </c>
      <c r="CM3" t="s">
        <v>306</v>
      </c>
      <c r="CN3" t="s">
        <v>307</v>
      </c>
      <c r="CO3" t="s">
        <v>307</v>
      </c>
    </row>
    <row r="4" spans="1:93">
      <c r="A4" t="s">
        <v>337</v>
      </c>
      <c r="B4">
        <v>1027451</v>
      </c>
      <c r="C4" t="s">
        <v>21660</v>
      </c>
      <c r="D4" t="s">
        <v>21661</v>
      </c>
      <c r="E4" t="s">
        <v>12752</v>
      </c>
      <c r="F4" t="s">
        <v>848</v>
      </c>
      <c r="G4" t="s">
        <v>98</v>
      </c>
      <c r="H4" t="s">
        <v>21662</v>
      </c>
      <c r="I4" t="s">
        <v>100</v>
      </c>
      <c r="J4">
        <v>603021</v>
      </c>
      <c r="K4">
        <v>711565</v>
      </c>
      <c r="L4">
        <v>0</v>
      </c>
      <c r="M4">
        <v>0</v>
      </c>
      <c r="O4">
        <v>0</v>
      </c>
      <c r="P4">
        <v>0</v>
      </c>
      <c r="R4">
        <v>603021</v>
      </c>
      <c r="S4">
        <v>593</v>
      </c>
      <c r="T4" t="s">
        <v>3924</v>
      </c>
      <c r="U4" t="s">
        <v>102</v>
      </c>
      <c r="V4" t="s">
        <v>103</v>
      </c>
      <c r="W4" t="s">
        <v>155</v>
      </c>
      <c r="Y4" t="s">
        <v>12250</v>
      </c>
      <c r="Z4" t="s">
        <v>21663</v>
      </c>
      <c r="AA4" t="s">
        <v>21664</v>
      </c>
      <c r="AB4" t="s">
        <v>21663</v>
      </c>
      <c r="AC4" t="s">
        <v>21665</v>
      </c>
      <c r="AD4" t="s">
        <v>21663</v>
      </c>
      <c r="AE4" t="s">
        <v>21666</v>
      </c>
      <c r="AF4" t="s">
        <v>21663</v>
      </c>
      <c r="AG4" t="s">
        <v>102</v>
      </c>
      <c r="AH4" t="s">
        <v>17302</v>
      </c>
      <c r="AI4" t="s">
        <v>17302</v>
      </c>
      <c r="AJ4" t="s">
        <v>21663</v>
      </c>
      <c r="AK4" t="s">
        <v>1538</v>
      </c>
      <c r="AL4" t="s">
        <v>24047</v>
      </c>
      <c r="AM4" t="s">
        <v>2307</v>
      </c>
      <c r="AN4" t="s">
        <v>2307</v>
      </c>
      <c r="AS4" t="s">
        <v>102</v>
      </c>
      <c r="AU4" t="s">
        <v>102</v>
      </c>
      <c r="AV4" t="s">
        <v>119</v>
      </c>
      <c r="AY4" t="s">
        <v>250</v>
      </c>
      <c r="AZ4" t="s">
        <v>120</v>
      </c>
      <c r="BA4" t="s">
        <v>1170</v>
      </c>
      <c r="BB4" t="s">
        <v>1171</v>
      </c>
      <c r="BC4" t="s">
        <v>174</v>
      </c>
      <c r="BD4" t="s">
        <v>1172</v>
      </c>
      <c r="BE4" t="s">
        <v>124</v>
      </c>
      <c r="BF4" t="s">
        <v>12250</v>
      </c>
      <c r="BG4" t="s">
        <v>21667</v>
      </c>
      <c r="BH4" t="s">
        <v>127</v>
      </c>
      <c r="BI4" t="s">
        <v>21668</v>
      </c>
      <c r="BJ4" t="s">
        <v>21669</v>
      </c>
      <c r="BK4" t="s">
        <v>21670</v>
      </c>
      <c r="BL4" t="s">
        <v>12752</v>
      </c>
      <c r="BM4" t="s">
        <v>5557</v>
      </c>
      <c r="BN4" t="s">
        <v>180</v>
      </c>
      <c r="BO4" t="s">
        <v>5558</v>
      </c>
      <c r="BP4" t="s">
        <v>5559</v>
      </c>
      <c r="BQ4" t="s">
        <v>5560</v>
      </c>
      <c r="BS4" t="s">
        <v>21671</v>
      </c>
      <c r="BT4" t="s">
        <v>21672</v>
      </c>
      <c r="BU4" t="s">
        <v>138</v>
      </c>
      <c r="BV4" t="s">
        <v>21673</v>
      </c>
      <c r="BW4" t="s">
        <v>21674</v>
      </c>
      <c r="BX4" t="s">
        <v>21675</v>
      </c>
      <c r="BY4" t="s">
        <v>21672</v>
      </c>
      <c r="BZ4" t="s">
        <v>21673</v>
      </c>
      <c r="CA4" t="s">
        <v>21674</v>
      </c>
      <c r="CB4" t="s">
        <v>21676</v>
      </c>
      <c r="CC4" t="s">
        <v>21677</v>
      </c>
      <c r="CD4" t="s">
        <v>21678</v>
      </c>
      <c r="CE4" t="s">
        <v>3968</v>
      </c>
      <c r="CF4" t="s">
        <v>1170</v>
      </c>
      <c r="CH4" t="s">
        <v>21679</v>
      </c>
      <c r="CI4" t="s">
        <v>21680</v>
      </c>
      <c r="CJ4" t="s">
        <v>1170</v>
      </c>
      <c r="CK4" t="s">
        <v>1171</v>
      </c>
      <c r="CL4" t="s">
        <v>21679</v>
      </c>
      <c r="CN4" t="s">
        <v>21681</v>
      </c>
      <c r="CO4" t="s">
        <v>21681</v>
      </c>
    </row>
    <row r="5" spans="1:93" hidden="1">
      <c r="A5" t="s">
        <v>93</v>
      </c>
      <c r="B5">
        <v>1035646</v>
      </c>
      <c r="C5" t="s">
        <v>26056</v>
      </c>
      <c r="D5" t="s">
        <v>21661</v>
      </c>
      <c r="E5" t="s">
        <v>26057</v>
      </c>
      <c r="F5" t="s">
        <v>152</v>
      </c>
      <c r="G5" t="s">
        <v>98</v>
      </c>
      <c r="H5" t="s">
        <v>26058</v>
      </c>
      <c r="I5" t="s">
        <v>100</v>
      </c>
      <c r="J5">
        <v>927112</v>
      </c>
      <c r="K5">
        <v>927112</v>
      </c>
      <c r="L5">
        <v>0</v>
      </c>
      <c r="M5">
        <v>0</v>
      </c>
      <c r="O5">
        <v>927112</v>
      </c>
      <c r="P5">
        <v>488</v>
      </c>
      <c r="Q5" t="s">
        <v>13436</v>
      </c>
      <c r="R5">
        <v>0</v>
      </c>
      <c r="S5">
        <v>0</v>
      </c>
      <c r="U5" t="s">
        <v>102</v>
      </c>
      <c r="V5" t="s">
        <v>103</v>
      </c>
      <c r="W5" t="s">
        <v>155</v>
      </c>
      <c r="Y5" t="s">
        <v>26057</v>
      </c>
      <c r="Z5" t="s">
        <v>26059</v>
      </c>
      <c r="AA5" t="s">
        <v>26060</v>
      </c>
      <c r="AB5" t="s">
        <v>26059</v>
      </c>
      <c r="AC5" t="s">
        <v>23594</v>
      </c>
      <c r="AD5" t="s">
        <v>26059</v>
      </c>
      <c r="AE5" t="s">
        <v>23595</v>
      </c>
      <c r="AF5" t="s">
        <v>26059</v>
      </c>
      <c r="AG5" t="s">
        <v>102</v>
      </c>
      <c r="AJ5" t="s">
        <v>26059</v>
      </c>
      <c r="AK5" t="s">
        <v>102</v>
      </c>
      <c r="AL5" t="s">
        <v>26059</v>
      </c>
      <c r="AM5" t="s">
        <v>26061</v>
      </c>
      <c r="AN5" t="s">
        <v>26061</v>
      </c>
      <c r="AS5" t="s">
        <v>102</v>
      </c>
      <c r="AU5" t="s">
        <v>155</v>
      </c>
      <c r="AV5" t="s">
        <v>119</v>
      </c>
      <c r="AW5" t="s">
        <v>170</v>
      </c>
      <c r="AX5" t="s">
        <v>118</v>
      </c>
      <c r="AZ5" t="s">
        <v>171</v>
      </c>
      <c r="BA5" t="s">
        <v>623</v>
      </c>
      <c r="BB5" t="s">
        <v>621</v>
      </c>
      <c r="BC5" t="s">
        <v>622</v>
      </c>
      <c r="BD5" t="s">
        <v>623</v>
      </c>
      <c r="BE5" t="s">
        <v>124</v>
      </c>
      <c r="BF5" t="s">
        <v>12250</v>
      </c>
      <c r="BG5" t="s">
        <v>21667</v>
      </c>
      <c r="BH5" t="s">
        <v>127</v>
      </c>
      <c r="BI5" t="s">
        <v>26062</v>
      </c>
      <c r="BJ5" t="s">
        <v>12049</v>
      </c>
      <c r="BK5" t="s">
        <v>26063</v>
      </c>
      <c r="BL5" t="s">
        <v>26057</v>
      </c>
      <c r="BM5" t="s">
        <v>1670</v>
      </c>
      <c r="BN5" t="s">
        <v>132</v>
      </c>
      <c r="BO5" t="s">
        <v>1671</v>
      </c>
      <c r="BP5" t="s">
        <v>1672</v>
      </c>
      <c r="BQ5" t="s">
        <v>8262</v>
      </c>
      <c r="BS5" t="s">
        <v>26064</v>
      </c>
      <c r="BT5" t="s">
        <v>26065</v>
      </c>
      <c r="BU5" t="s">
        <v>138</v>
      </c>
      <c r="BV5" t="s">
        <v>26066</v>
      </c>
      <c r="BW5" t="s">
        <v>12054</v>
      </c>
      <c r="BX5" t="s">
        <v>12055</v>
      </c>
      <c r="BY5" t="s">
        <v>26065</v>
      </c>
      <c r="BZ5" t="s">
        <v>26066</v>
      </c>
      <c r="CA5" t="s">
        <v>12054</v>
      </c>
      <c r="CB5" t="s">
        <v>26067</v>
      </c>
      <c r="CC5" t="s">
        <v>26068</v>
      </c>
      <c r="CD5" t="s">
        <v>26069</v>
      </c>
      <c r="CE5" t="s">
        <v>3223</v>
      </c>
      <c r="CF5" t="s">
        <v>26070</v>
      </c>
      <c r="CG5" t="s">
        <v>26071</v>
      </c>
      <c r="CH5" t="s">
        <v>11862</v>
      </c>
      <c r="CI5" t="s">
        <v>26072</v>
      </c>
      <c r="CJ5" t="s">
        <v>623</v>
      </c>
      <c r="CK5" t="s">
        <v>621</v>
      </c>
      <c r="CL5" t="s">
        <v>11862</v>
      </c>
      <c r="CM5" t="s">
        <v>12057</v>
      </c>
      <c r="CN5" t="s">
        <v>12056</v>
      </c>
      <c r="CO5" t="s">
        <v>12056</v>
      </c>
    </row>
    <row r="6" spans="1:93">
      <c r="A6" t="s">
        <v>337</v>
      </c>
      <c r="B6">
        <v>1091054</v>
      </c>
      <c r="C6" t="s">
        <v>21682</v>
      </c>
      <c r="D6" t="s">
        <v>21661</v>
      </c>
      <c r="E6" t="s">
        <v>11952</v>
      </c>
      <c r="F6" t="s">
        <v>152</v>
      </c>
      <c r="G6" t="s">
        <v>98</v>
      </c>
      <c r="H6" t="s">
        <v>21683</v>
      </c>
      <c r="I6" t="s">
        <v>100</v>
      </c>
      <c r="J6">
        <v>311805</v>
      </c>
      <c r="K6">
        <v>311805</v>
      </c>
      <c r="L6">
        <v>0</v>
      </c>
      <c r="M6">
        <v>0</v>
      </c>
      <c r="O6">
        <v>311805</v>
      </c>
      <c r="P6">
        <v>260</v>
      </c>
      <c r="Q6" t="s">
        <v>21684</v>
      </c>
      <c r="R6">
        <v>0</v>
      </c>
      <c r="S6">
        <v>0</v>
      </c>
      <c r="U6" t="s">
        <v>102</v>
      </c>
      <c r="V6" t="s">
        <v>103</v>
      </c>
      <c r="W6" t="s">
        <v>155</v>
      </c>
      <c r="Y6" t="s">
        <v>11952</v>
      </c>
      <c r="Z6" t="s">
        <v>21685</v>
      </c>
      <c r="AA6" t="s">
        <v>12720</v>
      </c>
      <c r="AB6" t="s">
        <v>21685</v>
      </c>
      <c r="AC6" t="s">
        <v>21686</v>
      </c>
      <c r="AD6" t="s">
        <v>21685</v>
      </c>
      <c r="AE6" t="s">
        <v>21687</v>
      </c>
      <c r="AF6" t="s">
        <v>21685</v>
      </c>
      <c r="AG6" t="s">
        <v>102</v>
      </c>
      <c r="AH6" t="s">
        <v>15141</v>
      </c>
      <c r="AI6" t="s">
        <v>25697</v>
      </c>
      <c r="AJ6" t="s">
        <v>21685</v>
      </c>
      <c r="AK6" t="s">
        <v>21685</v>
      </c>
      <c r="AL6" t="s">
        <v>102</v>
      </c>
      <c r="AM6" t="s">
        <v>21688</v>
      </c>
      <c r="AN6" t="s">
        <v>21688</v>
      </c>
      <c r="AS6" t="s">
        <v>102</v>
      </c>
      <c r="AU6" t="s">
        <v>102</v>
      </c>
      <c r="AV6" t="s">
        <v>119</v>
      </c>
      <c r="AW6" t="s">
        <v>170</v>
      </c>
      <c r="AX6" t="s">
        <v>118</v>
      </c>
      <c r="AZ6" t="s">
        <v>120</v>
      </c>
      <c r="BA6" t="s">
        <v>251</v>
      </c>
      <c r="BB6" t="s">
        <v>252</v>
      </c>
      <c r="BC6" t="s">
        <v>122</v>
      </c>
      <c r="BD6" t="s">
        <v>253</v>
      </c>
      <c r="BE6" t="s">
        <v>124</v>
      </c>
      <c r="BF6" t="s">
        <v>12250</v>
      </c>
      <c r="BG6" t="s">
        <v>21667</v>
      </c>
      <c r="BH6" t="s">
        <v>127</v>
      </c>
      <c r="BI6" t="s">
        <v>21689</v>
      </c>
      <c r="BJ6" t="s">
        <v>21690</v>
      </c>
      <c r="BK6" t="s">
        <v>21691</v>
      </c>
      <c r="BL6" t="s">
        <v>11952</v>
      </c>
      <c r="BM6" t="s">
        <v>12453</v>
      </c>
      <c r="BN6" t="s">
        <v>350</v>
      </c>
      <c r="BO6" t="s">
        <v>12454</v>
      </c>
      <c r="BP6" t="s">
        <v>12455</v>
      </c>
      <c r="BQ6" t="s">
        <v>1111</v>
      </c>
      <c r="BR6" t="s">
        <v>1111</v>
      </c>
      <c r="BS6" t="s">
        <v>21692</v>
      </c>
      <c r="BT6" t="s">
        <v>21693</v>
      </c>
      <c r="BU6" t="s">
        <v>354</v>
      </c>
      <c r="BV6" t="s">
        <v>21694</v>
      </c>
      <c r="BW6" t="s">
        <v>21695</v>
      </c>
      <c r="BX6" t="s">
        <v>21694</v>
      </c>
      <c r="BY6" t="s">
        <v>21693</v>
      </c>
      <c r="BZ6" t="s">
        <v>21694</v>
      </c>
      <c r="CA6" t="s">
        <v>21695</v>
      </c>
      <c r="CB6" t="s">
        <v>21693</v>
      </c>
      <c r="CC6" t="s">
        <v>21694</v>
      </c>
      <c r="CD6" t="s">
        <v>21695</v>
      </c>
      <c r="CE6" t="s">
        <v>5207</v>
      </c>
      <c r="CF6" t="s">
        <v>21696</v>
      </c>
      <c r="CH6" t="s">
        <v>270</v>
      </c>
      <c r="CI6" t="s">
        <v>21696</v>
      </c>
      <c r="CJ6" t="s">
        <v>251</v>
      </c>
      <c r="CK6" t="s">
        <v>252</v>
      </c>
      <c r="CL6" t="s">
        <v>270</v>
      </c>
      <c r="CN6" t="s">
        <v>21696</v>
      </c>
      <c r="CO6" t="s">
        <v>21696</v>
      </c>
    </row>
    <row r="7" spans="1:93" hidden="1">
      <c r="A7" t="s">
        <v>149</v>
      </c>
      <c r="B7">
        <v>1163014</v>
      </c>
      <c r="C7" t="s">
        <v>577</v>
      </c>
      <c r="D7" t="s">
        <v>21661</v>
      </c>
      <c r="E7" t="s">
        <v>20476</v>
      </c>
      <c r="F7" t="s">
        <v>2163</v>
      </c>
      <c r="G7" t="s">
        <v>98</v>
      </c>
      <c r="H7" t="s">
        <v>26073</v>
      </c>
      <c r="I7" t="s">
        <v>100</v>
      </c>
      <c r="J7">
        <v>1319804</v>
      </c>
      <c r="K7">
        <v>1378549</v>
      </c>
      <c r="L7">
        <v>422334</v>
      </c>
      <c r="M7">
        <v>186</v>
      </c>
      <c r="N7" t="s">
        <v>26074</v>
      </c>
      <c r="O7">
        <v>571109</v>
      </c>
      <c r="P7">
        <v>235</v>
      </c>
      <c r="Q7" t="s">
        <v>13698</v>
      </c>
      <c r="R7">
        <v>326361</v>
      </c>
      <c r="S7">
        <v>186</v>
      </c>
      <c r="T7" t="s">
        <v>26075</v>
      </c>
      <c r="U7" t="s">
        <v>102</v>
      </c>
      <c r="V7" t="s">
        <v>275</v>
      </c>
      <c r="X7" t="s">
        <v>11889</v>
      </c>
      <c r="Y7" t="s">
        <v>109</v>
      </c>
      <c r="Z7" t="s">
        <v>102</v>
      </c>
      <c r="AA7" t="s">
        <v>109</v>
      </c>
      <c r="AB7" t="s">
        <v>102</v>
      </c>
      <c r="AC7" t="s">
        <v>109</v>
      </c>
      <c r="AD7" t="s">
        <v>102</v>
      </c>
      <c r="AE7" t="s">
        <v>109</v>
      </c>
      <c r="AF7" t="s">
        <v>102</v>
      </c>
      <c r="AG7" t="s">
        <v>102</v>
      </c>
      <c r="AJ7" t="s">
        <v>26076</v>
      </c>
      <c r="AK7" t="s">
        <v>102</v>
      </c>
      <c r="AL7" t="s">
        <v>26076</v>
      </c>
      <c r="AM7" t="s">
        <v>26077</v>
      </c>
      <c r="AN7" t="s">
        <v>26078</v>
      </c>
      <c r="AO7" t="s">
        <v>343</v>
      </c>
      <c r="AR7" t="s">
        <v>169</v>
      </c>
      <c r="AS7" t="s">
        <v>18576</v>
      </c>
      <c r="AT7" t="s">
        <v>118</v>
      </c>
      <c r="AU7" t="s">
        <v>655</v>
      </c>
      <c r="AV7" t="s">
        <v>249</v>
      </c>
      <c r="AW7" t="s">
        <v>170</v>
      </c>
      <c r="AX7" t="s">
        <v>118</v>
      </c>
      <c r="AY7" t="s">
        <v>250</v>
      </c>
      <c r="AZ7" t="s">
        <v>120</v>
      </c>
      <c r="BA7" t="s">
        <v>589</v>
      </c>
      <c r="BB7" t="s">
        <v>320</v>
      </c>
      <c r="BC7" t="s">
        <v>122</v>
      </c>
      <c r="BD7" t="s">
        <v>123</v>
      </c>
      <c r="BE7" t="s">
        <v>124</v>
      </c>
      <c r="BF7" t="s">
        <v>12250</v>
      </c>
      <c r="BG7" t="s">
        <v>21667</v>
      </c>
      <c r="BH7" t="s">
        <v>127</v>
      </c>
      <c r="BI7" t="s">
        <v>26079</v>
      </c>
      <c r="BJ7" t="s">
        <v>591</v>
      </c>
      <c r="BK7" t="s">
        <v>26080</v>
      </c>
      <c r="BL7" t="s">
        <v>20476</v>
      </c>
      <c r="BM7" t="s">
        <v>23495</v>
      </c>
      <c r="BN7" t="s">
        <v>350</v>
      </c>
      <c r="BO7" t="s">
        <v>23496</v>
      </c>
      <c r="BP7" t="s">
        <v>23497</v>
      </c>
      <c r="BQ7" t="s">
        <v>328</v>
      </c>
      <c r="BS7" t="s">
        <v>26081</v>
      </c>
      <c r="BT7" t="s">
        <v>26082</v>
      </c>
      <c r="BU7" t="s">
        <v>138</v>
      </c>
      <c r="BV7" t="s">
        <v>12207</v>
      </c>
      <c r="BW7" t="s">
        <v>10766</v>
      </c>
      <c r="BX7" t="s">
        <v>601</v>
      </c>
      <c r="BY7" t="s">
        <v>26082</v>
      </c>
      <c r="BZ7" t="s">
        <v>12207</v>
      </c>
      <c r="CA7" t="s">
        <v>10766</v>
      </c>
      <c r="CB7" t="s">
        <v>26083</v>
      </c>
      <c r="CC7" t="s">
        <v>12204</v>
      </c>
      <c r="CD7" t="s">
        <v>12205</v>
      </c>
      <c r="CE7" t="s">
        <v>102</v>
      </c>
      <c r="CF7" t="s">
        <v>602</v>
      </c>
      <c r="CH7" t="s">
        <v>603</v>
      </c>
      <c r="CJ7" t="s">
        <v>589</v>
      </c>
      <c r="CK7" t="s">
        <v>320</v>
      </c>
      <c r="CL7" t="s">
        <v>603</v>
      </c>
      <c r="CM7" t="s">
        <v>604</v>
      </c>
      <c r="CN7" t="s">
        <v>602</v>
      </c>
      <c r="CO7" t="s">
        <v>602</v>
      </c>
    </row>
    <row r="8" spans="1:93" hidden="1">
      <c r="A8" t="s">
        <v>93</v>
      </c>
      <c r="B8">
        <v>1173541</v>
      </c>
      <c r="C8" t="s">
        <v>12208</v>
      </c>
      <c r="D8" t="s">
        <v>21661</v>
      </c>
      <c r="E8" t="s">
        <v>18964</v>
      </c>
      <c r="F8" t="s">
        <v>152</v>
      </c>
      <c r="G8" t="s">
        <v>98</v>
      </c>
      <c r="H8" t="s">
        <v>26390</v>
      </c>
      <c r="I8" t="s">
        <v>100</v>
      </c>
      <c r="J8">
        <v>194386</v>
      </c>
      <c r="K8">
        <v>194386</v>
      </c>
      <c r="L8">
        <v>0</v>
      </c>
      <c r="M8">
        <v>0</v>
      </c>
      <c r="O8">
        <v>194386</v>
      </c>
      <c r="P8">
        <v>132</v>
      </c>
      <c r="Q8" t="s">
        <v>26391</v>
      </c>
      <c r="R8">
        <v>0</v>
      </c>
      <c r="S8">
        <v>0</v>
      </c>
      <c r="U8" t="s">
        <v>102</v>
      </c>
      <c r="V8" t="s">
        <v>103</v>
      </c>
      <c r="W8" t="s">
        <v>155</v>
      </c>
      <c r="Y8" t="s">
        <v>12435</v>
      </c>
      <c r="Z8" t="s">
        <v>26392</v>
      </c>
      <c r="AA8" t="s">
        <v>21983</v>
      </c>
      <c r="AB8" t="s">
        <v>26392</v>
      </c>
      <c r="AC8" t="s">
        <v>22119</v>
      </c>
      <c r="AD8" t="s">
        <v>26392</v>
      </c>
      <c r="AE8" t="s">
        <v>21687</v>
      </c>
      <c r="AF8" t="s">
        <v>26392</v>
      </c>
      <c r="AG8" t="s">
        <v>102</v>
      </c>
      <c r="AJ8" t="s">
        <v>102</v>
      </c>
      <c r="AK8" t="s">
        <v>102</v>
      </c>
      <c r="AL8" t="s">
        <v>102</v>
      </c>
      <c r="AM8" t="s">
        <v>26393</v>
      </c>
      <c r="AN8" t="s">
        <v>26393</v>
      </c>
      <c r="AS8" t="s">
        <v>102</v>
      </c>
      <c r="AU8" t="s">
        <v>1758</v>
      </c>
      <c r="AV8" t="s">
        <v>447</v>
      </c>
      <c r="AX8" t="s">
        <v>250</v>
      </c>
      <c r="AZ8" t="s">
        <v>209</v>
      </c>
      <c r="BA8" t="s">
        <v>3490</v>
      </c>
      <c r="BB8" t="s">
        <v>345</v>
      </c>
      <c r="BC8" t="s">
        <v>122</v>
      </c>
      <c r="BD8" t="s">
        <v>346</v>
      </c>
      <c r="BE8" t="s">
        <v>124</v>
      </c>
      <c r="BF8" t="s">
        <v>12250</v>
      </c>
      <c r="BG8" t="s">
        <v>21667</v>
      </c>
      <c r="BH8" t="s">
        <v>127</v>
      </c>
      <c r="BI8" t="s">
        <v>26394</v>
      </c>
      <c r="BJ8" t="s">
        <v>12224</v>
      </c>
      <c r="BK8" t="s">
        <v>26395</v>
      </c>
      <c r="BL8" t="s">
        <v>18964</v>
      </c>
      <c r="BM8" t="s">
        <v>12226</v>
      </c>
      <c r="BN8" t="s">
        <v>350</v>
      </c>
      <c r="BO8" t="s">
        <v>12228</v>
      </c>
      <c r="BP8" t="s">
        <v>12229</v>
      </c>
      <c r="BQ8" t="s">
        <v>8623</v>
      </c>
      <c r="BS8" t="s">
        <v>26396</v>
      </c>
      <c r="BT8" t="s">
        <v>12231</v>
      </c>
      <c r="BU8" t="s">
        <v>354</v>
      </c>
      <c r="BV8" t="s">
        <v>12232</v>
      </c>
      <c r="BW8" t="s">
        <v>12233</v>
      </c>
      <c r="BX8" t="s">
        <v>12234</v>
      </c>
      <c r="BY8" t="s">
        <v>12235</v>
      </c>
      <c r="BZ8" t="s">
        <v>12234</v>
      </c>
      <c r="CA8" t="s">
        <v>26397</v>
      </c>
      <c r="CB8" t="s">
        <v>26398</v>
      </c>
      <c r="CC8" t="s">
        <v>26399</v>
      </c>
      <c r="CD8" t="s">
        <v>26400</v>
      </c>
      <c r="CE8" t="s">
        <v>4937</v>
      </c>
      <c r="CF8" t="s">
        <v>3490</v>
      </c>
      <c r="CG8" t="s">
        <v>21298</v>
      </c>
      <c r="CH8" t="s">
        <v>12240</v>
      </c>
      <c r="CI8" t="s">
        <v>12241</v>
      </c>
      <c r="CJ8" t="s">
        <v>3490</v>
      </c>
      <c r="CK8" t="s">
        <v>345</v>
      </c>
      <c r="CL8" t="s">
        <v>12240</v>
      </c>
      <c r="CN8" t="s">
        <v>12242</v>
      </c>
      <c r="CO8" t="s">
        <v>12242</v>
      </c>
    </row>
    <row r="9" spans="1:93" hidden="1">
      <c r="A9" t="s">
        <v>93</v>
      </c>
      <c r="B9">
        <v>119874</v>
      </c>
      <c r="C9" t="s">
        <v>12243</v>
      </c>
      <c r="D9" t="s">
        <v>21661</v>
      </c>
      <c r="E9" t="s">
        <v>12716</v>
      </c>
      <c r="F9" t="s">
        <v>848</v>
      </c>
      <c r="G9" t="s">
        <v>98</v>
      </c>
      <c r="H9" t="s">
        <v>21698</v>
      </c>
      <c r="I9" t="s">
        <v>100</v>
      </c>
      <c r="J9">
        <v>602572</v>
      </c>
      <c r="K9">
        <v>711035</v>
      </c>
      <c r="L9">
        <v>0</v>
      </c>
      <c r="M9">
        <v>0</v>
      </c>
      <c r="O9">
        <v>0</v>
      </c>
      <c r="P9">
        <v>0</v>
      </c>
      <c r="R9">
        <v>602572</v>
      </c>
      <c r="S9">
        <v>474</v>
      </c>
      <c r="T9" t="s">
        <v>850</v>
      </c>
      <c r="U9" t="s">
        <v>102</v>
      </c>
      <c r="V9" t="s">
        <v>103</v>
      </c>
      <c r="W9" t="s">
        <v>155</v>
      </c>
      <c r="Y9" t="s">
        <v>12250</v>
      </c>
      <c r="Z9" t="s">
        <v>21699</v>
      </c>
      <c r="AA9" t="s">
        <v>21664</v>
      </c>
      <c r="AB9" t="s">
        <v>21699</v>
      </c>
      <c r="AC9" t="s">
        <v>21665</v>
      </c>
      <c r="AD9" t="s">
        <v>21699</v>
      </c>
      <c r="AE9" t="s">
        <v>21666</v>
      </c>
      <c r="AF9" t="s">
        <v>21699</v>
      </c>
      <c r="AG9" t="s">
        <v>102</v>
      </c>
      <c r="AJ9" t="s">
        <v>21699</v>
      </c>
      <c r="AK9" t="s">
        <v>102</v>
      </c>
      <c r="AL9" t="s">
        <v>21699</v>
      </c>
      <c r="AM9" t="s">
        <v>13206</v>
      </c>
      <c r="AN9" t="s">
        <v>13206</v>
      </c>
      <c r="AS9" t="s">
        <v>102</v>
      </c>
      <c r="AU9" t="s">
        <v>102</v>
      </c>
      <c r="AV9" t="s">
        <v>119</v>
      </c>
      <c r="AY9" t="s">
        <v>250</v>
      </c>
      <c r="AZ9" t="s">
        <v>171</v>
      </c>
      <c r="BA9" t="s">
        <v>375</v>
      </c>
      <c r="BB9" t="s">
        <v>376</v>
      </c>
      <c r="BC9" t="s">
        <v>174</v>
      </c>
      <c r="BD9" t="s">
        <v>376</v>
      </c>
      <c r="BE9" t="s">
        <v>124</v>
      </c>
      <c r="BF9" t="s">
        <v>12250</v>
      </c>
      <c r="BG9" t="s">
        <v>21667</v>
      </c>
      <c r="BH9" t="s">
        <v>127</v>
      </c>
      <c r="BI9" t="s">
        <v>21700</v>
      </c>
      <c r="BJ9" t="s">
        <v>12252</v>
      </c>
      <c r="BK9" t="s">
        <v>21701</v>
      </c>
      <c r="BL9" t="s">
        <v>12716</v>
      </c>
      <c r="BM9" t="s">
        <v>6926</v>
      </c>
      <c r="BN9" t="s">
        <v>180</v>
      </c>
      <c r="BO9" t="s">
        <v>6927</v>
      </c>
      <c r="BP9" t="s">
        <v>6928</v>
      </c>
      <c r="BQ9" t="s">
        <v>1858</v>
      </c>
      <c r="BS9" t="s">
        <v>21702</v>
      </c>
      <c r="BT9" t="s">
        <v>21703</v>
      </c>
      <c r="BU9" t="s">
        <v>598</v>
      </c>
      <c r="BV9" t="s">
        <v>12256</v>
      </c>
      <c r="BW9" t="s">
        <v>12257</v>
      </c>
      <c r="BX9" t="s">
        <v>12258</v>
      </c>
      <c r="BY9" t="s">
        <v>12259</v>
      </c>
      <c r="BZ9" t="s">
        <v>21704</v>
      </c>
      <c r="CA9" t="s">
        <v>12261</v>
      </c>
      <c r="CB9" t="s">
        <v>12259</v>
      </c>
      <c r="CC9" t="s">
        <v>21704</v>
      </c>
      <c r="CD9" t="s">
        <v>12261</v>
      </c>
      <c r="CE9" t="s">
        <v>12262</v>
      </c>
      <c r="CF9" t="s">
        <v>12263</v>
      </c>
      <c r="CH9" t="s">
        <v>12264</v>
      </c>
      <c r="CI9" t="s">
        <v>12263</v>
      </c>
      <c r="CJ9" t="s">
        <v>375</v>
      </c>
      <c r="CK9" t="s">
        <v>376</v>
      </c>
      <c r="CL9" t="s">
        <v>12264</v>
      </c>
      <c r="CM9" t="s">
        <v>12265</v>
      </c>
      <c r="CN9" t="s">
        <v>12263</v>
      </c>
      <c r="CO9" t="s">
        <v>12263</v>
      </c>
    </row>
    <row r="10" spans="1:93" hidden="1">
      <c r="A10" t="s">
        <v>149</v>
      </c>
      <c r="B10">
        <v>1204891</v>
      </c>
      <c r="C10" t="s">
        <v>605</v>
      </c>
      <c r="D10" t="s">
        <v>21661</v>
      </c>
      <c r="E10" t="s">
        <v>24898</v>
      </c>
      <c r="F10" t="s">
        <v>193</v>
      </c>
      <c r="G10" t="s">
        <v>98</v>
      </c>
      <c r="H10" t="s">
        <v>24899</v>
      </c>
      <c r="I10" t="s">
        <v>100</v>
      </c>
      <c r="J10">
        <v>2328416</v>
      </c>
      <c r="K10">
        <v>2468457</v>
      </c>
      <c r="L10">
        <v>1550411</v>
      </c>
      <c r="M10">
        <v>2215</v>
      </c>
      <c r="N10" t="s">
        <v>799</v>
      </c>
      <c r="O10">
        <v>0</v>
      </c>
      <c r="P10">
        <v>0</v>
      </c>
      <c r="R10">
        <v>778005</v>
      </c>
      <c r="S10">
        <v>340</v>
      </c>
      <c r="T10" t="s">
        <v>8855</v>
      </c>
      <c r="U10" t="s">
        <v>102</v>
      </c>
      <c r="V10" t="s">
        <v>103</v>
      </c>
      <c r="W10" t="s">
        <v>155</v>
      </c>
      <c r="Y10" t="s">
        <v>12720</v>
      </c>
      <c r="Z10" t="s">
        <v>26401</v>
      </c>
      <c r="AA10" t="s">
        <v>21686</v>
      </c>
      <c r="AB10" t="s">
        <v>26401</v>
      </c>
      <c r="AC10" t="s">
        <v>24900</v>
      </c>
      <c r="AD10" t="s">
        <v>26401</v>
      </c>
      <c r="AE10" t="s">
        <v>21687</v>
      </c>
      <c r="AF10" t="s">
        <v>26401</v>
      </c>
      <c r="AG10" t="s">
        <v>102</v>
      </c>
      <c r="AJ10" t="s">
        <v>102</v>
      </c>
      <c r="AK10" t="s">
        <v>102</v>
      </c>
      <c r="AL10" t="s">
        <v>102</v>
      </c>
      <c r="AM10" t="s">
        <v>24901</v>
      </c>
      <c r="AN10" t="s">
        <v>24901</v>
      </c>
      <c r="AS10" t="s">
        <v>247</v>
      </c>
      <c r="AT10" t="s">
        <v>118</v>
      </c>
      <c r="AU10" t="s">
        <v>102</v>
      </c>
      <c r="AV10" t="s">
        <v>119</v>
      </c>
      <c r="AY10" t="s">
        <v>250</v>
      </c>
      <c r="AZ10" t="s">
        <v>120</v>
      </c>
      <c r="BA10" t="s">
        <v>620</v>
      </c>
      <c r="BB10" t="s">
        <v>621</v>
      </c>
      <c r="BC10" t="s">
        <v>622</v>
      </c>
      <c r="BD10" t="s">
        <v>623</v>
      </c>
      <c r="BE10" t="s">
        <v>124</v>
      </c>
      <c r="BF10" t="s">
        <v>12250</v>
      </c>
      <c r="BG10" t="s">
        <v>21667</v>
      </c>
      <c r="BH10" t="s">
        <v>127</v>
      </c>
      <c r="BI10" t="s">
        <v>24902</v>
      </c>
      <c r="BJ10" t="s">
        <v>627</v>
      </c>
      <c r="BK10" t="s">
        <v>24903</v>
      </c>
      <c r="BL10" t="s">
        <v>24898</v>
      </c>
      <c r="BM10" t="s">
        <v>1339</v>
      </c>
      <c r="BN10" t="s">
        <v>132</v>
      </c>
      <c r="BO10" t="s">
        <v>1340</v>
      </c>
      <c r="BP10" t="s">
        <v>1341</v>
      </c>
      <c r="BQ10" t="s">
        <v>632</v>
      </c>
      <c r="BS10" t="s">
        <v>24904</v>
      </c>
      <c r="BT10" t="s">
        <v>12280</v>
      </c>
      <c r="BU10" t="s">
        <v>138</v>
      </c>
      <c r="BV10" t="s">
        <v>12281</v>
      </c>
      <c r="BW10" t="s">
        <v>12282</v>
      </c>
      <c r="BX10" t="s">
        <v>637</v>
      </c>
      <c r="BY10" t="s">
        <v>21705</v>
      </c>
      <c r="BZ10" t="s">
        <v>12281</v>
      </c>
      <c r="CA10" t="s">
        <v>12282</v>
      </c>
      <c r="CB10" t="s">
        <v>12285</v>
      </c>
      <c r="CC10" t="s">
        <v>12286</v>
      </c>
      <c r="CD10" t="s">
        <v>12284</v>
      </c>
      <c r="CE10" t="s">
        <v>102</v>
      </c>
      <c r="CF10" t="s">
        <v>639</v>
      </c>
      <c r="CH10" t="s">
        <v>640</v>
      </c>
      <c r="CJ10" t="s">
        <v>620</v>
      </c>
      <c r="CK10" t="s">
        <v>621</v>
      </c>
      <c r="CL10" t="s">
        <v>640</v>
      </c>
      <c r="CM10" t="s">
        <v>148</v>
      </c>
      <c r="CN10" t="s">
        <v>639</v>
      </c>
      <c r="CO10" t="s">
        <v>639</v>
      </c>
    </row>
    <row r="11" spans="1:93">
      <c r="A11" t="s">
        <v>337</v>
      </c>
      <c r="B11">
        <v>1244461</v>
      </c>
      <c r="C11" t="s">
        <v>21706</v>
      </c>
      <c r="D11" t="s">
        <v>21661</v>
      </c>
      <c r="E11" t="s">
        <v>21707</v>
      </c>
      <c r="F11" t="s">
        <v>848</v>
      </c>
      <c r="G11" t="s">
        <v>98</v>
      </c>
      <c r="H11" t="s">
        <v>21708</v>
      </c>
      <c r="I11" t="s">
        <v>100</v>
      </c>
      <c r="J11">
        <v>464384</v>
      </c>
      <c r="K11">
        <v>547973</v>
      </c>
      <c r="L11">
        <v>0</v>
      </c>
      <c r="M11">
        <v>0</v>
      </c>
      <c r="O11">
        <v>0</v>
      </c>
      <c r="P11">
        <v>0</v>
      </c>
      <c r="R11">
        <v>464384</v>
      </c>
      <c r="S11">
        <v>387</v>
      </c>
      <c r="T11" t="s">
        <v>880</v>
      </c>
      <c r="U11" t="s">
        <v>102</v>
      </c>
      <c r="V11" t="s">
        <v>103</v>
      </c>
      <c r="W11" t="s">
        <v>155</v>
      </c>
      <c r="Y11" t="s">
        <v>12713</v>
      </c>
      <c r="Z11" t="s">
        <v>21709</v>
      </c>
      <c r="AA11" t="s">
        <v>21664</v>
      </c>
      <c r="AB11" t="s">
        <v>21709</v>
      </c>
      <c r="AC11" t="s">
        <v>21665</v>
      </c>
      <c r="AD11" t="s">
        <v>21709</v>
      </c>
      <c r="AE11" t="s">
        <v>21710</v>
      </c>
      <c r="AF11" t="s">
        <v>21709</v>
      </c>
      <c r="AG11" t="s">
        <v>102</v>
      </c>
      <c r="AH11" t="s">
        <v>21711</v>
      </c>
      <c r="AI11" t="s">
        <v>21711</v>
      </c>
      <c r="AJ11" t="s">
        <v>21709</v>
      </c>
      <c r="AK11" t="s">
        <v>21709</v>
      </c>
      <c r="AL11" t="s">
        <v>102</v>
      </c>
      <c r="AM11" t="s">
        <v>21712</v>
      </c>
      <c r="AN11" t="s">
        <v>21712</v>
      </c>
      <c r="AS11" t="s">
        <v>102</v>
      </c>
      <c r="AU11" t="s">
        <v>102</v>
      </c>
      <c r="AV11" t="s">
        <v>119</v>
      </c>
      <c r="AY11" t="s">
        <v>250</v>
      </c>
      <c r="AZ11" t="s">
        <v>120</v>
      </c>
      <c r="BA11" t="s">
        <v>448</v>
      </c>
      <c r="BB11" t="s">
        <v>449</v>
      </c>
      <c r="BC11" t="s">
        <v>122</v>
      </c>
      <c r="BD11" t="s">
        <v>450</v>
      </c>
      <c r="BE11" t="s">
        <v>124</v>
      </c>
      <c r="BF11" t="s">
        <v>12250</v>
      </c>
      <c r="BG11" t="s">
        <v>21667</v>
      </c>
      <c r="BH11" t="s">
        <v>127</v>
      </c>
      <c r="BI11" t="s">
        <v>21713</v>
      </c>
      <c r="BJ11" t="s">
        <v>21714</v>
      </c>
      <c r="BK11" t="s">
        <v>21715</v>
      </c>
      <c r="BL11" t="s">
        <v>21707</v>
      </c>
      <c r="BM11" t="s">
        <v>131</v>
      </c>
      <c r="BN11" t="s">
        <v>350</v>
      </c>
      <c r="BO11" t="s">
        <v>133</v>
      </c>
      <c r="BP11" t="s">
        <v>134</v>
      </c>
      <c r="BQ11" t="s">
        <v>455</v>
      </c>
      <c r="BS11" t="s">
        <v>21716</v>
      </c>
      <c r="BT11" t="s">
        <v>21717</v>
      </c>
      <c r="BU11" t="s">
        <v>354</v>
      </c>
      <c r="BV11" t="s">
        <v>21718</v>
      </c>
      <c r="BW11" t="s">
        <v>21719</v>
      </c>
      <c r="BX11" t="s">
        <v>21720</v>
      </c>
      <c r="BY11" t="s">
        <v>21721</v>
      </c>
      <c r="BZ11" t="s">
        <v>21722</v>
      </c>
      <c r="CA11" t="s">
        <v>21723</v>
      </c>
      <c r="CB11" t="s">
        <v>21721</v>
      </c>
      <c r="CC11" t="s">
        <v>21722</v>
      </c>
      <c r="CD11" t="s">
        <v>21723</v>
      </c>
      <c r="CE11" t="s">
        <v>14701</v>
      </c>
      <c r="CF11" t="s">
        <v>21724</v>
      </c>
      <c r="CH11" t="s">
        <v>21725</v>
      </c>
      <c r="CI11" t="s">
        <v>21724</v>
      </c>
      <c r="CJ11" t="s">
        <v>448</v>
      </c>
      <c r="CK11" t="s">
        <v>449</v>
      </c>
      <c r="CL11" t="s">
        <v>21725</v>
      </c>
      <c r="CN11" t="s">
        <v>21724</v>
      </c>
      <c r="CO11" t="s">
        <v>21724</v>
      </c>
    </row>
    <row r="12" spans="1:93" hidden="1">
      <c r="A12" t="s">
        <v>149</v>
      </c>
      <c r="B12">
        <v>12539</v>
      </c>
      <c r="C12" t="s">
        <v>641</v>
      </c>
      <c r="D12" t="s">
        <v>21661</v>
      </c>
      <c r="E12" t="s">
        <v>23689</v>
      </c>
      <c r="F12" t="s">
        <v>643</v>
      </c>
      <c r="G12" t="s">
        <v>98</v>
      </c>
      <c r="H12" t="s">
        <v>23690</v>
      </c>
      <c r="I12" t="s">
        <v>100</v>
      </c>
      <c r="J12">
        <v>2597897</v>
      </c>
      <c r="K12">
        <v>2910034</v>
      </c>
      <c r="L12">
        <v>0</v>
      </c>
      <c r="M12">
        <v>0</v>
      </c>
      <c r="O12">
        <v>863800</v>
      </c>
      <c r="P12">
        <v>617</v>
      </c>
      <c r="Q12" t="s">
        <v>4289</v>
      </c>
      <c r="R12">
        <v>1734097</v>
      </c>
      <c r="S12">
        <v>660</v>
      </c>
      <c r="T12" t="s">
        <v>23691</v>
      </c>
      <c r="U12" t="s">
        <v>102</v>
      </c>
      <c r="V12" t="s">
        <v>103</v>
      </c>
      <c r="W12" t="s">
        <v>104</v>
      </c>
      <c r="Y12" t="s">
        <v>21962</v>
      </c>
      <c r="Z12" t="s">
        <v>23692</v>
      </c>
      <c r="AA12" t="s">
        <v>21665</v>
      </c>
      <c r="AB12" t="s">
        <v>23692</v>
      </c>
      <c r="AC12" t="s">
        <v>109</v>
      </c>
      <c r="AD12" t="s">
        <v>102</v>
      </c>
      <c r="AE12" t="s">
        <v>109</v>
      </c>
      <c r="AF12" t="s">
        <v>102</v>
      </c>
      <c r="AG12" t="s">
        <v>102</v>
      </c>
      <c r="AH12" t="s">
        <v>26402</v>
      </c>
      <c r="AI12" t="s">
        <v>26402</v>
      </c>
      <c r="AJ12" t="s">
        <v>23692</v>
      </c>
      <c r="AK12" t="s">
        <v>26403</v>
      </c>
      <c r="AL12" t="s">
        <v>26404</v>
      </c>
      <c r="AM12" t="s">
        <v>23693</v>
      </c>
      <c r="AN12" t="s">
        <v>23693</v>
      </c>
      <c r="AS12" t="s">
        <v>102</v>
      </c>
      <c r="AU12" t="s">
        <v>655</v>
      </c>
      <c r="AV12" t="s">
        <v>119</v>
      </c>
      <c r="AW12" t="s">
        <v>170</v>
      </c>
      <c r="AX12" t="s">
        <v>118</v>
      </c>
      <c r="AY12" t="s">
        <v>250</v>
      </c>
      <c r="AZ12" t="s">
        <v>120</v>
      </c>
      <c r="BA12" t="s">
        <v>375</v>
      </c>
      <c r="BB12" t="s">
        <v>376</v>
      </c>
      <c r="BC12" t="s">
        <v>174</v>
      </c>
      <c r="BD12" t="s">
        <v>376</v>
      </c>
      <c r="BE12" t="s">
        <v>124</v>
      </c>
      <c r="BF12" t="s">
        <v>12250</v>
      </c>
      <c r="BG12" t="s">
        <v>21667</v>
      </c>
      <c r="BH12" t="s">
        <v>127</v>
      </c>
      <c r="BI12" t="s">
        <v>23694</v>
      </c>
      <c r="BJ12" t="s">
        <v>659</v>
      </c>
      <c r="BK12" t="s">
        <v>23695</v>
      </c>
      <c r="BL12" t="s">
        <v>23689</v>
      </c>
      <c r="BM12" t="s">
        <v>179</v>
      </c>
      <c r="BN12" t="s">
        <v>350</v>
      </c>
      <c r="BO12" t="s">
        <v>181</v>
      </c>
      <c r="BP12" t="s">
        <v>182</v>
      </c>
      <c r="BQ12" t="s">
        <v>183</v>
      </c>
      <c r="BS12" t="s">
        <v>23696</v>
      </c>
      <c r="BT12" t="s">
        <v>12300</v>
      </c>
      <c r="BU12" t="s">
        <v>138</v>
      </c>
      <c r="BV12" t="s">
        <v>665</v>
      </c>
      <c r="BW12" t="s">
        <v>12301</v>
      </c>
      <c r="BX12" t="s">
        <v>665</v>
      </c>
      <c r="BY12" t="s">
        <v>12300</v>
      </c>
      <c r="BZ12" t="s">
        <v>665</v>
      </c>
      <c r="CA12" t="s">
        <v>12301</v>
      </c>
      <c r="CB12" t="s">
        <v>23697</v>
      </c>
      <c r="CC12" t="s">
        <v>23698</v>
      </c>
      <c r="CD12" t="s">
        <v>23699</v>
      </c>
      <c r="CE12" t="s">
        <v>102</v>
      </c>
      <c r="CF12" t="s">
        <v>12307</v>
      </c>
      <c r="CH12" t="s">
        <v>671</v>
      </c>
      <c r="CJ12" t="s">
        <v>375</v>
      </c>
      <c r="CK12" t="s">
        <v>376</v>
      </c>
      <c r="CL12" t="s">
        <v>671</v>
      </c>
      <c r="CM12" t="s">
        <v>672</v>
      </c>
      <c r="CN12" t="s">
        <v>670</v>
      </c>
      <c r="CO12" t="s">
        <v>670</v>
      </c>
    </row>
    <row r="13" spans="1:93" hidden="1">
      <c r="A13" t="s">
        <v>149</v>
      </c>
      <c r="B13">
        <v>1271232</v>
      </c>
      <c r="C13" t="s">
        <v>12308</v>
      </c>
      <c r="D13" t="s">
        <v>21661</v>
      </c>
      <c r="E13" t="s">
        <v>12068</v>
      </c>
      <c r="F13" t="s">
        <v>152</v>
      </c>
      <c r="G13" t="s">
        <v>676</v>
      </c>
      <c r="H13" t="s">
        <v>24905</v>
      </c>
      <c r="I13" t="s">
        <v>100</v>
      </c>
      <c r="J13">
        <v>858600</v>
      </c>
      <c r="K13">
        <v>858600</v>
      </c>
      <c r="L13">
        <v>0</v>
      </c>
      <c r="M13">
        <v>0</v>
      </c>
      <c r="O13">
        <v>858600</v>
      </c>
      <c r="P13">
        <v>1060</v>
      </c>
      <c r="Q13" t="s">
        <v>6750</v>
      </c>
      <c r="R13">
        <v>0</v>
      </c>
      <c r="S13">
        <v>0</v>
      </c>
      <c r="U13" t="s">
        <v>102</v>
      </c>
      <c r="V13" t="s">
        <v>103</v>
      </c>
      <c r="W13" t="s">
        <v>104</v>
      </c>
      <c r="Y13" t="s">
        <v>21983</v>
      </c>
      <c r="Z13" t="s">
        <v>24906</v>
      </c>
      <c r="AA13" t="s">
        <v>21687</v>
      </c>
      <c r="AB13" t="s">
        <v>24906</v>
      </c>
      <c r="AC13" t="s">
        <v>109</v>
      </c>
      <c r="AD13" t="s">
        <v>102</v>
      </c>
      <c r="AE13" t="s">
        <v>109</v>
      </c>
      <c r="AF13" t="s">
        <v>102</v>
      </c>
      <c r="AG13" t="s">
        <v>102</v>
      </c>
      <c r="AJ13" t="s">
        <v>102</v>
      </c>
      <c r="AK13" t="s">
        <v>102</v>
      </c>
      <c r="AL13" t="s">
        <v>102</v>
      </c>
      <c r="AM13" t="s">
        <v>2147</v>
      </c>
      <c r="AN13" t="s">
        <v>1826</v>
      </c>
      <c r="AP13" t="s">
        <v>169</v>
      </c>
      <c r="AR13" t="s">
        <v>169</v>
      </c>
      <c r="AS13" t="s">
        <v>102</v>
      </c>
      <c r="AU13" t="s">
        <v>104</v>
      </c>
      <c r="AV13" t="s">
        <v>447</v>
      </c>
      <c r="AW13" t="s">
        <v>170</v>
      </c>
      <c r="AX13" t="s">
        <v>118</v>
      </c>
      <c r="AZ13" t="s">
        <v>120</v>
      </c>
      <c r="BA13" t="s">
        <v>691</v>
      </c>
      <c r="BB13" t="s">
        <v>320</v>
      </c>
      <c r="BC13" t="s">
        <v>122</v>
      </c>
      <c r="BD13" t="s">
        <v>123</v>
      </c>
      <c r="BE13" t="s">
        <v>124</v>
      </c>
      <c r="BF13" t="s">
        <v>12250</v>
      </c>
      <c r="BG13" t="s">
        <v>21667</v>
      </c>
      <c r="BH13" t="s">
        <v>127</v>
      </c>
      <c r="BI13" t="s">
        <v>24907</v>
      </c>
      <c r="BJ13" t="s">
        <v>693</v>
      </c>
      <c r="BK13" t="s">
        <v>24908</v>
      </c>
      <c r="BL13" t="s">
        <v>12068</v>
      </c>
      <c r="BM13" t="s">
        <v>12934</v>
      </c>
      <c r="BN13" t="s">
        <v>350</v>
      </c>
      <c r="BO13" t="s">
        <v>12935</v>
      </c>
      <c r="BP13" t="s">
        <v>12936</v>
      </c>
      <c r="BQ13" t="s">
        <v>699</v>
      </c>
      <c r="BS13" t="s">
        <v>24909</v>
      </c>
      <c r="BT13" t="s">
        <v>12322</v>
      </c>
      <c r="BV13" t="s">
        <v>704</v>
      </c>
      <c r="BW13" t="s">
        <v>703</v>
      </c>
      <c r="BX13" t="s">
        <v>704</v>
      </c>
      <c r="BY13" t="s">
        <v>701</v>
      </c>
      <c r="BZ13" t="s">
        <v>704</v>
      </c>
      <c r="CA13" t="s">
        <v>703</v>
      </c>
      <c r="CB13" t="s">
        <v>24858</v>
      </c>
      <c r="CC13" t="s">
        <v>24910</v>
      </c>
      <c r="CD13" t="s">
        <v>24911</v>
      </c>
      <c r="CE13" t="s">
        <v>709</v>
      </c>
      <c r="CF13" t="s">
        <v>12323</v>
      </c>
      <c r="CH13" t="s">
        <v>711</v>
      </c>
      <c r="CI13" t="s">
        <v>713</v>
      </c>
      <c r="CJ13" t="s">
        <v>691</v>
      </c>
      <c r="CK13" t="s">
        <v>320</v>
      </c>
      <c r="CL13" t="s">
        <v>711</v>
      </c>
      <c r="CN13" t="s">
        <v>713</v>
      </c>
      <c r="CO13" t="s">
        <v>714</v>
      </c>
    </row>
    <row r="14" spans="1:93" hidden="1">
      <c r="A14" t="s">
        <v>495</v>
      </c>
      <c r="B14">
        <v>128171</v>
      </c>
      <c r="C14" t="s">
        <v>715</v>
      </c>
      <c r="D14" t="s">
        <v>21661</v>
      </c>
      <c r="E14" t="s">
        <v>12129</v>
      </c>
      <c r="F14" t="s">
        <v>97</v>
      </c>
      <c r="G14" t="s">
        <v>98</v>
      </c>
      <c r="H14" t="s">
        <v>24048</v>
      </c>
      <c r="I14" t="s">
        <v>100</v>
      </c>
      <c r="J14">
        <v>150000</v>
      </c>
      <c r="K14">
        <v>150000</v>
      </c>
      <c r="L14">
        <v>150000</v>
      </c>
      <c r="M14">
        <v>1000</v>
      </c>
      <c r="N14" t="s">
        <v>24049</v>
      </c>
      <c r="O14">
        <v>0</v>
      </c>
      <c r="P14">
        <v>0</v>
      </c>
      <c r="R14">
        <v>0</v>
      </c>
      <c r="S14">
        <v>0</v>
      </c>
      <c r="U14" t="s">
        <v>102</v>
      </c>
      <c r="V14" t="s">
        <v>103</v>
      </c>
      <c r="W14" t="s">
        <v>104</v>
      </c>
      <c r="Y14" t="s">
        <v>14623</v>
      </c>
      <c r="Z14" t="s">
        <v>24050</v>
      </c>
      <c r="AA14" t="s">
        <v>11889</v>
      </c>
      <c r="AB14" t="s">
        <v>24051</v>
      </c>
      <c r="AC14" t="s">
        <v>109</v>
      </c>
      <c r="AD14" t="s">
        <v>102</v>
      </c>
      <c r="AE14" t="s">
        <v>109</v>
      </c>
      <c r="AF14" t="s">
        <v>102</v>
      </c>
      <c r="AG14" t="s">
        <v>102</v>
      </c>
      <c r="AH14" t="s">
        <v>14623</v>
      </c>
      <c r="AI14" t="s">
        <v>12068</v>
      </c>
      <c r="AJ14" t="s">
        <v>24052</v>
      </c>
      <c r="AK14" t="s">
        <v>24912</v>
      </c>
      <c r="AL14" t="s">
        <v>24913</v>
      </c>
      <c r="AM14" t="s">
        <v>24053</v>
      </c>
      <c r="AN14" t="s">
        <v>24054</v>
      </c>
      <c r="AO14" t="s">
        <v>102</v>
      </c>
      <c r="AP14" t="s">
        <v>102</v>
      </c>
      <c r="AQ14" t="s">
        <v>102</v>
      </c>
      <c r="AR14" t="s">
        <v>102</v>
      </c>
      <c r="AS14" t="s">
        <v>318</v>
      </c>
      <c r="AT14" t="s">
        <v>118</v>
      </c>
      <c r="AU14" t="s">
        <v>102</v>
      </c>
      <c r="AV14" t="s">
        <v>119</v>
      </c>
      <c r="AZ14" t="s">
        <v>120</v>
      </c>
      <c r="BA14" t="s">
        <v>729</v>
      </c>
      <c r="BB14" t="s">
        <v>730</v>
      </c>
      <c r="BC14" t="s">
        <v>622</v>
      </c>
      <c r="BD14" t="s">
        <v>730</v>
      </c>
      <c r="BE14" t="s">
        <v>124</v>
      </c>
      <c r="BF14" t="s">
        <v>12250</v>
      </c>
      <c r="BG14" t="s">
        <v>21667</v>
      </c>
      <c r="BH14" t="s">
        <v>127</v>
      </c>
      <c r="BI14" t="s">
        <v>24055</v>
      </c>
      <c r="BJ14" t="s">
        <v>732</v>
      </c>
      <c r="BK14" t="s">
        <v>21726</v>
      </c>
      <c r="BL14" t="s">
        <v>12129</v>
      </c>
      <c r="BM14" t="s">
        <v>734</v>
      </c>
      <c r="BN14" t="s">
        <v>505</v>
      </c>
      <c r="BO14" t="s">
        <v>735</v>
      </c>
      <c r="BP14" t="s">
        <v>736</v>
      </c>
      <c r="BQ14" t="s">
        <v>737</v>
      </c>
      <c r="BS14" t="s">
        <v>24056</v>
      </c>
      <c r="BT14" t="s">
        <v>21727</v>
      </c>
      <c r="BU14" t="s">
        <v>569</v>
      </c>
      <c r="BV14" t="s">
        <v>735</v>
      </c>
      <c r="BW14" t="s">
        <v>741</v>
      </c>
      <c r="BX14" t="s">
        <v>742</v>
      </c>
      <c r="BY14" t="s">
        <v>21727</v>
      </c>
      <c r="BZ14" t="s">
        <v>740</v>
      </c>
      <c r="CA14" t="s">
        <v>741</v>
      </c>
      <c r="CB14" t="s">
        <v>21727</v>
      </c>
      <c r="CC14" t="s">
        <v>740</v>
      </c>
      <c r="CD14" t="s">
        <v>741</v>
      </c>
      <c r="CE14" t="s">
        <v>746</v>
      </c>
      <c r="CF14" t="s">
        <v>12337</v>
      </c>
      <c r="CH14" t="s">
        <v>748</v>
      </c>
      <c r="CI14" t="s">
        <v>12338</v>
      </c>
      <c r="CJ14" t="s">
        <v>729</v>
      </c>
      <c r="CK14" t="s">
        <v>730</v>
      </c>
      <c r="CL14" t="s">
        <v>748</v>
      </c>
      <c r="CM14" t="s">
        <v>750</v>
      </c>
      <c r="CN14" t="s">
        <v>747</v>
      </c>
      <c r="CO14" t="s">
        <v>749</v>
      </c>
    </row>
    <row r="15" spans="1:93" hidden="1">
      <c r="A15" t="s">
        <v>149</v>
      </c>
      <c r="B15">
        <v>1312595</v>
      </c>
      <c r="C15" t="s">
        <v>751</v>
      </c>
      <c r="D15" t="s">
        <v>21661</v>
      </c>
      <c r="E15" t="s">
        <v>21857</v>
      </c>
      <c r="F15" t="s">
        <v>3549</v>
      </c>
      <c r="G15" t="s">
        <v>98</v>
      </c>
      <c r="H15" t="s">
        <v>24914</v>
      </c>
      <c r="I15" t="s">
        <v>100</v>
      </c>
      <c r="J15">
        <v>0</v>
      </c>
      <c r="K15">
        <v>0</v>
      </c>
      <c r="L15">
        <v>0</v>
      </c>
      <c r="M15">
        <v>660</v>
      </c>
      <c r="N15" t="s">
        <v>102</v>
      </c>
      <c r="O15">
        <v>0</v>
      </c>
      <c r="P15">
        <v>0</v>
      </c>
      <c r="R15">
        <v>0</v>
      </c>
      <c r="S15">
        <v>660</v>
      </c>
      <c r="T15" t="s">
        <v>102</v>
      </c>
      <c r="U15" t="s">
        <v>102</v>
      </c>
      <c r="V15" t="s">
        <v>275</v>
      </c>
      <c r="X15" t="s">
        <v>21857</v>
      </c>
      <c r="Y15" t="s">
        <v>109</v>
      </c>
      <c r="Z15" t="s">
        <v>102</v>
      </c>
      <c r="AA15" t="s">
        <v>109</v>
      </c>
      <c r="AB15" t="s">
        <v>102</v>
      </c>
      <c r="AC15" t="s">
        <v>109</v>
      </c>
      <c r="AD15" t="s">
        <v>102</v>
      </c>
      <c r="AE15" t="s">
        <v>109</v>
      </c>
      <c r="AF15" t="s">
        <v>102</v>
      </c>
      <c r="AG15" t="s">
        <v>102</v>
      </c>
      <c r="AJ15" t="s">
        <v>102</v>
      </c>
      <c r="AK15" t="s">
        <v>102</v>
      </c>
      <c r="AL15" t="s">
        <v>102</v>
      </c>
      <c r="AM15" t="s">
        <v>115</v>
      </c>
      <c r="AN15" t="s">
        <v>115</v>
      </c>
      <c r="AS15" t="s">
        <v>117</v>
      </c>
      <c r="AT15" t="s">
        <v>118</v>
      </c>
      <c r="AU15" t="s">
        <v>102</v>
      </c>
      <c r="AV15" t="s">
        <v>119</v>
      </c>
      <c r="AY15" t="s">
        <v>250</v>
      </c>
      <c r="AZ15" t="s">
        <v>209</v>
      </c>
      <c r="BA15" t="s">
        <v>758</v>
      </c>
      <c r="BB15" t="s">
        <v>211</v>
      </c>
      <c r="BC15" t="s">
        <v>212</v>
      </c>
      <c r="BD15" t="s">
        <v>213</v>
      </c>
      <c r="BE15" t="s">
        <v>124</v>
      </c>
      <c r="BF15" t="s">
        <v>24888</v>
      </c>
      <c r="BG15" t="s">
        <v>23025</v>
      </c>
      <c r="BH15" t="s">
        <v>127</v>
      </c>
      <c r="BI15" t="s">
        <v>24915</v>
      </c>
      <c r="BJ15" t="s">
        <v>760</v>
      </c>
      <c r="BK15" t="s">
        <v>24916</v>
      </c>
      <c r="BL15" t="s">
        <v>21857</v>
      </c>
      <c r="BM15" t="s">
        <v>24891</v>
      </c>
      <c r="BN15" t="s">
        <v>180</v>
      </c>
      <c r="BO15" t="s">
        <v>24892</v>
      </c>
      <c r="BP15" t="s">
        <v>24893</v>
      </c>
      <c r="BQ15" t="s">
        <v>222</v>
      </c>
      <c r="BS15" t="s">
        <v>24917</v>
      </c>
      <c r="BT15" t="s">
        <v>3585</v>
      </c>
      <c r="BV15" t="s">
        <v>225</v>
      </c>
      <c r="BW15" t="s">
        <v>8332</v>
      </c>
      <c r="BX15" t="s">
        <v>763</v>
      </c>
      <c r="BY15" t="s">
        <v>24918</v>
      </c>
      <c r="BZ15" t="s">
        <v>24919</v>
      </c>
      <c r="CA15" t="s">
        <v>24920</v>
      </c>
      <c r="CB15" t="s">
        <v>24918</v>
      </c>
      <c r="CC15" t="s">
        <v>24919</v>
      </c>
      <c r="CD15" t="s">
        <v>24920</v>
      </c>
      <c r="CE15" t="s">
        <v>102</v>
      </c>
      <c r="CF15" t="s">
        <v>764</v>
      </c>
      <c r="CH15" t="s">
        <v>765</v>
      </c>
      <c r="CJ15" t="s">
        <v>758</v>
      </c>
      <c r="CK15" t="s">
        <v>211</v>
      </c>
      <c r="CL15" t="s">
        <v>765</v>
      </c>
      <c r="CM15" t="s">
        <v>230</v>
      </c>
      <c r="CN15" t="s">
        <v>764</v>
      </c>
      <c r="CO15" t="s">
        <v>764</v>
      </c>
    </row>
    <row r="16" spans="1:93" hidden="1">
      <c r="A16" t="s">
        <v>149</v>
      </c>
      <c r="B16">
        <v>1315210</v>
      </c>
      <c r="C16" t="s">
        <v>766</v>
      </c>
      <c r="D16" t="s">
        <v>21661</v>
      </c>
      <c r="E16" t="s">
        <v>21857</v>
      </c>
      <c r="F16" t="s">
        <v>3549</v>
      </c>
      <c r="G16" t="s">
        <v>98</v>
      </c>
      <c r="H16" t="s">
        <v>24921</v>
      </c>
      <c r="I16" t="s">
        <v>100</v>
      </c>
      <c r="J16">
        <v>0</v>
      </c>
      <c r="K16">
        <v>0</v>
      </c>
      <c r="L16">
        <v>0</v>
      </c>
      <c r="M16">
        <v>802</v>
      </c>
      <c r="N16" t="s">
        <v>102</v>
      </c>
      <c r="O16">
        <v>0</v>
      </c>
      <c r="P16">
        <v>0</v>
      </c>
      <c r="R16">
        <v>0</v>
      </c>
      <c r="S16">
        <v>802</v>
      </c>
      <c r="T16" t="s">
        <v>102</v>
      </c>
      <c r="U16" t="s">
        <v>102</v>
      </c>
      <c r="V16" t="s">
        <v>275</v>
      </c>
      <c r="X16" t="s">
        <v>21857</v>
      </c>
      <c r="Y16" t="s">
        <v>109</v>
      </c>
      <c r="Z16" t="s">
        <v>102</v>
      </c>
      <c r="AA16" t="s">
        <v>109</v>
      </c>
      <c r="AB16" t="s">
        <v>102</v>
      </c>
      <c r="AC16" t="s">
        <v>109</v>
      </c>
      <c r="AD16" t="s">
        <v>102</v>
      </c>
      <c r="AE16" t="s">
        <v>109</v>
      </c>
      <c r="AF16" t="s">
        <v>102</v>
      </c>
      <c r="AG16" t="s">
        <v>102</v>
      </c>
      <c r="AJ16" t="s">
        <v>102</v>
      </c>
      <c r="AK16" t="s">
        <v>102</v>
      </c>
      <c r="AL16" t="s">
        <v>102</v>
      </c>
      <c r="AM16" t="s">
        <v>115</v>
      </c>
      <c r="AN16" t="s">
        <v>115</v>
      </c>
      <c r="AS16" t="s">
        <v>117</v>
      </c>
      <c r="AT16" t="s">
        <v>118</v>
      </c>
      <c r="AU16" t="s">
        <v>102</v>
      </c>
      <c r="AV16" t="s">
        <v>119</v>
      </c>
      <c r="AY16" t="s">
        <v>250</v>
      </c>
      <c r="AZ16" t="s">
        <v>120</v>
      </c>
      <c r="BA16" t="s">
        <v>758</v>
      </c>
      <c r="BB16" t="s">
        <v>211</v>
      </c>
      <c r="BC16" t="s">
        <v>212</v>
      </c>
      <c r="BD16" t="s">
        <v>213</v>
      </c>
      <c r="BE16" t="s">
        <v>124</v>
      </c>
      <c r="BF16" t="s">
        <v>24888</v>
      </c>
      <c r="BG16" t="s">
        <v>23025</v>
      </c>
      <c r="BH16" t="s">
        <v>127</v>
      </c>
      <c r="BI16" t="s">
        <v>24922</v>
      </c>
      <c r="BJ16" t="s">
        <v>774</v>
      </c>
      <c r="BK16" t="s">
        <v>24923</v>
      </c>
      <c r="BL16" t="s">
        <v>21857</v>
      </c>
      <c r="BM16" t="s">
        <v>24891</v>
      </c>
      <c r="BN16" t="s">
        <v>180</v>
      </c>
      <c r="BO16" t="s">
        <v>24892</v>
      </c>
      <c r="BP16" t="s">
        <v>24893</v>
      </c>
      <c r="BQ16" t="s">
        <v>222</v>
      </c>
      <c r="BS16" t="s">
        <v>24924</v>
      </c>
      <c r="BT16" t="s">
        <v>3585</v>
      </c>
      <c r="BU16" t="s">
        <v>598</v>
      </c>
      <c r="BV16" t="s">
        <v>225</v>
      </c>
      <c r="BW16" t="s">
        <v>8332</v>
      </c>
      <c r="BX16" t="s">
        <v>777</v>
      </c>
      <c r="BY16" t="s">
        <v>24925</v>
      </c>
      <c r="BZ16" t="s">
        <v>24926</v>
      </c>
      <c r="CA16" t="s">
        <v>24927</v>
      </c>
      <c r="CB16" t="s">
        <v>24925</v>
      </c>
      <c r="CC16" t="s">
        <v>24926</v>
      </c>
      <c r="CD16" t="s">
        <v>24927</v>
      </c>
      <c r="CE16" t="s">
        <v>102</v>
      </c>
      <c r="CF16" t="s">
        <v>778</v>
      </c>
      <c r="CH16" t="s">
        <v>779</v>
      </c>
      <c r="CJ16" t="s">
        <v>758</v>
      </c>
      <c r="CK16" t="s">
        <v>211</v>
      </c>
      <c r="CL16" t="s">
        <v>779</v>
      </c>
      <c r="CM16" t="s">
        <v>230</v>
      </c>
      <c r="CN16" t="s">
        <v>778</v>
      </c>
      <c r="CO16" t="s">
        <v>780</v>
      </c>
    </row>
    <row r="17" spans="1:93" hidden="1">
      <c r="A17" t="s">
        <v>149</v>
      </c>
      <c r="B17">
        <v>1316481</v>
      </c>
      <c r="C17" t="s">
        <v>781</v>
      </c>
      <c r="D17" t="s">
        <v>21661</v>
      </c>
      <c r="E17" t="s">
        <v>21857</v>
      </c>
      <c r="F17" t="s">
        <v>3549</v>
      </c>
      <c r="G17" t="s">
        <v>98</v>
      </c>
      <c r="H17" t="s">
        <v>24928</v>
      </c>
      <c r="I17" t="s">
        <v>100</v>
      </c>
      <c r="J17">
        <v>0</v>
      </c>
      <c r="K17">
        <v>0</v>
      </c>
      <c r="L17">
        <v>0</v>
      </c>
      <c r="M17">
        <v>990</v>
      </c>
      <c r="N17" t="s">
        <v>102</v>
      </c>
      <c r="O17">
        <v>0</v>
      </c>
      <c r="P17">
        <v>0</v>
      </c>
      <c r="R17">
        <v>0</v>
      </c>
      <c r="S17">
        <v>990</v>
      </c>
      <c r="T17" t="s">
        <v>102</v>
      </c>
      <c r="U17" t="s">
        <v>102</v>
      </c>
      <c r="V17" t="s">
        <v>275</v>
      </c>
      <c r="X17" t="s">
        <v>21857</v>
      </c>
      <c r="Y17" t="s">
        <v>109</v>
      </c>
      <c r="Z17" t="s">
        <v>102</v>
      </c>
      <c r="AA17" t="s">
        <v>109</v>
      </c>
      <c r="AB17" t="s">
        <v>102</v>
      </c>
      <c r="AC17" t="s">
        <v>109</v>
      </c>
      <c r="AD17" t="s">
        <v>102</v>
      </c>
      <c r="AE17" t="s">
        <v>109</v>
      </c>
      <c r="AF17" t="s">
        <v>102</v>
      </c>
      <c r="AG17" t="s">
        <v>102</v>
      </c>
      <c r="AJ17" t="s">
        <v>102</v>
      </c>
      <c r="AK17" t="s">
        <v>102</v>
      </c>
      <c r="AL17" t="s">
        <v>102</v>
      </c>
      <c r="AM17" t="s">
        <v>115</v>
      </c>
      <c r="AN17" t="s">
        <v>115</v>
      </c>
      <c r="AS17" t="s">
        <v>117</v>
      </c>
      <c r="AT17" t="s">
        <v>118</v>
      </c>
      <c r="AU17" t="s">
        <v>102</v>
      </c>
      <c r="AV17" t="s">
        <v>119</v>
      </c>
      <c r="AY17" t="s">
        <v>250</v>
      </c>
      <c r="AZ17" t="s">
        <v>120</v>
      </c>
      <c r="BA17" t="s">
        <v>788</v>
      </c>
      <c r="BB17" t="s">
        <v>211</v>
      </c>
      <c r="BC17" t="s">
        <v>212</v>
      </c>
      <c r="BD17" t="s">
        <v>213</v>
      </c>
      <c r="BE17" t="s">
        <v>124</v>
      </c>
      <c r="BF17" t="s">
        <v>24888</v>
      </c>
      <c r="BG17" t="s">
        <v>23025</v>
      </c>
      <c r="BH17" t="s">
        <v>127</v>
      </c>
      <c r="BI17" t="s">
        <v>24929</v>
      </c>
      <c r="BJ17" t="s">
        <v>790</v>
      </c>
      <c r="BK17" t="s">
        <v>24930</v>
      </c>
      <c r="BL17" t="s">
        <v>21857</v>
      </c>
      <c r="BM17" t="s">
        <v>24891</v>
      </c>
      <c r="BN17" t="s">
        <v>180</v>
      </c>
      <c r="BO17" t="s">
        <v>24892</v>
      </c>
      <c r="BP17" t="s">
        <v>24893</v>
      </c>
      <c r="BQ17" t="s">
        <v>222</v>
      </c>
      <c r="BS17" t="s">
        <v>24931</v>
      </c>
      <c r="BT17" t="s">
        <v>3585</v>
      </c>
      <c r="BU17" t="s">
        <v>598</v>
      </c>
      <c r="BV17" t="s">
        <v>225</v>
      </c>
      <c r="BW17" t="s">
        <v>8332</v>
      </c>
      <c r="BX17" t="s">
        <v>793</v>
      </c>
      <c r="BY17" t="s">
        <v>24932</v>
      </c>
      <c r="BZ17" t="s">
        <v>793</v>
      </c>
      <c r="CA17" t="s">
        <v>24933</v>
      </c>
      <c r="CB17" t="s">
        <v>24932</v>
      </c>
      <c r="CC17" t="s">
        <v>793</v>
      </c>
      <c r="CD17" t="s">
        <v>24933</v>
      </c>
      <c r="CE17" t="s">
        <v>102</v>
      </c>
      <c r="CF17" t="s">
        <v>794</v>
      </c>
      <c r="CH17" t="s">
        <v>795</v>
      </c>
      <c r="CJ17" t="s">
        <v>788</v>
      </c>
      <c r="CK17" t="s">
        <v>211</v>
      </c>
      <c r="CL17" t="s">
        <v>795</v>
      </c>
      <c r="CM17" t="s">
        <v>230</v>
      </c>
      <c r="CN17" t="s">
        <v>794</v>
      </c>
      <c r="CO17" t="s">
        <v>794</v>
      </c>
    </row>
    <row r="18" spans="1:93" hidden="1">
      <c r="A18" t="s">
        <v>149</v>
      </c>
      <c r="B18">
        <v>1324480</v>
      </c>
      <c r="C18" t="s">
        <v>796</v>
      </c>
      <c r="D18" t="s">
        <v>21661</v>
      </c>
      <c r="E18" t="s">
        <v>11889</v>
      </c>
      <c r="F18" t="s">
        <v>3549</v>
      </c>
      <c r="G18" t="s">
        <v>98</v>
      </c>
      <c r="H18" t="s">
        <v>24057</v>
      </c>
      <c r="I18" t="s">
        <v>100</v>
      </c>
      <c r="J18">
        <v>747960</v>
      </c>
      <c r="K18">
        <v>851925</v>
      </c>
      <c r="L18">
        <v>170378</v>
      </c>
      <c r="M18">
        <v>415</v>
      </c>
      <c r="N18" t="s">
        <v>24058</v>
      </c>
      <c r="O18">
        <v>0</v>
      </c>
      <c r="P18">
        <v>0</v>
      </c>
      <c r="R18">
        <v>577582</v>
      </c>
      <c r="S18">
        <v>415</v>
      </c>
      <c r="T18" t="s">
        <v>24059</v>
      </c>
      <c r="U18" t="s">
        <v>102</v>
      </c>
      <c r="V18" t="s">
        <v>103</v>
      </c>
      <c r="W18" t="s">
        <v>155</v>
      </c>
      <c r="Y18" t="s">
        <v>11960</v>
      </c>
      <c r="Z18" t="s">
        <v>24060</v>
      </c>
      <c r="AA18" t="s">
        <v>21826</v>
      </c>
      <c r="AB18" t="s">
        <v>24060</v>
      </c>
      <c r="AC18" t="s">
        <v>21828</v>
      </c>
      <c r="AD18" t="s">
        <v>24060</v>
      </c>
      <c r="AE18" t="s">
        <v>21687</v>
      </c>
      <c r="AF18" t="s">
        <v>24060</v>
      </c>
      <c r="AG18" t="s">
        <v>102</v>
      </c>
      <c r="AJ18" t="s">
        <v>102</v>
      </c>
      <c r="AK18" t="s">
        <v>102</v>
      </c>
      <c r="AL18" t="s">
        <v>102</v>
      </c>
      <c r="AM18" t="s">
        <v>24061</v>
      </c>
      <c r="AN18" t="s">
        <v>24062</v>
      </c>
      <c r="AQ18" t="s">
        <v>169</v>
      </c>
      <c r="AR18" t="s">
        <v>169</v>
      </c>
      <c r="AS18" t="s">
        <v>318</v>
      </c>
      <c r="AT18" t="s">
        <v>118</v>
      </c>
      <c r="AU18" t="s">
        <v>102</v>
      </c>
      <c r="AV18" t="s">
        <v>119</v>
      </c>
      <c r="AY18" t="s">
        <v>250</v>
      </c>
      <c r="AZ18" t="s">
        <v>120</v>
      </c>
      <c r="BA18" t="s">
        <v>814</v>
      </c>
      <c r="BB18" t="s">
        <v>320</v>
      </c>
      <c r="BC18" t="s">
        <v>122</v>
      </c>
      <c r="BD18" t="s">
        <v>123</v>
      </c>
      <c r="BE18" t="s">
        <v>124</v>
      </c>
      <c r="BF18" t="s">
        <v>12250</v>
      </c>
      <c r="BG18" t="s">
        <v>21667</v>
      </c>
      <c r="BH18" t="s">
        <v>127</v>
      </c>
      <c r="BI18" t="s">
        <v>24063</v>
      </c>
      <c r="BJ18" t="s">
        <v>817</v>
      </c>
      <c r="BK18" t="s">
        <v>24064</v>
      </c>
      <c r="BL18" t="s">
        <v>11889</v>
      </c>
      <c r="BM18" t="s">
        <v>18467</v>
      </c>
      <c r="BN18" t="s">
        <v>350</v>
      </c>
      <c r="BO18" t="s">
        <v>18468</v>
      </c>
      <c r="BP18" t="s">
        <v>18469</v>
      </c>
      <c r="BQ18" t="s">
        <v>819</v>
      </c>
      <c r="BS18" t="s">
        <v>24065</v>
      </c>
      <c r="BT18" t="s">
        <v>821</v>
      </c>
      <c r="BU18" t="s">
        <v>354</v>
      </c>
      <c r="BV18" t="s">
        <v>824</v>
      </c>
      <c r="BW18" t="s">
        <v>823</v>
      </c>
      <c r="BX18" t="s">
        <v>824</v>
      </c>
      <c r="BY18" t="s">
        <v>821</v>
      </c>
      <c r="BZ18" t="s">
        <v>824</v>
      </c>
      <c r="CA18" t="s">
        <v>823</v>
      </c>
      <c r="CB18" t="s">
        <v>821</v>
      </c>
      <c r="CC18" t="s">
        <v>824</v>
      </c>
      <c r="CD18" t="s">
        <v>823</v>
      </c>
      <c r="CE18" t="s">
        <v>828</v>
      </c>
      <c r="CF18" t="s">
        <v>829</v>
      </c>
      <c r="CH18" t="s">
        <v>830</v>
      </c>
      <c r="CI18" t="s">
        <v>12391</v>
      </c>
      <c r="CJ18" t="s">
        <v>814</v>
      </c>
      <c r="CK18" t="s">
        <v>320</v>
      </c>
      <c r="CL18" t="s">
        <v>830</v>
      </c>
      <c r="CN18" t="s">
        <v>829</v>
      </c>
      <c r="CO18" t="s">
        <v>829</v>
      </c>
    </row>
    <row r="19" spans="1:93" hidden="1">
      <c r="A19" t="s">
        <v>93</v>
      </c>
      <c r="B19">
        <v>1324784</v>
      </c>
      <c r="C19" t="s">
        <v>12392</v>
      </c>
      <c r="D19" t="s">
        <v>21661</v>
      </c>
      <c r="E19" t="s">
        <v>21728</v>
      </c>
      <c r="F19" t="s">
        <v>152</v>
      </c>
      <c r="G19" t="s">
        <v>98</v>
      </c>
      <c r="H19" t="s">
        <v>21729</v>
      </c>
      <c r="I19" t="s">
        <v>100</v>
      </c>
      <c r="J19">
        <v>180024</v>
      </c>
      <c r="K19">
        <v>180024</v>
      </c>
      <c r="L19">
        <v>0</v>
      </c>
      <c r="M19">
        <v>0</v>
      </c>
      <c r="O19">
        <v>180024</v>
      </c>
      <c r="P19">
        <v>150</v>
      </c>
      <c r="Q19" t="s">
        <v>880</v>
      </c>
      <c r="R19">
        <v>0</v>
      </c>
      <c r="S19">
        <v>0</v>
      </c>
      <c r="U19" t="s">
        <v>102</v>
      </c>
      <c r="V19" t="s">
        <v>103</v>
      </c>
      <c r="W19" t="s">
        <v>155</v>
      </c>
      <c r="Y19" t="s">
        <v>11960</v>
      </c>
      <c r="Z19" t="s">
        <v>21730</v>
      </c>
      <c r="AA19" t="s">
        <v>21731</v>
      </c>
      <c r="AB19" t="s">
        <v>21730</v>
      </c>
      <c r="AC19" t="s">
        <v>21732</v>
      </c>
      <c r="AD19" t="s">
        <v>21730</v>
      </c>
      <c r="AE19" t="s">
        <v>21687</v>
      </c>
      <c r="AF19" t="s">
        <v>21730</v>
      </c>
      <c r="AG19" t="s">
        <v>102</v>
      </c>
      <c r="AJ19" t="s">
        <v>102</v>
      </c>
      <c r="AK19" t="s">
        <v>102</v>
      </c>
      <c r="AL19" t="s">
        <v>102</v>
      </c>
      <c r="AM19" t="s">
        <v>1963</v>
      </c>
      <c r="AN19" t="s">
        <v>1963</v>
      </c>
      <c r="AS19" t="s">
        <v>102</v>
      </c>
      <c r="AU19" t="s">
        <v>155</v>
      </c>
      <c r="AV19" t="s">
        <v>447</v>
      </c>
      <c r="AW19" t="s">
        <v>170</v>
      </c>
      <c r="AX19" t="s">
        <v>118</v>
      </c>
      <c r="AZ19" t="s">
        <v>120</v>
      </c>
      <c r="BA19" t="s">
        <v>319</v>
      </c>
      <c r="BB19" t="s">
        <v>320</v>
      </c>
      <c r="BC19" t="s">
        <v>122</v>
      </c>
      <c r="BD19" t="s">
        <v>123</v>
      </c>
      <c r="BE19" t="s">
        <v>124</v>
      </c>
      <c r="BF19" t="s">
        <v>12250</v>
      </c>
      <c r="BG19" t="s">
        <v>21667</v>
      </c>
      <c r="BH19" t="s">
        <v>127</v>
      </c>
      <c r="BI19" t="s">
        <v>21733</v>
      </c>
      <c r="BJ19" t="s">
        <v>12403</v>
      </c>
      <c r="BK19" t="s">
        <v>21734</v>
      </c>
      <c r="BL19" t="s">
        <v>21728</v>
      </c>
      <c r="BM19" t="s">
        <v>4845</v>
      </c>
      <c r="BN19" t="s">
        <v>350</v>
      </c>
      <c r="BO19" t="s">
        <v>4846</v>
      </c>
      <c r="BP19" t="s">
        <v>4847</v>
      </c>
      <c r="BQ19" t="s">
        <v>8756</v>
      </c>
      <c r="BR19" t="s">
        <v>5574</v>
      </c>
      <c r="BS19" t="s">
        <v>21735</v>
      </c>
      <c r="BT19" t="s">
        <v>12406</v>
      </c>
      <c r="BU19" t="s">
        <v>138</v>
      </c>
      <c r="BV19" t="s">
        <v>12407</v>
      </c>
      <c r="BW19" t="s">
        <v>12408</v>
      </c>
      <c r="BX19" t="s">
        <v>12409</v>
      </c>
      <c r="BY19" t="s">
        <v>12406</v>
      </c>
      <c r="BZ19" t="s">
        <v>12407</v>
      </c>
      <c r="CA19" t="s">
        <v>12408</v>
      </c>
      <c r="CB19" t="s">
        <v>12406</v>
      </c>
      <c r="CC19" t="s">
        <v>12407</v>
      </c>
      <c r="CD19" t="s">
        <v>12408</v>
      </c>
      <c r="CE19" t="s">
        <v>12115</v>
      </c>
      <c r="CF19" t="s">
        <v>12410</v>
      </c>
      <c r="CH19" t="s">
        <v>12411</v>
      </c>
      <c r="CI19" t="s">
        <v>12412</v>
      </c>
      <c r="CJ19" t="s">
        <v>319</v>
      </c>
      <c r="CK19" t="s">
        <v>320</v>
      </c>
      <c r="CL19" t="s">
        <v>12411</v>
      </c>
      <c r="CN19" t="s">
        <v>12410</v>
      </c>
      <c r="CO19" t="s">
        <v>12410</v>
      </c>
    </row>
    <row r="20" spans="1:93" hidden="1">
      <c r="A20" t="s">
        <v>149</v>
      </c>
      <c r="B20">
        <v>1330320</v>
      </c>
      <c r="C20" t="s">
        <v>831</v>
      </c>
      <c r="D20" t="s">
        <v>21661</v>
      </c>
      <c r="E20" t="s">
        <v>21857</v>
      </c>
      <c r="F20" t="s">
        <v>3549</v>
      </c>
      <c r="G20" t="s">
        <v>98</v>
      </c>
      <c r="H20" t="s">
        <v>24934</v>
      </c>
      <c r="I20" t="s">
        <v>100</v>
      </c>
      <c r="J20">
        <v>0</v>
      </c>
      <c r="K20">
        <v>0</v>
      </c>
      <c r="L20">
        <v>0</v>
      </c>
      <c r="M20">
        <v>918</v>
      </c>
      <c r="N20" t="s">
        <v>102</v>
      </c>
      <c r="O20">
        <v>0</v>
      </c>
      <c r="P20">
        <v>0</v>
      </c>
      <c r="R20">
        <v>0</v>
      </c>
      <c r="S20">
        <v>918</v>
      </c>
      <c r="T20" t="s">
        <v>102</v>
      </c>
      <c r="U20" t="s">
        <v>102</v>
      </c>
      <c r="V20" t="s">
        <v>275</v>
      </c>
      <c r="X20" t="s">
        <v>21857</v>
      </c>
      <c r="Y20" t="s">
        <v>109</v>
      </c>
      <c r="Z20" t="s">
        <v>102</v>
      </c>
      <c r="AA20" t="s">
        <v>109</v>
      </c>
      <c r="AB20" t="s">
        <v>102</v>
      </c>
      <c r="AC20" t="s">
        <v>109</v>
      </c>
      <c r="AD20" t="s">
        <v>102</v>
      </c>
      <c r="AE20" t="s">
        <v>109</v>
      </c>
      <c r="AF20" t="s">
        <v>102</v>
      </c>
      <c r="AG20" t="s">
        <v>102</v>
      </c>
      <c r="AJ20" t="s">
        <v>102</v>
      </c>
      <c r="AK20" t="s">
        <v>102</v>
      </c>
      <c r="AL20" t="s">
        <v>102</v>
      </c>
      <c r="AM20" t="s">
        <v>115</v>
      </c>
      <c r="AN20" t="s">
        <v>115</v>
      </c>
      <c r="AS20" t="s">
        <v>117</v>
      </c>
      <c r="AT20" t="s">
        <v>118</v>
      </c>
      <c r="AU20" t="s">
        <v>102</v>
      </c>
      <c r="AV20" t="s">
        <v>119</v>
      </c>
      <c r="AY20" t="s">
        <v>250</v>
      </c>
      <c r="AZ20" t="s">
        <v>120</v>
      </c>
      <c r="BA20" t="s">
        <v>838</v>
      </c>
      <c r="BB20" t="s">
        <v>211</v>
      </c>
      <c r="BC20" t="s">
        <v>212</v>
      </c>
      <c r="BD20" t="s">
        <v>213</v>
      </c>
      <c r="BE20" t="s">
        <v>124</v>
      </c>
      <c r="BF20" t="s">
        <v>24888</v>
      </c>
      <c r="BG20" t="s">
        <v>23025</v>
      </c>
      <c r="BH20" t="s">
        <v>127</v>
      </c>
      <c r="BI20" t="s">
        <v>24935</v>
      </c>
      <c r="BJ20" t="s">
        <v>840</v>
      </c>
      <c r="BK20" t="s">
        <v>24936</v>
      </c>
      <c r="BL20" t="s">
        <v>21857</v>
      </c>
      <c r="BM20" t="s">
        <v>24891</v>
      </c>
      <c r="BN20" t="s">
        <v>180</v>
      </c>
      <c r="BO20" t="s">
        <v>24892</v>
      </c>
      <c r="BP20" t="s">
        <v>24893</v>
      </c>
      <c r="BQ20" t="s">
        <v>222</v>
      </c>
      <c r="BS20" t="s">
        <v>24937</v>
      </c>
      <c r="BT20" t="s">
        <v>3585</v>
      </c>
      <c r="BU20" t="s">
        <v>598</v>
      </c>
      <c r="BV20" t="s">
        <v>225</v>
      </c>
      <c r="BW20" t="s">
        <v>8332</v>
      </c>
      <c r="BX20" t="s">
        <v>843</v>
      </c>
      <c r="BY20" t="s">
        <v>24938</v>
      </c>
      <c r="BZ20" t="s">
        <v>843</v>
      </c>
      <c r="CA20" t="s">
        <v>24939</v>
      </c>
      <c r="CB20" t="s">
        <v>24938</v>
      </c>
      <c r="CC20" t="s">
        <v>843</v>
      </c>
      <c r="CD20" t="s">
        <v>24939</v>
      </c>
      <c r="CE20" t="s">
        <v>102</v>
      </c>
      <c r="CF20" t="s">
        <v>844</v>
      </c>
      <c r="CH20" t="s">
        <v>845</v>
      </c>
      <c r="CJ20" t="s">
        <v>838</v>
      </c>
      <c r="CK20" t="s">
        <v>211</v>
      </c>
      <c r="CL20" t="s">
        <v>845</v>
      </c>
      <c r="CM20" t="s">
        <v>230</v>
      </c>
      <c r="CN20" t="s">
        <v>844</v>
      </c>
      <c r="CO20" t="s">
        <v>844</v>
      </c>
    </row>
    <row r="21" spans="1:93" hidden="1">
      <c r="A21" t="s">
        <v>149</v>
      </c>
      <c r="B21">
        <v>1524162</v>
      </c>
      <c r="C21" t="s">
        <v>1021</v>
      </c>
      <c r="D21" t="s">
        <v>21661</v>
      </c>
      <c r="E21" t="s">
        <v>16593</v>
      </c>
      <c r="F21" t="s">
        <v>193</v>
      </c>
      <c r="G21" t="s">
        <v>98</v>
      </c>
      <c r="H21" t="s">
        <v>21736</v>
      </c>
      <c r="I21" t="s">
        <v>100</v>
      </c>
      <c r="J21">
        <v>1551114</v>
      </c>
      <c r="K21">
        <v>1595171</v>
      </c>
      <c r="L21">
        <v>1306354</v>
      </c>
      <c r="M21">
        <v>2090</v>
      </c>
      <c r="N21" t="s">
        <v>15308</v>
      </c>
      <c r="O21">
        <v>0</v>
      </c>
      <c r="P21">
        <v>0</v>
      </c>
      <c r="R21">
        <v>244760</v>
      </c>
      <c r="S21">
        <v>330</v>
      </c>
      <c r="T21" t="s">
        <v>12972</v>
      </c>
      <c r="U21" t="s">
        <v>102</v>
      </c>
      <c r="V21" t="s">
        <v>679</v>
      </c>
      <c r="W21" t="s">
        <v>155</v>
      </c>
      <c r="X21" t="s">
        <v>21737</v>
      </c>
      <c r="Y21" t="s">
        <v>21738</v>
      </c>
      <c r="Z21" t="s">
        <v>21739</v>
      </c>
      <c r="AA21" t="s">
        <v>21740</v>
      </c>
      <c r="AB21" t="s">
        <v>21739</v>
      </c>
      <c r="AC21" t="s">
        <v>21741</v>
      </c>
      <c r="AD21" t="s">
        <v>21739</v>
      </c>
      <c r="AE21" t="s">
        <v>21742</v>
      </c>
      <c r="AF21" t="s">
        <v>21739</v>
      </c>
      <c r="AG21" t="s">
        <v>102</v>
      </c>
      <c r="AJ21" t="s">
        <v>21739</v>
      </c>
      <c r="AK21" t="s">
        <v>102</v>
      </c>
      <c r="AL21" t="s">
        <v>21739</v>
      </c>
      <c r="AM21" t="s">
        <v>21743</v>
      </c>
      <c r="AN21" t="s">
        <v>21743</v>
      </c>
      <c r="AS21" t="s">
        <v>247</v>
      </c>
      <c r="AT21" t="s">
        <v>118</v>
      </c>
      <c r="AU21" t="s">
        <v>102</v>
      </c>
      <c r="AV21" t="s">
        <v>119</v>
      </c>
      <c r="AY21" t="s">
        <v>250</v>
      </c>
      <c r="AZ21" t="s">
        <v>120</v>
      </c>
      <c r="BA21" t="s">
        <v>1036</v>
      </c>
      <c r="BB21" t="s">
        <v>173</v>
      </c>
      <c r="BC21" t="s">
        <v>174</v>
      </c>
      <c r="BD21" t="s">
        <v>173</v>
      </c>
      <c r="BE21" t="s">
        <v>124</v>
      </c>
      <c r="BF21" t="s">
        <v>12250</v>
      </c>
      <c r="BG21" t="s">
        <v>21667</v>
      </c>
      <c r="BH21" t="s">
        <v>127</v>
      </c>
      <c r="BI21" t="s">
        <v>21744</v>
      </c>
      <c r="BJ21" t="s">
        <v>1040</v>
      </c>
      <c r="BK21" t="s">
        <v>21745</v>
      </c>
      <c r="BL21" t="s">
        <v>16593</v>
      </c>
      <c r="BM21" t="s">
        <v>12557</v>
      </c>
      <c r="BN21" t="s">
        <v>180</v>
      </c>
      <c r="BO21" t="s">
        <v>12558</v>
      </c>
      <c r="BP21" t="s">
        <v>12559</v>
      </c>
      <c r="BQ21" t="s">
        <v>183</v>
      </c>
      <c r="BS21" t="s">
        <v>21746</v>
      </c>
      <c r="BT21" t="s">
        <v>1043</v>
      </c>
      <c r="BU21" t="s">
        <v>569</v>
      </c>
      <c r="BV21" t="s">
        <v>1044</v>
      </c>
      <c r="BW21" t="s">
        <v>1045</v>
      </c>
      <c r="BX21" t="s">
        <v>1046</v>
      </c>
      <c r="BY21" t="s">
        <v>12561</v>
      </c>
      <c r="BZ21" t="s">
        <v>21747</v>
      </c>
      <c r="CA21" t="s">
        <v>1049</v>
      </c>
      <c r="CB21" t="s">
        <v>21748</v>
      </c>
      <c r="CC21" t="s">
        <v>21749</v>
      </c>
      <c r="CD21" t="s">
        <v>21750</v>
      </c>
      <c r="CE21" t="s">
        <v>102</v>
      </c>
      <c r="CF21" t="s">
        <v>21751</v>
      </c>
      <c r="CH21" t="s">
        <v>1054</v>
      </c>
      <c r="CI21" t="s">
        <v>21752</v>
      </c>
      <c r="CJ21" t="s">
        <v>1036</v>
      </c>
      <c r="CK21" t="s">
        <v>173</v>
      </c>
      <c r="CL21" t="s">
        <v>1054</v>
      </c>
      <c r="CM21" t="s">
        <v>1055</v>
      </c>
      <c r="CN21" t="s">
        <v>1056</v>
      </c>
      <c r="CO21" t="s">
        <v>1057</v>
      </c>
    </row>
    <row r="22" spans="1:93" hidden="1">
      <c r="A22" t="s">
        <v>149</v>
      </c>
      <c r="B22">
        <v>153271</v>
      </c>
      <c r="C22" t="s">
        <v>1084</v>
      </c>
      <c r="D22" t="s">
        <v>21661</v>
      </c>
      <c r="E22" t="s">
        <v>25108</v>
      </c>
      <c r="F22" t="s">
        <v>1746</v>
      </c>
      <c r="G22" t="s">
        <v>98</v>
      </c>
      <c r="H22" t="s">
        <v>25698</v>
      </c>
      <c r="I22" t="s">
        <v>100</v>
      </c>
      <c r="J22">
        <v>4044450</v>
      </c>
      <c r="K22">
        <v>4475654</v>
      </c>
      <c r="L22">
        <v>706660</v>
      </c>
      <c r="M22">
        <v>1905</v>
      </c>
      <c r="N22" t="s">
        <v>12565</v>
      </c>
      <c r="O22">
        <v>942213</v>
      </c>
      <c r="P22">
        <v>1905</v>
      </c>
      <c r="Q22" t="s">
        <v>12566</v>
      </c>
      <c r="R22">
        <v>2395577</v>
      </c>
      <c r="S22">
        <v>1905</v>
      </c>
      <c r="T22" t="s">
        <v>25699</v>
      </c>
      <c r="U22" t="s">
        <v>102</v>
      </c>
      <c r="V22" t="s">
        <v>103</v>
      </c>
      <c r="W22" t="s">
        <v>155</v>
      </c>
      <c r="Y22" t="s">
        <v>18964</v>
      </c>
      <c r="Z22" t="s">
        <v>26084</v>
      </c>
      <c r="AA22" t="s">
        <v>21664</v>
      </c>
      <c r="AB22" t="s">
        <v>26084</v>
      </c>
      <c r="AC22" t="s">
        <v>21665</v>
      </c>
      <c r="AD22" t="s">
        <v>26084</v>
      </c>
      <c r="AE22" t="s">
        <v>21687</v>
      </c>
      <c r="AF22" t="s">
        <v>26084</v>
      </c>
      <c r="AG22" t="s">
        <v>102</v>
      </c>
      <c r="AJ22" t="s">
        <v>26084</v>
      </c>
      <c r="AK22" t="s">
        <v>102</v>
      </c>
      <c r="AL22" t="s">
        <v>26084</v>
      </c>
      <c r="AM22" t="s">
        <v>25700</v>
      </c>
      <c r="AN22" t="s">
        <v>25701</v>
      </c>
      <c r="AP22" t="s">
        <v>169</v>
      </c>
      <c r="AQ22" t="s">
        <v>169</v>
      </c>
      <c r="AR22" t="s">
        <v>169</v>
      </c>
      <c r="AS22" t="s">
        <v>117</v>
      </c>
      <c r="AT22" t="s">
        <v>118</v>
      </c>
      <c r="AU22" t="s">
        <v>104</v>
      </c>
      <c r="AV22" t="s">
        <v>119</v>
      </c>
      <c r="AX22" t="s">
        <v>250</v>
      </c>
      <c r="AY22" t="s">
        <v>250</v>
      </c>
      <c r="AZ22" t="s">
        <v>171</v>
      </c>
      <c r="BA22" t="s">
        <v>1104</v>
      </c>
      <c r="BB22" t="s">
        <v>449</v>
      </c>
      <c r="BC22" t="s">
        <v>122</v>
      </c>
      <c r="BD22" t="s">
        <v>253</v>
      </c>
      <c r="BE22" t="s">
        <v>124</v>
      </c>
      <c r="BF22" t="s">
        <v>21857</v>
      </c>
      <c r="BG22" t="s">
        <v>21667</v>
      </c>
      <c r="BH22" t="s">
        <v>127</v>
      </c>
      <c r="BI22" t="s">
        <v>25702</v>
      </c>
      <c r="BJ22" t="s">
        <v>1106</v>
      </c>
      <c r="BK22" t="s">
        <v>25703</v>
      </c>
      <c r="BL22" t="s">
        <v>25108</v>
      </c>
      <c r="BM22" t="s">
        <v>1108</v>
      </c>
      <c r="BN22" t="s">
        <v>350</v>
      </c>
      <c r="BO22" t="s">
        <v>1109</v>
      </c>
      <c r="BP22" t="s">
        <v>1110</v>
      </c>
      <c r="BQ22" t="s">
        <v>1111</v>
      </c>
      <c r="BS22" t="s">
        <v>25704</v>
      </c>
      <c r="BT22" t="s">
        <v>1113</v>
      </c>
      <c r="BU22" t="s">
        <v>138</v>
      </c>
      <c r="BV22" t="s">
        <v>1114</v>
      </c>
      <c r="BW22" t="s">
        <v>1115</v>
      </c>
      <c r="BX22" t="s">
        <v>1114</v>
      </c>
      <c r="BY22" t="s">
        <v>1113</v>
      </c>
      <c r="BZ22" t="s">
        <v>1114</v>
      </c>
      <c r="CA22" t="s">
        <v>1115</v>
      </c>
      <c r="CB22" t="s">
        <v>25705</v>
      </c>
      <c r="CC22" t="s">
        <v>25706</v>
      </c>
      <c r="CD22" t="s">
        <v>25707</v>
      </c>
      <c r="CE22" t="s">
        <v>102</v>
      </c>
      <c r="CF22" t="s">
        <v>12589</v>
      </c>
      <c r="CH22" t="s">
        <v>1117</v>
      </c>
      <c r="CJ22" t="s">
        <v>1104</v>
      </c>
      <c r="CK22" t="s">
        <v>449</v>
      </c>
      <c r="CL22" t="s">
        <v>1117</v>
      </c>
      <c r="CM22" t="s">
        <v>1118</v>
      </c>
      <c r="CN22" t="s">
        <v>1116</v>
      </c>
      <c r="CO22" t="s">
        <v>1116</v>
      </c>
    </row>
    <row r="23" spans="1:93" hidden="1">
      <c r="A23" t="s">
        <v>149</v>
      </c>
      <c r="B23">
        <v>1551815</v>
      </c>
      <c r="C23" t="s">
        <v>1119</v>
      </c>
      <c r="D23" t="s">
        <v>21661</v>
      </c>
      <c r="E23" t="s">
        <v>23865</v>
      </c>
      <c r="F23" t="s">
        <v>675</v>
      </c>
      <c r="G23" t="s">
        <v>98</v>
      </c>
      <c r="H23" t="s">
        <v>24066</v>
      </c>
      <c r="I23" t="s">
        <v>100</v>
      </c>
      <c r="J23">
        <v>4613052</v>
      </c>
      <c r="K23">
        <v>4613052</v>
      </c>
      <c r="L23">
        <v>1314502</v>
      </c>
      <c r="M23">
        <v>2022</v>
      </c>
      <c r="N23" t="s">
        <v>1122</v>
      </c>
      <c r="O23">
        <v>3298550</v>
      </c>
      <c r="P23">
        <v>1783</v>
      </c>
      <c r="Q23" t="s">
        <v>1123</v>
      </c>
      <c r="R23">
        <v>0</v>
      </c>
      <c r="S23">
        <v>0</v>
      </c>
      <c r="U23" t="s">
        <v>102</v>
      </c>
      <c r="V23" t="s">
        <v>103</v>
      </c>
      <c r="W23" t="s">
        <v>155</v>
      </c>
      <c r="Y23" t="s">
        <v>12250</v>
      </c>
      <c r="Z23" t="s">
        <v>24067</v>
      </c>
      <c r="AA23" t="s">
        <v>21664</v>
      </c>
      <c r="AB23" t="s">
        <v>24067</v>
      </c>
      <c r="AC23" t="s">
        <v>22931</v>
      </c>
      <c r="AD23" t="s">
        <v>24067</v>
      </c>
      <c r="AE23" t="s">
        <v>21710</v>
      </c>
      <c r="AF23" t="s">
        <v>24067</v>
      </c>
      <c r="AG23" t="s">
        <v>102</v>
      </c>
      <c r="AJ23" t="s">
        <v>24067</v>
      </c>
      <c r="AK23" t="s">
        <v>102</v>
      </c>
      <c r="AL23" t="s">
        <v>24067</v>
      </c>
      <c r="AM23" t="s">
        <v>24068</v>
      </c>
      <c r="AN23" t="s">
        <v>24068</v>
      </c>
      <c r="AS23" t="s">
        <v>207</v>
      </c>
      <c r="AT23" t="s">
        <v>118</v>
      </c>
      <c r="AU23" t="s">
        <v>248</v>
      </c>
      <c r="AV23" t="s">
        <v>119</v>
      </c>
      <c r="AW23" t="s">
        <v>1138</v>
      </c>
      <c r="AX23" t="s">
        <v>118</v>
      </c>
      <c r="AZ23" t="s">
        <v>120</v>
      </c>
      <c r="BA23" t="s">
        <v>555</v>
      </c>
      <c r="BB23" t="s">
        <v>556</v>
      </c>
      <c r="BC23" t="s">
        <v>122</v>
      </c>
      <c r="BD23" t="s">
        <v>557</v>
      </c>
      <c r="BE23" t="s">
        <v>124</v>
      </c>
      <c r="BF23" t="s">
        <v>12250</v>
      </c>
      <c r="BG23" t="s">
        <v>21667</v>
      </c>
      <c r="BH23" t="s">
        <v>127</v>
      </c>
      <c r="BI23" t="s">
        <v>24069</v>
      </c>
      <c r="BJ23" t="s">
        <v>1140</v>
      </c>
      <c r="BK23" t="s">
        <v>24070</v>
      </c>
      <c r="BL23" t="s">
        <v>23865</v>
      </c>
      <c r="BM23" t="s">
        <v>1142</v>
      </c>
      <c r="BN23" t="s">
        <v>505</v>
      </c>
      <c r="BO23" t="s">
        <v>1143</v>
      </c>
      <c r="BP23" t="s">
        <v>1144</v>
      </c>
      <c r="BQ23" t="s">
        <v>566</v>
      </c>
      <c r="BS23" t="s">
        <v>24071</v>
      </c>
      <c r="BT23" t="s">
        <v>1146</v>
      </c>
      <c r="BU23" t="s">
        <v>138</v>
      </c>
      <c r="BV23" t="s">
        <v>1147</v>
      </c>
      <c r="BW23" t="s">
        <v>1148</v>
      </c>
      <c r="BX23" t="s">
        <v>1149</v>
      </c>
      <c r="BY23" t="s">
        <v>1146</v>
      </c>
      <c r="BZ23" t="s">
        <v>24072</v>
      </c>
      <c r="CA23" t="s">
        <v>1148</v>
      </c>
      <c r="CB23" t="s">
        <v>1146</v>
      </c>
      <c r="CC23" t="s">
        <v>24072</v>
      </c>
      <c r="CD23" t="s">
        <v>1148</v>
      </c>
      <c r="CE23" t="s">
        <v>102</v>
      </c>
      <c r="CF23" t="s">
        <v>12606</v>
      </c>
      <c r="CH23" t="s">
        <v>1154</v>
      </c>
      <c r="CJ23" t="s">
        <v>555</v>
      </c>
      <c r="CK23" t="s">
        <v>556</v>
      </c>
      <c r="CL23" t="s">
        <v>1154</v>
      </c>
      <c r="CM23" t="s">
        <v>1155</v>
      </c>
      <c r="CN23" t="s">
        <v>1153</v>
      </c>
      <c r="CO23" t="s">
        <v>1153</v>
      </c>
    </row>
    <row r="24" spans="1:93">
      <c r="A24" t="s">
        <v>337</v>
      </c>
      <c r="B24">
        <v>1556044</v>
      </c>
      <c r="C24" t="s">
        <v>23440</v>
      </c>
      <c r="D24" t="s">
        <v>21661</v>
      </c>
      <c r="E24" t="s">
        <v>13245</v>
      </c>
      <c r="F24" t="s">
        <v>97</v>
      </c>
      <c r="G24" t="s">
        <v>98</v>
      </c>
      <c r="H24" t="s">
        <v>23441</v>
      </c>
      <c r="I24" t="s">
        <v>100</v>
      </c>
      <c r="J24">
        <v>233067</v>
      </c>
      <c r="K24">
        <v>233067</v>
      </c>
      <c r="L24">
        <v>233067</v>
      </c>
      <c r="M24">
        <v>333</v>
      </c>
      <c r="N24" t="s">
        <v>799</v>
      </c>
      <c r="O24">
        <v>0</v>
      </c>
      <c r="P24">
        <v>0</v>
      </c>
      <c r="R24">
        <v>0</v>
      </c>
      <c r="S24">
        <v>0</v>
      </c>
      <c r="U24" t="s">
        <v>102</v>
      </c>
      <c r="V24" t="s">
        <v>103</v>
      </c>
      <c r="W24" t="s">
        <v>155</v>
      </c>
      <c r="Y24" t="s">
        <v>12435</v>
      </c>
      <c r="Z24" t="s">
        <v>23442</v>
      </c>
      <c r="AA24" t="s">
        <v>12720</v>
      </c>
      <c r="AB24" t="s">
        <v>23442</v>
      </c>
      <c r="AC24" t="s">
        <v>22119</v>
      </c>
      <c r="AD24" t="s">
        <v>23442</v>
      </c>
      <c r="AE24" t="s">
        <v>21687</v>
      </c>
      <c r="AF24" t="s">
        <v>23442</v>
      </c>
      <c r="AG24" t="s">
        <v>102</v>
      </c>
      <c r="AH24" t="s">
        <v>21784</v>
      </c>
      <c r="AI24" t="s">
        <v>21784</v>
      </c>
      <c r="AJ24" t="s">
        <v>102</v>
      </c>
      <c r="AK24" t="s">
        <v>2555</v>
      </c>
      <c r="AL24" t="s">
        <v>22120</v>
      </c>
      <c r="AM24" t="s">
        <v>10612</v>
      </c>
      <c r="AN24" t="s">
        <v>10612</v>
      </c>
      <c r="AS24" t="s">
        <v>318</v>
      </c>
      <c r="AT24" t="s">
        <v>118</v>
      </c>
      <c r="AU24" t="s">
        <v>102</v>
      </c>
      <c r="AV24" t="s">
        <v>119</v>
      </c>
      <c r="AZ24" t="s">
        <v>120</v>
      </c>
      <c r="BA24" t="s">
        <v>12104</v>
      </c>
      <c r="BB24" t="s">
        <v>1208</v>
      </c>
      <c r="BC24" t="s">
        <v>174</v>
      </c>
      <c r="BD24" t="s">
        <v>1172</v>
      </c>
      <c r="BE24" t="s">
        <v>124</v>
      </c>
      <c r="BF24" t="s">
        <v>12250</v>
      </c>
      <c r="BG24" t="s">
        <v>21667</v>
      </c>
      <c r="BH24" t="s">
        <v>127</v>
      </c>
      <c r="BI24" t="s">
        <v>23443</v>
      </c>
      <c r="BJ24" t="s">
        <v>23444</v>
      </c>
      <c r="BK24" t="s">
        <v>23445</v>
      </c>
      <c r="BL24" t="s">
        <v>13245</v>
      </c>
      <c r="BM24" t="s">
        <v>7512</v>
      </c>
      <c r="BN24" t="s">
        <v>180</v>
      </c>
      <c r="BO24" t="s">
        <v>7513</v>
      </c>
      <c r="BP24" t="s">
        <v>7514</v>
      </c>
      <c r="BQ24" t="s">
        <v>7515</v>
      </c>
      <c r="BS24" t="s">
        <v>23446</v>
      </c>
      <c r="BT24" t="s">
        <v>22126</v>
      </c>
      <c r="BU24" t="s">
        <v>138</v>
      </c>
      <c r="BV24" t="s">
        <v>23447</v>
      </c>
      <c r="BW24" t="s">
        <v>22128</v>
      </c>
      <c r="BX24" t="s">
        <v>23448</v>
      </c>
      <c r="BY24" t="s">
        <v>22129</v>
      </c>
      <c r="BZ24" t="s">
        <v>23447</v>
      </c>
      <c r="CA24" t="s">
        <v>22128</v>
      </c>
      <c r="CB24" t="s">
        <v>22129</v>
      </c>
      <c r="CC24" t="s">
        <v>23447</v>
      </c>
      <c r="CD24" t="s">
        <v>22128</v>
      </c>
      <c r="CE24" t="s">
        <v>20469</v>
      </c>
      <c r="CF24" t="s">
        <v>23449</v>
      </c>
      <c r="CH24" t="s">
        <v>23450</v>
      </c>
      <c r="CI24" t="s">
        <v>23449</v>
      </c>
      <c r="CJ24" t="s">
        <v>12104</v>
      </c>
      <c r="CK24" t="s">
        <v>1208</v>
      </c>
      <c r="CL24" t="s">
        <v>23450</v>
      </c>
      <c r="CN24" t="s">
        <v>12104</v>
      </c>
      <c r="CO24" t="s">
        <v>12104</v>
      </c>
    </row>
    <row r="25" spans="1:93" hidden="1">
      <c r="A25" t="s">
        <v>149</v>
      </c>
      <c r="B25">
        <v>159527</v>
      </c>
      <c r="C25" t="s">
        <v>12672</v>
      </c>
      <c r="D25" t="s">
        <v>21661</v>
      </c>
      <c r="E25" t="s">
        <v>13486</v>
      </c>
      <c r="F25" t="s">
        <v>643</v>
      </c>
      <c r="G25" t="s">
        <v>98</v>
      </c>
      <c r="H25" t="s">
        <v>21753</v>
      </c>
      <c r="I25" t="s">
        <v>100</v>
      </c>
      <c r="J25">
        <v>2193236</v>
      </c>
      <c r="K25">
        <v>2305634</v>
      </c>
      <c r="L25">
        <v>0</v>
      </c>
      <c r="M25">
        <v>0</v>
      </c>
      <c r="O25">
        <v>1568800</v>
      </c>
      <c r="P25">
        <v>592</v>
      </c>
      <c r="Q25" t="s">
        <v>12673</v>
      </c>
      <c r="R25">
        <v>624436</v>
      </c>
      <c r="S25">
        <v>231</v>
      </c>
      <c r="T25" t="s">
        <v>12674</v>
      </c>
      <c r="U25" t="s">
        <v>102</v>
      </c>
      <c r="V25" t="s">
        <v>103</v>
      </c>
      <c r="W25" t="s">
        <v>155</v>
      </c>
      <c r="Y25" t="s">
        <v>12720</v>
      </c>
      <c r="Z25" t="s">
        <v>21754</v>
      </c>
      <c r="AA25" t="s">
        <v>21686</v>
      </c>
      <c r="AB25" t="s">
        <v>21754</v>
      </c>
      <c r="AC25" t="s">
        <v>21687</v>
      </c>
      <c r="AD25" t="s">
        <v>21754</v>
      </c>
      <c r="AE25" t="s">
        <v>21687</v>
      </c>
      <c r="AF25" t="s">
        <v>21754</v>
      </c>
      <c r="AG25" t="s">
        <v>102</v>
      </c>
      <c r="AJ25" t="s">
        <v>102</v>
      </c>
      <c r="AK25" t="s">
        <v>102</v>
      </c>
      <c r="AL25" t="s">
        <v>102</v>
      </c>
      <c r="AM25" t="s">
        <v>21755</v>
      </c>
      <c r="AN25" t="s">
        <v>21755</v>
      </c>
      <c r="AS25" t="s">
        <v>102</v>
      </c>
      <c r="AU25" t="s">
        <v>248</v>
      </c>
      <c r="AV25" t="s">
        <v>119</v>
      </c>
      <c r="AW25" t="s">
        <v>170</v>
      </c>
      <c r="AX25" t="s">
        <v>118</v>
      </c>
      <c r="AY25" t="s">
        <v>250</v>
      </c>
      <c r="AZ25" t="s">
        <v>171</v>
      </c>
      <c r="BA25" t="s">
        <v>623</v>
      </c>
      <c r="BB25" t="s">
        <v>621</v>
      </c>
      <c r="BC25" t="s">
        <v>622</v>
      </c>
      <c r="BD25" t="s">
        <v>623</v>
      </c>
      <c r="BE25" t="s">
        <v>124</v>
      </c>
      <c r="BF25" t="s">
        <v>12250</v>
      </c>
      <c r="BG25" t="s">
        <v>21667</v>
      </c>
      <c r="BH25" t="s">
        <v>127</v>
      </c>
      <c r="BI25" t="s">
        <v>21756</v>
      </c>
      <c r="BJ25" t="s">
        <v>1337</v>
      </c>
      <c r="BK25" t="s">
        <v>21757</v>
      </c>
      <c r="BL25" t="s">
        <v>13486</v>
      </c>
      <c r="BM25" t="s">
        <v>1339</v>
      </c>
      <c r="BN25" t="s">
        <v>132</v>
      </c>
      <c r="BO25" t="s">
        <v>1340</v>
      </c>
      <c r="BP25" t="s">
        <v>1341</v>
      </c>
      <c r="BQ25" t="s">
        <v>1342</v>
      </c>
      <c r="BS25" t="s">
        <v>21758</v>
      </c>
      <c r="BT25" t="s">
        <v>12688</v>
      </c>
      <c r="BU25" t="s">
        <v>598</v>
      </c>
      <c r="BV25" t="s">
        <v>12689</v>
      </c>
      <c r="BW25" t="s">
        <v>21759</v>
      </c>
      <c r="BX25" t="s">
        <v>1347</v>
      </c>
      <c r="BY25" t="s">
        <v>12688</v>
      </c>
      <c r="BZ25" t="s">
        <v>12689</v>
      </c>
      <c r="CA25" t="s">
        <v>21759</v>
      </c>
      <c r="CB25" t="s">
        <v>12688</v>
      </c>
      <c r="CC25" t="s">
        <v>12689</v>
      </c>
      <c r="CD25" t="s">
        <v>21759</v>
      </c>
      <c r="CE25" t="s">
        <v>102</v>
      </c>
      <c r="CF25" t="s">
        <v>1350</v>
      </c>
      <c r="CH25" t="s">
        <v>1351</v>
      </c>
      <c r="CJ25" t="s">
        <v>623</v>
      </c>
      <c r="CK25" t="s">
        <v>621</v>
      </c>
      <c r="CL25" t="s">
        <v>1351</v>
      </c>
      <c r="CM25" t="s">
        <v>1352</v>
      </c>
      <c r="CN25" t="s">
        <v>1350</v>
      </c>
      <c r="CO25" t="s">
        <v>1350</v>
      </c>
    </row>
    <row r="26" spans="1:93" hidden="1">
      <c r="A26" t="s">
        <v>149</v>
      </c>
      <c r="B26">
        <v>1644219</v>
      </c>
      <c r="C26" t="s">
        <v>1396</v>
      </c>
      <c r="D26" t="s">
        <v>21661</v>
      </c>
      <c r="E26" t="s">
        <v>24940</v>
      </c>
      <c r="F26" t="s">
        <v>848</v>
      </c>
      <c r="G26" t="s">
        <v>98</v>
      </c>
      <c r="H26" t="s">
        <v>24941</v>
      </c>
      <c r="I26" t="s">
        <v>100</v>
      </c>
      <c r="J26">
        <v>362052</v>
      </c>
      <c r="K26">
        <v>427221</v>
      </c>
      <c r="L26">
        <v>0</v>
      </c>
      <c r="M26">
        <v>0</v>
      </c>
      <c r="O26">
        <v>0</v>
      </c>
      <c r="P26">
        <v>0</v>
      </c>
      <c r="R26">
        <v>362052</v>
      </c>
      <c r="S26">
        <v>178</v>
      </c>
      <c r="T26" t="s">
        <v>1399</v>
      </c>
      <c r="U26" t="s">
        <v>102</v>
      </c>
      <c r="V26" t="s">
        <v>103</v>
      </c>
      <c r="W26" t="s">
        <v>155</v>
      </c>
      <c r="Y26" t="s">
        <v>21664</v>
      </c>
      <c r="Z26" t="s">
        <v>24942</v>
      </c>
      <c r="AA26" t="s">
        <v>21892</v>
      </c>
      <c r="AB26" t="s">
        <v>24942</v>
      </c>
      <c r="AC26" t="s">
        <v>22904</v>
      </c>
      <c r="AD26" t="s">
        <v>24942</v>
      </c>
      <c r="AE26" t="s">
        <v>21821</v>
      </c>
      <c r="AF26" t="s">
        <v>24942</v>
      </c>
      <c r="AG26" t="s">
        <v>102</v>
      </c>
      <c r="AJ26" t="s">
        <v>102</v>
      </c>
      <c r="AK26" t="s">
        <v>102</v>
      </c>
      <c r="AL26" t="s">
        <v>102</v>
      </c>
      <c r="AM26" t="s">
        <v>317</v>
      </c>
      <c r="AN26" t="s">
        <v>2147</v>
      </c>
      <c r="AR26" t="s">
        <v>169</v>
      </c>
      <c r="AS26" t="s">
        <v>102</v>
      </c>
      <c r="AU26" t="s">
        <v>102</v>
      </c>
      <c r="AV26" t="s">
        <v>119</v>
      </c>
      <c r="AY26" t="s">
        <v>250</v>
      </c>
      <c r="AZ26" t="s">
        <v>120</v>
      </c>
      <c r="BA26" t="s">
        <v>1407</v>
      </c>
      <c r="BB26" t="s">
        <v>449</v>
      </c>
      <c r="BC26" t="s">
        <v>122</v>
      </c>
      <c r="BD26" t="s">
        <v>450</v>
      </c>
      <c r="BE26" t="s">
        <v>124</v>
      </c>
      <c r="BF26" t="s">
        <v>12250</v>
      </c>
      <c r="BG26" t="s">
        <v>21667</v>
      </c>
      <c r="BH26" t="s">
        <v>127</v>
      </c>
      <c r="BI26" t="s">
        <v>24943</v>
      </c>
      <c r="BJ26" t="s">
        <v>1410</v>
      </c>
      <c r="BK26" t="s">
        <v>24944</v>
      </c>
      <c r="BL26" t="s">
        <v>24940</v>
      </c>
      <c r="BM26" t="s">
        <v>12934</v>
      </c>
      <c r="BN26" t="s">
        <v>350</v>
      </c>
      <c r="BO26" t="s">
        <v>12935</v>
      </c>
      <c r="BP26" t="s">
        <v>12936</v>
      </c>
      <c r="BQ26" t="s">
        <v>328</v>
      </c>
      <c r="BS26" t="s">
        <v>24945</v>
      </c>
      <c r="BT26" t="s">
        <v>12724</v>
      </c>
      <c r="BV26" t="s">
        <v>1414</v>
      </c>
      <c r="BW26" t="s">
        <v>1415</v>
      </c>
      <c r="BX26" t="s">
        <v>1416</v>
      </c>
      <c r="BY26" t="s">
        <v>24946</v>
      </c>
      <c r="BZ26" t="s">
        <v>1414</v>
      </c>
      <c r="CA26" t="s">
        <v>1415</v>
      </c>
      <c r="CB26" t="s">
        <v>24946</v>
      </c>
      <c r="CC26" t="s">
        <v>1414</v>
      </c>
      <c r="CD26" t="s">
        <v>1415</v>
      </c>
      <c r="CE26" t="s">
        <v>1417</v>
      </c>
      <c r="CF26" t="s">
        <v>12725</v>
      </c>
      <c r="CH26" t="s">
        <v>1419</v>
      </c>
      <c r="CI26" t="s">
        <v>12726</v>
      </c>
      <c r="CJ26" t="s">
        <v>1407</v>
      </c>
      <c r="CK26" t="s">
        <v>449</v>
      </c>
      <c r="CL26" t="s">
        <v>1419</v>
      </c>
      <c r="CM26" t="s">
        <v>1420</v>
      </c>
      <c r="CN26" t="s">
        <v>1418</v>
      </c>
      <c r="CO26" t="s">
        <v>1418</v>
      </c>
    </row>
    <row r="27" spans="1:93" hidden="1">
      <c r="A27" t="s">
        <v>149</v>
      </c>
      <c r="B27">
        <v>1650530</v>
      </c>
      <c r="C27" t="s">
        <v>1466</v>
      </c>
      <c r="D27" t="s">
        <v>21661</v>
      </c>
      <c r="E27" t="s">
        <v>6615</v>
      </c>
      <c r="F27" t="s">
        <v>152</v>
      </c>
      <c r="G27" t="s">
        <v>98</v>
      </c>
      <c r="H27" t="s">
        <v>21760</v>
      </c>
      <c r="I27" t="s">
        <v>100</v>
      </c>
      <c r="J27">
        <v>302020</v>
      </c>
      <c r="K27">
        <v>302020</v>
      </c>
      <c r="L27">
        <v>0</v>
      </c>
      <c r="M27">
        <v>0</v>
      </c>
      <c r="O27">
        <v>302020</v>
      </c>
      <c r="P27">
        <v>151</v>
      </c>
      <c r="Q27" t="s">
        <v>7192</v>
      </c>
      <c r="R27">
        <v>0</v>
      </c>
      <c r="S27">
        <v>0</v>
      </c>
      <c r="U27" t="s">
        <v>102</v>
      </c>
      <c r="V27" t="s">
        <v>103</v>
      </c>
      <c r="W27" t="s">
        <v>155</v>
      </c>
      <c r="Y27" t="s">
        <v>12250</v>
      </c>
      <c r="Z27" t="s">
        <v>21761</v>
      </c>
      <c r="AA27" t="s">
        <v>21664</v>
      </c>
      <c r="AB27" t="s">
        <v>21761</v>
      </c>
      <c r="AC27" t="s">
        <v>21762</v>
      </c>
      <c r="AD27" t="s">
        <v>21761</v>
      </c>
      <c r="AE27" t="s">
        <v>21710</v>
      </c>
      <c r="AF27" t="s">
        <v>21761</v>
      </c>
      <c r="AG27" t="s">
        <v>102</v>
      </c>
      <c r="AJ27" t="s">
        <v>21761</v>
      </c>
      <c r="AK27" t="s">
        <v>102</v>
      </c>
      <c r="AL27" t="s">
        <v>21761</v>
      </c>
      <c r="AM27" t="s">
        <v>21763</v>
      </c>
      <c r="AN27" t="s">
        <v>21763</v>
      </c>
      <c r="AS27" t="s">
        <v>102</v>
      </c>
      <c r="AU27" t="s">
        <v>155</v>
      </c>
      <c r="AV27" t="s">
        <v>119</v>
      </c>
      <c r="AW27" t="s">
        <v>170</v>
      </c>
      <c r="AX27" t="s">
        <v>118</v>
      </c>
      <c r="AZ27" t="s">
        <v>120</v>
      </c>
      <c r="BA27" t="s">
        <v>1480</v>
      </c>
      <c r="BB27" t="s">
        <v>556</v>
      </c>
      <c r="BC27" t="s">
        <v>122</v>
      </c>
      <c r="BD27" t="s">
        <v>557</v>
      </c>
      <c r="BE27" t="s">
        <v>124</v>
      </c>
      <c r="BF27" t="s">
        <v>12250</v>
      </c>
      <c r="BG27" t="s">
        <v>21667</v>
      </c>
      <c r="BH27" t="s">
        <v>127</v>
      </c>
      <c r="BI27" t="s">
        <v>21764</v>
      </c>
      <c r="BJ27" t="s">
        <v>1482</v>
      </c>
      <c r="BK27" t="s">
        <v>21765</v>
      </c>
      <c r="BL27" t="s">
        <v>6615</v>
      </c>
      <c r="BM27" t="s">
        <v>1142</v>
      </c>
      <c r="BN27" t="s">
        <v>350</v>
      </c>
      <c r="BO27" t="s">
        <v>1143</v>
      </c>
      <c r="BP27" t="s">
        <v>1144</v>
      </c>
      <c r="BQ27" t="s">
        <v>566</v>
      </c>
      <c r="BS27" t="s">
        <v>21766</v>
      </c>
      <c r="BT27" t="s">
        <v>1485</v>
      </c>
      <c r="BU27" t="s">
        <v>138</v>
      </c>
      <c r="BV27" t="s">
        <v>1486</v>
      </c>
      <c r="BW27" t="s">
        <v>1487</v>
      </c>
      <c r="BX27" t="s">
        <v>1488</v>
      </c>
      <c r="BY27" t="s">
        <v>1485</v>
      </c>
      <c r="BZ27" t="s">
        <v>21767</v>
      </c>
      <c r="CA27" t="s">
        <v>1487</v>
      </c>
      <c r="CB27" t="s">
        <v>1485</v>
      </c>
      <c r="CC27" t="s">
        <v>21767</v>
      </c>
      <c r="CD27" t="s">
        <v>1487</v>
      </c>
      <c r="CE27" t="s">
        <v>102</v>
      </c>
      <c r="CF27" t="s">
        <v>12760</v>
      </c>
      <c r="CH27" t="s">
        <v>1490</v>
      </c>
      <c r="CJ27" t="s">
        <v>1480</v>
      </c>
      <c r="CK27" t="s">
        <v>556</v>
      </c>
      <c r="CL27" t="s">
        <v>1490</v>
      </c>
      <c r="CM27" t="s">
        <v>1491</v>
      </c>
      <c r="CN27" t="s">
        <v>1489</v>
      </c>
      <c r="CO27" t="s">
        <v>1489</v>
      </c>
    </row>
    <row r="28" spans="1:93" hidden="1">
      <c r="A28" t="s">
        <v>149</v>
      </c>
      <c r="B28">
        <v>168210</v>
      </c>
      <c r="C28" t="s">
        <v>1492</v>
      </c>
      <c r="D28" t="s">
        <v>21661</v>
      </c>
      <c r="E28" t="s">
        <v>21768</v>
      </c>
      <c r="F28" t="s">
        <v>193</v>
      </c>
      <c r="G28" t="s">
        <v>98</v>
      </c>
      <c r="H28" t="s">
        <v>21769</v>
      </c>
      <c r="I28" t="s">
        <v>100</v>
      </c>
      <c r="J28">
        <v>3220416</v>
      </c>
      <c r="K28">
        <v>3749985</v>
      </c>
      <c r="L28">
        <v>278365</v>
      </c>
      <c r="M28">
        <v>348</v>
      </c>
      <c r="N28" t="s">
        <v>1297</v>
      </c>
      <c r="O28">
        <v>0</v>
      </c>
      <c r="P28">
        <v>0</v>
      </c>
      <c r="R28">
        <v>2942051</v>
      </c>
      <c r="S28">
        <v>1827</v>
      </c>
      <c r="T28" t="s">
        <v>6839</v>
      </c>
      <c r="U28" t="s">
        <v>102</v>
      </c>
      <c r="V28" t="s">
        <v>679</v>
      </c>
      <c r="W28" t="s">
        <v>155</v>
      </c>
      <c r="X28" t="s">
        <v>12720</v>
      </c>
      <c r="Y28" t="s">
        <v>21770</v>
      </c>
      <c r="Z28" t="s">
        <v>21771</v>
      </c>
      <c r="AA28" t="s">
        <v>21772</v>
      </c>
      <c r="AB28" t="s">
        <v>21771</v>
      </c>
      <c r="AC28" t="s">
        <v>21773</v>
      </c>
      <c r="AD28" t="s">
        <v>21771</v>
      </c>
      <c r="AE28" t="s">
        <v>21742</v>
      </c>
      <c r="AF28" t="s">
        <v>21771</v>
      </c>
      <c r="AG28" t="s">
        <v>102</v>
      </c>
      <c r="AJ28" t="s">
        <v>21771</v>
      </c>
      <c r="AK28" t="s">
        <v>102</v>
      </c>
      <c r="AL28" t="s">
        <v>21771</v>
      </c>
      <c r="AM28" t="s">
        <v>21774</v>
      </c>
      <c r="AN28" t="s">
        <v>21774</v>
      </c>
      <c r="AS28" t="s">
        <v>247</v>
      </c>
      <c r="AT28" t="s">
        <v>118</v>
      </c>
      <c r="AU28" t="s">
        <v>102</v>
      </c>
      <c r="AV28" t="s">
        <v>119</v>
      </c>
      <c r="AY28" t="s">
        <v>250</v>
      </c>
      <c r="AZ28" t="s">
        <v>171</v>
      </c>
      <c r="BA28" t="s">
        <v>21775</v>
      </c>
      <c r="BB28" t="s">
        <v>376</v>
      </c>
      <c r="BC28" t="s">
        <v>174</v>
      </c>
      <c r="BD28" t="s">
        <v>376</v>
      </c>
      <c r="BE28" t="s">
        <v>124</v>
      </c>
      <c r="BF28" t="s">
        <v>21776</v>
      </c>
      <c r="BG28" t="s">
        <v>21777</v>
      </c>
      <c r="BH28" t="s">
        <v>127</v>
      </c>
      <c r="BI28" t="s">
        <v>21778</v>
      </c>
      <c r="BJ28" t="s">
        <v>1507</v>
      </c>
      <c r="BK28" t="s">
        <v>21779</v>
      </c>
      <c r="BL28" t="s">
        <v>21768</v>
      </c>
      <c r="BM28" t="s">
        <v>1917</v>
      </c>
      <c r="BN28" t="s">
        <v>180</v>
      </c>
      <c r="BO28" t="s">
        <v>1918</v>
      </c>
      <c r="BP28" t="s">
        <v>1919</v>
      </c>
      <c r="BQ28" t="s">
        <v>183</v>
      </c>
      <c r="BS28" t="s">
        <v>21780</v>
      </c>
      <c r="BT28" t="s">
        <v>1510</v>
      </c>
      <c r="BU28" t="s">
        <v>354</v>
      </c>
      <c r="BV28" t="s">
        <v>21781</v>
      </c>
      <c r="BW28" t="s">
        <v>1512</v>
      </c>
      <c r="BX28" t="s">
        <v>1513</v>
      </c>
      <c r="BY28" t="s">
        <v>1510</v>
      </c>
      <c r="BZ28" t="s">
        <v>1511</v>
      </c>
      <c r="CA28" t="s">
        <v>1512</v>
      </c>
      <c r="CB28" t="s">
        <v>1510</v>
      </c>
      <c r="CC28" t="s">
        <v>1511</v>
      </c>
      <c r="CD28" t="s">
        <v>1512</v>
      </c>
      <c r="CE28" t="s">
        <v>102</v>
      </c>
      <c r="CF28" t="s">
        <v>21782</v>
      </c>
      <c r="CH28" t="s">
        <v>1515</v>
      </c>
      <c r="CJ28" t="s">
        <v>21775</v>
      </c>
      <c r="CK28" t="s">
        <v>376</v>
      </c>
      <c r="CL28" t="s">
        <v>1515</v>
      </c>
      <c r="CM28" t="s">
        <v>1516</v>
      </c>
      <c r="CN28" t="s">
        <v>1514</v>
      </c>
      <c r="CO28" t="s">
        <v>1514</v>
      </c>
    </row>
    <row r="29" spans="1:93" hidden="1">
      <c r="A29" t="s">
        <v>149</v>
      </c>
      <c r="B29">
        <v>17080</v>
      </c>
      <c r="C29" t="s">
        <v>25708</v>
      </c>
      <c r="D29" t="s">
        <v>21661</v>
      </c>
      <c r="E29" t="s">
        <v>25697</v>
      </c>
      <c r="F29" t="s">
        <v>8024</v>
      </c>
      <c r="G29" t="s">
        <v>98</v>
      </c>
      <c r="H29" t="s">
        <v>25709</v>
      </c>
      <c r="I29" t="s">
        <v>100</v>
      </c>
      <c r="J29">
        <v>1704124</v>
      </c>
      <c r="K29">
        <v>1858469</v>
      </c>
      <c r="L29">
        <v>0</v>
      </c>
      <c r="M29">
        <v>0</v>
      </c>
      <c r="O29">
        <v>846651</v>
      </c>
      <c r="P29">
        <v>1239</v>
      </c>
      <c r="Q29" t="s">
        <v>4684</v>
      </c>
      <c r="R29">
        <v>857473</v>
      </c>
      <c r="S29">
        <v>1239</v>
      </c>
      <c r="T29" t="s">
        <v>25710</v>
      </c>
      <c r="U29" t="s">
        <v>102</v>
      </c>
      <c r="V29" t="s">
        <v>103</v>
      </c>
      <c r="W29" t="s">
        <v>104</v>
      </c>
      <c r="Y29" t="s">
        <v>25711</v>
      </c>
      <c r="Z29" t="s">
        <v>25712</v>
      </c>
      <c r="AA29" t="s">
        <v>21874</v>
      </c>
      <c r="AB29" t="s">
        <v>25712</v>
      </c>
      <c r="AC29" t="s">
        <v>109</v>
      </c>
      <c r="AD29" t="s">
        <v>102</v>
      </c>
      <c r="AE29" t="s">
        <v>109</v>
      </c>
      <c r="AF29" t="s">
        <v>102</v>
      </c>
      <c r="AG29" t="s">
        <v>102</v>
      </c>
      <c r="AJ29" t="s">
        <v>102</v>
      </c>
      <c r="AK29" t="s">
        <v>102</v>
      </c>
      <c r="AL29" t="s">
        <v>102</v>
      </c>
      <c r="AM29" t="s">
        <v>25713</v>
      </c>
      <c r="AN29" t="s">
        <v>25713</v>
      </c>
      <c r="AS29" t="s">
        <v>102</v>
      </c>
      <c r="AU29" t="s">
        <v>1758</v>
      </c>
      <c r="AV29" t="s">
        <v>119</v>
      </c>
      <c r="AX29" t="s">
        <v>250</v>
      </c>
      <c r="AY29" t="s">
        <v>250</v>
      </c>
      <c r="AZ29" t="s">
        <v>120</v>
      </c>
      <c r="BA29" t="s">
        <v>1552</v>
      </c>
      <c r="BB29" t="s">
        <v>410</v>
      </c>
      <c r="BC29" t="s">
        <v>212</v>
      </c>
      <c r="BD29" t="s">
        <v>410</v>
      </c>
      <c r="BE29" t="s">
        <v>124</v>
      </c>
      <c r="BF29" t="s">
        <v>19143</v>
      </c>
      <c r="BG29" t="s">
        <v>23025</v>
      </c>
      <c r="BH29" t="s">
        <v>127</v>
      </c>
      <c r="BI29" t="s">
        <v>25714</v>
      </c>
      <c r="BJ29" t="s">
        <v>1554</v>
      </c>
      <c r="BK29" t="s">
        <v>25715</v>
      </c>
      <c r="BL29" t="s">
        <v>25697</v>
      </c>
      <c r="BM29" t="s">
        <v>866</v>
      </c>
      <c r="BN29" t="s">
        <v>132</v>
      </c>
      <c r="BO29" t="s">
        <v>867</v>
      </c>
      <c r="BP29" t="s">
        <v>868</v>
      </c>
      <c r="BQ29" t="s">
        <v>418</v>
      </c>
      <c r="BS29" t="s">
        <v>25716</v>
      </c>
      <c r="BT29" t="s">
        <v>25717</v>
      </c>
      <c r="BU29" t="s">
        <v>354</v>
      </c>
      <c r="BV29" t="s">
        <v>19823</v>
      </c>
      <c r="BW29" t="s">
        <v>1559</v>
      </c>
      <c r="BX29" t="s">
        <v>1560</v>
      </c>
      <c r="BY29" t="s">
        <v>19278</v>
      </c>
      <c r="BZ29" t="s">
        <v>12812</v>
      </c>
      <c r="CA29" t="s">
        <v>1559</v>
      </c>
      <c r="CB29" t="s">
        <v>25718</v>
      </c>
      <c r="CC29" t="s">
        <v>1562</v>
      </c>
      <c r="CD29" t="s">
        <v>1559</v>
      </c>
      <c r="CE29" t="s">
        <v>102</v>
      </c>
      <c r="CF29" t="s">
        <v>1564</v>
      </c>
      <c r="CH29" t="s">
        <v>1565</v>
      </c>
      <c r="CI29" t="s">
        <v>1564</v>
      </c>
      <c r="CJ29" t="s">
        <v>1552</v>
      </c>
      <c r="CK29" t="s">
        <v>410</v>
      </c>
      <c r="CL29" t="s">
        <v>1565</v>
      </c>
      <c r="CM29" t="s">
        <v>1566</v>
      </c>
      <c r="CN29" t="s">
        <v>1564</v>
      </c>
      <c r="CO29" t="s">
        <v>1564</v>
      </c>
    </row>
    <row r="30" spans="1:93" hidden="1">
      <c r="A30" t="s">
        <v>149</v>
      </c>
      <c r="B30">
        <v>1722766</v>
      </c>
      <c r="C30" t="s">
        <v>1597</v>
      </c>
      <c r="D30" t="s">
        <v>21661</v>
      </c>
      <c r="E30" t="s">
        <v>12250</v>
      </c>
      <c r="F30" t="s">
        <v>152</v>
      </c>
      <c r="G30" t="s">
        <v>98</v>
      </c>
      <c r="H30" t="s">
        <v>24073</v>
      </c>
      <c r="I30" t="s">
        <v>100</v>
      </c>
      <c r="J30">
        <v>1164481</v>
      </c>
      <c r="K30">
        <v>1164481</v>
      </c>
      <c r="L30">
        <v>0</v>
      </c>
      <c r="M30">
        <v>0</v>
      </c>
      <c r="O30">
        <v>1164481</v>
      </c>
      <c r="P30">
        <v>741</v>
      </c>
      <c r="Q30" t="s">
        <v>12856</v>
      </c>
      <c r="R30">
        <v>0</v>
      </c>
      <c r="S30">
        <v>0</v>
      </c>
      <c r="U30" t="s">
        <v>102</v>
      </c>
      <c r="V30" t="s">
        <v>103</v>
      </c>
      <c r="W30" t="s">
        <v>398</v>
      </c>
      <c r="Y30" t="s">
        <v>21826</v>
      </c>
      <c r="Z30" t="s">
        <v>24074</v>
      </c>
      <c r="AA30" t="s">
        <v>21828</v>
      </c>
      <c r="AB30" t="s">
        <v>24075</v>
      </c>
      <c r="AC30" t="s">
        <v>21821</v>
      </c>
      <c r="AD30" t="s">
        <v>24075</v>
      </c>
      <c r="AE30" t="s">
        <v>109</v>
      </c>
      <c r="AF30" t="s">
        <v>102</v>
      </c>
      <c r="AG30" t="s">
        <v>102</v>
      </c>
      <c r="AJ30" t="s">
        <v>102</v>
      </c>
      <c r="AK30" t="s">
        <v>102</v>
      </c>
      <c r="AL30" t="s">
        <v>102</v>
      </c>
      <c r="AM30" t="s">
        <v>24076</v>
      </c>
      <c r="AN30" t="s">
        <v>24076</v>
      </c>
      <c r="AS30" t="s">
        <v>102</v>
      </c>
      <c r="AU30" t="s">
        <v>155</v>
      </c>
      <c r="AV30" t="s">
        <v>119</v>
      </c>
      <c r="AW30" t="s">
        <v>1138</v>
      </c>
      <c r="AX30" t="s">
        <v>118</v>
      </c>
      <c r="AZ30" t="s">
        <v>120</v>
      </c>
      <c r="BA30" t="s">
        <v>1609</v>
      </c>
      <c r="BB30" t="s">
        <v>285</v>
      </c>
      <c r="BC30" t="s">
        <v>212</v>
      </c>
      <c r="BD30" t="s">
        <v>286</v>
      </c>
      <c r="BE30" t="s">
        <v>124</v>
      </c>
      <c r="BF30" t="s">
        <v>12250</v>
      </c>
      <c r="BG30" t="s">
        <v>21922</v>
      </c>
      <c r="BH30" t="s">
        <v>127</v>
      </c>
      <c r="BI30" t="s">
        <v>24077</v>
      </c>
      <c r="BJ30" t="s">
        <v>1611</v>
      </c>
      <c r="BK30" t="s">
        <v>24078</v>
      </c>
      <c r="BL30" t="s">
        <v>12250</v>
      </c>
      <c r="BM30" t="s">
        <v>23823</v>
      </c>
      <c r="BN30" t="s">
        <v>132</v>
      </c>
      <c r="BO30" t="s">
        <v>23824</v>
      </c>
      <c r="BP30" t="s">
        <v>23825</v>
      </c>
      <c r="BQ30" t="s">
        <v>293</v>
      </c>
      <c r="BS30" t="s">
        <v>24079</v>
      </c>
      <c r="BT30" t="s">
        <v>19148</v>
      </c>
      <c r="BU30" t="s">
        <v>354</v>
      </c>
      <c r="BV30" t="s">
        <v>1618</v>
      </c>
      <c r="BW30" t="s">
        <v>1619</v>
      </c>
      <c r="BX30" t="s">
        <v>1617</v>
      </c>
      <c r="BY30" t="s">
        <v>19148</v>
      </c>
      <c r="BZ30" t="s">
        <v>1618</v>
      </c>
      <c r="CA30" t="s">
        <v>1619</v>
      </c>
      <c r="CB30" t="s">
        <v>19148</v>
      </c>
      <c r="CC30" t="s">
        <v>1618</v>
      </c>
      <c r="CD30" t="s">
        <v>1619</v>
      </c>
      <c r="CE30" t="s">
        <v>102</v>
      </c>
      <c r="CF30" t="s">
        <v>12870</v>
      </c>
      <c r="CH30" t="s">
        <v>1622</v>
      </c>
      <c r="CJ30" t="s">
        <v>1609</v>
      </c>
      <c r="CK30" t="s">
        <v>285</v>
      </c>
      <c r="CL30" t="s">
        <v>1622</v>
      </c>
      <c r="CN30" t="s">
        <v>1621</v>
      </c>
      <c r="CO30" t="s">
        <v>1621</v>
      </c>
    </row>
    <row r="31" spans="1:93" hidden="1">
      <c r="A31" t="s">
        <v>149</v>
      </c>
      <c r="B31">
        <v>173767</v>
      </c>
      <c r="C31" t="s">
        <v>1623</v>
      </c>
      <c r="D31" t="s">
        <v>21661</v>
      </c>
      <c r="E31" t="s">
        <v>12068</v>
      </c>
      <c r="F31" t="s">
        <v>848</v>
      </c>
      <c r="G31" t="s">
        <v>98</v>
      </c>
      <c r="H31" t="s">
        <v>24947</v>
      </c>
      <c r="I31" t="s">
        <v>100</v>
      </c>
      <c r="J31">
        <v>2325658</v>
      </c>
      <c r="K31">
        <v>2744276</v>
      </c>
      <c r="L31">
        <v>0</v>
      </c>
      <c r="M31">
        <v>0</v>
      </c>
      <c r="O31">
        <v>0</v>
      </c>
      <c r="P31">
        <v>0</v>
      </c>
      <c r="R31">
        <v>2325658</v>
      </c>
      <c r="S31">
        <v>817</v>
      </c>
      <c r="T31" t="s">
        <v>24948</v>
      </c>
      <c r="U31" t="s">
        <v>102</v>
      </c>
      <c r="V31" t="s">
        <v>103</v>
      </c>
      <c r="W31" t="s">
        <v>155</v>
      </c>
      <c r="Y31" t="s">
        <v>24940</v>
      </c>
      <c r="Z31" t="s">
        <v>24949</v>
      </c>
      <c r="AA31" t="s">
        <v>21737</v>
      </c>
      <c r="AB31" t="s">
        <v>24949</v>
      </c>
      <c r="AC31" t="s">
        <v>24950</v>
      </c>
      <c r="AD31" t="s">
        <v>24949</v>
      </c>
      <c r="AE31" t="s">
        <v>21687</v>
      </c>
      <c r="AF31" t="s">
        <v>24949</v>
      </c>
      <c r="AG31" t="s">
        <v>102</v>
      </c>
      <c r="AJ31" t="s">
        <v>24949</v>
      </c>
      <c r="AK31" t="s">
        <v>102</v>
      </c>
      <c r="AL31" t="s">
        <v>24949</v>
      </c>
      <c r="AM31" t="s">
        <v>24951</v>
      </c>
      <c r="AN31" t="s">
        <v>24951</v>
      </c>
      <c r="AS31" t="s">
        <v>102</v>
      </c>
      <c r="AU31" t="s">
        <v>102</v>
      </c>
      <c r="AV31" t="s">
        <v>119</v>
      </c>
      <c r="AY31" t="s">
        <v>250</v>
      </c>
      <c r="AZ31" t="s">
        <v>171</v>
      </c>
      <c r="BA31" t="s">
        <v>375</v>
      </c>
      <c r="BB31" t="s">
        <v>376</v>
      </c>
      <c r="BC31" t="s">
        <v>174</v>
      </c>
      <c r="BD31" t="s">
        <v>376</v>
      </c>
      <c r="BE31" t="s">
        <v>124</v>
      </c>
      <c r="BF31" t="s">
        <v>24952</v>
      </c>
      <c r="BG31" t="s">
        <v>21667</v>
      </c>
      <c r="BH31" t="s">
        <v>127</v>
      </c>
      <c r="BI31" t="s">
        <v>24953</v>
      </c>
      <c r="BJ31" t="s">
        <v>1637</v>
      </c>
      <c r="BK31" t="s">
        <v>24954</v>
      </c>
      <c r="BL31" t="s">
        <v>12068</v>
      </c>
      <c r="BM31" t="s">
        <v>179</v>
      </c>
      <c r="BN31" t="s">
        <v>180</v>
      </c>
      <c r="BO31" t="s">
        <v>181</v>
      </c>
      <c r="BP31" t="s">
        <v>182</v>
      </c>
      <c r="BQ31" t="s">
        <v>183</v>
      </c>
      <c r="BS31" t="s">
        <v>24955</v>
      </c>
      <c r="BT31" t="s">
        <v>1640</v>
      </c>
      <c r="BU31" t="s">
        <v>138</v>
      </c>
      <c r="BV31" t="s">
        <v>1641</v>
      </c>
      <c r="BW31" t="s">
        <v>1642</v>
      </c>
      <c r="BX31" t="s">
        <v>1641</v>
      </c>
      <c r="BY31" t="s">
        <v>1640</v>
      </c>
      <c r="BZ31" t="s">
        <v>1641</v>
      </c>
      <c r="CA31" t="s">
        <v>1642</v>
      </c>
      <c r="CB31" t="s">
        <v>12883</v>
      </c>
      <c r="CC31" t="s">
        <v>24956</v>
      </c>
      <c r="CD31" t="s">
        <v>12885</v>
      </c>
      <c r="CE31" t="s">
        <v>102</v>
      </c>
      <c r="CF31" t="s">
        <v>12886</v>
      </c>
      <c r="CH31" t="s">
        <v>1644</v>
      </c>
      <c r="CI31" t="s">
        <v>12886</v>
      </c>
      <c r="CJ31" t="s">
        <v>375</v>
      </c>
      <c r="CK31" t="s">
        <v>376</v>
      </c>
      <c r="CL31" t="s">
        <v>1644</v>
      </c>
      <c r="CM31" t="s">
        <v>1645</v>
      </c>
      <c r="CN31" t="s">
        <v>1646</v>
      </c>
      <c r="CO31" t="s">
        <v>1643</v>
      </c>
    </row>
    <row r="32" spans="1:93">
      <c r="A32" t="s">
        <v>337</v>
      </c>
      <c r="B32">
        <v>1740931</v>
      </c>
      <c r="C32" t="s">
        <v>24080</v>
      </c>
      <c r="D32" t="s">
        <v>21661</v>
      </c>
      <c r="E32" t="s">
        <v>14400</v>
      </c>
      <c r="F32" t="s">
        <v>97</v>
      </c>
      <c r="G32" t="s">
        <v>98</v>
      </c>
      <c r="H32" t="s">
        <v>24081</v>
      </c>
      <c r="I32" t="s">
        <v>100</v>
      </c>
      <c r="J32">
        <v>0</v>
      </c>
      <c r="K32">
        <v>0</v>
      </c>
      <c r="L32">
        <v>0</v>
      </c>
      <c r="M32">
        <v>330</v>
      </c>
      <c r="N32" t="s">
        <v>102</v>
      </c>
      <c r="O32">
        <v>0</v>
      </c>
      <c r="P32">
        <v>0</v>
      </c>
      <c r="R32">
        <v>0</v>
      </c>
      <c r="S32">
        <v>0</v>
      </c>
      <c r="U32" t="s">
        <v>102</v>
      </c>
      <c r="V32" t="s">
        <v>275</v>
      </c>
      <c r="X32" t="s">
        <v>14400</v>
      </c>
      <c r="Y32" t="s">
        <v>109</v>
      </c>
      <c r="Z32" t="s">
        <v>102</v>
      </c>
      <c r="AA32" t="s">
        <v>109</v>
      </c>
      <c r="AB32" t="s">
        <v>102</v>
      </c>
      <c r="AC32" t="s">
        <v>109</v>
      </c>
      <c r="AD32" t="s">
        <v>102</v>
      </c>
      <c r="AE32" t="s">
        <v>109</v>
      </c>
      <c r="AF32" t="s">
        <v>102</v>
      </c>
      <c r="AG32" t="s">
        <v>102</v>
      </c>
      <c r="AJ32" t="s">
        <v>102</v>
      </c>
      <c r="AK32" t="s">
        <v>102</v>
      </c>
      <c r="AL32" t="s">
        <v>102</v>
      </c>
      <c r="AM32" t="s">
        <v>115</v>
      </c>
      <c r="AN32" t="s">
        <v>115</v>
      </c>
      <c r="AS32" t="s">
        <v>318</v>
      </c>
      <c r="AT32" t="s">
        <v>118</v>
      </c>
      <c r="AU32" t="s">
        <v>102</v>
      </c>
      <c r="AV32" t="s">
        <v>119</v>
      </c>
      <c r="AZ32" t="s">
        <v>120</v>
      </c>
      <c r="BA32" t="s">
        <v>8527</v>
      </c>
      <c r="BB32" t="s">
        <v>1244</v>
      </c>
      <c r="BC32" t="s">
        <v>122</v>
      </c>
      <c r="BD32" t="s">
        <v>1244</v>
      </c>
      <c r="BE32" t="s">
        <v>124</v>
      </c>
      <c r="BF32" t="s">
        <v>12250</v>
      </c>
      <c r="BG32" t="s">
        <v>21667</v>
      </c>
      <c r="BH32" t="s">
        <v>127</v>
      </c>
      <c r="BI32" t="s">
        <v>24082</v>
      </c>
      <c r="BJ32" t="s">
        <v>24083</v>
      </c>
      <c r="BK32" t="s">
        <v>24084</v>
      </c>
      <c r="BL32" t="s">
        <v>14400</v>
      </c>
      <c r="BM32" t="s">
        <v>19163</v>
      </c>
      <c r="BN32" t="s">
        <v>350</v>
      </c>
      <c r="BO32" t="s">
        <v>19164</v>
      </c>
      <c r="BP32" t="s">
        <v>19165</v>
      </c>
      <c r="BQ32" t="s">
        <v>24085</v>
      </c>
      <c r="BR32" t="s">
        <v>5574</v>
      </c>
      <c r="BS32" t="s">
        <v>24086</v>
      </c>
      <c r="BT32" t="s">
        <v>24087</v>
      </c>
      <c r="BU32" t="s">
        <v>138</v>
      </c>
      <c r="BV32" t="s">
        <v>225</v>
      </c>
      <c r="BW32" t="s">
        <v>24088</v>
      </c>
      <c r="BX32" t="s">
        <v>24089</v>
      </c>
      <c r="BY32" t="s">
        <v>24087</v>
      </c>
      <c r="BZ32" t="s">
        <v>24090</v>
      </c>
      <c r="CA32" t="s">
        <v>24088</v>
      </c>
      <c r="CB32" t="s">
        <v>24087</v>
      </c>
      <c r="CC32" t="s">
        <v>24090</v>
      </c>
      <c r="CD32" t="s">
        <v>24088</v>
      </c>
      <c r="CE32" t="s">
        <v>24091</v>
      </c>
      <c r="CF32" t="s">
        <v>24092</v>
      </c>
      <c r="CH32" t="s">
        <v>17914</v>
      </c>
      <c r="CI32" t="s">
        <v>24092</v>
      </c>
      <c r="CJ32" t="s">
        <v>8527</v>
      </c>
      <c r="CK32" t="s">
        <v>1244</v>
      </c>
      <c r="CL32" t="s">
        <v>17914</v>
      </c>
      <c r="CN32" t="s">
        <v>24093</v>
      </c>
      <c r="CO32" t="s">
        <v>24093</v>
      </c>
    </row>
    <row r="33" spans="1:93" hidden="1">
      <c r="A33" t="s">
        <v>149</v>
      </c>
      <c r="B33">
        <v>174867</v>
      </c>
      <c r="C33" t="s">
        <v>1686</v>
      </c>
      <c r="D33" t="s">
        <v>21661</v>
      </c>
      <c r="E33" t="s">
        <v>14400</v>
      </c>
      <c r="F33" t="s">
        <v>97</v>
      </c>
      <c r="G33" t="s">
        <v>98</v>
      </c>
      <c r="H33" t="s">
        <v>24094</v>
      </c>
      <c r="I33" t="s">
        <v>100</v>
      </c>
      <c r="J33">
        <v>834390</v>
      </c>
      <c r="K33">
        <v>834390</v>
      </c>
      <c r="L33">
        <v>834390</v>
      </c>
      <c r="M33">
        <v>762</v>
      </c>
      <c r="N33" t="s">
        <v>1689</v>
      </c>
      <c r="O33">
        <v>0</v>
      </c>
      <c r="P33">
        <v>0</v>
      </c>
      <c r="R33">
        <v>0</v>
      </c>
      <c r="S33">
        <v>0</v>
      </c>
      <c r="U33" t="s">
        <v>102</v>
      </c>
      <c r="V33" t="s">
        <v>103</v>
      </c>
      <c r="W33" t="s">
        <v>104</v>
      </c>
      <c r="Y33" t="s">
        <v>24095</v>
      </c>
      <c r="Z33" t="s">
        <v>24096</v>
      </c>
      <c r="AA33" t="s">
        <v>21983</v>
      </c>
      <c r="AB33" t="s">
        <v>24096</v>
      </c>
      <c r="AC33" t="s">
        <v>109</v>
      </c>
      <c r="AD33" t="s">
        <v>102</v>
      </c>
      <c r="AE33" t="s">
        <v>109</v>
      </c>
      <c r="AF33" t="s">
        <v>102</v>
      </c>
      <c r="AG33" t="s">
        <v>102</v>
      </c>
      <c r="AJ33" t="s">
        <v>102</v>
      </c>
      <c r="AK33" t="s">
        <v>102</v>
      </c>
      <c r="AL33" t="s">
        <v>102</v>
      </c>
      <c r="AM33" t="s">
        <v>1695</v>
      </c>
      <c r="AN33" t="s">
        <v>1695</v>
      </c>
      <c r="AS33" t="s">
        <v>318</v>
      </c>
      <c r="AT33" t="s">
        <v>118</v>
      </c>
      <c r="AU33" t="s">
        <v>102</v>
      </c>
      <c r="AV33" t="s">
        <v>119</v>
      </c>
      <c r="AZ33" t="s">
        <v>120</v>
      </c>
      <c r="BA33" t="s">
        <v>409</v>
      </c>
      <c r="BB33" t="s">
        <v>410</v>
      </c>
      <c r="BC33" t="s">
        <v>212</v>
      </c>
      <c r="BD33" t="s">
        <v>410</v>
      </c>
      <c r="BE33" t="s">
        <v>124</v>
      </c>
      <c r="BF33" t="s">
        <v>12250</v>
      </c>
      <c r="BG33" t="s">
        <v>21667</v>
      </c>
      <c r="BH33" t="s">
        <v>127</v>
      </c>
      <c r="BI33" t="s">
        <v>24097</v>
      </c>
      <c r="BJ33" t="s">
        <v>1697</v>
      </c>
      <c r="BK33" t="s">
        <v>24098</v>
      </c>
      <c r="BL33" t="s">
        <v>14400</v>
      </c>
      <c r="BM33" t="s">
        <v>866</v>
      </c>
      <c r="BN33" t="s">
        <v>132</v>
      </c>
      <c r="BO33" t="s">
        <v>867</v>
      </c>
      <c r="BP33" t="s">
        <v>868</v>
      </c>
      <c r="BQ33" t="s">
        <v>1702</v>
      </c>
      <c r="BS33" t="s">
        <v>24099</v>
      </c>
      <c r="BT33" t="s">
        <v>24100</v>
      </c>
      <c r="BU33" t="s">
        <v>138</v>
      </c>
      <c r="BV33" t="s">
        <v>24101</v>
      </c>
      <c r="BW33" t="s">
        <v>24102</v>
      </c>
      <c r="BX33" t="s">
        <v>24103</v>
      </c>
      <c r="BY33" t="s">
        <v>24100</v>
      </c>
      <c r="BZ33" t="s">
        <v>24104</v>
      </c>
      <c r="CA33" t="s">
        <v>24102</v>
      </c>
      <c r="CB33" t="s">
        <v>24105</v>
      </c>
      <c r="CC33" t="s">
        <v>24106</v>
      </c>
      <c r="CD33" t="s">
        <v>24102</v>
      </c>
      <c r="CE33" t="s">
        <v>1709</v>
      </c>
      <c r="CF33" t="s">
        <v>1710</v>
      </c>
      <c r="CH33" t="s">
        <v>428</v>
      </c>
      <c r="CI33" t="s">
        <v>12896</v>
      </c>
      <c r="CJ33" t="s">
        <v>409</v>
      </c>
      <c r="CK33" t="s">
        <v>1711</v>
      </c>
      <c r="CL33" t="s">
        <v>428</v>
      </c>
      <c r="CM33" t="s">
        <v>1712</v>
      </c>
      <c r="CN33" t="s">
        <v>1710</v>
      </c>
      <c r="CO33" t="s">
        <v>1710</v>
      </c>
    </row>
    <row r="34" spans="1:93" hidden="1">
      <c r="A34" t="s">
        <v>149</v>
      </c>
      <c r="B34">
        <v>177663</v>
      </c>
      <c r="C34" t="s">
        <v>1813</v>
      </c>
      <c r="D34" t="s">
        <v>21661</v>
      </c>
      <c r="E34" t="s">
        <v>12729</v>
      </c>
      <c r="F34" t="s">
        <v>97</v>
      </c>
      <c r="G34" t="s">
        <v>98</v>
      </c>
      <c r="H34" t="s">
        <v>21783</v>
      </c>
      <c r="I34" t="s">
        <v>100</v>
      </c>
      <c r="J34">
        <v>565587</v>
      </c>
      <c r="K34">
        <v>565587</v>
      </c>
      <c r="L34">
        <v>565587</v>
      </c>
      <c r="M34">
        <v>870</v>
      </c>
      <c r="N34" t="s">
        <v>1122</v>
      </c>
      <c r="O34">
        <v>0</v>
      </c>
      <c r="P34">
        <v>0</v>
      </c>
      <c r="R34">
        <v>0</v>
      </c>
      <c r="S34">
        <v>0</v>
      </c>
      <c r="U34" t="s">
        <v>102</v>
      </c>
      <c r="V34" t="s">
        <v>103</v>
      </c>
      <c r="W34" t="s">
        <v>398</v>
      </c>
      <c r="Y34" t="s">
        <v>21784</v>
      </c>
      <c r="Z34" t="s">
        <v>21785</v>
      </c>
      <c r="AA34" t="s">
        <v>21786</v>
      </c>
      <c r="AB34" t="s">
        <v>21787</v>
      </c>
      <c r="AC34" t="s">
        <v>21788</v>
      </c>
      <c r="AD34" t="s">
        <v>21789</v>
      </c>
      <c r="AE34" t="s">
        <v>109</v>
      </c>
      <c r="AF34" t="s">
        <v>102</v>
      </c>
      <c r="AG34" t="s">
        <v>23451</v>
      </c>
      <c r="AH34" t="s">
        <v>13131</v>
      </c>
      <c r="AI34" t="s">
        <v>13131</v>
      </c>
      <c r="AJ34" t="s">
        <v>21785</v>
      </c>
      <c r="AK34" t="s">
        <v>23452</v>
      </c>
      <c r="AL34" t="s">
        <v>102</v>
      </c>
      <c r="AM34" t="s">
        <v>6322</v>
      </c>
      <c r="AN34" t="s">
        <v>6322</v>
      </c>
      <c r="AS34" t="s">
        <v>318</v>
      </c>
      <c r="AT34" t="s">
        <v>118</v>
      </c>
      <c r="AU34" t="s">
        <v>102</v>
      </c>
      <c r="AV34" t="s">
        <v>119</v>
      </c>
      <c r="AZ34" t="s">
        <v>171</v>
      </c>
      <c r="BA34" t="s">
        <v>375</v>
      </c>
      <c r="BB34" t="s">
        <v>376</v>
      </c>
      <c r="BC34" t="s">
        <v>174</v>
      </c>
      <c r="BD34" t="s">
        <v>376</v>
      </c>
      <c r="BE34" t="s">
        <v>124</v>
      </c>
      <c r="BF34" t="s">
        <v>21790</v>
      </c>
      <c r="BG34" t="s">
        <v>21667</v>
      </c>
      <c r="BH34" t="s">
        <v>127</v>
      </c>
      <c r="BI34" t="s">
        <v>21791</v>
      </c>
      <c r="BJ34" t="s">
        <v>1829</v>
      </c>
      <c r="BK34" t="s">
        <v>21792</v>
      </c>
      <c r="BL34" t="s">
        <v>12729</v>
      </c>
      <c r="BM34" t="s">
        <v>179</v>
      </c>
      <c r="BN34" t="s">
        <v>180</v>
      </c>
      <c r="BO34" t="s">
        <v>181</v>
      </c>
      <c r="BP34" t="s">
        <v>182</v>
      </c>
      <c r="BQ34" t="s">
        <v>1834</v>
      </c>
      <c r="BS34" t="s">
        <v>21793</v>
      </c>
      <c r="BT34" t="s">
        <v>1836</v>
      </c>
      <c r="BV34" t="s">
        <v>1839</v>
      </c>
      <c r="BW34" t="s">
        <v>1838</v>
      </c>
      <c r="BX34" t="s">
        <v>1839</v>
      </c>
      <c r="BY34" t="s">
        <v>1836</v>
      </c>
      <c r="BZ34" t="s">
        <v>21794</v>
      </c>
      <c r="CA34" t="s">
        <v>1838</v>
      </c>
      <c r="CB34" t="s">
        <v>1836</v>
      </c>
      <c r="CC34" t="s">
        <v>21794</v>
      </c>
      <c r="CD34" t="s">
        <v>1838</v>
      </c>
      <c r="CE34" t="s">
        <v>334</v>
      </c>
      <c r="CF34" t="s">
        <v>1841</v>
      </c>
      <c r="CH34" t="s">
        <v>1842</v>
      </c>
      <c r="CI34" t="s">
        <v>1841</v>
      </c>
      <c r="CJ34" t="s">
        <v>375</v>
      </c>
      <c r="CK34" t="s">
        <v>376</v>
      </c>
      <c r="CL34" t="s">
        <v>1842</v>
      </c>
      <c r="CM34" t="s">
        <v>1843</v>
      </c>
      <c r="CN34" t="s">
        <v>1841</v>
      </c>
      <c r="CO34" t="s">
        <v>1841</v>
      </c>
    </row>
    <row r="35" spans="1:93" hidden="1">
      <c r="A35" t="s">
        <v>149</v>
      </c>
      <c r="B35">
        <v>1805376</v>
      </c>
      <c r="C35" t="s">
        <v>1890</v>
      </c>
      <c r="D35" t="s">
        <v>21661</v>
      </c>
      <c r="E35" t="s">
        <v>25719</v>
      </c>
      <c r="F35" t="s">
        <v>3549</v>
      </c>
      <c r="G35" t="s">
        <v>98</v>
      </c>
      <c r="H35" t="s">
        <v>25720</v>
      </c>
      <c r="I35" t="s">
        <v>100</v>
      </c>
      <c r="J35">
        <v>0</v>
      </c>
      <c r="K35">
        <v>0</v>
      </c>
      <c r="L35">
        <v>0</v>
      </c>
      <c r="M35">
        <v>1154</v>
      </c>
      <c r="N35" t="s">
        <v>102</v>
      </c>
      <c r="O35">
        <v>0</v>
      </c>
      <c r="P35">
        <v>0</v>
      </c>
      <c r="R35">
        <v>0</v>
      </c>
      <c r="S35">
        <v>1010</v>
      </c>
      <c r="T35" t="s">
        <v>102</v>
      </c>
      <c r="U35" t="s">
        <v>102</v>
      </c>
      <c r="V35" t="s">
        <v>275</v>
      </c>
      <c r="X35" t="s">
        <v>24888</v>
      </c>
      <c r="Y35" t="s">
        <v>109</v>
      </c>
      <c r="Z35" t="s">
        <v>102</v>
      </c>
      <c r="AA35" t="s">
        <v>109</v>
      </c>
      <c r="AB35" t="s">
        <v>102</v>
      </c>
      <c r="AC35" t="s">
        <v>109</v>
      </c>
      <c r="AD35" t="s">
        <v>102</v>
      </c>
      <c r="AE35" t="s">
        <v>109</v>
      </c>
      <c r="AF35" t="s">
        <v>102</v>
      </c>
      <c r="AG35" t="s">
        <v>102</v>
      </c>
      <c r="AJ35" t="s">
        <v>102</v>
      </c>
      <c r="AK35" t="s">
        <v>102</v>
      </c>
      <c r="AL35" t="s">
        <v>102</v>
      </c>
      <c r="AM35" t="s">
        <v>115</v>
      </c>
      <c r="AN35" t="s">
        <v>115</v>
      </c>
      <c r="AS35" t="s">
        <v>117</v>
      </c>
      <c r="AT35" t="s">
        <v>118</v>
      </c>
      <c r="AU35" t="s">
        <v>102</v>
      </c>
      <c r="AV35" t="s">
        <v>119</v>
      </c>
      <c r="AY35" t="s">
        <v>250</v>
      </c>
      <c r="AZ35" t="s">
        <v>120</v>
      </c>
      <c r="BA35" t="s">
        <v>1897</v>
      </c>
      <c r="BB35" t="s">
        <v>621</v>
      </c>
      <c r="BC35" t="s">
        <v>622</v>
      </c>
      <c r="BD35" t="s">
        <v>976</v>
      </c>
      <c r="BE35" t="s">
        <v>124</v>
      </c>
      <c r="BF35" t="s">
        <v>24888</v>
      </c>
      <c r="BG35" t="s">
        <v>23025</v>
      </c>
      <c r="BH35" t="s">
        <v>127</v>
      </c>
      <c r="BI35" t="s">
        <v>25721</v>
      </c>
      <c r="BJ35" t="s">
        <v>1899</v>
      </c>
      <c r="BK35" t="s">
        <v>25722</v>
      </c>
      <c r="BL35" t="s">
        <v>25719</v>
      </c>
      <c r="BM35" t="s">
        <v>981</v>
      </c>
      <c r="BN35" t="s">
        <v>180</v>
      </c>
      <c r="BO35" t="s">
        <v>982</v>
      </c>
      <c r="BP35" t="s">
        <v>983</v>
      </c>
      <c r="BQ35" t="s">
        <v>984</v>
      </c>
      <c r="BS35" t="s">
        <v>25723</v>
      </c>
      <c r="BT35" t="s">
        <v>224</v>
      </c>
      <c r="BU35" t="s">
        <v>598</v>
      </c>
      <c r="BV35" t="s">
        <v>225</v>
      </c>
      <c r="BW35" t="s">
        <v>226</v>
      </c>
      <c r="BY35" t="s">
        <v>224</v>
      </c>
      <c r="BZ35" t="s">
        <v>225</v>
      </c>
      <c r="CA35" t="s">
        <v>226</v>
      </c>
      <c r="CB35" t="s">
        <v>224</v>
      </c>
      <c r="CC35" t="s">
        <v>225</v>
      </c>
      <c r="CD35" t="s">
        <v>226</v>
      </c>
      <c r="CE35" t="s">
        <v>102</v>
      </c>
      <c r="CF35" t="s">
        <v>1902</v>
      </c>
      <c r="CH35" t="s">
        <v>1903</v>
      </c>
      <c r="CJ35" t="s">
        <v>1897</v>
      </c>
      <c r="CK35" t="s">
        <v>621</v>
      </c>
      <c r="CL35" t="s">
        <v>1903</v>
      </c>
      <c r="CM35" t="s">
        <v>230</v>
      </c>
      <c r="CN35" t="s">
        <v>1902</v>
      </c>
      <c r="CO35" t="s">
        <v>1902</v>
      </c>
    </row>
    <row r="36" spans="1:93" hidden="1">
      <c r="A36" t="s">
        <v>149</v>
      </c>
      <c r="B36">
        <v>181976</v>
      </c>
      <c r="C36" t="s">
        <v>1952</v>
      </c>
      <c r="D36" t="s">
        <v>21661</v>
      </c>
      <c r="E36" t="s">
        <v>21857</v>
      </c>
      <c r="F36" t="s">
        <v>152</v>
      </c>
      <c r="G36" t="s">
        <v>98</v>
      </c>
      <c r="H36" t="s">
        <v>26085</v>
      </c>
      <c r="I36" t="s">
        <v>100</v>
      </c>
      <c r="J36">
        <v>790312</v>
      </c>
      <c r="K36">
        <v>790312</v>
      </c>
      <c r="L36">
        <v>0</v>
      </c>
      <c r="M36">
        <v>0</v>
      </c>
      <c r="O36">
        <v>790312</v>
      </c>
      <c r="P36">
        <v>1061</v>
      </c>
      <c r="Q36" t="s">
        <v>15329</v>
      </c>
      <c r="R36">
        <v>0</v>
      </c>
      <c r="S36">
        <v>0</v>
      </c>
      <c r="U36" t="s">
        <v>102</v>
      </c>
      <c r="V36" t="s">
        <v>103</v>
      </c>
      <c r="W36" t="s">
        <v>104</v>
      </c>
      <c r="Y36" t="s">
        <v>22188</v>
      </c>
      <c r="Z36" t="s">
        <v>26086</v>
      </c>
      <c r="AA36" t="s">
        <v>21872</v>
      </c>
      <c r="AB36" t="s">
        <v>26086</v>
      </c>
      <c r="AC36" t="s">
        <v>109</v>
      </c>
      <c r="AD36" t="s">
        <v>102</v>
      </c>
      <c r="AE36" t="s">
        <v>109</v>
      </c>
      <c r="AF36" t="s">
        <v>102</v>
      </c>
      <c r="AG36" t="s">
        <v>102</v>
      </c>
      <c r="AJ36" t="s">
        <v>102</v>
      </c>
      <c r="AK36" t="s">
        <v>102</v>
      </c>
      <c r="AL36" t="s">
        <v>102</v>
      </c>
      <c r="AM36" t="s">
        <v>26087</v>
      </c>
      <c r="AN36" t="s">
        <v>14887</v>
      </c>
      <c r="AP36" t="s">
        <v>169</v>
      </c>
      <c r="AR36" t="s">
        <v>169</v>
      </c>
      <c r="AS36" t="s">
        <v>102</v>
      </c>
      <c r="AU36" t="s">
        <v>155</v>
      </c>
      <c r="AV36" t="s">
        <v>447</v>
      </c>
      <c r="AW36" t="s">
        <v>170</v>
      </c>
      <c r="AX36" t="s">
        <v>118</v>
      </c>
      <c r="AZ36" t="s">
        <v>1964</v>
      </c>
      <c r="BA36" t="s">
        <v>448</v>
      </c>
      <c r="BB36" t="s">
        <v>449</v>
      </c>
      <c r="BC36" t="s">
        <v>122</v>
      </c>
      <c r="BD36" t="s">
        <v>450</v>
      </c>
      <c r="BE36" t="s">
        <v>124</v>
      </c>
      <c r="BF36" t="s">
        <v>12250</v>
      </c>
      <c r="BG36" t="s">
        <v>21667</v>
      </c>
      <c r="BH36" t="s">
        <v>127</v>
      </c>
      <c r="BI36" t="s">
        <v>26088</v>
      </c>
      <c r="BJ36" t="s">
        <v>1966</v>
      </c>
      <c r="BK36" t="s">
        <v>26089</v>
      </c>
      <c r="BL36" t="s">
        <v>21857</v>
      </c>
      <c r="BM36" t="s">
        <v>18467</v>
      </c>
      <c r="BN36" t="s">
        <v>350</v>
      </c>
      <c r="BO36" t="s">
        <v>18468</v>
      </c>
      <c r="BP36" t="s">
        <v>18469</v>
      </c>
      <c r="BQ36" t="s">
        <v>261</v>
      </c>
      <c r="BS36" t="s">
        <v>26090</v>
      </c>
      <c r="BT36" t="s">
        <v>1969</v>
      </c>
      <c r="BU36" t="s">
        <v>138</v>
      </c>
      <c r="BV36" t="s">
        <v>1970</v>
      </c>
      <c r="BW36" t="s">
        <v>1971</v>
      </c>
      <c r="BX36" t="s">
        <v>1972</v>
      </c>
      <c r="BY36" t="s">
        <v>26091</v>
      </c>
      <c r="BZ36" t="s">
        <v>1970</v>
      </c>
      <c r="CA36" t="s">
        <v>1971</v>
      </c>
      <c r="CB36" t="s">
        <v>26091</v>
      </c>
      <c r="CC36" t="s">
        <v>1970</v>
      </c>
      <c r="CD36" t="s">
        <v>1971</v>
      </c>
      <c r="CE36" t="s">
        <v>334</v>
      </c>
      <c r="CF36" t="s">
        <v>1976</v>
      </c>
      <c r="CH36" t="s">
        <v>1977</v>
      </c>
      <c r="CI36" t="s">
        <v>12983</v>
      </c>
      <c r="CJ36" t="s">
        <v>448</v>
      </c>
      <c r="CK36" t="s">
        <v>449</v>
      </c>
      <c r="CL36" t="s">
        <v>1977</v>
      </c>
      <c r="CM36" t="s">
        <v>1979</v>
      </c>
      <c r="CN36" t="s">
        <v>1976</v>
      </c>
      <c r="CO36" t="s">
        <v>1978</v>
      </c>
    </row>
    <row r="37" spans="1:93" hidden="1">
      <c r="A37" t="s">
        <v>149</v>
      </c>
      <c r="B37">
        <v>1823562</v>
      </c>
      <c r="C37" t="s">
        <v>2004</v>
      </c>
      <c r="D37" t="s">
        <v>21661</v>
      </c>
      <c r="E37" t="s">
        <v>15489</v>
      </c>
      <c r="F37" t="s">
        <v>848</v>
      </c>
      <c r="G37" t="s">
        <v>98</v>
      </c>
      <c r="H37" t="s">
        <v>21795</v>
      </c>
      <c r="I37" t="s">
        <v>100</v>
      </c>
      <c r="J37">
        <v>764644</v>
      </c>
      <c r="K37">
        <v>902280</v>
      </c>
      <c r="L37">
        <v>0</v>
      </c>
      <c r="M37">
        <v>0</v>
      </c>
      <c r="O37">
        <v>0</v>
      </c>
      <c r="P37">
        <v>0</v>
      </c>
      <c r="R37">
        <v>764644</v>
      </c>
      <c r="S37">
        <v>451</v>
      </c>
      <c r="T37" t="s">
        <v>2007</v>
      </c>
      <c r="U37" t="s">
        <v>102</v>
      </c>
      <c r="V37" t="s">
        <v>103</v>
      </c>
      <c r="W37" t="s">
        <v>155</v>
      </c>
      <c r="Y37" t="s">
        <v>12047</v>
      </c>
      <c r="Z37" t="s">
        <v>21796</v>
      </c>
      <c r="AA37" t="s">
        <v>21731</v>
      </c>
      <c r="AB37" t="s">
        <v>21796</v>
      </c>
      <c r="AC37" t="s">
        <v>21732</v>
      </c>
      <c r="AD37" t="s">
        <v>21796</v>
      </c>
      <c r="AE37" t="s">
        <v>21666</v>
      </c>
      <c r="AF37" t="s">
        <v>21796</v>
      </c>
      <c r="AG37" t="s">
        <v>102</v>
      </c>
      <c r="AJ37" t="s">
        <v>21796</v>
      </c>
      <c r="AK37" t="s">
        <v>102</v>
      </c>
      <c r="AL37" t="s">
        <v>21796</v>
      </c>
      <c r="AM37" t="s">
        <v>13004</v>
      </c>
      <c r="AN37" t="s">
        <v>13005</v>
      </c>
      <c r="AR37" t="s">
        <v>169</v>
      </c>
      <c r="AS37" t="s">
        <v>102</v>
      </c>
      <c r="AU37" t="s">
        <v>102</v>
      </c>
      <c r="AV37" t="s">
        <v>119</v>
      </c>
      <c r="AY37" t="s">
        <v>250</v>
      </c>
      <c r="AZ37" t="s">
        <v>120</v>
      </c>
      <c r="BA37" t="s">
        <v>2022</v>
      </c>
      <c r="BB37" t="s">
        <v>1244</v>
      </c>
      <c r="BC37" t="s">
        <v>122</v>
      </c>
      <c r="BD37" t="s">
        <v>1244</v>
      </c>
      <c r="BE37" t="s">
        <v>124</v>
      </c>
      <c r="BF37" t="s">
        <v>12250</v>
      </c>
      <c r="BG37" t="s">
        <v>21667</v>
      </c>
      <c r="BH37" t="s">
        <v>127</v>
      </c>
      <c r="BI37" t="s">
        <v>21797</v>
      </c>
      <c r="BJ37" t="s">
        <v>2025</v>
      </c>
      <c r="BK37" t="s">
        <v>21798</v>
      </c>
      <c r="BL37" t="s">
        <v>15489</v>
      </c>
      <c r="BM37" t="s">
        <v>12743</v>
      </c>
      <c r="BN37" t="s">
        <v>350</v>
      </c>
      <c r="BO37" t="s">
        <v>12744</v>
      </c>
      <c r="BP37" t="s">
        <v>12745</v>
      </c>
      <c r="BQ37" t="s">
        <v>1075</v>
      </c>
      <c r="BS37" t="s">
        <v>21799</v>
      </c>
      <c r="BT37" t="s">
        <v>13009</v>
      </c>
      <c r="BU37" t="s">
        <v>569</v>
      </c>
      <c r="BV37" t="s">
        <v>13010</v>
      </c>
      <c r="BW37" t="s">
        <v>2038</v>
      </c>
      <c r="BX37" t="s">
        <v>2035</v>
      </c>
      <c r="BY37" t="s">
        <v>21800</v>
      </c>
      <c r="BZ37" t="s">
        <v>2037</v>
      </c>
      <c r="CA37" t="s">
        <v>13012</v>
      </c>
      <c r="CB37" t="s">
        <v>21800</v>
      </c>
      <c r="CC37" t="s">
        <v>2037</v>
      </c>
      <c r="CD37" t="s">
        <v>13012</v>
      </c>
      <c r="CE37" t="s">
        <v>102</v>
      </c>
      <c r="CF37" t="s">
        <v>2039</v>
      </c>
      <c r="CH37" t="s">
        <v>2040</v>
      </c>
      <c r="CJ37" t="s">
        <v>2022</v>
      </c>
      <c r="CK37" t="s">
        <v>1244</v>
      </c>
      <c r="CL37" t="s">
        <v>2040</v>
      </c>
      <c r="CM37" t="s">
        <v>2041</v>
      </c>
      <c r="CN37" t="s">
        <v>2039</v>
      </c>
      <c r="CO37" t="s">
        <v>2039</v>
      </c>
    </row>
    <row r="38" spans="1:93">
      <c r="A38" t="s">
        <v>337</v>
      </c>
      <c r="B38">
        <v>1826430</v>
      </c>
      <c r="C38" t="s">
        <v>24957</v>
      </c>
      <c r="D38" t="s">
        <v>21661</v>
      </c>
      <c r="E38" t="s">
        <v>15028</v>
      </c>
      <c r="F38" t="s">
        <v>848</v>
      </c>
      <c r="G38" t="s">
        <v>98</v>
      </c>
      <c r="H38" t="s">
        <v>24958</v>
      </c>
      <c r="I38" t="s">
        <v>100</v>
      </c>
      <c r="J38">
        <v>114435</v>
      </c>
      <c r="K38">
        <v>135033</v>
      </c>
      <c r="L38">
        <v>0</v>
      </c>
      <c r="M38">
        <v>0</v>
      </c>
      <c r="O38">
        <v>0</v>
      </c>
      <c r="P38">
        <v>0</v>
      </c>
      <c r="R38">
        <v>114435</v>
      </c>
      <c r="S38">
        <v>225</v>
      </c>
      <c r="T38" t="s">
        <v>196</v>
      </c>
      <c r="U38" t="s">
        <v>102</v>
      </c>
      <c r="V38" t="s">
        <v>103</v>
      </c>
      <c r="W38" t="s">
        <v>104</v>
      </c>
      <c r="Y38" t="s">
        <v>22459</v>
      </c>
      <c r="Z38" t="s">
        <v>24959</v>
      </c>
      <c r="AA38" t="s">
        <v>21828</v>
      </c>
      <c r="AB38" t="s">
        <v>24959</v>
      </c>
      <c r="AC38" t="s">
        <v>109</v>
      </c>
      <c r="AD38" t="s">
        <v>102</v>
      </c>
      <c r="AE38" t="s">
        <v>109</v>
      </c>
      <c r="AF38" t="s">
        <v>102</v>
      </c>
      <c r="AG38" t="s">
        <v>102</v>
      </c>
      <c r="AJ38" t="s">
        <v>102</v>
      </c>
      <c r="AK38" t="s">
        <v>102</v>
      </c>
      <c r="AL38" t="s">
        <v>102</v>
      </c>
      <c r="AM38" t="s">
        <v>20895</v>
      </c>
      <c r="AN38" t="s">
        <v>20895</v>
      </c>
      <c r="AS38" t="s">
        <v>102</v>
      </c>
      <c r="AU38" t="s">
        <v>102</v>
      </c>
      <c r="AV38" t="s">
        <v>119</v>
      </c>
      <c r="AY38" t="s">
        <v>250</v>
      </c>
      <c r="AZ38" t="s">
        <v>120</v>
      </c>
      <c r="BA38" t="s">
        <v>24960</v>
      </c>
      <c r="BB38" t="s">
        <v>376</v>
      </c>
      <c r="BC38" t="s">
        <v>174</v>
      </c>
      <c r="BD38" t="s">
        <v>376</v>
      </c>
      <c r="BE38" t="s">
        <v>124</v>
      </c>
      <c r="BF38" t="s">
        <v>12250</v>
      </c>
      <c r="BG38" t="s">
        <v>21667</v>
      </c>
      <c r="BH38" t="s">
        <v>127</v>
      </c>
      <c r="BI38" t="s">
        <v>24961</v>
      </c>
      <c r="BJ38" t="s">
        <v>24962</v>
      </c>
      <c r="BK38" t="s">
        <v>24963</v>
      </c>
      <c r="BL38" t="s">
        <v>15028</v>
      </c>
      <c r="BM38" t="s">
        <v>13780</v>
      </c>
      <c r="BN38" t="s">
        <v>180</v>
      </c>
      <c r="BO38" t="s">
        <v>13781</v>
      </c>
      <c r="BP38" t="s">
        <v>13782</v>
      </c>
      <c r="BQ38" t="s">
        <v>13783</v>
      </c>
      <c r="BS38" t="s">
        <v>24964</v>
      </c>
      <c r="BT38" t="s">
        <v>24965</v>
      </c>
      <c r="BU38" t="s">
        <v>138</v>
      </c>
      <c r="BV38" t="s">
        <v>24966</v>
      </c>
      <c r="BW38" t="s">
        <v>24967</v>
      </c>
      <c r="BX38" t="s">
        <v>24966</v>
      </c>
      <c r="BY38" t="s">
        <v>24968</v>
      </c>
      <c r="BZ38" t="s">
        <v>24969</v>
      </c>
      <c r="CA38" t="s">
        <v>24967</v>
      </c>
      <c r="CB38" t="s">
        <v>24968</v>
      </c>
      <c r="CC38" t="s">
        <v>24969</v>
      </c>
      <c r="CD38" t="s">
        <v>24967</v>
      </c>
      <c r="CE38" t="s">
        <v>6370</v>
      </c>
      <c r="CF38" t="s">
        <v>24970</v>
      </c>
      <c r="CH38" t="s">
        <v>24971</v>
      </c>
      <c r="CI38" t="s">
        <v>24970</v>
      </c>
      <c r="CJ38" t="s">
        <v>24960</v>
      </c>
      <c r="CK38" t="s">
        <v>376</v>
      </c>
      <c r="CL38" t="s">
        <v>24971</v>
      </c>
      <c r="CN38" t="s">
        <v>24972</v>
      </c>
      <c r="CO38" t="s">
        <v>24972</v>
      </c>
    </row>
    <row r="39" spans="1:93" hidden="1">
      <c r="A39" t="s">
        <v>149</v>
      </c>
      <c r="B39">
        <v>1837151</v>
      </c>
      <c r="C39" t="s">
        <v>13015</v>
      </c>
      <c r="D39" t="s">
        <v>21661</v>
      </c>
      <c r="E39" t="s">
        <v>6615</v>
      </c>
      <c r="F39" t="s">
        <v>675</v>
      </c>
      <c r="G39" t="s">
        <v>98</v>
      </c>
      <c r="H39" t="s">
        <v>21801</v>
      </c>
      <c r="I39" t="s">
        <v>100</v>
      </c>
      <c r="J39">
        <v>2346186</v>
      </c>
      <c r="K39">
        <v>2346186</v>
      </c>
      <c r="L39">
        <v>696060</v>
      </c>
      <c r="M39">
        <v>1289</v>
      </c>
      <c r="N39" t="s">
        <v>2322</v>
      </c>
      <c r="O39">
        <v>1650126</v>
      </c>
      <c r="P39">
        <v>1289</v>
      </c>
      <c r="Q39" t="s">
        <v>13016</v>
      </c>
      <c r="R39">
        <v>0</v>
      </c>
      <c r="S39">
        <v>0</v>
      </c>
      <c r="U39" t="s">
        <v>102</v>
      </c>
      <c r="V39" t="s">
        <v>275</v>
      </c>
      <c r="X39" t="s">
        <v>11889</v>
      </c>
      <c r="Y39" t="s">
        <v>109</v>
      </c>
      <c r="Z39" t="s">
        <v>102</v>
      </c>
      <c r="AA39" t="s">
        <v>109</v>
      </c>
      <c r="AB39" t="s">
        <v>102</v>
      </c>
      <c r="AC39" t="s">
        <v>109</v>
      </c>
      <c r="AD39" t="s">
        <v>102</v>
      </c>
      <c r="AE39" t="s">
        <v>109</v>
      </c>
      <c r="AF39" t="s">
        <v>102</v>
      </c>
      <c r="AG39" t="s">
        <v>102</v>
      </c>
      <c r="AJ39" t="s">
        <v>24107</v>
      </c>
      <c r="AK39" t="s">
        <v>102</v>
      </c>
      <c r="AL39" t="s">
        <v>24107</v>
      </c>
      <c r="AM39" t="s">
        <v>13021</v>
      </c>
      <c r="AN39" t="s">
        <v>13022</v>
      </c>
      <c r="AO39" t="s">
        <v>343</v>
      </c>
      <c r="AP39" t="s">
        <v>169</v>
      </c>
      <c r="AR39" t="s">
        <v>169</v>
      </c>
      <c r="AS39" t="s">
        <v>247</v>
      </c>
      <c r="AT39" t="s">
        <v>118</v>
      </c>
      <c r="AU39" t="s">
        <v>655</v>
      </c>
      <c r="AV39" t="s">
        <v>119</v>
      </c>
      <c r="AW39" t="s">
        <v>170</v>
      </c>
      <c r="AX39" t="s">
        <v>118</v>
      </c>
      <c r="AZ39" t="s">
        <v>120</v>
      </c>
      <c r="BA39" t="s">
        <v>2056</v>
      </c>
      <c r="BB39" t="s">
        <v>320</v>
      </c>
      <c r="BC39" t="s">
        <v>122</v>
      </c>
      <c r="BD39" t="s">
        <v>123</v>
      </c>
      <c r="BE39" t="s">
        <v>124</v>
      </c>
      <c r="BF39" t="s">
        <v>12250</v>
      </c>
      <c r="BG39" t="s">
        <v>21667</v>
      </c>
      <c r="BH39" t="s">
        <v>127</v>
      </c>
      <c r="BI39" t="s">
        <v>21802</v>
      </c>
      <c r="BJ39" t="s">
        <v>2058</v>
      </c>
      <c r="BK39" t="s">
        <v>21803</v>
      </c>
      <c r="BL39" t="s">
        <v>6615</v>
      </c>
      <c r="BM39" t="s">
        <v>8788</v>
      </c>
      <c r="BN39" t="s">
        <v>350</v>
      </c>
      <c r="BO39" t="s">
        <v>8789</v>
      </c>
      <c r="BP39" t="s">
        <v>8790</v>
      </c>
      <c r="BQ39" t="s">
        <v>1006</v>
      </c>
      <c r="BS39" t="s">
        <v>21804</v>
      </c>
      <c r="BT39" t="s">
        <v>2061</v>
      </c>
      <c r="BU39" t="s">
        <v>354</v>
      </c>
      <c r="BV39" t="s">
        <v>2062</v>
      </c>
      <c r="BW39" t="s">
        <v>2063</v>
      </c>
      <c r="BX39" t="s">
        <v>2062</v>
      </c>
      <c r="BY39" t="s">
        <v>13026</v>
      </c>
      <c r="BZ39" t="s">
        <v>2065</v>
      </c>
      <c r="CA39" t="s">
        <v>2066</v>
      </c>
      <c r="CB39" t="s">
        <v>13026</v>
      </c>
      <c r="CC39" t="s">
        <v>2065</v>
      </c>
      <c r="CD39" t="s">
        <v>2066</v>
      </c>
      <c r="CE39" t="s">
        <v>2069</v>
      </c>
      <c r="CF39" t="s">
        <v>13029</v>
      </c>
      <c r="CH39" t="s">
        <v>2071</v>
      </c>
      <c r="CI39" t="s">
        <v>13030</v>
      </c>
      <c r="CJ39" t="s">
        <v>2056</v>
      </c>
      <c r="CK39" t="s">
        <v>320</v>
      </c>
      <c r="CL39" t="s">
        <v>2071</v>
      </c>
      <c r="CM39" t="s">
        <v>2072</v>
      </c>
      <c r="CN39" t="s">
        <v>2070</v>
      </c>
      <c r="CO39" t="s">
        <v>2070</v>
      </c>
    </row>
    <row r="40" spans="1:93" hidden="1">
      <c r="A40" t="s">
        <v>149</v>
      </c>
      <c r="B40">
        <v>18460</v>
      </c>
      <c r="C40" t="s">
        <v>2073</v>
      </c>
      <c r="D40" t="s">
        <v>21661</v>
      </c>
      <c r="E40" t="s">
        <v>23807</v>
      </c>
      <c r="F40" t="s">
        <v>643</v>
      </c>
      <c r="G40" t="s">
        <v>98</v>
      </c>
      <c r="H40" t="s">
        <v>24973</v>
      </c>
      <c r="I40" t="s">
        <v>100</v>
      </c>
      <c r="J40">
        <v>707761</v>
      </c>
      <c r="K40">
        <v>835158</v>
      </c>
      <c r="L40">
        <v>0</v>
      </c>
      <c r="M40">
        <v>0</v>
      </c>
      <c r="O40">
        <v>0</v>
      </c>
      <c r="P40">
        <v>232</v>
      </c>
      <c r="Q40" t="s">
        <v>102</v>
      </c>
      <c r="R40">
        <v>707761</v>
      </c>
      <c r="S40">
        <v>348</v>
      </c>
      <c r="T40" t="s">
        <v>1399</v>
      </c>
      <c r="U40" t="s">
        <v>102</v>
      </c>
      <c r="V40" t="s">
        <v>679</v>
      </c>
      <c r="W40" t="s">
        <v>155</v>
      </c>
      <c r="X40" t="s">
        <v>12250</v>
      </c>
      <c r="Y40" t="s">
        <v>21770</v>
      </c>
      <c r="Z40" t="s">
        <v>24974</v>
      </c>
      <c r="AA40" t="s">
        <v>24975</v>
      </c>
      <c r="AB40" t="s">
        <v>24974</v>
      </c>
      <c r="AC40" t="s">
        <v>22731</v>
      </c>
      <c r="AD40" t="s">
        <v>24974</v>
      </c>
      <c r="AE40" t="s">
        <v>21742</v>
      </c>
      <c r="AF40" t="s">
        <v>24974</v>
      </c>
      <c r="AG40" t="s">
        <v>102</v>
      </c>
      <c r="AH40" t="s">
        <v>25719</v>
      </c>
      <c r="AI40" t="s">
        <v>25719</v>
      </c>
      <c r="AJ40" t="s">
        <v>24974</v>
      </c>
      <c r="AK40" t="s">
        <v>25724</v>
      </c>
      <c r="AL40" t="s">
        <v>25725</v>
      </c>
      <c r="AM40" t="s">
        <v>24976</v>
      </c>
      <c r="AN40" t="s">
        <v>24976</v>
      </c>
      <c r="AS40" t="s">
        <v>102</v>
      </c>
      <c r="AU40" t="s">
        <v>1103</v>
      </c>
      <c r="AV40" t="s">
        <v>119</v>
      </c>
      <c r="AW40" t="s">
        <v>170</v>
      </c>
      <c r="AX40" t="s">
        <v>118</v>
      </c>
      <c r="AY40" t="s">
        <v>250</v>
      </c>
      <c r="AZ40" t="s">
        <v>120</v>
      </c>
      <c r="BA40" t="s">
        <v>375</v>
      </c>
      <c r="BB40" t="s">
        <v>376</v>
      </c>
      <c r="BC40" t="s">
        <v>174</v>
      </c>
      <c r="BD40" t="s">
        <v>376</v>
      </c>
      <c r="BE40" t="s">
        <v>124</v>
      </c>
      <c r="BF40" t="s">
        <v>21790</v>
      </c>
      <c r="BG40" t="s">
        <v>21667</v>
      </c>
      <c r="BH40" t="s">
        <v>127</v>
      </c>
      <c r="BI40" t="s">
        <v>24977</v>
      </c>
      <c r="BJ40" t="s">
        <v>2089</v>
      </c>
      <c r="BK40" t="s">
        <v>24978</v>
      </c>
      <c r="BL40" t="s">
        <v>23807</v>
      </c>
      <c r="BM40" t="s">
        <v>1917</v>
      </c>
      <c r="BN40" t="s">
        <v>180</v>
      </c>
      <c r="BO40" t="s">
        <v>1918</v>
      </c>
      <c r="BP40" t="s">
        <v>1919</v>
      </c>
      <c r="BQ40" t="s">
        <v>183</v>
      </c>
      <c r="BS40" t="s">
        <v>24979</v>
      </c>
      <c r="BT40" t="s">
        <v>13044</v>
      </c>
      <c r="BU40" t="s">
        <v>598</v>
      </c>
      <c r="BV40" t="s">
        <v>2093</v>
      </c>
      <c r="BW40" t="s">
        <v>2097</v>
      </c>
      <c r="BX40" t="s">
        <v>2095</v>
      </c>
      <c r="BY40" t="s">
        <v>13044</v>
      </c>
      <c r="BZ40" t="s">
        <v>2093</v>
      </c>
      <c r="CA40" t="s">
        <v>2097</v>
      </c>
      <c r="CB40" t="s">
        <v>13044</v>
      </c>
      <c r="CC40" t="s">
        <v>2093</v>
      </c>
      <c r="CD40" t="s">
        <v>2097</v>
      </c>
      <c r="CE40" t="s">
        <v>102</v>
      </c>
      <c r="CF40" t="s">
        <v>2101</v>
      </c>
      <c r="CH40" t="s">
        <v>392</v>
      </c>
      <c r="CJ40" t="s">
        <v>375</v>
      </c>
      <c r="CK40" t="s">
        <v>376</v>
      </c>
      <c r="CL40" t="s">
        <v>392</v>
      </c>
      <c r="CM40" t="s">
        <v>2102</v>
      </c>
      <c r="CN40" t="s">
        <v>2101</v>
      </c>
      <c r="CO40" t="s">
        <v>2101</v>
      </c>
    </row>
    <row r="41" spans="1:93" hidden="1">
      <c r="A41" t="s">
        <v>149</v>
      </c>
      <c r="B41">
        <v>1879439</v>
      </c>
      <c r="C41" t="s">
        <v>2138</v>
      </c>
      <c r="D41" t="s">
        <v>21661</v>
      </c>
      <c r="E41" t="s">
        <v>15054</v>
      </c>
      <c r="F41" t="s">
        <v>97</v>
      </c>
      <c r="G41" t="s">
        <v>98</v>
      </c>
      <c r="H41" t="s">
        <v>21808</v>
      </c>
      <c r="I41" t="s">
        <v>100</v>
      </c>
      <c r="J41">
        <v>447253</v>
      </c>
      <c r="K41">
        <v>447253</v>
      </c>
      <c r="L41">
        <v>447253</v>
      </c>
      <c r="M41">
        <v>492</v>
      </c>
      <c r="N41" t="s">
        <v>11126</v>
      </c>
      <c r="O41">
        <v>0</v>
      </c>
      <c r="P41">
        <v>0</v>
      </c>
      <c r="R41">
        <v>0</v>
      </c>
      <c r="S41">
        <v>0</v>
      </c>
      <c r="U41" t="s">
        <v>102</v>
      </c>
      <c r="V41" t="s">
        <v>275</v>
      </c>
      <c r="X41" t="s">
        <v>14455</v>
      </c>
      <c r="Y41" t="s">
        <v>109</v>
      </c>
      <c r="Z41" t="s">
        <v>102</v>
      </c>
      <c r="AA41" t="s">
        <v>109</v>
      </c>
      <c r="AB41" t="s">
        <v>102</v>
      </c>
      <c r="AC41" t="s">
        <v>109</v>
      </c>
      <c r="AD41" t="s">
        <v>102</v>
      </c>
      <c r="AE41" t="s">
        <v>109</v>
      </c>
      <c r="AF41" t="s">
        <v>102</v>
      </c>
      <c r="AG41" t="s">
        <v>21809</v>
      </c>
      <c r="AH41" t="s">
        <v>13386</v>
      </c>
      <c r="AI41" t="s">
        <v>13386</v>
      </c>
      <c r="AJ41" t="s">
        <v>21810</v>
      </c>
      <c r="AK41" t="s">
        <v>21811</v>
      </c>
      <c r="AL41" t="s">
        <v>115</v>
      </c>
      <c r="AM41" t="s">
        <v>21812</v>
      </c>
      <c r="AN41" t="s">
        <v>21812</v>
      </c>
      <c r="AS41" t="s">
        <v>117</v>
      </c>
      <c r="AT41" t="s">
        <v>118</v>
      </c>
      <c r="AU41" t="s">
        <v>102</v>
      </c>
      <c r="AV41" t="s">
        <v>119</v>
      </c>
      <c r="AZ41" t="s">
        <v>209</v>
      </c>
      <c r="BA41" t="s">
        <v>920</v>
      </c>
      <c r="BB41" t="s">
        <v>211</v>
      </c>
      <c r="BC41" t="s">
        <v>212</v>
      </c>
      <c r="BD41" t="s">
        <v>213</v>
      </c>
      <c r="BE41" t="s">
        <v>124</v>
      </c>
      <c r="BF41" t="s">
        <v>19143</v>
      </c>
      <c r="BG41" t="s">
        <v>21806</v>
      </c>
      <c r="BH41" t="s">
        <v>127</v>
      </c>
      <c r="BI41" t="s">
        <v>21813</v>
      </c>
      <c r="BJ41" t="s">
        <v>2149</v>
      </c>
      <c r="BK41" t="s">
        <v>21814</v>
      </c>
      <c r="BL41" t="s">
        <v>15054</v>
      </c>
      <c r="BM41" t="s">
        <v>7108</v>
      </c>
      <c r="BN41" t="s">
        <v>180</v>
      </c>
      <c r="BO41" t="s">
        <v>7109</v>
      </c>
      <c r="BP41" t="s">
        <v>2151</v>
      </c>
      <c r="BQ41" t="s">
        <v>2151</v>
      </c>
      <c r="BS41" t="s">
        <v>21815</v>
      </c>
      <c r="BT41" t="s">
        <v>21816</v>
      </c>
      <c r="BU41" t="s">
        <v>598</v>
      </c>
      <c r="BV41" t="s">
        <v>2158</v>
      </c>
      <c r="BW41" t="s">
        <v>21817</v>
      </c>
      <c r="BX41" t="s">
        <v>2156</v>
      </c>
      <c r="BY41" t="s">
        <v>21818</v>
      </c>
      <c r="BZ41" t="s">
        <v>21819</v>
      </c>
      <c r="CA41" t="s">
        <v>21817</v>
      </c>
      <c r="CB41" t="s">
        <v>21820</v>
      </c>
      <c r="CC41" t="s">
        <v>2158</v>
      </c>
      <c r="CD41" t="s">
        <v>21817</v>
      </c>
      <c r="CE41" t="s">
        <v>102</v>
      </c>
      <c r="CF41" t="s">
        <v>2159</v>
      </c>
      <c r="CH41" t="s">
        <v>2160</v>
      </c>
      <c r="CJ41" t="s">
        <v>920</v>
      </c>
      <c r="CK41" t="s">
        <v>211</v>
      </c>
      <c r="CL41" t="s">
        <v>2160</v>
      </c>
      <c r="CM41" t="s">
        <v>2161</v>
      </c>
      <c r="CN41" t="s">
        <v>2159</v>
      </c>
      <c r="CO41" t="s">
        <v>2159</v>
      </c>
    </row>
    <row r="42" spans="1:93" hidden="1">
      <c r="A42" t="s">
        <v>495</v>
      </c>
      <c r="B42">
        <v>1882</v>
      </c>
      <c r="C42" t="s">
        <v>24108</v>
      </c>
      <c r="D42" t="s">
        <v>21661</v>
      </c>
      <c r="E42" t="s">
        <v>21962</v>
      </c>
      <c r="F42" t="s">
        <v>97</v>
      </c>
      <c r="G42" t="s">
        <v>98</v>
      </c>
      <c r="H42" t="s">
        <v>24109</v>
      </c>
      <c r="I42" t="s">
        <v>100</v>
      </c>
      <c r="J42">
        <v>0</v>
      </c>
      <c r="K42">
        <v>0</v>
      </c>
      <c r="L42">
        <v>0</v>
      </c>
      <c r="M42">
        <v>1693</v>
      </c>
      <c r="N42" t="s">
        <v>102</v>
      </c>
      <c r="O42">
        <v>0</v>
      </c>
      <c r="P42">
        <v>0</v>
      </c>
      <c r="R42">
        <v>0</v>
      </c>
      <c r="S42">
        <v>0</v>
      </c>
      <c r="U42" t="s">
        <v>102</v>
      </c>
      <c r="V42" t="s">
        <v>275</v>
      </c>
      <c r="X42" t="s">
        <v>12047</v>
      </c>
      <c r="Y42" t="s">
        <v>109</v>
      </c>
      <c r="Z42" t="s">
        <v>102</v>
      </c>
      <c r="AA42" t="s">
        <v>109</v>
      </c>
      <c r="AB42" t="s">
        <v>102</v>
      </c>
      <c r="AC42" t="s">
        <v>109</v>
      </c>
      <c r="AD42" t="s">
        <v>102</v>
      </c>
      <c r="AE42" t="s">
        <v>109</v>
      </c>
      <c r="AF42" t="s">
        <v>102</v>
      </c>
      <c r="AG42" t="s">
        <v>102</v>
      </c>
      <c r="AJ42" t="s">
        <v>102</v>
      </c>
      <c r="AK42" t="s">
        <v>102</v>
      </c>
      <c r="AL42" t="s">
        <v>102</v>
      </c>
      <c r="AM42" t="s">
        <v>115</v>
      </c>
      <c r="AN42" t="s">
        <v>2202</v>
      </c>
      <c r="AO42" t="s">
        <v>102</v>
      </c>
      <c r="AP42" t="s">
        <v>102</v>
      </c>
      <c r="AQ42" t="s">
        <v>102</v>
      </c>
      <c r="AR42" t="s">
        <v>102</v>
      </c>
      <c r="AS42" t="s">
        <v>318</v>
      </c>
      <c r="AT42" t="s">
        <v>118</v>
      </c>
      <c r="AU42" t="s">
        <v>102</v>
      </c>
      <c r="AV42" t="s">
        <v>119</v>
      </c>
      <c r="AZ42" t="s">
        <v>120</v>
      </c>
      <c r="BA42" t="s">
        <v>2327</v>
      </c>
      <c r="BB42" t="s">
        <v>730</v>
      </c>
      <c r="BC42" t="s">
        <v>622</v>
      </c>
      <c r="BD42" t="s">
        <v>730</v>
      </c>
      <c r="BE42" t="s">
        <v>124</v>
      </c>
      <c r="BF42" t="s">
        <v>12250</v>
      </c>
      <c r="BG42" t="s">
        <v>21667</v>
      </c>
      <c r="BH42" t="s">
        <v>127</v>
      </c>
      <c r="BI42" t="s">
        <v>24110</v>
      </c>
      <c r="BJ42" t="s">
        <v>24111</v>
      </c>
      <c r="BK42" t="s">
        <v>24112</v>
      </c>
      <c r="BL42" t="s">
        <v>21962</v>
      </c>
      <c r="BM42" t="s">
        <v>2262</v>
      </c>
      <c r="BN42" t="s">
        <v>180</v>
      </c>
      <c r="BO42" t="s">
        <v>2263</v>
      </c>
      <c r="BP42" t="s">
        <v>2264</v>
      </c>
      <c r="BQ42" t="s">
        <v>2569</v>
      </c>
      <c r="BS42" t="s">
        <v>24113</v>
      </c>
      <c r="BT42" t="s">
        <v>24114</v>
      </c>
      <c r="BV42" t="s">
        <v>2263</v>
      </c>
      <c r="BW42" t="s">
        <v>24115</v>
      </c>
      <c r="BX42" t="s">
        <v>24116</v>
      </c>
      <c r="BY42" t="s">
        <v>24117</v>
      </c>
      <c r="BZ42" t="s">
        <v>24118</v>
      </c>
      <c r="CA42" t="s">
        <v>24115</v>
      </c>
      <c r="CB42" t="s">
        <v>24117</v>
      </c>
      <c r="CC42" t="s">
        <v>24118</v>
      </c>
      <c r="CD42" t="s">
        <v>24115</v>
      </c>
      <c r="CE42" t="s">
        <v>24119</v>
      </c>
      <c r="CF42" t="s">
        <v>24120</v>
      </c>
      <c r="CH42" t="s">
        <v>2272</v>
      </c>
      <c r="CI42" t="s">
        <v>24121</v>
      </c>
      <c r="CJ42" t="s">
        <v>2327</v>
      </c>
      <c r="CK42" t="s">
        <v>730</v>
      </c>
      <c r="CL42" t="s">
        <v>2272</v>
      </c>
      <c r="CN42" t="s">
        <v>24120</v>
      </c>
      <c r="CO42" t="s">
        <v>24120</v>
      </c>
    </row>
    <row r="43" spans="1:93">
      <c r="A43" t="s">
        <v>337</v>
      </c>
      <c r="B43">
        <v>1884049</v>
      </c>
      <c r="C43" t="s">
        <v>21822</v>
      </c>
      <c r="D43" t="s">
        <v>21661</v>
      </c>
      <c r="E43" t="s">
        <v>13110</v>
      </c>
      <c r="F43" t="s">
        <v>848</v>
      </c>
      <c r="G43" t="s">
        <v>98</v>
      </c>
      <c r="H43" t="s">
        <v>21823</v>
      </c>
      <c r="I43" t="s">
        <v>100</v>
      </c>
      <c r="J43">
        <v>718419</v>
      </c>
      <c r="K43">
        <v>847734</v>
      </c>
      <c r="L43">
        <v>0</v>
      </c>
      <c r="M43">
        <v>0</v>
      </c>
      <c r="O43">
        <v>0</v>
      </c>
      <c r="P43">
        <v>0</v>
      </c>
      <c r="R43">
        <v>718419</v>
      </c>
      <c r="S43">
        <v>705</v>
      </c>
      <c r="T43" t="s">
        <v>21824</v>
      </c>
      <c r="U43" t="s">
        <v>102</v>
      </c>
      <c r="V43" t="s">
        <v>103</v>
      </c>
      <c r="W43" t="s">
        <v>398</v>
      </c>
      <c r="Y43" t="s">
        <v>12250</v>
      </c>
      <c r="Z43" t="s">
        <v>21825</v>
      </c>
      <c r="AA43" t="s">
        <v>21826</v>
      </c>
      <c r="AB43" t="s">
        <v>21827</v>
      </c>
      <c r="AC43" t="s">
        <v>21828</v>
      </c>
      <c r="AD43" t="s">
        <v>21827</v>
      </c>
      <c r="AE43" t="s">
        <v>109</v>
      </c>
      <c r="AF43" t="s">
        <v>102</v>
      </c>
      <c r="AG43" t="s">
        <v>102</v>
      </c>
      <c r="AH43" t="s">
        <v>13725</v>
      </c>
      <c r="AI43" t="s">
        <v>13725</v>
      </c>
      <c r="AJ43" t="s">
        <v>21825</v>
      </c>
      <c r="AK43" t="s">
        <v>9607</v>
      </c>
      <c r="AL43" t="s">
        <v>24122</v>
      </c>
      <c r="AM43" t="s">
        <v>21829</v>
      </c>
      <c r="AN43" t="s">
        <v>21829</v>
      </c>
      <c r="AS43" t="s">
        <v>102</v>
      </c>
      <c r="AU43" t="s">
        <v>102</v>
      </c>
      <c r="AV43" t="s">
        <v>119</v>
      </c>
      <c r="AY43" t="s">
        <v>250</v>
      </c>
      <c r="AZ43" t="s">
        <v>120</v>
      </c>
      <c r="BA43" t="s">
        <v>21830</v>
      </c>
      <c r="BB43" t="s">
        <v>1208</v>
      </c>
      <c r="BC43" t="s">
        <v>174</v>
      </c>
      <c r="BD43" t="s">
        <v>1172</v>
      </c>
      <c r="BE43" t="s">
        <v>124</v>
      </c>
      <c r="BF43" t="s">
        <v>12250</v>
      </c>
      <c r="BG43" t="s">
        <v>21667</v>
      </c>
      <c r="BH43" t="s">
        <v>127</v>
      </c>
      <c r="BI43" t="s">
        <v>21831</v>
      </c>
      <c r="BJ43" t="s">
        <v>21832</v>
      </c>
      <c r="BK43" t="s">
        <v>21833</v>
      </c>
      <c r="BL43" t="s">
        <v>13110</v>
      </c>
      <c r="BM43" t="s">
        <v>1212</v>
      </c>
      <c r="BN43" t="s">
        <v>180</v>
      </c>
      <c r="BO43" t="s">
        <v>1213</v>
      </c>
      <c r="BP43" t="s">
        <v>1214</v>
      </c>
      <c r="BQ43" t="s">
        <v>7515</v>
      </c>
      <c r="BS43" t="s">
        <v>21834</v>
      </c>
      <c r="BT43" t="s">
        <v>21835</v>
      </c>
      <c r="BU43" t="s">
        <v>354</v>
      </c>
      <c r="BV43" t="s">
        <v>21836</v>
      </c>
      <c r="BW43" t="s">
        <v>21837</v>
      </c>
      <c r="BX43" t="s">
        <v>23453</v>
      </c>
      <c r="BY43" t="s">
        <v>21838</v>
      </c>
      <c r="BZ43" t="s">
        <v>21836</v>
      </c>
      <c r="CA43" t="s">
        <v>21837</v>
      </c>
      <c r="CB43" t="s">
        <v>21838</v>
      </c>
      <c r="CC43" t="s">
        <v>21836</v>
      </c>
      <c r="CD43" t="s">
        <v>21837</v>
      </c>
      <c r="CE43" t="s">
        <v>15511</v>
      </c>
      <c r="CF43" t="s">
        <v>21822</v>
      </c>
      <c r="CH43" t="s">
        <v>21839</v>
      </c>
      <c r="CI43" t="s">
        <v>21822</v>
      </c>
      <c r="CJ43" t="s">
        <v>21830</v>
      </c>
      <c r="CK43" t="s">
        <v>1208</v>
      </c>
      <c r="CL43" t="s">
        <v>21839</v>
      </c>
      <c r="CN43" t="s">
        <v>21840</v>
      </c>
      <c r="CO43" t="s">
        <v>21840</v>
      </c>
    </row>
    <row r="44" spans="1:93" hidden="1">
      <c r="A44" t="s">
        <v>93</v>
      </c>
      <c r="B44">
        <v>1940242</v>
      </c>
      <c r="C44" t="s">
        <v>21841</v>
      </c>
      <c r="D44" t="s">
        <v>21661</v>
      </c>
      <c r="E44" t="s">
        <v>15054</v>
      </c>
      <c r="F44" t="s">
        <v>848</v>
      </c>
      <c r="G44" t="s">
        <v>98</v>
      </c>
      <c r="H44" t="s">
        <v>21842</v>
      </c>
      <c r="I44" t="s">
        <v>100</v>
      </c>
      <c r="J44">
        <v>254250</v>
      </c>
      <c r="K44">
        <v>300015</v>
      </c>
      <c r="L44">
        <v>0</v>
      </c>
      <c r="M44">
        <v>0</v>
      </c>
      <c r="O44">
        <v>0</v>
      </c>
      <c r="P44">
        <v>0</v>
      </c>
      <c r="R44">
        <v>254250</v>
      </c>
      <c r="S44">
        <v>200</v>
      </c>
      <c r="T44" t="s">
        <v>850</v>
      </c>
      <c r="U44" t="s">
        <v>102</v>
      </c>
      <c r="V44" t="s">
        <v>103</v>
      </c>
      <c r="W44" t="s">
        <v>155</v>
      </c>
      <c r="Y44" t="s">
        <v>21843</v>
      </c>
      <c r="Z44" t="s">
        <v>21844</v>
      </c>
      <c r="AA44" t="s">
        <v>21845</v>
      </c>
      <c r="AB44" t="s">
        <v>21844</v>
      </c>
      <c r="AC44" t="s">
        <v>21846</v>
      </c>
      <c r="AD44" t="s">
        <v>21844</v>
      </c>
      <c r="AE44" t="s">
        <v>21847</v>
      </c>
      <c r="AF44" t="s">
        <v>21844</v>
      </c>
      <c r="AG44" t="s">
        <v>102</v>
      </c>
      <c r="AJ44" t="s">
        <v>21844</v>
      </c>
      <c r="AK44" t="s">
        <v>102</v>
      </c>
      <c r="AL44" t="s">
        <v>21844</v>
      </c>
      <c r="AM44" t="s">
        <v>13206</v>
      </c>
      <c r="AN44" t="s">
        <v>13206</v>
      </c>
      <c r="AS44" t="s">
        <v>102</v>
      </c>
      <c r="AU44" t="s">
        <v>102</v>
      </c>
      <c r="AV44" t="s">
        <v>119</v>
      </c>
      <c r="AY44" t="s">
        <v>250</v>
      </c>
      <c r="AZ44" t="s">
        <v>171</v>
      </c>
      <c r="BA44" t="s">
        <v>13207</v>
      </c>
      <c r="BB44" t="s">
        <v>376</v>
      </c>
      <c r="BC44" t="s">
        <v>174</v>
      </c>
      <c r="BD44" t="s">
        <v>376</v>
      </c>
      <c r="BE44" t="s">
        <v>124</v>
      </c>
      <c r="BF44" t="s">
        <v>12250</v>
      </c>
      <c r="BG44" t="s">
        <v>21667</v>
      </c>
      <c r="BH44" t="s">
        <v>127</v>
      </c>
      <c r="BI44" t="s">
        <v>21848</v>
      </c>
      <c r="BJ44" t="s">
        <v>13210</v>
      </c>
      <c r="BK44" t="s">
        <v>21849</v>
      </c>
      <c r="BL44" t="s">
        <v>15054</v>
      </c>
      <c r="BM44" t="s">
        <v>6926</v>
      </c>
      <c r="BN44" t="s">
        <v>180</v>
      </c>
      <c r="BO44" t="s">
        <v>6927</v>
      </c>
      <c r="BP44" t="s">
        <v>6928</v>
      </c>
      <c r="BQ44" t="s">
        <v>1858</v>
      </c>
      <c r="BS44" t="s">
        <v>21850</v>
      </c>
      <c r="BT44" t="s">
        <v>12777</v>
      </c>
      <c r="BU44" t="s">
        <v>354</v>
      </c>
      <c r="BV44" t="s">
        <v>1511</v>
      </c>
      <c r="BW44" t="s">
        <v>1512</v>
      </c>
      <c r="BX44" t="s">
        <v>1513</v>
      </c>
      <c r="BY44" t="s">
        <v>12777</v>
      </c>
      <c r="BZ44" t="s">
        <v>1511</v>
      </c>
      <c r="CA44" t="s">
        <v>1512</v>
      </c>
      <c r="CB44" t="s">
        <v>12777</v>
      </c>
      <c r="CC44" t="s">
        <v>1511</v>
      </c>
      <c r="CD44" t="s">
        <v>1512</v>
      </c>
      <c r="CE44" t="s">
        <v>13213</v>
      </c>
      <c r="CF44" t="s">
        <v>13214</v>
      </c>
      <c r="CH44" t="s">
        <v>13215</v>
      </c>
      <c r="CI44" t="s">
        <v>13214</v>
      </c>
      <c r="CJ44" t="s">
        <v>13207</v>
      </c>
      <c r="CK44" t="s">
        <v>376</v>
      </c>
      <c r="CL44" t="s">
        <v>13215</v>
      </c>
      <c r="CN44" t="s">
        <v>13214</v>
      </c>
      <c r="CO44" t="s">
        <v>13214</v>
      </c>
    </row>
    <row r="45" spans="1:93">
      <c r="A45" t="s">
        <v>337</v>
      </c>
      <c r="B45">
        <v>199955</v>
      </c>
      <c r="C45" t="s">
        <v>24123</v>
      </c>
      <c r="D45" t="s">
        <v>21661</v>
      </c>
      <c r="E45" t="s">
        <v>24124</v>
      </c>
      <c r="F45" t="s">
        <v>643</v>
      </c>
      <c r="G45" t="s">
        <v>98</v>
      </c>
      <c r="H45" t="s">
        <v>24125</v>
      </c>
      <c r="I45" t="s">
        <v>100</v>
      </c>
      <c r="J45">
        <v>683689</v>
      </c>
      <c r="K45">
        <v>752326</v>
      </c>
      <c r="L45">
        <v>0</v>
      </c>
      <c r="M45">
        <v>0</v>
      </c>
      <c r="O45">
        <v>302375</v>
      </c>
      <c r="P45">
        <v>180</v>
      </c>
      <c r="Q45" t="s">
        <v>12097</v>
      </c>
      <c r="R45">
        <v>381314</v>
      </c>
      <c r="S45">
        <v>180</v>
      </c>
      <c r="T45" t="s">
        <v>24126</v>
      </c>
      <c r="U45" t="s">
        <v>102</v>
      </c>
      <c r="V45" t="s">
        <v>103</v>
      </c>
      <c r="W45" t="s">
        <v>5317</v>
      </c>
      <c r="Y45" t="s">
        <v>24127</v>
      </c>
      <c r="Z45" t="s">
        <v>24128</v>
      </c>
      <c r="AA45" t="s">
        <v>24129</v>
      </c>
      <c r="AB45" t="s">
        <v>24130</v>
      </c>
      <c r="AC45" t="s">
        <v>21742</v>
      </c>
      <c r="AD45" t="s">
        <v>24131</v>
      </c>
      <c r="AE45" t="s">
        <v>109</v>
      </c>
      <c r="AF45" t="s">
        <v>102</v>
      </c>
      <c r="AG45" t="s">
        <v>102</v>
      </c>
      <c r="AH45" t="s">
        <v>14161</v>
      </c>
      <c r="AI45" t="s">
        <v>14161</v>
      </c>
      <c r="AJ45" t="s">
        <v>24128</v>
      </c>
      <c r="AK45" t="s">
        <v>24132</v>
      </c>
      <c r="AL45" t="s">
        <v>24133</v>
      </c>
      <c r="AM45" t="s">
        <v>24134</v>
      </c>
      <c r="AN45" t="s">
        <v>24134</v>
      </c>
      <c r="AS45" t="s">
        <v>102</v>
      </c>
      <c r="AU45" t="s">
        <v>655</v>
      </c>
      <c r="AV45" t="s">
        <v>119</v>
      </c>
      <c r="AW45" t="s">
        <v>170</v>
      </c>
      <c r="AX45" t="s">
        <v>118</v>
      </c>
      <c r="AY45" t="s">
        <v>250</v>
      </c>
      <c r="AZ45" t="s">
        <v>1242</v>
      </c>
      <c r="BA45" t="s">
        <v>623</v>
      </c>
      <c r="BB45" t="s">
        <v>621</v>
      </c>
      <c r="BC45" t="s">
        <v>622</v>
      </c>
      <c r="BD45" t="s">
        <v>623</v>
      </c>
      <c r="BE45" t="s">
        <v>124</v>
      </c>
      <c r="BF45" t="s">
        <v>21123</v>
      </c>
      <c r="BG45" t="s">
        <v>24135</v>
      </c>
      <c r="BH45" t="s">
        <v>127</v>
      </c>
      <c r="BI45" t="s">
        <v>24136</v>
      </c>
      <c r="BJ45" t="s">
        <v>24137</v>
      </c>
      <c r="BK45" t="s">
        <v>24138</v>
      </c>
      <c r="BL45" t="s">
        <v>24124</v>
      </c>
      <c r="BM45" t="s">
        <v>2284</v>
      </c>
      <c r="BN45" t="s">
        <v>505</v>
      </c>
      <c r="BO45" t="s">
        <v>2285</v>
      </c>
      <c r="BP45" t="s">
        <v>2286</v>
      </c>
      <c r="BQ45" t="s">
        <v>1342</v>
      </c>
      <c r="BR45" t="s">
        <v>632</v>
      </c>
      <c r="BS45" t="s">
        <v>24139</v>
      </c>
      <c r="BT45" t="s">
        <v>24140</v>
      </c>
      <c r="BU45" t="s">
        <v>354</v>
      </c>
      <c r="BV45" t="s">
        <v>24141</v>
      </c>
      <c r="BW45" t="s">
        <v>24142</v>
      </c>
      <c r="BX45" t="s">
        <v>24143</v>
      </c>
      <c r="BY45" t="s">
        <v>24144</v>
      </c>
      <c r="BZ45" t="s">
        <v>24145</v>
      </c>
      <c r="CA45" t="s">
        <v>24146</v>
      </c>
      <c r="CB45" t="s">
        <v>24144</v>
      </c>
      <c r="CC45" t="s">
        <v>24145</v>
      </c>
      <c r="CD45" t="s">
        <v>24146</v>
      </c>
      <c r="CE45" t="s">
        <v>24147</v>
      </c>
      <c r="CF45" t="s">
        <v>24148</v>
      </c>
      <c r="CH45" t="s">
        <v>24149</v>
      </c>
      <c r="CI45" t="s">
        <v>24148</v>
      </c>
      <c r="CJ45" t="s">
        <v>623</v>
      </c>
      <c r="CK45" t="s">
        <v>621</v>
      </c>
      <c r="CL45" t="s">
        <v>24149</v>
      </c>
      <c r="CN45" t="s">
        <v>24148</v>
      </c>
      <c r="CO45" t="s">
        <v>24148</v>
      </c>
    </row>
    <row r="46" spans="1:93" hidden="1">
      <c r="A46" t="s">
        <v>149</v>
      </c>
      <c r="B46">
        <v>2009619</v>
      </c>
      <c r="C46" t="s">
        <v>2361</v>
      </c>
      <c r="D46" t="s">
        <v>21661</v>
      </c>
      <c r="E46" t="s">
        <v>22101</v>
      </c>
      <c r="F46" t="s">
        <v>152</v>
      </c>
      <c r="G46" t="s">
        <v>98</v>
      </c>
      <c r="H46" t="s">
        <v>24150</v>
      </c>
      <c r="I46" t="s">
        <v>100</v>
      </c>
      <c r="J46">
        <v>286308</v>
      </c>
      <c r="K46">
        <v>286308</v>
      </c>
      <c r="L46">
        <v>0</v>
      </c>
      <c r="M46">
        <v>0</v>
      </c>
      <c r="O46">
        <v>286308</v>
      </c>
      <c r="P46">
        <v>440</v>
      </c>
      <c r="Q46" t="s">
        <v>2363</v>
      </c>
      <c r="R46">
        <v>0</v>
      </c>
      <c r="S46">
        <v>0</v>
      </c>
      <c r="U46" t="s">
        <v>102</v>
      </c>
      <c r="V46" t="s">
        <v>103</v>
      </c>
      <c r="W46" t="s">
        <v>398</v>
      </c>
      <c r="Y46" t="s">
        <v>21731</v>
      </c>
      <c r="Z46" t="s">
        <v>24151</v>
      </c>
      <c r="AA46" t="s">
        <v>21686</v>
      </c>
      <c r="AB46" t="s">
        <v>24152</v>
      </c>
      <c r="AC46" t="s">
        <v>21666</v>
      </c>
      <c r="AD46" t="s">
        <v>24152</v>
      </c>
      <c r="AE46" t="s">
        <v>109</v>
      </c>
      <c r="AF46" t="s">
        <v>102</v>
      </c>
      <c r="AG46" t="s">
        <v>102</v>
      </c>
      <c r="AJ46" t="s">
        <v>102</v>
      </c>
      <c r="AK46" t="s">
        <v>102</v>
      </c>
      <c r="AL46" t="s">
        <v>102</v>
      </c>
      <c r="AM46" t="s">
        <v>2371</v>
      </c>
      <c r="AN46" t="s">
        <v>2372</v>
      </c>
      <c r="AR46" t="s">
        <v>169</v>
      </c>
      <c r="AS46" t="s">
        <v>102</v>
      </c>
      <c r="AU46" t="s">
        <v>104</v>
      </c>
      <c r="AV46" t="s">
        <v>447</v>
      </c>
      <c r="AW46" t="s">
        <v>170</v>
      </c>
      <c r="AX46" t="s">
        <v>118</v>
      </c>
      <c r="AZ46" t="s">
        <v>120</v>
      </c>
      <c r="BA46" t="s">
        <v>2373</v>
      </c>
      <c r="BB46" t="s">
        <v>556</v>
      </c>
      <c r="BC46" t="s">
        <v>122</v>
      </c>
      <c r="BD46" t="s">
        <v>557</v>
      </c>
      <c r="BE46" t="s">
        <v>124</v>
      </c>
      <c r="BF46" t="s">
        <v>12250</v>
      </c>
      <c r="BG46" t="s">
        <v>21667</v>
      </c>
      <c r="BH46" t="s">
        <v>127</v>
      </c>
      <c r="BI46" t="s">
        <v>24153</v>
      </c>
      <c r="BJ46" t="s">
        <v>2375</v>
      </c>
      <c r="BK46" t="s">
        <v>24154</v>
      </c>
      <c r="BL46" t="s">
        <v>22101</v>
      </c>
      <c r="BM46" t="s">
        <v>12743</v>
      </c>
      <c r="BN46" t="s">
        <v>350</v>
      </c>
      <c r="BO46" t="s">
        <v>12744</v>
      </c>
      <c r="BP46" t="s">
        <v>12745</v>
      </c>
      <c r="BQ46" t="s">
        <v>1075</v>
      </c>
      <c r="BS46" t="s">
        <v>24155</v>
      </c>
      <c r="BT46" t="s">
        <v>13252</v>
      </c>
      <c r="BU46" t="s">
        <v>569</v>
      </c>
      <c r="BV46" t="s">
        <v>13253</v>
      </c>
      <c r="BW46" t="s">
        <v>2380</v>
      </c>
      <c r="BX46" t="s">
        <v>2381</v>
      </c>
      <c r="BY46" t="s">
        <v>13252</v>
      </c>
      <c r="BZ46" t="s">
        <v>13253</v>
      </c>
      <c r="CA46" t="s">
        <v>2380</v>
      </c>
      <c r="CB46" t="s">
        <v>13252</v>
      </c>
      <c r="CC46" t="s">
        <v>13253</v>
      </c>
      <c r="CD46" t="s">
        <v>2380</v>
      </c>
      <c r="CE46" t="s">
        <v>102</v>
      </c>
      <c r="CF46" t="s">
        <v>13256</v>
      </c>
      <c r="CH46" t="s">
        <v>2383</v>
      </c>
      <c r="CJ46" t="s">
        <v>2373</v>
      </c>
      <c r="CK46" t="s">
        <v>556</v>
      </c>
      <c r="CL46" t="s">
        <v>2383</v>
      </c>
      <c r="CM46" t="s">
        <v>1155</v>
      </c>
      <c r="CN46" t="s">
        <v>2382</v>
      </c>
      <c r="CO46" t="s">
        <v>2382</v>
      </c>
    </row>
    <row r="47" spans="1:93" hidden="1">
      <c r="A47" t="s">
        <v>149</v>
      </c>
      <c r="B47">
        <v>202033</v>
      </c>
      <c r="C47" t="s">
        <v>2409</v>
      </c>
      <c r="D47" t="s">
        <v>21661</v>
      </c>
      <c r="E47" t="s">
        <v>25719</v>
      </c>
      <c r="F47" t="s">
        <v>3549</v>
      </c>
      <c r="G47" t="s">
        <v>98</v>
      </c>
      <c r="H47" t="s">
        <v>26405</v>
      </c>
      <c r="I47" t="s">
        <v>100</v>
      </c>
      <c r="J47">
        <v>263780</v>
      </c>
      <c r="K47">
        <v>299978</v>
      </c>
      <c r="L47">
        <v>62681</v>
      </c>
      <c r="M47">
        <v>97</v>
      </c>
      <c r="N47" t="s">
        <v>26406</v>
      </c>
      <c r="O47">
        <v>0</v>
      </c>
      <c r="P47">
        <v>0</v>
      </c>
      <c r="R47">
        <v>201099</v>
      </c>
      <c r="S47">
        <v>153</v>
      </c>
      <c r="T47" t="s">
        <v>26407</v>
      </c>
      <c r="U47" t="s">
        <v>102</v>
      </c>
      <c r="V47" t="s">
        <v>103</v>
      </c>
      <c r="W47" t="s">
        <v>104</v>
      </c>
      <c r="Y47" t="s">
        <v>22526</v>
      </c>
      <c r="Z47" t="s">
        <v>26408</v>
      </c>
      <c r="AA47" t="s">
        <v>21828</v>
      </c>
      <c r="AB47" t="s">
        <v>26408</v>
      </c>
      <c r="AC47" t="s">
        <v>109</v>
      </c>
      <c r="AD47" t="s">
        <v>102</v>
      </c>
      <c r="AE47" t="s">
        <v>109</v>
      </c>
      <c r="AF47" t="s">
        <v>102</v>
      </c>
      <c r="AG47" t="s">
        <v>102</v>
      </c>
      <c r="AJ47" t="s">
        <v>102</v>
      </c>
      <c r="AK47" t="s">
        <v>102</v>
      </c>
      <c r="AL47" t="s">
        <v>102</v>
      </c>
      <c r="AM47" t="s">
        <v>26409</v>
      </c>
      <c r="AN47" t="s">
        <v>26409</v>
      </c>
      <c r="AS47" t="s">
        <v>318</v>
      </c>
      <c r="AT47" t="s">
        <v>118</v>
      </c>
      <c r="AU47" t="s">
        <v>102</v>
      </c>
      <c r="AV47" t="s">
        <v>119</v>
      </c>
      <c r="AY47" t="s">
        <v>250</v>
      </c>
      <c r="AZ47" t="s">
        <v>171</v>
      </c>
      <c r="BA47" t="s">
        <v>920</v>
      </c>
      <c r="BB47" t="s">
        <v>211</v>
      </c>
      <c r="BC47" t="s">
        <v>212</v>
      </c>
      <c r="BD47" t="s">
        <v>213</v>
      </c>
      <c r="BE47" t="s">
        <v>124</v>
      </c>
      <c r="BF47" t="s">
        <v>22188</v>
      </c>
      <c r="BG47" t="s">
        <v>21806</v>
      </c>
      <c r="BH47" t="s">
        <v>127</v>
      </c>
      <c r="BI47" t="s">
        <v>26410</v>
      </c>
      <c r="BJ47" t="s">
        <v>2417</v>
      </c>
      <c r="BK47" t="s">
        <v>26411</v>
      </c>
      <c r="BL47" t="s">
        <v>25719</v>
      </c>
      <c r="BM47" t="s">
        <v>7108</v>
      </c>
      <c r="BN47" t="s">
        <v>180</v>
      </c>
      <c r="BO47" t="s">
        <v>7109</v>
      </c>
      <c r="BP47" t="s">
        <v>2151</v>
      </c>
      <c r="BQ47" t="s">
        <v>1312</v>
      </c>
      <c r="BS47" t="s">
        <v>26412</v>
      </c>
      <c r="BT47" t="s">
        <v>13313</v>
      </c>
      <c r="BU47" t="s">
        <v>138</v>
      </c>
      <c r="BV47" t="s">
        <v>13314</v>
      </c>
      <c r="BW47" t="s">
        <v>13315</v>
      </c>
      <c r="BX47" t="s">
        <v>2423</v>
      </c>
      <c r="BY47" t="s">
        <v>13313</v>
      </c>
      <c r="BZ47" t="s">
        <v>13314</v>
      </c>
      <c r="CA47" t="s">
        <v>13315</v>
      </c>
      <c r="CB47" t="s">
        <v>13313</v>
      </c>
      <c r="CC47" t="s">
        <v>13314</v>
      </c>
      <c r="CD47" t="s">
        <v>13315</v>
      </c>
      <c r="CE47" t="s">
        <v>2424</v>
      </c>
      <c r="CF47" t="s">
        <v>13316</v>
      </c>
      <c r="CH47" t="s">
        <v>2426</v>
      </c>
      <c r="CI47" t="s">
        <v>13317</v>
      </c>
      <c r="CJ47" t="s">
        <v>920</v>
      </c>
      <c r="CK47" t="s">
        <v>211</v>
      </c>
      <c r="CL47" t="s">
        <v>2426</v>
      </c>
      <c r="CM47" t="s">
        <v>102</v>
      </c>
      <c r="CN47" t="s">
        <v>2425</v>
      </c>
      <c r="CO47" t="s">
        <v>2425</v>
      </c>
    </row>
    <row r="48" spans="1:93" hidden="1">
      <c r="A48" t="s">
        <v>149</v>
      </c>
      <c r="B48">
        <v>20238</v>
      </c>
      <c r="C48" t="s">
        <v>2427</v>
      </c>
      <c r="D48" t="s">
        <v>21661</v>
      </c>
      <c r="E48" t="s">
        <v>23642</v>
      </c>
      <c r="F48" t="s">
        <v>848</v>
      </c>
      <c r="G48" t="s">
        <v>98</v>
      </c>
      <c r="H48" t="s">
        <v>24980</v>
      </c>
      <c r="I48" t="s">
        <v>100</v>
      </c>
      <c r="J48">
        <v>2456259</v>
      </c>
      <c r="K48">
        <v>2898386</v>
      </c>
      <c r="L48">
        <v>0</v>
      </c>
      <c r="M48">
        <v>0</v>
      </c>
      <c r="O48">
        <v>0</v>
      </c>
      <c r="P48">
        <v>0</v>
      </c>
      <c r="R48">
        <v>2456259</v>
      </c>
      <c r="S48">
        <v>996</v>
      </c>
      <c r="T48" t="s">
        <v>24981</v>
      </c>
      <c r="U48" t="s">
        <v>102</v>
      </c>
      <c r="V48" t="s">
        <v>103</v>
      </c>
      <c r="W48" t="s">
        <v>155</v>
      </c>
      <c r="Y48" t="s">
        <v>21857</v>
      </c>
      <c r="Z48" t="s">
        <v>24982</v>
      </c>
      <c r="AA48" t="s">
        <v>21826</v>
      </c>
      <c r="AB48" t="s">
        <v>24982</v>
      </c>
      <c r="AC48" t="s">
        <v>21892</v>
      </c>
      <c r="AD48" t="s">
        <v>24982</v>
      </c>
      <c r="AE48" t="s">
        <v>21821</v>
      </c>
      <c r="AF48" t="s">
        <v>24982</v>
      </c>
      <c r="AG48" t="s">
        <v>102</v>
      </c>
      <c r="AJ48" t="s">
        <v>24982</v>
      </c>
      <c r="AK48" t="s">
        <v>102</v>
      </c>
      <c r="AL48" t="s">
        <v>24982</v>
      </c>
      <c r="AM48" t="s">
        <v>24983</v>
      </c>
      <c r="AN48" t="s">
        <v>24983</v>
      </c>
      <c r="AS48" t="s">
        <v>102</v>
      </c>
      <c r="AU48" t="s">
        <v>102</v>
      </c>
      <c r="AV48" t="s">
        <v>119</v>
      </c>
      <c r="AY48" t="s">
        <v>250</v>
      </c>
      <c r="AZ48" t="s">
        <v>120</v>
      </c>
      <c r="BA48" t="s">
        <v>555</v>
      </c>
      <c r="BB48" t="s">
        <v>556</v>
      </c>
      <c r="BC48" t="s">
        <v>122</v>
      </c>
      <c r="BD48" t="s">
        <v>557</v>
      </c>
      <c r="BE48" t="s">
        <v>124</v>
      </c>
      <c r="BF48" t="s">
        <v>21790</v>
      </c>
      <c r="BG48" t="s">
        <v>21667</v>
      </c>
      <c r="BH48" t="s">
        <v>127</v>
      </c>
      <c r="BI48" t="s">
        <v>24984</v>
      </c>
      <c r="BJ48" t="s">
        <v>2436</v>
      </c>
      <c r="BK48" t="s">
        <v>24985</v>
      </c>
      <c r="BL48" t="s">
        <v>23642</v>
      </c>
      <c r="BM48" t="s">
        <v>1142</v>
      </c>
      <c r="BN48" t="s">
        <v>350</v>
      </c>
      <c r="BO48" t="s">
        <v>1143</v>
      </c>
      <c r="BP48" t="s">
        <v>1144</v>
      </c>
      <c r="BQ48" t="s">
        <v>566</v>
      </c>
      <c r="BS48" t="s">
        <v>24986</v>
      </c>
      <c r="BT48" t="s">
        <v>18097</v>
      </c>
      <c r="BU48" t="s">
        <v>138</v>
      </c>
      <c r="BV48" t="s">
        <v>18098</v>
      </c>
      <c r="BW48" t="s">
        <v>18099</v>
      </c>
      <c r="BX48" t="s">
        <v>2442</v>
      </c>
      <c r="BY48" t="s">
        <v>18097</v>
      </c>
      <c r="BZ48" t="s">
        <v>18098</v>
      </c>
      <c r="CA48" t="s">
        <v>18099</v>
      </c>
      <c r="CB48" t="s">
        <v>18097</v>
      </c>
      <c r="CC48" t="s">
        <v>18098</v>
      </c>
      <c r="CD48" t="s">
        <v>18099</v>
      </c>
      <c r="CE48" t="s">
        <v>102</v>
      </c>
      <c r="CF48" t="s">
        <v>13336</v>
      </c>
      <c r="CH48" t="s">
        <v>2447</v>
      </c>
      <c r="CJ48" t="s">
        <v>555</v>
      </c>
      <c r="CK48" t="s">
        <v>556</v>
      </c>
      <c r="CL48" t="s">
        <v>2447</v>
      </c>
      <c r="CM48" t="s">
        <v>2448</v>
      </c>
      <c r="CN48" t="s">
        <v>2446</v>
      </c>
      <c r="CO48" t="s">
        <v>2446</v>
      </c>
    </row>
    <row r="49" spans="1:93" hidden="1">
      <c r="A49" t="s">
        <v>149</v>
      </c>
      <c r="B49">
        <v>20480</v>
      </c>
      <c r="C49" t="s">
        <v>2476</v>
      </c>
      <c r="D49" t="s">
        <v>21661</v>
      </c>
      <c r="E49" t="s">
        <v>13386</v>
      </c>
      <c r="F49" t="s">
        <v>152</v>
      </c>
      <c r="G49" t="s">
        <v>98</v>
      </c>
      <c r="H49" t="s">
        <v>21851</v>
      </c>
      <c r="I49" t="s">
        <v>100</v>
      </c>
      <c r="J49">
        <v>1550010</v>
      </c>
      <c r="K49">
        <v>1550010</v>
      </c>
      <c r="L49">
        <v>0</v>
      </c>
      <c r="M49">
        <v>0</v>
      </c>
      <c r="O49">
        <v>1550010</v>
      </c>
      <c r="P49">
        <v>847</v>
      </c>
      <c r="Q49" t="s">
        <v>2478</v>
      </c>
      <c r="R49">
        <v>0</v>
      </c>
      <c r="S49">
        <v>0</v>
      </c>
      <c r="U49" t="s">
        <v>102</v>
      </c>
      <c r="V49" t="s">
        <v>103</v>
      </c>
      <c r="W49" t="s">
        <v>155</v>
      </c>
      <c r="Y49" t="s">
        <v>12250</v>
      </c>
      <c r="Z49" t="s">
        <v>21852</v>
      </c>
      <c r="AA49" t="s">
        <v>21664</v>
      </c>
      <c r="AB49" t="s">
        <v>21852</v>
      </c>
      <c r="AC49" t="s">
        <v>21762</v>
      </c>
      <c r="AD49" t="s">
        <v>21852</v>
      </c>
      <c r="AE49" t="s">
        <v>21710</v>
      </c>
      <c r="AF49" t="s">
        <v>21852</v>
      </c>
      <c r="AG49" t="s">
        <v>102</v>
      </c>
      <c r="AJ49" t="s">
        <v>21852</v>
      </c>
      <c r="AK49" t="s">
        <v>102</v>
      </c>
      <c r="AL49" t="s">
        <v>21852</v>
      </c>
      <c r="AM49" t="s">
        <v>2487</v>
      </c>
      <c r="AN49" t="s">
        <v>2487</v>
      </c>
      <c r="AS49" t="s">
        <v>102</v>
      </c>
      <c r="AU49" t="s">
        <v>1384</v>
      </c>
      <c r="AV49" t="s">
        <v>119</v>
      </c>
      <c r="AW49" t="s">
        <v>1138</v>
      </c>
      <c r="AX49" t="s">
        <v>118</v>
      </c>
      <c r="AZ49" t="s">
        <v>120</v>
      </c>
      <c r="BA49" t="s">
        <v>555</v>
      </c>
      <c r="BB49" t="s">
        <v>556</v>
      </c>
      <c r="BC49" t="s">
        <v>122</v>
      </c>
      <c r="BD49" t="s">
        <v>557</v>
      </c>
      <c r="BE49" t="s">
        <v>124</v>
      </c>
      <c r="BF49" t="s">
        <v>12250</v>
      </c>
      <c r="BG49" t="s">
        <v>21667</v>
      </c>
      <c r="BH49" t="s">
        <v>127</v>
      </c>
      <c r="BI49" t="s">
        <v>21853</v>
      </c>
      <c r="BJ49" t="s">
        <v>2489</v>
      </c>
      <c r="BK49" t="s">
        <v>21854</v>
      </c>
      <c r="BL49" t="s">
        <v>13386</v>
      </c>
      <c r="BM49" t="s">
        <v>1142</v>
      </c>
      <c r="BN49" t="s">
        <v>180</v>
      </c>
      <c r="BO49" t="s">
        <v>1143</v>
      </c>
      <c r="BP49" t="s">
        <v>1144</v>
      </c>
      <c r="BQ49" t="s">
        <v>566</v>
      </c>
      <c r="BS49" t="s">
        <v>21855</v>
      </c>
      <c r="BT49" t="s">
        <v>2492</v>
      </c>
      <c r="BU49" t="s">
        <v>138</v>
      </c>
      <c r="BV49" t="s">
        <v>2493</v>
      </c>
      <c r="BW49" t="s">
        <v>2494</v>
      </c>
      <c r="BX49" t="s">
        <v>2495</v>
      </c>
      <c r="BY49" t="s">
        <v>2492</v>
      </c>
      <c r="BZ49" t="s">
        <v>2493</v>
      </c>
      <c r="CA49" t="s">
        <v>2494</v>
      </c>
      <c r="CB49" t="s">
        <v>2492</v>
      </c>
      <c r="CC49" t="s">
        <v>2493</v>
      </c>
      <c r="CD49" t="s">
        <v>2494</v>
      </c>
      <c r="CE49" t="s">
        <v>102</v>
      </c>
      <c r="CF49" t="s">
        <v>2476</v>
      </c>
      <c r="CH49" t="s">
        <v>2500</v>
      </c>
      <c r="CJ49" t="s">
        <v>555</v>
      </c>
      <c r="CK49" t="s">
        <v>556</v>
      </c>
      <c r="CL49" t="s">
        <v>2500</v>
      </c>
      <c r="CM49" t="s">
        <v>2501</v>
      </c>
      <c r="CN49" t="s">
        <v>2499</v>
      </c>
      <c r="CO49" t="s">
        <v>2499</v>
      </c>
    </row>
    <row r="50" spans="1:93" hidden="1">
      <c r="A50" t="s">
        <v>149</v>
      </c>
      <c r="B50">
        <v>205449</v>
      </c>
      <c r="C50" t="s">
        <v>2502</v>
      </c>
      <c r="D50" t="s">
        <v>21661</v>
      </c>
      <c r="E50" t="s">
        <v>12875</v>
      </c>
      <c r="F50" t="s">
        <v>3549</v>
      </c>
      <c r="G50" t="s">
        <v>98</v>
      </c>
      <c r="H50" t="s">
        <v>23454</v>
      </c>
      <c r="I50" t="s">
        <v>100</v>
      </c>
      <c r="J50">
        <v>465577</v>
      </c>
      <c r="K50">
        <v>511227</v>
      </c>
      <c r="L50">
        <v>211966</v>
      </c>
      <c r="M50">
        <v>240</v>
      </c>
      <c r="N50" t="s">
        <v>13091</v>
      </c>
      <c r="O50">
        <v>0</v>
      </c>
      <c r="P50">
        <v>0</v>
      </c>
      <c r="R50">
        <v>253611</v>
      </c>
      <c r="S50">
        <v>120</v>
      </c>
      <c r="T50" t="s">
        <v>23455</v>
      </c>
      <c r="U50" t="s">
        <v>102</v>
      </c>
      <c r="V50" t="s">
        <v>103</v>
      </c>
      <c r="W50" t="s">
        <v>155</v>
      </c>
      <c r="Y50" t="s">
        <v>21784</v>
      </c>
      <c r="Z50" t="s">
        <v>23456</v>
      </c>
      <c r="AA50" t="s">
        <v>19143</v>
      </c>
      <c r="AB50" t="s">
        <v>23456</v>
      </c>
      <c r="AC50" t="s">
        <v>21762</v>
      </c>
      <c r="AD50" t="s">
        <v>23456</v>
      </c>
      <c r="AE50" t="s">
        <v>21710</v>
      </c>
      <c r="AF50" t="s">
        <v>23456</v>
      </c>
      <c r="AG50" t="s">
        <v>102</v>
      </c>
      <c r="AJ50" t="s">
        <v>23456</v>
      </c>
      <c r="AK50" t="s">
        <v>102</v>
      </c>
      <c r="AL50" t="s">
        <v>23456</v>
      </c>
      <c r="AM50" t="s">
        <v>23457</v>
      </c>
      <c r="AN50" t="s">
        <v>23458</v>
      </c>
      <c r="AQ50" t="s">
        <v>169</v>
      </c>
      <c r="AR50" t="s">
        <v>169</v>
      </c>
      <c r="AS50" t="s">
        <v>318</v>
      </c>
      <c r="AT50" t="s">
        <v>250</v>
      </c>
      <c r="AU50" t="s">
        <v>102</v>
      </c>
      <c r="AV50" t="s">
        <v>119</v>
      </c>
      <c r="AY50" t="s">
        <v>250</v>
      </c>
      <c r="AZ50" t="s">
        <v>171</v>
      </c>
      <c r="BA50" t="s">
        <v>2327</v>
      </c>
      <c r="BB50" t="s">
        <v>730</v>
      </c>
      <c r="BC50" t="s">
        <v>622</v>
      </c>
      <c r="BD50" t="s">
        <v>730</v>
      </c>
      <c r="BE50" t="s">
        <v>124</v>
      </c>
      <c r="BF50" t="s">
        <v>12250</v>
      </c>
      <c r="BG50" t="s">
        <v>21667</v>
      </c>
      <c r="BH50" t="s">
        <v>127</v>
      </c>
      <c r="BI50" t="s">
        <v>23459</v>
      </c>
      <c r="BJ50" t="s">
        <v>2523</v>
      </c>
      <c r="BK50" t="s">
        <v>23460</v>
      </c>
      <c r="BL50" t="s">
        <v>12875</v>
      </c>
      <c r="BM50" t="s">
        <v>3606</v>
      </c>
      <c r="BN50" t="s">
        <v>350</v>
      </c>
      <c r="BO50" t="s">
        <v>3607</v>
      </c>
      <c r="BP50" t="s">
        <v>3608</v>
      </c>
      <c r="BQ50" t="s">
        <v>2525</v>
      </c>
      <c r="BS50" t="s">
        <v>23461</v>
      </c>
      <c r="BT50" t="s">
        <v>2527</v>
      </c>
      <c r="BU50" t="s">
        <v>598</v>
      </c>
      <c r="BV50" t="s">
        <v>2528</v>
      </c>
      <c r="BW50" t="s">
        <v>13430</v>
      </c>
      <c r="BX50" t="s">
        <v>2530</v>
      </c>
      <c r="BY50" t="s">
        <v>23462</v>
      </c>
      <c r="BZ50" t="s">
        <v>13432</v>
      </c>
      <c r="CA50" t="s">
        <v>13433</v>
      </c>
      <c r="CB50" t="s">
        <v>23463</v>
      </c>
      <c r="CC50" t="s">
        <v>2528</v>
      </c>
      <c r="CD50" t="s">
        <v>13430</v>
      </c>
      <c r="CE50" t="s">
        <v>102</v>
      </c>
      <c r="CF50" t="s">
        <v>2531</v>
      </c>
      <c r="CH50" t="s">
        <v>2532</v>
      </c>
      <c r="CJ50" t="s">
        <v>2327</v>
      </c>
      <c r="CK50" t="s">
        <v>730</v>
      </c>
      <c r="CL50" t="s">
        <v>2532</v>
      </c>
      <c r="CM50" t="s">
        <v>2533</v>
      </c>
      <c r="CN50" t="s">
        <v>2531</v>
      </c>
      <c r="CO50" t="s">
        <v>2531</v>
      </c>
    </row>
    <row r="51" spans="1:93" hidden="1">
      <c r="A51" t="s">
        <v>149</v>
      </c>
      <c r="B51">
        <v>2057359</v>
      </c>
      <c r="C51" t="s">
        <v>2534</v>
      </c>
      <c r="D51" t="s">
        <v>21661</v>
      </c>
      <c r="E51" t="s">
        <v>12975</v>
      </c>
      <c r="F51" t="s">
        <v>643</v>
      </c>
      <c r="G51" t="s">
        <v>98</v>
      </c>
      <c r="H51" t="s">
        <v>21856</v>
      </c>
      <c r="I51" t="s">
        <v>100</v>
      </c>
      <c r="J51">
        <v>1776018</v>
      </c>
      <c r="K51">
        <v>1900758</v>
      </c>
      <c r="L51">
        <v>0</v>
      </c>
      <c r="M51">
        <v>0</v>
      </c>
      <c r="O51">
        <v>1083017</v>
      </c>
      <c r="P51">
        <v>570</v>
      </c>
      <c r="Q51" t="s">
        <v>13436</v>
      </c>
      <c r="R51">
        <v>693001</v>
      </c>
      <c r="S51">
        <v>330</v>
      </c>
      <c r="T51" t="s">
        <v>2987</v>
      </c>
      <c r="U51" t="s">
        <v>102</v>
      </c>
      <c r="V51" t="s">
        <v>103</v>
      </c>
      <c r="W51" t="s">
        <v>104</v>
      </c>
      <c r="Y51" t="s">
        <v>21857</v>
      </c>
      <c r="Z51" t="s">
        <v>21858</v>
      </c>
      <c r="AA51" t="s">
        <v>21859</v>
      </c>
      <c r="AB51" t="s">
        <v>21858</v>
      </c>
      <c r="AC51" t="s">
        <v>109</v>
      </c>
      <c r="AD51" t="s">
        <v>102</v>
      </c>
      <c r="AE51" t="s">
        <v>109</v>
      </c>
      <c r="AF51" t="s">
        <v>102</v>
      </c>
      <c r="AG51" t="s">
        <v>102</v>
      </c>
      <c r="AJ51" t="s">
        <v>21858</v>
      </c>
      <c r="AK51" t="s">
        <v>102</v>
      </c>
      <c r="AL51" t="s">
        <v>21858</v>
      </c>
      <c r="AM51" t="s">
        <v>21860</v>
      </c>
      <c r="AN51" t="s">
        <v>21861</v>
      </c>
      <c r="AR51" t="s">
        <v>169</v>
      </c>
      <c r="AS51" t="s">
        <v>102</v>
      </c>
      <c r="AU51" t="s">
        <v>1103</v>
      </c>
      <c r="AV51" t="s">
        <v>249</v>
      </c>
      <c r="AW51" t="s">
        <v>170</v>
      </c>
      <c r="AX51" t="s">
        <v>118</v>
      </c>
      <c r="AY51" t="s">
        <v>250</v>
      </c>
      <c r="AZ51" t="s">
        <v>120</v>
      </c>
      <c r="BA51" t="s">
        <v>2542</v>
      </c>
      <c r="BB51" t="s">
        <v>2543</v>
      </c>
      <c r="BC51" t="s">
        <v>122</v>
      </c>
      <c r="BD51" t="s">
        <v>557</v>
      </c>
      <c r="BE51" t="s">
        <v>124</v>
      </c>
      <c r="BF51" t="s">
        <v>12250</v>
      </c>
      <c r="BG51" t="s">
        <v>21667</v>
      </c>
      <c r="BH51" t="s">
        <v>127</v>
      </c>
      <c r="BI51" t="s">
        <v>21862</v>
      </c>
      <c r="BJ51" t="s">
        <v>2545</v>
      </c>
      <c r="BK51" t="s">
        <v>21863</v>
      </c>
      <c r="BL51" t="s">
        <v>12975</v>
      </c>
      <c r="BM51" t="s">
        <v>12743</v>
      </c>
      <c r="BN51" t="s">
        <v>350</v>
      </c>
      <c r="BO51" t="s">
        <v>12744</v>
      </c>
      <c r="BP51" t="s">
        <v>12745</v>
      </c>
      <c r="BQ51" t="s">
        <v>1075</v>
      </c>
      <c r="BS51" t="s">
        <v>21864</v>
      </c>
      <c r="BT51" t="s">
        <v>13447</v>
      </c>
      <c r="BU51" t="s">
        <v>4416</v>
      </c>
      <c r="BV51" t="s">
        <v>13448</v>
      </c>
      <c r="BW51" t="s">
        <v>13449</v>
      </c>
      <c r="BX51" t="s">
        <v>2554</v>
      </c>
      <c r="BY51" t="s">
        <v>21865</v>
      </c>
      <c r="BZ51" t="s">
        <v>2554</v>
      </c>
      <c r="CA51" t="s">
        <v>21866</v>
      </c>
      <c r="CB51" t="s">
        <v>21867</v>
      </c>
      <c r="CC51" t="s">
        <v>21868</v>
      </c>
      <c r="CD51" t="s">
        <v>21866</v>
      </c>
      <c r="CE51" t="s">
        <v>2555</v>
      </c>
      <c r="CF51" t="s">
        <v>13454</v>
      </c>
      <c r="CH51" t="s">
        <v>2557</v>
      </c>
      <c r="CI51" t="s">
        <v>2556</v>
      </c>
      <c r="CJ51" t="s">
        <v>2542</v>
      </c>
      <c r="CK51" t="s">
        <v>2543</v>
      </c>
      <c r="CL51" t="s">
        <v>2557</v>
      </c>
      <c r="CM51" t="s">
        <v>2558</v>
      </c>
      <c r="CN51" t="s">
        <v>2556</v>
      </c>
      <c r="CO51" t="s">
        <v>2556</v>
      </c>
    </row>
    <row r="52" spans="1:93" hidden="1">
      <c r="A52" t="s">
        <v>93</v>
      </c>
      <c r="B52">
        <v>207818</v>
      </c>
      <c r="C52" t="s">
        <v>13508</v>
      </c>
      <c r="D52" t="s">
        <v>21661</v>
      </c>
      <c r="E52" t="s">
        <v>12716</v>
      </c>
      <c r="F52" t="s">
        <v>97</v>
      </c>
      <c r="G52" t="s">
        <v>98</v>
      </c>
      <c r="H52" t="s">
        <v>21869</v>
      </c>
      <c r="I52" t="s">
        <v>100</v>
      </c>
      <c r="J52">
        <v>297750</v>
      </c>
      <c r="K52">
        <v>297750</v>
      </c>
      <c r="L52">
        <v>297750</v>
      </c>
      <c r="M52">
        <v>397</v>
      </c>
      <c r="N52" t="s">
        <v>101</v>
      </c>
      <c r="O52">
        <v>0</v>
      </c>
      <c r="P52">
        <v>0</v>
      </c>
      <c r="R52">
        <v>0</v>
      </c>
      <c r="S52">
        <v>0</v>
      </c>
      <c r="U52" t="s">
        <v>102</v>
      </c>
      <c r="V52" t="s">
        <v>103</v>
      </c>
      <c r="W52" t="s">
        <v>398</v>
      </c>
      <c r="Y52" t="s">
        <v>21870</v>
      </c>
      <c r="Z52" t="s">
        <v>21871</v>
      </c>
      <c r="AA52" t="s">
        <v>21872</v>
      </c>
      <c r="AB52" t="s">
        <v>21873</v>
      </c>
      <c r="AC52" t="s">
        <v>21874</v>
      </c>
      <c r="AD52" t="s">
        <v>21873</v>
      </c>
      <c r="AE52" t="s">
        <v>109</v>
      </c>
      <c r="AF52" t="s">
        <v>102</v>
      </c>
      <c r="AG52" t="s">
        <v>102</v>
      </c>
      <c r="AJ52" t="s">
        <v>102</v>
      </c>
      <c r="AK52" t="s">
        <v>102</v>
      </c>
      <c r="AL52" t="s">
        <v>102</v>
      </c>
      <c r="AM52" t="s">
        <v>116</v>
      </c>
      <c r="AN52" t="s">
        <v>116</v>
      </c>
      <c r="AS52" t="s">
        <v>117</v>
      </c>
      <c r="AT52" t="s">
        <v>118</v>
      </c>
      <c r="AU52" t="s">
        <v>102</v>
      </c>
      <c r="AV52" t="s">
        <v>119</v>
      </c>
      <c r="AZ52" t="s">
        <v>120</v>
      </c>
      <c r="BA52" t="s">
        <v>13515</v>
      </c>
      <c r="BB52" t="s">
        <v>410</v>
      </c>
      <c r="BC52" t="s">
        <v>212</v>
      </c>
      <c r="BD52" t="s">
        <v>410</v>
      </c>
      <c r="BE52" t="s">
        <v>124</v>
      </c>
      <c r="BF52" t="s">
        <v>19143</v>
      </c>
      <c r="BG52" t="s">
        <v>21667</v>
      </c>
      <c r="BH52" t="s">
        <v>127</v>
      </c>
      <c r="BI52" t="s">
        <v>21875</v>
      </c>
      <c r="BJ52" t="s">
        <v>13517</v>
      </c>
      <c r="BK52" t="s">
        <v>21876</v>
      </c>
      <c r="BL52" t="s">
        <v>12716</v>
      </c>
      <c r="BM52" t="s">
        <v>896</v>
      </c>
      <c r="BN52" t="s">
        <v>132</v>
      </c>
      <c r="BO52" t="s">
        <v>897</v>
      </c>
      <c r="BP52" t="s">
        <v>898</v>
      </c>
      <c r="BQ52" t="s">
        <v>899</v>
      </c>
      <c r="BS52" t="s">
        <v>21877</v>
      </c>
      <c r="BT52" t="s">
        <v>13520</v>
      </c>
      <c r="BU52" t="s">
        <v>138</v>
      </c>
      <c r="BV52" t="s">
        <v>13521</v>
      </c>
      <c r="BW52" t="s">
        <v>13522</v>
      </c>
      <c r="BX52" t="s">
        <v>13521</v>
      </c>
      <c r="BY52" t="s">
        <v>13520</v>
      </c>
      <c r="BZ52" t="s">
        <v>13521</v>
      </c>
      <c r="CA52" t="s">
        <v>13522</v>
      </c>
      <c r="CB52" t="s">
        <v>13520</v>
      </c>
      <c r="CC52" t="s">
        <v>13521</v>
      </c>
      <c r="CD52" t="s">
        <v>13522</v>
      </c>
      <c r="CE52" t="s">
        <v>2270</v>
      </c>
      <c r="CF52" t="s">
        <v>13524</v>
      </c>
      <c r="CH52" t="s">
        <v>13525</v>
      </c>
      <c r="CI52" t="s">
        <v>13524</v>
      </c>
      <c r="CJ52" t="s">
        <v>13515</v>
      </c>
      <c r="CK52" t="s">
        <v>410</v>
      </c>
      <c r="CL52" t="s">
        <v>13525</v>
      </c>
      <c r="CM52" t="s">
        <v>23464</v>
      </c>
      <c r="CN52" t="s">
        <v>13526</v>
      </c>
      <c r="CO52" t="s">
        <v>13526</v>
      </c>
    </row>
    <row r="53" spans="1:93" hidden="1">
      <c r="A53" t="s">
        <v>149</v>
      </c>
      <c r="B53">
        <v>226552</v>
      </c>
      <c r="C53" t="s">
        <v>2906</v>
      </c>
      <c r="D53" t="s">
        <v>21661</v>
      </c>
      <c r="E53" t="s">
        <v>13662</v>
      </c>
      <c r="F53" t="s">
        <v>193</v>
      </c>
      <c r="G53" t="s">
        <v>98</v>
      </c>
      <c r="H53" t="s">
        <v>26092</v>
      </c>
      <c r="I53" t="s">
        <v>100</v>
      </c>
      <c r="J53">
        <v>536715</v>
      </c>
      <c r="K53">
        <v>592253</v>
      </c>
      <c r="L53">
        <v>228171</v>
      </c>
      <c r="M53">
        <v>235</v>
      </c>
      <c r="N53" t="s">
        <v>13650</v>
      </c>
      <c r="O53">
        <v>0</v>
      </c>
      <c r="P53">
        <v>0</v>
      </c>
      <c r="R53">
        <v>308544</v>
      </c>
      <c r="S53">
        <v>116</v>
      </c>
      <c r="T53" t="s">
        <v>13651</v>
      </c>
      <c r="U53" t="s">
        <v>102</v>
      </c>
      <c r="V53" t="s">
        <v>103</v>
      </c>
      <c r="W53" t="s">
        <v>155</v>
      </c>
      <c r="Y53" t="s">
        <v>21805</v>
      </c>
      <c r="Z53" t="s">
        <v>26093</v>
      </c>
      <c r="AA53" t="s">
        <v>21664</v>
      </c>
      <c r="AB53" t="s">
        <v>26093</v>
      </c>
      <c r="AC53" t="s">
        <v>21665</v>
      </c>
      <c r="AD53" t="s">
        <v>26093</v>
      </c>
      <c r="AE53" t="s">
        <v>21710</v>
      </c>
      <c r="AF53" t="s">
        <v>26093</v>
      </c>
      <c r="AG53" t="s">
        <v>102</v>
      </c>
      <c r="AJ53" t="s">
        <v>102</v>
      </c>
      <c r="AK53" t="s">
        <v>102</v>
      </c>
      <c r="AL53" t="s">
        <v>102</v>
      </c>
      <c r="AM53" t="s">
        <v>26094</v>
      </c>
      <c r="AN53" t="s">
        <v>26094</v>
      </c>
      <c r="AS53" t="s">
        <v>207</v>
      </c>
      <c r="AT53" t="s">
        <v>118</v>
      </c>
      <c r="AU53" t="s">
        <v>102</v>
      </c>
      <c r="AV53" t="s">
        <v>119</v>
      </c>
      <c r="AY53" t="s">
        <v>250</v>
      </c>
      <c r="AZ53" t="s">
        <v>120</v>
      </c>
      <c r="BA53" t="s">
        <v>2204</v>
      </c>
      <c r="BB53" t="s">
        <v>121</v>
      </c>
      <c r="BC53" t="s">
        <v>122</v>
      </c>
      <c r="BD53" t="s">
        <v>123</v>
      </c>
      <c r="BE53" t="s">
        <v>124</v>
      </c>
      <c r="BF53" t="s">
        <v>25846</v>
      </c>
      <c r="BG53" t="s">
        <v>25847</v>
      </c>
      <c r="BH53" t="s">
        <v>127</v>
      </c>
      <c r="BI53" t="s">
        <v>26095</v>
      </c>
      <c r="BJ53" t="s">
        <v>2925</v>
      </c>
      <c r="BK53" t="s">
        <v>26096</v>
      </c>
      <c r="BL53" t="s">
        <v>13662</v>
      </c>
      <c r="BM53" t="s">
        <v>3267</v>
      </c>
      <c r="BN53" t="s">
        <v>350</v>
      </c>
      <c r="BO53" t="s">
        <v>3268</v>
      </c>
      <c r="BP53" t="s">
        <v>3269</v>
      </c>
      <c r="BQ53" t="s">
        <v>135</v>
      </c>
      <c r="BS53" t="s">
        <v>26097</v>
      </c>
      <c r="BT53" t="s">
        <v>25851</v>
      </c>
      <c r="BU53" t="s">
        <v>296</v>
      </c>
      <c r="BV53" t="s">
        <v>25852</v>
      </c>
      <c r="BW53" t="s">
        <v>25853</v>
      </c>
      <c r="BX53" t="s">
        <v>2935</v>
      </c>
      <c r="BY53" t="s">
        <v>26098</v>
      </c>
      <c r="BZ53" t="s">
        <v>13667</v>
      </c>
      <c r="CA53" t="s">
        <v>25853</v>
      </c>
      <c r="CB53" t="s">
        <v>26099</v>
      </c>
      <c r="CC53" t="s">
        <v>26100</v>
      </c>
      <c r="CD53" t="s">
        <v>26101</v>
      </c>
      <c r="CE53" t="s">
        <v>102</v>
      </c>
      <c r="CF53" t="s">
        <v>13668</v>
      </c>
      <c r="CH53" t="s">
        <v>2942</v>
      </c>
      <c r="CJ53" t="s">
        <v>2204</v>
      </c>
      <c r="CK53" t="s">
        <v>121</v>
      </c>
      <c r="CL53" t="s">
        <v>2942</v>
      </c>
      <c r="CM53" t="s">
        <v>3178</v>
      </c>
      <c r="CN53" t="s">
        <v>2941</v>
      </c>
      <c r="CO53" t="s">
        <v>2941</v>
      </c>
    </row>
    <row r="54" spans="1:93">
      <c r="A54" t="s">
        <v>337</v>
      </c>
      <c r="B54">
        <v>2271541</v>
      </c>
      <c r="C54" t="s">
        <v>24987</v>
      </c>
      <c r="D54" t="s">
        <v>21661</v>
      </c>
      <c r="E54" t="s">
        <v>15028</v>
      </c>
      <c r="F54" t="s">
        <v>848</v>
      </c>
      <c r="G54" t="s">
        <v>98</v>
      </c>
      <c r="H54" t="s">
        <v>24988</v>
      </c>
      <c r="I54" t="s">
        <v>100</v>
      </c>
      <c r="J54">
        <v>519791</v>
      </c>
      <c r="K54">
        <v>613353</v>
      </c>
      <c r="L54">
        <v>0</v>
      </c>
      <c r="M54">
        <v>0</v>
      </c>
      <c r="O54">
        <v>0</v>
      </c>
      <c r="P54">
        <v>0</v>
      </c>
      <c r="R54">
        <v>519791</v>
      </c>
      <c r="S54">
        <v>1022</v>
      </c>
      <c r="T54" t="s">
        <v>196</v>
      </c>
      <c r="U54" t="s">
        <v>102</v>
      </c>
      <c r="V54" t="s">
        <v>103</v>
      </c>
      <c r="W54" t="s">
        <v>104</v>
      </c>
      <c r="Y54" t="s">
        <v>22459</v>
      </c>
      <c r="Z54" t="s">
        <v>24989</v>
      </c>
      <c r="AA54" t="s">
        <v>21828</v>
      </c>
      <c r="AB54" t="s">
        <v>24989</v>
      </c>
      <c r="AC54" t="s">
        <v>109</v>
      </c>
      <c r="AD54" t="s">
        <v>102</v>
      </c>
      <c r="AE54" t="s">
        <v>109</v>
      </c>
      <c r="AF54" t="s">
        <v>102</v>
      </c>
      <c r="AG54" t="s">
        <v>102</v>
      </c>
      <c r="AH54" t="s">
        <v>20476</v>
      </c>
      <c r="AI54" t="s">
        <v>20476</v>
      </c>
      <c r="AJ54" t="s">
        <v>102</v>
      </c>
      <c r="AK54" t="s">
        <v>13597</v>
      </c>
      <c r="AL54" t="s">
        <v>24990</v>
      </c>
      <c r="AM54" t="s">
        <v>20895</v>
      </c>
      <c r="AN54" t="s">
        <v>20895</v>
      </c>
      <c r="AS54" t="s">
        <v>102</v>
      </c>
      <c r="AU54" t="s">
        <v>102</v>
      </c>
      <c r="AV54" t="s">
        <v>119</v>
      </c>
      <c r="AY54" t="s">
        <v>250</v>
      </c>
      <c r="AZ54" t="s">
        <v>120</v>
      </c>
      <c r="BA54" t="s">
        <v>24991</v>
      </c>
      <c r="BB54" t="s">
        <v>376</v>
      </c>
      <c r="BC54" t="s">
        <v>174</v>
      </c>
      <c r="BD54" t="s">
        <v>376</v>
      </c>
      <c r="BE54" t="s">
        <v>124</v>
      </c>
      <c r="BF54" t="s">
        <v>12250</v>
      </c>
      <c r="BG54" t="s">
        <v>21667</v>
      </c>
      <c r="BH54" t="s">
        <v>127</v>
      </c>
      <c r="BI54" t="s">
        <v>24992</v>
      </c>
      <c r="BJ54" t="s">
        <v>24993</v>
      </c>
      <c r="BK54" t="s">
        <v>24994</v>
      </c>
      <c r="BL54" t="s">
        <v>15028</v>
      </c>
      <c r="BM54" t="s">
        <v>13780</v>
      </c>
      <c r="BN54" t="s">
        <v>180</v>
      </c>
      <c r="BO54" t="s">
        <v>13781</v>
      </c>
      <c r="BP54" t="s">
        <v>13782</v>
      </c>
      <c r="BQ54" t="s">
        <v>13783</v>
      </c>
      <c r="BS54" t="s">
        <v>24995</v>
      </c>
      <c r="BT54" t="s">
        <v>24996</v>
      </c>
      <c r="BU54" t="s">
        <v>138</v>
      </c>
      <c r="BV54" t="s">
        <v>24997</v>
      </c>
      <c r="BW54" t="s">
        <v>24998</v>
      </c>
      <c r="BX54" t="s">
        <v>24999</v>
      </c>
      <c r="BY54" t="s">
        <v>25000</v>
      </c>
      <c r="BZ54" t="s">
        <v>24997</v>
      </c>
      <c r="CA54" t="s">
        <v>24998</v>
      </c>
      <c r="CB54" t="s">
        <v>25000</v>
      </c>
      <c r="CC54" t="s">
        <v>24997</v>
      </c>
      <c r="CD54" t="s">
        <v>24998</v>
      </c>
      <c r="CE54" t="s">
        <v>358</v>
      </c>
      <c r="CF54" t="s">
        <v>25001</v>
      </c>
      <c r="CH54" t="s">
        <v>25002</v>
      </c>
      <c r="CI54" t="s">
        <v>25003</v>
      </c>
      <c r="CJ54" t="s">
        <v>24991</v>
      </c>
      <c r="CK54" t="s">
        <v>376</v>
      </c>
      <c r="CL54" t="s">
        <v>25002</v>
      </c>
      <c r="CN54" t="s">
        <v>25004</v>
      </c>
      <c r="CO54" t="s">
        <v>25004</v>
      </c>
    </row>
    <row r="55" spans="1:93">
      <c r="A55" t="s">
        <v>337</v>
      </c>
      <c r="B55">
        <v>2271943</v>
      </c>
      <c r="C55" t="s">
        <v>25005</v>
      </c>
      <c r="D55" t="s">
        <v>21661</v>
      </c>
      <c r="E55" t="s">
        <v>15028</v>
      </c>
      <c r="F55" t="s">
        <v>848</v>
      </c>
      <c r="G55" t="s">
        <v>98</v>
      </c>
      <c r="H55" t="s">
        <v>25006</v>
      </c>
      <c r="I55" t="s">
        <v>100</v>
      </c>
      <c r="J55">
        <v>342798</v>
      </c>
      <c r="K55">
        <v>404502</v>
      </c>
      <c r="L55">
        <v>0</v>
      </c>
      <c r="M55">
        <v>0</v>
      </c>
      <c r="O55">
        <v>0</v>
      </c>
      <c r="P55">
        <v>0</v>
      </c>
      <c r="R55">
        <v>342798</v>
      </c>
      <c r="S55">
        <v>674</v>
      </c>
      <c r="T55" t="s">
        <v>196</v>
      </c>
      <c r="U55" t="s">
        <v>102</v>
      </c>
      <c r="V55" t="s">
        <v>103</v>
      </c>
      <c r="W55" t="s">
        <v>104</v>
      </c>
      <c r="Y55" t="s">
        <v>22459</v>
      </c>
      <c r="Z55" t="s">
        <v>25007</v>
      </c>
      <c r="AA55" t="s">
        <v>21828</v>
      </c>
      <c r="AB55" t="s">
        <v>25007</v>
      </c>
      <c r="AC55" t="s">
        <v>109</v>
      </c>
      <c r="AD55" t="s">
        <v>102</v>
      </c>
      <c r="AE55" t="s">
        <v>109</v>
      </c>
      <c r="AF55" t="s">
        <v>102</v>
      </c>
      <c r="AG55" t="s">
        <v>102</v>
      </c>
      <c r="AH55" t="s">
        <v>13662</v>
      </c>
      <c r="AI55" t="s">
        <v>13662</v>
      </c>
      <c r="AJ55" t="s">
        <v>102</v>
      </c>
      <c r="AK55" t="s">
        <v>13597</v>
      </c>
      <c r="AL55" t="s">
        <v>24990</v>
      </c>
      <c r="AM55" t="s">
        <v>20895</v>
      </c>
      <c r="AN55" t="s">
        <v>20895</v>
      </c>
      <c r="AS55" t="s">
        <v>102</v>
      </c>
      <c r="AU55" t="s">
        <v>102</v>
      </c>
      <c r="AV55" t="s">
        <v>119</v>
      </c>
      <c r="AY55" t="s">
        <v>250</v>
      </c>
      <c r="AZ55" t="s">
        <v>120</v>
      </c>
      <c r="BA55" t="s">
        <v>19577</v>
      </c>
      <c r="BB55" t="s">
        <v>376</v>
      </c>
      <c r="BC55" t="s">
        <v>174</v>
      </c>
      <c r="BD55" t="s">
        <v>376</v>
      </c>
      <c r="BE55" t="s">
        <v>124</v>
      </c>
      <c r="BF55" t="s">
        <v>12250</v>
      </c>
      <c r="BG55" t="s">
        <v>21667</v>
      </c>
      <c r="BH55" t="s">
        <v>127</v>
      </c>
      <c r="BI55" t="s">
        <v>25008</v>
      </c>
      <c r="BJ55" t="s">
        <v>25009</v>
      </c>
      <c r="BK55" t="s">
        <v>25010</v>
      </c>
      <c r="BL55" t="s">
        <v>15028</v>
      </c>
      <c r="BM55" t="s">
        <v>13780</v>
      </c>
      <c r="BN55" t="s">
        <v>180</v>
      </c>
      <c r="BO55" t="s">
        <v>13781</v>
      </c>
      <c r="BP55" t="s">
        <v>13782</v>
      </c>
      <c r="BQ55" t="s">
        <v>13783</v>
      </c>
      <c r="BR55" t="s">
        <v>13612</v>
      </c>
      <c r="BS55" t="s">
        <v>25011</v>
      </c>
      <c r="BT55" t="s">
        <v>25012</v>
      </c>
      <c r="BU55" t="s">
        <v>138</v>
      </c>
      <c r="BV55" t="s">
        <v>25013</v>
      </c>
      <c r="BW55" t="s">
        <v>25014</v>
      </c>
      <c r="BX55" t="s">
        <v>25013</v>
      </c>
      <c r="BY55" t="s">
        <v>25015</v>
      </c>
      <c r="BZ55" t="s">
        <v>25016</v>
      </c>
      <c r="CA55" t="s">
        <v>25014</v>
      </c>
      <c r="CB55" t="s">
        <v>25015</v>
      </c>
      <c r="CC55" t="s">
        <v>25016</v>
      </c>
      <c r="CD55" t="s">
        <v>25014</v>
      </c>
      <c r="CE55" t="s">
        <v>6370</v>
      </c>
      <c r="CF55" t="s">
        <v>25017</v>
      </c>
      <c r="CH55" t="s">
        <v>25018</v>
      </c>
      <c r="CI55" t="s">
        <v>25019</v>
      </c>
      <c r="CJ55" t="s">
        <v>19577</v>
      </c>
      <c r="CK55" t="s">
        <v>376</v>
      </c>
      <c r="CL55" t="s">
        <v>25018</v>
      </c>
      <c r="CN55" t="s">
        <v>25020</v>
      </c>
      <c r="CO55" t="s">
        <v>25020</v>
      </c>
    </row>
    <row r="56" spans="1:93" hidden="1">
      <c r="A56" t="s">
        <v>149</v>
      </c>
      <c r="B56">
        <v>2282758</v>
      </c>
      <c r="C56" t="s">
        <v>2943</v>
      </c>
      <c r="D56" t="s">
        <v>21661</v>
      </c>
      <c r="E56" t="s">
        <v>24156</v>
      </c>
      <c r="F56" t="s">
        <v>675</v>
      </c>
      <c r="G56" t="s">
        <v>98</v>
      </c>
      <c r="H56" t="s">
        <v>24157</v>
      </c>
      <c r="I56" t="s">
        <v>100</v>
      </c>
      <c r="J56">
        <v>1825632</v>
      </c>
      <c r="K56">
        <v>1825632</v>
      </c>
      <c r="L56">
        <v>1192464</v>
      </c>
      <c r="M56">
        <v>997</v>
      </c>
      <c r="N56" t="s">
        <v>24158</v>
      </c>
      <c r="O56">
        <v>633168</v>
      </c>
      <c r="P56">
        <v>287</v>
      </c>
      <c r="Q56" t="s">
        <v>13669</v>
      </c>
      <c r="R56">
        <v>0</v>
      </c>
      <c r="S56">
        <v>0</v>
      </c>
      <c r="U56" t="s">
        <v>102</v>
      </c>
      <c r="V56" t="s">
        <v>103</v>
      </c>
      <c r="W56" t="s">
        <v>155</v>
      </c>
      <c r="Y56" t="s">
        <v>12250</v>
      </c>
      <c r="Z56" t="s">
        <v>24159</v>
      </c>
      <c r="AA56" t="s">
        <v>21664</v>
      </c>
      <c r="AB56" t="s">
        <v>24159</v>
      </c>
      <c r="AC56" t="s">
        <v>21762</v>
      </c>
      <c r="AD56" t="s">
        <v>24159</v>
      </c>
      <c r="AE56" t="s">
        <v>21710</v>
      </c>
      <c r="AF56" t="s">
        <v>24159</v>
      </c>
      <c r="AG56" t="s">
        <v>102</v>
      </c>
      <c r="AJ56" t="s">
        <v>24159</v>
      </c>
      <c r="AK56" t="s">
        <v>102</v>
      </c>
      <c r="AL56" t="s">
        <v>24159</v>
      </c>
      <c r="AM56" t="s">
        <v>13679</v>
      </c>
      <c r="AN56" t="s">
        <v>13679</v>
      </c>
      <c r="AS56" t="s">
        <v>207</v>
      </c>
      <c r="AT56" t="s">
        <v>118</v>
      </c>
      <c r="AU56" t="s">
        <v>655</v>
      </c>
      <c r="AV56" t="s">
        <v>119</v>
      </c>
      <c r="AW56" t="s">
        <v>1138</v>
      </c>
      <c r="AX56" t="s">
        <v>118</v>
      </c>
      <c r="AZ56" t="s">
        <v>120</v>
      </c>
      <c r="BA56" t="s">
        <v>2955</v>
      </c>
      <c r="BB56" t="s">
        <v>449</v>
      </c>
      <c r="BC56" t="s">
        <v>122</v>
      </c>
      <c r="BD56" t="s">
        <v>253</v>
      </c>
      <c r="BE56" t="s">
        <v>124</v>
      </c>
      <c r="BF56" t="s">
        <v>12250</v>
      </c>
      <c r="BG56" t="s">
        <v>21667</v>
      </c>
      <c r="BH56" t="s">
        <v>127</v>
      </c>
      <c r="BI56" t="s">
        <v>24160</v>
      </c>
      <c r="BJ56" t="s">
        <v>2957</v>
      </c>
      <c r="BK56" t="s">
        <v>24161</v>
      </c>
      <c r="BL56" t="s">
        <v>24156</v>
      </c>
      <c r="BM56" t="s">
        <v>1142</v>
      </c>
      <c r="BN56" t="s">
        <v>350</v>
      </c>
      <c r="BO56" t="s">
        <v>1143</v>
      </c>
      <c r="BP56" t="s">
        <v>1144</v>
      </c>
      <c r="BQ56" t="s">
        <v>566</v>
      </c>
      <c r="BS56" t="s">
        <v>24162</v>
      </c>
      <c r="BT56" t="s">
        <v>24163</v>
      </c>
      <c r="BU56" t="s">
        <v>3121</v>
      </c>
      <c r="BV56" t="s">
        <v>24164</v>
      </c>
      <c r="BW56" t="s">
        <v>2962</v>
      </c>
      <c r="BX56" t="s">
        <v>2961</v>
      </c>
      <c r="BY56" t="s">
        <v>24163</v>
      </c>
      <c r="BZ56" t="s">
        <v>24164</v>
      </c>
      <c r="CA56" t="s">
        <v>2962</v>
      </c>
      <c r="CB56" t="s">
        <v>24163</v>
      </c>
      <c r="CC56" t="s">
        <v>24164</v>
      </c>
      <c r="CD56" t="s">
        <v>2962</v>
      </c>
      <c r="CE56" t="s">
        <v>102</v>
      </c>
      <c r="CF56" t="s">
        <v>13684</v>
      </c>
      <c r="CH56" t="s">
        <v>2964</v>
      </c>
      <c r="CJ56" t="s">
        <v>2955</v>
      </c>
      <c r="CK56" t="s">
        <v>449</v>
      </c>
      <c r="CL56" t="s">
        <v>2964</v>
      </c>
      <c r="CM56" t="s">
        <v>2965</v>
      </c>
      <c r="CN56" t="s">
        <v>2963</v>
      </c>
      <c r="CO56" t="s">
        <v>2963</v>
      </c>
    </row>
    <row r="57" spans="1:93" hidden="1">
      <c r="A57" t="s">
        <v>149</v>
      </c>
      <c r="B57">
        <v>2291851</v>
      </c>
      <c r="C57" t="s">
        <v>24165</v>
      </c>
      <c r="D57" t="s">
        <v>21661</v>
      </c>
      <c r="E57" t="s">
        <v>11889</v>
      </c>
      <c r="F57" t="s">
        <v>675</v>
      </c>
      <c r="G57" t="s">
        <v>98</v>
      </c>
      <c r="H57" t="s">
        <v>24166</v>
      </c>
      <c r="I57" t="s">
        <v>100</v>
      </c>
      <c r="J57">
        <v>2455448</v>
      </c>
      <c r="K57">
        <v>2455448</v>
      </c>
      <c r="L57">
        <v>695520</v>
      </c>
      <c r="M57">
        <v>1008</v>
      </c>
      <c r="N57" t="s">
        <v>17475</v>
      </c>
      <c r="O57">
        <v>1759928</v>
      </c>
      <c r="P57">
        <v>1358</v>
      </c>
      <c r="Q57" t="s">
        <v>24167</v>
      </c>
      <c r="R57">
        <v>0</v>
      </c>
      <c r="S57">
        <v>0</v>
      </c>
      <c r="U57" t="s">
        <v>102</v>
      </c>
      <c r="V57" t="s">
        <v>275</v>
      </c>
      <c r="X57" t="s">
        <v>24168</v>
      </c>
      <c r="Y57" t="s">
        <v>109</v>
      </c>
      <c r="Z57" t="s">
        <v>102</v>
      </c>
      <c r="AA57" t="s">
        <v>109</v>
      </c>
      <c r="AB57" t="s">
        <v>102</v>
      </c>
      <c r="AC57" t="s">
        <v>109</v>
      </c>
      <c r="AD57" t="s">
        <v>102</v>
      </c>
      <c r="AE57" t="s">
        <v>109</v>
      </c>
      <c r="AF57" t="s">
        <v>102</v>
      </c>
      <c r="AG57" t="s">
        <v>102</v>
      </c>
      <c r="AJ57" t="s">
        <v>26413</v>
      </c>
      <c r="AK57" t="s">
        <v>102</v>
      </c>
      <c r="AL57" t="s">
        <v>26413</v>
      </c>
      <c r="AM57" t="s">
        <v>24169</v>
      </c>
      <c r="AN57" t="s">
        <v>24170</v>
      </c>
      <c r="AO57" t="s">
        <v>102</v>
      </c>
      <c r="AP57" t="s">
        <v>2760</v>
      </c>
      <c r="AQ57" t="s">
        <v>102</v>
      </c>
      <c r="AR57" t="s">
        <v>2760</v>
      </c>
      <c r="AS57" t="s">
        <v>247</v>
      </c>
      <c r="AT57" t="s">
        <v>118</v>
      </c>
      <c r="AU57" t="s">
        <v>5675</v>
      </c>
      <c r="AV57" t="s">
        <v>249</v>
      </c>
      <c r="AW57" t="s">
        <v>170</v>
      </c>
      <c r="AX57" t="s">
        <v>118</v>
      </c>
      <c r="AZ57" t="s">
        <v>209</v>
      </c>
      <c r="BA57" t="s">
        <v>2327</v>
      </c>
      <c r="BB57" t="s">
        <v>730</v>
      </c>
      <c r="BC57" t="s">
        <v>622</v>
      </c>
      <c r="BD57" t="s">
        <v>730</v>
      </c>
      <c r="BE57" t="s">
        <v>124</v>
      </c>
      <c r="BF57" t="s">
        <v>12250</v>
      </c>
      <c r="BG57" t="s">
        <v>21667</v>
      </c>
      <c r="BH57" t="s">
        <v>127</v>
      </c>
      <c r="BI57" t="s">
        <v>24171</v>
      </c>
      <c r="BJ57" t="s">
        <v>2995</v>
      </c>
      <c r="BK57" t="s">
        <v>24172</v>
      </c>
      <c r="BL57" t="s">
        <v>11889</v>
      </c>
      <c r="BM57" t="s">
        <v>3606</v>
      </c>
      <c r="BN57" t="s">
        <v>350</v>
      </c>
      <c r="BO57" t="s">
        <v>3607</v>
      </c>
      <c r="BP57" t="s">
        <v>3608</v>
      </c>
      <c r="BQ57" t="s">
        <v>2525</v>
      </c>
      <c r="BS57" t="s">
        <v>24173</v>
      </c>
      <c r="BT57" t="s">
        <v>2998</v>
      </c>
      <c r="BU57" t="s">
        <v>296</v>
      </c>
      <c r="BV57" t="s">
        <v>13707</v>
      </c>
      <c r="BW57" t="s">
        <v>3000</v>
      </c>
      <c r="BY57" t="s">
        <v>24174</v>
      </c>
      <c r="BZ57" t="s">
        <v>24175</v>
      </c>
      <c r="CA57" t="s">
        <v>3000</v>
      </c>
      <c r="CB57" t="s">
        <v>24176</v>
      </c>
      <c r="CC57" t="s">
        <v>13707</v>
      </c>
      <c r="CD57" t="s">
        <v>3000</v>
      </c>
      <c r="CE57" t="s">
        <v>102</v>
      </c>
      <c r="CF57" t="s">
        <v>13708</v>
      </c>
      <c r="CH57" t="s">
        <v>2272</v>
      </c>
      <c r="CJ57" t="s">
        <v>2327</v>
      </c>
      <c r="CK57" t="s">
        <v>730</v>
      </c>
      <c r="CL57" t="s">
        <v>2272</v>
      </c>
      <c r="CN57" t="s">
        <v>3001</v>
      </c>
      <c r="CO57" t="s">
        <v>3001</v>
      </c>
    </row>
    <row r="58" spans="1:93" hidden="1">
      <c r="A58" t="s">
        <v>149</v>
      </c>
      <c r="B58">
        <v>22983</v>
      </c>
      <c r="C58" t="s">
        <v>3002</v>
      </c>
      <c r="D58" t="s">
        <v>21661</v>
      </c>
      <c r="E58" t="s">
        <v>13486</v>
      </c>
      <c r="F58" t="s">
        <v>152</v>
      </c>
      <c r="G58" t="s">
        <v>98</v>
      </c>
      <c r="H58" t="s">
        <v>21878</v>
      </c>
      <c r="I58" t="s">
        <v>100</v>
      </c>
      <c r="J58">
        <v>676988</v>
      </c>
      <c r="K58">
        <v>676988</v>
      </c>
      <c r="L58">
        <v>0</v>
      </c>
      <c r="M58">
        <v>0</v>
      </c>
      <c r="O58">
        <v>676988</v>
      </c>
      <c r="P58">
        <v>376</v>
      </c>
      <c r="Q58" t="s">
        <v>3005</v>
      </c>
      <c r="R58">
        <v>0</v>
      </c>
      <c r="S58">
        <v>0</v>
      </c>
      <c r="U58" t="s">
        <v>102</v>
      </c>
      <c r="V58" t="s">
        <v>103</v>
      </c>
      <c r="W58" t="s">
        <v>104</v>
      </c>
      <c r="Y58" t="s">
        <v>16558</v>
      </c>
      <c r="Z58" t="s">
        <v>21879</v>
      </c>
      <c r="AA58" t="s">
        <v>21665</v>
      </c>
      <c r="AB58" t="s">
        <v>21879</v>
      </c>
      <c r="AC58" t="s">
        <v>109</v>
      </c>
      <c r="AD58" t="s">
        <v>102</v>
      </c>
      <c r="AE58" t="s">
        <v>109</v>
      </c>
      <c r="AF58" t="s">
        <v>102</v>
      </c>
      <c r="AG58" t="s">
        <v>102</v>
      </c>
      <c r="AJ58" t="s">
        <v>21879</v>
      </c>
      <c r="AK58" t="s">
        <v>102</v>
      </c>
      <c r="AL58" t="s">
        <v>21879</v>
      </c>
      <c r="AM58" t="s">
        <v>3012</v>
      </c>
      <c r="AN58" t="s">
        <v>13714</v>
      </c>
      <c r="AR58" t="s">
        <v>169</v>
      </c>
      <c r="AS58" t="s">
        <v>102</v>
      </c>
      <c r="AU58" t="s">
        <v>155</v>
      </c>
      <c r="AV58" t="s">
        <v>119</v>
      </c>
      <c r="AW58" t="s">
        <v>170</v>
      </c>
      <c r="AX58" t="s">
        <v>118</v>
      </c>
      <c r="AZ58" t="s">
        <v>120</v>
      </c>
      <c r="BA58" t="s">
        <v>729</v>
      </c>
      <c r="BB58" t="s">
        <v>730</v>
      </c>
      <c r="BC58" t="s">
        <v>622</v>
      </c>
      <c r="BD58" t="s">
        <v>730</v>
      </c>
      <c r="BE58" t="s">
        <v>124</v>
      </c>
      <c r="BF58" t="s">
        <v>12250</v>
      </c>
      <c r="BG58" t="s">
        <v>21667</v>
      </c>
      <c r="BH58" t="s">
        <v>127</v>
      </c>
      <c r="BI58" t="s">
        <v>21880</v>
      </c>
      <c r="BJ58" t="s">
        <v>3014</v>
      </c>
      <c r="BK58" t="s">
        <v>21881</v>
      </c>
      <c r="BL58" t="s">
        <v>13486</v>
      </c>
      <c r="BM58" t="s">
        <v>3606</v>
      </c>
      <c r="BN58" t="s">
        <v>350</v>
      </c>
      <c r="BO58" t="s">
        <v>3607</v>
      </c>
      <c r="BP58" t="s">
        <v>3608</v>
      </c>
      <c r="BQ58" t="s">
        <v>2569</v>
      </c>
      <c r="BS58" t="s">
        <v>21882</v>
      </c>
      <c r="BT58" t="s">
        <v>13718</v>
      </c>
      <c r="BU58" t="s">
        <v>138</v>
      </c>
      <c r="BV58" t="s">
        <v>3018</v>
      </c>
      <c r="BW58" t="s">
        <v>3019</v>
      </c>
      <c r="BX58" t="s">
        <v>3020</v>
      </c>
      <c r="BY58" t="s">
        <v>13718</v>
      </c>
      <c r="BZ58" t="s">
        <v>3018</v>
      </c>
      <c r="CA58" t="s">
        <v>3019</v>
      </c>
      <c r="CB58" t="s">
        <v>13718</v>
      </c>
      <c r="CC58" t="s">
        <v>3018</v>
      </c>
      <c r="CD58" t="s">
        <v>3019</v>
      </c>
      <c r="CE58" t="s">
        <v>3021</v>
      </c>
      <c r="CF58" t="s">
        <v>13721</v>
      </c>
      <c r="CH58" t="s">
        <v>3023</v>
      </c>
      <c r="CI58" t="s">
        <v>13721</v>
      </c>
      <c r="CJ58" t="s">
        <v>729</v>
      </c>
      <c r="CK58" t="s">
        <v>730</v>
      </c>
      <c r="CL58" t="s">
        <v>3024</v>
      </c>
      <c r="CM58" t="s">
        <v>3025</v>
      </c>
      <c r="CN58" t="s">
        <v>3022</v>
      </c>
      <c r="CO58" t="s">
        <v>3022</v>
      </c>
    </row>
    <row r="59" spans="1:93" hidden="1">
      <c r="A59" t="s">
        <v>149</v>
      </c>
      <c r="B59">
        <v>23246</v>
      </c>
      <c r="C59" t="s">
        <v>3026</v>
      </c>
      <c r="D59" t="s">
        <v>21661</v>
      </c>
      <c r="E59" t="s">
        <v>14161</v>
      </c>
      <c r="F59" t="s">
        <v>193</v>
      </c>
      <c r="G59" t="s">
        <v>98</v>
      </c>
      <c r="H59" t="s">
        <v>25726</v>
      </c>
      <c r="I59" t="s">
        <v>100</v>
      </c>
      <c r="J59">
        <v>4385191</v>
      </c>
      <c r="K59">
        <v>4869298</v>
      </c>
      <c r="L59">
        <v>1695708</v>
      </c>
      <c r="M59">
        <v>1247</v>
      </c>
      <c r="N59" t="s">
        <v>25727</v>
      </c>
      <c r="O59">
        <v>0</v>
      </c>
      <c r="P59">
        <v>0</v>
      </c>
      <c r="R59">
        <v>2689483</v>
      </c>
      <c r="S59">
        <v>1084</v>
      </c>
      <c r="T59" t="s">
        <v>25728</v>
      </c>
      <c r="U59" t="s">
        <v>102</v>
      </c>
      <c r="V59" t="s">
        <v>103</v>
      </c>
      <c r="W59" t="s">
        <v>398</v>
      </c>
      <c r="Y59" t="s">
        <v>12435</v>
      </c>
      <c r="Z59" t="s">
        <v>25729</v>
      </c>
      <c r="AA59" t="s">
        <v>21983</v>
      </c>
      <c r="AB59" t="s">
        <v>25730</v>
      </c>
      <c r="AC59" t="s">
        <v>22177</v>
      </c>
      <c r="AD59" t="s">
        <v>25730</v>
      </c>
      <c r="AE59" t="s">
        <v>109</v>
      </c>
      <c r="AF59" t="s">
        <v>102</v>
      </c>
      <c r="AG59" t="s">
        <v>102</v>
      </c>
      <c r="AJ59" t="s">
        <v>102</v>
      </c>
      <c r="AK59" t="s">
        <v>102</v>
      </c>
      <c r="AL59" t="s">
        <v>102</v>
      </c>
      <c r="AM59" t="s">
        <v>25731</v>
      </c>
      <c r="AN59" t="s">
        <v>25731</v>
      </c>
      <c r="AS59" t="s">
        <v>247</v>
      </c>
      <c r="AT59" t="s">
        <v>118</v>
      </c>
      <c r="AU59" t="s">
        <v>102</v>
      </c>
      <c r="AV59" t="s">
        <v>119</v>
      </c>
      <c r="AY59" t="s">
        <v>250</v>
      </c>
      <c r="AZ59" t="s">
        <v>171</v>
      </c>
      <c r="BA59" t="s">
        <v>920</v>
      </c>
      <c r="BB59" t="s">
        <v>211</v>
      </c>
      <c r="BC59" t="s">
        <v>212</v>
      </c>
      <c r="BD59" t="s">
        <v>213</v>
      </c>
      <c r="BE59" t="s">
        <v>124</v>
      </c>
      <c r="BF59" t="s">
        <v>21805</v>
      </c>
      <c r="BG59" t="s">
        <v>23025</v>
      </c>
      <c r="BH59" t="s">
        <v>127</v>
      </c>
      <c r="BI59" t="s">
        <v>25732</v>
      </c>
      <c r="BJ59" t="s">
        <v>3039</v>
      </c>
      <c r="BK59" t="s">
        <v>25733</v>
      </c>
      <c r="BL59" t="s">
        <v>14161</v>
      </c>
      <c r="BM59" t="s">
        <v>866</v>
      </c>
      <c r="BN59" t="s">
        <v>180</v>
      </c>
      <c r="BO59" t="s">
        <v>867</v>
      </c>
      <c r="BP59" t="s">
        <v>868</v>
      </c>
      <c r="BQ59" t="s">
        <v>222</v>
      </c>
      <c r="BS59" t="s">
        <v>25734</v>
      </c>
      <c r="BT59" t="s">
        <v>3042</v>
      </c>
      <c r="BU59" t="s">
        <v>569</v>
      </c>
      <c r="BV59" t="s">
        <v>3043</v>
      </c>
      <c r="BW59" t="s">
        <v>3044</v>
      </c>
      <c r="BX59" t="s">
        <v>3045</v>
      </c>
      <c r="BY59" t="s">
        <v>25735</v>
      </c>
      <c r="BZ59" t="s">
        <v>25736</v>
      </c>
      <c r="CA59" t="s">
        <v>3044</v>
      </c>
      <c r="CB59" t="s">
        <v>25737</v>
      </c>
      <c r="CC59" t="s">
        <v>25738</v>
      </c>
      <c r="CD59" t="s">
        <v>3044</v>
      </c>
      <c r="CE59" t="s">
        <v>102</v>
      </c>
      <c r="CF59" t="s">
        <v>3049</v>
      </c>
      <c r="CH59" t="s">
        <v>3050</v>
      </c>
      <c r="CJ59" t="s">
        <v>920</v>
      </c>
      <c r="CK59" t="s">
        <v>211</v>
      </c>
      <c r="CL59" t="s">
        <v>3050</v>
      </c>
      <c r="CM59" t="s">
        <v>3051</v>
      </c>
      <c r="CN59" t="s">
        <v>3049</v>
      </c>
      <c r="CO59" t="s">
        <v>3049</v>
      </c>
    </row>
    <row r="60" spans="1:93" hidden="1">
      <c r="A60" t="s">
        <v>149</v>
      </c>
      <c r="B60">
        <v>236318</v>
      </c>
      <c r="C60" t="s">
        <v>3071</v>
      </c>
      <c r="D60" t="s">
        <v>21661</v>
      </c>
      <c r="E60" t="s">
        <v>22571</v>
      </c>
      <c r="F60" t="s">
        <v>193</v>
      </c>
      <c r="G60" t="s">
        <v>98</v>
      </c>
      <c r="H60" t="s">
        <v>23700</v>
      </c>
      <c r="I60" t="s">
        <v>100</v>
      </c>
      <c r="J60">
        <v>2461304</v>
      </c>
      <c r="K60">
        <v>2756649</v>
      </c>
      <c r="L60">
        <v>820500</v>
      </c>
      <c r="M60">
        <v>1094</v>
      </c>
      <c r="N60" t="s">
        <v>101</v>
      </c>
      <c r="O60">
        <v>0</v>
      </c>
      <c r="P60">
        <v>0</v>
      </c>
      <c r="R60">
        <v>1640804</v>
      </c>
      <c r="S60">
        <v>547</v>
      </c>
      <c r="T60" t="s">
        <v>2971</v>
      </c>
      <c r="U60" t="s">
        <v>102</v>
      </c>
      <c r="V60" t="s">
        <v>679</v>
      </c>
      <c r="W60" t="s">
        <v>104</v>
      </c>
      <c r="X60" t="s">
        <v>13208</v>
      </c>
      <c r="Y60" t="s">
        <v>23701</v>
      </c>
      <c r="Z60" t="s">
        <v>23702</v>
      </c>
      <c r="AA60" t="s">
        <v>23703</v>
      </c>
      <c r="AB60" t="s">
        <v>23702</v>
      </c>
      <c r="AC60" t="s">
        <v>109</v>
      </c>
      <c r="AD60" t="s">
        <v>102</v>
      </c>
      <c r="AE60" t="s">
        <v>109</v>
      </c>
      <c r="AF60" t="s">
        <v>102</v>
      </c>
      <c r="AG60" t="s">
        <v>102</v>
      </c>
      <c r="AJ60" t="s">
        <v>24177</v>
      </c>
      <c r="AK60" t="s">
        <v>102</v>
      </c>
      <c r="AL60" t="s">
        <v>24177</v>
      </c>
      <c r="AM60" t="s">
        <v>23704</v>
      </c>
      <c r="AN60" t="s">
        <v>23704</v>
      </c>
      <c r="AS60" t="s">
        <v>207</v>
      </c>
      <c r="AT60" t="s">
        <v>118</v>
      </c>
      <c r="AU60" t="s">
        <v>102</v>
      </c>
      <c r="AV60" t="s">
        <v>119</v>
      </c>
      <c r="AY60" t="s">
        <v>250</v>
      </c>
      <c r="AZ60" t="s">
        <v>120</v>
      </c>
      <c r="BA60" t="s">
        <v>3079</v>
      </c>
      <c r="BB60" t="s">
        <v>1244</v>
      </c>
      <c r="BC60" t="s">
        <v>122</v>
      </c>
      <c r="BD60" t="s">
        <v>1244</v>
      </c>
      <c r="BE60" t="s">
        <v>124</v>
      </c>
      <c r="BF60" t="s">
        <v>12250</v>
      </c>
      <c r="BG60" t="s">
        <v>21667</v>
      </c>
      <c r="BH60" t="s">
        <v>127</v>
      </c>
      <c r="BI60" t="s">
        <v>23705</v>
      </c>
      <c r="BJ60" t="s">
        <v>3081</v>
      </c>
      <c r="BK60" t="s">
        <v>23706</v>
      </c>
      <c r="BL60" t="s">
        <v>22571</v>
      </c>
      <c r="BM60" t="s">
        <v>8788</v>
      </c>
      <c r="BN60" t="s">
        <v>696</v>
      </c>
      <c r="BO60" t="s">
        <v>8789</v>
      </c>
      <c r="BP60" t="s">
        <v>8790</v>
      </c>
      <c r="BQ60" t="s">
        <v>1006</v>
      </c>
      <c r="BS60" t="s">
        <v>23707</v>
      </c>
      <c r="BT60" t="s">
        <v>13764</v>
      </c>
      <c r="BU60" t="s">
        <v>598</v>
      </c>
      <c r="BV60" t="s">
        <v>13765</v>
      </c>
      <c r="BW60" t="s">
        <v>13766</v>
      </c>
      <c r="BX60" t="s">
        <v>3090</v>
      </c>
      <c r="BY60" t="s">
        <v>13767</v>
      </c>
      <c r="BZ60" t="s">
        <v>3090</v>
      </c>
      <c r="CA60" t="s">
        <v>13766</v>
      </c>
      <c r="CB60" t="s">
        <v>13764</v>
      </c>
      <c r="CC60" t="s">
        <v>13765</v>
      </c>
      <c r="CD60" t="s">
        <v>13766</v>
      </c>
      <c r="CE60" t="s">
        <v>102</v>
      </c>
      <c r="CF60" t="s">
        <v>3091</v>
      </c>
      <c r="CH60" t="s">
        <v>3092</v>
      </c>
      <c r="CJ60" t="s">
        <v>3079</v>
      </c>
      <c r="CK60" t="s">
        <v>1244</v>
      </c>
      <c r="CL60" t="s">
        <v>3092</v>
      </c>
      <c r="CN60" t="s">
        <v>3091</v>
      </c>
      <c r="CO60" t="s">
        <v>3091</v>
      </c>
    </row>
    <row r="61" spans="1:93" hidden="1">
      <c r="A61" t="s">
        <v>93</v>
      </c>
      <c r="B61">
        <v>2378636</v>
      </c>
      <c r="C61" t="s">
        <v>13768</v>
      </c>
      <c r="D61" t="s">
        <v>21661</v>
      </c>
      <c r="E61" t="s">
        <v>14080</v>
      </c>
      <c r="F61" t="s">
        <v>152</v>
      </c>
      <c r="G61" t="s">
        <v>98</v>
      </c>
      <c r="H61" t="s">
        <v>21883</v>
      </c>
      <c r="I61" t="s">
        <v>100</v>
      </c>
      <c r="J61">
        <v>474357</v>
      </c>
      <c r="K61">
        <v>474357</v>
      </c>
      <c r="L61">
        <v>0</v>
      </c>
      <c r="M61">
        <v>0</v>
      </c>
      <c r="O61">
        <v>474357</v>
      </c>
      <c r="P61">
        <v>527</v>
      </c>
      <c r="Q61" t="s">
        <v>2451</v>
      </c>
      <c r="R61">
        <v>0</v>
      </c>
      <c r="S61">
        <v>0</v>
      </c>
      <c r="U61" t="s">
        <v>102</v>
      </c>
      <c r="V61" t="s">
        <v>103</v>
      </c>
      <c r="W61" t="s">
        <v>155</v>
      </c>
      <c r="Y61" t="s">
        <v>12250</v>
      </c>
      <c r="Z61" t="s">
        <v>21884</v>
      </c>
      <c r="AA61" t="s">
        <v>21664</v>
      </c>
      <c r="AB61" t="s">
        <v>21884</v>
      </c>
      <c r="AC61" t="s">
        <v>21665</v>
      </c>
      <c r="AD61" t="s">
        <v>21884</v>
      </c>
      <c r="AE61" t="s">
        <v>21687</v>
      </c>
      <c r="AF61" t="s">
        <v>21884</v>
      </c>
      <c r="AG61" t="s">
        <v>102</v>
      </c>
      <c r="AH61" t="s">
        <v>12820</v>
      </c>
      <c r="AI61" t="s">
        <v>13208</v>
      </c>
      <c r="AJ61" t="s">
        <v>21884</v>
      </c>
      <c r="AK61" t="s">
        <v>24178</v>
      </c>
      <c r="AL61" t="s">
        <v>24179</v>
      </c>
      <c r="AM61" t="s">
        <v>21886</v>
      </c>
      <c r="AN61" t="s">
        <v>21886</v>
      </c>
      <c r="AS61" t="s">
        <v>102</v>
      </c>
      <c r="AU61" t="s">
        <v>104</v>
      </c>
      <c r="AV61" t="s">
        <v>447</v>
      </c>
      <c r="AW61" t="s">
        <v>170</v>
      </c>
      <c r="AX61" t="s">
        <v>118</v>
      </c>
      <c r="AZ61" t="s">
        <v>120</v>
      </c>
      <c r="BA61" t="s">
        <v>13776</v>
      </c>
      <c r="BB61" t="s">
        <v>376</v>
      </c>
      <c r="BC61" t="s">
        <v>174</v>
      </c>
      <c r="BD61" t="s">
        <v>376</v>
      </c>
      <c r="BE61" t="s">
        <v>124</v>
      </c>
      <c r="BF61" t="s">
        <v>12250</v>
      </c>
      <c r="BG61" t="s">
        <v>21667</v>
      </c>
      <c r="BH61" t="s">
        <v>127</v>
      </c>
      <c r="BI61" t="s">
        <v>21887</v>
      </c>
      <c r="BJ61" t="s">
        <v>13778</v>
      </c>
      <c r="BK61" t="s">
        <v>21888</v>
      </c>
      <c r="BL61" t="s">
        <v>14080</v>
      </c>
      <c r="BM61" t="s">
        <v>1831</v>
      </c>
      <c r="BN61" t="s">
        <v>180</v>
      </c>
      <c r="BO61" t="s">
        <v>1832</v>
      </c>
      <c r="BP61" t="s">
        <v>1833</v>
      </c>
      <c r="BQ61" t="s">
        <v>13783</v>
      </c>
      <c r="BS61" t="s">
        <v>21889</v>
      </c>
      <c r="BT61" t="s">
        <v>13785</v>
      </c>
      <c r="BU61" t="s">
        <v>138</v>
      </c>
      <c r="BV61" t="s">
        <v>13786</v>
      </c>
      <c r="BW61" t="s">
        <v>13787</v>
      </c>
      <c r="BX61" t="s">
        <v>13786</v>
      </c>
      <c r="BY61" t="s">
        <v>13785</v>
      </c>
      <c r="BZ61" t="s">
        <v>13786</v>
      </c>
      <c r="CA61" t="s">
        <v>13787</v>
      </c>
      <c r="CB61" t="s">
        <v>13785</v>
      </c>
      <c r="CC61" t="s">
        <v>13786</v>
      </c>
      <c r="CD61" t="s">
        <v>13787</v>
      </c>
      <c r="CE61" t="s">
        <v>358</v>
      </c>
      <c r="CF61" t="s">
        <v>13788</v>
      </c>
      <c r="CH61" t="s">
        <v>13789</v>
      </c>
      <c r="CI61" t="s">
        <v>13790</v>
      </c>
      <c r="CJ61" t="s">
        <v>13776</v>
      </c>
      <c r="CK61" t="s">
        <v>376</v>
      </c>
      <c r="CL61" t="s">
        <v>13789</v>
      </c>
      <c r="CN61" t="s">
        <v>13790</v>
      </c>
      <c r="CO61" t="s">
        <v>13790</v>
      </c>
    </row>
    <row r="62" spans="1:93" hidden="1">
      <c r="A62" t="s">
        <v>149</v>
      </c>
      <c r="B62">
        <v>2379270</v>
      </c>
      <c r="C62" t="s">
        <v>3093</v>
      </c>
      <c r="D62" t="s">
        <v>21661</v>
      </c>
      <c r="E62" t="s">
        <v>21857</v>
      </c>
      <c r="F62" t="s">
        <v>3549</v>
      </c>
      <c r="G62" t="s">
        <v>98</v>
      </c>
      <c r="H62" t="s">
        <v>25021</v>
      </c>
      <c r="I62" t="s">
        <v>100</v>
      </c>
      <c r="J62">
        <v>0</v>
      </c>
      <c r="K62">
        <v>0</v>
      </c>
      <c r="L62">
        <v>0</v>
      </c>
      <c r="M62">
        <v>939</v>
      </c>
      <c r="N62" t="s">
        <v>102</v>
      </c>
      <c r="O62">
        <v>0</v>
      </c>
      <c r="P62">
        <v>0</v>
      </c>
      <c r="R62">
        <v>0</v>
      </c>
      <c r="S62">
        <v>939</v>
      </c>
      <c r="T62" t="s">
        <v>102</v>
      </c>
      <c r="U62" t="s">
        <v>102</v>
      </c>
      <c r="V62" t="s">
        <v>275</v>
      </c>
      <c r="X62" t="s">
        <v>21857</v>
      </c>
      <c r="Y62" t="s">
        <v>109</v>
      </c>
      <c r="Z62" t="s">
        <v>102</v>
      </c>
      <c r="AA62" t="s">
        <v>109</v>
      </c>
      <c r="AB62" t="s">
        <v>102</v>
      </c>
      <c r="AC62" t="s">
        <v>109</v>
      </c>
      <c r="AD62" t="s">
        <v>102</v>
      </c>
      <c r="AE62" t="s">
        <v>109</v>
      </c>
      <c r="AF62" t="s">
        <v>102</v>
      </c>
      <c r="AG62" t="s">
        <v>102</v>
      </c>
      <c r="AJ62" t="s">
        <v>102</v>
      </c>
      <c r="AK62" t="s">
        <v>102</v>
      </c>
      <c r="AL62" t="s">
        <v>102</v>
      </c>
      <c r="AM62" t="s">
        <v>115</v>
      </c>
      <c r="AN62" t="s">
        <v>115</v>
      </c>
      <c r="AS62" t="s">
        <v>117</v>
      </c>
      <c r="AT62" t="s">
        <v>118</v>
      </c>
      <c r="AU62" t="s">
        <v>102</v>
      </c>
      <c r="AV62" t="s">
        <v>119</v>
      </c>
      <c r="AY62" t="s">
        <v>250</v>
      </c>
      <c r="AZ62" t="s">
        <v>120</v>
      </c>
      <c r="BA62" t="s">
        <v>920</v>
      </c>
      <c r="BB62" t="s">
        <v>211</v>
      </c>
      <c r="BC62" t="s">
        <v>212</v>
      </c>
      <c r="BD62" t="s">
        <v>213</v>
      </c>
      <c r="BE62" t="s">
        <v>124</v>
      </c>
      <c r="BF62" t="s">
        <v>24888</v>
      </c>
      <c r="BG62" t="s">
        <v>23025</v>
      </c>
      <c r="BH62" t="s">
        <v>127</v>
      </c>
      <c r="BI62" t="s">
        <v>25022</v>
      </c>
      <c r="BJ62" t="s">
        <v>3101</v>
      </c>
      <c r="BK62" t="s">
        <v>25023</v>
      </c>
      <c r="BL62" t="s">
        <v>21857</v>
      </c>
      <c r="BM62" t="s">
        <v>24891</v>
      </c>
      <c r="BN62" t="s">
        <v>180</v>
      </c>
      <c r="BO62" t="s">
        <v>24892</v>
      </c>
      <c r="BP62" t="s">
        <v>24893</v>
      </c>
      <c r="BQ62" t="s">
        <v>222</v>
      </c>
      <c r="BS62" t="s">
        <v>25024</v>
      </c>
      <c r="BT62" t="s">
        <v>3585</v>
      </c>
      <c r="BU62" t="s">
        <v>598</v>
      </c>
      <c r="BV62" t="s">
        <v>225</v>
      </c>
      <c r="BW62" t="s">
        <v>8332</v>
      </c>
      <c r="BX62" t="s">
        <v>3104</v>
      </c>
      <c r="BY62" t="s">
        <v>25025</v>
      </c>
      <c r="BZ62" t="s">
        <v>25026</v>
      </c>
      <c r="CA62" t="s">
        <v>25027</v>
      </c>
      <c r="CB62" t="s">
        <v>25025</v>
      </c>
      <c r="CC62" t="s">
        <v>25026</v>
      </c>
      <c r="CD62" t="s">
        <v>25027</v>
      </c>
      <c r="CE62" t="s">
        <v>102</v>
      </c>
      <c r="CF62" t="s">
        <v>3105</v>
      </c>
      <c r="CH62" t="s">
        <v>3106</v>
      </c>
      <c r="CJ62" t="s">
        <v>920</v>
      </c>
      <c r="CK62" t="s">
        <v>211</v>
      </c>
      <c r="CL62" t="s">
        <v>3106</v>
      </c>
      <c r="CM62" t="s">
        <v>230</v>
      </c>
      <c r="CN62" t="s">
        <v>3105</v>
      </c>
      <c r="CO62" t="s">
        <v>3105</v>
      </c>
    </row>
    <row r="63" spans="1:93" hidden="1">
      <c r="A63" t="s">
        <v>149</v>
      </c>
      <c r="B63">
        <v>2385289</v>
      </c>
      <c r="C63" t="s">
        <v>3131</v>
      </c>
      <c r="D63" t="s">
        <v>21661</v>
      </c>
      <c r="E63" t="s">
        <v>13386</v>
      </c>
      <c r="F63" t="s">
        <v>848</v>
      </c>
      <c r="G63" t="s">
        <v>98</v>
      </c>
      <c r="H63" t="s">
        <v>21890</v>
      </c>
      <c r="I63" t="s">
        <v>100</v>
      </c>
      <c r="J63">
        <v>1208556</v>
      </c>
      <c r="K63">
        <v>1426096</v>
      </c>
      <c r="L63">
        <v>0</v>
      </c>
      <c r="M63">
        <v>0</v>
      </c>
      <c r="O63">
        <v>0</v>
      </c>
      <c r="P63">
        <v>0</v>
      </c>
      <c r="R63">
        <v>1208556</v>
      </c>
      <c r="S63">
        <v>620</v>
      </c>
      <c r="T63" t="s">
        <v>13830</v>
      </c>
      <c r="U63" t="s">
        <v>102</v>
      </c>
      <c r="V63" t="s">
        <v>103</v>
      </c>
      <c r="W63" t="s">
        <v>155</v>
      </c>
      <c r="Y63" t="s">
        <v>12250</v>
      </c>
      <c r="Z63" t="s">
        <v>21891</v>
      </c>
      <c r="AA63" t="s">
        <v>21664</v>
      </c>
      <c r="AB63" t="s">
        <v>21891</v>
      </c>
      <c r="AC63" t="s">
        <v>21892</v>
      </c>
      <c r="AD63" t="s">
        <v>21891</v>
      </c>
      <c r="AE63" t="s">
        <v>21687</v>
      </c>
      <c r="AF63" t="s">
        <v>21891</v>
      </c>
      <c r="AG63" t="s">
        <v>102</v>
      </c>
      <c r="AJ63" t="s">
        <v>21891</v>
      </c>
      <c r="AK63" t="s">
        <v>102</v>
      </c>
      <c r="AL63" t="s">
        <v>21891</v>
      </c>
      <c r="AM63" t="s">
        <v>21893</v>
      </c>
      <c r="AN63" t="s">
        <v>21893</v>
      </c>
      <c r="AS63" t="s">
        <v>102</v>
      </c>
      <c r="AU63" t="s">
        <v>102</v>
      </c>
      <c r="AV63" t="s">
        <v>119</v>
      </c>
      <c r="AY63" t="s">
        <v>250</v>
      </c>
      <c r="AZ63" t="s">
        <v>171</v>
      </c>
      <c r="BA63" t="s">
        <v>375</v>
      </c>
      <c r="BB63" t="s">
        <v>376</v>
      </c>
      <c r="BC63" t="s">
        <v>174</v>
      </c>
      <c r="BD63" t="s">
        <v>376</v>
      </c>
      <c r="BE63" t="s">
        <v>124</v>
      </c>
      <c r="BF63" t="s">
        <v>21790</v>
      </c>
      <c r="BG63" t="s">
        <v>21667</v>
      </c>
      <c r="BH63" t="s">
        <v>127</v>
      </c>
      <c r="BI63" t="s">
        <v>21894</v>
      </c>
      <c r="BJ63" t="s">
        <v>3142</v>
      </c>
      <c r="BK63" t="s">
        <v>21895</v>
      </c>
      <c r="BL63" t="s">
        <v>13386</v>
      </c>
      <c r="BM63" t="s">
        <v>1917</v>
      </c>
      <c r="BN63" t="s">
        <v>180</v>
      </c>
      <c r="BO63" t="s">
        <v>1918</v>
      </c>
      <c r="BP63" t="s">
        <v>1919</v>
      </c>
      <c r="BQ63" t="s">
        <v>183</v>
      </c>
      <c r="BS63" t="s">
        <v>21896</v>
      </c>
      <c r="BT63" t="s">
        <v>21897</v>
      </c>
      <c r="BU63" t="s">
        <v>138</v>
      </c>
      <c r="BV63" t="s">
        <v>3146</v>
      </c>
      <c r="BW63" t="s">
        <v>21898</v>
      </c>
      <c r="BX63" t="s">
        <v>3146</v>
      </c>
      <c r="BY63" t="s">
        <v>21897</v>
      </c>
      <c r="BZ63" t="s">
        <v>3146</v>
      </c>
      <c r="CA63" t="s">
        <v>21898</v>
      </c>
      <c r="CB63" t="s">
        <v>21897</v>
      </c>
      <c r="CC63" t="s">
        <v>3146</v>
      </c>
      <c r="CD63" t="s">
        <v>21898</v>
      </c>
      <c r="CE63" t="s">
        <v>102</v>
      </c>
      <c r="CF63" t="s">
        <v>3131</v>
      </c>
      <c r="CH63" t="s">
        <v>3152</v>
      </c>
      <c r="CJ63" t="s">
        <v>375</v>
      </c>
      <c r="CK63" t="s">
        <v>376</v>
      </c>
      <c r="CL63" t="s">
        <v>3152</v>
      </c>
      <c r="CM63" t="s">
        <v>3153</v>
      </c>
      <c r="CN63" t="s">
        <v>3151</v>
      </c>
      <c r="CO63" t="s">
        <v>3151</v>
      </c>
    </row>
    <row r="64" spans="1:93" hidden="1">
      <c r="A64" t="s">
        <v>149</v>
      </c>
      <c r="B64">
        <v>2388998</v>
      </c>
      <c r="C64" t="s">
        <v>3154</v>
      </c>
      <c r="D64" t="s">
        <v>21661</v>
      </c>
      <c r="E64" t="s">
        <v>23708</v>
      </c>
      <c r="F64" t="s">
        <v>193</v>
      </c>
      <c r="G64" t="s">
        <v>98</v>
      </c>
      <c r="H64" t="s">
        <v>23709</v>
      </c>
      <c r="I64" t="s">
        <v>100</v>
      </c>
      <c r="J64">
        <v>1687499</v>
      </c>
      <c r="K64">
        <v>1958849</v>
      </c>
      <c r="L64">
        <v>180000</v>
      </c>
      <c r="M64">
        <v>240</v>
      </c>
      <c r="N64" t="s">
        <v>101</v>
      </c>
      <c r="O64">
        <v>0</v>
      </c>
      <c r="P64">
        <v>0</v>
      </c>
      <c r="R64">
        <v>1507499</v>
      </c>
      <c r="S64">
        <v>360</v>
      </c>
      <c r="T64" t="s">
        <v>13845</v>
      </c>
      <c r="U64" t="s">
        <v>102</v>
      </c>
      <c r="V64" t="s">
        <v>103</v>
      </c>
      <c r="W64" t="s">
        <v>104</v>
      </c>
      <c r="Y64" t="s">
        <v>23710</v>
      </c>
      <c r="Z64" t="s">
        <v>13846</v>
      </c>
      <c r="AA64" t="s">
        <v>21945</v>
      </c>
      <c r="AB64" t="s">
        <v>13846</v>
      </c>
      <c r="AC64" t="s">
        <v>109</v>
      </c>
      <c r="AD64" t="s">
        <v>102</v>
      </c>
      <c r="AE64" t="s">
        <v>109</v>
      </c>
      <c r="AF64" t="s">
        <v>102</v>
      </c>
      <c r="AG64" t="s">
        <v>102</v>
      </c>
      <c r="AJ64" t="s">
        <v>13846</v>
      </c>
      <c r="AK64" t="s">
        <v>102</v>
      </c>
      <c r="AL64" t="s">
        <v>13846</v>
      </c>
      <c r="AM64" t="s">
        <v>13852</v>
      </c>
      <c r="AN64" t="s">
        <v>13852</v>
      </c>
      <c r="AS64" t="s">
        <v>207</v>
      </c>
      <c r="AT64" t="s">
        <v>118</v>
      </c>
      <c r="AU64" t="s">
        <v>102</v>
      </c>
      <c r="AV64" t="s">
        <v>119</v>
      </c>
      <c r="AY64" t="s">
        <v>250</v>
      </c>
      <c r="AZ64" t="s">
        <v>171</v>
      </c>
      <c r="BA64" t="s">
        <v>623</v>
      </c>
      <c r="BB64" t="s">
        <v>621</v>
      </c>
      <c r="BC64" t="s">
        <v>622</v>
      </c>
      <c r="BD64" t="s">
        <v>623</v>
      </c>
      <c r="BE64" t="s">
        <v>124</v>
      </c>
      <c r="BF64" t="s">
        <v>23710</v>
      </c>
      <c r="BG64" t="s">
        <v>23711</v>
      </c>
      <c r="BH64" t="s">
        <v>127</v>
      </c>
      <c r="BI64" t="s">
        <v>23712</v>
      </c>
      <c r="BJ64" t="s">
        <v>3169</v>
      </c>
      <c r="BK64" t="s">
        <v>23713</v>
      </c>
      <c r="BL64" t="s">
        <v>23708</v>
      </c>
      <c r="BM64" t="s">
        <v>629</v>
      </c>
      <c r="BN64" t="s">
        <v>505</v>
      </c>
      <c r="BO64" t="s">
        <v>630</v>
      </c>
      <c r="BP64" t="s">
        <v>631</v>
      </c>
      <c r="BQ64" t="s">
        <v>1342</v>
      </c>
      <c r="BS64" t="s">
        <v>23714</v>
      </c>
      <c r="BT64" t="s">
        <v>23715</v>
      </c>
      <c r="BU64" t="s">
        <v>138</v>
      </c>
      <c r="BV64" t="s">
        <v>13857</v>
      </c>
      <c r="BW64" t="s">
        <v>13858</v>
      </c>
      <c r="BX64" t="s">
        <v>3175</v>
      </c>
      <c r="BY64" t="s">
        <v>13856</v>
      </c>
      <c r="BZ64" t="s">
        <v>13857</v>
      </c>
      <c r="CA64" t="s">
        <v>13858</v>
      </c>
      <c r="CB64" t="s">
        <v>23716</v>
      </c>
      <c r="CC64" t="s">
        <v>23717</v>
      </c>
      <c r="CD64" t="s">
        <v>23718</v>
      </c>
      <c r="CE64" t="s">
        <v>102</v>
      </c>
      <c r="CF64" t="s">
        <v>13860</v>
      </c>
      <c r="CH64" t="s">
        <v>3177</v>
      </c>
      <c r="CJ64" t="s">
        <v>623</v>
      </c>
      <c r="CK64" t="s">
        <v>621</v>
      </c>
      <c r="CL64" t="s">
        <v>3177</v>
      </c>
      <c r="CM64" t="s">
        <v>3178</v>
      </c>
      <c r="CN64" t="s">
        <v>3176</v>
      </c>
      <c r="CO64" t="s">
        <v>3176</v>
      </c>
    </row>
    <row r="65" spans="1:93" hidden="1">
      <c r="A65" t="s">
        <v>149</v>
      </c>
      <c r="B65">
        <v>2389545</v>
      </c>
      <c r="C65" t="s">
        <v>3179</v>
      </c>
      <c r="D65" t="s">
        <v>21661</v>
      </c>
      <c r="E65" t="s">
        <v>16558</v>
      </c>
      <c r="F65" t="s">
        <v>3549</v>
      </c>
      <c r="G65" t="s">
        <v>98</v>
      </c>
      <c r="H65" t="s">
        <v>23719</v>
      </c>
      <c r="I65" t="s">
        <v>100</v>
      </c>
      <c r="J65">
        <v>2347103</v>
      </c>
      <c r="K65">
        <v>2624117</v>
      </c>
      <c r="L65">
        <v>808136</v>
      </c>
      <c r="M65">
        <v>930</v>
      </c>
      <c r="N65" t="s">
        <v>23720</v>
      </c>
      <c r="O65">
        <v>0</v>
      </c>
      <c r="P65">
        <v>0</v>
      </c>
      <c r="R65">
        <v>1538967</v>
      </c>
      <c r="S65">
        <v>1033</v>
      </c>
      <c r="T65" t="s">
        <v>23721</v>
      </c>
      <c r="U65" t="s">
        <v>102</v>
      </c>
      <c r="V65" t="s">
        <v>103</v>
      </c>
      <c r="W65" t="s">
        <v>104</v>
      </c>
      <c r="Y65" t="s">
        <v>19143</v>
      </c>
      <c r="Z65" t="s">
        <v>23722</v>
      </c>
      <c r="AA65" t="s">
        <v>21874</v>
      </c>
      <c r="AB65" t="s">
        <v>23722</v>
      </c>
      <c r="AC65" t="s">
        <v>109</v>
      </c>
      <c r="AD65" t="s">
        <v>102</v>
      </c>
      <c r="AE65" t="s">
        <v>109</v>
      </c>
      <c r="AF65" t="s">
        <v>102</v>
      </c>
      <c r="AG65" t="s">
        <v>102</v>
      </c>
      <c r="AJ65" t="s">
        <v>102</v>
      </c>
      <c r="AK65" t="s">
        <v>102</v>
      </c>
      <c r="AL65" t="s">
        <v>102</v>
      </c>
      <c r="AM65" t="s">
        <v>23723</v>
      </c>
      <c r="AN65" t="s">
        <v>23723</v>
      </c>
      <c r="AS65" t="s">
        <v>117</v>
      </c>
      <c r="AT65" t="s">
        <v>118</v>
      </c>
      <c r="AU65" t="s">
        <v>102</v>
      </c>
      <c r="AV65" t="s">
        <v>119</v>
      </c>
      <c r="AY65" t="s">
        <v>250</v>
      </c>
      <c r="AZ65" t="s">
        <v>120</v>
      </c>
      <c r="BA65" t="s">
        <v>409</v>
      </c>
      <c r="BB65" t="s">
        <v>410</v>
      </c>
      <c r="BC65" t="s">
        <v>212</v>
      </c>
      <c r="BD65" t="s">
        <v>410</v>
      </c>
      <c r="BE65" t="s">
        <v>124</v>
      </c>
      <c r="BF65" t="s">
        <v>21805</v>
      </c>
      <c r="BG65" t="s">
        <v>23025</v>
      </c>
      <c r="BH65" t="s">
        <v>127</v>
      </c>
      <c r="BI65" t="s">
        <v>23724</v>
      </c>
      <c r="BJ65" t="s">
        <v>3190</v>
      </c>
      <c r="BK65" t="s">
        <v>23725</v>
      </c>
      <c r="BL65" t="s">
        <v>16558</v>
      </c>
      <c r="BM65" t="s">
        <v>415</v>
      </c>
      <c r="BN65" t="s">
        <v>505</v>
      </c>
      <c r="BO65" t="s">
        <v>416</v>
      </c>
      <c r="BP65" t="s">
        <v>417</v>
      </c>
      <c r="BQ65" t="s">
        <v>293</v>
      </c>
      <c r="BS65" t="s">
        <v>23726</v>
      </c>
      <c r="BT65" t="s">
        <v>3193</v>
      </c>
      <c r="BU65" t="s">
        <v>138</v>
      </c>
      <c r="BV65" t="s">
        <v>3194</v>
      </c>
      <c r="BW65" t="s">
        <v>3195</v>
      </c>
      <c r="BX65" t="s">
        <v>3196</v>
      </c>
      <c r="BY65" t="s">
        <v>3193</v>
      </c>
      <c r="BZ65" t="s">
        <v>3194</v>
      </c>
      <c r="CA65" t="s">
        <v>3195</v>
      </c>
      <c r="CB65" t="s">
        <v>3197</v>
      </c>
      <c r="CC65" t="s">
        <v>3198</v>
      </c>
      <c r="CD65" t="s">
        <v>3199</v>
      </c>
      <c r="CE65" t="s">
        <v>102</v>
      </c>
      <c r="CF65" t="s">
        <v>13885</v>
      </c>
      <c r="CH65" t="s">
        <v>3201</v>
      </c>
      <c r="CJ65" t="s">
        <v>409</v>
      </c>
      <c r="CK65" t="s">
        <v>410</v>
      </c>
      <c r="CL65" t="s">
        <v>3201</v>
      </c>
      <c r="CM65" t="s">
        <v>3202</v>
      </c>
      <c r="CN65" t="s">
        <v>3200</v>
      </c>
      <c r="CO65" t="s">
        <v>3200</v>
      </c>
    </row>
    <row r="66" spans="1:93" hidden="1">
      <c r="A66" t="s">
        <v>149</v>
      </c>
      <c r="B66">
        <v>2400949</v>
      </c>
      <c r="C66" t="s">
        <v>3226</v>
      </c>
      <c r="D66" t="s">
        <v>21661</v>
      </c>
      <c r="E66" t="s">
        <v>11889</v>
      </c>
      <c r="F66" t="s">
        <v>152</v>
      </c>
      <c r="G66" t="s">
        <v>98</v>
      </c>
      <c r="H66" t="s">
        <v>24180</v>
      </c>
      <c r="I66" t="s">
        <v>100</v>
      </c>
      <c r="J66">
        <v>356170</v>
      </c>
      <c r="K66">
        <v>356170</v>
      </c>
      <c r="L66">
        <v>0</v>
      </c>
      <c r="M66">
        <v>0</v>
      </c>
      <c r="O66">
        <v>356170</v>
      </c>
      <c r="P66">
        <v>450</v>
      </c>
      <c r="Q66" t="s">
        <v>15401</v>
      </c>
      <c r="R66">
        <v>0</v>
      </c>
      <c r="S66">
        <v>0</v>
      </c>
      <c r="U66" t="s">
        <v>102</v>
      </c>
      <c r="V66" t="s">
        <v>103</v>
      </c>
      <c r="W66" t="s">
        <v>398</v>
      </c>
      <c r="Y66" t="s">
        <v>19143</v>
      </c>
      <c r="Z66" t="s">
        <v>24181</v>
      </c>
      <c r="AA66" t="s">
        <v>21762</v>
      </c>
      <c r="AB66" t="s">
        <v>24182</v>
      </c>
      <c r="AC66" t="s">
        <v>21710</v>
      </c>
      <c r="AD66" t="s">
        <v>24182</v>
      </c>
      <c r="AE66" t="s">
        <v>109</v>
      </c>
      <c r="AF66" t="s">
        <v>102</v>
      </c>
      <c r="AG66" t="s">
        <v>102</v>
      </c>
      <c r="AJ66" t="s">
        <v>102</v>
      </c>
      <c r="AK66" t="s">
        <v>102</v>
      </c>
      <c r="AL66" t="s">
        <v>102</v>
      </c>
      <c r="AM66" t="s">
        <v>24183</v>
      </c>
      <c r="AN66" t="s">
        <v>24184</v>
      </c>
      <c r="AR66" t="s">
        <v>169</v>
      </c>
      <c r="AS66" t="s">
        <v>102</v>
      </c>
      <c r="AU66" t="s">
        <v>102</v>
      </c>
      <c r="AV66" t="s">
        <v>119</v>
      </c>
      <c r="AW66" t="s">
        <v>170</v>
      </c>
      <c r="AX66" t="s">
        <v>118</v>
      </c>
      <c r="AZ66" t="s">
        <v>120</v>
      </c>
      <c r="BA66" t="s">
        <v>3239</v>
      </c>
      <c r="BB66" t="s">
        <v>449</v>
      </c>
      <c r="BC66" t="s">
        <v>122</v>
      </c>
      <c r="BD66" t="s">
        <v>253</v>
      </c>
      <c r="BE66" t="s">
        <v>124</v>
      </c>
      <c r="BF66" t="s">
        <v>12250</v>
      </c>
      <c r="BG66" t="s">
        <v>21667</v>
      </c>
      <c r="BH66" t="s">
        <v>127</v>
      </c>
      <c r="BI66" t="s">
        <v>24185</v>
      </c>
      <c r="BJ66" t="s">
        <v>3241</v>
      </c>
      <c r="BK66" t="s">
        <v>24186</v>
      </c>
      <c r="BL66" t="s">
        <v>11889</v>
      </c>
      <c r="BM66" t="s">
        <v>18467</v>
      </c>
      <c r="BN66" t="s">
        <v>350</v>
      </c>
      <c r="BO66" t="s">
        <v>18468</v>
      </c>
      <c r="BP66" t="s">
        <v>18469</v>
      </c>
      <c r="BQ66" t="s">
        <v>3246</v>
      </c>
      <c r="BS66" t="s">
        <v>24187</v>
      </c>
      <c r="BT66" t="s">
        <v>3248</v>
      </c>
      <c r="BU66" t="s">
        <v>138</v>
      </c>
      <c r="BV66" t="s">
        <v>3249</v>
      </c>
      <c r="BW66" t="s">
        <v>3250</v>
      </c>
      <c r="BX66" t="s">
        <v>3249</v>
      </c>
      <c r="BY66" t="s">
        <v>3248</v>
      </c>
      <c r="BZ66" t="s">
        <v>3249</v>
      </c>
      <c r="CA66" t="s">
        <v>3250</v>
      </c>
      <c r="CB66" t="s">
        <v>24188</v>
      </c>
      <c r="CC66" t="s">
        <v>24189</v>
      </c>
      <c r="CD66" t="s">
        <v>24190</v>
      </c>
      <c r="CE66" t="s">
        <v>3251</v>
      </c>
      <c r="CF66" t="s">
        <v>13898</v>
      </c>
      <c r="CH66" t="s">
        <v>3253</v>
      </c>
      <c r="CI66" t="s">
        <v>13898</v>
      </c>
      <c r="CJ66" t="s">
        <v>3239</v>
      </c>
      <c r="CK66" t="s">
        <v>449</v>
      </c>
      <c r="CL66" t="s">
        <v>3253</v>
      </c>
      <c r="CN66" t="s">
        <v>3252</v>
      </c>
      <c r="CO66" t="s">
        <v>3252</v>
      </c>
    </row>
    <row r="67" spans="1:93">
      <c r="A67" t="s">
        <v>337</v>
      </c>
      <c r="B67">
        <v>2401378</v>
      </c>
      <c r="C67" t="s">
        <v>23465</v>
      </c>
      <c r="D67" t="s">
        <v>21661</v>
      </c>
      <c r="E67" t="s">
        <v>23466</v>
      </c>
      <c r="F67" t="s">
        <v>152</v>
      </c>
      <c r="G67" t="s">
        <v>98</v>
      </c>
      <c r="H67" t="s">
        <v>23467</v>
      </c>
      <c r="I67" t="s">
        <v>100</v>
      </c>
      <c r="J67">
        <v>1989675</v>
      </c>
      <c r="K67">
        <v>1989675</v>
      </c>
      <c r="L67">
        <v>0</v>
      </c>
      <c r="M67">
        <v>0</v>
      </c>
      <c r="O67">
        <v>1989675</v>
      </c>
      <c r="P67">
        <v>882</v>
      </c>
      <c r="Q67" t="s">
        <v>13724</v>
      </c>
      <c r="R67">
        <v>0</v>
      </c>
      <c r="S67">
        <v>0</v>
      </c>
      <c r="U67" t="s">
        <v>102</v>
      </c>
      <c r="V67" t="s">
        <v>103</v>
      </c>
      <c r="W67" t="s">
        <v>155</v>
      </c>
      <c r="Y67" t="s">
        <v>13662</v>
      </c>
      <c r="Z67" t="s">
        <v>23468</v>
      </c>
      <c r="AA67" t="s">
        <v>22645</v>
      </c>
      <c r="AB67" t="s">
        <v>23468</v>
      </c>
      <c r="AC67" t="s">
        <v>22312</v>
      </c>
      <c r="AD67" t="s">
        <v>23468</v>
      </c>
      <c r="AE67" t="s">
        <v>22104</v>
      </c>
      <c r="AF67" t="s">
        <v>23468</v>
      </c>
      <c r="AG67" t="s">
        <v>102</v>
      </c>
      <c r="AH67" t="s">
        <v>21784</v>
      </c>
      <c r="AI67" t="s">
        <v>21784</v>
      </c>
      <c r="AJ67" t="s">
        <v>23468</v>
      </c>
      <c r="AK67" t="s">
        <v>23468</v>
      </c>
      <c r="AL67" t="s">
        <v>102</v>
      </c>
      <c r="AM67" t="s">
        <v>13206</v>
      </c>
      <c r="AN67" t="s">
        <v>13206</v>
      </c>
      <c r="AS67" t="s">
        <v>102</v>
      </c>
      <c r="AU67" t="s">
        <v>155</v>
      </c>
      <c r="AV67" t="s">
        <v>447</v>
      </c>
      <c r="AW67" t="s">
        <v>170</v>
      </c>
      <c r="AX67" t="s">
        <v>118</v>
      </c>
      <c r="AZ67" t="s">
        <v>171</v>
      </c>
      <c r="BA67" t="s">
        <v>4216</v>
      </c>
      <c r="BB67" t="s">
        <v>556</v>
      </c>
      <c r="BC67" t="s">
        <v>122</v>
      </c>
      <c r="BD67" t="s">
        <v>557</v>
      </c>
      <c r="BE67" t="s">
        <v>124</v>
      </c>
      <c r="BF67" t="s">
        <v>12250</v>
      </c>
      <c r="BG67" t="s">
        <v>21667</v>
      </c>
      <c r="BH67" t="s">
        <v>127</v>
      </c>
      <c r="BI67" t="s">
        <v>23469</v>
      </c>
      <c r="BJ67" t="s">
        <v>23470</v>
      </c>
      <c r="BK67" t="s">
        <v>23471</v>
      </c>
      <c r="BL67" t="s">
        <v>23466</v>
      </c>
      <c r="BM67" t="s">
        <v>1071</v>
      </c>
      <c r="BN67" t="s">
        <v>350</v>
      </c>
      <c r="BO67" t="s">
        <v>1072</v>
      </c>
      <c r="BP67" t="s">
        <v>1073</v>
      </c>
      <c r="BQ67" t="s">
        <v>1074</v>
      </c>
      <c r="BR67" t="s">
        <v>2332</v>
      </c>
      <c r="BS67" t="s">
        <v>23472</v>
      </c>
      <c r="BT67" t="s">
        <v>23473</v>
      </c>
      <c r="BU67" t="s">
        <v>138</v>
      </c>
      <c r="BV67" t="s">
        <v>23474</v>
      </c>
      <c r="BW67" t="s">
        <v>23475</v>
      </c>
      <c r="BX67" t="s">
        <v>23476</v>
      </c>
      <c r="BY67" t="s">
        <v>23477</v>
      </c>
      <c r="BZ67" t="s">
        <v>23474</v>
      </c>
      <c r="CA67" t="s">
        <v>23475</v>
      </c>
      <c r="CB67" t="s">
        <v>23477</v>
      </c>
      <c r="CC67" t="s">
        <v>23474</v>
      </c>
      <c r="CD67" t="s">
        <v>23475</v>
      </c>
      <c r="CE67" t="s">
        <v>23478</v>
      </c>
      <c r="CF67" t="s">
        <v>23479</v>
      </c>
      <c r="CH67" t="s">
        <v>4230</v>
      </c>
      <c r="CI67" t="s">
        <v>23479</v>
      </c>
      <c r="CJ67" t="s">
        <v>4216</v>
      </c>
      <c r="CK67" t="s">
        <v>556</v>
      </c>
      <c r="CL67" t="s">
        <v>4230</v>
      </c>
      <c r="CN67" t="s">
        <v>23480</v>
      </c>
      <c r="CO67" t="s">
        <v>23480</v>
      </c>
    </row>
    <row r="68" spans="1:93">
      <c r="A68" t="s">
        <v>337</v>
      </c>
      <c r="B68">
        <v>2403448</v>
      </c>
      <c r="C68" t="s">
        <v>21899</v>
      </c>
      <c r="D68" t="s">
        <v>21661</v>
      </c>
      <c r="E68" t="s">
        <v>12086</v>
      </c>
      <c r="F68" t="s">
        <v>97</v>
      </c>
      <c r="G68" t="s">
        <v>98</v>
      </c>
      <c r="H68" t="s">
        <v>21900</v>
      </c>
      <c r="I68" t="s">
        <v>100</v>
      </c>
      <c r="J68">
        <v>439800</v>
      </c>
      <c r="K68">
        <v>439800</v>
      </c>
      <c r="L68">
        <v>439800</v>
      </c>
      <c r="M68">
        <v>733</v>
      </c>
      <c r="N68" t="s">
        <v>310</v>
      </c>
      <c r="O68">
        <v>0</v>
      </c>
      <c r="P68">
        <v>0</v>
      </c>
      <c r="R68">
        <v>0</v>
      </c>
      <c r="S68">
        <v>0</v>
      </c>
      <c r="U68" t="s">
        <v>102</v>
      </c>
      <c r="V68" t="s">
        <v>103</v>
      </c>
      <c r="W68" t="s">
        <v>104</v>
      </c>
      <c r="Y68" t="s">
        <v>12086</v>
      </c>
      <c r="Z68" t="s">
        <v>21901</v>
      </c>
      <c r="AA68" t="s">
        <v>21762</v>
      </c>
      <c r="AB68" t="s">
        <v>21901</v>
      </c>
      <c r="AC68" t="s">
        <v>109</v>
      </c>
      <c r="AD68" t="s">
        <v>102</v>
      </c>
      <c r="AE68" t="s">
        <v>109</v>
      </c>
      <c r="AF68" t="s">
        <v>102</v>
      </c>
      <c r="AG68" t="s">
        <v>24191</v>
      </c>
      <c r="AH68" t="s">
        <v>23756</v>
      </c>
      <c r="AI68" t="s">
        <v>23756</v>
      </c>
      <c r="AJ68" t="s">
        <v>21901</v>
      </c>
      <c r="AK68" t="s">
        <v>24192</v>
      </c>
      <c r="AL68" t="s">
        <v>24193</v>
      </c>
      <c r="AM68" t="s">
        <v>317</v>
      </c>
      <c r="AN68" t="s">
        <v>317</v>
      </c>
      <c r="AS68" t="s">
        <v>318</v>
      </c>
      <c r="AT68" t="s">
        <v>118</v>
      </c>
      <c r="AU68" t="s">
        <v>102</v>
      </c>
      <c r="AV68" t="s">
        <v>119</v>
      </c>
      <c r="AZ68" t="s">
        <v>120</v>
      </c>
      <c r="BA68" t="s">
        <v>9178</v>
      </c>
      <c r="BB68" t="s">
        <v>320</v>
      </c>
      <c r="BC68" t="s">
        <v>122</v>
      </c>
      <c r="BD68" t="s">
        <v>123</v>
      </c>
      <c r="BE68" t="s">
        <v>124</v>
      </c>
      <c r="BF68" t="s">
        <v>12250</v>
      </c>
      <c r="BG68" t="s">
        <v>21667</v>
      </c>
      <c r="BH68" t="s">
        <v>127</v>
      </c>
      <c r="BI68" t="s">
        <v>21902</v>
      </c>
      <c r="BJ68" t="s">
        <v>21903</v>
      </c>
      <c r="BK68" t="s">
        <v>21904</v>
      </c>
      <c r="BL68" t="s">
        <v>12086</v>
      </c>
      <c r="BM68" t="s">
        <v>131</v>
      </c>
      <c r="BN68" t="s">
        <v>350</v>
      </c>
      <c r="BO68" t="s">
        <v>133</v>
      </c>
      <c r="BP68" t="s">
        <v>134</v>
      </c>
      <c r="BQ68" t="s">
        <v>455</v>
      </c>
      <c r="BS68" t="s">
        <v>21905</v>
      </c>
      <c r="BT68" t="s">
        <v>21906</v>
      </c>
      <c r="BU68" t="s">
        <v>138</v>
      </c>
      <c r="BV68" t="s">
        <v>21907</v>
      </c>
      <c r="BW68" t="s">
        <v>21908</v>
      </c>
      <c r="BX68" t="s">
        <v>21909</v>
      </c>
      <c r="BY68" t="s">
        <v>21906</v>
      </c>
      <c r="BZ68" t="s">
        <v>21907</v>
      </c>
      <c r="CA68" t="s">
        <v>21908</v>
      </c>
      <c r="CB68" t="s">
        <v>21910</v>
      </c>
      <c r="CC68" t="s">
        <v>21911</v>
      </c>
      <c r="CD68" t="s">
        <v>21912</v>
      </c>
      <c r="CE68" t="s">
        <v>21913</v>
      </c>
      <c r="CF68" t="s">
        <v>21914</v>
      </c>
      <c r="CH68" t="s">
        <v>5161</v>
      </c>
      <c r="CI68" t="s">
        <v>21914</v>
      </c>
      <c r="CJ68" t="s">
        <v>9178</v>
      </c>
      <c r="CK68" t="s">
        <v>320</v>
      </c>
      <c r="CL68" t="s">
        <v>5161</v>
      </c>
      <c r="CM68" t="s">
        <v>24194</v>
      </c>
      <c r="CN68" t="s">
        <v>21915</v>
      </c>
      <c r="CO68" t="s">
        <v>21915</v>
      </c>
    </row>
    <row r="69" spans="1:93" hidden="1">
      <c r="A69" t="s">
        <v>149</v>
      </c>
      <c r="B69">
        <v>2409420</v>
      </c>
      <c r="C69" t="s">
        <v>3277</v>
      </c>
      <c r="D69" t="s">
        <v>21661</v>
      </c>
      <c r="E69" t="s">
        <v>12729</v>
      </c>
      <c r="F69" t="s">
        <v>97</v>
      </c>
      <c r="G69" t="s">
        <v>98</v>
      </c>
      <c r="H69" t="s">
        <v>21916</v>
      </c>
      <c r="I69" t="s">
        <v>100</v>
      </c>
      <c r="J69">
        <v>391222</v>
      </c>
      <c r="K69">
        <v>391222</v>
      </c>
      <c r="L69">
        <v>391222</v>
      </c>
      <c r="M69">
        <v>475</v>
      </c>
      <c r="N69" t="s">
        <v>21917</v>
      </c>
      <c r="O69">
        <v>0</v>
      </c>
      <c r="P69">
        <v>0</v>
      </c>
      <c r="R69">
        <v>0</v>
      </c>
      <c r="S69">
        <v>0</v>
      </c>
      <c r="U69" t="s">
        <v>102</v>
      </c>
      <c r="V69" t="s">
        <v>275</v>
      </c>
      <c r="X69" t="s">
        <v>12250</v>
      </c>
      <c r="Y69" t="s">
        <v>109</v>
      </c>
      <c r="Z69" t="s">
        <v>102</v>
      </c>
      <c r="AA69" t="s">
        <v>109</v>
      </c>
      <c r="AB69" t="s">
        <v>102</v>
      </c>
      <c r="AC69" t="s">
        <v>109</v>
      </c>
      <c r="AD69" t="s">
        <v>102</v>
      </c>
      <c r="AE69" t="s">
        <v>109</v>
      </c>
      <c r="AF69" t="s">
        <v>102</v>
      </c>
      <c r="AG69" t="s">
        <v>102</v>
      </c>
      <c r="AJ69" t="s">
        <v>24195</v>
      </c>
      <c r="AK69" t="s">
        <v>102</v>
      </c>
      <c r="AL69" t="s">
        <v>24195</v>
      </c>
      <c r="AM69" t="s">
        <v>21918</v>
      </c>
      <c r="AN69" t="s">
        <v>21918</v>
      </c>
      <c r="AS69" t="s">
        <v>318</v>
      </c>
      <c r="AT69" t="s">
        <v>250</v>
      </c>
      <c r="AU69" t="s">
        <v>102</v>
      </c>
      <c r="AV69" t="s">
        <v>119</v>
      </c>
      <c r="AZ69" t="s">
        <v>120</v>
      </c>
      <c r="BA69" t="s">
        <v>3284</v>
      </c>
      <c r="BB69" t="s">
        <v>449</v>
      </c>
      <c r="BC69" t="s">
        <v>122</v>
      </c>
      <c r="BD69" t="s">
        <v>253</v>
      </c>
      <c r="BE69" t="s">
        <v>124</v>
      </c>
      <c r="BF69" t="s">
        <v>12250</v>
      </c>
      <c r="BG69" t="s">
        <v>21667</v>
      </c>
      <c r="BH69" t="s">
        <v>127</v>
      </c>
      <c r="BI69" t="s">
        <v>21919</v>
      </c>
      <c r="BJ69" t="s">
        <v>3286</v>
      </c>
      <c r="BK69" t="s">
        <v>21920</v>
      </c>
      <c r="BL69" t="s">
        <v>12729</v>
      </c>
      <c r="BM69" t="s">
        <v>1142</v>
      </c>
      <c r="BN69" t="s">
        <v>180</v>
      </c>
      <c r="BO69" t="s">
        <v>1143</v>
      </c>
      <c r="BP69" t="s">
        <v>1144</v>
      </c>
      <c r="BQ69" t="s">
        <v>566</v>
      </c>
      <c r="BS69" t="s">
        <v>21921</v>
      </c>
      <c r="BT69" t="s">
        <v>13920</v>
      </c>
      <c r="BU69" t="s">
        <v>569</v>
      </c>
      <c r="BV69" t="s">
        <v>13921</v>
      </c>
      <c r="BW69" t="s">
        <v>13922</v>
      </c>
      <c r="BX69" t="s">
        <v>3292</v>
      </c>
      <c r="BY69" t="s">
        <v>13920</v>
      </c>
      <c r="BZ69" t="s">
        <v>13921</v>
      </c>
      <c r="CA69" t="s">
        <v>13922</v>
      </c>
      <c r="CB69" t="s">
        <v>13920</v>
      </c>
      <c r="CC69" t="s">
        <v>13921</v>
      </c>
      <c r="CD69" t="s">
        <v>13922</v>
      </c>
      <c r="CE69" t="s">
        <v>102</v>
      </c>
      <c r="CF69" t="s">
        <v>4128</v>
      </c>
      <c r="CH69" t="s">
        <v>3298</v>
      </c>
      <c r="CJ69" t="s">
        <v>3284</v>
      </c>
      <c r="CK69" t="s">
        <v>449</v>
      </c>
      <c r="CL69" t="s">
        <v>3298</v>
      </c>
      <c r="CM69" t="s">
        <v>3299</v>
      </c>
      <c r="CN69" t="s">
        <v>3297</v>
      </c>
      <c r="CO69" t="s">
        <v>3297</v>
      </c>
    </row>
    <row r="70" spans="1:93" hidden="1">
      <c r="A70" t="s">
        <v>149</v>
      </c>
      <c r="B70">
        <v>2457713</v>
      </c>
      <c r="C70" t="s">
        <v>3456</v>
      </c>
      <c r="D70" t="s">
        <v>21661</v>
      </c>
      <c r="E70" t="s">
        <v>21214</v>
      </c>
      <c r="F70" t="s">
        <v>152</v>
      </c>
      <c r="G70" t="s">
        <v>98</v>
      </c>
      <c r="H70" t="s">
        <v>23481</v>
      </c>
      <c r="I70" t="s">
        <v>100</v>
      </c>
      <c r="J70">
        <v>2378671</v>
      </c>
      <c r="K70">
        <v>2378671</v>
      </c>
      <c r="L70">
        <v>0</v>
      </c>
      <c r="M70">
        <v>0</v>
      </c>
      <c r="O70">
        <v>2378671</v>
      </c>
      <c r="P70">
        <v>1239</v>
      </c>
      <c r="Q70" t="s">
        <v>14021</v>
      </c>
      <c r="R70">
        <v>0</v>
      </c>
      <c r="S70">
        <v>0</v>
      </c>
      <c r="U70" t="s">
        <v>102</v>
      </c>
      <c r="V70" t="s">
        <v>103</v>
      </c>
      <c r="W70" t="s">
        <v>155</v>
      </c>
      <c r="Y70" t="s">
        <v>22101</v>
      </c>
      <c r="Z70" t="s">
        <v>23482</v>
      </c>
      <c r="AA70" t="s">
        <v>22526</v>
      </c>
      <c r="AB70" t="s">
        <v>23483</v>
      </c>
      <c r="AC70" t="s">
        <v>21892</v>
      </c>
      <c r="AD70" t="s">
        <v>23483</v>
      </c>
      <c r="AE70" t="s">
        <v>21821</v>
      </c>
      <c r="AF70" t="s">
        <v>23484</v>
      </c>
      <c r="AG70" t="s">
        <v>102</v>
      </c>
      <c r="AJ70" t="s">
        <v>23482</v>
      </c>
      <c r="AK70" t="s">
        <v>102</v>
      </c>
      <c r="AL70" t="s">
        <v>23482</v>
      </c>
      <c r="AM70" t="s">
        <v>23485</v>
      </c>
      <c r="AN70" t="s">
        <v>23485</v>
      </c>
      <c r="AS70" t="s">
        <v>102</v>
      </c>
      <c r="AU70" t="s">
        <v>155</v>
      </c>
      <c r="AV70" t="s">
        <v>447</v>
      </c>
      <c r="AW70" t="s">
        <v>170</v>
      </c>
      <c r="AX70" t="s">
        <v>118</v>
      </c>
      <c r="AZ70" t="s">
        <v>120</v>
      </c>
      <c r="BA70" t="s">
        <v>3465</v>
      </c>
      <c r="BB70" t="s">
        <v>211</v>
      </c>
      <c r="BC70" t="s">
        <v>212</v>
      </c>
      <c r="BD70" t="s">
        <v>213</v>
      </c>
      <c r="BE70" t="s">
        <v>124</v>
      </c>
      <c r="BF70" t="s">
        <v>21784</v>
      </c>
      <c r="BG70" t="s">
        <v>21806</v>
      </c>
      <c r="BH70" t="s">
        <v>127</v>
      </c>
      <c r="BI70" t="s">
        <v>23486</v>
      </c>
      <c r="BJ70" t="s">
        <v>3467</v>
      </c>
      <c r="BK70" t="s">
        <v>23487</v>
      </c>
      <c r="BL70" t="s">
        <v>21214</v>
      </c>
      <c r="BM70" t="s">
        <v>7108</v>
      </c>
      <c r="BN70" t="s">
        <v>180</v>
      </c>
      <c r="BO70" t="s">
        <v>7109</v>
      </c>
      <c r="BP70" t="s">
        <v>2151</v>
      </c>
      <c r="BQ70" t="s">
        <v>2151</v>
      </c>
      <c r="BS70" t="s">
        <v>23488</v>
      </c>
      <c r="BT70" t="s">
        <v>14034</v>
      </c>
      <c r="BU70" t="s">
        <v>354</v>
      </c>
      <c r="BV70" t="s">
        <v>3473</v>
      </c>
      <c r="BW70" t="s">
        <v>14035</v>
      </c>
      <c r="BX70" t="s">
        <v>3473</v>
      </c>
      <c r="BY70" t="s">
        <v>23489</v>
      </c>
      <c r="BZ70" t="s">
        <v>3473</v>
      </c>
      <c r="CA70" t="s">
        <v>14037</v>
      </c>
      <c r="CB70" t="s">
        <v>23489</v>
      </c>
      <c r="CC70" t="s">
        <v>3473</v>
      </c>
      <c r="CD70" t="s">
        <v>14037</v>
      </c>
      <c r="CE70" t="s">
        <v>3474</v>
      </c>
      <c r="CF70" t="s">
        <v>3475</v>
      </c>
      <c r="CH70" t="s">
        <v>3476</v>
      </c>
      <c r="CI70" t="s">
        <v>3475</v>
      </c>
      <c r="CJ70" t="s">
        <v>3465</v>
      </c>
      <c r="CK70" t="s">
        <v>211</v>
      </c>
      <c r="CL70" t="s">
        <v>3476</v>
      </c>
      <c r="CM70" t="s">
        <v>3477</v>
      </c>
      <c r="CN70" t="s">
        <v>3475</v>
      </c>
      <c r="CO70" t="s">
        <v>3475</v>
      </c>
    </row>
    <row r="71" spans="1:93" hidden="1">
      <c r="A71" t="s">
        <v>149</v>
      </c>
      <c r="B71">
        <v>2458794</v>
      </c>
      <c r="C71" t="s">
        <v>3478</v>
      </c>
      <c r="D71" t="s">
        <v>21661</v>
      </c>
      <c r="E71" t="s">
        <v>14623</v>
      </c>
      <c r="F71" t="s">
        <v>152</v>
      </c>
      <c r="G71" t="s">
        <v>98</v>
      </c>
      <c r="H71" t="s">
        <v>23490</v>
      </c>
      <c r="I71" t="s">
        <v>100</v>
      </c>
      <c r="J71">
        <v>584364</v>
      </c>
      <c r="K71">
        <v>584364</v>
      </c>
      <c r="L71">
        <v>0</v>
      </c>
      <c r="M71">
        <v>0</v>
      </c>
      <c r="O71">
        <v>584364</v>
      </c>
      <c r="P71">
        <v>285</v>
      </c>
      <c r="Q71" t="s">
        <v>3481</v>
      </c>
      <c r="R71">
        <v>0</v>
      </c>
      <c r="S71">
        <v>0</v>
      </c>
      <c r="U71" t="s">
        <v>102</v>
      </c>
      <c r="V71" t="s">
        <v>103</v>
      </c>
      <c r="W71" t="s">
        <v>155</v>
      </c>
      <c r="Y71" t="s">
        <v>20476</v>
      </c>
      <c r="Z71" t="s">
        <v>23491</v>
      </c>
      <c r="AA71" t="s">
        <v>21786</v>
      </c>
      <c r="AB71" t="s">
        <v>23491</v>
      </c>
      <c r="AC71" t="s">
        <v>21944</v>
      </c>
      <c r="AD71" t="s">
        <v>23491</v>
      </c>
      <c r="AE71" t="s">
        <v>21945</v>
      </c>
      <c r="AF71" t="s">
        <v>23491</v>
      </c>
      <c r="AG71" t="s">
        <v>26102</v>
      </c>
      <c r="AH71" t="s">
        <v>26057</v>
      </c>
      <c r="AI71" t="s">
        <v>26057</v>
      </c>
      <c r="AJ71" t="s">
        <v>23491</v>
      </c>
      <c r="AK71" t="s">
        <v>26103</v>
      </c>
      <c r="AL71" t="s">
        <v>102</v>
      </c>
      <c r="AM71" t="s">
        <v>3489</v>
      </c>
      <c r="AN71" t="s">
        <v>23492</v>
      </c>
      <c r="AR71" t="s">
        <v>169</v>
      </c>
      <c r="AS71" t="s">
        <v>102</v>
      </c>
      <c r="AU71" t="s">
        <v>155</v>
      </c>
      <c r="AV71" t="s">
        <v>447</v>
      </c>
      <c r="AW71" t="s">
        <v>170</v>
      </c>
      <c r="AX71" t="s">
        <v>118</v>
      </c>
      <c r="AZ71" t="s">
        <v>120</v>
      </c>
      <c r="BA71" t="s">
        <v>3490</v>
      </c>
      <c r="BB71" t="s">
        <v>345</v>
      </c>
      <c r="BC71" t="s">
        <v>122</v>
      </c>
      <c r="BD71" t="s">
        <v>346</v>
      </c>
      <c r="BE71" t="s">
        <v>124</v>
      </c>
      <c r="BF71" t="s">
        <v>12250</v>
      </c>
      <c r="BG71" t="s">
        <v>21667</v>
      </c>
      <c r="BH71" t="s">
        <v>127</v>
      </c>
      <c r="BI71" t="s">
        <v>23493</v>
      </c>
      <c r="BJ71" t="s">
        <v>3492</v>
      </c>
      <c r="BK71" t="s">
        <v>23494</v>
      </c>
      <c r="BL71" t="s">
        <v>14623</v>
      </c>
      <c r="BM71" t="s">
        <v>23495</v>
      </c>
      <c r="BN71" t="s">
        <v>350</v>
      </c>
      <c r="BO71" t="s">
        <v>23496</v>
      </c>
      <c r="BP71" t="s">
        <v>23497</v>
      </c>
      <c r="BQ71" t="s">
        <v>328</v>
      </c>
      <c r="BS71" t="s">
        <v>23498</v>
      </c>
      <c r="BT71" t="s">
        <v>14047</v>
      </c>
      <c r="BU71" t="s">
        <v>354</v>
      </c>
      <c r="BV71" t="s">
        <v>3496</v>
      </c>
      <c r="BW71" t="s">
        <v>3497</v>
      </c>
      <c r="BX71" t="s">
        <v>3498</v>
      </c>
      <c r="BY71" t="s">
        <v>14048</v>
      </c>
      <c r="BZ71" t="s">
        <v>23499</v>
      </c>
      <c r="CA71" t="s">
        <v>23500</v>
      </c>
      <c r="CB71" t="s">
        <v>23501</v>
      </c>
      <c r="CC71" t="s">
        <v>14052</v>
      </c>
      <c r="CD71" t="s">
        <v>14053</v>
      </c>
      <c r="CE71" t="s">
        <v>3499</v>
      </c>
      <c r="CF71" t="s">
        <v>3500</v>
      </c>
      <c r="CH71" t="s">
        <v>3501</v>
      </c>
      <c r="CI71" t="s">
        <v>3500</v>
      </c>
      <c r="CJ71" t="s">
        <v>3490</v>
      </c>
      <c r="CK71" t="s">
        <v>345</v>
      </c>
      <c r="CL71" t="s">
        <v>3501</v>
      </c>
      <c r="CM71" t="s">
        <v>3502</v>
      </c>
      <c r="CN71" t="s">
        <v>3500</v>
      </c>
      <c r="CO71" t="s">
        <v>3500</v>
      </c>
    </row>
    <row r="72" spans="1:93" hidden="1">
      <c r="A72" t="s">
        <v>93</v>
      </c>
      <c r="B72">
        <v>2470230</v>
      </c>
      <c r="C72" t="s">
        <v>14077</v>
      </c>
      <c r="D72" t="s">
        <v>21661</v>
      </c>
      <c r="E72" t="s">
        <v>26057</v>
      </c>
      <c r="F72" t="s">
        <v>848</v>
      </c>
      <c r="G72" t="s">
        <v>98</v>
      </c>
      <c r="H72" t="s">
        <v>26104</v>
      </c>
      <c r="I72" t="s">
        <v>100</v>
      </c>
      <c r="J72">
        <v>0</v>
      </c>
      <c r="K72">
        <v>0</v>
      </c>
      <c r="L72">
        <v>0</v>
      </c>
      <c r="M72">
        <v>0</v>
      </c>
      <c r="O72">
        <v>0</v>
      </c>
      <c r="P72">
        <v>0</v>
      </c>
      <c r="R72">
        <v>0</v>
      </c>
      <c r="S72">
        <v>600</v>
      </c>
      <c r="T72" t="s">
        <v>102</v>
      </c>
      <c r="U72" t="s">
        <v>102</v>
      </c>
      <c r="V72" t="s">
        <v>103</v>
      </c>
      <c r="W72" t="s">
        <v>155</v>
      </c>
      <c r="Y72" t="s">
        <v>23756</v>
      </c>
      <c r="Z72" t="s">
        <v>102</v>
      </c>
      <c r="AA72" t="s">
        <v>20023</v>
      </c>
      <c r="AB72" t="s">
        <v>102</v>
      </c>
      <c r="AC72" t="s">
        <v>23352</v>
      </c>
      <c r="AD72" t="s">
        <v>102</v>
      </c>
      <c r="AE72" t="s">
        <v>21945</v>
      </c>
      <c r="AF72" t="s">
        <v>102</v>
      </c>
      <c r="AG72" t="s">
        <v>102</v>
      </c>
      <c r="AJ72" t="s">
        <v>102</v>
      </c>
      <c r="AK72" t="s">
        <v>102</v>
      </c>
      <c r="AL72" t="s">
        <v>102</v>
      </c>
      <c r="AM72" t="s">
        <v>115</v>
      </c>
      <c r="AN72" t="s">
        <v>115</v>
      </c>
      <c r="AS72" t="s">
        <v>102</v>
      </c>
      <c r="AU72" t="s">
        <v>102</v>
      </c>
      <c r="AV72" t="s">
        <v>119</v>
      </c>
      <c r="AY72" t="s">
        <v>250</v>
      </c>
      <c r="AZ72" t="s">
        <v>120</v>
      </c>
      <c r="BA72" t="s">
        <v>7718</v>
      </c>
      <c r="BB72" t="s">
        <v>211</v>
      </c>
      <c r="BC72" t="s">
        <v>212</v>
      </c>
      <c r="BD72" t="s">
        <v>213</v>
      </c>
      <c r="BE72" t="s">
        <v>124</v>
      </c>
      <c r="BF72" t="s">
        <v>12250</v>
      </c>
      <c r="BG72" t="s">
        <v>21667</v>
      </c>
      <c r="BH72" t="s">
        <v>127</v>
      </c>
      <c r="BI72" t="s">
        <v>26105</v>
      </c>
      <c r="BJ72" t="s">
        <v>14093</v>
      </c>
      <c r="BK72" t="s">
        <v>26106</v>
      </c>
      <c r="BL72" t="s">
        <v>26057</v>
      </c>
      <c r="BM72" t="s">
        <v>19633</v>
      </c>
      <c r="BN72" t="s">
        <v>505</v>
      </c>
      <c r="BO72" t="s">
        <v>19634</v>
      </c>
      <c r="BP72" t="s">
        <v>19635</v>
      </c>
      <c r="BQ72" t="s">
        <v>2463</v>
      </c>
      <c r="BS72" t="s">
        <v>26107</v>
      </c>
      <c r="BT72" t="s">
        <v>3585</v>
      </c>
      <c r="BU72" t="s">
        <v>598</v>
      </c>
      <c r="BV72" t="s">
        <v>225</v>
      </c>
      <c r="BW72" t="s">
        <v>226</v>
      </c>
      <c r="BX72" t="s">
        <v>14099</v>
      </c>
      <c r="BY72" t="s">
        <v>26108</v>
      </c>
      <c r="BZ72" t="s">
        <v>225</v>
      </c>
      <c r="CA72" t="s">
        <v>226</v>
      </c>
      <c r="CB72" t="s">
        <v>26108</v>
      </c>
      <c r="CC72" t="s">
        <v>225</v>
      </c>
      <c r="CD72" t="s">
        <v>226</v>
      </c>
      <c r="CE72" t="s">
        <v>14103</v>
      </c>
      <c r="CF72" t="s">
        <v>14104</v>
      </c>
      <c r="CG72" t="s">
        <v>26109</v>
      </c>
      <c r="CH72" t="s">
        <v>5844</v>
      </c>
      <c r="CI72" t="s">
        <v>26110</v>
      </c>
      <c r="CJ72" t="s">
        <v>7718</v>
      </c>
      <c r="CK72" t="s">
        <v>2474</v>
      </c>
      <c r="CL72" t="s">
        <v>5844</v>
      </c>
      <c r="CM72" t="s">
        <v>14105</v>
      </c>
      <c r="CN72" t="s">
        <v>14106</v>
      </c>
      <c r="CO72" t="s">
        <v>14106</v>
      </c>
    </row>
    <row r="73" spans="1:93" hidden="1">
      <c r="A73" t="s">
        <v>149</v>
      </c>
      <c r="B73">
        <v>2470596</v>
      </c>
      <c r="C73" t="s">
        <v>3522</v>
      </c>
      <c r="D73" t="s">
        <v>21661</v>
      </c>
      <c r="E73" t="s">
        <v>26414</v>
      </c>
      <c r="F73" t="s">
        <v>1086</v>
      </c>
      <c r="G73" t="s">
        <v>98</v>
      </c>
      <c r="H73" t="s">
        <v>26415</v>
      </c>
      <c r="I73" t="s">
        <v>100</v>
      </c>
      <c r="J73">
        <v>1523364</v>
      </c>
      <c r="K73">
        <v>1667955</v>
      </c>
      <c r="L73">
        <v>163139</v>
      </c>
      <c r="M73">
        <v>399</v>
      </c>
      <c r="N73" t="s">
        <v>26416</v>
      </c>
      <c r="O73">
        <v>556940</v>
      </c>
      <c r="P73">
        <v>399</v>
      </c>
      <c r="Q73" t="s">
        <v>20674</v>
      </c>
      <c r="R73">
        <v>803285</v>
      </c>
      <c r="S73">
        <v>559</v>
      </c>
      <c r="T73" t="s">
        <v>26417</v>
      </c>
      <c r="U73" t="s">
        <v>102</v>
      </c>
      <c r="V73" t="s">
        <v>103</v>
      </c>
      <c r="W73" t="s">
        <v>104</v>
      </c>
      <c r="Y73" t="s">
        <v>26418</v>
      </c>
      <c r="Z73" t="s">
        <v>26419</v>
      </c>
      <c r="AA73" t="s">
        <v>21847</v>
      </c>
      <c r="AB73" t="s">
        <v>26419</v>
      </c>
      <c r="AC73" t="s">
        <v>109</v>
      </c>
      <c r="AD73" t="s">
        <v>102</v>
      </c>
      <c r="AE73" t="s">
        <v>109</v>
      </c>
      <c r="AF73" t="s">
        <v>102</v>
      </c>
      <c r="AG73" t="s">
        <v>102</v>
      </c>
      <c r="AJ73" t="s">
        <v>102</v>
      </c>
      <c r="AK73" t="s">
        <v>102</v>
      </c>
      <c r="AL73" t="s">
        <v>102</v>
      </c>
      <c r="AM73" t="s">
        <v>26420</v>
      </c>
      <c r="AN73" t="s">
        <v>26420</v>
      </c>
      <c r="AS73" t="s">
        <v>207</v>
      </c>
      <c r="AT73" t="s">
        <v>250</v>
      </c>
      <c r="AU73" t="s">
        <v>3536</v>
      </c>
      <c r="AV73" t="s">
        <v>119</v>
      </c>
      <c r="AX73" t="s">
        <v>250</v>
      </c>
      <c r="AY73" t="s">
        <v>250</v>
      </c>
      <c r="AZ73" t="s">
        <v>171</v>
      </c>
      <c r="BA73" t="s">
        <v>3537</v>
      </c>
      <c r="BB73" t="s">
        <v>410</v>
      </c>
      <c r="BC73" t="s">
        <v>212</v>
      </c>
      <c r="BD73" t="s">
        <v>410</v>
      </c>
      <c r="BE73" t="s">
        <v>124</v>
      </c>
      <c r="BF73" t="s">
        <v>12788</v>
      </c>
      <c r="BG73" t="s">
        <v>26421</v>
      </c>
      <c r="BH73" t="s">
        <v>127</v>
      </c>
      <c r="BI73" t="s">
        <v>26422</v>
      </c>
      <c r="BJ73" t="s">
        <v>3539</v>
      </c>
      <c r="BK73" t="s">
        <v>26423</v>
      </c>
      <c r="BL73" t="s">
        <v>26414</v>
      </c>
      <c r="BM73" t="s">
        <v>415</v>
      </c>
      <c r="BN73" t="s">
        <v>180</v>
      </c>
      <c r="BO73" t="s">
        <v>416</v>
      </c>
      <c r="BP73" t="s">
        <v>417</v>
      </c>
      <c r="BQ73" t="s">
        <v>418</v>
      </c>
      <c r="BS73" t="s">
        <v>26424</v>
      </c>
      <c r="BT73" t="s">
        <v>14119</v>
      </c>
      <c r="BU73" t="s">
        <v>354</v>
      </c>
      <c r="BV73" t="s">
        <v>3545</v>
      </c>
      <c r="BW73" t="s">
        <v>14120</v>
      </c>
      <c r="BX73" t="s">
        <v>3545</v>
      </c>
      <c r="BY73" t="s">
        <v>14119</v>
      </c>
      <c r="BZ73" t="s">
        <v>3545</v>
      </c>
      <c r="CA73" t="s">
        <v>14120</v>
      </c>
      <c r="CB73" t="s">
        <v>14119</v>
      </c>
      <c r="CC73" t="s">
        <v>3545</v>
      </c>
      <c r="CD73" t="s">
        <v>14120</v>
      </c>
      <c r="CE73" t="s">
        <v>102</v>
      </c>
      <c r="CF73" t="s">
        <v>3546</v>
      </c>
      <c r="CH73" t="s">
        <v>3547</v>
      </c>
      <c r="CJ73" t="s">
        <v>3537</v>
      </c>
      <c r="CK73" t="s">
        <v>410</v>
      </c>
      <c r="CL73" t="s">
        <v>3547</v>
      </c>
      <c r="CN73" t="s">
        <v>3546</v>
      </c>
      <c r="CO73" t="s">
        <v>3546</v>
      </c>
    </row>
    <row r="74" spans="1:93" hidden="1">
      <c r="A74" t="s">
        <v>149</v>
      </c>
      <c r="B74">
        <v>2472480</v>
      </c>
      <c r="C74" t="s">
        <v>3590</v>
      </c>
      <c r="D74" t="s">
        <v>21661</v>
      </c>
      <c r="E74" t="s">
        <v>12129</v>
      </c>
      <c r="F74" t="s">
        <v>193</v>
      </c>
      <c r="G74" t="s">
        <v>98</v>
      </c>
      <c r="H74" t="s">
        <v>24196</v>
      </c>
      <c r="I74" t="s">
        <v>100</v>
      </c>
      <c r="J74">
        <v>565810</v>
      </c>
      <c r="K74">
        <v>615093</v>
      </c>
      <c r="L74">
        <v>292013</v>
      </c>
      <c r="M74">
        <v>619</v>
      </c>
      <c r="N74" t="s">
        <v>24197</v>
      </c>
      <c r="O74">
        <v>0</v>
      </c>
      <c r="P74">
        <v>0</v>
      </c>
      <c r="R74">
        <v>273797</v>
      </c>
      <c r="S74">
        <v>323</v>
      </c>
      <c r="T74" t="s">
        <v>19950</v>
      </c>
      <c r="U74" t="s">
        <v>102</v>
      </c>
      <c r="V74" t="s">
        <v>103</v>
      </c>
      <c r="W74" t="s">
        <v>398</v>
      </c>
      <c r="Y74" t="s">
        <v>12129</v>
      </c>
      <c r="Z74" t="s">
        <v>24198</v>
      </c>
      <c r="AA74" t="s">
        <v>19143</v>
      </c>
      <c r="AB74" t="s">
        <v>24199</v>
      </c>
      <c r="AC74" t="s">
        <v>21665</v>
      </c>
      <c r="AD74" t="s">
        <v>24199</v>
      </c>
      <c r="AE74" t="s">
        <v>109</v>
      </c>
      <c r="AF74" t="s">
        <v>102</v>
      </c>
      <c r="AG74" t="s">
        <v>102</v>
      </c>
      <c r="AJ74" t="s">
        <v>24198</v>
      </c>
      <c r="AK74" t="s">
        <v>102</v>
      </c>
      <c r="AL74" t="s">
        <v>24198</v>
      </c>
      <c r="AM74" t="s">
        <v>24200</v>
      </c>
      <c r="AN74" t="s">
        <v>24201</v>
      </c>
      <c r="AO74" t="s">
        <v>102</v>
      </c>
      <c r="AP74" t="s">
        <v>102</v>
      </c>
      <c r="AQ74" t="s">
        <v>102</v>
      </c>
      <c r="AR74" t="s">
        <v>2760</v>
      </c>
      <c r="AS74" t="s">
        <v>207</v>
      </c>
      <c r="AT74" t="s">
        <v>118</v>
      </c>
      <c r="AU74" t="s">
        <v>102</v>
      </c>
      <c r="AV74" t="s">
        <v>119</v>
      </c>
      <c r="AY74" t="s">
        <v>250</v>
      </c>
      <c r="AZ74" t="s">
        <v>120</v>
      </c>
      <c r="BA74" t="s">
        <v>2327</v>
      </c>
      <c r="BB74" t="s">
        <v>730</v>
      </c>
      <c r="BC74" t="s">
        <v>622</v>
      </c>
      <c r="BD74" t="s">
        <v>730</v>
      </c>
      <c r="BE74" t="s">
        <v>124</v>
      </c>
      <c r="BF74" t="s">
        <v>12250</v>
      </c>
      <c r="BG74" t="s">
        <v>21667</v>
      </c>
      <c r="BH74" t="s">
        <v>127</v>
      </c>
      <c r="BI74" t="s">
        <v>24202</v>
      </c>
      <c r="BJ74" t="s">
        <v>3604</v>
      </c>
      <c r="BK74" t="s">
        <v>24203</v>
      </c>
      <c r="BL74" t="s">
        <v>12129</v>
      </c>
      <c r="BM74" t="s">
        <v>3606</v>
      </c>
      <c r="BN74" t="s">
        <v>350</v>
      </c>
      <c r="BO74" t="s">
        <v>3607</v>
      </c>
      <c r="BP74" t="s">
        <v>3608</v>
      </c>
      <c r="BQ74" t="s">
        <v>3562</v>
      </c>
      <c r="BS74" t="s">
        <v>24204</v>
      </c>
      <c r="BT74" t="s">
        <v>3610</v>
      </c>
      <c r="BU74" t="s">
        <v>138</v>
      </c>
      <c r="BV74" t="s">
        <v>3611</v>
      </c>
      <c r="BW74" t="s">
        <v>3612</v>
      </c>
      <c r="BX74" t="s">
        <v>3613</v>
      </c>
      <c r="BY74" t="s">
        <v>24205</v>
      </c>
      <c r="BZ74" t="s">
        <v>3611</v>
      </c>
      <c r="CA74" t="s">
        <v>3612</v>
      </c>
      <c r="CB74" t="s">
        <v>24206</v>
      </c>
      <c r="CC74" t="s">
        <v>14166</v>
      </c>
      <c r="CD74" t="s">
        <v>14167</v>
      </c>
      <c r="CE74" t="s">
        <v>102</v>
      </c>
      <c r="CF74" t="s">
        <v>3614</v>
      </c>
      <c r="CH74" t="s">
        <v>3615</v>
      </c>
      <c r="CJ74" t="s">
        <v>2327</v>
      </c>
      <c r="CK74" t="s">
        <v>730</v>
      </c>
      <c r="CL74" t="s">
        <v>3615</v>
      </c>
      <c r="CM74" t="s">
        <v>3616</v>
      </c>
      <c r="CN74" t="s">
        <v>3614</v>
      </c>
      <c r="CO74" t="s">
        <v>3614</v>
      </c>
    </row>
    <row r="75" spans="1:93" hidden="1">
      <c r="A75" t="s">
        <v>149</v>
      </c>
      <c r="B75">
        <v>2473015</v>
      </c>
      <c r="C75" t="s">
        <v>3617</v>
      </c>
      <c r="D75" t="s">
        <v>21661</v>
      </c>
      <c r="E75" t="s">
        <v>16558</v>
      </c>
      <c r="F75" t="s">
        <v>848</v>
      </c>
      <c r="G75" t="s">
        <v>98</v>
      </c>
      <c r="H75" t="s">
        <v>23727</v>
      </c>
      <c r="I75" t="s">
        <v>100</v>
      </c>
      <c r="J75">
        <v>907672</v>
      </c>
      <c r="K75">
        <v>1071053</v>
      </c>
      <c r="L75">
        <v>0</v>
      </c>
      <c r="M75">
        <v>0</v>
      </c>
      <c r="O75">
        <v>0</v>
      </c>
      <c r="P75">
        <v>0</v>
      </c>
      <c r="R75">
        <v>907672</v>
      </c>
      <c r="S75">
        <v>350</v>
      </c>
      <c r="T75" t="s">
        <v>23115</v>
      </c>
      <c r="U75" t="s">
        <v>102</v>
      </c>
      <c r="V75" t="s">
        <v>103</v>
      </c>
      <c r="W75" t="s">
        <v>155</v>
      </c>
      <c r="Y75" t="s">
        <v>21843</v>
      </c>
      <c r="Z75" t="s">
        <v>23728</v>
      </c>
      <c r="AA75" t="s">
        <v>21664</v>
      </c>
      <c r="AB75" t="s">
        <v>23728</v>
      </c>
      <c r="AC75" t="s">
        <v>21665</v>
      </c>
      <c r="AD75" t="s">
        <v>23728</v>
      </c>
      <c r="AE75" t="s">
        <v>21687</v>
      </c>
      <c r="AF75" t="s">
        <v>23728</v>
      </c>
      <c r="AG75" t="s">
        <v>102</v>
      </c>
      <c r="AJ75" t="s">
        <v>23728</v>
      </c>
      <c r="AK75" t="s">
        <v>102</v>
      </c>
      <c r="AL75" t="s">
        <v>23728</v>
      </c>
      <c r="AM75" t="s">
        <v>23118</v>
      </c>
      <c r="AN75" t="s">
        <v>343</v>
      </c>
      <c r="AR75" t="s">
        <v>169</v>
      </c>
      <c r="AS75" t="s">
        <v>102</v>
      </c>
      <c r="AU75" t="s">
        <v>102</v>
      </c>
      <c r="AV75" t="s">
        <v>119</v>
      </c>
      <c r="AY75" t="s">
        <v>250</v>
      </c>
      <c r="AZ75" t="s">
        <v>120</v>
      </c>
      <c r="BA75" t="s">
        <v>2840</v>
      </c>
      <c r="BB75" t="s">
        <v>449</v>
      </c>
      <c r="BC75" t="s">
        <v>122</v>
      </c>
      <c r="BD75" t="s">
        <v>253</v>
      </c>
      <c r="BE75" t="s">
        <v>124</v>
      </c>
      <c r="BF75" t="s">
        <v>12250</v>
      </c>
      <c r="BG75" t="s">
        <v>21667</v>
      </c>
      <c r="BH75" t="s">
        <v>127</v>
      </c>
      <c r="BI75" t="s">
        <v>23729</v>
      </c>
      <c r="BJ75" t="s">
        <v>3628</v>
      </c>
      <c r="BK75" t="s">
        <v>23730</v>
      </c>
      <c r="BL75" t="s">
        <v>16558</v>
      </c>
      <c r="BM75" t="s">
        <v>3267</v>
      </c>
      <c r="BN75" t="s">
        <v>350</v>
      </c>
      <c r="BO75" t="s">
        <v>3268</v>
      </c>
      <c r="BP75" t="s">
        <v>3269</v>
      </c>
      <c r="BQ75" t="s">
        <v>135</v>
      </c>
      <c r="BS75" t="s">
        <v>23731</v>
      </c>
      <c r="BT75" t="s">
        <v>11694</v>
      </c>
      <c r="BU75" t="s">
        <v>138</v>
      </c>
      <c r="BV75" t="s">
        <v>11695</v>
      </c>
      <c r="BW75" t="s">
        <v>11696</v>
      </c>
      <c r="BX75" t="s">
        <v>3634</v>
      </c>
      <c r="BY75" t="s">
        <v>14181</v>
      </c>
      <c r="BZ75" t="s">
        <v>3634</v>
      </c>
      <c r="CA75" t="s">
        <v>3633</v>
      </c>
      <c r="CB75" t="s">
        <v>23732</v>
      </c>
      <c r="CC75" t="s">
        <v>23733</v>
      </c>
      <c r="CD75" t="s">
        <v>23734</v>
      </c>
      <c r="CE75" t="s">
        <v>102</v>
      </c>
      <c r="CF75" t="s">
        <v>14182</v>
      </c>
      <c r="CH75" t="s">
        <v>2855</v>
      </c>
      <c r="CJ75" t="s">
        <v>2840</v>
      </c>
      <c r="CK75" t="s">
        <v>449</v>
      </c>
      <c r="CL75" t="s">
        <v>2855</v>
      </c>
      <c r="CM75" t="s">
        <v>3637</v>
      </c>
      <c r="CN75" t="s">
        <v>3638</v>
      </c>
      <c r="CO75" t="s">
        <v>3636</v>
      </c>
    </row>
    <row r="76" spans="1:93">
      <c r="A76" t="s">
        <v>337</v>
      </c>
      <c r="B76">
        <v>2474591</v>
      </c>
      <c r="C76" t="s">
        <v>21923</v>
      </c>
      <c r="D76" t="s">
        <v>21661</v>
      </c>
      <c r="E76" t="s">
        <v>22571</v>
      </c>
      <c r="F76" t="s">
        <v>848</v>
      </c>
      <c r="G76" t="s">
        <v>98</v>
      </c>
      <c r="H76" t="s">
        <v>24207</v>
      </c>
      <c r="I76" t="s">
        <v>100</v>
      </c>
      <c r="J76">
        <v>662078</v>
      </c>
      <c r="K76">
        <v>781252</v>
      </c>
      <c r="L76">
        <v>0</v>
      </c>
      <c r="M76">
        <v>0</v>
      </c>
      <c r="O76">
        <v>0</v>
      </c>
      <c r="P76">
        <v>0</v>
      </c>
      <c r="R76">
        <v>662078</v>
      </c>
      <c r="S76">
        <v>662</v>
      </c>
      <c r="T76" t="s">
        <v>5042</v>
      </c>
      <c r="U76" t="s">
        <v>102</v>
      </c>
      <c r="V76" t="s">
        <v>103</v>
      </c>
      <c r="W76" t="s">
        <v>398</v>
      </c>
      <c r="Y76" t="s">
        <v>17302</v>
      </c>
      <c r="Z76" t="s">
        <v>21924</v>
      </c>
      <c r="AA76" t="s">
        <v>21826</v>
      </c>
      <c r="AB76" t="s">
        <v>21925</v>
      </c>
      <c r="AC76" t="s">
        <v>21828</v>
      </c>
      <c r="AD76" t="s">
        <v>21926</v>
      </c>
      <c r="AE76" t="s">
        <v>109</v>
      </c>
      <c r="AF76" t="s">
        <v>102</v>
      </c>
      <c r="AG76" t="s">
        <v>23502</v>
      </c>
      <c r="AH76" t="s">
        <v>17302</v>
      </c>
      <c r="AI76" t="s">
        <v>17302</v>
      </c>
      <c r="AJ76" t="s">
        <v>21924</v>
      </c>
      <c r="AK76" t="s">
        <v>23503</v>
      </c>
      <c r="AL76" t="s">
        <v>23504</v>
      </c>
      <c r="AM76" t="s">
        <v>9482</v>
      </c>
      <c r="AN76" t="s">
        <v>9482</v>
      </c>
      <c r="AS76" t="s">
        <v>102</v>
      </c>
      <c r="AU76" t="s">
        <v>102</v>
      </c>
      <c r="AV76" t="s">
        <v>119</v>
      </c>
      <c r="AY76" t="s">
        <v>250</v>
      </c>
      <c r="AZ76" t="s">
        <v>120</v>
      </c>
      <c r="BA76" t="s">
        <v>2542</v>
      </c>
      <c r="BB76" t="s">
        <v>2543</v>
      </c>
      <c r="BC76" t="s">
        <v>122</v>
      </c>
      <c r="BD76" t="s">
        <v>557</v>
      </c>
      <c r="BE76" t="s">
        <v>124</v>
      </c>
      <c r="BF76" t="s">
        <v>21784</v>
      </c>
      <c r="BG76" t="s">
        <v>21667</v>
      </c>
      <c r="BH76" t="s">
        <v>127</v>
      </c>
      <c r="BI76" t="s">
        <v>24208</v>
      </c>
      <c r="BJ76" t="s">
        <v>21927</v>
      </c>
      <c r="BK76" t="s">
        <v>21928</v>
      </c>
      <c r="BL76" t="s">
        <v>22571</v>
      </c>
      <c r="BM76" t="s">
        <v>13402</v>
      </c>
      <c r="BN76" t="s">
        <v>350</v>
      </c>
      <c r="BO76" t="s">
        <v>13403</v>
      </c>
      <c r="BP76" t="s">
        <v>13404</v>
      </c>
      <c r="BQ76" t="s">
        <v>13405</v>
      </c>
      <c r="BS76" t="s">
        <v>24209</v>
      </c>
      <c r="BT76" t="s">
        <v>21929</v>
      </c>
      <c r="BU76" t="s">
        <v>354</v>
      </c>
      <c r="BV76" t="s">
        <v>21930</v>
      </c>
      <c r="BW76" t="s">
        <v>21931</v>
      </c>
      <c r="BX76" t="s">
        <v>21930</v>
      </c>
      <c r="BY76" t="s">
        <v>21932</v>
      </c>
      <c r="BZ76" t="s">
        <v>21933</v>
      </c>
      <c r="CA76" t="s">
        <v>21934</v>
      </c>
      <c r="CB76" t="s">
        <v>21935</v>
      </c>
      <c r="CC76" t="s">
        <v>21936</v>
      </c>
      <c r="CD76" t="s">
        <v>21937</v>
      </c>
      <c r="CE76" t="s">
        <v>5207</v>
      </c>
      <c r="CF76" t="s">
        <v>21938</v>
      </c>
      <c r="CH76" t="s">
        <v>7610</v>
      </c>
      <c r="CJ76" t="s">
        <v>2542</v>
      </c>
      <c r="CK76" t="s">
        <v>2543</v>
      </c>
      <c r="CL76" t="s">
        <v>7610</v>
      </c>
      <c r="CM76" t="s">
        <v>21939</v>
      </c>
      <c r="CN76" t="s">
        <v>21940</v>
      </c>
      <c r="CO76" t="s">
        <v>21941</v>
      </c>
    </row>
    <row r="77" spans="1:93" hidden="1">
      <c r="A77" t="s">
        <v>149</v>
      </c>
      <c r="B77">
        <v>2497679</v>
      </c>
      <c r="C77" t="s">
        <v>3743</v>
      </c>
      <c r="D77" t="s">
        <v>21661</v>
      </c>
      <c r="E77" t="s">
        <v>26425</v>
      </c>
      <c r="F77" t="s">
        <v>26426</v>
      </c>
      <c r="G77" t="s">
        <v>98</v>
      </c>
      <c r="H77" t="s">
        <v>26427</v>
      </c>
      <c r="I77" t="s">
        <v>100</v>
      </c>
      <c r="J77">
        <v>2616819</v>
      </c>
      <c r="K77">
        <v>2812433</v>
      </c>
      <c r="L77">
        <v>393174</v>
      </c>
      <c r="M77">
        <v>950</v>
      </c>
      <c r="N77" t="s">
        <v>21942</v>
      </c>
      <c r="O77">
        <v>1136898</v>
      </c>
      <c r="P77">
        <v>1071</v>
      </c>
      <c r="Q77" t="s">
        <v>26428</v>
      </c>
      <c r="R77">
        <v>1086747</v>
      </c>
      <c r="S77">
        <v>829</v>
      </c>
      <c r="T77" t="s">
        <v>21943</v>
      </c>
      <c r="U77" t="s">
        <v>102</v>
      </c>
      <c r="V77" t="s">
        <v>679</v>
      </c>
      <c r="W77" t="s">
        <v>398</v>
      </c>
      <c r="X77" t="s">
        <v>21805</v>
      </c>
      <c r="Y77" t="s">
        <v>24975</v>
      </c>
      <c r="Z77" t="s">
        <v>26429</v>
      </c>
      <c r="AA77" t="s">
        <v>22731</v>
      </c>
      <c r="AB77" t="s">
        <v>26430</v>
      </c>
      <c r="AC77" t="s">
        <v>26431</v>
      </c>
      <c r="AD77" t="s">
        <v>26430</v>
      </c>
      <c r="AE77" t="s">
        <v>109</v>
      </c>
      <c r="AF77" t="s">
        <v>102</v>
      </c>
      <c r="AG77" t="s">
        <v>102</v>
      </c>
      <c r="AJ77" t="s">
        <v>102</v>
      </c>
      <c r="AK77" t="s">
        <v>102</v>
      </c>
      <c r="AL77" t="s">
        <v>102</v>
      </c>
      <c r="AM77" t="s">
        <v>26432</v>
      </c>
      <c r="AN77" t="s">
        <v>26432</v>
      </c>
      <c r="AS77" t="s">
        <v>207</v>
      </c>
      <c r="AT77" t="s">
        <v>118</v>
      </c>
      <c r="AU77" t="s">
        <v>155</v>
      </c>
      <c r="AV77" t="s">
        <v>447</v>
      </c>
      <c r="AW77" t="s">
        <v>170</v>
      </c>
      <c r="AX77" t="s">
        <v>118</v>
      </c>
      <c r="AY77" t="s">
        <v>250</v>
      </c>
      <c r="AZ77" t="s">
        <v>120</v>
      </c>
      <c r="BA77" t="s">
        <v>3754</v>
      </c>
      <c r="BB77" t="s">
        <v>173</v>
      </c>
      <c r="BC77" t="s">
        <v>174</v>
      </c>
      <c r="BD77" t="s">
        <v>173</v>
      </c>
      <c r="BE77" t="s">
        <v>124</v>
      </c>
      <c r="BF77" t="s">
        <v>12250</v>
      </c>
      <c r="BG77" t="s">
        <v>21667</v>
      </c>
      <c r="BH77" t="s">
        <v>127</v>
      </c>
      <c r="BI77" t="s">
        <v>26433</v>
      </c>
      <c r="BJ77" t="s">
        <v>3756</v>
      </c>
      <c r="BK77" t="s">
        <v>26434</v>
      </c>
      <c r="BL77" t="s">
        <v>26425</v>
      </c>
      <c r="BM77" t="s">
        <v>12557</v>
      </c>
      <c r="BN77" t="s">
        <v>180</v>
      </c>
      <c r="BO77" t="s">
        <v>12558</v>
      </c>
      <c r="BP77" t="s">
        <v>12559</v>
      </c>
      <c r="BQ77" t="s">
        <v>183</v>
      </c>
      <c r="BS77" t="s">
        <v>26435</v>
      </c>
      <c r="BT77" t="s">
        <v>21946</v>
      </c>
      <c r="BU77" t="s">
        <v>138</v>
      </c>
      <c r="BV77" t="s">
        <v>21947</v>
      </c>
      <c r="BW77" t="s">
        <v>21948</v>
      </c>
      <c r="BX77" t="s">
        <v>3762</v>
      </c>
      <c r="BY77" t="s">
        <v>21946</v>
      </c>
      <c r="BZ77" t="s">
        <v>21947</v>
      </c>
      <c r="CA77" t="s">
        <v>21948</v>
      </c>
      <c r="CB77" t="s">
        <v>26436</v>
      </c>
      <c r="CC77" t="s">
        <v>26437</v>
      </c>
      <c r="CD77" t="s">
        <v>26438</v>
      </c>
      <c r="CE77" t="s">
        <v>102</v>
      </c>
      <c r="CF77" t="s">
        <v>14263</v>
      </c>
      <c r="CG77" t="s">
        <v>26439</v>
      </c>
      <c r="CH77" t="s">
        <v>3768</v>
      </c>
      <c r="CI77" t="s">
        <v>14263</v>
      </c>
      <c r="CJ77" t="s">
        <v>3754</v>
      </c>
      <c r="CK77" t="s">
        <v>173</v>
      </c>
      <c r="CL77" t="s">
        <v>3768</v>
      </c>
      <c r="CM77" t="s">
        <v>3769</v>
      </c>
      <c r="CN77" t="s">
        <v>3770</v>
      </c>
      <c r="CO77" t="s">
        <v>3767</v>
      </c>
    </row>
    <row r="78" spans="1:93">
      <c r="A78" t="s">
        <v>337</v>
      </c>
      <c r="B78">
        <v>2499678</v>
      </c>
      <c r="C78" t="s">
        <v>25739</v>
      </c>
      <c r="D78" t="s">
        <v>21661</v>
      </c>
      <c r="E78" t="s">
        <v>25108</v>
      </c>
      <c r="F78" t="s">
        <v>97</v>
      </c>
      <c r="G78" t="s">
        <v>98</v>
      </c>
      <c r="H78" t="s">
        <v>25740</v>
      </c>
      <c r="I78" t="s">
        <v>100</v>
      </c>
      <c r="J78">
        <v>257400</v>
      </c>
      <c r="K78">
        <v>257400</v>
      </c>
      <c r="L78">
        <v>257400</v>
      </c>
      <c r="M78">
        <v>286</v>
      </c>
      <c r="N78" t="s">
        <v>2451</v>
      </c>
      <c r="O78">
        <v>0</v>
      </c>
      <c r="P78">
        <v>0</v>
      </c>
      <c r="R78">
        <v>0</v>
      </c>
      <c r="S78">
        <v>0</v>
      </c>
      <c r="U78" t="s">
        <v>102</v>
      </c>
      <c r="V78" t="s">
        <v>275</v>
      </c>
      <c r="X78" t="s">
        <v>20476</v>
      </c>
      <c r="Y78" t="s">
        <v>109</v>
      </c>
      <c r="Z78" t="s">
        <v>102</v>
      </c>
      <c r="AA78" t="s">
        <v>109</v>
      </c>
      <c r="AB78" t="s">
        <v>102</v>
      </c>
      <c r="AC78" t="s">
        <v>109</v>
      </c>
      <c r="AD78" t="s">
        <v>102</v>
      </c>
      <c r="AE78" t="s">
        <v>109</v>
      </c>
      <c r="AF78" t="s">
        <v>102</v>
      </c>
      <c r="AG78" t="s">
        <v>102</v>
      </c>
      <c r="AH78" t="s">
        <v>21790</v>
      </c>
      <c r="AI78" t="s">
        <v>21790</v>
      </c>
      <c r="AJ78" t="s">
        <v>25741</v>
      </c>
      <c r="AK78" t="s">
        <v>25742</v>
      </c>
      <c r="AL78" t="s">
        <v>25743</v>
      </c>
      <c r="AM78" t="s">
        <v>554</v>
      </c>
      <c r="AN78" t="s">
        <v>24610</v>
      </c>
      <c r="AO78" t="s">
        <v>102</v>
      </c>
      <c r="AP78" t="s">
        <v>102</v>
      </c>
      <c r="AQ78" t="s">
        <v>102</v>
      </c>
      <c r="AR78" t="s">
        <v>102</v>
      </c>
      <c r="AS78" t="s">
        <v>318</v>
      </c>
      <c r="AT78" t="s">
        <v>118</v>
      </c>
      <c r="AU78" t="s">
        <v>102</v>
      </c>
      <c r="AV78" t="s">
        <v>119</v>
      </c>
      <c r="AZ78" t="s">
        <v>120</v>
      </c>
      <c r="BA78" t="s">
        <v>25744</v>
      </c>
      <c r="BB78" t="s">
        <v>15570</v>
      </c>
      <c r="BC78" t="s">
        <v>212</v>
      </c>
      <c r="BD78" t="s">
        <v>213</v>
      </c>
      <c r="BE78" t="s">
        <v>124</v>
      </c>
      <c r="BF78" t="s">
        <v>25745</v>
      </c>
      <c r="BG78" t="s">
        <v>25746</v>
      </c>
      <c r="BH78" t="s">
        <v>127</v>
      </c>
      <c r="BI78" t="s">
        <v>25747</v>
      </c>
      <c r="BJ78" t="s">
        <v>25748</v>
      </c>
      <c r="BK78" t="s">
        <v>25749</v>
      </c>
      <c r="BL78" t="s">
        <v>25108</v>
      </c>
      <c r="BM78" t="s">
        <v>15574</v>
      </c>
      <c r="BN78" t="s">
        <v>180</v>
      </c>
      <c r="BO78" t="s">
        <v>15575</v>
      </c>
      <c r="BP78" t="s">
        <v>15576</v>
      </c>
      <c r="BQ78" t="s">
        <v>7225</v>
      </c>
      <c r="BR78" t="s">
        <v>483</v>
      </c>
      <c r="BS78" t="s">
        <v>25750</v>
      </c>
      <c r="BT78" t="s">
        <v>25751</v>
      </c>
      <c r="BU78" t="s">
        <v>138</v>
      </c>
      <c r="BV78" t="s">
        <v>25752</v>
      </c>
      <c r="BW78" t="s">
        <v>25753</v>
      </c>
      <c r="BX78" t="s">
        <v>25754</v>
      </c>
      <c r="BY78" t="s">
        <v>25755</v>
      </c>
      <c r="BZ78" t="s">
        <v>25752</v>
      </c>
      <c r="CA78" t="s">
        <v>25753</v>
      </c>
      <c r="CB78" t="s">
        <v>25755</v>
      </c>
      <c r="CC78" t="s">
        <v>25752</v>
      </c>
      <c r="CD78" t="s">
        <v>25753</v>
      </c>
      <c r="CE78" t="s">
        <v>25756</v>
      </c>
      <c r="CF78" t="s">
        <v>25757</v>
      </c>
      <c r="CH78" t="s">
        <v>25758</v>
      </c>
      <c r="CI78" t="s">
        <v>25757</v>
      </c>
      <c r="CJ78" t="s">
        <v>25744</v>
      </c>
      <c r="CK78" t="s">
        <v>15570</v>
      </c>
      <c r="CL78" t="s">
        <v>25758</v>
      </c>
      <c r="CN78" t="s">
        <v>25759</v>
      </c>
      <c r="CO78" t="s">
        <v>25759</v>
      </c>
    </row>
    <row r="79" spans="1:93" hidden="1">
      <c r="A79" t="s">
        <v>149</v>
      </c>
      <c r="B79">
        <v>2501573</v>
      </c>
      <c r="C79" t="s">
        <v>3771</v>
      </c>
      <c r="D79" t="s">
        <v>21661</v>
      </c>
      <c r="E79" t="s">
        <v>25760</v>
      </c>
      <c r="F79" t="s">
        <v>97</v>
      </c>
      <c r="G79" t="s">
        <v>98</v>
      </c>
      <c r="H79" t="s">
        <v>25761</v>
      </c>
      <c r="I79" t="s">
        <v>100</v>
      </c>
      <c r="J79">
        <v>561788</v>
      </c>
      <c r="K79">
        <v>561788</v>
      </c>
      <c r="L79">
        <v>561788</v>
      </c>
      <c r="M79">
        <v>872</v>
      </c>
      <c r="N79" t="s">
        <v>25762</v>
      </c>
      <c r="O79">
        <v>0</v>
      </c>
      <c r="P79">
        <v>0</v>
      </c>
      <c r="R79">
        <v>0</v>
      </c>
      <c r="S79">
        <v>0</v>
      </c>
      <c r="U79" t="s">
        <v>102</v>
      </c>
      <c r="V79" t="s">
        <v>275</v>
      </c>
      <c r="X79" t="s">
        <v>25763</v>
      </c>
      <c r="Y79" t="s">
        <v>109</v>
      </c>
      <c r="Z79" t="s">
        <v>102</v>
      </c>
      <c r="AA79" t="s">
        <v>109</v>
      </c>
      <c r="AB79" t="s">
        <v>102</v>
      </c>
      <c r="AC79" t="s">
        <v>109</v>
      </c>
      <c r="AD79" t="s">
        <v>102</v>
      </c>
      <c r="AE79" t="s">
        <v>109</v>
      </c>
      <c r="AF79" t="s">
        <v>102</v>
      </c>
      <c r="AG79" t="s">
        <v>102</v>
      </c>
      <c r="AJ79" t="s">
        <v>102</v>
      </c>
      <c r="AK79" t="s">
        <v>102</v>
      </c>
      <c r="AL79" t="s">
        <v>102</v>
      </c>
      <c r="AM79" t="s">
        <v>25764</v>
      </c>
      <c r="AN79" t="s">
        <v>25765</v>
      </c>
      <c r="AO79" t="s">
        <v>102</v>
      </c>
      <c r="AP79" t="s">
        <v>102</v>
      </c>
      <c r="AQ79" t="s">
        <v>102</v>
      </c>
      <c r="AR79" t="s">
        <v>102</v>
      </c>
      <c r="AS79" t="s">
        <v>3439</v>
      </c>
      <c r="AT79" t="s">
        <v>118</v>
      </c>
      <c r="AU79" t="s">
        <v>102</v>
      </c>
      <c r="AV79" t="s">
        <v>119</v>
      </c>
      <c r="AZ79" t="s">
        <v>120</v>
      </c>
      <c r="BA79" t="s">
        <v>1407</v>
      </c>
      <c r="BB79" t="s">
        <v>449</v>
      </c>
      <c r="BC79" t="s">
        <v>122</v>
      </c>
      <c r="BD79" t="s">
        <v>450</v>
      </c>
      <c r="BE79" t="s">
        <v>124</v>
      </c>
      <c r="BF79" t="s">
        <v>12250</v>
      </c>
      <c r="BG79" t="s">
        <v>21667</v>
      </c>
      <c r="BH79" t="s">
        <v>127</v>
      </c>
      <c r="BI79" t="s">
        <v>25766</v>
      </c>
      <c r="BJ79" t="s">
        <v>3779</v>
      </c>
      <c r="BK79" t="s">
        <v>25767</v>
      </c>
      <c r="BL79" t="s">
        <v>25760</v>
      </c>
      <c r="BM79" t="s">
        <v>8788</v>
      </c>
      <c r="BN79" t="s">
        <v>350</v>
      </c>
      <c r="BO79" t="s">
        <v>8789</v>
      </c>
      <c r="BP79" t="s">
        <v>8790</v>
      </c>
      <c r="BQ79" t="s">
        <v>1111</v>
      </c>
      <c r="BS79" t="s">
        <v>25768</v>
      </c>
      <c r="BT79" t="s">
        <v>3782</v>
      </c>
      <c r="BU79" t="s">
        <v>598</v>
      </c>
      <c r="BV79" t="s">
        <v>3783</v>
      </c>
      <c r="BW79" t="s">
        <v>3784</v>
      </c>
      <c r="BX79" t="s">
        <v>3783</v>
      </c>
      <c r="BY79" t="s">
        <v>25769</v>
      </c>
      <c r="BZ79" t="s">
        <v>25770</v>
      </c>
      <c r="CA79" t="s">
        <v>3784</v>
      </c>
      <c r="CB79" t="s">
        <v>3782</v>
      </c>
      <c r="CC79" t="s">
        <v>3783</v>
      </c>
      <c r="CD79" t="s">
        <v>3784</v>
      </c>
      <c r="CE79" t="s">
        <v>102</v>
      </c>
      <c r="CF79" t="s">
        <v>14278</v>
      </c>
      <c r="CH79" t="s">
        <v>3786</v>
      </c>
      <c r="CJ79" t="s">
        <v>1407</v>
      </c>
      <c r="CK79" t="s">
        <v>449</v>
      </c>
      <c r="CL79" t="s">
        <v>3786</v>
      </c>
      <c r="CN79" t="s">
        <v>3787</v>
      </c>
      <c r="CO79" t="s">
        <v>3785</v>
      </c>
    </row>
    <row r="80" spans="1:93" hidden="1">
      <c r="A80" t="s">
        <v>93</v>
      </c>
      <c r="B80">
        <v>2508568</v>
      </c>
      <c r="C80" t="s">
        <v>14300</v>
      </c>
      <c r="D80" t="s">
        <v>21661</v>
      </c>
      <c r="E80" t="s">
        <v>18964</v>
      </c>
      <c r="F80" t="s">
        <v>152</v>
      </c>
      <c r="G80" t="s">
        <v>98</v>
      </c>
      <c r="H80" t="s">
        <v>26440</v>
      </c>
      <c r="I80" t="s">
        <v>100</v>
      </c>
      <c r="J80">
        <v>405266</v>
      </c>
      <c r="K80">
        <v>405266</v>
      </c>
      <c r="L80">
        <v>0</v>
      </c>
      <c r="M80">
        <v>0</v>
      </c>
      <c r="O80">
        <v>405266</v>
      </c>
      <c r="P80">
        <v>277</v>
      </c>
      <c r="Q80" t="s">
        <v>26441</v>
      </c>
      <c r="R80">
        <v>0</v>
      </c>
      <c r="S80">
        <v>0</v>
      </c>
      <c r="U80" t="s">
        <v>102</v>
      </c>
      <c r="V80" t="s">
        <v>103</v>
      </c>
      <c r="W80" t="s">
        <v>155</v>
      </c>
      <c r="Y80" t="s">
        <v>12435</v>
      </c>
      <c r="Z80" t="s">
        <v>26442</v>
      </c>
      <c r="AA80" t="s">
        <v>21983</v>
      </c>
      <c r="AB80" t="s">
        <v>26442</v>
      </c>
      <c r="AC80" t="s">
        <v>22119</v>
      </c>
      <c r="AD80" t="s">
        <v>26442</v>
      </c>
      <c r="AE80" t="s">
        <v>21687</v>
      </c>
      <c r="AF80" t="s">
        <v>26442</v>
      </c>
      <c r="AG80" t="s">
        <v>102</v>
      </c>
      <c r="AJ80" t="s">
        <v>102</v>
      </c>
      <c r="AK80" t="s">
        <v>102</v>
      </c>
      <c r="AL80" t="s">
        <v>102</v>
      </c>
      <c r="AM80" t="s">
        <v>26443</v>
      </c>
      <c r="AN80" t="s">
        <v>26443</v>
      </c>
      <c r="AS80" t="s">
        <v>102</v>
      </c>
      <c r="AU80" t="s">
        <v>1758</v>
      </c>
      <c r="AV80" t="s">
        <v>447</v>
      </c>
      <c r="AX80" t="s">
        <v>250</v>
      </c>
      <c r="AZ80" t="s">
        <v>120</v>
      </c>
      <c r="BA80" t="s">
        <v>3490</v>
      </c>
      <c r="BB80" t="s">
        <v>345</v>
      </c>
      <c r="BC80" t="s">
        <v>122</v>
      </c>
      <c r="BD80" t="s">
        <v>346</v>
      </c>
      <c r="BE80" t="s">
        <v>124</v>
      </c>
      <c r="BF80" t="s">
        <v>12250</v>
      </c>
      <c r="BG80" t="s">
        <v>21667</v>
      </c>
      <c r="BH80" t="s">
        <v>127</v>
      </c>
      <c r="BI80" t="s">
        <v>26444</v>
      </c>
      <c r="BJ80" t="s">
        <v>14307</v>
      </c>
      <c r="BK80" t="s">
        <v>26445</v>
      </c>
      <c r="BL80" t="s">
        <v>18964</v>
      </c>
      <c r="BM80" t="s">
        <v>12226</v>
      </c>
      <c r="BN80" t="s">
        <v>350</v>
      </c>
      <c r="BO80" t="s">
        <v>12228</v>
      </c>
      <c r="BP80" t="s">
        <v>12229</v>
      </c>
      <c r="BQ80" t="s">
        <v>8623</v>
      </c>
      <c r="BS80" t="s">
        <v>26446</v>
      </c>
      <c r="BT80" t="s">
        <v>12231</v>
      </c>
      <c r="BU80" t="s">
        <v>354</v>
      </c>
      <c r="BV80" t="s">
        <v>12232</v>
      </c>
      <c r="BW80" t="s">
        <v>12233</v>
      </c>
      <c r="BX80" t="s">
        <v>14310</v>
      </c>
      <c r="BY80" t="s">
        <v>12235</v>
      </c>
      <c r="BZ80" t="s">
        <v>12234</v>
      </c>
      <c r="CA80" t="s">
        <v>26397</v>
      </c>
      <c r="CB80" t="s">
        <v>26398</v>
      </c>
      <c r="CC80" t="s">
        <v>26399</v>
      </c>
      <c r="CD80" t="s">
        <v>26400</v>
      </c>
      <c r="CE80" t="s">
        <v>907</v>
      </c>
      <c r="CF80" t="s">
        <v>14313</v>
      </c>
      <c r="CG80" t="s">
        <v>26447</v>
      </c>
      <c r="CH80" t="s">
        <v>14314</v>
      </c>
      <c r="CI80" t="s">
        <v>14313</v>
      </c>
      <c r="CJ80" t="s">
        <v>3490</v>
      </c>
      <c r="CK80" t="s">
        <v>345</v>
      </c>
      <c r="CL80" t="s">
        <v>14314</v>
      </c>
      <c r="CN80" t="s">
        <v>14315</v>
      </c>
      <c r="CO80" t="s">
        <v>14315</v>
      </c>
    </row>
    <row r="81" spans="1:93" hidden="1">
      <c r="A81" t="s">
        <v>149</v>
      </c>
      <c r="B81">
        <v>2509576</v>
      </c>
      <c r="C81" t="s">
        <v>3845</v>
      </c>
      <c r="D81" t="s">
        <v>21661</v>
      </c>
      <c r="E81" t="s">
        <v>15489</v>
      </c>
      <c r="F81" t="s">
        <v>152</v>
      </c>
      <c r="G81" t="s">
        <v>98</v>
      </c>
      <c r="H81" t="s">
        <v>21949</v>
      </c>
      <c r="I81" t="s">
        <v>100</v>
      </c>
      <c r="J81">
        <v>668678</v>
      </c>
      <c r="K81">
        <v>668678</v>
      </c>
      <c r="L81">
        <v>0</v>
      </c>
      <c r="M81">
        <v>0</v>
      </c>
      <c r="O81">
        <v>668678</v>
      </c>
      <c r="P81">
        <v>608</v>
      </c>
      <c r="Q81" t="s">
        <v>466</v>
      </c>
      <c r="R81">
        <v>0</v>
      </c>
      <c r="S81">
        <v>0</v>
      </c>
      <c r="U81" t="s">
        <v>102</v>
      </c>
      <c r="V81" t="s">
        <v>103</v>
      </c>
      <c r="W81" t="s">
        <v>155</v>
      </c>
      <c r="Y81" t="s">
        <v>12047</v>
      </c>
      <c r="Z81" t="s">
        <v>21950</v>
      </c>
      <c r="AA81" t="s">
        <v>21664</v>
      </c>
      <c r="AB81" t="s">
        <v>21950</v>
      </c>
      <c r="AC81" t="s">
        <v>21665</v>
      </c>
      <c r="AD81" t="s">
        <v>21950</v>
      </c>
      <c r="AE81" t="s">
        <v>21666</v>
      </c>
      <c r="AF81" t="s">
        <v>21950</v>
      </c>
      <c r="AG81" t="s">
        <v>102</v>
      </c>
      <c r="AJ81" t="s">
        <v>21950</v>
      </c>
      <c r="AK81" t="s">
        <v>102</v>
      </c>
      <c r="AL81" t="s">
        <v>21950</v>
      </c>
      <c r="AM81" t="s">
        <v>21951</v>
      </c>
      <c r="AN81" t="s">
        <v>21951</v>
      </c>
      <c r="AS81" t="s">
        <v>102</v>
      </c>
      <c r="AU81" t="s">
        <v>155</v>
      </c>
      <c r="AV81" t="s">
        <v>447</v>
      </c>
      <c r="AW81" t="s">
        <v>1138</v>
      </c>
      <c r="AX81" t="s">
        <v>118</v>
      </c>
      <c r="AZ81" t="s">
        <v>120</v>
      </c>
      <c r="BA81" t="s">
        <v>3854</v>
      </c>
      <c r="BB81" t="s">
        <v>449</v>
      </c>
      <c r="BC81" t="s">
        <v>122</v>
      </c>
      <c r="BD81" t="s">
        <v>450</v>
      </c>
      <c r="BE81" t="s">
        <v>124</v>
      </c>
      <c r="BF81" t="s">
        <v>12250</v>
      </c>
      <c r="BG81" t="s">
        <v>21667</v>
      </c>
      <c r="BH81" t="s">
        <v>127</v>
      </c>
      <c r="BI81" t="s">
        <v>21952</v>
      </c>
      <c r="BJ81" t="s">
        <v>3856</v>
      </c>
      <c r="BK81" t="s">
        <v>21953</v>
      </c>
      <c r="BL81" t="s">
        <v>15489</v>
      </c>
      <c r="BM81" t="s">
        <v>8788</v>
      </c>
      <c r="BN81" t="s">
        <v>350</v>
      </c>
      <c r="BO81" t="s">
        <v>8789</v>
      </c>
      <c r="BP81" t="s">
        <v>8790</v>
      </c>
      <c r="BQ81" t="s">
        <v>1006</v>
      </c>
      <c r="BS81" t="s">
        <v>21954</v>
      </c>
      <c r="BT81" t="s">
        <v>3859</v>
      </c>
      <c r="BU81" t="s">
        <v>138</v>
      </c>
      <c r="BV81" t="s">
        <v>3860</v>
      </c>
      <c r="BW81" t="s">
        <v>3861</v>
      </c>
      <c r="BX81" t="s">
        <v>3862</v>
      </c>
      <c r="BY81" t="s">
        <v>21955</v>
      </c>
      <c r="BZ81" t="s">
        <v>3860</v>
      </c>
      <c r="CA81" t="s">
        <v>3861</v>
      </c>
      <c r="CB81" t="s">
        <v>21956</v>
      </c>
      <c r="CC81" t="s">
        <v>21957</v>
      </c>
      <c r="CD81" t="s">
        <v>21958</v>
      </c>
      <c r="CE81" t="s">
        <v>102</v>
      </c>
      <c r="CF81" t="s">
        <v>3863</v>
      </c>
      <c r="CH81" t="s">
        <v>3864</v>
      </c>
      <c r="CJ81" t="s">
        <v>3854</v>
      </c>
      <c r="CK81" t="s">
        <v>449</v>
      </c>
      <c r="CL81" t="s">
        <v>3864</v>
      </c>
      <c r="CM81" t="s">
        <v>3865</v>
      </c>
      <c r="CN81" t="s">
        <v>3863</v>
      </c>
      <c r="CO81" t="s">
        <v>3863</v>
      </c>
    </row>
    <row r="82" spans="1:93" hidden="1">
      <c r="A82" t="s">
        <v>149</v>
      </c>
      <c r="B82">
        <v>2509774</v>
      </c>
      <c r="C82" t="s">
        <v>3866</v>
      </c>
      <c r="D82" t="s">
        <v>21661</v>
      </c>
      <c r="E82" t="s">
        <v>21857</v>
      </c>
      <c r="F82" t="s">
        <v>3549</v>
      </c>
      <c r="G82" t="s">
        <v>98</v>
      </c>
      <c r="H82" t="s">
        <v>25028</v>
      </c>
      <c r="I82" t="s">
        <v>100</v>
      </c>
      <c r="J82">
        <v>0</v>
      </c>
      <c r="K82">
        <v>0</v>
      </c>
      <c r="L82">
        <v>0</v>
      </c>
      <c r="M82">
        <v>527</v>
      </c>
      <c r="N82" t="s">
        <v>102</v>
      </c>
      <c r="O82">
        <v>0</v>
      </c>
      <c r="P82">
        <v>0</v>
      </c>
      <c r="R82">
        <v>0</v>
      </c>
      <c r="S82">
        <v>527</v>
      </c>
      <c r="T82" t="s">
        <v>102</v>
      </c>
      <c r="U82" t="s">
        <v>102</v>
      </c>
      <c r="V82" t="s">
        <v>275</v>
      </c>
      <c r="X82" t="s">
        <v>21857</v>
      </c>
      <c r="Y82" t="s">
        <v>109</v>
      </c>
      <c r="Z82" t="s">
        <v>102</v>
      </c>
      <c r="AA82" t="s">
        <v>109</v>
      </c>
      <c r="AB82" t="s">
        <v>102</v>
      </c>
      <c r="AC82" t="s">
        <v>109</v>
      </c>
      <c r="AD82" t="s">
        <v>102</v>
      </c>
      <c r="AE82" t="s">
        <v>109</v>
      </c>
      <c r="AF82" t="s">
        <v>102</v>
      </c>
      <c r="AG82" t="s">
        <v>102</v>
      </c>
      <c r="AJ82" t="s">
        <v>102</v>
      </c>
      <c r="AK82" t="s">
        <v>102</v>
      </c>
      <c r="AL82" t="s">
        <v>102</v>
      </c>
      <c r="AM82" t="s">
        <v>115</v>
      </c>
      <c r="AN82" t="s">
        <v>115</v>
      </c>
      <c r="AS82" t="s">
        <v>117</v>
      </c>
      <c r="AT82" t="s">
        <v>118</v>
      </c>
      <c r="AU82" t="s">
        <v>102</v>
      </c>
      <c r="AV82" t="s">
        <v>119</v>
      </c>
      <c r="AY82" t="s">
        <v>250</v>
      </c>
      <c r="AZ82" t="s">
        <v>120</v>
      </c>
      <c r="BA82" t="s">
        <v>210</v>
      </c>
      <c r="BB82" t="s">
        <v>211</v>
      </c>
      <c r="BC82" t="s">
        <v>212</v>
      </c>
      <c r="BD82" t="s">
        <v>213</v>
      </c>
      <c r="BE82" t="s">
        <v>124</v>
      </c>
      <c r="BF82" t="s">
        <v>24888</v>
      </c>
      <c r="BG82" t="s">
        <v>23025</v>
      </c>
      <c r="BH82" t="s">
        <v>127</v>
      </c>
      <c r="BI82" t="s">
        <v>25029</v>
      </c>
      <c r="BJ82" t="s">
        <v>3874</v>
      </c>
      <c r="BK82" t="s">
        <v>25030</v>
      </c>
      <c r="BL82" t="s">
        <v>21857</v>
      </c>
      <c r="BM82" t="s">
        <v>24891</v>
      </c>
      <c r="BN82" t="s">
        <v>180</v>
      </c>
      <c r="BO82" t="s">
        <v>24892</v>
      </c>
      <c r="BP82" t="s">
        <v>24893</v>
      </c>
      <c r="BQ82" t="s">
        <v>222</v>
      </c>
      <c r="BS82" t="s">
        <v>25031</v>
      </c>
      <c r="BT82" t="s">
        <v>3585</v>
      </c>
      <c r="BU82" t="s">
        <v>598</v>
      </c>
      <c r="BV82" t="s">
        <v>225</v>
      </c>
      <c r="BW82" t="s">
        <v>8332</v>
      </c>
      <c r="BX82" t="s">
        <v>3877</v>
      </c>
      <c r="BY82" t="s">
        <v>25032</v>
      </c>
      <c r="BZ82" t="s">
        <v>3877</v>
      </c>
      <c r="CA82" t="s">
        <v>25033</v>
      </c>
      <c r="CB82" t="s">
        <v>25032</v>
      </c>
      <c r="CC82" t="s">
        <v>3877</v>
      </c>
      <c r="CD82" t="s">
        <v>25033</v>
      </c>
      <c r="CE82" t="s">
        <v>102</v>
      </c>
      <c r="CF82" t="s">
        <v>3878</v>
      </c>
      <c r="CH82" t="s">
        <v>229</v>
      </c>
      <c r="CJ82" t="s">
        <v>210</v>
      </c>
      <c r="CK82" t="s">
        <v>211</v>
      </c>
      <c r="CL82" t="s">
        <v>229</v>
      </c>
      <c r="CM82" t="s">
        <v>230</v>
      </c>
      <c r="CN82" t="s">
        <v>3878</v>
      </c>
      <c r="CO82" t="s">
        <v>3878</v>
      </c>
    </row>
    <row r="83" spans="1:93">
      <c r="A83" t="s">
        <v>337</v>
      </c>
      <c r="B83">
        <v>251230</v>
      </c>
      <c r="C83" t="s">
        <v>14345</v>
      </c>
      <c r="D83" t="s">
        <v>21661</v>
      </c>
      <c r="E83" t="s">
        <v>21959</v>
      </c>
      <c r="F83" t="s">
        <v>193</v>
      </c>
      <c r="G83" t="s">
        <v>98</v>
      </c>
      <c r="H83" t="s">
        <v>21960</v>
      </c>
      <c r="I83" t="s">
        <v>100</v>
      </c>
      <c r="J83">
        <v>2307717</v>
      </c>
      <c r="K83">
        <v>2619102</v>
      </c>
      <c r="L83">
        <v>577800</v>
      </c>
      <c r="M83">
        <v>642</v>
      </c>
      <c r="N83" t="s">
        <v>2451</v>
      </c>
      <c r="O83">
        <v>0</v>
      </c>
      <c r="P83">
        <v>0</v>
      </c>
      <c r="R83">
        <v>1729917</v>
      </c>
      <c r="S83">
        <v>758</v>
      </c>
      <c r="T83" t="s">
        <v>21961</v>
      </c>
      <c r="U83" t="s">
        <v>102</v>
      </c>
      <c r="V83" t="s">
        <v>679</v>
      </c>
      <c r="W83" t="s">
        <v>801</v>
      </c>
      <c r="X83" t="s">
        <v>21962</v>
      </c>
      <c r="Y83" t="s">
        <v>21963</v>
      </c>
      <c r="Z83" t="s">
        <v>21964</v>
      </c>
      <c r="AA83" t="s">
        <v>21965</v>
      </c>
      <c r="AB83" t="s">
        <v>21964</v>
      </c>
      <c r="AC83" t="s">
        <v>21966</v>
      </c>
      <c r="AD83" t="s">
        <v>21967</v>
      </c>
      <c r="AE83" t="s">
        <v>21968</v>
      </c>
      <c r="AF83" t="s">
        <v>21967</v>
      </c>
      <c r="AG83" t="s">
        <v>102</v>
      </c>
      <c r="AJ83" t="s">
        <v>21967</v>
      </c>
      <c r="AK83" t="s">
        <v>102</v>
      </c>
      <c r="AL83" t="s">
        <v>21967</v>
      </c>
      <c r="AM83" t="s">
        <v>21969</v>
      </c>
      <c r="AN83" t="s">
        <v>21969</v>
      </c>
      <c r="AS83" t="s">
        <v>207</v>
      </c>
      <c r="AT83" t="s">
        <v>118</v>
      </c>
      <c r="AU83" t="s">
        <v>102</v>
      </c>
      <c r="AV83" t="s">
        <v>119</v>
      </c>
      <c r="AY83" t="s">
        <v>250</v>
      </c>
      <c r="AZ83" t="s">
        <v>120</v>
      </c>
      <c r="BA83" t="s">
        <v>375</v>
      </c>
      <c r="BB83" t="s">
        <v>376</v>
      </c>
      <c r="BC83" t="s">
        <v>174</v>
      </c>
      <c r="BD83" t="s">
        <v>376</v>
      </c>
      <c r="BE83" t="s">
        <v>124</v>
      </c>
      <c r="BF83" t="s">
        <v>12250</v>
      </c>
      <c r="BG83" t="s">
        <v>21667</v>
      </c>
      <c r="BH83" t="s">
        <v>127</v>
      </c>
      <c r="BI83" t="s">
        <v>21970</v>
      </c>
      <c r="BJ83" t="s">
        <v>14357</v>
      </c>
      <c r="BK83" t="s">
        <v>21971</v>
      </c>
      <c r="BL83" t="s">
        <v>21959</v>
      </c>
      <c r="BM83" t="s">
        <v>6926</v>
      </c>
      <c r="BN83" t="s">
        <v>180</v>
      </c>
      <c r="BO83" t="s">
        <v>6927</v>
      </c>
      <c r="BP83" t="s">
        <v>6928</v>
      </c>
      <c r="BQ83" t="s">
        <v>1858</v>
      </c>
      <c r="BS83" t="s">
        <v>21972</v>
      </c>
      <c r="BT83" t="s">
        <v>19352</v>
      </c>
      <c r="BU83" t="s">
        <v>296</v>
      </c>
      <c r="BV83" t="s">
        <v>19353</v>
      </c>
      <c r="BW83" t="s">
        <v>19354</v>
      </c>
      <c r="BX83" t="s">
        <v>14363</v>
      </c>
      <c r="BY83" t="s">
        <v>14364</v>
      </c>
      <c r="BZ83" t="s">
        <v>14363</v>
      </c>
      <c r="CA83" t="s">
        <v>14365</v>
      </c>
      <c r="CB83" t="s">
        <v>14366</v>
      </c>
      <c r="CC83" t="s">
        <v>14367</v>
      </c>
      <c r="CD83" t="s">
        <v>14368</v>
      </c>
      <c r="CE83" t="s">
        <v>14369</v>
      </c>
      <c r="CF83" t="s">
        <v>14370</v>
      </c>
      <c r="CH83" t="s">
        <v>14371</v>
      </c>
      <c r="CI83" t="s">
        <v>14370</v>
      </c>
      <c r="CJ83" t="s">
        <v>375</v>
      </c>
      <c r="CK83" t="s">
        <v>376</v>
      </c>
      <c r="CL83" t="s">
        <v>14371</v>
      </c>
      <c r="CN83" t="s">
        <v>14370</v>
      </c>
      <c r="CO83" t="s">
        <v>14370</v>
      </c>
    </row>
    <row r="84" spans="1:93" hidden="1">
      <c r="A84" t="s">
        <v>149</v>
      </c>
      <c r="B84">
        <v>252071</v>
      </c>
      <c r="C84" t="s">
        <v>3920</v>
      </c>
      <c r="D84" t="s">
        <v>21661</v>
      </c>
      <c r="E84" t="s">
        <v>23505</v>
      </c>
      <c r="F84" t="s">
        <v>3549</v>
      </c>
      <c r="G84" t="s">
        <v>98</v>
      </c>
      <c r="H84" t="s">
        <v>23506</v>
      </c>
      <c r="I84" t="s">
        <v>100</v>
      </c>
      <c r="J84">
        <v>2061118</v>
      </c>
      <c r="K84">
        <v>2335091</v>
      </c>
      <c r="L84">
        <v>539044</v>
      </c>
      <c r="M84">
        <v>925</v>
      </c>
      <c r="N84" t="s">
        <v>23507</v>
      </c>
      <c r="O84">
        <v>0</v>
      </c>
      <c r="P84">
        <v>0</v>
      </c>
      <c r="R84">
        <v>1522074</v>
      </c>
      <c r="S84">
        <v>1123</v>
      </c>
      <c r="T84" t="s">
        <v>18228</v>
      </c>
      <c r="U84" t="s">
        <v>102</v>
      </c>
      <c r="V84" t="s">
        <v>103</v>
      </c>
      <c r="W84" t="s">
        <v>155</v>
      </c>
      <c r="Y84" t="s">
        <v>22526</v>
      </c>
      <c r="Z84" t="s">
        <v>23508</v>
      </c>
      <c r="AA84" t="s">
        <v>21892</v>
      </c>
      <c r="AB84" t="s">
        <v>23508</v>
      </c>
      <c r="AC84" t="s">
        <v>21828</v>
      </c>
      <c r="AD84" t="s">
        <v>23508</v>
      </c>
      <c r="AE84" t="s">
        <v>21687</v>
      </c>
      <c r="AF84" t="s">
        <v>23508</v>
      </c>
      <c r="AG84" t="s">
        <v>102</v>
      </c>
      <c r="AJ84" t="s">
        <v>102</v>
      </c>
      <c r="AK84" t="s">
        <v>102</v>
      </c>
      <c r="AL84" t="s">
        <v>102</v>
      </c>
      <c r="AM84" t="s">
        <v>10798</v>
      </c>
      <c r="AN84" t="s">
        <v>10798</v>
      </c>
      <c r="AS84" t="s">
        <v>318</v>
      </c>
      <c r="AT84" t="s">
        <v>118</v>
      </c>
      <c r="AU84" t="s">
        <v>102</v>
      </c>
      <c r="AV84" t="s">
        <v>119</v>
      </c>
      <c r="AY84" t="s">
        <v>250</v>
      </c>
      <c r="AZ84" t="s">
        <v>1964</v>
      </c>
      <c r="BA84" t="s">
        <v>920</v>
      </c>
      <c r="BB84" t="s">
        <v>211</v>
      </c>
      <c r="BC84" t="s">
        <v>212</v>
      </c>
      <c r="BD84" t="s">
        <v>213</v>
      </c>
      <c r="BE84" t="s">
        <v>124</v>
      </c>
      <c r="BF84" t="s">
        <v>19143</v>
      </c>
      <c r="BG84" t="s">
        <v>21806</v>
      </c>
      <c r="BH84" t="s">
        <v>127</v>
      </c>
      <c r="BI84" t="s">
        <v>23509</v>
      </c>
      <c r="BJ84" t="s">
        <v>3939</v>
      </c>
      <c r="BK84" t="s">
        <v>23510</v>
      </c>
      <c r="BL84" t="s">
        <v>23505</v>
      </c>
      <c r="BM84" t="s">
        <v>7108</v>
      </c>
      <c r="BN84" t="s">
        <v>180</v>
      </c>
      <c r="BO84" t="s">
        <v>7109</v>
      </c>
      <c r="BP84" t="s">
        <v>2151</v>
      </c>
      <c r="BQ84" t="s">
        <v>2151</v>
      </c>
      <c r="BS84" t="s">
        <v>23511</v>
      </c>
      <c r="BT84" t="s">
        <v>23512</v>
      </c>
      <c r="BU84" t="s">
        <v>138</v>
      </c>
      <c r="BV84" t="s">
        <v>3944</v>
      </c>
      <c r="BW84" t="s">
        <v>23513</v>
      </c>
      <c r="BX84" t="s">
        <v>3946</v>
      </c>
      <c r="BY84" t="s">
        <v>23512</v>
      </c>
      <c r="BZ84" t="s">
        <v>3944</v>
      </c>
      <c r="CA84" t="s">
        <v>23513</v>
      </c>
      <c r="CB84" t="s">
        <v>23512</v>
      </c>
      <c r="CC84" t="s">
        <v>3944</v>
      </c>
      <c r="CD84" t="s">
        <v>23513</v>
      </c>
      <c r="CE84" t="s">
        <v>102</v>
      </c>
      <c r="CF84" t="s">
        <v>3947</v>
      </c>
      <c r="CH84" t="s">
        <v>2473</v>
      </c>
      <c r="CJ84" t="s">
        <v>920</v>
      </c>
      <c r="CK84" t="s">
        <v>211</v>
      </c>
      <c r="CL84" t="s">
        <v>2473</v>
      </c>
      <c r="CN84" t="s">
        <v>3947</v>
      </c>
      <c r="CO84" t="s">
        <v>3947</v>
      </c>
    </row>
    <row r="85" spans="1:93" hidden="1">
      <c r="A85" t="s">
        <v>93</v>
      </c>
      <c r="B85">
        <v>2530317</v>
      </c>
      <c r="C85" t="s">
        <v>3972</v>
      </c>
      <c r="D85" t="s">
        <v>21661</v>
      </c>
      <c r="E85" t="s">
        <v>12250</v>
      </c>
      <c r="F85" t="s">
        <v>152</v>
      </c>
      <c r="G85" t="s">
        <v>98</v>
      </c>
      <c r="H85" t="s">
        <v>25771</v>
      </c>
      <c r="I85" t="s">
        <v>100</v>
      </c>
      <c r="J85">
        <v>412983</v>
      </c>
      <c r="K85">
        <v>412983</v>
      </c>
      <c r="L85">
        <v>0</v>
      </c>
      <c r="M85">
        <v>0</v>
      </c>
      <c r="O85">
        <v>412983</v>
      </c>
      <c r="P85">
        <v>469</v>
      </c>
      <c r="Q85" t="s">
        <v>25772</v>
      </c>
      <c r="R85">
        <v>0</v>
      </c>
      <c r="S85">
        <v>0</v>
      </c>
      <c r="U85" t="s">
        <v>102</v>
      </c>
      <c r="V85" t="s">
        <v>103</v>
      </c>
      <c r="W85" t="s">
        <v>398</v>
      </c>
      <c r="Y85" t="s">
        <v>21962</v>
      </c>
      <c r="Z85" t="s">
        <v>25773</v>
      </c>
      <c r="AA85" t="s">
        <v>22521</v>
      </c>
      <c r="AB85" t="s">
        <v>25774</v>
      </c>
      <c r="AC85" t="s">
        <v>22177</v>
      </c>
      <c r="AD85" t="s">
        <v>25774</v>
      </c>
      <c r="AE85" t="s">
        <v>109</v>
      </c>
      <c r="AF85" t="s">
        <v>102</v>
      </c>
      <c r="AG85" t="s">
        <v>102</v>
      </c>
      <c r="AJ85" t="s">
        <v>25773</v>
      </c>
      <c r="AK85" t="s">
        <v>102</v>
      </c>
      <c r="AL85" t="s">
        <v>25773</v>
      </c>
      <c r="AM85" t="s">
        <v>7323</v>
      </c>
      <c r="AN85" t="s">
        <v>7323</v>
      </c>
      <c r="AS85" t="s">
        <v>102</v>
      </c>
      <c r="AU85" t="s">
        <v>104</v>
      </c>
      <c r="AV85" t="s">
        <v>119</v>
      </c>
      <c r="AW85" t="s">
        <v>170</v>
      </c>
      <c r="AX85" t="s">
        <v>118</v>
      </c>
      <c r="AZ85" t="s">
        <v>171</v>
      </c>
      <c r="BA85" t="s">
        <v>920</v>
      </c>
      <c r="BB85" t="s">
        <v>211</v>
      </c>
      <c r="BC85" t="s">
        <v>212</v>
      </c>
      <c r="BD85" t="s">
        <v>213</v>
      </c>
      <c r="BE85" t="s">
        <v>124</v>
      </c>
      <c r="BF85" t="s">
        <v>19143</v>
      </c>
      <c r="BG85" t="s">
        <v>21806</v>
      </c>
      <c r="BH85" t="s">
        <v>127</v>
      </c>
      <c r="BI85" t="s">
        <v>25775</v>
      </c>
      <c r="BJ85" t="s">
        <v>3975</v>
      </c>
      <c r="BK85" t="s">
        <v>25776</v>
      </c>
      <c r="BL85" t="s">
        <v>12250</v>
      </c>
      <c r="BM85" t="s">
        <v>19633</v>
      </c>
      <c r="BN85" t="s">
        <v>180</v>
      </c>
      <c r="BO85" t="s">
        <v>19634</v>
      </c>
      <c r="BP85" t="s">
        <v>19635</v>
      </c>
      <c r="BQ85" t="s">
        <v>2463</v>
      </c>
      <c r="BS85" t="s">
        <v>25777</v>
      </c>
      <c r="BT85" t="s">
        <v>25778</v>
      </c>
      <c r="BU85" t="s">
        <v>138</v>
      </c>
      <c r="BV85" t="s">
        <v>10753</v>
      </c>
      <c r="BW85" t="s">
        <v>10754</v>
      </c>
      <c r="BX85" t="s">
        <v>3980</v>
      </c>
      <c r="BY85" t="s">
        <v>25779</v>
      </c>
      <c r="BZ85" t="s">
        <v>3978</v>
      </c>
      <c r="CA85" t="s">
        <v>3979</v>
      </c>
      <c r="CB85" t="s">
        <v>25780</v>
      </c>
      <c r="CC85" t="s">
        <v>25781</v>
      </c>
      <c r="CD85" t="s">
        <v>25782</v>
      </c>
      <c r="CE85" t="s">
        <v>2270</v>
      </c>
      <c r="CF85" t="s">
        <v>3981</v>
      </c>
      <c r="CH85" t="s">
        <v>3982</v>
      </c>
      <c r="CI85" t="s">
        <v>25783</v>
      </c>
      <c r="CJ85" t="s">
        <v>920</v>
      </c>
      <c r="CK85" t="s">
        <v>2474</v>
      </c>
      <c r="CL85" t="s">
        <v>3982</v>
      </c>
      <c r="CM85" t="s">
        <v>3983</v>
      </c>
      <c r="CN85" t="s">
        <v>3981</v>
      </c>
      <c r="CO85" t="s">
        <v>3981</v>
      </c>
    </row>
    <row r="86" spans="1:93">
      <c r="A86" t="s">
        <v>337</v>
      </c>
      <c r="B86">
        <v>255648</v>
      </c>
      <c r="C86" t="s">
        <v>14490</v>
      </c>
      <c r="D86" t="s">
        <v>21661</v>
      </c>
      <c r="E86" t="s">
        <v>21959</v>
      </c>
      <c r="F86" t="s">
        <v>193</v>
      </c>
      <c r="G86" t="s">
        <v>98</v>
      </c>
      <c r="H86" t="s">
        <v>21973</v>
      </c>
      <c r="I86" t="s">
        <v>100</v>
      </c>
      <c r="J86">
        <v>1705014</v>
      </c>
      <c r="K86">
        <v>1932375</v>
      </c>
      <c r="L86">
        <v>441900</v>
      </c>
      <c r="M86">
        <v>491</v>
      </c>
      <c r="N86" t="s">
        <v>2451</v>
      </c>
      <c r="O86">
        <v>0</v>
      </c>
      <c r="P86">
        <v>0</v>
      </c>
      <c r="R86">
        <v>1263114</v>
      </c>
      <c r="S86">
        <v>558</v>
      </c>
      <c r="T86" t="s">
        <v>21961</v>
      </c>
      <c r="U86" t="s">
        <v>102</v>
      </c>
      <c r="V86" t="s">
        <v>679</v>
      </c>
      <c r="W86" t="s">
        <v>801</v>
      </c>
      <c r="X86" t="s">
        <v>21962</v>
      </c>
      <c r="Y86" t="s">
        <v>21963</v>
      </c>
      <c r="Z86" t="s">
        <v>21974</v>
      </c>
      <c r="AA86" t="s">
        <v>21965</v>
      </c>
      <c r="AB86" t="s">
        <v>21974</v>
      </c>
      <c r="AC86" t="s">
        <v>21966</v>
      </c>
      <c r="AD86" t="s">
        <v>21975</v>
      </c>
      <c r="AE86" t="s">
        <v>21968</v>
      </c>
      <c r="AF86" t="s">
        <v>21975</v>
      </c>
      <c r="AG86" t="s">
        <v>102</v>
      </c>
      <c r="AH86" t="s">
        <v>11889</v>
      </c>
      <c r="AI86" t="s">
        <v>11889</v>
      </c>
      <c r="AJ86" t="s">
        <v>21975</v>
      </c>
      <c r="AK86" t="s">
        <v>24210</v>
      </c>
      <c r="AL86" t="s">
        <v>24211</v>
      </c>
      <c r="AM86" t="s">
        <v>21969</v>
      </c>
      <c r="AN86" t="s">
        <v>21969</v>
      </c>
      <c r="AS86" t="s">
        <v>207</v>
      </c>
      <c r="AT86" t="s">
        <v>118</v>
      </c>
      <c r="AU86" t="s">
        <v>102</v>
      </c>
      <c r="AV86" t="s">
        <v>119</v>
      </c>
      <c r="AY86" t="s">
        <v>250</v>
      </c>
      <c r="AZ86" t="s">
        <v>120</v>
      </c>
      <c r="BA86" t="s">
        <v>2820</v>
      </c>
      <c r="BB86" t="s">
        <v>376</v>
      </c>
      <c r="BC86" t="s">
        <v>174</v>
      </c>
      <c r="BD86" t="s">
        <v>376</v>
      </c>
      <c r="BE86" t="s">
        <v>124</v>
      </c>
      <c r="BF86" t="s">
        <v>12250</v>
      </c>
      <c r="BG86" t="s">
        <v>21667</v>
      </c>
      <c r="BH86" t="s">
        <v>127</v>
      </c>
      <c r="BI86" t="s">
        <v>21976</v>
      </c>
      <c r="BJ86" t="s">
        <v>14496</v>
      </c>
      <c r="BK86" t="s">
        <v>21977</v>
      </c>
      <c r="BL86" t="s">
        <v>21959</v>
      </c>
      <c r="BM86" t="s">
        <v>6926</v>
      </c>
      <c r="BN86" t="s">
        <v>180</v>
      </c>
      <c r="BO86" t="s">
        <v>6927</v>
      </c>
      <c r="BP86" t="s">
        <v>6928</v>
      </c>
      <c r="BQ86" t="s">
        <v>1858</v>
      </c>
      <c r="BS86" t="s">
        <v>21978</v>
      </c>
      <c r="BT86" t="s">
        <v>19352</v>
      </c>
      <c r="BU86" t="s">
        <v>16620</v>
      </c>
      <c r="BV86" t="s">
        <v>19353</v>
      </c>
      <c r="BW86" t="s">
        <v>19354</v>
      </c>
      <c r="BX86" t="s">
        <v>14499</v>
      </c>
      <c r="BY86" t="s">
        <v>14500</v>
      </c>
      <c r="BZ86" t="s">
        <v>14499</v>
      </c>
      <c r="CA86" t="s">
        <v>14501</v>
      </c>
      <c r="CB86" t="s">
        <v>14366</v>
      </c>
      <c r="CC86" t="s">
        <v>14367</v>
      </c>
      <c r="CD86" t="s">
        <v>14368</v>
      </c>
      <c r="CE86" t="s">
        <v>14502</v>
      </c>
      <c r="CF86" t="s">
        <v>14503</v>
      </c>
      <c r="CH86" t="s">
        <v>10306</v>
      </c>
      <c r="CI86" t="s">
        <v>14504</v>
      </c>
      <c r="CJ86" t="s">
        <v>2820</v>
      </c>
      <c r="CK86" t="s">
        <v>376</v>
      </c>
      <c r="CL86" t="s">
        <v>10306</v>
      </c>
      <c r="CN86" t="s">
        <v>14503</v>
      </c>
      <c r="CO86" t="s">
        <v>14503</v>
      </c>
    </row>
    <row r="87" spans="1:93" hidden="1">
      <c r="A87" t="s">
        <v>149</v>
      </c>
      <c r="B87">
        <v>2562124</v>
      </c>
      <c r="C87" t="s">
        <v>21979</v>
      </c>
      <c r="D87" t="s">
        <v>21661</v>
      </c>
      <c r="E87" t="s">
        <v>19723</v>
      </c>
      <c r="F87" t="s">
        <v>193</v>
      </c>
      <c r="G87" t="s">
        <v>98</v>
      </c>
      <c r="H87" t="s">
        <v>21980</v>
      </c>
      <c r="I87" t="s">
        <v>100</v>
      </c>
      <c r="J87">
        <v>1624340</v>
      </c>
      <c r="K87">
        <v>1865223</v>
      </c>
      <c r="L87">
        <v>286102</v>
      </c>
      <c r="M87">
        <v>447</v>
      </c>
      <c r="N87" t="s">
        <v>21981</v>
      </c>
      <c r="O87">
        <v>0</v>
      </c>
      <c r="P87">
        <v>0</v>
      </c>
      <c r="R87">
        <v>1338238</v>
      </c>
      <c r="S87">
        <v>564</v>
      </c>
      <c r="T87" t="s">
        <v>11158</v>
      </c>
      <c r="U87" t="s">
        <v>102</v>
      </c>
      <c r="V87" t="s">
        <v>103</v>
      </c>
      <c r="W87" t="s">
        <v>104</v>
      </c>
      <c r="Y87" t="s">
        <v>16558</v>
      </c>
      <c r="Z87" t="s">
        <v>21982</v>
      </c>
      <c r="AA87" t="s">
        <v>21983</v>
      </c>
      <c r="AB87" t="s">
        <v>21984</v>
      </c>
      <c r="AC87" t="s">
        <v>109</v>
      </c>
      <c r="AD87" t="s">
        <v>102</v>
      </c>
      <c r="AE87" t="s">
        <v>109</v>
      </c>
      <c r="AF87" t="s">
        <v>102</v>
      </c>
      <c r="AG87" t="s">
        <v>102</v>
      </c>
      <c r="AH87" t="s">
        <v>17302</v>
      </c>
      <c r="AI87" t="s">
        <v>17302</v>
      </c>
      <c r="AJ87" t="s">
        <v>21982</v>
      </c>
      <c r="AK87" t="s">
        <v>21985</v>
      </c>
      <c r="AL87" t="s">
        <v>23735</v>
      </c>
      <c r="AM87" t="s">
        <v>21986</v>
      </c>
      <c r="AN87" t="s">
        <v>21986</v>
      </c>
      <c r="AS87" t="s">
        <v>247</v>
      </c>
      <c r="AT87" t="s">
        <v>118</v>
      </c>
      <c r="AU87" t="s">
        <v>102</v>
      </c>
      <c r="AV87" t="s">
        <v>119</v>
      </c>
      <c r="AY87" t="s">
        <v>250</v>
      </c>
      <c r="AZ87" t="s">
        <v>171</v>
      </c>
      <c r="BA87" t="s">
        <v>623</v>
      </c>
      <c r="BB87" t="s">
        <v>621</v>
      </c>
      <c r="BC87" t="s">
        <v>622</v>
      </c>
      <c r="BD87" t="s">
        <v>623</v>
      </c>
      <c r="BE87" t="s">
        <v>124</v>
      </c>
      <c r="BF87" t="s">
        <v>12250</v>
      </c>
      <c r="BG87" t="s">
        <v>21667</v>
      </c>
      <c r="BH87" t="s">
        <v>127</v>
      </c>
      <c r="BI87" t="s">
        <v>21987</v>
      </c>
      <c r="BJ87" t="s">
        <v>4116</v>
      </c>
      <c r="BK87" t="s">
        <v>21988</v>
      </c>
      <c r="BL87" t="s">
        <v>19723</v>
      </c>
      <c r="BM87" t="s">
        <v>629</v>
      </c>
      <c r="BN87" t="s">
        <v>132</v>
      </c>
      <c r="BO87" t="s">
        <v>630</v>
      </c>
      <c r="BP87" t="s">
        <v>631</v>
      </c>
      <c r="BQ87" t="s">
        <v>1342</v>
      </c>
      <c r="BS87" t="s">
        <v>21989</v>
      </c>
      <c r="BT87" t="s">
        <v>14566</v>
      </c>
      <c r="BU87" t="s">
        <v>138</v>
      </c>
      <c r="BV87" t="s">
        <v>4120</v>
      </c>
      <c r="BW87" t="s">
        <v>14567</v>
      </c>
      <c r="BX87" t="s">
        <v>4122</v>
      </c>
      <c r="BY87" t="s">
        <v>14566</v>
      </c>
      <c r="BZ87" t="s">
        <v>4120</v>
      </c>
      <c r="CA87" t="s">
        <v>14567</v>
      </c>
      <c r="CB87" t="s">
        <v>21990</v>
      </c>
      <c r="CC87" t="s">
        <v>14570</v>
      </c>
      <c r="CD87" t="s">
        <v>14571</v>
      </c>
      <c r="CE87" t="s">
        <v>102</v>
      </c>
      <c r="CF87" t="s">
        <v>4125</v>
      </c>
      <c r="CH87" t="s">
        <v>4126</v>
      </c>
      <c r="CJ87" t="s">
        <v>623</v>
      </c>
      <c r="CK87" t="s">
        <v>621</v>
      </c>
      <c r="CL87" t="s">
        <v>4126</v>
      </c>
      <c r="CM87" t="s">
        <v>4127</v>
      </c>
      <c r="CN87" t="s">
        <v>4125</v>
      </c>
      <c r="CO87" t="s">
        <v>4125</v>
      </c>
    </row>
    <row r="88" spans="1:93">
      <c r="A88" t="s">
        <v>337</v>
      </c>
      <c r="B88">
        <v>260054</v>
      </c>
      <c r="C88" t="s">
        <v>24212</v>
      </c>
      <c r="D88" t="s">
        <v>21661</v>
      </c>
      <c r="E88" t="s">
        <v>14400</v>
      </c>
      <c r="F88" t="s">
        <v>97</v>
      </c>
      <c r="G88" t="s">
        <v>98</v>
      </c>
      <c r="H88" t="s">
        <v>24213</v>
      </c>
      <c r="I88" t="s">
        <v>100</v>
      </c>
      <c r="J88">
        <v>56250</v>
      </c>
      <c r="K88">
        <v>56250</v>
      </c>
      <c r="L88">
        <v>56250</v>
      </c>
      <c r="M88">
        <v>375</v>
      </c>
      <c r="N88" t="s">
        <v>24049</v>
      </c>
      <c r="O88">
        <v>0</v>
      </c>
      <c r="P88">
        <v>0</v>
      </c>
      <c r="R88">
        <v>0</v>
      </c>
      <c r="S88">
        <v>0</v>
      </c>
      <c r="U88" t="s">
        <v>102</v>
      </c>
      <c r="V88" t="s">
        <v>103</v>
      </c>
      <c r="W88" t="s">
        <v>104</v>
      </c>
      <c r="Y88" t="s">
        <v>14623</v>
      </c>
      <c r="Z88" t="s">
        <v>24214</v>
      </c>
      <c r="AA88" t="s">
        <v>20023</v>
      </c>
      <c r="AB88" t="s">
        <v>24214</v>
      </c>
      <c r="AC88" t="s">
        <v>109</v>
      </c>
      <c r="AD88" t="s">
        <v>102</v>
      </c>
      <c r="AE88" t="s">
        <v>109</v>
      </c>
      <c r="AF88" t="s">
        <v>102</v>
      </c>
      <c r="AG88" t="s">
        <v>102</v>
      </c>
      <c r="AH88" t="s">
        <v>12859</v>
      </c>
      <c r="AI88" t="s">
        <v>12859</v>
      </c>
      <c r="AJ88" t="s">
        <v>24214</v>
      </c>
      <c r="AK88" t="s">
        <v>25034</v>
      </c>
      <c r="AL88" t="s">
        <v>25035</v>
      </c>
      <c r="AM88" t="s">
        <v>24053</v>
      </c>
      <c r="AN88" t="s">
        <v>24054</v>
      </c>
      <c r="AO88" t="s">
        <v>102</v>
      </c>
      <c r="AP88" t="s">
        <v>102</v>
      </c>
      <c r="AQ88" t="s">
        <v>102</v>
      </c>
      <c r="AR88" t="s">
        <v>102</v>
      </c>
      <c r="AS88" t="s">
        <v>318</v>
      </c>
      <c r="AT88" t="s">
        <v>118</v>
      </c>
      <c r="AU88" t="s">
        <v>102</v>
      </c>
      <c r="AV88" t="s">
        <v>119</v>
      </c>
      <c r="AZ88" t="s">
        <v>209</v>
      </c>
      <c r="BA88" t="s">
        <v>23301</v>
      </c>
      <c r="BB88" t="s">
        <v>730</v>
      </c>
      <c r="BC88" t="s">
        <v>622</v>
      </c>
      <c r="BD88" t="s">
        <v>730</v>
      </c>
      <c r="BE88" t="s">
        <v>124</v>
      </c>
      <c r="BF88" t="s">
        <v>12250</v>
      </c>
      <c r="BG88" t="s">
        <v>21667</v>
      </c>
      <c r="BH88" t="s">
        <v>127</v>
      </c>
      <c r="BI88" t="s">
        <v>24215</v>
      </c>
      <c r="BJ88" t="s">
        <v>24216</v>
      </c>
      <c r="BK88" t="s">
        <v>24217</v>
      </c>
      <c r="BL88" t="s">
        <v>14400</v>
      </c>
      <c r="BM88" t="s">
        <v>22240</v>
      </c>
      <c r="BN88" t="s">
        <v>505</v>
      </c>
      <c r="BO88" t="s">
        <v>22241</v>
      </c>
      <c r="BP88" t="s">
        <v>22242</v>
      </c>
      <c r="BQ88" t="s">
        <v>2331</v>
      </c>
      <c r="BS88" t="s">
        <v>24218</v>
      </c>
      <c r="BT88" t="s">
        <v>24219</v>
      </c>
      <c r="BU88" t="s">
        <v>598</v>
      </c>
      <c r="BV88" t="s">
        <v>24220</v>
      </c>
      <c r="BW88" t="s">
        <v>24221</v>
      </c>
      <c r="BX88" t="s">
        <v>24222</v>
      </c>
      <c r="BY88" t="s">
        <v>24223</v>
      </c>
      <c r="BZ88" t="s">
        <v>24224</v>
      </c>
      <c r="CA88" t="s">
        <v>24221</v>
      </c>
      <c r="CB88" t="s">
        <v>24223</v>
      </c>
      <c r="CC88" t="s">
        <v>24224</v>
      </c>
      <c r="CD88" t="s">
        <v>24221</v>
      </c>
      <c r="CE88" t="s">
        <v>24225</v>
      </c>
      <c r="CF88" t="s">
        <v>24226</v>
      </c>
      <c r="CH88" t="s">
        <v>24227</v>
      </c>
      <c r="CI88" t="s">
        <v>24226</v>
      </c>
      <c r="CJ88" t="s">
        <v>23301</v>
      </c>
      <c r="CK88" t="s">
        <v>730</v>
      </c>
      <c r="CL88" t="s">
        <v>24227</v>
      </c>
      <c r="CN88" t="s">
        <v>24226</v>
      </c>
      <c r="CO88" t="s">
        <v>24226</v>
      </c>
    </row>
    <row r="89" spans="1:93">
      <c r="A89" t="s">
        <v>337</v>
      </c>
      <c r="B89">
        <v>27561</v>
      </c>
      <c r="C89" t="s">
        <v>21991</v>
      </c>
      <c r="D89" t="s">
        <v>21661</v>
      </c>
      <c r="E89" t="s">
        <v>25697</v>
      </c>
      <c r="F89" t="s">
        <v>97</v>
      </c>
      <c r="G89" t="s">
        <v>98</v>
      </c>
      <c r="H89" t="s">
        <v>25784</v>
      </c>
      <c r="I89" t="s">
        <v>100</v>
      </c>
      <c r="J89">
        <v>192568</v>
      </c>
      <c r="K89">
        <v>192568</v>
      </c>
      <c r="L89">
        <v>192568</v>
      </c>
      <c r="M89">
        <v>214</v>
      </c>
      <c r="N89" t="s">
        <v>2451</v>
      </c>
      <c r="O89">
        <v>0</v>
      </c>
      <c r="P89">
        <v>0</v>
      </c>
      <c r="R89">
        <v>0</v>
      </c>
      <c r="S89">
        <v>0</v>
      </c>
      <c r="U89" t="s">
        <v>102</v>
      </c>
      <c r="V89" t="s">
        <v>103</v>
      </c>
      <c r="W89" t="s">
        <v>104</v>
      </c>
      <c r="Y89" t="s">
        <v>14455</v>
      </c>
      <c r="Z89" t="s">
        <v>25785</v>
      </c>
      <c r="AA89" t="s">
        <v>24708</v>
      </c>
      <c r="AB89" t="s">
        <v>25785</v>
      </c>
      <c r="AC89" t="s">
        <v>109</v>
      </c>
      <c r="AD89" t="s">
        <v>102</v>
      </c>
      <c r="AE89" t="s">
        <v>109</v>
      </c>
      <c r="AF89" t="s">
        <v>102</v>
      </c>
      <c r="AG89" t="s">
        <v>102</v>
      </c>
      <c r="AH89" t="s">
        <v>17302</v>
      </c>
      <c r="AI89" t="s">
        <v>17302</v>
      </c>
      <c r="AJ89" t="s">
        <v>25785</v>
      </c>
      <c r="AK89" t="s">
        <v>25786</v>
      </c>
      <c r="AL89" t="s">
        <v>25787</v>
      </c>
      <c r="AM89" t="s">
        <v>25788</v>
      </c>
      <c r="AN89" t="s">
        <v>25789</v>
      </c>
      <c r="AO89" t="s">
        <v>102</v>
      </c>
      <c r="AP89" t="s">
        <v>102</v>
      </c>
      <c r="AQ89" t="s">
        <v>102</v>
      </c>
      <c r="AR89" t="s">
        <v>102</v>
      </c>
      <c r="AS89" t="s">
        <v>318</v>
      </c>
      <c r="AT89" t="s">
        <v>118</v>
      </c>
      <c r="AU89" t="s">
        <v>102</v>
      </c>
      <c r="AV89" t="s">
        <v>119</v>
      </c>
      <c r="AZ89" t="s">
        <v>120</v>
      </c>
      <c r="BA89" t="s">
        <v>920</v>
      </c>
      <c r="BB89" t="s">
        <v>211</v>
      </c>
      <c r="BC89" t="s">
        <v>212</v>
      </c>
      <c r="BD89" t="s">
        <v>213</v>
      </c>
      <c r="BE89" t="s">
        <v>124</v>
      </c>
      <c r="BF89" t="s">
        <v>23818</v>
      </c>
      <c r="BG89" t="s">
        <v>25790</v>
      </c>
      <c r="BH89" t="s">
        <v>127</v>
      </c>
      <c r="BI89" t="s">
        <v>25791</v>
      </c>
      <c r="BJ89" t="s">
        <v>21992</v>
      </c>
      <c r="BK89" t="s">
        <v>21993</v>
      </c>
      <c r="BL89" t="s">
        <v>25697</v>
      </c>
      <c r="BM89" t="s">
        <v>15574</v>
      </c>
      <c r="BN89" t="s">
        <v>180</v>
      </c>
      <c r="BO89" t="s">
        <v>15575</v>
      </c>
      <c r="BP89" t="s">
        <v>15576</v>
      </c>
      <c r="BQ89" t="s">
        <v>7225</v>
      </c>
      <c r="BS89" t="s">
        <v>25792</v>
      </c>
      <c r="BT89" t="s">
        <v>21994</v>
      </c>
      <c r="BU89" t="s">
        <v>138</v>
      </c>
      <c r="BV89" t="s">
        <v>21995</v>
      </c>
      <c r="BW89" t="s">
        <v>21996</v>
      </c>
      <c r="BX89" t="s">
        <v>21997</v>
      </c>
      <c r="BY89" t="s">
        <v>21994</v>
      </c>
      <c r="BZ89" t="s">
        <v>21995</v>
      </c>
      <c r="CA89" t="s">
        <v>21996</v>
      </c>
      <c r="CB89" t="s">
        <v>21994</v>
      </c>
      <c r="CC89" t="s">
        <v>21995</v>
      </c>
      <c r="CD89" t="s">
        <v>21996</v>
      </c>
      <c r="CE89" t="s">
        <v>10344</v>
      </c>
      <c r="CF89" t="s">
        <v>21998</v>
      </c>
      <c r="CH89" t="s">
        <v>2248</v>
      </c>
      <c r="CI89" t="s">
        <v>21998</v>
      </c>
      <c r="CJ89" t="s">
        <v>920</v>
      </c>
      <c r="CK89" t="s">
        <v>2474</v>
      </c>
      <c r="CL89" t="s">
        <v>2248</v>
      </c>
      <c r="CN89" t="s">
        <v>21999</v>
      </c>
      <c r="CO89" t="s">
        <v>21999</v>
      </c>
    </row>
    <row r="90" spans="1:93" hidden="1">
      <c r="A90" t="s">
        <v>149</v>
      </c>
      <c r="B90">
        <v>2758617</v>
      </c>
      <c r="C90" t="s">
        <v>4369</v>
      </c>
      <c r="D90" t="s">
        <v>21661</v>
      </c>
      <c r="E90" t="s">
        <v>12250</v>
      </c>
      <c r="F90" t="s">
        <v>152</v>
      </c>
      <c r="G90" t="s">
        <v>98</v>
      </c>
      <c r="H90" t="s">
        <v>24228</v>
      </c>
      <c r="I90" t="s">
        <v>100</v>
      </c>
      <c r="J90">
        <v>1975038</v>
      </c>
      <c r="K90">
        <v>1975038</v>
      </c>
      <c r="L90">
        <v>0</v>
      </c>
      <c r="M90">
        <v>0</v>
      </c>
      <c r="O90">
        <v>1975038</v>
      </c>
      <c r="P90">
        <v>790</v>
      </c>
      <c r="Q90" t="s">
        <v>3499</v>
      </c>
      <c r="R90">
        <v>0</v>
      </c>
      <c r="S90">
        <v>0</v>
      </c>
      <c r="U90" t="s">
        <v>102</v>
      </c>
      <c r="V90" t="s">
        <v>103</v>
      </c>
      <c r="W90" t="s">
        <v>155</v>
      </c>
      <c r="Y90" t="s">
        <v>12250</v>
      </c>
      <c r="Z90" t="s">
        <v>24229</v>
      </c>
      <c r="AA90" t="s">
        <v>19143</v>
      </c>
      <c r="AB90" t="s">
        <v>24229</v>
      </c>
      <c r="AC90" t="s">
        <v>21762</v>
      </c>
      <c r="AD90" t="s">
        <v>24229</v>
      </c>
      <c r="AE90" t="s">
        <v>22904</v>
      </c>
      <c r="AF90" t="s">
        <v>24229</v>
      </c>
      <c r="AG90" t="s">
        <v>102</v>
      </c>
      <c r="AJ90" t="s">
        <v>24229</v>
      </c>
      <c r="AK90" t="s">
        <v>102</v>
      </c>
      <c r="AL90" t="s">
        <v>24229</v>
      </c>
      <c r="AM90" t="s">
        <v>24230</v>
      </c>
      <c r="AN90" t="s">
        <v>24230</v>
      </c>
      <c r="AS90" t="s">
        <v>102</v>
      </c>
      <c r="AU90" t="s">
        <v>155</v>
      </c>
      <c r="AV90" t="s">
        <v>447</v>
      </c>
      <c r="AW90" t="s">
        <v>170</v>
      </c>
      <c r="AX90" t="s">
        <v>118</v>
      </c>
      <c r="AZ90" t="s">
        <v>120</v>
      </c>
      <c r="BA90" t="s">
        <v>2127</v>
      </c>
      <c r="BB90" t="s">
        <v>621</v>
      </c>
      <c r="BC90" t="s">
        <v>622</v>
      </c>
      <c r="BD90" t="s">
        <v>976</v>
      </c>
      <c r="BE90" t="s">
        <v>124</v>
      </c>
      <c r="BF90" t="s">
        <v>12250</v>
      </c>
      <c r="BG90" t="s">
        <v>21667</v>
      </c>
      <c r="BH90" t="s">
        <v>127</v>
      </c>
      <c r="BI90" t="s">
        <v>24231</v>
      </c>
      <c r="BJ90" t="s">
        <v>4380</v>
      </c>
      <c r="BK90" t="s">
        <v>24232</v>
      </c>
      <c r="BL90" t="s">
        <v>12250</v>
      </c>
      <c r="BM90" t="s">
        <v>981</v>
      </c>
      <c r="BN90" t="s">
        <v>505</v>
      </c>
      <c r="BO90" t="s">
        <v>982</v>
      </c>
      <c r="BP90" t="s">
        <v>983</v>
      </c>
      <c r="BQ90" t="s">
        <v>984</v>
      </c>
      <c r="BS90" t="s">
        <v>24233</v>
      </c>
      <c r="BT90" t="s">
        <v>14713</v>
      </c>
      <c r="BU90" t="s">
        <v>138</v>
      </c>
      <c r="BV90" t="s">
        <v>4389</v>
      </c>
      <c r="BW90" t="s">
        <v>14714</v>
      </c>
      <c r="BX90" t="s">
        <v>4389</v>
      </c>
      <c r="BY90" t="s">
        <v>14713</v>
      </c>
      <c r="BZ90" t="s">
        <v>4389</v>
      </c>
      <c r="CA90" t="s">
        <v>14714</v>
      </c>
      <c r="CB90" t="s">
        <v>24234</v>
      </c>
      <c r="CC90" t="s">
        <v>14716</v>
      </c>
      <c r="CD90" t="s">
        <v>14717</v>
      </c>
      <c r="CE90" t="s">
        <v>4390</v>
      </c>
      <c r="CF90" t="s">
        <v>14718</v>
      </c>
      <c r="CH90" t="s">
        <v>4392</v>
      </c>
      <c r="CI90" t="s">
        <v>14719</v>
      </c>
      <c r="CJ90" t="s">
        <v>2127</v>
      </c>
      <c r="CK90" t="s">
        <v>621</v>
      </c>
      <c r="CL90" t="s">
        <v>4392</v>
      </c>
      <c r="CN90" t="s">
        <v>4391</v>
      </c>
      <c r="CO90" t="s">
        <v>4391</v>
      </c>
    </row>
    <row r="91" spans="1:93">
      <c r="A91" t="s">
        <v>337</v>
      </c>
      <c r="B91">
        <v>276791</v>
      </c>
      <c r="C91" t="s">
        <v>4393</v>
      </c>
      <c r="D91" t="s">
        <v>21661</v>
      </c>
      <c r="E91" t="s">
        <v>12875</v>
      </c>
      <c r="F91" t="s">
        <v>848</v>
      </c>
      <c r="G91" t="s">
        <v>98</v>
      </c>
      <c r="H91" t="s">
        <v>24235</v>
      </c>
      <c r="I91" t="s">
        <v>100</v>
      </c>
      <c r="J91">
        <v>276596</v>
      </c>
      <c r="K91">
        <v>326383</v>
      </c>
      <c r="L91">
        <v>0</v>
      </c>
      <c r="M91">
        <v>0</v>
      </c>
      <c r="O91">
        <v>0</v>
      </c>
      <c r="P91">
        <v>0</v>
      </c>
      <c r="R91">
        <v>276596</v>
      </c>
      <c r="S91">
        <v>272</v>
      </c>
      <c r="T91" t="s">
        <v>3924</v>
      </c>
      <c r="U91" t="s">
        <v>102</v>
      </c>
      <c r="V91" t="s">
        <v>103</v>
      </c>
      <c r="W91" t="s">
        <v>155</v>
      </c>
      <c r="Y91" t="s">
        <v>12250</v>
      </c>
      <c r="Z91" t="s">
        <v>24236</v>
      </c>
      <c r="AA91" t="s">
        <v>21664</v>
      </c>
      <c r="AB91" t="s">
        <v>24236</v>
      </c>
      <c r="AC91" t="s">
        <v>21665</v>
      </c>
      <c r="AD91" t="s">
        <v>24236</v>
      </c>
      <c r="AE91" t="s">
        <v>21687</v>
      </c>
      <c r="AF91" t="s">
        <v>24236</v>
      </c>
      <c r="AG91" t="s">
        <v>102</v>
      </c>
      <c r="AH91" t="s">
        <v>11889</v>
      </c>
      <c r="AI91" t="s">
        <v>11889</v>
      </c>
      <c r="AJ91" t="s">
        <v>24236</v>
      </c>
      <c r="AK91" t="s">
        <v>13597</v>
      </c>
      <c r="AL91" t="s">
        <v>24237</v>
      </c>
      <c r="AM91" t="s">
        <v>2307</v>
      </c>
      <c r="AN91" t="s">
        <v>2307</v>
      </c>
      <c r="AS91" t="s">
        <v>102</v>
      </c>
      <c r="AU91" t="s">
        <v>102</v>
      </c>
      <c r="AV91" t="s">
        <v>119</v>
      </c>
      <c r="AY91" t="s">
        <v>250</v>
      </c>
      <c r="AZ91" t="s">
        <v>120</v>
      </c>
      <c r="BA91" t="s">
        <v>4403</v>
      </c>
      <c r="BB91" t="s">
        <v>4404</v>
      </c>
      <c r="BC91" t="s">
        <v>174</v>
      </c>
      <c r="BD91" t="s">
        <v>4405</v>
      </c>
      <c r="BE91" t="s">
        <v>124</v>
      </c>
      <c r="BF91" t="s">
        <v>12602</v>
      </c>
      <c r="BG91" t="s">
        <v>21667</v>
      </c>
      <c r="BH91" t="s">
        <v>127</v>
      </c>
      <c r="BI91" t="s">
        <v>24238</v>
      </c>
      <c r="BJ91" t="s">
        <v>4408</v>
      </c>
      <c r="BK91" t="s">
        <v>24239</v>
      </c>
      <c r="BL91" t="s">
        <v>12875</v>
      </c>
      <c r="BM91" t="s">
        <v>16015</v>
      </c>
      <c r="BN91" t="s">
        <v>180</v>
      </c>
      <c r="BO91" t="s">
        <v>16016</v>
      </c>
      <c r="BP91" t="s">
        <v>16017</v>
      </c>
      <c r="BQ91" t="s">
        <v>4413</v>
      </c>
      <c r="BR91" t="s">
        <v>1111</v>
      </c>
      <c r="BS91" t="s">
        <v>24240</v>
      </c>
      <c r="BT91" t="s">
        <v>24241</v>
      </c>
      <c r="BU91" t="s">
        <v>354</v>
      </c>
      <c r="BV91" t="s">
        <v>4421</v>
      </c>
      <c r="BW91" t="s">
        <v>4422</v>
      </c>
      <c r="BX91" t="s">
        <v>4419</v>
      </c>
      <c r="BY91" t="s">
        <v>24242</v>
      </c>
      <c r="BZ91" t="s">
        <v>4421</v>
      </c>
      <c r="CA91" t="s">
        <v>4422</v>
      </c>
      <c r="CB91" t="s">
        <v>24243</v>
      </c>
      <c r="CC91" t="s">
        <v>4421</v>
      </c>
      <c r="CD91" t="s">
        <v>24244</v>
      </c>
      <c r="CE91" t="s">
        <v>4425</v>
      </c>
      <c r="CF91" t="s">
        <v>24245</v>
      </c>
      <c r="CH91" t="s">
        <v>4427</v>
      </c>
      <c r="CI91" t="s">
        <v>24246</v>
      </c>
      <c r="CJ91" t="s">
        <v>4403</v>
      </c>
      <c r="CK91" t="s">
        <v>4404</v>
      </c>
      <c r="CL91" t="s">
        <v>4427</v>
      </c>
      <c r="CN91" t="s">
        <v>4426</v>
      </c>
      <c r="CO91" t="s">
        <v>4428</v>
      </c>
    </row>
    <row r="92" spans="1:93">
      <c r="A92" t="s">
        <v>337</v>
      </c>
      <c r="B92">
        <v>2827739</v>
      </c>
      <c r="C92" t="s">
        <v>14761</v>
      </c>
      <c r="D92" t="s">
        <v>21661</v>
      </c>
      <c r="E92" t="s">
        <v>22000</v>
      </c>
      <c r="F92" t="s">
        <v>643</v>
      </c>
      <c r="G92" t="s">
        <v>98</v>
      </c>
      <c r="H92" t="s">
        <v>22001</v>
      </c>
      <c r="I92" t="s">
        <v>100</v>
      </c>
      <c r="J92">
        <v>1080881</v>
      </c>
      <c r="K92">
        <v>1170049</v>
      </c>
      <c r="L92">
        <v>0</v>
      </c>
      <c r="M92">
        <v>0</v>
      </c>
      <c r="O92">
        <v>585503</v>
      </c>
      <c r="P92">
        <v>366</v>
      </c>
      <c r="Q92" t="s">
        <v>678</v>
      </c>
      <c r="R92">
        <v>495378</v>
      </c>
      <c r="S92">
        <v>487</v>
      </c>
      <c r="T92" t="s">
        <v>3924</v>
      </c>
      <c r="U92" t="s">
        <v>102</v>
      </c>
      <c r="V92" t="s">
        <v>103</v>
      </c>
      <c r="W92" t="s">
        <v>155</v>
      </c>
      <c r="Y92" t="s">
        <v>22002</v>
      </c>
      <c r="Z92" t="s">
        <v>22003</v>
      </c>
      <c r="AA92" t="s">
        <v>22004</v>
      </c>
      <c r="AB92" t="s">
        <v>22003</v>
      </c>
      <c r="AC92" t="s">
        <v>22005</v>
      </c>
      <c r="AD92" t="s">
        <v>22003</v>
      </c>
      <c r="AE92" t="s">
        <v>21821</v>
      </c>
      <c r="AF92" t="s">
        <v>22003</v>
      </c>
      <c r="AG92" t="s">
        <v>102</v>
      </c>
      <c r="AH92" t="s">
        <v>11911</v>
      </c>
      <c r="AI92" t="s">
        <v>11911</v>
      </c>
      <c r="AJ92" t="s">
        <v>22003</v>
      </c>
      <c r="AK92" t="s">
        <v>22006</v>
      </c>
      <c r="AL92" t="s">
        <v>22007</v>
      </c>
      <c r="AM92" t="s">
        <v>22008</v>
      </c>
      <c r="AN92" t="s">
        <v>22008</v>
      </c>
      <c r="AS92" t="s">
        <v>102</v>
      </c>
      <c r="AU92" t="s">
        <v>3536</v>
      </c>
      <c r="AV92" t="s">
        <v>249</v>
      </c>
      <c r="AW92" t="s">
        <v>170</v>
      </c>
      <c r="AX92" t="s">
        <v>118</v>
      </c>
      <c r="AY92" t="s">
        <v>250</v>
      </c>
      <c r="AZ92" t="s">
        <v>120</v>
      </c>
      <c r="BA92" t="s">
        <v>14762</v>
      </c>
      <c r="BB92" t="s">
        <v>410</v>
      </c>
      <c r="BC92" t="s">
        <v>212</v>
      </c>
      <c r="BD92" t="s">
        <v>410</v>
      </c>
      <c r="BE92" t="s">
        <v>124</v>
      </c>
      <c r="BF92" t="s">
        <v>12250</v>
      </c>
      <c r="BG92" t="s">
        <v>21667</v>
      </c>
      <c r="BH92" t="s">
        <v>127</v>
      </c>
      <c r="BI92" t="s">
        <v>22009</v>
      </c>
      <c r="BJ92" t="s">
        <v>14764</v>
      </c>
      <c r="BK92" t="s">
        <v>22010</v>
      </c>
      <c r="BL92" t="s">
        <v>22000</v>
      </c>
      <c r="BM92" t="s">
        <v>896</v>
      </c>
      <c r="BN92" t="s">
        <v>132</v>
      </c>
      <c r="BO92" t="s">
        <v>897</v>
      </c>
      <c r="BP92" t="s">
        <v>898</v>
      </c>
      <c r="BQ92" t="s">
        <v>899</v>
      </c>
      <c r="BS92" t="s">
        <v>22011</v>
      </c>
      <c r="BT92" t="s">
        <v>22012</v>
      </c>
      <c r="BU92" t="s">
        <v>354</v>
      </c>
      <c r="BV92" t="s">
        <v>14768</v>
      </c>
      <c r="BW92" t="s">
        <v>14769</v>
      </c>
      <c r="BX92" t="s">
        <v>14770</v>
      </c>
      <c r="BY92" t="s">
        <v>14771</v>
      </c>
      <c r="BZ92" t="s">
        <v>14768</v>
      </c>
      <c r="CA92" t="s">
        <v>14769</v>
      </c>
      <c r="CB92" t="s">
        <v>14771</v>
      </c>
      <c r="CC92" t="s">
        <v>14768</v>
      </c>
      <c r="CD92" t="s">
        <v>14769</v>
      </c>
      <c r="CE92" t="s">
        <v>3841</v>
      </c>
      <c r="CF92" t="s">
        <v>14772</v>
      </c>
      <c r="CH92" t="s">
        <v>14773</v>
      </c>
      <c r="CI92" t="s">
        <v>14772</v>
      </c>
      <c r="CJ92" t="s">
        <v>14762</v>
      </c>
      <c r="CK92" t="s">
        <v>410</v>
      </c>
      <c r="CL92" t="s">
        <v>14773</v>
      </c>
      <c r="CN92" t="s">
        <v>14774</v>
      </c>
      <c r="CO92" t="s">
        <v>14772</v>
      </c>
    </row>
    <row r="93" spans="1:93" hidden="1">
      <c r="A93" t="s">
        <v>93</v>
      </c>
      <c r="B93">
        <v>28486</v>
      </c>
      <c r="C93" t="s">
        <v>14789</v>
      </c>
      <c r="D93" t="s">
        <v>21661</v>
      </c>
      <c r="E93" t="s">
        <v>12752</v>
      </c>
      <c r="F93" t="s">
        <v>152</v>
      </c>
      <c r="G93" t="s">
        <v>98</v>
      </c>
      <c r="H93" t="s">
        <v>23736</v>
      </c>
      <c r="I93" t="s">
        <v>100</v>
      </c>
      <c r="J93">
        <v>442859</v>
      </c>
      <c r="K93">
        <v>442859</v>
      </c>
      <c r="L93">
        <v>0</v>
      </c>
      <c r="M93">
        <v>0</v>
      </c>
      <c r="O93">
        <v>442859</v>
      </c>
      <c r="P93">
        <v>246</v>
      </c>
      <c r="Q93" t="s">
        <v>3005</v>
      </c>
      <c r="R93">
        <v>0</v>
      </c>
      <c r="S93">
        <v>0</v>
      </c>
      <c r="U93" t="s">
        <v>102</v>
      </c>
      <c r="V93" t="s">
        <v>103</v>
      </c>
      <c r="W93" t="s">
        <v>104</v>
      </c>
      <c r="Y93" t="s">
        <v>12602</v>
      </c>
      <c r="Z93" t="s">
        <v>23737</v>
      </c>
      <c r="AA93" t="s">
        <v>22904</v>
      </c>
      <c r="AB93" t="s">
        <v>23737</v>
      </c>
      <c r="AC93" t="s">
        <v>109</v>
      </c>
      <c r="AD93" t="s">
        <v>102</v>
      </c>
      <c r="AE93" t="s">
        <v>109</v>
      </c>
      <c r="AF93" t="s">
        <v>102</v>
      </c>
      <c r="AG93" t="s">
        <v>102</v>
      </c>
      <c r="AJ93" t="s">
        <v>23737</v>
      </c>
      <c r="AK93" t="s">
        <v>102</v>
      </c>
      <c r="AL93" t="s">
        <v>23737</v>
      </c>
      <c r="AM93" t="s">
        <v>3906</v>
      </c>
      <c r="AN93" t="s">
        <v>3906</v>
      </c>
      <c r="AS93" t="s">
        <v>102</v>
      </c>
      <c r="AU93" t="s">
        <v>155</v>
      </c>
      <c r="AV93" t="s">
        <v>119</v>
      </c>
      <c r="AW93" t="s">
        <v>170</v>
      </c>
      <c r="AX93" t="s">
        <v>118</v>
      </c>
      <c r="AZ93" t="s">
        <v>120</v>
      </c>
      <c r="BA93" t="s">
        <v>729</v>
      </c>
      <c r="BB93" t="s">
        <v>730</v>
      </c>
      <c r="BC93" t="s">
        <v>622</v>
      </c>
      <c r="BD93" t="s">
        <v>730</v>
      </c>
      <c r="BE93" t="s">
        <v>124</v>
      </c>
      <c r="BF93" t="s">
        <v>12250</v>
      </c>
      <c r="BG93" t="s">
        <v>21667</v>
      </c>
      <c r="BH93" t="s">
        <v>127</v>
      </c>
      <c r="BI93" t="s">
        <v>23738</v>
      </c>
      <c r="BJ93" t="s">
        <v>14793</v>
      </c>
      <c r="BK93" t="s">
        <v>23739</v>
      </c>
      <c r="BL93" t="s">
        <v>12752</v>
      </c>
      <c r="BM93" t="s">
        <v>2262</v>
      </c>
      <c r="BN93" t="s">
        <v>350</v>
      </c>
      <c r="BO93" t="s">
        <v>2263</v>
      </c>
      <c r="BP93" t="s">
        <v>2264</v>
      </c>
      <c r="BQ93" t="s">
        <v>2331</v>
      </c>
      <c r="BS93" t="s">
        <v>23740</v>
      </c>
      <c r="BT93" t="s">
        <v>23741</v>
      </c>
      <c r="BU93" t="s">
        <v>138</v>
      </c>
      <c r="BV93" t="s">
        <v>14797</v>
      </c>
      <c r="BW93" t="s">
        <v>23742</v>
      </c>
      <c r="BX93" t="s">
        <v>14799</v>
      </c>
      <c r="BY93" t="s">
        <v>23741</v>
      </c>
      <c r="BZ93" t="s">
        <v>14797</v>
      </c>
      <c r="CA93" t="s">
        <v>23742</v>
      </c>
      <c r="CB93" t="s">
        <v>23741</v>
      </c>
      <c r="CC93" t="s">
        <v>14797</v>
      </c>
      <c r="CD93" t="s">
        <v>23742</v>
      </c>
      <c r="CE93" t="s">
        <v>14800</v>
      </c>
      <c r="CF93" t="s">
        <v>14801</v>
      </c>
      <c r="CH93" t="s">
        <v>14802</v>
      </c>
      <c r="CI93" t="s">
        <v>14803</v>
      </c>
      <c r="CJ93" t="s">
        <v>729</v>
      </c>
      <c r="CK93" t="s">
        <v>730</v>
      </c>
      <c r="CL93" t="s">
        <v>14802</v>
      </c>
      <c r="CN93" t="s">
        <v>14801</v>
      </c>
      <c r="CO93" t="s">
        <v>14801</v>
      </c>
    </row>
    <row r="94" spans="1:93" hidden="1">
      <c r="A94" t="s">
        <v>495</v>
      </c>
      <c r="B94">
        <v>2984015</v>
      </c>
      <c r="C94" t="s">
        <v>25793</v>
      </c>
      <c r="D94" t="s">
        <v>21661</v>
      </c>
      <c r="E94" t="s">
        <v>13662</v>
      </c>
      <c r="F94" t="s">
        <v>848</v>
      </c>
      <c r="G94" t="s">
        <v>98</v>
      </c>
      <c r="H94" t="s">
        <v>25794</v>
      </c>
      <c r="I94" t="s">
        <v>100</v>
      </c>
      <c r="J94">
        <v>570090</v>
      </c>
      <c r="K94">
        <v>672706</v>
      </c>
      <c r="L94">
        <v>0</v>
      </c>
      <c r="M94">
        <v>0</v>
      </c>
      <c r="O94">
        <v>0</v>
      </c>
      <c r="P94">
        <v>0</v>
      </c>
      <c r="R94">
        <v>570090</v>
      </c>
      <c r="S94">
        <v>472</v>
      </c>
      <c r="T94" t="s">
        <v>4208</v>
      </c>
      <c r="U94" t="s">
        <v>102</v>
      </c>
      <c r="V94" t="s">
        <v>103</v>
      </c>
      <c r="W94" t="s">
        <v>155</v>
      </c>
      <c r="Y94" t="s">
        <v>12047</v>
      </c>
      <c r="Z94" t="s">
        <v>25795</v>
      </c>
      <c r="AA94" t="s">
        <v>19143</v>
      </c>
      <c r="AB94" t="s">
        <v>25795</v>
      </c>
      <c r="AC94" t="s">
        <v>21762</v>
      </c>
      <c r="AD94" t="s">
        <v>25795</v>
      </c>
      <c r="AE94" t="s">
        <v>21710</v>
      </c>
      <c r="AF94" t="s">
        <v>25795</v>
      </c>
      <c r="AG94" t="s">
        <v>102</v>
      </c>
      <c r="AJ94" t="s">
        <v>25795</v>
      </c>
      <c r="AK94" t="s">
        <v>102</v>
      </c>
      <c r="AL94" t="s">
        <v>25795</v>
      </c>
      <c r="AM94" t="s">
        <v>2054</v>
      </c>
      <c r="AN94" t="s">
        <v>25796</v>
      </c>
      <c r="AR94" t="s">
        <v>169</v>
      </c>
      <c r="AS94" t="s">
        <v>102</v>
      </c>
      <c r="AU94" t="s">
        <v>102</v>
      </c>
      <c r="AV94" t="s">
        <v>119</v>
      </c>
      <c r="AY94" t="s">
        <v>250</v>
      </c>
      <c r="AZ94" t="s">
        <v>120</v>
      </c>
      <c r="BA94" t="s">
        <v>2327</v>
      </c>
      <c r="BB94" t="s">
        <v>730</v>
      </c>
      <c r="BC94" t="s">
        <v>622</v>
      </c>
      <c r="BD94" t="s">
        <v>730</v>
      </c>
      <c r="BE94" t="s">
        <v>124</v>
      </c>
      <c r="BF94" t="s">
        <v>12250</v>
      </c>
      <c r="BG94" t="s">
        <v>21667</v>
      </c>
      <c r="BH94" t="s">
        <v>127</v>
      </c>
      <c r="BI94" t="s">
        <v>25797</v>
      </c>
      <c r="BJ94" t="s">
        <v>4588</v>
      </c>
      <c r="BK94" t="s">
        <v>25798</v>
      </c>
      <c r="BL94" t="s">
        <v>13662</v>
      </c>
      <c r="BM94" t="s">
        <v>734</v>
      </c>
      <c r="BN94" t="s">
        <v>350</v>
      </c>
      <c r="BO94" t="s">
        <v>735</v>
      </c>
      <c r="BP94" t="s">
        <v>736</v>
      </c>
      <c r="BQ94" t="s">
        <v>737</v>
      </c>
      <c r="BS94" t="s">
        <v>25799</v>
      </c>
      <c r="BT94" t="s">
        <v>25800</v>
      </c>
      <c r="BU94" t="s">
        <v>569</v>
      </c>
      <c r="BV94" t="s">
        <v>25801</v>
      </c>
      <c r="BW94" t="s">
        <v>14848</v>
      </c>
      <c r="BX94" t="s">
        <v>4594</v>
      </c>
      <c r="BY94" t="s">
        <v>25802</v>
      </c>
      <c r="BZ94" t="s">
        <v>25803</v>
      </c>
      <c r="CA94" t="s">
        <v>25804</v>
      </c>
      <c r="CB94" t="s">
        <v>25800</v>
      </c>
      <c r="CC94" t="s">
        <v>25801</v>
      </c>
      <c r="CD94" t="s">
        <v>14848</v>
      </c>
      <c r="CE94" t="s">
        <v>8234</v>
      </c>
      <c r="CF94" t="s">
        <v>14852</v>
      </c>
      <c r="CH94" t="s">
        <v>4602</v>
      </c>
      <c r="CI94" t="s">
        <v>4604</v>
      </c>
      <c r="CJ94" t="s">
        <v>2327</v>
      </c>
      <c r="CK94" t="s">
        <v>730</v>
      </c>
      <c r="CL94" t="s">
        <v>4602</v>
      </c>
      <c r="CM94" t="s">
        <v>4603</v>
      </c>
      <c r="CN94" t="s">
        <v>4604</v>
      </c>
      <c r="CO94" t="s">
        <v>4604</v>
      </c>
    </row>
    <row r="95" spans="1:93" hidden="1">
      <c r="A95" t="s">
        <v>93</v>
      </c>
      <c r="B95">
        <v>3033</v>
      </c>
      <c r="C95" t="s">
        <v>14859</v>
      </c>
      <c r="D95" t="s">
        <v>21661</v>
      </c>
      <c r="E95" t="s">
        <v>26448</v>
      </c>
      <c r="F95" t="s">
        <v>193</v>
      </c>
      <c r="G95" t="s">
        <v>98</v>
      </c>
      <c r="H95" t="s">
        <v>26449</v>
      </c>
      <c r="I95" t="s">
        <v>100</v>
      </c>
      <c r="J95">
        <v>398029</v>
      </c>
      <c r="K95">
        <v>430426</v>
      </c>
      <c r="L95">
        <v>218044</v>
      </c>
      <c r="M95">
        <v>872</v>
      </c>
      <c r="N95" t="s">
        <v>21572</v>
      </c>
      <c r="O95">
        <v>0</v>
      </c>
      <c r="P95">
        <v>0</v>
      </c>
      <c r="R95">
        <v>179985</v>
      </c>
      <c r="S95">
        <v>120</v>
      </c>
      <c r="T95" t="s">
        <v>6441</v>
      </c>
      <c r="U95" t="s">
        <v>102</v>
      </c>
      <c r="V95" t="s">
        <v>103</v>
      </c>
      <c r="W95" t="s">
        <v>801</v>
      </c>
      <c r="Y95" t="s">
        <v>26307</v>
      </c>
      <c r="Z95" t="s">
        <v>26450</v>
      </c>
      <c r="AA95" t="s">
        <v>26451</v>
      </c>
      <c r="AB95" t="s">
        <v>26450</v>
      </c>
      <c r="AC95" t="s">
        <v>22089</v>
      </c>
      <c r="AD95" t="s">
        <v>26452</v>
      </c>
      <c r="AE95" t="s">
        <v>26453</v>
      </c>
      <c r="AF95" t="s">
        <v>26452</v>
      </c>
      <c r="AG95" t="s">
        <v>26454</v>
      </c>
      <c r="AH95" t="s">
        <v>18964</v>
      </c>
      <c r="AI95" t="s">
        <v>18964</v>
      </c>
      <c r="AJ95" t="s">
        <v>26450</v>
      </c>
      <c r="AK95" t="s">
        <v>26455</v>
      </c>
      <c r="AL95" t="s">
        <v>26456</v>
      </c>
      <c r="AM95" t="s">
        <v>26457</v>
      </c>
      <c r="AN95" t="s">
        <v>26458</v>
      </c>
      <c r="AP95" t="s">
        <v>169</v>
      </c>
      <c r="AR95" t="s">
        <v>169</v>
      </c>
      <c r="AS95" t="s">
        <v>207</v>
      </c>
      <c r="AT95" t="s">
        <v>118</v>
      </c>
      <c r="AU95" t="s">
        <v>102</v>
      </c>
      <c r="AV95" t="s">
        <v>119</v>
      </c>
      <c r="AY95" t="s">
        <v>250</v>
      </c>
      <c r="AZ95" t="s">
        <v>120</v>
      </c>
      <c r="BA95" t="s">
        <v>121</v>
      </c>
      <c r="BB95" t="s">
        <v>121</v>
      </c>
      <c r="BC95" t="s">
        <v>122</v>
      </c>
      <c r="BD95" t="s">
        <v>123</v>
      </c>
      <c r="BE95" t="s">
        <v>124</v>
      </c>
      <c r="BF95" t="s">
        <v>26459</v>
      </c>
      <c r="BG95" t="s">
        <v>21667</v>
      </c>
      <c r="BH95" t="s">
        <v>127</v>
      </c>
      <c r="BI95" t="s">
        <v>26460</v>
      </c>
      <c r="BJ95" t="s">
        <v>14868</v>
      </c>
      <c r="BK95" t="s">
        <v>26461</v>
      </c>
      <c r="BL95" t="s">
        <v>26448</v>
      </c>
      <c r="BM95" t="s">
        <v>131</v>
      </c>
      <c r="BN95" t="s">
        <v>350</v>
      </c>
      <c r="BO95" t="s">
        <v>133</v>
      </c>
      <c r="BP95" t="s">
        <v>134</v>
      </c>
      <c r="BQ95" t="s">
        <v>455</v>
      </c>
      <c r="BS95" t="s">
        <v>26462</v>
      </c>
      <c r="BT95" t="s">
        <v>14871</v>
      </c>
      <c r="BU95" t="s">
        <v>138</v>
      </c>
      <c r="BV95" t="s">
        <v>26463</v>
      </c>
      <c r="BW95" t="s">
        <v>26111</v>
      </c>
      <c r="BX95" t="s">
        <v>14874</v>
      </c>
      <c r="BY95" t="s">
        <v>14871</v>
      </c>
      <c r="BZ95" t="s">
        <v>26463</v>
      </c>
      <c r="CA95" t="s">
        <v>26111</v>
      </c>
      <c r="CB95" t="s">
        <v>26464</v>
      </c>
      <c r="CC95" t="s">
        <v>26112</v>
      </c>
      <c r="CD95" t="s">
        <v>26113</v>
      </c>
      <c r="CE95" t="s">
        <v>7998</v>
      </c>
      <c r="CF95" t="s">
        <v>14878</v>
      </c>
      <c r="CH95" t="s">
        <v>14879</v>
      </c>
      <c r="CI95" t="s">
        <v>14878</v>
      </c>
      <c r="CJ95" t="s">
        <v>121</v>
      </c>
      <c r="CK95" t="s">
        <v>2226</v>
      </c>
      <c r="CL95" t="s">
        <v>14879</v>
      </c>
      <c r="CM95" t="s">
        <v>26465</v>
      </c>
      <c r="CN95" t="s">
        <v>14880</v>
      </c>
      <c r="CO95" t="s">
        <v>14880</v>
      </c>
    </row>
    <row r="96" spans="1:93" hidden="1">
      <c r="A96" t="s">
        <v>93</v>
      </c>
      <c r="B96">
        <v>3078372</v>
      </c>
      <c r="C96" t="s">
        <v>14893</v>
      </c>
      <c r="D96" t="s">
        <v>21661</v>
      </c>
      <c r="E96" t="s">
        <v>21768</v>
      </c>
      <c r="F96" t="s">
        <v>152</v>
      </c>
      <c r="G96" t="s">
        <v>98</v>
      </c>
      <c r="H96" t="s">
        <v>23743</v>
      </c>
      <c r="I96" t="s">
        <v>100</v>
      </c>
      <c r="J96">
        <v>739115</v>
      </c>
      <c r="K96">
        <v>739115</v>
      </c>
      <c r="L96">
        <v>0</v>
      </c>
      <c r="M96">
        <v>0</v>
      </c>
      <c r="O96">
        <v>739115</v>
      </c>
      <c r="P96">
        <v>685</v>
      </c>
      <c r="Q96" t="s">
        <v>14894</v>
      </c>
      <c r="R96">
        <v>0</v>
      </c>
      <c r="S96">
        <v>0</v>
      </c>
      <c r="U96" t="s">
        <v>102</v>
      </c>
      <c r="V96" t="s">
        <v>103</v>
      </c>
      <c r="W96" t="s">
        <v>155</v>
      </c>
      <c r="Y96" t="s">
        <v>21784</v>
      </c>
      <c r="Z96" t="s">
        <v>23744</v>
      </c>
      <c r="AA96" t="s">
        <v>21788</v>
      </c>
      <c r="AB96" t="s">
        <v>23744</v>
      </c>
      <c r="AC96" t="s">
        <v>21944</v>
      </c>
      <c r="AD96" t="s">
        <v>23744</v>
      </c>
      <c r="AE96" t="s">
        <v>21945</v>
      </c>
      <c r="AF96" t="s">
        <v>23744</v>
      </c>
      <c r="AG96" t="s">
        <v>102</v>
      </c>
      <c r="AJ96" t="s">
        <v>23744</v>
      </c>
      <c r="AK96" t="s">
        <v>102</v>
      </c>
      <c r="AL96" t="s">
        <v>23744</v>
      </c>
      <c r="AM96" t="s">
        <v>14899</v>
      </c>
      <c r="AN96" t="s">
        <v>14899</v>
      </c>
      <c r="AS96" t="s">
        <v>102</v>
      </c>
      <c r="AU96" t="s">
        <v>155</v>
      </c>
      <c r="AV96" t="s">
        <v>119</v>
      </c>
      <c r="AW96" t="s">
        <v>170</v>
      </c>
      <c r="AX96" t="s">
        <v>118</v>
      </c>
      <c r="AZ96" t="s">
        <v>120</v>
      </c>
      <c r="BA96" t="s">
        <v>3214</v>
      </c>
      <c r="BB96" t="s">
        <v>410</v>
      </c>
      <c r="BC96" t="s">
        <v>212</v>
      </c>
      <c r="BD96" t="s">
        <v>410</v>
      </c>
      <c r="BE96" t="s">
        <v>124</v>
      </c>
      <c r="BF96" t="s">
        <v>12250</v>
      </c>
      <c r="BG96" t="s">
        <v>21667</v>
      </c>
      <c r="BH96" t="s">
        <v>127</v>
      </c>
      <c r="BI96" t="s">
        <v>23745</v>
      </c>
      <c r="BJ96" t="s">
        <v>14901</v>
      </c>
      <c r="BK96" t="s">
        <v>23746</v>
      </c>
      <c r="BL96" t="s">
        <v>21768</v>
      </c>
      <c r="BM96" t="s">
        <v>4053</v>
      </c>
      <c r="BN96" t="s">
        <v>505</v>
      </c>
      <c r="BO96" t="s">
        <v>4054</v>
      </c>
      <c r="BP96" t="s">
        <v>4055</v>
      </c>
      <c r="BQ96" t="s">
        <v>4056</v>
      </c>
      <c r="BS96" t="s">
        <v>23747</v>
      </c>
      <c r="BT96" t="s">
        <v>23748</v>
      </c>
      <c r="BU96" t="s">
        <v>354</v>
      </c>
      <c r="BV96" t="s">
        <v>14905</v>
      </c>
      <c r="BW96" t="s">
        <v>23749</v>
      </c>
      <c r="BX96" t="s">
        <v>14907</v>
      </c>
      <c r="BY96" t="s">
        <v>23750</v>
      </c>
      <c r="BZ96" t="s">
        <v>23751</v>
      </c>
      <c r="CA96" t="s">
        <v>23752</v>
      </c>
      <c r="CB96" t="s">
        <v>23750</v>
      </c>
      <c r="CC96" t="s">
        <v>23751</v>
      </c>
      <c r="CD96" t="s">
        <v>23752</v>
      </c>
      <c r="CE96" t="s">
        <v>573</v>
      </c>
      <c r="CF96" t="s">
        <v>23753</v>
      </c>
      <c r="CH96" t="s">
        <v>14911</v>
      </c>
      <c r="CI96" t="s">
        <v>14910</v>
      </c>
      <c r="CJ96" t="s">
        <v>3214</v>
      </c>
      <c r="CK96" t="s">
        <v>410</v>
      </c>
      <c r="CL96" t="s">
        <v>14911</v>
      </c>
      <c r="CN96" t="s">
        <v>14910</v>
      </c>
      <c r="CO96" t="s">
        <v>14910</v>
      </c>
    </row>
    <row r="97" spans="1:93">
      <c r="A97" t="s">
        <v>337</v>
      </c>
      <c r="B97">
        <v>3091250</v>
      </c>
      <c r="C97" t="s">
        <v>24247</v>
      </c>
      <c r="D97" t="s">
        <v>21661</v>
      </c>
      <c r="E97" t="s">
        <v>11889</v>
      </c>
      <c r="F97" t="s">
        <v>97</v>
      </c>
      <c r="G97" t="s">
        <v>98</v>
      </c>
      <c r="H97" t="s">
        <v>24248</v>
      </c>
      <c r="I97" t="s">
        <v>100</v>
      </c>
      <c r="J97">
        <v>463005</v>
      </c>
      <c r="K97">
        <v>463005</v>
      </c>
      <c r="L97">
        <v>463005</v>
      </c>
      <c r="M97">
        <v>691</v>
      </c>
      <c r="N97" t="s">
        <v>24249</v>
      </c>
      <c r="O97">
        <v>0</v>
      </c>
      <c r="P97">
        <v>0</v>
      </c>
      <c r="R97">
        <v>0</v>
      </c>
      <c r="S97">
        <v>0</v>
      </c>
      <c r="U97" t="s">
        <v>102</v>
      </c>
      <c r="V97" t="s">
        <v>103</v>
      </c>
      <c r="W97" t="s">
        <v>104</v>
      </c>
      <c r="Y97" t="s">
        <v>21768</v>
      </c>
      <c r="Z97" t="s">
        <v>24250</v>
      </c>
      <c r="AA97" t="s">
        <v>24251</v>
      </c>
      <c r="AB97" t="s">
        <v>24250</v>
      </c>
      <c r="AC97" t="s">
        <v>109</v>
      </c>
      <c r="AD97" t="s">
        <v>102</v>
      </c>
      <c r="AE97" t="s">
        <v>109</v>
      </c>
      <c r="AF97" t="s">
        <v>102</v>
      </c>
      <c r="AG97" t="s">
        <v>102</v>
      </c>
      <c r="AH97" t="s">
        <v>23889</v>
      </c>
      <c r="AI97" t="s">
        <v>23889</v>
      </c>
      <c r="AJ97" t="s">
        <v>24250</v>
      </c>
      <c r="AK97" t="s">
        <v>25036</v>
      </c>
      <c r="AL97" t="s">
        <v>25037</v>
      </c>
      <c r="AM97" t="s">
        <v>24252</v>
      </c>
      <c r="AN97" t="s">
        <v>24253</v>
      </c>
      <c r="AO97" t="s">
        <v>102</v>
      </c>
      <c r="AP97" t="s">
        <v>102</v>
      </c>
      <c r="AQ97" t="s">
        <v>102</v>
      </c>
      <c r="AR97" t="s">
        <v>102</v>
      </c>
      <c r="AS97" t="s">
        <v>318</v>
      </c>
      <c r="AT97" t="s">
        <v>118</v>
      </c>
      <c r="AU97" t="s">
        <v>102</v>
      </c>
      <c r="AV97" t="s">
        <v>119</v>
      </c>
      <c r="AZ97" t="s">
        <v>120</v>
      </c>
      <c r="BA97" t="s">
        <v>4889</v>
      </c>
      <c r="BB97" t="s">
        <v>730</v>
      </c>
      <c r="BC97" t="s">
        <v>622</v>
      </c>
      <c r="BD97" t="s">
        <v>730</v>
      </c>
      <c r="BE97" t="s">
        <v>124</v>
      </c>
      <c r="BF97" t="s">
        <v>12250</v>
      </c>
      <c r="BG97" t="s">
        <v>21667</v>
      </c>
      <c r="BH97" t="s">
        <v>127</v>
      </c>
      <c r="BI97" t="s">
        <v>24254</v>
      </c>
      <c r="BJ97" t="s">
        <v>24255</v>
      </c>
      <c r="BK97" t="s">
        <v>24256</v>
      </c>
      <c r="BL97" t="s">
        <v>11889</v>
      </c>
      <c r="BM97" t="s">
        <v>5197</v>
      </c>
      <c r="BN97" t="s">
        <v>505</v>
      </c>
      <c r="BO97" t="s">
        <v>5198</v>
      </c>
      <c r="BP97" t="s">
        <v>5199</v>
      </c>
      <c r="BQ97" t="s">
        <v>5199</v>
      </c>
      <c r="BS97" t="s">
        <v>24257</v>
      </c>
      <c r="BT97" t="s">
        <v>24258</v>
      </c>
      <c r="BU97" t="s">
        <v>138</v>
      </c>
      <c r="BV97" t="s">
        <v>15969</v>
      </c>
      <c r="BW97" t="s">
        <v>24259</v>
      </c>
      <c r="BX97" t="s">
        <v>24260</v>
      </c>
      <c r="BY97" t="s">
        <v>24261</v>
      </c>
      <c r="BZ97" t="s">
        <v>24262</v>
      </c>
      <c r="CA97" t="s">
        <v>24259</v>
      </c>
      <c r="CB97" t="s">
        <v>24263</v>
      </c>
      <c r="CC97" t="s">
        <v>24264</v>
      </c>
      <c r="CD97" t="s">
        <v>24265</v>
      </c>
      <c r="CE97" t="s">
        <v>907</v>
      </c>
      <c r="CF97" t="s">
        <v>24266</v>
      </c>
      <c r="CH97" t="s">
        <v>4903</v>
      </c>
      <c r="CI97" t="s">
        <v>24266</v>
      </c>
      <c r="CJ97" t="s">
        <v>4889</v>
      </c>
      <c r="CK97" t="s">
        <v>730</v>
      </c>
      <c r="CL97" t="s">
        <v>4903</v>
      </c>
      <c r="CN97" t="s">
        <v>24267</v>
      </c>
      <c r="CO97" t="s">
        <v>24267</v>
      </c>
    </row>
    <row r="98" spans="1:93" hidden="1">
      <c r="A98" t="s">
        <v>149</v>
      </c>
      <c r="B98">
        <v>3106413</v>
      </c>
      <c r="C98" t="s">
        <v>4681</v>
      </c>
      <c r="D98" t="s">
        <v>21661</v>
      </c>
      <c r="E98" t="s">
        <v>22013</v>
      </c>
      <c r="F98" t="s">
        <v>193</v>
      </c>
      <c r="G98" t="s">
        <v>98</v>
      </c>
      <c r="H98" t="s">
        <v>22014</v>
      </c>
      <c r="I98" t="s">
        <v>100</v>
      </c>
      <c r="J98">
        <v>1779428</v>
      </c>
      <c r="K98">
        <v>1997552</v>
      </c>
      <c r="L98">
        <v>567629</v>
      </c>
      <c r="M98">
        <v>479</v>
      </c>
      <c r="N98" t="s">
        <v>22015</v>
      </c>
      <c r="O98">
        <v>0</v>
      </c>
      <c r="P98">
        <v>0</v>
      </c>
      <c r="R98">
        <v>1211799</v>
      </c>
      <c r="S98">
        <v>432</v>
      </c>
      <c r="T98" t="s">
        <v>22016</v>
      </c>
      <c r="U98" t="s">
        <v>102</v>
      </c>
      <c r="V98" t="s">
        <v>679</v>
      </c>
      <c r="W98" t="s">
        <v>155</v>
      </c>
      <c r="X98" t="s">
        <v>14455</v>
      </c>
      <c r="Y98" t="s">
        <v>22017</v>
      </c>
      <c r="Z98" t="s">
        <v>25038</v>
      </c>
      <c r="AA98" t="s">
        <v>22018</v>
      </c>
      <c r="AB98" t="s">
        <v>25038</v>
      </c>
      <c r="AC98" t="s">
        <v>21773</v>
      </c>
      <c r="AD98" t="s">
        <v>25038</v>
      </c>
      <c r="AE98" t="s">
        <v>22019</v>
      </c>
      <c r="AF98" t="s">
        <v>25038</v>
      </c>
      <c r="AG98" t="s">
        <v>26114</v>
      </c>
      <c r="AH98" t="s">
        <v>25805</v>
      </c>
      <c r="AI98" t="s">
        <v>25805</v>
      </c>
      <c r="AJ98" t="s">
        <v>25039</v>
      </c>
      <c r="AK98" t="s">
        <v>26115</v>
      </c>
      <c r="AL98" t="s">
        <v>26116</v>
      </c>
      <c r="AM98" t="s">
        <v>22020</v>
      </c>
      <c r="AN98" t="s">
        <v>22021</v>
      </c>
      <c r="AO98" t="s">
        <v>343</v>
      </c>
      <c r="AR98" t="s">
        <v>169</v>
      </c>
      <c r="AS98" t="s">
        <v>247</v>
      </c>
      <c r="AT98" t="s">
        <v>118</v>
      </c>
      <c r="AU98" t="s">
        <v>102</v>
      </c>
      <c r="AV98" t="s">
        <v>119</v>
      </c>
      <c r="AY98" t="s">
        <v>250</v>
      </c>
      <c r="AZ98" t="s">
        <v>120</v>
      </c>
      <c r="BA98" t="s">
        <v>2327</v>
      </c>
      <c r="BB98" t="s">
        <v>730</v>
      </c>
      <c r="BC98" t="s">
        <v>622</v>
      </c>
      <c r="BD98" t="s">
        <v>730</v>
      </c>
      <c r="BE98" t="s">
        <v>124</v>
      </c>
      <c r="BF98" t="s">
        <v>12250</v>
      </c>
      <c r="BG98" t="s">
        <v>21667</v>
      </c>
      <c r="BH98" t="s">
        <v>127</v>
      </c>
      <c r="BI98" t="s">
        <v>22022</v>
      </c>
      <c r="BJ98" t="s">
        <v>4698</v>
      </c>
      <c r="BK98" t="s">
        <v>22023</v>
      </c>
      <c r="BL98" t="s">
        <v>22013</v>
      </c>
      <c r="BM98" t="s">
        <v>3606</v>
      </c>
      <c r="BN98" t="s">
        <v>350</v>
      </c>
      <c r="BO98" t="s">
        <v>3607</v>
      </c>
      <c r="BP98" t="s">
        <v>3608</v>
      </c>
      <c r="BQ98" t="s">
        <v>2525</v>
      </c>
      <c r="BS98" t="s">
        <v>22024</v>
      </c>
      <c r="BT98" t="s">
        <v>4705</v>
      </c>
      <c r="BU98" t="s">
        <v>138</v>
      </c>
      <c r="BV98" t="s">
        <v>4706</v>
      </c>
      <c r="BW98" t="s">
        <v>4707</v>
      </c>
      <c r="BX98" t="s">
        <v>4704</v>
      </c>
      <c r="BY98" t="s">
        <v>4705</v>
      </c>
      <c r="BZ98" t="s">
        <v>4706</v>
      </c>
      <c r="CA98" t="s">
        <v>4707</v>
      </c>
      <c r="CB98" t="s">
        <v>14944</v>
      </c>
      <c r="CC98" t="s">
        <v>14945</v>
      </c>
      <c r="CD98" t="s">
        <v>4710</v>
      </c>
      <c r="CE98" t="s">
        <v>102</v>
      </c>
      <c r="CF98" t="s">
        <v>4711</v>
      </c>
      <c r="CH98" t="s">
        <v>4712</v>
      </c>
      <c r="CJ98" t="s">
        <v>2327</v>
      </c>
      <c r="CK98" t="s">
        <v>730</v>
      </c>
      <c r="CL98" t="s">
        <v>4712</v>
      </c>
      <c r="CM98" t="s">
        <v>4713</v>
      </c>
      <c r="CN98" t="s">
        <v>4711</v>
      </c>
      <c r="CO98" t="s">
        <v>4711</v>
      </c>
    </row>
    <row r="99" spans="1:93" hidden="1">
      <c r="A99" t="s">
        <v>149</v>
      </c>
      <c r="B99">
        <v>3139</v>
      </c>
      <c r="C99" t="s">
        <v>4714</v>
      </c>
      <c r="D99" t="s">
        <v>21661</v>
      </c>
      <c r="E99" t="s">
        <v>24268</v>
      </c>
      <c r="F99" t="s">
        <v>193</v>
      </c>
      <c r="G99" t="s">
        <v>98</v>
      </c>
      <c r="H99" t="s">
        <v>24269</v>
      </c>
      <c r="I99" t="s">
        <v>100</v>
      </c>
      <c r="J99">
        <v>1898508</v>
      </c>
      <c r="K99">
        <v>2194145</v>
      </c>
      <c r="L99">
        <v>512160</v>
      </c>
      <c r="M99">
        <v>1206</v>
      </c>
      <c r="N99" t="s">
        <v>24270</v>
      </c>
      <c r="O99">
        <v>0</v>
      </c>
      <c r="P99">
        <v>0</v>
      </c>
      <c r="R99">
        <v>1642428</v>
      </c>
      <c r="S99">
        <v>698</v>
      </c>
      <c r="T99" t="s">
        <v>24271</v>
      </c>
      <c r="U99" t="s">
        <v>102</v>
      </c>
      <c r="V99" t="s">
        <v>679</v>
      </c>
      <c r="W99" t="s">
        <v>801</v>
      </c>
      <c r="X99" t="s">
        <v>24272</v>
      </c>
      <c r="Y99" t="s">
        <v>24273</v>
      </c>
      <c r="Z99" t="s">
        <v>24274</v>
      </c>
      <c r="AA99" t="s">
        <v>24275</v>
      </c>
      <c r="AB99" t="s">
        <v>24274</v>
      </c>
      <c r="AC99" t="s">
        <v>22089</v>
      </c>
      <c r="AD99" t="s">
        <v>24276</v>
      </c>
      <c r="AE99" t="s">
        <v>24277</v>
      </c>
      <c r="AF99" t="s">
        <v>24276</v>
      </c>
      <c r="AG99" t="s">
        <v>102</v>
      </c>
      <c r="AJ99" t="s">
        <v>24276</v>
      </c>
      <c r="AK99" t="s">
        <v>102</v>
      </c>
      <c r="AL99" t="s">
        <v>24276</v>
      </c>
      <c r="AM99" t="s">
        <v>24278</v>
      </c>
      <c r="AN99" t="s">
        <v>24279</v>
      </c>
      <c r="AR99" t="s">
        <v>169</v>
      </c>
      <c r="AS99" t="s">
        <v>207</v>
      </c>
      <c r="AT99" t="s">
        <v>118</v>
      </c>
      <c r="AU99" t="s">
        <v>102</v>
      </c>
      <c r="AV99" t="s">
        <v>119</v>
      </c>
      <c r="AY99" t="s">
        <v>250</v>
      </c>
      <c r="AZ99" t="s">
        <v>120</v>
      </c>
      <c r="BA99" t="s">
        <v>2204</v>
      </c>
      <c r="BB99" t="s">
        <v>121</v>
      </c>
      <c r="BC99" t="s">
        <v>122</v>
      </c>
      <c r="BD99" t="s">
        <v>123</v>
      </c>
      <c r="BE99" t="s">
        <v>124</v>
      </c>
      <c r="BF99" t="s">
        <v>12250</v>
      </c>
      <c r="BG99" t="s">
        <v>21667</v>
      </c>
      <c r="BH99" t="s">
        <v>127</v>
      </c>
      <c r="BI99" t="s">
        <v>24280</v>
      </c>
      <c r="BJ99" t="s">
        <v>4725</v>
      </c>
      <c r="BK99" t="s">
        <v>24281</v>
      </c>
      <c r="BL99" t="s">
        <v>24268</v>
      </c>
      <c r="BM99" t="s">
        <v>8788</v>
      </c>
      <c r="BN99" t="s">
        <v>350</v>
      </c>
      <c r="BO99" t="s">
        <v>8789</v>
      </c>
      <c r="BP99" t="s">
        <v>8790</v>
      </c>
      <c r="BQ99" t="s">
        <v>566</v>
      </c>
      <c r="BS99" t="s">
        <v>24282</v>
      </c>
      <c r="BT99" t="s">
        <v>4728</v>
      </c>
      <c r="BU99" t="s">
        <v>569</v>
      </c>
      <c r="BV99" t="s">
        <v>4729</v>
      </c>
      <c r="BW99" t="s">
        <v>4730</v>
      </c>
      <c r="BX99" t="s">
        <v>4731</v>
      </c>
      <c r="BY99" t="s">
        <v>24283</v>
      </c>
      <c r="BZ99" t="s">
        <v>24284</v>
      </c>
      <c r="CA99" t="s">
        <v>24285</v>
      </c>
      <c r="CB99" t="s">
        <v>24286</v>
      </c>
      <c r="CC99" t="s">
        <v>24287</v>
      </c>
      <c r="CD99" t="s">
        <v>24288</v>
      </c>
      <c r="CE99" t="s">
        <v>102</v>
      </c>
      <c r="CF99" t="s">
        <v>14966</v>
      </c>
      <c r="CH99" t="s">
        <v>4735</v>
      </c>
      <c r="CJ99" t="s">
        <v>2204</v>
      </c>
      <c r="CK99" t="s">
        <v>121</v>
      </c>
      <c r="CL99" t="s">
        <v>4735</v>
      </c>
      <c r="CM99" t="s">
        <v>4736</v>
      </c>
      <c r="CN99" t="s">
        <v>4734</v>
      </c>
      <c r="CO99" t="s">
        <v>4734</v>
      </c>
    </row>
    <row r="100" spans="1:93" hidden="1">
      <c r="A100" t="s">
        <v>93</v>
      </c>
      <c r="B100">
        <v>3146020</v>
      </c>
      <c r="C100" t="s">
        <v>22025</v>
      </c>
      <c r="D100" t="s">
        <v>21661</v>
      </c>
      <c r="E100" t="s">
        <v>15422</v>
      </c>
      <c r="F100" t="s">
        <v>152</v>
      </c>
      <c r="G100" t="s">
        <v>98</v>
      </c>
      <c r="H100" t="s">
        <v>22026</v>
      </c>
      <c r="I100" t="s">
        <v>100</v>
      </c>
      <c r="J100">
        <v>720096</v>
      </c>
      <c r="K100">
        <v>720096</v>
      </c>
      <c r="L100">
        <v>0</v>
      </c>
      <c r="M100">
        <v>0</v>
      </c>
      <c r="O100">
        <v>720096</v>
      </c>
      <c r="P100">
        <v>600</v>
      </c>
      <c r="Q100" t="s">
        <v>880</v>
      </c>
      <c r="R100">
        <v>0</v>
      </c>
      <c r="S100">
        <v>0</v>
      </c>
      <c r="U100" t="s">
        <v>102</v>
      </c>
      <c r="V100" t="s">
        <v>103</v>
      </c>
      <c r="W100" t="s">
        <v>155</v>
      </c>
      <c r="Y100" t="s">
        <v>22027</v>
      </c>
      <c r="Z100" t="s">
        <v>22028</v>
      </c>
      <c r="AA100" t="s">
        <v>22029</v>
      </c>
      <c r="AB100" t="s">
        <v>22028</v>
      </c>
      <c r="AC100" t="s">
        <v>22030</v>
      </c>
      <c r="AD100" t="s">
        <v>22028</v>
      </c>
      <c r="AE100" t="s">
        <v>22031</v>
      </c>
      <c r="AF100" t="s">
        <v>22028</v>
      </c>
      <c r="AG100" t="s">
        <v>102</v>
      </c>
      <c r="AJ100" t="s">
        <v>22028</v>
      </c>
      <c r="AK100" t="s">
        <v>102</v>
      </c>
      <c r="AL100" t="s">
        <v>22028</v>
      </c>
      <c r="AM100" t="s">
        <v>1963</v>
      </c>
      <c r="AN100" t="s">
        <v>1963</v>
      </c>
      <c r="AS100" t="s">
        <v>102</v>
      </c>
      <c r="AU100" t="s">
        <v>155</v>
      </c>
      <c r="AV100" t="s">
        <v>119</v>
      </c>
      <c r="AW100" t="s">
        <v>170</v>
      </c>
      <c r="AX100" t="s">
        <v>118</v>
      </c>
      <c r="AZ100" t="s">
        <v>120</v>
      </c>
      <c r="BA100" t="s">
        <v>22032</v>
      </c>
      <c r="BB100" t="s">
        <v>449</v>
      </c>
      <c r="BC100" t="s">
        <v>122</v>
      </c>
      <c r="BD100" t="s">
        <v>253</v>
      </c>
      <c r="BE100" t="s">
        <v>124</v>
      </c>
      <c r="BF100" t="s">
        <v>12250</v>
      </c>
      <c r="BG100" t="s">
        <v>21667</v>
      </c>
      <c r="BH100" t="s">
        <v>127</v>
      </c>
      <c r="BI100" t="s">
        <v>22033</v>
      </c>
      <c r="BJ100" t="s">
        <v>22034</v>
      </c>
      <c r="BK100" t="s">
        <v>22035</v>
      </c>
      <c r="BL100" t="s">
        <v>15422</v>
      </c>
      <c r="BM100" t="s">
        <v>3243</v>
      </c>
      <c r="BN100" t="s">
        <v>350</v>
      </c>
      <c r="BO100" t="s">
        <v>3244</v>
      </c>
      <c r="BP100" t="s">
        <v>3245</v>
      </c>
      <c r="BQ100" t="s">
        <v>3246</v>
      </c>
      <c r="BS100" t="s">
        <v>22036</v>
      </c>
      <c r="BT100" t="s">
        <v>22037</v>
      </c>
      <c r="BU100" t="s">
        <v>138</v>
      </c>
      <c r="BV100" t="s">
        <v>22038</v>
      </c>
      <c r="BW100" t="s">
        <v>22039</v>
      </c>
      <c r="BX100" t="s">
        <v>22040</v>
      </c>
      <c r="BY100" t="s">
        <v>22037</v>
      </c>
      <c r="BZ100" t="s">
        <v>22038</v>
      </c>
      <c r="CA100" t="s">
        <v>22039</v>
      </c>
      <c r="CB100" t="s">
        <v>22037</v>
      </c>
      <c r="CC100" t="s">
        <v>22038</v>
      </c>
      <c r="CD100" t="s">
        <v>22039</v>
      </c>
      <c r="CE100" t="s">
        <v>22041</v>
      </c>
      <c r="CF100" t="s">
        <v>22042</v>
      </c>
      <c r="CH100" t="s">
        <v>22043</v>
      </c>
      <c r="CI100" t="s">
        <v>22044</v>
      </c>
      <c r="CJ100" t="s">
        <v>22032</v>
      </c>
      <c r="CK100" t="s">
        <v>449</v>
      </c>
      <c r="CL100" t="s">
        <v>22043</v>
      </c>
      <c r="CN100" t="s">
        <v>22042</v>
      </c>
      <c r="CO100" t="s">
        <v>22042</v>
      </c>
    </row>
    <row r="101" spans="1:93">
      <c r="A101" t="s">
        <v>337</v>
      </c>
      <c r="B101">
        <v>3150853</v>
      </c>
      <c r="C101" t="s">
        <v>22045</v>
      </c>
      <c r="D101" t="s">
        <v>21661</v>
      </c>
      <c r="E101" t="s">
        <v>12696</v>
      </c>
      <c r="F101" t="s">
        <v>152</v>
      </c>
      <c r="G101" t="s">
        <v>98</v>
      </c>
      <c r="H101" t="s">
        <v>22046</v>
      </c>
      <c r="I101" t="s">
        <v>100</v>
      </c>
      <c r="J101">
        <v>345643</v>
      </c>
      <c r="K101">
        <v>345643</v>
      </c>
      <c r="L101">
        <v>0</v>
      </c>
      <c r="M101">
        <v>0</v>
      </c>
      <c r="O101">
        <v>345643</v>
      </c>
      <c r="P101">
        <v>432</v>
      </c>
      <c r="Q101" t="s">
        <v>1297</v>
      </c>
      <c r="R101">
        <v>0</v>
      </c>
      <c r="S101">
        <v>0</v>
      </c>
      <c r="U101" t="s">
        <v>102</v>
      </c>
      <c r="V101" t="s">
        <v>103</v>
      </c>
      <c r="W101" t="s">
        <v>155</v>
      </c>
      <c r="Y101" t="s">
        <v>21843</v>
      </c>
      <c r="Z101" t="s">
        <v>22047</v>
      </c>
      <c r="AA101" t="s">
        <v>21845</v>
      </c>
      <c r="AB101" t="s">
        <v>22047</v>
      </c>
      <c r="AC101" t="s">
        <v>21846</v>
      </c>
      <c r="AD101" t="s">
        <v>22047</v>
      </c>
      <c r="AE101" t="s">
        <v>21666</v>
      </c>
      <c r="AF101" t="s">
        <v>22047</v>
      </c>
      <c r="AG101" t="s">
        <v>102</v>
      </c>
      <c r="AH101" t="s">
        <v>15489</v>
      </c>
      <c r="AI101" t="s">
        <v>15489</v>
      </c>
      <c r="AJ101" t="s">
        <v>22047</v>
      </c>
      <c r="AK101" t="s">
        <v>5650</v>
      </c>
      <c r="AL101" t="s">
        <v>24289</v>
      </c>
      <c r="AM101" t="s">
        <v>13347</v>
      </c>
      <c r="AN101" t="s">
        <v>13347</v>
      </c>
      <c r="AS101" t="s">
        <v>102</v>
      </c>
      <c r="AU101" t="s">
        <v>104</v>
      </c>
      <c r="AV101" t="s">
        <v>447</v>
      </c>
      <c r="AW101" t="s">
        <v>170</v>
      </c>
      <c r="AX101" t="s">
        <v>118</v>
      </c>
      <c r="AZ101" t="s">
        <v>120</v>
      </c>
      <c r="BA101" t="s">
        <v>22048</v>
      </c>
      <c r="BB101" t="s">
        <v>376</v>
      </c>
      <c r="BC101" t="s">
        <v>174</v>
      </c>
      <c r="BD101" t="s">
        <v>376</v>
      </c>
      <c r="BE101" t="s">
        <v>124</v>
      </c>
      <c r="BF101" t="s">
        <v>12250</v>
      </c>
      <c r="BG101" t="s">
        <v>21667</v>
      </c>
      <c r="BH101" t="s">
        <v>127</v>
      </c>
      <c r="BI101" t="s">
        <v>22049</v>
      </c>
      <c r="BJ101" t="s">
        <v>22050</v>
      </c>
      <c r="BK101" t="s">
        <v>22051</v>
      </c>
      <c r="BL101" t="s">
        <v>12696</v>
      </c>
      <c r="BM101" t="s">
        <v>13780</v>
      </c>
      <c r="BN101" t="s">
        <v>180</v>
      </c>
      <c r="BO101" t="s">
        <v>13781</v>
      </c>
      <c r="BP101" t="s">
        <v>13782</v>
      </c>
      <c r="BQ101" t="s">
        <v>13783</v>
      </c>
      <c r="BS101" t="s">
        <v>22052</v>
      </c>
      <c r="BT101" t="s">
        <v>22053</v>
      </c>
      <c r="BU101" t="s">
        <v>138</v>
      </c>
      <c r="BV101" t="s">
        <v>22054</v>
      </c>
      <c r="BW101" t="s">
        <v>22055</v>
      </c>
      <c r="BX101" t="s">
        <v>22056</v>
      </c>
      <c r="BY101" t="s">
        <v>22053</v>
      </c>
      <c r="BZ101" t="s">
        <v>22054</v>
      </c>
      <c r="CA101" t="s">
        <v>22055</v>
      </c>
      <c r="CB101" t="s">
        <v>22053</v>
      </c>
      <c r="CC101" t="s">
        <v>22054</v>
      </c>
      <c r="CD101" t="s">
        <v>22055</v>
      </c>
      <c r="CE101" t="s">
        <v>102</v>
      </c>
      <c r="CF101" t="s">
        <v>22057</v>
      </c>
      <c r="CH101" t="s">
        <v>22058</v>
      </c>
      <c r="CI101" t="s">
        <v>22057</v>
      </c>
      <c r="CJ101" t="s">
        <v>22048</v>
      </c>
      <c r="CK101" t="s">
        <v>376</v>
      </c>
      <c r="CL101" t="s">
        <v>22058</v>
      </c>
      <c r="CN101" t="s">
        <v>22059</v>
      </c>
      <c r="CO101" t="s">
        <v>22059</v>
      </c>
    </row>
    <row r="102" spans="1:93" hidden="1">
      <c r="A102" t="s">
        <v>149</v>
      </c>
      <c r="B102">
        <v>3152932</v>
      </c>
      <c r="C102" t="s">
        <v>4775</v>
      </c>
      <c r="D102" t="s">
        <v>21661</v>
      </c>
      <c r="E102" t="s">
        <v>16235</v>
      </c>
      <c r="F102" t="s">
        <v>848</v>
      </c>
      <c r="G102" t="s">
        <v>98</v>
      </c>
      <c r="H102" t="s">
        <v>22060</v>
      </c>
      <c r="I102" t="s">
        <v>100</v>
      </c>
      <c r="J102">
        <v>1942333</v>
      </c>
      <c r="K102">
        <v>2291953</v>
      </c>
      <c r="L102">
        <v>0</v>
      </c>
      <c r="M102">
        <v>0</v>
      </c>
      <c r="O102">
        <v>0</v>
      </c>
      <c r="P102">
        <v>0</v>
      </c>
      <c r="R102">
        <v>1942333</v>
      </c>
      <c r="S102">
        <v>1214</v>
      </c>
      <c r="T102" t="s">
        <v>678</v>
      </c>
      <c r="U102" t="s">
        <v>102</v>
      </c>
      <c r="V102" t="s">
        <v>103</v>
      </c>
      <c r="W102" t="s">
        <v>155</v>
      </c>
      <c r="Y102" t="s">
        <v>12250</v>
      </c>
      <c r="Z102" t="s">
        <v>22061</v>
      </c>
      <c r="AA102" t="s">
        <v>21664</v>
      </c>
      <c r="AB102" t="s">
        <v>22061</v>
      </c>
      <c r="AC102" t="s">
        <v>21665</v>
      </c>
      <c r="AD102" t="s">
        <v>22061</v>
      </c>
      <c r="AE102" t="s">
        <v>21710</v>
      </c>
      <c r="AF102" t="s">
        <v>22061</v>
      </c>
      <c r="AG102" t="s">
        <v>102</v>
      </c>
      <c r="AJ102" t="s">
        <v>22061</v>
      </c>
      <c r="AK102" t="s">
        <v>102</v>
      </c>
      <c r="AL102" t="s">
        <v>22061</v>
      </c>
      <c r="AM102" t="s">
        <v>19302</v>
      </c>
      <c r="AN102" t="s">
        <v>19302</v>
      </c>
      <c r="AS102" t="s">
        <v>102</v>
      </c>
      <c r="AU102" t="s">
        <v>102</v>
      </c>
      <c r="AV102" t="s">
        <v>119</v>
      </c>
      <c r="AY102" t="s">
        <v>250</v>
      </c>
      <c r="AZ102" t="s">
        <v>120</v>
      </c>
      <c r="BA102" t="s">
        <v>3854</v>
      </c>
      <c r="BB102" t="s">
        <v>449</v>
      </c>
      <c r="BC102" t="s">
        <v>122</v>
      </c>
      <c r="BD102" t="s">
        <v>450</v>
      </c>
      <c r="BE102" t="s">
        <v>124</v>
      </c>
      <c r="BF102" t="s">
        <v>12250</v>
      </c>
      <c r="BG102" t="s">
        <v>21667</v>
      </c>
      <c r="BH102" t="s">
        <v>127</v>
      </c>
      <c r="BI102" t="s">
        <v>22062</v>
      </c>
      <c r="BJ102" t="s">
        <v>4789</v>
      </c>
      <c r="BK102" t="s">
        <v>22063</v>
      </c>
      <c r="BL102" t="s">
        <v>16235</v>
      </c>
      <c r="BM102" t="s">
        <v>8788</v>
      </c>
      <c r="BN102" t="s">
        <v>350</v>
      </c>
      <c r="BO102" t="s">
        <v>8789</v>
      </c>
      <c r="BP102" t="s">
        <v>8790</v>
      </c>
      <c r="BQ102" t="s">
        <v>455</v>
      </c>
      <c r="BS102" t="s">
        <v>22064</v>
      </c>
      <c r="BT102" t="s">
        <v>4792</v>
      </c>
      <c r="BU102" t="s">
        <v>354</v>
      </c>
      <c r="BV102" t="s">
        <v>4793</v>
      </c>
      <c r="BW102" t="s">
        <v>4794</v>
      </c>
      <c r="BX102" t="s">
        <v>4795</v>
      </c>
      <c r="BY102" t="s">
        <v>22065</v>
      </c>
      <c r="BZ102" t="s">
        <v>4797</v>
      </c>
      <c r="CA102" t="s">
        <v>4801</v>
      </c>
      <c r="CB102" t="s">
        <v>22066</v>
      </c>
      <c r="CC102" t="s">
        <v>4800</v>
      </c>
      <c r="CD102" t="s">
        <v>4801</v>
      </c>
      <c r="CE102" t="s">
        <v>4802</v>
      </c>
      <c r="CF102" t="s">
        <v>15033</v>
      </c>
      <c r="CH102" t="s">
        <v>4271</v>
      </c>
      <c r="CI102" t="s">
        <v>15034</v>
      </c>
      <c r="CJ102" t="s">
        <v>3854</v>
      </c>
      <c r="CK102" t="s">
        <v>449</v>
      </c>
      <c r="CL102" t="s">
        <v>4271</v>
      </c>
      <c r="CM102" t="s">
        <v>4804</v>
      </c>
      <c r="CN102" t="s">
        <v>4803</v>
      </c>
      <c r="CO102" t="s">
        <v>4803</v>
      </c>
    </row>
    <row r="103" spans="1:93" hidden="1">
      <c r="A103" t="s">
        <v>149</v>
      </c>
      <c r="B103">
        <v>3155338</v>
      </c>
      <c r="C103" t="s">
        <v>4832</v>
      </c>
      <c r="D103" t="s">
        <v>21661</v>
      </c>
      <c r="E103" t="s">
        <v>13208</v>
      </c>
      <c r="F103" t="s">
        <v>848</v>
      </c>
      <c r="G103" t="s">
        <v>98</v>
      </c>
      <c r="H103" t="s">
        <v>24290</v>
      </c>
      <c r="I103" t="s">
        <v>100</v>
      </c>
      <c r="J103">
        <v>624234</v>
      </c>
      <c r="K103">
        <v>736596</v>
      </c>
      <c r="L103">
        <v>0</v>
      </c>
      <c r="M103">
        <v>0</v>
      </c>
      <c r="O103">
        <v>0</v>
      </c>
      <c r="P103">
        <v>0</v>
      </c>
      <c r="R103">
        <v>624234</v>
      </c>
      <c r="S103">
        <v>491</v>
      </c>
      <c r="T103" t="s">
        <v>850</v>
      </c>
      <c r="U103" t="s">
        <v>102</v>
      </c>
      <c r="V103" t="s">
        <v>103</v>
      </c>
      <c r="W103" t="s">
        <v>155</v>
      </c>
      <c r="Y103" t="s">
        <v>12250</v>
      </c>
      <c r="Z103" t="s">
        <v>24291</v>
      </c>
      <c r="AA103" t="s">
        <v>21664</v>
      </c>
      <c r="AB103" t="s">
        <v>24291</v>
      </c>
      <c r="AC103" t="s">
        <v>21665</v>
      </c>
      <c r="AD103" t="s">
        <v>24291</v>
      </c>
      <c r="AE103" t="s">
        <v>21687</v>
      </c>
      <c r="AF103" t="s">
        <v>24291</v>
      </c>
      <c r="AG103" t="s">
        <v>102</v>
      </c>
      <c r="AJ103" t="s">
        <v>24291</v>
      </c>
      <c r="AK103" t="s">
        <v>102</v>
      </c>
      <c r="AL103" t="s">
        <v>24291</v>
      </c>
      <c r="AM103" t="s">
        <v>1785</v>
      </c>
      <c r="AN103" t="s">
        <v>3305</v>
      </c>
      <c r="AR103" t="s">
        <v>169</v>
      </c>
      <c r="AS103" t="s">
        <v>102</v>
      </c>
      <c r="AU103" t="s">
        <v>102</v>
      </c>
      <c r="AV103" t="s">
        <v>119</v>
      </c>
      <c r="AY103" t="s">
        <v>250</v>
      </c>
      <c r="AZ103" t="s">
        <v>120</v>
      </c>
      <c r="BA103" t="s">
        <v>4841</v>
      </c>
      <c r="BB103" t="s">
        <v>2800</v>
      </c>
      <c r="BC103" t="s">
        <v>122</v>
      </c>
      <c r="BD103" t="s">
        <v>346</v>
      </c>
      <c r="BE103" t="s">
        <v>124</v>
      </c>
      <c r="BF103" t="s">
        <v>12250</v>
      </c>
      <c r="BG103" t="s">
        <v>21667</v>
      </c>
      <c r="BH103" t="s">
        <v>127</v>
      </c>
      <c r="BI103" t="s">
        <v>24292</v>
      </c>
      <c r="BJ103" t="s">
        <v>4843</v>
      </c>
      <c r="BK103" t="s">
        <v>24293</v>
      </c>
      <c r="BL103" t="s">
        <v>13208</v>
      </c>
      <c r="BM103" t="s">
        <v>23495</v>
      </c>
      <c r="BN103" t="s">
        <v>350</v>
      </c>
      <c r="BO103" t="s">
        <v>23496</v>
      </c>
      <c r="BP103" t="s">
        <v>23497</v>
      </c>
      <c r="BQ103" t="s">
        <v>328</v>
      </c>
      <c r="BS103" t="s">
        <v>24294</v>
      </c>
      <c r="BT103" t="s">
        <v>24295</v>
      </c>
      <c r="BU103" t="s">
        <v>138</v>
      </c>
      <c r="BV103" t="s">
        <v>4850</v>
      </c>
      <c r="BW103" t="s">
        <v>4851</v>
      </c>
      <c r="BX103" t="s">
        <v>4852</v>
      </c>
      <c r="BY103" t="s">
        <v>24296</v>
      </c>
      <c r="BZ103" t="s">
        <v>4850</v>
      </c>
      <c r="CA103" t="s">
        <v>4851</v>
      </c>
      <c r="CB103" t="s">
        <v>24297</v>
      </c>
      <c r="CC103" t="s">
        <v>4852</v>
      </c>
      <c r="CD103" t="s">
        <v>24298</v>
      </c>
      <c r="CE103" t="s">
        <v>573</v>
      </c>
      <c r="CF103" t="s">
        <v>4855</v>
      </c>
      <c r="CH103" t="s">
        <v>4856</v>
      </c>
      <c r="CI103" t="s">
        <v>4855</v>
      </c>
      <c r="CJ103" t="s">
        <v>4841</v>
      </c>
      <c r="CK103" t="s">
        <v>2800</v>
      </c>
      <c r="CL103" t="s">
        <v>4856</v>
      </c>
      <c r="CM103" t="s">
        <v>4857</v>
      </c>
      <c r="CN103" t="s">
        <v>4855</v>
      </c>
      <c r="CO103" t="s">
        <v>4855</v>
      </c>
    </row>
    <row r="104" spans="1:93">
      <c r="A104" t="s">
        <v>337</v>
      </c>
      <c r="B104">
        <v>3166222</v>
      </c>
      <c r="C104" t="s">
        <v>22067</v>
      </c>
      <c r="D104" t="s">
        <v>21661</v>
      </c>
      <c r="E104" t="s">
        <v>12470</v>
      </c>
      <c r="F104" t="s">
        <v>848</v>
      </c>
      <c r="G104" t="s">
        <v>98</v>
      </c>
      <c r="H104" t="s">
        <v>22068</v>
      </c>
      <c r="I104" t="s">
        <v>100</v>
      </c>
      <c r="J104">
        <v>311456</v>
      </c>
      <c r="K104">
        <v>367518</v>
      </c>
      <c r="L104">
        <v>0</v>
      </c>
      <c r="M104">
        <v>0</v>
      </c>
      <c r="O104">
        <v>0</v>
      </c>
      <c r="P104">
        <v>0</v>
      </c>
      <c r="R104">
        <v>311456</v>
      </c>
      <c r="S104">
        <v>175</v>
      </c>
      <c r="T104" t="s">
        <v>4042</v>
      </c>
      <c r="U104" t="s">
        <v>102</v>
      </c>
      <c r="V104" t="s">
        <v>103</v>
      </c>
      <c r="W104" t="s">
        <v>155</v>
      </c>
      <c r="Y104" t="s">
        <v>6615</v>
      </c>
      <c r="Z104" t="s">
        <v>22069</v>
      </c>
      <c r="AA104" t="s">
        <v>22070</v>
      </c>
      <c r="AB104" t="s">
        <v>22069</v>
      </c>
      <c r="AC104" t="s">
        <v>22071</v>
      </c>
      <c r="AD104" t="s">
        <v>22069</v>
      </c>
      <c r="AE104" t="s">
        <v>22072</v>
      </c>
      <c r="AF104" t="s">
        <v>22069</v>
      </c>
      <c r="AG104" t="s">
        <v>102</v>
      </c>
      <c r="AJ104" t="s">
        <v>22069</v>
      </c>
      <c r="AK104" t="s">
        <v>102</v>
      </c>
      <c r="AL104" t="s">
        <v>22069</v>
      </c>
      <c r="AM104" t="s">
        <v>12067</v>
      </c>
      <c r="AN104" t="s">
        <v>12067</v>
      </c>
      <c r="AS104" t="s">
        <v>102</v>
      </c>
      <c r="AU104" t="s">
        <v>102</v>
      </c>
      <c r="AV104" t="s">
        <v>119</v>
      </c>
      <c r="AY104" t="s">
        <v>250</v>
      </c>
      <c r="AZ104" t="s">
        <v>120</v>
      </c>
      <c r="BA104" t="s">
        <v>4216</v>
      </c>
      <c r="BB104" t="s">
        <v>556</v>
      </c>
      <c r="BC104" t="s">
        <v>122</v>
      </c>
      <c r="BD104" t="s">
        <v>557</v>
      </c>
      <c r="BE104" t="s">
        <v>124</v>
      </c>
      <c r="BF104" t="s">
        <v>12250</v>
      </c>
      <c r="BG104" t="s">
        <v>21667</v>
      </c>
      <c r="BH104" t="s">
        <v>127</v>
      </c>
      <c r="BI104" t="s">
        <v>22073</v>
      </c>
      <c r="BJ104" t="s">
        <v>22074</v>
      </c>
      <c r="BK104" t="s">
        <v>22075</v>
      </c>
      <c r="BL104" t="s">
        <v>12470</v>
      </c>
      <c r="BM104" t="s">
        <v>1071</v>
      </c>
      <c r="BN104" t="s">
        <v>350</v>
      </c>
      <c r="BO104" t="s">
        <v>1072</v>
      </c>
      <c r="BP104" t="s">
        <v>1073</v>
      </c>
      <c r="BQ104" t="s">
        <v>1074</v>
      </c>
      <c r="BR104" t="s">
        <v>2332</v>
      </c>
      <c r="BS104" t="s">
        <v>22076</v>
      </c>
      <c r="BT104" t="s">
        <v>22077</v>
      </c>
      <c r="BU104" t="s">
        <v>138</v>
      </c>
      <c r="BV104" t="s">
        <v>22078</v>
      </c>
      <c r="BW104" t="s">
        <v>22079</v>
      </c>
      <c r="BX104" t="s">
        <v>22080</v>
      </c>
      <c r="BY104" t="s">
        <v>22077</v>
      </c>
      <c r="BZ104" t="s">
        <v>22080</v>
      </c>
      <c r="CA104" t="s">
        <v>22079</v>
      </c>
      <c r="CB104" t="s">
        <v>22077</v>
      </c>
      <c r="CC104" t="s">
        <v>22080</v>
      </c>
      <c r="CD104" t="s">
        <v>22079</v>
      </c>
      <c r="CE104" t="s">
        <v>22081</v>
      </c>
      <c r="CF104" t="s">
        <v>22082</v>
      </c>
      <c r="CH104" t="s">
        <v>10809</v>
      </c>
      <c r="CI104" t="s">
        <v>22083</v>
      </c>
      <c r="CJ104" t="s">
        <v>4216</v>
      </c>
      <c r="CK104" t="s">
        <v>556</v>
      </c>
      <c r="CL104" t="s">
        <v>10809</v>
      </c>
      <c r="CN104" t="s">
        <v>22084</v>
      </c>
      <c r="CO104" t="s">
        <v>22084</v>
      </c>
    </row>
    <row r="105" spans="1:93" hidden="1">
      <c r="A105" t="s">
        <v>149</v>
      </c>
      <c r="B105">
        <v>3187497</v>
      </c>
      <c r="C105" t="s">
        <v>4939</v>
      </c>
      <c r="D105" t="s">
        <v>21661</v>
      </c>
      <c r="E105" t="s">
        <v>13439</v>
      </c>
      <c r="F105" t="s">
        <v>675</v>
      </c>
      <c r="G105" t="s">
        <v>98</v>
      </c>
      <c r="H105" t="s">
        <v>22085</v>
      </c>
      <c r="I105" t="s">
        <v>100</v>
      </c>
      <c r="J105">
        <v>1307820</v>
      </c>
      <c r="K105">
        <v>1307820</v>
      </c>
      <c r="L105">
        <v>967624</v>
      </c>
      <c r="M105">
        <v>574</v>
      </c>
      <c r="N105" t="s">
        <v>22086</v>
      </c>
      <c r="O105">
        <v>340196</v>
      </c>
      <c r="P105">
        <v>189</v>
      </c>
      <c r="Q105" t="s">
        <v>3005</v>
      </c>
      <c r="R105">
        <v>0</v>
      </c>
      <c r="S105">
        <v>0</v>
      </c>
      <c r="U105" t="s">
        <v>102</v>
      </c>
      <c r="V105" t="s">
        <v>679</v>
      </c>
      <c r="W105" t="s">
        <v>104</v>
      </c>
      <c r="X105" t="s">
        <v>21857</v>
      </c>
      <c r="Y105" t="s">
        <v>22087</v>
      </c>
      <c r="Z105" t="s">
        <v>22088</v>
      </c>
      <c r="AA105" t="s">
        <v>22089</v>
      </c>
      <c r="AB105" t="s">
        <v>22088</v>
      </c>
      <c r="AC105" t="s">
        <v>109</v>
      </c>
      <c r="AD105" t="s">
        <v>102</v>
      </c>
      <c r="AE105" t="s">
        <v>109</v>
      </c>
      <c r="AF105" t="s">
        <v>102</v>
      </c>
      <c r="AG105" t="s">
        <v>102</v>
      </c>
      <c r="AJ105" t="s">
        <v>22088</v>
      </c>
      <c r="AK105" t="s">
        <v>102</v>
      </c>
      <c r="AL105" t="s">
        <v>22088</v>
      </c>
      <c r="AM105" t="s">
        <v>22090</v>
      </c>
      <c r="AN105" t="s">
        <v>22090</v>
      </c>
      <c r="AS105" t="s">
        <v>247</v>
      </c>
      <c r="AT105" t="s">
        <v>118</v>
      </c>
      <c r="AU105" t="s">
        <v>655</v>
      </c>
      <c r="AV105" t="s">
        <v>119</v>
      </c>
      <c r="AW105" t="s">
        <v>170</v>
      </c>
      <c r="AX105" t="s">
        <v>118</v>
      </c>
      <c r="AZ105" t="s">
        <v>120</v>
      </c>
      <c r="BA105" t="s">
        <v>409</v>
      </c>
      <c r="BB105" t="s">
        <v>410</v>
      </c>
      <c r="BC105" t="s">
        <v>212</v>
      </c>
      <c r="BD105" t="s">
        <v>410</v>
      </c>
      <c r="BE105" t="s">
        <v>124</v>
      </c>
      <c r="BF105" t="s">
        <v>12250</v>
      </c>
      <c r="BG105" t="s">
        <v>22091</v>
      </c>
      <c r="BH105" t="s">
        <v>127</v>
      </c>
      <c r="BI105" t="s">
        <v>22092</v>
      </c>
      <c r="BJ105" t="s">
        <v>4953</v>
      </c>
      <c r="BK105" t="s">
        <v>22093</v>
      </c>
      <c r="BL105" t="s">
        <v>13439</v>
      </c>
      <c r="BM105" t="s">
        <v>866</v>
      </c>
      <c r="BN105" t="s">
        <v>132</v>
      </c>
      <c r="BO105" t="s">
        <v>867</v>
      </c>
      <c r="BP105" t="s">
        <v>868</v>
      </c>
      <c r="BQ105" t="s">
        <v>1702</v>
      </c>
      <c r="BS105" t="s">
        <v>22094</v>
      </c>
      <c r="BT105" t="s">
        <v>22095</v>
      </c>
      <c r="BU105" t="s">
        <v>1282</v>
      </c>
      <c r="BV105" t="s">
        <v>4960</v>
      </c>
      <c r="BW105" t="s">
        <v>22096</v>
      </c>
      <c r="BX105" t="s">
        <v>4960</v>
      </c>
      <c r="BY105" t="s">
        <v>22095</v>
      </c>
      <c r="BZ105" t="s">
        <v>22097</v>
      </c>
      <c r="CA105" t="s">
        <v>22096</v>
      </c>
      <c r="CB105" t="s">
        <v>22098</v>
      </c>
      <c r="CC105" t="s">
        <v>22099</v>
      </c>
      <c r="CD105" t="s">
        <v>22096</v>
      </c>
      <c r="CE105" t="s">
        <v>2270</v>
      </c>
      <c r="CF105" t="s">
        <v>15190</v>
      </c>
      <c r="CH105" t="s">
        <v>4964</v>
      </c>
      <c r="CI105" t="s">
        <v>15190</v>
      </c>
      <c r="CJ105" t="s">
        <v>409</v>
      </c>
      <c r="CK105" t="s">
        <v>410</v>
      </c>
      <c r="CL105" t="s">
        <v>4964</v>
      </c>
      <c r="CM105" t="s">
        <v>25806</v>
      </c>
      <c r="CN105" t="s">
        <v>4963</v>
      </c>
      <c r="CO105" t="s">
        <v>4963</v>
      </c>
    </row>
    <row r="106" spans="1:93">
      <c r="A106" t="s">
        <v>337</v>
      </c>
      <c r="B106">
        <v>3191158</v>
      </c>
      <c r="C106" t="s">
        <v>25040</v>
      </c>
      <c r="D106" t="s">
        <v>21661</v>
      </c>
      <c r="E106" t="s">
        <v>15028</v>
      </c>
      <c r="F106" t="s">
        <v>848</v>
      </c>
      <c r="G106" t="s">
        <v>98</v>
      </c>
      <c r="H106" t="s">
        <v>25041</v>
      </c>
      <c r="I106" t="s">
        <v>100</v>
      </c>
      <c r="J106">
        <v>171399</v>
      </c>
      <c r="K106">
        <v>202251</v>
      </c>
      <c r="L106">
        <v>0</v>
      </c>
      <c r="M106">
        <v>0</v>
      </c>
      <c r="O106">
        <v>0</v>
      </c>
      <c r="P106">
        <v>0</v>
      </c>
      <c r="R106">
        <v>171399</v>
      </c>
      <c r="S106">
        <v>337</v>
      </c>
      <c r="T106" t="s">
        <v>196</v>
      </c>
      <c r="U106" t="s">
        <v>102</v>
      </c>
      <c r="V106" t="s">
        <v>103</v>
      </c>
      <c r="W106" t="s">
        <v>104</v>
      </c>
      <c r="Y106" t="s">
        <v>22459</v>
      </c>
      <c r="Z106" t="s">
        <v>25042</v>
      </c>
      <c r="AA106" t="s">
        <v>21828</v>
      </c>
      <c r="AB106" t="s">
        <v>25042</v>
      </c>
      <c r="AC106" t="s">
        <v>109</v>
      </c>
      <c r="AD106" t="s">
        <v>102</v>
      </c>
      <c r="AE106" t="s">
        <v>109</v>
      </c>
      <c r="AF106" t="s">
        <v>102</v>
      </c>
      <c r="AG106" t="s">
        <v>102</v>
      </c>
      <c r="AJ106" t="s">
        <v>102</v>
      </c>
      <c r="AK106" t="s">
        <v>102</v>
      </c>
      <c r="AL106" t="s">
        <v>102</v>
      </c>
      <c r="AM106" t="s">
        <v>20895</v>
      </c>
      <c r="AN106" t="s">
        <v>20895</v>
      </c>
      <c r="AS106" t="s">
        <v>102</v>
      </c>
      <c r="AU106" t="s">
        <v>102</v>
      </c>
      <c r="AV106" t="s">
        <v>119</v>
      </c>
      <c r="AY106" t="s">
        <v>250</v>
      </c>
      <c r="AZ106" t="s">
        <v>120</v>
      </c>
      <c r="BA106" t="s">
        <v>25043</v>
      </c>
      <c r="BB106" t="s">
        <v>376</v>
      </c>
      <c r="BC106" t="s">
        <v>174</v>
      </c>
      <c r="BD106" t="s">
        <v>376</v>
      </c>
      <c r="BE106" t="s">
        <v>124</v>
      </c>
      <c r="BF106" t="s">
        <v>12250</v>
      </c>
      <c r="BG106" t="s">
        <v>21667</v>
      </c>
      <c r="BH106" t="s">
        <v>127</v>
      </c>
      <c r="BI106" t="s">
        <v>25044</v>
      </c>
      <c r="BJ106" t="s">
        <v>25045</v>
      </c>
      <c r="BK106" t="s">
        <v>25046</v>
      </c>
      <c r="BL106" t="s">
        <v>15028</v>
      </c>
      <c r="BM106" t="s">
        <v>13780</v>
      </c>
      <c r="BN106" t="s">
        <v>180</v>
      </c>
      <c r="BO106" t="s">
        <v>13781</v>
      </c>
      <c r="BP106" t="s">
        <v>13782</v>
      </c>
      <c r="BQ106" t="s">
        <v>13783</v>
      </c>
      <c r="BS106" t="s">
        <v>25047</v>
      </c>
      <c r="BT106" t="s">
        <v>25048</v>
      </c>
      <c r="BU106" t="s">
        <v>138</v>
      </c>
      <c r="BV106" t="s">
        <v>25049</v>
      </c>
      <c r="BW106" t="s">
        <v>25050</v>
      </c>
      <c r="BX106" t="s">
        <v>25051</v>
      </c>
      <c r="BY106" t="s">
        <v>25052</v>
      </c>
      <c r="BZ106" t="s">
        <v>25049</v>
      </c>
      <c r="CA106" t="s">
        <v>25050</v>
      </c>
      <c r="CB106" t="s">
        <v>25052</v>
      </c>
      <c r="CC106" t="s">
        <v>25049</v>
      </c>
      <c r="CD106" t="s">
        <v>25050</v>
      </c>
      <c r="CE106" t="s">
        <v>102</v>
      </c>
      <c r="CF106" t="s">
        <v>25053</v>
      </c>
      <c r="CH106" t="s">
        <v>11592</v>
      </c>
      <c r="CI106" t="s">
        <v>25053</v>
      </c>
      <c r="CJ106" t="s">
        <v>25043</v>
      </c>
      <c r="CK106" t="s">
        <v>376</v>
      </c>
      <c r="CL106" t="s">
        <v>11592</v>
      </c>
      <c r="CN106" t="s">
        <v>25054</v>
      </c>
      <c r="CO106" t="s">
        <v>25054</v>
      </c>
    </row>
    <row r="107" spans="1:93">
      <c r="A107" t="s">
        <v>337</v>
      </c>
      <c r="B107">
        <v>320217</v>
      </c>
      <c r="C107" t="s">
        <v>25055</v>
      </c>
      <c r="D107" t="s">
        <v>21661</v>
      </c>
      <c r="E107" t="s">
        <v>15028</v>
      </c>
      <c r="F107" t="s">
        <v>848</v>
      </c>
      <c r="G107" t="s">
        <v>98</v>
      </c>
      <c r="H107" t="s">
        <v>25056</v>
      </c>
      <c r="I107" t="s">
        <v>100</v>
      </c>
      <c r="J107">
        <v>290920</v>
      </c>
      <c r="K107">
        <v>343286</v>
      </c>
      <c r="L107">
        <v>0</v>
      </c>
      <c r="M107">
        <v>0</v>
      </c>
      <c r="O107">
        <v>0</v>
      </c>
      <c r="P107">
        <v>0</v>
      </c>
      <c r="R107">
        <v>290920</v>
      </c>
      <c r="S107">
        <v>572</v>
      </c>
      <c r="T107" t="s">
        <v>196</v>
      </c>
      <c r="U107" t="s">
        <v>102</v>
      </c>
      <c r="V107" t="s">
        <v>103</v>
      </c>
      <c r="W107" t="s">
        <v>104</v>
      </c>
      <c r="Y107" t="s">
        <v>22459</v>
      </c>
      <c r="Z107" t="s">
        <v>25057</v>
      </c>
      <c r="AA107" t="s">
        <v>21828</v>
      </c>
      <c r="AB107" t="s">
        <v>25057</v>
      </c>
      <c r="AC107" t="s">
        <v>109</v>
      </c>
      <c r="AD107" t="s">
        <v>102</v>
      </c>
      <c r="AE107" t="s">
        <v>109</v>
      </c>
      <c r="AF107" t="s">
        <v>102</v>
      </c>
      <c r="AG107" t="s">
        <v>102</v>
      </c>
      <c r="AH107" t="s">
        <v>13662</v>
      </c>
      <c r="AI107" t="s">
        <v>13662</v>
      </c>
      <c r="AJ107" t="s">
        <v>102</v>
      </c>
      <c r="AK107" t="s">
        <v>13597</v>
      </c>
      <c r="AL107" t="s">
        <v>24990</v>
      </c>
      <c r="AM107" t="s">
        <v>20895</v>
      </c>
      <c r="AN107" t="s">
        <v>20895</v>
      </c>
      <c r="AS107" t="s">
        <v>102</v>
      </c>
      <c r="AU107" t="s">
        <v>102</v>
      </c>
      <c r="AV107" t="s">
        <v>119</v>
      </c>
      <c r="AY107" t="s">
        <v>250</v>
      </c>
      <c r="AZ107" t="s">
        <v>120</v>
      </c>
      <c r="BA107" t="s">
        <v>25058</v>
      </c>
      <c r="BB107" t="s">
        <v>376</v>
      </c>
      <c r="BC107" t="s">
        <v>174</v>
      </c>
      <c r="BD107" t="s">
        <v>376</v>
      </c>
      <c r="BE107" t="s">
        <v>124</v>
      </c>
      <c r="BF107" t="s">
        <v>12250</v>
      </c>
      <c r="BG107" t="s">
        <v>21667</v>
      </c>
      <c r="BH107" t="s">
        <v>127</v>
      </c>
      <c r="BI107" t="s">
        <v>25059</v>
      </c>
      <c r="BJ107" t="s">
        <v>25060</v>
      </c>
      <c r="BK107" t="s">
        <v>25061</v>
      </c>
      <c r="BL107" t="s">
        <v>15028</v>
      </c>
      <c r="BM107" t="s">
        <v>13780</v>
      </c>
      <c r="BN107" t="s">
        <v>180</v>
      </c>
      <c r="BO107" t="s">
        <v>13781</v>
      </c>
      <c r="BP107" t="s">
        <v>13782</v>
      </c>
      <c r="BQ107" t="s">
        <v>13783</v>
      </c>
      <c r="BS107" t="s">
        <v>25062</v>
      </c>
      <c r="BT107" t="s">
        <v>25063</v>
      </c>
      <c r="BU107" t="s">
        <v>138</v>
      </c>
      <c r="BV107" t="s">
        <v>25064</v>
      </c>
      <c r="BW107" t="s">
        <v>25065</v>
      </c>
      <c r="BX107" t="s">
        <v>25066</v>
      </c>
      <c r="BY107" t="s">
        <v>25067</v>
      </c>
      <c r="BZ107" t="s">
        <v>25068</v>
      </c>
      <c r="CA107" t="s">
        <v>25065</v>
      </c>
      <c r="CB107" t="s">
        <v>25067</v>
      </c>
      <c r="CC107" t="s">
        <v>25068</v>
      </c>
      <c r="CD107" t="s">
        <v>25065</v>
      </c>
      <c r="CE107" t="s">
        <v>102</v>
      </c>
      <c r="CF107" t="s">
        <v>25069</v>
      </c>
      <c r="CH107" t="s">
        <v>25070</v>
      </c>
      <c r="CI107" t="s">
        <v>25071</v>
      </c>
      <c r="CJ107" t="s">
        <v>25058</v>
      </c>
      <c r="CK107" t="s">
        <v>376</v>
      </c>
      <c r="CL107" t="s">
        <v>25070</v>
      </c>
      <c r="CN107" t="s">
        <v>25069</v>
      </c>
      <c r="CO107" t="s">
        <v>25069</v>
      </c>
    </row>
    <row r="108" spans="1:93">
      <c r="A108" t="s">
        <v>337</v>
      </c>
      <c r="B108">
        <v>3206686</v>
      </c>
      <c r="C108" t="s">
        <v>23514</v>
      </c>
      <c r="D108" t="s">
        <v>21661</v>
      </c>
      <c r="E108" t="s">
        <v>23505</v>
      </c>
      <c r="F108" t="s">
        <v>97</v>
      </c>
      <c r="G108" t="s">
        <v>98</v>
      </c>
      <c r="H108" t="s">
        <v>23515</v>
      </c>
      <c r="I108" t="s">
        <v>100</v>
      </c>
      <c r="J108">
        <v>498000</v>
      </c>
      <c r="K108">
        <v>498000</v>
      </c>
      <c r="L108">
        <v>498000</v>
      </c>
      <c r="M108">
        <v>830</v>
      </c>
      <c r="N108" t="s">
        <v>310</v>
      </c>
      <c r="O108">
        <v>0</v>
      </c>
      <c r="P108">
        <v>0</v>
      </c>
      <c r="R108">
        <v>0</v>
      </c>
      <c r="S108">
        <v>0</v>
      </c>
      <c r="U108" t="s">
        <v>102</v>
      </c>
      <c r="V108" t="s">
        <v>103</v>
      </c>
      <c r="W108" t="s">
        <v>104</v>
      </c>
      <c r="Y108" t="s">
        <v>22526</v>
      </c>
      <c r="Z108" t="s">
        <v>23516</v>
      </c>
      <c r="AA108" t="s">
        <v>22459</v>
      </c>
      <c r="AB108" t="s">
        <v>23516</v>
      </c>
      <c r="AC108" t="s">
        <v>109</v>
      </c>
      <c r="AD108" t="s">
        <v>102</v>
      </c>
      <c r="AE108" t="s">
        <v>109</v>
      </c>
      <c r="AF108" t="s">
        <v>102</v>
      </c>
      <c r="AG108" t="s">
        <v>102</v>
      </c>
      <c r="AH108" t="s">
        <v>23517</v>
      </c>
      <c r="AI108" t="s">
        <v>23517</v>
      </c>
      <c r="AJ108" t="s">
        <v>102</v>
      </c>
      <c r="AK108" t="s">
        <v>10017</v>
      </c>
      <c r="AL108" t="s">
        <v>24299</v>
      </c>
      <c r="AM108" t="s">
        <v>317</v>
      </c>
      <c r="AN108" t="s">
        <v>317</v>
      </c>
      <c r="AS108" t="s">
        <v>318</v>
      </c>
      <c r="AT108" t="s">
        <v>118</v>
      </c>
      <c r="AU108" t="s">
        <v>102</v>
      </c>
      <c r="AV108" t="s">
        <v>119</v>
      </c>
      <c r="AZ108" t="s">
        <v>171</v>
      </c>
      <c r="BA108" t="s">
        <v>12162</v>
      </c>
      <c r="BB108" t="s">
        <v>1171</v>
      </c>
      <c r="BC108" t="s">
        <v>174</v>
      </c>
      <c r="BD108" t="s">
        <v>1172</v>
      </c>
      <c r="BE108" t="s">
        <v>124</v>
      </c>
      <c r="BF108" t="s">
        <v>12250</v>
      </c>
      <c r="BG108" t="s">
        <v>21667</v>
      </c>
      <c r="BH108" t="s">
        <v>127</v>
      </c>
      <c r="BI108" t="s">
        <v>23518</v>
      </c>
      <c r="BJ108" t="s">
        <v>23519</v>
      </c>
      <c r="BK108" t="s">
        <v>23520</v>
      </c>
      <c r="BL108" t="s">
        <v>23505</v>
      </c>
      <c r="BM108" t="s">
        <v>5557</v>
      </c>
      <c r="BN108" t="s">
        <v>180</v>
      </c>
      <c r="BO108" t="s">
        <v>5558</v>
      </c>
      <c r="BP108" t="s">
        <v>5559</v>
      </c>
      <c r="BQ108" t="s">
        <v>5560</v>
      </c>
      <c r="BS108" t="s">
        <v>23521</v>
      </c>
      <c r="BT108" t="s">
        <v>23522</v>
      </c>
      <c r="BU108" t="s">
        <v>354</v>
      </c>
      <c r="BV108" t="s">
        <v>23523</v>
      </c>
      <c r="BW108" t="s">
        <v>23524</v>
      </c>
      <c r="BX108" t="s">
        <v>23525</v>
      </c>
      <c r="BY108" t="s">
        <v>23526</v>
      </c>
      <c r="BZ108" t="s">
        <v>23523</v>
      </c>
      <c r="CA108" t="s">
        <v>23527</v>
      </c>
      <c r="CB108" t="s">
        <v>23526</v>
      </c>
      <c r="CC108" t="s">
        <v>23523</v>
      </c>
      <c r="CD108" t="s">
        <v>23527</v>
      </c>
      <c r="CE108" t="s">
        <v>12171</v>
      </c>
      <c r="CF108" t="s">
        <v>102</v>
      </c>
      <c r="CH108" t="s">
        <v>23528</v>
      </c>
      <c r="CI108" t="s">
        <v>23529</v>
      </c>
      <c r="CJ108" t="s">
        <v>12162</v>
      </c>
      <c r="CK108" t="s">
        <v>1171</v>
      </c>
      <c r="CL108" t="s">
        <v>23528</v>
      </c>
      <c r="CN108" t="s">
        <v>23530</v>
      </c>
      <c r="CO108" t="s">
        <v>23530</v>
      </c>
    </row>
    <row r="109" spans="1:93" hidden="1">
      <c r="A109" t="s">
        <v>149</v>
      </c>
      <c r="B109">
        <v>3216662</v>
      </c>
      <c r="C109" t="s">
        <v>5010</v>
      </c>
      <c r="D109" t="s">
        <v>21661</v>
      </c>
      <c r="E109" t="s">
        <v>13131</v>
      </c>
      <c r="F109" t="s">
        <v>152</v>
      </c>
      <c r="G109" t="s">
        <v>98</v>
      </c>
      <c r="H109" t="s">
        <v>23531</v>
      </c>
      <c r="I109" t="s">
        <v>100</v>
      </c>
      <c r="J109">
        <v>175318</v>
      </c>
      <c r="K109">
        <v>175318</v>
      </c>
      <c r="L109">
        <v>0</v>
      </c>
      <c r="M109">
        <v>0</v>
      </c>
      <c r="O109">
        <v>175318</v>
      </c>
      <c r="P109">
        <v>122</v>
      </c>
      <c r="Q109" t="s">
        <v>23532</v>
      </c>
      <c r="R109">
        <v>0</v>
      </c>
      <c r="S109">
        <v>0</v>
      </c>
      <c r="U109" t="s">
        <v>102</v>
      </c>
      <c r="V109" t="s">
        <v>275</v>
      </c>
      <c r="X109" t="s">
        <v>16558</v>
      </c>
      <c r="Y109" t="s">
        <v>109</v>
      </c>
      <c r="Z109" t="s">
        <v>102</v>
      </c>
      <c r="AA109" t="s">
        <v>109</v>
      </c>
      <c r="AB109" t="s">
        <v>102</v>
      </c>
      <c r="AC109" t="s">
        <v>109</v>
      </c>
      <c r="AD109" t="s">
        <v>102</v>
      </c>
      <c r="AE109" t="s">
        <v>109</v>
      </c>
      <c r="AF109" t="s">
        <v>102</v>
      </c>
      <c r="AG109" t="s">
        <v>102</v>
      </c>
      <c r="AH109" t="s">
        <v>14400</v>
      </c>
      <c r="AI109" t="s">
        <v>14400</v>
      </c>
      <c r="AJ109" t="s">
        <v>23754</v>
      </c>
      <c r="AK109" t="s">
        <v>3968</v>
      </c>
      <c r="AL109" t="s">
        <v>24300</v>
      </c>
      <c r="AM109" t="s">
        <v>23533</v>
      </c>
      <c r="AN109" t="s">
        <v>23534</v>
      </c>
      <c r="AO109" t="s">
        <v>343</v>
      </c>
      <c r="AS109" t="s">
        <v>102</v>
      </c>
      <c r="AU109" t="s">
        <v>104</v>
      </c>
      <c r="AV109" t="s">
        <v>447</v>
      </c>
      <c r="AW109" t="s">
        <v>170</v>
      </c>
      <c r="AX109" t="s">
        <v>118</v>
      </c>
      <c r="AZ109" t="s">
        <v>171</v>
      </c>
      <c r="BA109" t="s">
        <v>5020</v>
      </c>
      <c r="BB109" t="s">
        <v>376</v>
      </c>
      <c r="BC109" t="s">
        <v>174</v>
      </c>
      <c r="BD109" t="s">
        <v>376</v>
      </c>
      <c r="BE109" t="s">
        <v>124</v>
      </c>
      <c r="BF109" t="s">
        <v>22101</v>
      </c>
      <c r="BG109" t="s">
        <v>23535</v>
      </c>
      <c r="BH109" t="s">
        <v>127</v>
      </c>
      <c r="BI109" t="s">
        <v>23536</v>
      </c>
      <c r="BJ109" t="s">
        <v>5024</v>
      </c>
      <c r="BK109" t="s">
        <v>23537</v>
      </c>
      <c r="BL109" t="s">
        <v>13131</v>
      </c>
      <c r="BM109" t="s">
        <v>1917</v>
      </c>
      <c r="BN109" t="s">
        <v>180</v>
      </c>
      <c r="BO109" t="s">
        <v>1918</v>
      </c>
      <c r="BP109" t="s">
        <v>1919</v>
      </c>
      <c r="BQ109" t="s">
        <v>5029</v>
      </c>
      <c r="BS109" t="s">
        <v>23538</v>
      </c>
      <c r="BT109" t="s">
        <v>23539</v>
      </c>
      <c r="BU109" t="s">
        <v>138</v>
      </c>
      <c r="BV109" t="s">
        <v>5032</v>
      </c>
      <c r="BW109" t="s">
        <v>23540</v>
      </c>
      <c r="BX109" t="s">
        <v>5032</v>
      </c>
      <c r="BY109" t="s">
        <v>23539</v>
      </c>
      <c r="BZ109" t="s">
        <v>5032</v>
      </c>
      <c r="CA109" t="s">
        <v>23540</v>
      </c>
      <c r="CB109" t="s">
        <v>23539</v>
      </c>
      <c r="CC109" t="s">
        <v>5032</v>
      </c>
      <c r="CD109" t="s">
        <v>23540</v>
      </c>
      <c r="CE109" t="s">
        <v>358</v>
      </c>
      <c r="CF109" t="s">
        <v>7760</v>
      </c>
      <c r="CH109" t="s">
        <v>5038</v>
      </c>
      <c r="CI109" t="s">
        <v>5037</v>
      </c>
      <c r="CJ109" t="s">
        <v>5020</v>
      </c>
      <c r="CK109" t="s">
        <v>376</v>
      </c>
      <c r="CL109" t="s">
        <v>5038</v>
      </c>
      <c r="CM109" t="s">
        <v>5039</v>
      </c>
      <c r="CN109" t="s">
        <v>5037</v>
      </c>
      <c r="CO109" t="s">
        <v>5037</v>
      </c>
    </row>
    <row r="110" spans="1:93" hidden="1">
      <c r="A110" t="s">
        <v>93</v>
      </c>
      <c r="B110">
        <v>3218539</v>
      </c>
      <c r="C110" t="s">
        <v>15214</v>
      </c>
      <c r="D110" t="s">
        <v>21661</v>
      </c>
      <c r="E110" t="s">
        <v>15933</v>
      </c>
      <c r="F110" t="s">
        <v>152</v>
      </c>
      <c r="G110" t="s">
        <v>98</v>
      </c>
      <c r="H110" t="s">
        <v>22100</v>
      </c>
      <c r="I110" t="s">
        <v>100</v>
      </c>
      <c r="J110">
        <v>879043</v>
      </c>
      <c r="K110">
        <v>879043</v>
      </c>
      <c r="L110">
        <v>0</v>
      </c>
      <c r="M110">
        <v>0</v>
      </c>
      <c r="O110">
        <v>879043</v>
      </c>
      <c r="P110">
        <v>666</v>
      </c>
      <c r="Q110" t="s">
        <v>16755</v>
      </c>
      <c r="R110">
        <v>0</v>
      </c>
      <c r="S110">
        <v>0</v>
      </c>
      <c r="U110" t="s">
        <v>102</v>
      </c>
      <c r="V110" t="s">
        <v>103</v>
      </c>
      <c r="W110" t="s">
        <v>155</v>
      </c>
      <c r="Y110" t="s">
        <v>22101</v>
      </c>
      <c r="Z110" t="s">
        <v>22102</v>
      </c>
      <c r="AA110" t="s">
        <v>22103</v>
      </c>
      <c r="AB110" t="s">
        <v>22102</v>
      </c>
      <c r="AC110" t="s">
        <v>22071</v>
      </c>
      <c r="AD110" t="s">
        <v>22102</v>
      </c>
      <c r="AE110" t="s">
        <v>22104</v>
      </c>
      <c r="AF110" t="s">
        <v>22102</v>
      </c>
      <c r="AG110" t="s">
        <v>102</v>
      </c>
      <c r="AJ110" t="s">
        <v>22102</v>
      </c>
      <c r="AK110" t="s">
        <v>102</v>
      </c>
      <c r="AL110" t="s">
        <v>22102</v>
      </c>
      <c r="AM110" t="s">
        <v>22105</v>
      </c>
      <c r="AN110" t="s">
        <v>22105</v>
      </c>
      <c r="AS110" t="s">
        <v>102</v>
      </c>
      <c r="AU110" t="s">
        <v>102</v>
      </c>
      <c r="AV110" t="s">
        <v>447</v>
      </c>
      <c r="AW110" t="s">
        <v>170</v>
      </c>
      <c r="AX110" t="s">
        <v>118</v>
      </c>
      <c r="AZ110" t="s">
        <v>120</v>
      </c>
      <c r="BA110" t="s">
        <v>3754</v>
      </c>
      <c r="BB110" t="s">
        <v>173</v>
      </c>
      <c r="BC110" t="s">
        <v>174</v>
      </c>
      <c r="BD110" t="s">
        <v>173</v>
      </c>
      <c r="BE110" t="s">
        <v>124</v>
      </c>
      <c r="BF110" t="s">
        <v>11933</v>
      </c>
      <c r="BG110" t="s">
        <v>22106</v>
      </c>
      <c r="BH110" t="s">
        <v>127</v>
      </c>
      <c r="BI110" t="s">
        <v>22107</v>
      </c>
      <c r="BJ110" t="s">
        <v>15227</v>
      </c>
      <c r="BK110" t="s">
        <v>22108</v>
      </c>
      <c r="BL110" t="s">
        <v>15933</v>
      </c>
      <c r="BM110" t="s">
        <v>8447</v>
      </c>
      <c r="BN110" t="s">
        <v>180</v>
      </c>
      <c r="BO110" t="s">
        <v>8448</v>
      </c>
      <c r="BP110" t="s">
        <v>8449</v>
      </c>
      <c r="BQ110" t="s">
        <v>8450</v>
      </c>
      <c r="BS110" t="s">
        <v>22109</v>
      </c>
      <c r="BT110" t="s">
        <v>22110</v>
      </c>
      <c r="BU110" t="s">
        <v>354</v>
      </c>
      <c r="BV110" t="s">
        <v>22111</v>
      </c>
      <c r="BW110" t="s">
        <v>15232</v>
      </c>
      <c r="BX110" t="s">
        <v>15233</v>
      </c>
      <c r="BY110" t="s">
        <v>15234</v>
      </c>
      <c r="BZ110" t="s">
        <v>15233</v>
      </c>
      <c r="CA110" t="s">
        <v>22112</v>
      </c>
      <c r="CB110" t="s">
        <v>22113</v>
      </c>
      <c r="CC110" t="s">
        <v>22114</v>
      </c>
      <c r="CD110" t="s">
        <v>22115</v>
      </c>
      <c r="CE110" t="s">
        <v>14754</v>
      </c>
      <c r="CF110" t="s">
        <v>15240</v>
      </c>
      <c r="CH110" t="s">
        <v>15241</v>
      </c>
      <c r="CI110" t="s">
        <v>15242</v>
      </c>
      <c r="CJ110" t="s">
        <v>3754</v>
      </c>
      <c r="CK110" t="s">
        <v>173</v>
      </c>
      <c r="CL110" t="s">
        <v>15241</v>
      </c>
      <c r="CM110" t="s">
        <v>23755</v>
      </c>
      <c r="CN110" t="s">
        <v>15243</v>
      </c>
      <c r="CO110" t="s">
        <v>15243</v>
      </c>
    </row>
    <row r="111" spans="1:93">
      <c r="A111" t="s">
        <v>337</v>
      </c>
      <c r="B111">
        <v>3221470</v>
      </c>
      <c r="C111" t="s">
        <v>22116</v>
      </c>
      <c r="D111" t="s">
        <v>21661</v>
      </c>
      <c r="E111" t="s">
        <v>13245</v>
      </c>
      <c r="F111" t="s">
        <v>97</v>
      </c>
      <c r="G111" t="s">
        <v>98</v>
      </c>
      <c r="H111" t="s">
        <v>22117</v>
      </c>
      <c r="I111" t="s">
        <v>100</v>
      </c>
      <c r="J111">
        <v>454935</v>
      </c>
      <c r="K111">
        <v>454935</v>
      </c>
      <c r="L111">
        <v>454935</v>
      </c>
      <c r="M111">
        <v>650</v>
      </c>
      <c r="N111" t="s">
        <v>799</v>
      </c>
      <c r="O111">
        <v>0</v>
      </c>
      <c r="P111">
        <v>0</v>
      </c>
      <c r="R111">
        <v>0</v>
      </c>
      <c r="S111">
        <v>0</v>
      </c>
      <c r="U111" t="s">
        <v>102</v>
      </c>
      <c r="V111" t="s">
        <v>103</v>
      </c>
      <c r="W111" t="s">
        <v>155</v>
      </c>
      <c r="Y111" t="s">
        <v>12435</v>
      </c>
      <c r="Z111" t="s">
        <v>22118</v>
      </c>
      <c r="AA111" t="s">
        <v>12720</v>
      </c>
      <c r="AB111" t="s">
        <v>22118</v>
      </c>
      <c r="AC111" t="s">
        <v>22119</v>
      </c>
      <c r="AD111" t="s">
        <v>22118</v>
      </c>
      <c r="AE111" t="s">
        <v>21687</v>
      </c>
      <c r="AF111" t="s">
        <v>22118</v>
      </c>
      <c r="AG111" t="s">
        <v>102</v>
      </c>
      <c r="AH111" t="s">
        <v>21768</v>
      </c>
      <c r="AI111" t="s">
        <v>21768</v>
      </c>
      <c r="AJ111" t="s">
        <v>102</v>
      </c>
      <c r="AK111" t="s">
        <v>2555</v>
      </c>
      <c r="AL111" t="s">
        <v>22120</v>
      </c>
      <c r="AM111" t="s">
        <v>10612</v>
      </c>
      <c r="AN111" t="s">
        <v>10612</v>
      </c>
      <c r="AS111" t="s">
        <v>318</v>
      </c>
      <c r="AT111" t="s">
        <v>118</v>
      </c>
      <c r="AU111" t="s">
        <v>102</v>
      </c>
      <c r="AV111" t="s">
        <v>119</v>
      </c>
      <c r="AZ111" t="s">
        <v>120</v>
      </c>
      <c r="BA111" t="s">
        <v>12104</v>
      </c>
      <c r="BB111" t="s">
        <v>1208</v>
      </c>
      <c r="BC111" t="s">
        <v>174</v>
      </c>
      <c r="BD111" t="s">
        <v>1172</v>
      </c>
      <c r="BE111" t="s">
        <v>124</v>
      </c>
      <c r="BF111" t="s">
        <v>12250</v>
      </c>
      <c r="BG111" t="s">
        <v>21667</v>
      </c>
      <c r="BH111" t="s">
        <v>127</v>
      </c>
      <c r="BI111" t="s">
        <v>22121</v>
      </c>
      <c r="BJ111" t="s">
        <v>22122</v>
      </c>
      <c r="BK111" t="s">
        <v>22123</v>
      </c>
      <c r="BL111" t="s">
        <v>13245</v>
      </c>
      <c r="BM111" t="s">
        <v>7512</v>
      </c>
      <c r="BN111" t="s">
        <v>180</v>
      </c>
      <c r="BO111" t="s">
        <v>7513</v>
      </c>
      <c r="BP111" t="s">
        <v>7514</v>
      </c>
      <c r="BQ111" t="s">
        <v>7515</v>
      </c>
      <c r="BS111" t="s">
        <v>22125</v>
      </c>
      <c r="BT111" t="s">
        <v>22126</v>
      </c>
      <c r="BU111" t="s">
        <v>138</v>
      </c>
      <c r="BV111" t="s">
        <v>22127</v>
      </c>
      <c r="BW111" t="s">
        <v>22128</v>
      </c>
      <c r="BX111" t="s">
        <v>22127</v>
      </c>
      <c r="BY111" t="s">
        <v>22129</v>
      </c>
      <c r="BZ111" t="s">
        <v>22127</v>
      </c>
      <c r="CA111" t="s">
        <v>22128</v>
      </c>
      <c r="CB111" t="s">
        <v>22129</v>
      </c>
      <c r="CC111" t="s">
        <v>22127</v>
      </c>
      <c r="CD111" t="s">
        <v>22128</v>
      </c>
      <c r="CE111" t="s">
        <v>20469</v>
      </c>
      <c r="CF111" t="s">
        <v>22130</v>
      </c>
      <c r="CH111" t="s">
        <v>22131</v>
      </c>
      <c r="CI111" t="s">
        <v>12104</v>
      </c>
      <c r="CJ111" t="s">
        <v>12104</v>
      </c>
      <c r="CK111" t="s">
        <v>1208</v>
      </c>
      <c r="CL111" t="s">
        <v>22131</v>
      </c>
      <c r="CN111" t="s">
        <v>12104</v>
      </c>
      <c r="CO111" t="s">
        <v>12104</v>
      </c>
    </row>
    <row r="112" spans="1:93">
      <c r="A112" t="s">
        <v>337</v>
      </c>
      <c r="B112">
        <v>3224798</v>
      </c>
      <c r="C112" t="s">
        <v>22132</v>
      </c>
      <c r="D112" t="s">
        <v>21661</v>
      </c>
      <c r="E112" t="s">
        <v>21260</v>
      </c>
      <c r="F112" t="s">
        <v>848</v>
      </c>
      <c r="G112" t="s">
        <v>98</v>
      </c>
      <c r="H112" t="s">
        <v>22133</v>
      </c>
      <c r="I112" t="s">
        <v>100</v>
      </c>
      <c r="J112">
        <v>1086937</v>
      </c>
      <c r="K112">
        <v>1282586</v>
      </c>
      <c r="L112">
        <v>0</v>
      </c>
      <c r="M112">
        <v>0</v>
      </c>
      <c r="O112">
        <v>0</v>
      </c>
      <c r="P112">
        <v>0</v>
      </c>
      <c r="R112">
        <v>1086937</v>
      </c>
      <c r="S112">
        <v>1001</v>
      </c>
      <c r="T112" t="s">
        <v>22134</v>
      </c>
      <c r="U112" t="s">
        <v>102</v>
      </c>
      <c r="V112" t="s">
        <v>103</v>
      </c>
      <c r="W112" t="s">
        <v>155</v>
      </c>
      <c r="Y112" t="s">
        <v>14024</v>
      </c>
      <c r="Z112" t="s">
        <v>22135</v>
      </c>
      <c r="AA112" t="s">
        <v>21664</v>
      </c>
      <c r="AB112" t="s">
        <v>22135</v>
      </c>
      <c r="AC112" t="s">
        <v>21665</v>
      </c>
      <c r="AD112" t="s">
        <v>22135</v>
      </c>
      <c r="AE112" t="s">
        <v>21874</v>
      </c>
      <c r="AF112" t="s">
        <v>22135</v>
      </c>
      <c r="AG112" t="s">
        <v>24301</v>
      </c>
      <c r="AH112" t="s">
        <v>17126</v>
      </c>
      <c r="AI112" t="s">
        <v>23689</v>
      </c>
      <c r="AJ112" t="s">
        <v>22135</v>
      </c>
      <c r="AK112" t="s">
        <v>24302</v>
      </c>
      <c r="AL112" t="s">
        <v>102</v>
      </c>
      <c r="AM112" t="s">
        <v>22136</v>
      </c>
      <c r="AN112" t="s">
        <v>22137</v>
      </c>
      <c r="AP112" t="s">
        <v>169</v>
      </c>
      <c r="AS112" t="s">
        <v>102</v>
      </c>
      <c r="AU112" t="s">
        <v>102</v>
      </c>
      <c r="AV112" t="s">
        <v>119</v>
      </c>
      <c r="AY112" t="s">
        <v>250</v>
      </c>
      <c r="AZ112" t="s">
        <v>120</v>
      </c>
      <c r="BA112" t="s">
        <v>121</v>
      </c>
      <c r="BB112" t="s">
        <v>121</v>
      </c>
      <c r="BC112" t="s">
        <v>122</v>
      </c>
      <c r="BD112" t="s">
        <v>123</v>
      </c>
      <c r="BE112" t="s">
        <v>124</v>
      </c>
      <c r="BF112" t="s">
        <v>12250</v>
      </c>
      <c r="BG112" t="s">
        <v>21667</v>
      </c>
      <c r="BH112" t="s">
        <v>127</v>
      </c>
      <c r="BI112" t="s">
        <v>22138</v>
      </c>
      <c r="BJ112" t="s">
        <v>22139</v>
      </c>
      <c r="BK112" t="s">
        <v>22140</v>
      </c>
      <c r="BL112" t="s">
        <v>21260</v>
      </c>
      <c r="BM112" t="s">
        <v>131</v>
      </c>
      <c r="BN112" t="s">
        <v>350</v>
      </c>
      <c r="BO112" t="s">
        <v>133</v>
      </c>
      <c r="BP112" t="s">
        <v>134</v>
      </c>
      <c r="BQ112" t="s">
        <v>455</v>
      </c>
      <c r="BS112" t="s">
        <v>22141</v>
      </c>
      <c r="BT112" t="s">
        <v>22142</v>
      </c>
      <c r="BU112" t="s">
        <v>138</v>
      </c>
      <c r="BV112" t="s">
        <v>22143</v>
      </c>
      <c r="BW112" t="s">
        <v>22144</v>
      </c>
      <c r="BY112" t="s">
        <v>22142</v>
      </c>
      <c r="BZ112" t="s">
        <v>22145</v>
      </c>
      <c r="CA112" t="s">
        <v>22144</v>
      </c>
      <c r="CB112" t="s">
        <v>22142</v>
      </c>
      <c r="CC112" t="s">
        <v>22145</v>
      </c>
      <c r="CD112" t="s">
        <v>22144</v>
      </c>
      <c r="CE112" t="s">
        <v>102</v>
      </c>
      <c r="CF112" t="s">
        <v>22146</v>
      </c>
      <c r="CH112" t="s">
        <v>22147</v>
      </c>
      <c r="CI112" t="s">
        <v>22146</v>
      </c>
      <c r="CJ112" t="s">
        <v>121</v>
      </c>
      <c r="CK112" t="s">
        <v>121</v>
      </c>
      <c r="CL112" t="s">
        <v>22147</v>
      </c>
      <c r="CM112" t="s">
        <v>24303</v>
      </c>
      <c r="CN112" t="s">
        <v>22146</v>
      </c>
      <c r="CO112" t="s">
        <v>22146</v>
      </c>
    </row>
    <row r="113" spans="1:93" hidden="1">
      <c r="A113" t="s">
        <v>495</v>
      </c>
      <c r="B113">
        <v>3230514</v>
      </c>
      <c r="C113" t="s">
        <v>24304</v>
      </c>
      <c r="D113" t="s">
        <v>21661</v>
      </c>
      <c r="E113" t="s">
        <v>21962</v>
      </c>
      <c r="F113" t="s">
        <v>97</v>
      </c>
      <c r="G113" t="s">
        <v>98</v>
      </c>
      <c r="H113" t="s">
        <v>24305</v>
      </c>
      <c r="I113" t="s">
        <v>100</v>
      </c>
      <c r="J113">
        <v>0</v>
      </c>
      <c r="K113">
        <v>0</v>
      </c>
      <c r="L113">
        <v>0</v>
      </c>
      <c r="M113">
        <v>1689</v>
      </c>
      <c r="N113" t="s">
        <v>102</v>
      </c>
      <c r="O113">
        <v>0</v>
      </c>
      <c r="P113">
        <v>0</v>
      </c>
      <c r="R113">
        <v>0</v>
      </c>
      <c r="S113">
        <v>0</v>
      </c>
      <c r="U113" t="s">
        <v>102</v>
      </c>
      <c r="V113" t="s">
        <v>275</v>
      </c>
      <c r="X113" t="s">
        <v>12047</v>
      </c>
      <c r="Y113" t="s">
        <v>109</v>
      </c>
      <c r="Z113" t="s">
        <v>102</v>
      </c>
      <c r="AA113" t="s">
        <v>109</v>
      </c>
      <c r="AB113" t="s">
        <v>102</v>
      </c>
      <c r="AC113" t="s">
        <v>109</v>
      </c>
      <c r="AD113" t="s">
        <v>102</v>
      </c>
      <c r="AE113" t="s">
        <v>109</v>
      </c>
      <c r="AF113" t="s">
        <v>102</v>
      </c>
      <c r="AG113" t="s">
        <v>102</v>
      </c>
      <c r="AJ113" t="s">
        <v>102</v>
      </c>
      <c r="AK113" t="s">
        <v>102</v>
      </c>
      <c r="AL113" t="s">
        <v>102</v>
      </c>
      <c r="AM113" t="s">
        <v>115</v>
      </c>
      <c r="AN113" t="s">
        <v>2202</v>
      </c>
      <c r="AO113" t="s">
        <v>102</v>
      </c>
      <c r="AP113" t="s">
        <v>102</v>
      </c>
      <c r="AQ113" t="s">
        <v>102</v>
      </c>
      <c r="AR113" t="s">
        <v>102</v>
      </c>
      <c r="AS113" t="s">
        <v>318</v>
      </c>
      <c r="AT113" t="s">
        <v>118</v>
      </c>
      <c r="AU113" t="s">
        <v>102</v>
      </c>
      <c r="AV113" t="s">
        <v>119</v>
      </c>
      <c r="AZ113" t="s">
        <v>120</v>
      </c>
      <c r="BA113" t="s">
        <v>2327</v>
      </c>
      <c r="BB113" t="s">
        <v>730</v>
      </c>
      <c r="BC113" t="s">
        <v>622</v>
      </c>
      <c r="BD113" t="s">
        <v>730</v>
      </c>
      <c r="BE113" t="s">
        <v>124</v>
      </c>
      <c r="BF113" t="s">
        <v>12250</v>
      </c>
      <c r="BG113" t="s">
        <v>21667</v>
      </c>
      <c r="BH113" t="s">
        <v>127</v>
      </c>
      <c r="BI113" t="s">
        <v>24306</v>
      </c>
      <c r="BJ113" t="s">
        <v>24307</v>
      </c>
      <c r="BK113" t="s">
        <v>24308</v>
      </c>
      <c r="BL113" t="s">
        <v>21962</v>
      </c>
      <c r="BM113" t="s">
        <v>2262</v>
      </c>
      <c r="BN113" t="s">
        <v>505</v>
      </c>
      <c r="BO113" t="s">
        <v>2263</v>
      </c>
      <c r="BP113" t="s">
        <v>2264</v>
      </c>
      <c r="BQ113" t="s">
        <v>2569</v>
      </c>
      <c r="BS113" t="s">
        <v>24309</v>
      </c>
      <c r="BT113" t="s">
        <v>24310</v>
      </c>
      <c r="BV113" t="s">
        <v>2263</v>
      </c>
      <c r="BW113" t="s">
        <v>24311</v>
      </c>
      <c r="BX113" t="s">
        <v>24312</v>
      </c>
      <c r="BY113" t="s">
        <v>24310</v>
      </c>
      <c r="BZ113" t="s">
        <v>24313</v>
      </c>
      <c r="CA113" t="s">
        <v>24311</v>
      </c>
      <c r="CB113" t="s">
        <v>24310</v>
      </c>
      <c r="CC113" t="s">
        <v>24313</v>
      </c>
      <c r="CD113" t="s">
        <v>24311</v>
      </c>
      <c r="CE113" t="s">
        <v>24314</v>
      </c>
      <c r="CF113" t="s">
        <v>24315</v>
      </c>
      <c r="CH113" t="s">
        <v>24316</v>
      </c>
      <c r="CI113" t="s">
        <v>24317</v>
      </c>
      <c r="CJ113" t="s">
        <v>2327</v>
      </c>
      <c r="CK113" t="s">
        <v>730</v>
      </c>
      <c r="CL113" t="s">
        <v>24316</v>
      </c>
      <c r="CN113" t="s">
        <v>24315</v>
      </c>
      <c r="CO113" t="s">
        <v>24315</v>
      </c>
    </row>
    <row r="114" spans="1:93" hidden="1">
      <c r="A114" t="s">
        <v>149</v>
      </c>
      <c r="B114">
        <v>3249655</v>
      </c>
      <c r="C114" t="s">
        <v>5060</v>
      </c>
      <c r="D114" t="s">
        <v>21661</v>
      </c>
      <c r="E114" t="s">
        <v>11889</v>
      </c>
      <c r="F114" t="s">
        <v>97</v>
      </c>
      <c r="G114" t="s">
        <v>98</v>
      </c>
      <c r="H114" t="s">
        <v>24318</v>
      </c>
      <c r="I114" t="s">
        <v>100</v>
      </c>
      <c r="J114">
        <v>863977</v>
      </c>
      <c r="K114">
        <v>863977</v>
      </c>
      <c r="L114">
        <v>863977</v>
      </c>
      <c r="M114">
        <v>1231</v>
      </c>
      <c r="N114" t="s">
        <v>4234</v>
      </c>
      <c r="O114">
        <v>0</v>
      </c>
      <c r="P114">
        <v>0</v>
      </c>
      <c r="R114">
        <v>0</v>
      </c>
      <c r="S114">
        <v>0</v>
      </c>
      <c r="U114" t="s">
        <v>102</v>
      </c>
      <c r="V114" t="s">
        <v>103</v>
      </c>
      <c r="W114" t="s">
        <v>104</v>
      </c>
      <c r="Y114" t="s">
        <v>12250</v>
      </c>
      <c r="Z114" t="s">
        <v>24319</v>
      </c>
      <c r="AA114" t="s">
        <v>21665</v>
      </c>
      <c r="AB114" t="s">
        <v>24320</v>
      </c>
      <c r="AC114" t="s">
        <v>109</v>
      </c>
      <c r="AD114" t="s">
        <v>102</v>
      </c>
      <c r="AE114" t="s">
        <v>109</v>
      </c>
      <c r="AF114" t="s">
        <v>102</v>
      </c>
      <c r="AG114" t="s">
        <v>26466</v>
      </c>
      <c r="AH114" t="s">
        <v>26117</v>
      </c>
      <c r="AI114" t="s">
        <v>26117</v>
      </c>
      <c r="AJ114" t="s">
        <v>24319</v>
      </c>
      <c r="AK114" t="s">
        <v>26467</v>
      </c>
      <c r="AL114" t="s">
        <v>26468</v>
      </c>
      <c r="AM114" t="s">
        <v>24321</v>
      </c>
      <c r="AN114" t="s">
        <v>24322</v>
      </c>
      <c r="AO114" t="s">
        <v>102</v>
      </c>
      <c r="AP114" t="s">
        <v>2760</v>
      </c>
      <c r="AQ114" t="s">
        <v>102</v>
      </c>
      <c r="AR114" t="s">
        <v>2760</v>
      </c>
      <c r="AS114" t="s">
        <v>318</v>
      </c>
      <c r="AT114" t="s">
        <v>118</v>
      </c>
      <c r="AU114" t="s">
        <v>102</v>
      </c>
      <c r="AV114" t="s">
        <v>119</v>
      </c>
      <c r="AZ114" t="s">
        <v>171</v>
      </c>
      <c r="BA114" t="s">
        <v>5071</v>
      </c>
      <c r="BB114" t="s">
        <v>730</v>
      </c>
      <c r="BC114" t="s">
        <v>622</v>
      </c>
      <c r="BD114" t="s">
        <v>730</v>
      </c>
      <c r="BE114" t="s">
        <v>124</v>
      </c>
      <c r="BF114" t="s">
        <v>12250</v>
      </c>
      <c r="BG114" t="s">
        <v>21667</v>
      </c>
      <c r="BH114" t="s">
        <v>127</v>
      </c>
      <c r="BI114" t="s">
        <v>24323</v>
      </c>
      <c r="BJ114" t="s">
        <v>5073</v>
      </c>
      <c r="BK114" t="s">
        <v>24324</v>
      </c>
      <c r="BL114" t="s">
        <v>11889</v>
      </c>
      <c r="BM114" t="s">
        <v>3606</v>
      </c>
      <c r="BN114" t="s">
        <v>350</v>
      </c>
      <c r="BO114" t="s">
        <v>3607</v>
      </c>
      <c r="BP114" t="s">
        <v>3608</v>
      </c>
      <c r="BQ114" t="s">
        <v>3562</v>
      </c>
      <c r="BS114" t="s">
        <v>24325</v>
      </c>
      <c r="BT114" t="s">
        <v>5076</v>
      </c>
      <c r="BU114" t="s">
        <v>138</v>
      </c>
      <c r="BV114" t="s">
        <v>5077</v>
      </c>
      <c r="BW114" t="s">
        <v>5078</v>
      </c>
      <c r="BX114" t="s">
        <v>5079</v>
      </c>
      <c r="BY114" t="s">
        <v>5076</v>
      </c>
      <c r="BZ114" t="s">
        <v>5077</v>
      </c>
      <c r="CA114" t="s">
        <v>5078</v>
      </c>
      <c r="CB114" t="s">
        <v>5076</v>
      </c>
      <c r="CC114" t="s">
        <v>5077</v>
      </c>
      <c r="CD114" t="s">
        <v>5078</v>
      </c>
      <c r="CE114" t="s">
        <v>102</v>
      </c>
      <c r="CF114" t="s">
        <v>5083</v>
      </c>
      <c r="CH114" t="s">
        <v>5084</v>
      </c>
      <c r="CJ114" t="s">
        <v>5071</v>
      </c>
      <c r="CK114" t="s">
        <v>730</v>
      </c>
      <c r="CL114" t="s">
        <v>5084</v>
      </c>
      <c r="CM114" t="s">
        <v>5085</v>
      </c>
      <c r="CN114" t="s">
        <v>5083</v>
      </c>
      <c r="CO114" t="s">
        <v>5083</v>
      </c>
    </row>
    <row r="115" spans="1:93" hidden="1">
      <c r="A115" t="s">
        <v>93</v>
      </c>
      <c r="B115">
        <v>3253126</v>
      </c>
      <c r="C115" t="s">
        <v>15262</v>
      </c>
      <c r="D115" t="s">
        <v>21661</v>
      </c>
      <c r="E115" t="s">
        <v>12716</v>
      </c>
      <c r="F115" t="s">
        <v>97</v>
      </c>
      <c r="G115" t="s">
        <v>98</v>
      </c>
      <c r="H115" t="s">
        <v>22148</v>
      </c>
      <c r="I115" t="s">
        <v>100</v>
      </c>
      <c r="J115">
        <v>297000</v>
      </c>
      <c r="K115">
        <v>297000</v>
      </c>
      <c r="L115">
        <v>297000</v>
      </c>
      <c r="M115">
        <v>495</v>
      </c>
      <c r="N115" t="s">
        <v>310</v>
      </c>
      <c r="O115">
        <v>0</v>
      </c>
      <c r="P115">
        <v>0</v>
      </c>
      <c r="R115">
        <v>0</v>
      </c>
      <c r="S115">
        <v>0</v>
      </c>
      <c r="U115" t="s">
        <v>102</v>
      </c>
      <c r="V115" t="s">
        <v>103</v>
      </c>
      <c r="W115" t="s">
        <v>104</v>
      </c>
      <c r="Y115" t="s">
        <v>12716</v>
      </c>
      <c r="Z115" t="s">
        <v>22149</v>
      </c>
      <c r="AA115" t="s">
        <v>21762</v>
      </c>
      <c r="AB115" t="s">
        <v>22149</v>
      </c>
      <c r="AC115" t="s">
        <v>109</v>
      </c>
      <c r="AD115" t="s">
        <v>102</v>
      </c>
      <c r="AE115" t="s">
        <v>109</v>
      </c>
      <c r="AF115" t="s">
        <v>102</v>
      </c>
      <c r="AG115" t="s">
        <v>102</v>
      </c>
      <c r="AH115" t="s">
        <v>23756</v>
      </c>
      <c r="AI115" t="s">
        <v>23756</v>
      </c>
      <c r="AJ115" t="s">
        <v>22149</v>
      </c>
      <c r="AK115" t="s">
        <v>24326</v>
      </c>
      <c r="AL115" t="s">
        <v>24327</v>
      </c>
      <c r="AM115" t="s">
        <v>317</v>
      </c>
      <c r="AN115" t="s">
        <v>317</v>
      </c>
      <c r="AS115" t="s">
        <v>318</v>
      </c>
      <c r="AT115" t="s">
        <v>118</v>
      </c>
      <c r="AU115" t="s">
        <v>102</v>
      </c>
      <c r="AV115" t="s">
        <v>119</v>
      </c>
      <c r="AZ115" t="s">
        <v>120</v>
      </c>
      <c r="BA115" t="s">
        <v>3058</v>
      </c>
      <c r="BB115" t="s">
        <v>320</v>
      </c>
      <c r="BC115" t="s">
        <v>122</v>
      </c>
      <c r="BD115" t="s">
        <v>123</v>
      </c>
      <c r="BE115" t="s">
        <v>124</v>
      </c>
      <c r="BF115" t="s">
        <v>12250</v>
      </c>
      <c r="BG115" t="s">
        <v>21667</v>
      </c>
      <c r="BH115" t="s">
        <v>127</v>
      </c>
      <c r="BI115" t="s">
        <v>22150</v>
      </c>
      <c r="BJ115" t="s">
        <v>15270</v>
      </c>
      <c r="BK115" t="s">
        <v>22151</v>
      </c>
      <c r="BL115" t="s">
        <v>12716</v>
      </c>
      <c r="BM115" t="s">
        <v>131</v>
      </c>
      <c r="BN115" t="s">
        <v>505</v>
      </c>
      <c r="BO115" t="s">
        <v>133</v>
      </c>
      <c r="BP115" t="s">
        <v>134</v>
      </c>
      <c r="BQ115" t="s">
        <v>455</v>
      </c>
      <c r="BS115" t="s">
        <v>22152</v>
      </c>
      <c r="BT115" t="s">
        <v>22153</v>
      </c>
      <c r="BU115" t="s">
        <v>138</v>
      </c>
      <c r="BV115" t="s">
        <v>15276</v>
      </c>
      <c r="BW115" t="s">
        <v>15278</v>
      </c>
      <c r="BX115" t="s">
        <v>15276</v>
      </c>
      <c r="BY115" t="s">
        <v>22153</v>
      </c>
      <c r="BZ115" t="s">
        <v>15276</v>
      </c>
      <c r="CA115" t="s">
        <v>15278</v>
      </c>
      <c r="CB115" t="s">
        <v>22154</v>
      </c>
      <c r="CC115" t="s">
        <v>22155</v>
      </c>
      <c r="CD115" t="s">
        <v>22156</v>
      </c>
      <c r="CE115" t="s">
        <v>5650</v>
      </c>
      <c r="CF115" t="s">
        <v>15282</v>
      </c>
      <c r="CH115" t="s">
        <v>15283</v>
      </c>
      <c r="CI115" t="s">
        <v>15282</v>
      </c>
      <c r="CJ115" t="s">
        <v>3058</v>
      </c>
      <c r="CK115" t="s">
        <v>320</v>
      </c>
      <c r="CL115" t="s">
        <v>15283</v>
      </c>
      <c r="CN115" t="s">
        <v>15284</v>
      </c>
      <c r="CO115" t="s">
        <v>15284</v>
      </c>
    </row>
    <row r="116" spans="1:93" hidden="1">
      <c r="A116" t="s">
        <v>495</v>
      </c>
      <c r="B116">
        <v>3269723</v>
      </c>
      <c r="C116" t="s">
        <v>5126</v>
      </c>
      <c r="D116" t="s">
        <v>21661</v>
      </c>
      <c r="E116" t="s">
        <v>13208</v>
      </c>
      <c r="F116" t="s">
        <v>97</v>
      </c>
      <c r="G116" t="s">
        <v>98</v>
      </c>
      <c r="H116" t="s">
        <v>25807</v>
      </c>
      <c r="I116" t="s">
        <v>100</v>
      </c>
      <c r="J116">
        <v>410229</v>
      </c>
      <c r="K116">
        <v>410229</v>
      </c>
      <c r="L116">
        <v>410229</v>
      </c>
      <c r="M116">
        <v>586</v>
      </c>
      <c r="N116" t="s">
        <v>799</v>
      </c>
      <c r="O116">
        <v>0</v>
      </c>
      <c r="P116">
        <v>0</v>
      </c>
      <c r="R116">
        <v>0</v>
      </c>
      <c r="S116">
        <v>0</v>
      </c>
      <c r="U116" t="s">
        <v>102</v>
      </c>
      <c r="V116" t="s">
        <v>103</v>
      </c>
      <c r="W116" t="s">
        <v>104</v>
      </c>
      <c r="Y116" t="s">
        <v>20476</v>
      </c>
      <c r="Z116" t="s">
        <v>25808</v>
      </c>
      <c r="AA116" t="s">
        <v>19143</v>
      </c>
      <c r="AB116" t="s">
        <v>25808</v>
      </c>
      <c r="AC116" t="s">
        <v>109</v>
      </c>
      <c r="AD116" t="s">
        <v>102</v>
      </c>
      <c r="AE116" t="s">
        <v>109</v>
      </c>
      <c r="AF116" t="s">
        <v>102</v>
      </c>
      <c r="AG116" t="s">
        <v>25809</v>
      </c>
      <c r="AH116" t="s">
        <v>25697</v>
      </c>
      <c r="AI116" t="s">
        <v>25697</v>
      </c>
      <c r="AJ116" t="s">
        <v>25808</v>
      </c>
      <c r="AK116" t="s">
        <v>25810</v>
      </c>
      <c r="AL116" t="s">
        <v>25811</v>
      </c>
      <c r="AM116" t="s">
        <v>3305</v>
      </c>
      <c r="AN116" t="s">
        <v>24373</v>
      </c>
      <c r="AO116" t="s">
        <v>102</v>
      </c>
      <c r="AP116" t="s">
        <v>102</v>
      </c>
      <c r="AQ116" t="s">
        <v>102</v>
      </c>
      <c r="AR116" t="s">
        <v>102</v>
      </c>
      <c r="AS116" t="s">
        <v>318</v>
      </c>
      <c r="AT116" t="s">
        <v>118</v>
      </c>
      <c r="AU116" t="s">
        <v>102</v>
      </c>
      <c r="AV116" t="s">
        <v>119</v>
      </c>
      <c r="AZ116" t="s">
        <v>120</v>
      </c>
      <c r="BA116" t="s">
        <v>2327</v>
      </c>
      <c r="BB116" t="s">
        <v>730</v>
      </c>
      <c r="BC116" t="s">
        <v>622</v>
      </c>
      <c r="BD116" t="s">
        <v>730</v>
      </c>
      <c r="BE116" t="s">
        <v>124</v>
      </c>
      <c r="BF116" t="s">
        <v>12250</v>
      </c>
      <c r="BG116" t="s">
        <v>21667</v>
      </c>
      <c r="BH116" t="s">
        <v>127</v>
      </c>
      <c r="BI116" t="s">
        <v>25812</v>
      </c>
      <c r="BJ116" t="s">
        <v>5135</v>
      </c>
      <c r="BK116" t="s">
        <v>25813</v>
      </c>
      <c r="BL116" t="s">
        <v>13208</v>
      </c>
      <c r="BM116" t="s">
        <v>2262</v>
      </c>
      <c r="BN116" t="s">
        <v>350</v>
      </c>
      <c r="BO116" t="s">
        <v>2263</v>
      </c>
      <c r="BP116" t="s">
        <v>2264</v>
      </c>
      <c r="BQ116" t="s">
        <v>2569</v>
      </c>
      <c r="BS116" t="s">
        <v>25814</v>
      </c>
      <c r="BT116" t="s">
        <v>5138</v>
      </c>
      <c r="BU116" t="s">
        <v>138</v>
      </c>
      <c r="BV116" t="s">
        <v>5139</v>
      </c>
      <c r="BW116" t="s">
        <v>5140</v>
      </c>
      <c r="BX116" t="s">
        <v>5141</v>
      </c>
      <c r="BY116" t="s">
        <v>5138</v>
      </c>
      <c r="BZ116" t="s">
        <v>5139</v>
      </c>
      <c r="CA116" t="s">
        <v>5140</v>
      </c>
      <c r="CB116" t="s">
        <v>5138</v>
      </c>
      <c r="CC116" t="s">
        <v>5139</v>
      </c>
      <c r="CD116" t="s">
        <v>5140</v>
      </c>
      <c r="CE116" t="s">
        <v>25815</v>
      </c>
      <c r="CF116" t="s">
        <v>5142</v>
      </c>
      <c r="CH116" t="s">
        <v>5143</v>
      </c>
      <c r="CI116" t="s">
        <v>25816</v>
      </c>
      <c r="CJ116" t="s">
        <v>2327</v>
      </c>
      <c r="CK116" t="s">
        <v>730</v>
      </c>
      <c r="CL116" t="s">
        <v>5143</v>
      </c>
      <c r="CM116" t="s">
        <v>5144</v>
      </c>
      <c r="CN116" t="s">
        <v>5142</v>
      </c>
      <c r="CO116" t="s">
        <v>5142</v>
      </c>
    </row>
    <row r="117" spans="1:93" hidden="1">
      <c r="A117" t="s">
        <v>149</v>
      </c>
      <c r="B117">
        <v>3270957</v>
      </c>
      <c r="C117" t="s">
        <v>15318</v>
      </c>
      <c r="D117" t="s">
        <v>21661</v>
      </c>
      <c r="E117" t="s">
        <v>15141</v>
      </c>
      <c r="F117" t="s">
        <v>2044</v>
      </c>
      <c r="G117" t="s">
        <v>98</v>
      </c>
      <c r="H117" t="s">
        <v>22157</v>
      </c>
      <c r="I117" t="s">
        <v>100</v>
      </c>
      <c r="J117">
        <v>1496782</v>
      </c>
      <c r="K117">
        <v>1496782</v>
      </c>
      <c r="L117">
        <v>607869</v>
      </c>
      <c r="M117">
        <v>1033</v>
      </c>
      <c r="N117" t="s">
        <v>22158</v>
      </c>
      <c r="O117">
        <v>888913</v>
      </c>
      <c r="P117">
        <v>509</v>
      </c>
      <c r="Q117" t="s">
        <v>22159</v>
      </c>
      <c r="R117">
        <v>0</v>
      </c>
      <c r="S117">
        <v>0</v>
      </c>
      <c r="U117" t="s">
        <v>102</v>
      </c>
      <c r="V117" t="s">
        <v>275</v>
      </c>
      <c r="X117" t="s">
        <v>13486</v>
      </c>
      <c r="Y117" t="s">
        <v>109</v>
      </c>
      <c r="Z117" t="s">
        <v>102</v>
      </c>
      <c r="AA117" t="s">
        <v>109</v>
      </c>
      <c r="AB117" t="s">
        <v>102</v>
      </c>
      <c r="AC117" t="s">
        <v>109</v>
      </c>
      <c r="AD117" t="s">
        <v>102</v>
      </c>
      <c r="AE117" t="s">
        <v>109</v>
      </c>
      <c r="AF117" t="s">
        <v>102</v>
      </c>
      <c r="AG117" t="s">
        <v>102</v>
      </c>
      <c r="AH117" t="s">
        <v>21784</v>
      </c>
      <c r="AI117" t="s">
        <v>21784</v>
      </c>
      <c r="AJ117" t="s">
        <v>22160</v>
      </c>
      <c r="AK117" t="s">
        <v>22160</v>
      </c>
      <c r="AL117" t="s">
        <v>102</v>
      </c>
      <c r="AM117" t="s">
        <v>22161</v>
      </c>
      <c r="AN117" t="s">
        <v>22161</v>
      </c>
      <c r="AS117" t="s">
        <v>318</v>
      </c>
      <c r="AT117" t="s">
        <v>118</v>
      </c>
      <c r="AU117" t="s">
        <v>1758</v>
      </c>
      <c r="AV117" t="s">
        <v>447</v>
      </c>
      <c r="AW117" t="s">
        <v>170</v>
      </c>
      <c r="AX117" t="s">
        <v>118</v>
      </c>
      <c r="AZ117" t="s">
        <v>120</v>
      </c>
      <c r="BA117" t="s">
        <v>5173</v>
      </c>
      <c r="BB117" t="s">
        <v>1171</v>
      </c>
      <c r="BC117" t="s">
        <v>174</v>
      </c>
      <c r="BD117" t="s">
        <v>1172</v>
      </c>
      <c r="BE117" t="s">
        <v>124</v>
      </c>
      <c r="BF117" t="s">
        <v>12250</v>
      </c>
      <c r="BG117" t="s">
        <v>21667</v>
      </c>
      <c r="BH117" t="s">
        <v>127</v>
      </c>
      <c r="BI117" t="s">
        <v>22162</v>
      </c>
      <c r="BJ117" t="s">
        <v>5175</v>
      </c>
      <c r="BK117" t="s">
        <v>22163</v>
      </c>
      <c r="BL117" t="s">
        <v>15141</v>
      </c>
      <c r="BM117" t="s">
        <v>1917</v>
      </c>
      <c r="BN117" t="s">
        <v>180</v>
      </c>
      <c r="BO117" t="s">
        <v>1918</v>
      </c>
      <c r="BP117" t="s">
        <v>1919</v>
      </c>
      <c r="BQ117" t="s">
        <v>5177</v>
      </c>
      <c r="BS117" t="s">
        <v>22164</v>
      </c>
      <c r="BT117" t="s">
        <v>22165</v>
      </c>
      <c r="BU117" t="s">
        <v>354</v>
      </c>
      <c r="BV117" t="s">
        <v>22166</v>
      </c>
      <c r="BW117" t="s">
        <v>5181</v>
      </c>
      <c r="BX117" t="s">
        <v>5182</v>
      </c>
      <c r="BY117" t="s">
        <v>15316</v>
      </c>
      <c r="BZ117" t="s">
        <v>22166</v>
      </c>
      <c r="CA117" t="s">
        <v>5181</v>
      </c>
      <c r="CB117" t="s">
        <v>15316</v>
      </c>
      <c r="CC117" t="s">
        <v>22166</v>
      </c>
      <c r="CD117" t="s">
        <v>5181</v>
      </c>
      <c r="CE117" t="s">
        <v>358</v>
      </c>
      <c r="CF117" t="s">
        <v>15318</v>
      </c>
      <c r="CH117" t="s">
        <v>5186</v>
      </c>
      <c r="CI117" t="s">
        <v>5185</v>
      </c>
      <c r="CJ117" t="s">
        <v>5173</v>
      </c>
      <c r="CK117" t="s">
        <v>1171</v>
      </c>
      <c r="CL117" t="s">
        <v>5186</v>
      </c>
      <c r="CN117" t="s">
        <v>5187</v>
      </c>
      <c r="CO117" t="s">
        <v>5185</v>
      </c>
    </row>
    <row r="118" spans="1:93" hidden="1">
      <c r="A118" t="s">
        <v>149</v>
      </c>
      <c r="B118">
        <v>3283255</v>
      </c>
      <c r="C118" t="s">
        <v>5188</v>
      </c>
      <c r="D118" t="s">
        <v>21661</v>
      </c>
      <c r="E118" t="s">
        <v>11889</v>
      </c>
      <c r="F118" t="s">
        <v>97</v>
      </c>
      <c r="G118" t="s">
        <v>98</v>
      </c>
      <c r="H118" t="s">
        <v>25817</v>
      </c>
      <c r="I118" t="s">
        <v>100</v>
      </c>
      <c r="J118">
        <v>582547</v>
      </c>
      <c r="K118">
        <v>582547</v>
      </c>
      <c r="L118">
        <v>582547</v>
      </c>
      <c r="M118">
        <v>1165</v>
      </c>
      <c r="N118" t="s">
        <v>364</v>
      </c>
      <c r="O118">
        <v>0</v>
      </c>
      <c r="P118">
        <v>0</v>
      </c>
      <c r="R118">
        <v>0</v>
      </c>
      <c r="S118">
        <v>0</v>
      </c>
      <c r="U118" t="s">
        <v>102</v>
      </c>
      <c r="V118" t="s">
        <v>275</v>
      </c>
      <c r="X118" t="s">
        <v>18964</v>
      </c>
      <c r="Y118" t="s">
        <v>109</v>
      </c>
      <c r="Z118" t="s">
        <v>102</v>
      </c>
      <c r="AA118" t="s">
        <v>109</v>
      </c>
      <c r="AB118" t="s">
        <v>102</v>
      </c>
      <c r="AC118" t="s">
        <v>109</v>
      </c>
      <c r="AD118" t="s">
        <v>102</v>
      </c>
      <c r="AE118" t="s">
        <v>109</v>
      </c>
      <c r="AF118" t="s">
        <v>102</v>
      </c>
      <c r="AG118" t="s">
        <v>102</v>
      </c>
      <c r="AJ118" t="s">
        <v>26469</v>
      </c>
      <c r="AK118" t="s">
        <v>102</v>
      </c>
      <c r="AL118" t="s">
        <v>26469</v>
      </c>
      <c r="AM118" t="s">
        <v>1785</v>
      </c>
      <c r="AN118" t="s">
        <v>25818</v>
      </c>
      <c r="AO118" t="s">
        <v>102</v>
      </c>
      <c r="AP118" t="s">
        <v>102</v>
      </c>
      <c r="AQ118" t="s">
        <v>102</v>
      </c>
      <c r="AR118" t="s">
        <v>102</v>
      </c>
      <c r="AS118" t="s">
        <v>318</v>
      </c>
      <c r="AT118" t="s">
        <v>250</v>
      </c>
      <c r="AU118" t="s">
        <v>102</v>
      </c>
      <c r="AV118" t="s">
        <v>119</v>
      </c>
      <c r="AZ118" t="s">
        <v>120</v>
      </c>
      <c r="BA118" t="s">
        <v>4889</v>
      </c>
      <c r="BB118" t="s">
        <v>730</v>
      </c>
      <c r="BC118" t="s">
        <v>622</v>
      </c>
      <c r="BD118" t="s">
        <v>730</v>
      </c>
      <c r="BE118" t="s">
        <v>124</v>
      </c>
      <c r="BF118" t="s">
        <v>12250</v>
      </c>
      <c r="BG118" t="s">
        <v>21667</v>
      </c>
      <c r="BH118" t="s">
        <v>127</v>
      </c>
      <c r="BI118" t="s">
        <v>25819</v>
      </c>
      <c r="BJ118" t="s">
        <v>5195</v>
      </c>
      <c r="BK118" t="s">
        <v>5196</v>
      </c>
      <c r="BL118" t="s">
        <v>11889</v>
      </c>
      <c r="BM118" t="s">
        <v>5197</v>
      </c>
      <c r="BN118" t="s">
        <v>350</v>
      </c>
      <c r="BO118" t="s">
        <v>5198</v>
      </c>
      <c r="BP118" t="s">
        <v>5199</v>
      </c>
      <c r="BQ118" t="s">
        <v>2569</v>
      </c>
      <c r="BS118" t="s">
        <v>25820</v>
      </c>
      <c r="BT118" t="s">
        <v>15324</v>
      </c>
      <c r="BU118" t="s">
        <v>138</v>
      </c>
      <c r="BV118" t="s">
        <v>15969</v>
      </c>
      <c r="BW118" t="s">
        <v>25821</v>
      </c>
      <c r="BX118" t="s">
        <v>5204</v>
      </c>
      <c r="BY118" t="s">
        <v>15325</v>
      </c>
      <c r="BZ118" t="s">
        <v>5202</v>
      </c>
      <c r="CA118" t="s">
        <v>5203</v>
      </c>
      <c r="CB118" t="s">
        <v>25822</v>
      </c>
      <c r="CC118" t="s">
        <v>25823</v>
      </c>
      <c r="CD118" t="s">
        <v>25824</v>
      </c>
      <c r="CE118" t="s">
        <v>5207</v>
      </c>
      <c r="CF118" t="s">
        <v>5208</v>
      </c>
      <c r="CH118" t="s">
        <v>4903</v>
      </c>
      <c r="CI118" t="s">
        <v>5209</v>
      </c>
      <c r="CJ118" t="s">
        <v>4889</v>
      </c>
      <c r="CK118" t="s">
        <v>730</v>
      </c>
      <c r="CL118" t="s">
        <v>4903</v>
      </c>
      <c r="CN118" t="s">
        <v>5210</v>
      </c>
      <c r="CO118" t="s">
        <v>5211</v>
      </c>
    </row>
    <row r="119" spans="1:93" hidden="1">
      <c r="A119" t="s">
        <v>149</v>
      </c>
      <c r="B119">
        <v>3284326</v>
      </c>
      <c r="C119" t="s">
        <v>5237</v>
      </c>
      <c r="D119" t="s">
        <v>21661</v>
      </c>
      <c r="E119" t="s">
        <v>22167</v>
      </c>
      <c r="F119" t="s">
        <v>2163</v>
      </c>
      <c r="G119" t="s">
        <v>98</v>
      </c>
      <c r="H119" t="s">
        <v>22168</v>
      </c>
      <c r="I119" t="s">
        <v>100</v>
      </c>
      <c r="J119">
        <v>1251138</v>
      </c>
      <c r="K119">
        <v>1398487</v>
      </c>
      <c r="L119">
        <v>151308</v>
      </c>
      <c r="M119">
        <v>216</v>
      </c>
      <c r="N119" t="s">
        <v>799</v>
      </c>
      <c r="O119">
        <v>281227</v>
      </c>
      <c r="P119">
        <v>356</v>
      </c>
      <c r="Q119" t="s">
        <v>22169</v>
      </c>
      <c r="R119">
        <v>818603</v>
      </c>
      <c r="S119">
        <v>483</v>
      </c>
      <c r="T119" t="s">
        <v>2007</v>
      </c>
      <c r="U119" t="s">
        <v>102</v>
      </c>
      <c r="V119" t="s">
        <v>103</v>
      </c>
      <c r="W119" t="s">
        <v>155</v>
      </c>
      <c r="Y119" t="s">
        <v>22101</v>
      </c>
      <c r="Z119" t="s">
        <v>22170</v>
      </c>
      <c r="AA119" t="s">
        <v>22103</v>
      </c>
      <c r="AB119" t="s">
        <v>22170</v>
      </c>
      <c r="AC119" t="s">
        <v>22071</v>
      </c>
      <c r="AD119" t="s">
        <v>22170</v>
      </c>
      <c r="AE119" t="s">
        <v>21687</v>
      </c>
      <c r="AF119" t="s">
        <v>22170</v>
      </c>
      <c r="AG119" t="s">
        <v>102</v>
      </c>
      <c r="AJ119" t="s">
        <v>22170</v>
      </c>
      <c r="AK119" t="s">
        <v>102</v>
      </c>
      <c r="AL119" t="s">
        <v>22170</v>
      </c>
      <c r="AM119" t="s">
        <v>22171</v>
      </c>
      <c r="AN119" t="s">
        <v>22171</v>
      </c>
      <c r="AS119" t="s">
        <v>207</v>
      </c>
      <c r="AT119" t="s">
        <v>118</v>
      </c>
      <c r="AU119" t="s">
        <v>3536</v>
      </c>
      <c r="AV119" t="s">
        <v>119</v>
      </c>
      <c r="AW119" t="s">
        <v>1138</v>
      </c>
      <c r="AX119" t="s">
        <v>118</v>
      </c>
      <c r="AY119" t="s">
        <v>250</v>
      </c>
      <c r="AZ119" t="s">
        <v>171</v>
      </c>
      <c r="BA119" t="s">
        <v>5248</v>
      </c>
      <c r="BB119" t="s">
        <v>1208</v>
      </c>
      <c r="BC119" t="s">
        <v>174</v>
      </c>
      <c r="BD119" t="s">
        <v>1172</v>
      </c>
      <c r="BE119" t="s">
        <v>124</v>
      </c>
      <c r="BF119" t="s">
        <v>12250</v>
      </c>
      <c r="BG119" t="s">
        <v>21667</v>
      </c>
      <c r="BH119" t="s">
        <v>127</v>
      </c>
      <c r="BI119" t="s">
        <v>22172</v>
      </c>
      <c r="BJ119" t="s">
        <v>5250</v>
      </c>
      <c r="BK119" t="s">
        <v>22173</v>
      </c>
      <c r="BL119" t="s">
        <v>22167</v>
      </c>
      <c r="BM119" t="s">
        <v>1917</v>
      </c>
      <c r="BN119" t="s">
        <v>180</v>
      </c>
      <c r="BO119" t="s">
        <v>1918</v>
      </c>
      <c r="BP119" t="s">
        <v>1919</v>
      </c>
      <c r="BQ119" t="s">
        <v>7515</v>
      </c>
      <c r="BS119" t="s">
        <v>22174</v>
      </c>
      <c r="BT119" t="s">
        <v>5253</v>
      </c>
      <c r="BU119" t="s">
        <v>354</v>
      </c>
      <c r="BV119" t="s">
        <v>5256</v>
      </c>
      <c r="BW119" t="s">
        <v>5255</v>
      </c>
      <c r="BX119" t="s">
        <v>5256</v>
      </c>
      <c r="BY119" t="s">
        <v>5253</v>
      </c>
      <c r="BZ119" t="s">
        <v>5256</v>
      </c>
      <c r="CA119" t="s">
        <v>5255</v>
      </c>
      <c r="CB119" t="s">
        <v>5253</v>
      </c>
      <c r="CC119" t="s">
        <v>5256</v>
      </c>
      <c r="CD119" t="s">
        <v>5255</v>
      </c>
      <c r="CE119" t="s">
        <v>102</v>
      </c>
      <c r="CF119" t="s">
        <v>15360</v>
      </c>
      <c r="CH119" t="s">
        <v>5262</v>
      </c>
      <c r="CJ119" t="s">
        <v>5248</v>
      </c>
      <c r="CK119" t="s">
        <v>1208</v>
      </c>
      <c r="CL119" t="s">
        <v>5262</v>
      </c>
      <c r="CN119" t="s">
        <v>5263</v>
      </c>
      <c r="CO119" t="s">
        <v>5261</v>
      </c>
    </row>
    <row r="120" spans="1:93" hidden="1">
      <c r="A120" t="s">
        <v>149</v>
      </c>
      <c r="B120">
        <v>3286324</v>
      </c>
      <c r="C120" t="s">
        <v>5313</v>
      </c>
      <c r="D120" t="s">
        <v>21661</v>
      </c>
      <c r="E120" t="s">
        <v>25914</v>
      </c>
      <c r="F120" t="s">
        <v>3549</v>
      </c>
      <c r="G120" t="s">
        <v>98</v>
      </c>
      <c r="H120" t="s">
        <v>26470</v>
      </c>
      <c r="I120" t="s">
        <v>100</v>
      </c>
      <c r="J120">
        <v>2020993</v>
      </c>
      <c r="K120">
        <v>2249112</v>
      </c>
      <c r="L120">
        <v>753663</v>
      </c>
      <c r="M120">
        <v>1013</v>
      </c>
      <c r="N120" t="s">
        <v>11865</v>
      </c>
      <c r="O120">
        <v>0</v>
      </c>
      <c r="P120">
        <v>0</v>
      </c>
      <c r="R120">
        <v>1267330</v>
      </c>
      <c r="S120">
        <v>869</v>
      </c>
      <c r="T120" t="s">
        <v>26471</v>
      </c>
      <c r="U120" t="s">
        <v>102</v>
      </c>
      <c r="V120" t="s">
        <v>103</v>
      </c>
      <c r="W120" t="s">
        <v>398</v>
      </c>
      <c r="Y120" t="s">
        <v>20023</v>
      </c>
      <c r="Z120" t="s">
        <v>26472</v>
      </c>
      <c r="AA120" t="s">
        <v>23352</v>
      </c>
      <c r="AB120" t="s">
        <v>26472</v>
      </c>
      <c r="AC120" t="s">
        <v>21945</v>
      </c>
      <c r="AD120" t="s">
        <v>26473</v>
      </c>
      <c r="AE120" t="s">
        <v>109</v>
      </c>
      <c r="AF120" t="s">
        <v>102</v>
      </c>
      <c r="AG120" t="s">
        <v>102</v>
      </c>
      <c r="AJ120" t="s">
        <v>102</v>
      </c>
      <c r="AK120" t="s">
        <v>102</v>
      </c>
      <c r="AL120" t="s">
        <v>102</v>
      </c>
      <c r="AM120" t="s">
        <v>20584</v>
      </c>
      <c r="AN120" t="s">
        <v>20584</v>
      </c>
      <c r="AS120" t="s">
        <v>318</v>
      </c>
      <c r="AT120" t="s">
        <v>118</v>
      </c>
      <c r="AU120" t="s">
        <v>102</v>
      </c>
      <c r="AV120" t="s">
        <v>119</v>
      </c>
      <c r="AY120" t="s">
        <v>250</v>
      </c>
      <c r="AZ120" t="s">
        <v>120</v>
      </c>
      <c r="BA120" t="s">
        <v>920</v>
      </c>
      <c r="BB120" t="s">
        <v>211</v>
      </c>
      <c r="BC120" t="s">
        <v>212</v>
      </c>
      <c r="BD120" t="s">
        <v>213</v>
      </c>
      <c r="BE120" t="s">
        <v>124</v>
      </c>
      <c r="BF120" t="s">
        <v>19143</v>
      </c>
      <c r="BG120" t="s">
        <v>21806</v>
      </c>
      <c r="BH120" t="s">
        <v>127</v>
      </c>
      <c r="BI120" t="s">
        <v>26474</v>
      </c>
      <c r="BJ120" t="s">
        <v>5332</v>
      </c>
      <c r="BK120" t="s">
        <v>26475</v>
      </c>
      <c r="BL120" t="s">
        <v>25914</v>
      </c>
      <c r="BM120" t="s">
        <v>866</v>
      </c>
      <c r="BN120" t="s">
        <v>180</v>
      </c>
      <c r="BO120" t="s">
        <v>867</v>
      </c>
      <c r="BP120" t="s">
        <v>868</v>
      </c>
      <c r="BQ120" t="s">
        <v>2151</v>
      </c>
      <c r="BS120" t="s">
        <v>26476</v>
      </c>
      <c r="BT120" t="s">
        <v>26477</v>
      </c>
      <c r="BU120" t="s">
        <v>138</v>
      </c>
      <c r="BV120" t="s">
        <v>5338</v>
      </c>
      <c r="BW120" t="s">
        <v>26478</v>
      </c>
      <c r="BX120" t="s">
        <v>5338</v>
      </c>
      <c r="BY120" t="s">
        <v>26477</v>
      </c>
      <c r="BZ120" t="s">
        <v>26479</v>
      </c>
      <c r="CA120" t="s">
        <v>26478</v>
      </c>
      <c r="CB120" t="s">
        <v>5342</v>
      </c>
      <c r="CC120" t="s">
        <v>26480</v>
      </c>
      <c r="CD120" t="s">
        <v>26478</v>
      </c>
      <c r="CE120" t="s">
        <v>102</v>
      </c>
      <c r="CF120" t="s">
        <v>5344</v>
      </c>
      <c r="CH120" t="s">
        <v>5392</v>
      </c>
      <c r="CJ120" t="s">
        <v>920</v>
      </c>
      <c r="CK120" t="s">
        <v>211</v>
      </c>
      <c r="CL120" t="s">
        <v>5392</v>
      </c>
      <c r="CM120" t="s">
        <v>5346</v>
      </c>
      <c r="CN120" t="s">
        <v>5344</v>
      </c>
      <c r="CO120" t="s">
        <v>5344</v>
      </c>
    </row>
    <row r="121" spans="1:93" hidden="1">
      <c r="A121" t="s">
        <v>149</v>
      </c>
      <c r="B121">
        <v>3292556</v>
      </c>
      <c r="C121" t="s">
        <v>5347</v>
      </c>
      <c r="D121" t="s">
        <v>21661</v>
      </c>
      <c r="E121" t="s">
        <v>21784</v>
      </c>
      <c r="F121" t="s">
        <v>97</v>
      </c>
      <c r="G121" t="s">
        <v>98</v>
      </c>
      <c r="H121" t="s">
        <v>23757</v>
      </c>
      <c r="I121" t="s">
        <v>100</v>
      </c>
      <c r="J121">
        <v>519474</v>
      </c>
      <c r="K121">
        <v>519474</v>
      </c>
      <c r="L121">
        <v>519474</v>
      </c>
      <c r="M121">
        <v>737</v>
      </c>
      <c r="N121" t="s">
        <v>23758</v>
      </c>
      <c r="O121">
        <v>0</v>
      </c>
      <c r="P121">
        <v>0</v>
      </c>
      <c r="R121">
        <v>0</v>
      </c>
      <c r="S121">
        <v>0</v>
      </c>
      <c r="U121" t="s">
        <v>102</v>
      </c>
      <c r="V121" t="s">
        <v>103</v>
      </c>
      <c r="W121" t="s">
        <v>104</v>
      </c>
      <c r="Y121" t="s">
        <v>19143</v>
      </c>
      <c r="Z121" t="s">
        <v>23759</v>
      </c>
      <c r="AA121" t="s">
        <v>21762</v>
      </c>
      <c r="AB121" t="s">
        <v>23759</v>
      </c>
      <c r="AC121" t="s">
        <v>109</v>
      </c>
      <c r="AD121" t="s">
        <v>102</v>
      </c>
      <c r="AE121" t="s">
        <v>109</v>
      </c>
      <c r="AF121" t="s">
        <v>102</v>
      </c>
      <c r="AG121" t="s">
        <v>102</v>
      </c>
      <c r="AJ121" t="s">
        <v>102</v>
      </c>
      <c r="AK121" t="s">
        <v>102</v>
      </c>
      <c r="AL121" t="s">
        <v>102</v>
      </c>
      <c r="AM121" t="s">
        <v>23760</v>
      </c>
      <c r="AN121" t="s">
        <v>23760</v>
      </c>
      <c r="AS121" t="s">
        <v>318</v>
      </c>
      <c r="AT121" t="s">
        <v>118</v>
      </c>
      <c r="AU121" t="s">
        <v>102</v>
      </c>
      <c r="AV121" t="s">
        <v>119</v>
      </c>
      <c r="AZ121" t="s">
        <v>120</v>
      </c>
      <c r="BA121" t="s">
        <v>4153</v>
      </c>
      <c r="BB121" t="s">
        <v>320</v>
      </c>
      <c r="BC121" t="s">
        <v>122</v>
      </c>
      <c r="BD121" t="s">
        <v>123</v>
      </c>
      <c r="BE121" t="s">
        <v>124</v>
      </c>
      <c r="BF121" t="s">
        <v>12250</v>
      </c>
      <c r="BG121" t="s">
        <v>21667</v>
      </c>
      <c r="BH121" t="s">
        <v>127</v>
      </c>
      <c r="BI121" t="s">
        <v>23761</v>
      </c>
      <c r="BJ121" t="s">
        <v>5358</v>
      </c>
      <c r="BK121" t="s">
        <v>23762</v>
      </c>
      <c r="BL121" t="s">
        <v>21784</v>
      </c>
      <c r="BM121" t="s">
        <v>8788</v>
      </c>
      <c r="BN121" t="s">
        <v>180</v>
      </c>
      <c r="BO121" t="s">
        <v>8789</v>
      </c>
      <c r="BP121" t="s">
        <v>8790</v>
      </c>
      <c r="BQ121" t="s">
        <v>1006</v>
      </c>
      <c r="BS121" t="s">
        <v>23763</v>
      </c>
      <c r="BT121" t="s">
        <v>15410</v>
      </c>
      <c r="BU121" t="s">
        <v>598</v>
      </c>
      <c r="BV121" t="s">
        <v>15411</v>
      </c>
      <c r="BW121" t="s">
        <v>15412</v>
      </c>
      <c r="BX121" t="s">
        <v>5364</v>
      </c>
      <c r="BY121" t="s">
        <v>15410</v>
      </c>
      <c r="BZ121" t="s">
        <v>23764</v>
      </c>
      <c r="CA121" t="s">
        <v>15412</v>
      </c>
      <c r="CB121" t="s">
        <v>15410</v>
      </c>
      <c r="CC121" t="s">
        <v>23764</v>
      </c>
      <c r="CD121" t="s">
        <v>15412</v>
      </c>
      <c r="CE121" t="s">
        <v>102</v>
      </c>
      <c r="CF121" t="s">
        <v>5365</v>
      </c>
      <c r="CH121" t="s">
        <v>5366</v>
      </c>
      <c r="CJ121" t="s">
        <v>4153</v>
      </c>
      <c r="CK121" t="s">
        <v>320</v>
      </c>
      <c r="CL121" t="s">
        <v>5366</v>
      </c>
      <c r="CN121" t="s">
        <v>5365</v>
      </c>
      <c r="CO121" t="s">
        <v>5365</v>
      </c>
    </row>
    <row r="122" spans="1:93" hidden="1">
      <c r="A122" t="s">
        <v>495</v>
      </c>
      <c r="B122">
        <v>3302667</v>
      </c>
      <c r="C122" t="s">
        <v>5394</v>
      </c>
      <c r="D122" t="s">
        <v>21661</v>
      </c>
      <c r="E122" t="s">
        <v>26118</v>
      </c>
      <c r="F122" t="s">
        <v>675</v>
      </c>
      <c r="G122" t="s">
        <v>98</v>
      </c>
      <c r="H122" t="s">
        <v>26119</v>
      </c>
      <c r="I122" t="s">
        <v>100</v>
      </c>
      <c r="J122">
        <v>591327</v>
      </c>
      <c r="K122">
        <v>591327</v>
      </c>
      <c r="L122">
        <v>67500</v>
      </c>
      <c r="M122">
        <v>450</v>
      </c>
      <c r="N122" t="s">
        <v>24049</v>
      </c>
      <c r="O122">
        <v>523827</v>
      </c>
      <c r="P122">
        <v>505</v>
      </c>
      <c r="Q122" t="s">
        <v>20064</v>
      </c>
      <c r="R122">
        <v>0</v>
      </c>
      <c r="S122">
        <v>0</v>
      </c>
      <c r="U122" t="s">
        <v>102</v>
      </c>
      <c r="V122" t="s">
        <v>103</v>
      </c>
      <c r="W122" t="s">
        <v>104</v>
      </c>
      <c r="Y122" t="s">
        <v>26120</v>
      </c>
      <c r="Z122" t="s">
        <v>26121</v>
      </c>
      <c r="AA122" t="s">
        <v>26122</v>
      </c>
      <c r="AB122" t="s">
        <v>26123</v>
      </c>
      <c r="AC122" t="s">
        <v>109</v>
      </c>
      <c r="AD122" t="s">
        <v>102</v>
      </c>
      <c r="AE122" t="s">
        <v>109</v>
      </c>
      <c r="AF122" t="s">
        <v>102</v>
      </c>
      <c r="AG122" t="s">
        <v>102</v>
      </c>
      <c r="AH122" t="s">
        <v>13131</v>
      </c>
      <c r="AI122" t="s">
        <v>13131</v>
      </c>
      <c r="AJ122" t="s">
        <v>26124</v>
      </c>
      <c r="AK122" t="s">
        <v>25072</v>
      </c>
      <c r="AL122" t="s">
        <v>26125</v>
      </c>
      <c r="AM122" t="s">
        <v>26126</v>
      </c>
      <c r="AN122" t="s">
        <v>26127</v>
      </c>
      <c r="AO122" t="s">
        <v>102</v>
      </c>
      <c r="AP122" t="s">
        <v>102</v>
      </c>
      <c r="AQ122" t="s">
        <v>102</v>
      </c>
      <c r="AR122" t="s">
        <v>2760</v>
      </c>
      <c r="AS122" t="s">
        <v>247</v>
      </c>
      <c r="AT122" t="s">
        <v>118</v>
      </c>
      <c r="AU122" t="s">
        <v>655</v>
      </c>
      <c r="AV122" t="s">
        <v>119</v>
      </c>
      <c r="AW122" t="s">
        <v>170</v>
      </c>
      <c r="AX122" t="s">
        <v>118</v>
      </c>
      <c r="AZ122" t="s">
        <v>120</v>
      </c>
      <c r="BA122" t="s">
        <v>729</v>
      </c>
      <c r="BB122" t="s">
        <v>730</v>
      </c>
      <c r="BC122" t="s">
        <v>622</v>
      </c>
      <c r="BD122" t="s">
        <v>730</v>
      </c>
      <c r="BE122" t="s">
        <v>124</v>
      </c>
      <c r="BF122" t="s">
        <v>12250</v>
      </c>
      <c r="BG122" t="s">
        <v>21667</v>
      </c>
      <c r="BH122" t="s">
        <v>127</v>
      </c>
      <c r="BI122" t="s">
        <v>26128</v>
      </c>
      <c r="BJ122" t="s">
        <v>5403</v>
      </c>
      <c r="BK122" t="s">
        <v>23541</v>
      </c>
      <c r="BL122" t="s">
        <v>26118</v>
      </c>
      <c r="BM122" t="s">
        <v>734</v>
      </c>
      <c r="BN122" t="s">
        <v>350</v>
      </c>
      <c r="BO122" t="s">
        <v>735</v>
      </c>
      <c r="BP122" t="s">
        <v>736</v>
      </c>
      <c r="BQ122" t="s">
        <v>737</v>
      </c>
      <c r="BS122" t="s">
        <v>26129</v>
      </c>
      <c r="BT122" t="s">
        <v>23542</v>
      </c>
      <c r="BU122" t="s">
        <v>4416</v>
      </c>
      <c r="BV122" t="s">
        <v>26130</v>
      </c>
      <c r="BW122" t="s">
        <v>5411</v>
      </c>
      <c r="BX122" t="s">
        <v>5409</v>
      </c>
      <c r="BY122" t="s">
        <v>23542</v>
      </c>
      <c r="BZ122" t="s">
        <v>5407</v>
      </c>
      <c r="CA122" t="s">
        <v>5411</v>
      </c>
      <c r="CB122" t="s">
        <v>23542</v>
      </c>
      <c r="CC122" t="s">
        <v>5407</v>
      </c>
      <c r="CD122" t="s">
        <v>5411</v>
      </c>
      <c r="CE122" t="s">
        <v>5412</v>
      </c>
      <c r="CF122" t="s">
        <v>15467</v>
      </c>
      <c r="CH122" t="s">
        <v>3970</v>
      </c>
      <c r="CI122" t="s">
        <v>15468</v>
      </c>
      <c r="CJ122" t="s">
        <v>729</v>
      </c>
      <c r="CK122" t="s">
        <v>730</v>
      </c>
      <c r="CL122" t="s">
        <v>3970</v>
      </c>
      <c r="CM122" t="s">
        <v>5414</v>
      </c>
      <c r="CN122" t="s">
        <v>5413</v>
      </c>
      <c r="CO122" t="s">
        <v>5413</v>
      </c>
    </row>
    <row r="123" spans="1:93" hidden="1">
      <c r="A123" t="s">
        <v>149</v>
      </c>
      <c r="B123">
        <v>3303259</v>
      </c>
      <c r="C123" t="s">
        <v>5415</v>
      </c>
      <c r="D123" t="s">
        <v>21661</v>
      </c>
      <c r="E123" t="s">
        <v>13386</v>
      </c>
      <c r="F123" t="s">
        <v>97</v>
      </c>
      <c r="G123" t="s">
        <v>98</v>
      </c>
      <c r="H123" t="s">
        <v>22175</v>
      </c>
      <c r="I123" t="s">
        <v>100</v>
      </c>
      <c r="J123">
        <v>123207</v>
      </c>
      <c r="K123">
        <v>123207</v>
      </c>
      <c r="L123">
        <v>123207</v>
      </c>
      <c r="M123">
        <v>140</v>
      </c>
      <c r="N123" t="s">
        <v>12942</v>
      </c>
      <c r="O123">
        <v>0</v>
      </c>
      <c r="P123">
        <v>0</v>
      </c>
      <c r="R123">
        <v>0</v>
      </c>
      <c r="S123">
        <v>0</v>
      </c>
      <c r="U123" t="s">
        <v>102</v>
      </c>
      <c r="V123" t="s">
        <v>103</v>
      </c>
      <c r="W123" t="s">
        <v>398</v>
      </c>
      <c r="Y123" t="s">
        <v>21732</v>
      </c>
      <c r="Z123" t="s">
        <v>22176</v>
      </c>
      <c r="AA123" t="s">
        <v>22177</v>
      </c>
      <c r="AB123" t="s">
        <v>22178</v>
      </c>
      <c r="AC123" t="s">
        <v>21666</v>
      </c>
      <c r="AD123" t="s">
        <v>22178</v>
      </c>
      <c r="AE123" t="s">
        <v>109</v>
      </c>
      <c r="AF123" t="s">
        <v>102</v>
      </c>
      <c r="AG123" t="s">
        <v>102</v>
      </c>
      <c r="AJ123" t="s">
        <v>102</v>
      </c>
      <c r="AK123" t="s">
        <v>102</v>
      </c>
      <c r="AL123" t="s">
        <v>102</v>
      </c>
      <c r="AM123" t="s">
        <v>13068</v>
      </c>
      <c r="AN123" t="s">
        <v>13069</v>
      </c>
      <c r="AR123" t="s">
        <v>169</v>
      </c>
      <c r="AS123" t="s">
        <v>117</v>
      </c>
      <c r="AT123" t="s">
        <v>118</v>
      </c>
      <c r="AU123" t="s">
        <v>102</v>
      </c>
      <c r="AV123" t="s">
        <v>119</v>
      </c>
      <c r="AZ123" t="s">
        <v>120</v>
      </c>
      <c r="BA123" t="s">
        <v>5423</v>
      </c>
      <c r="BB123" t="s">
        <v>2543</v>
      </c>
      <c r="BC123" t="s">
        <v>122</v>
      </c>
      <c r="BD123" t="s">
        <v>557</v>
      </c>
      <c r="BE123" t="s">
        <v>124</v>
      </c>
      <c r="BF123" t="s">
        <v>12250</v>
      </c>
      <c r="BG123" t="s">
        <v>21667</v>
      </c>
      <c r="BH123" t="s">
        <v>127</v>
      </c>
      <c r="BI123" t="s">
        <v>22179</v>
      </c>
      <c r="BJ123" t="s">
        <v>5425</v>
      </c>
      <c r="BK123" t="s">
        <v>22180</v>
      </c>
      <c r="BL123" t="s">
        <v>13386</v>
      </c>
      <c r="BM123" t="s">
        <v>12743</v>
      </c>
      <c r="BN123" t="s">
        <v>350</v>
      </c>
      <c r="BO123" t="s">
        <v>12744</v>
      </c>
      <c r="BP123" t="s">
        <v>12745</v>
      </c>
      <c r="BQ123" t="s">
        <v>1075</v>
      </c>
      <c r="BS123" t="s">
        <v>22181</v>
      </c>
      <c r="BT123" t="s">
        <v>5428</v>
      </c>
      <c r="BU123" t="s">
        <v>138</v>
      </c>
      <c r="BV123" t="s">
        <v>5429</v>
      </c>
      <c r="BW123" t="s">
        <v>5430</v>
      </c>
      <c r="BX123" t="s">
        <v>5431</v>
      </c>
      <c r="BY123" t="s">
        <v>5428</v>
      </c>
      <c r="BZ123" t="s">
        <v>22182</v>
      </c>
      <c r="CA123" t="s">
        <v>22183</v>
      </c>
      <c r="CB123" t="s">
        <v>22184</v>
      </c>
      <c r="CC123" t="s">
        <v>22185</v>
      </c>
      <c r="CD123" t="s">
        <v>22183</v>
      </c>
      <c r="CE123" t="s">
        <v>573</v>
      </c>
      <c r="CF123" t="s">
        <v>2831</v>
      </c>
      <c r="CH123" t="s">
        <v>5433</v>
      </c>
      <c r="CI123" t="s">
        <v>5432</v>
      </c>
      <c r="CJ123" t="s">
        <v>5423</v>
      </c>
      <c r="CK123" t="s">
        <v>2543</v>
      </c>
      <c r="CL123" t="s">
        <v>5433</v>
      </c>
      <c r="CN123" t="s">
        <v>5432</v>
      </c>
      <c r="CO123" t="s">
        <v>5432</v>
      </c>
    </row>
    <row r="124" spans="1:93" hidden="1">
      <c r="A124" t="s">
        <v>93</v>
      </c>
      <c r="B124">
        <v>3303311</v>
      </c>
      <c r="C124" t="s">
        <v>15497</v>
      </c>
      <c r="D124" t="s">
        <v>21661</v>
      </c>
      <c r="E124" t="s">
        <v>14415</v>
      </c>
      <c r="F124" t="s">
        <v>97</v>
      </c>
      <c r="G124" t="s">
        <v>98</v>
      </c>
      <c r="H124" t="s">
        <v>22186</v>
      </c>
      <c r="I124" t="s">
        <v>100</v>
      </c>
      <c r="J124">
        <v>185576</v>
      </c>
      <c r="K124">
        <v>185576</v>
      </c>
      <c r="L124">
        <v>185576</v>
      </c>
      <c r="M124">
        <v>158</v>
      </c>
      <c r="N124" t="s">
        <v>22187</v>
      </c>
      <c r="O124">
        <v>0</v>
      </c>
      <c r="P124">
        <v>0</v>
      </c>
      <c r="R124">
        <v>0</v>
      </c>
      <c r="S124">
        <v>0</v>
      </c>
      <c r="U124" t="s">
        <v>102</v>
      </c>
      <c r="V124" t="s">
        <v>103</v>
      </c>
      <c r="W124" t="s">
        <v>104</v>
      </c>
      <c r="Y124" t="s">
        <v>22188</v>
      </c>
      <c r="Z124" t="s">
        <v>22189</v>
      </c>
      <c r="AA124" t="s">
        <v>22190</v>
      </c>
      <c r="AB124" t="s">
        <v>22189</v>
      </c>
      <c r="AC124" t="s">
        <v>109</v>
      </c>
      <c r="AD124" t="s">
        <v>102</v>
      </c>
      <c r="AE124" t="s">
        <v>109</v>
      </c>
      <c r="AF124" t="s">
        <v>102</v>
      </c>
      <c r="AG124" t="s">
        <v>102</v>
      </c>
      <c r="AJ124" t="s">
        <v>102</v>
      </c>
      <c r="AK124" t="s">
        <v>102</v>
      </c>
      <c r="AL124" t="s">
        <v>102</v>
      </c>
      <c r="AM124" t="s">
        <v>22191</v>
      </c>
      <c r="AN124" t="s">
        <v>22192</v>
      </c>
      <c r="AR124" t="s">
        <v>169</v>
      </c>
      <c r="AS124" t="s">
        <v>318</v>
      </c>
      <c r="AT124" t="s">
        <v>118</v>
      </c>
      <c r="AU124" t="s">
        <v>102</v>
      </c>
      <c r="AV124" t="s">
        <v>119</v>
      </c>
      <c r="AZ124" t="s">
        <v>120</v>
      </c>
      <c r="BA124" t="s">
        <v>15501</v>
      </c>
      <c r="BB124" t="s">
        <v>2543</v>
      </c>
      <c r="BC124" t="s">
        <v>122</v>
      </c>
      <c r="BD124" t="s">
        <v>557</v>
      </c>
      <c r="BE124" t="s">
        <v>124</v>
      </c>
      <c r="BF124" t="s">
        <v>12250</v>
      </c>
      <c r="BG124" t="s">
        <v>21667</v>
      </c>
      <c r="BH124" t="s">
        <v>127</v>
      </c>
      <c r="BI124" t="s">
        <v>22193</v>
      </c>
      <c r="BJ124" t="s">
        <v>15503</v>
      </c>
      <c r="BK124" t="s">
        <v>15504</v>
      </c>
      <c r="BL124" t="s">
        <v>14415</v>
      </c>
      <c r="BM124" t="s">
        <v>13402</v>
      </c>
      <c r="BN124" t="s">
        <v>350</v>
      </c>
      <c r="BO124" t="s">
        <v>13403</v>
      </c>
      <c r="BP124" t="s">
        <v>13404</v>
      </c>
      <c r="BQ124" t="s">
        <v>13405</v>
      </c>
      <c r="BS124" t="s">
        <v>22194</v>
      </c>
      <c r="BT124" t="s">
        <v>15506</v>
      </c>
      <c r="BU124" t="s">
        <v>138</v>
      </c>
      <c r="BV124" t="s">
        <v>15507</v>
      </c>
      <c r="BW124" t="s">
        <v>15508</v>
      </c>
      <c r="BX124" t="s">
        <v>15509</v>
      </c>
      <c r="BY124" t="s">
        <v>15510</v>
      </c>
      <c r="BZ124" t="s">
        <v>15507</v>
      </c>
      <c r="CA124" t="s">
        <v>15508</v>
      </c>
      <c r="CB124" t="s">
        <v>22195</v>
      </c>
      <c r="CC124" t="s">
        <v>22196</v>
      </c>
      <c r="CD124" t="s">
        <v>22197</v>
      </c>
      <c r="CE124" t="s">
        <v>15511</v>
      </c>
      <c r="CF124" t="s">
        <v>15512</v>
      </c>
      <c r="CH124" t="s">
        <v>15513</v>
      </c>
      <c r="CJ124" t="s">
        <v>15501</v>
      </c>
      <c r="CK124" t="s">
        <v>2543</v>
      </c>
      <c r="CL124" t="s">
        <v>15513</v>
      </c>
      <c r="CN124" t="s">
        <v>15512</v>
      </c>
      <c r="CO124" t="s">
        <v>15512</v>
      </c>
    </row>
    <row r="125" spans="1:93" hidden="1">
      <c r="A125" t="s">
        <v>149</v>
      </c>
      <c r="B125">
        <v>3308610</v>
      </c>
      <c r="C125" t="s">
        <v>5474</v>
      </c>
      <c r="D125" t="s">
        <v>21661</v>
      </c>
      <c r="E125" t="s">
        <v>18517</v>
      </c>
      <c r="F125" t="s">
        <v>152</v>
      </c>
      <c r="G125" t="s">
        <v>98</v>
      </c>
      <c r="H125" t="s">
        <v>22198</v>
      </c>
      <c r="I125" t="s">
        <v>100</v>
      </c>
      <c r="J125">
        <v>1459490</v>
      </c>
      <c r="K125">
        <v>1459490</v>
      </c>
      <c r="L125">
        <v>0</v>
      </c>
      <c r="M125">
        <v>0</v>
      </c>
      <c r="O125">
        <v>1459490</v>
      </c>
      <c r="P125">
        <v>940</v>
      </c>
      <c r="Q125" t="s">
        <v>22199</v>
      </c>
      <c r="R125">
        <v>0</v>
      </c>
      <c r="S125">
        <v>0</v>
      </c>
      <c r="U125" t="s">
        <v>102</v>
      </c>
      <c r="V125" t="s">
        <v>103</v>
      </c>
      <c r="W125" t="s">
        <v>155</v>
      </c>
      <c r="Y125" t="s">
        <v>22200</v>
      </c>
      <c r="Z125" t="s">
        <v>22201</v>
      </c>
      <c r="AA125" t="s">
        <v>22202</v>
      </c>
      <c r="AB125" t="s">
        <v>22201</v>
      </c>
      <c r="AC125" t="s">
        <v>22203</v>
      </c>
      <c r="AD125" t="s">
        <v>22201</v>
      </c>
      <c r="AE125" t="s">
        <v>22204</v>
      </c>
      <c r="AF125" t="s">
        <v>22201</v>
      </c>
      <c r="AG125" t="s">
        <v>102</v>
      </c>
      <c r="AJ125" t="s">
        <v>102</v>
      </c>
      <c r="AK125" t="s">
        <v>102</v>
      </c>
      <c r="AL125" t="s">
        <v>102</v>
      </c>
      <c r="AM125" t="s">
        <v>5482</v>
      </c>
      <c r="AN125" t="s">
        <v>5482</v>
      </c>
      <c r="AS125" t="s">
        <v>102</v>
      </c>
      <c r="AU125" t="s">
        <v>155</v>
      </c>
      <c r="AV125" t="s">
        <v>447</v>
      </c>
      <c r="AW125" t="s">
        <v>170</v>
      </c>
      <c r="AX125" t="s">
        <v>118</v>
      </c>
      <c r="AZ125" t="s">
        <v>120</v>
      </c>
      <c r="BA125" t="s">
        <v>5483</v>
      </c>
      <c r="BB125" t="s">
        <v>556</v>
      </c>
      <c r="BC125" t="s">
        <v>122</v>
      </c>
      <c r="BD125" t="s">
        <v>557</v>
      </c>
      <c r="BE125" t="s">
        <v>124</v>
      </c>
      <c r="BF125" t="s">
        <v>12250</v>
      </c>
      <c r="BG125" t="s">
        <v>21667</v>
      </c>
      <c r="BH125" t="s">
        <v>127</v>
      </c>
      <c r="BI125" t="s">
        <v>22205</v>
      </c>
      <c r="BJ125" t="s">
        <v>5485</v>
      </c>
      <c r="BK125" t="s">
        <v>22206</v>
      </c>
      <c r="BL125" t="s">
        <v>18517</v>
      </c>
      <c r="BM125" t="s">
        <v>12743</v>
      </c>
      <c r="BN125" t="s">
        <v>350</v>
      </c>
      <c r="BO125" t="s">
        <v>12744</v>
      </c>
      <c r="BP125" t="s">
        <v>12745</v>
      </c>
      <c r="BQ125" t="s">
        <v>1075</v>
      </c>
      <c r="BS125" t="s">
        <v>22207</v>
      </c>
      <c r="BT125" t="s">
        <v>15531</v>
      </c>
      <c r="BU125" t="s">
        <v>354</v>
      </c>
      <c r="BV125" t="s">
        <v>15532</v>
      </c>
      <c r="BW125" t="s">
        <v>15533</v>
      </c>
      <c r="BX125" t="s">
        <v>5491</v>
      </c>
      <c r="BY125" t="s">
        <v>15531</v>
      </c>
      <c r="BZ125" t="s">
        <v>15532</v>
      </c>
      <c r="CA125" t="s">
        <v>15533</v>
      </c>
      <c r="CB125" t="s">
        <v>15531</v>
      </c>
      <c r="CC125" t="s">
        <v>15532</v>
      </c>
      <c r="CD125" t="s">
        <v>15533</v>
      </c>
      <c r="CE125" t="s">
        <v>5492</v>
      </c>
      <c r="CF125" t="s">
        <v>15534</v>
      </c>
      <c r="CH125" t="s">
        <v>5494</v>
      </c>
      <c r="CI125" t="s">
        <v>15535</v>
      </c>
      <c r="CJ125" t="s">
        <v>5483</v>
      </c>
      <c r="CK125" t="s">
        <v>556</v>
      </c>
      <c r="CL125" t="s">
        <v>5494</v>
      </c>
      <c r="CM125" t="s">
        <v>5495</v>
      </c>
      <c r="CN125" t="s">
        <v>5493</v>
      </c>
      <c r="CO125" t="s">
        <v>5493</v>
      </c>
    </row>
    <row r="126" spans="1:93" hidden="1">
      <c r="A126" t="s">
        <v>93</v>
      </c>
      <c r="B126">
        <v>3316343</v>
      </c>
      <c r="C126" t="s">
        <v>15536</v>
      </c>
      <c r="D126" t="s">
        <v>21661</v>
      </c>
      <c r="E126" t="s">
        <v>21711</v>
      </c>
      <c r="F126" t="s">
        <v>152</v>
      </c>
      <c r="G126" t="s">
        <v>98</v>
      </c>
      <c r="H126" t="s">
        <v>22208</v>
      </c>
      <c r="I126" t="s">
        <v>100</v>
      </c>
      <c r="J126">
        <v>452572</v>
      </c>
      <c r="K126">
        <v>452572</v>
      </c>
      <c r="L126">
        <v>0</v>
      </c>
      <c r="M126">
        <v>0</v>
      </c>
      <c r="O126">
        <v>452572</v>
      </c>
      <c r="P126">
        <v>362</v>
      </c>
      <c r="Q126" t="s">
        <v>1424</v>
      </c>
      <c r="R126">
        <v>0</v>
      </c>
      <c r="S126">
        <v>0</v>
      </c>
      <c r="U126" t="s">
        <v>102</v>
      </c>
      <c r="V126" t="s">
        <v>103</v>
      </c>
      <c r="W126" t="s">
        <v>398</v>
      </c>
      <c r="Y126" t="s">
        <v>18922</v>
      </c>
      <c r="Z126" t="s">
        <v>22209</v>
      </c>
      <c r="AA126" t="s">
        <v>22210</v>
      </c>
      <c r="AB126" t="s">
        <v>22211</v>
      </c>
      <c r="AC126" t="s">
        <v>22212</v>
      </c>
      <c r="AD126" t="s">
        <v>22211</v>
      </c>
      <c r="AE126" t="s">
        <v>109</v>
      </c>
      <c r="AF126" t="s">
        <v>102</v>
      </c>
      <c r="AG126" t="s">
        <v>102</v>
      </c>
      <c r="AH126" t="s">
        <v>17302</v>
      </c>
      <c r="AI126" t="s">
        <v>17302</v>
      </c>
      <c r="AJ126" t="s">
        <v>22209</v>
      </c>
      <c r="AK126" t="s">
        <v>22213</v>
      </c>
      <c r="AL126" t="s">
        <v>1205</v>
      </c>
      <c r="AM126" t="s">
        <v>1431</v>
      </c>
      <c r="AN126" t="s">
        <v>1431</v>
      </c>
      <c r="AS126" t="s">
        <v>102</v>
      </c>
      <c r="AU126" t="s">
        <v>155</v>
      </c>
      <c r="AV126" t="s">
        <v>447</v>
      </c>
      <c r="AW126" t="s">
        <v>170</v>
      </c>
      <c r="AX126" t="s">
        <v>118</v>
      </c>
      <c r="AZ126" t="s">
        <v>120</v>
      </c>
      <c r="BA126" t="s">
        <v>15542</v>
      </c>
      <c r="BB126" t="s">
        <v>556</v>
      </c>
      <c r="BC126" t="s">
        <v>122</v>
      </c>
      <c r="BD126" t="s">
        <v>557</v>
      </c>
      <c r="BE126" t="s">
        <v>124</v>
      </c>
      <c r="BF126" t="s">
        <v>12250</v>
      </c>
      <c r="BG126" t="s">
        <v>21667</v>
      </c>
      <c r="BH126" t="s">
        <v>127</v>
      </c>
      <c r="BI126" t="s">
        <v>22214</v>
      </c>
      <c r="BJ126" t="s">
        <v>15544</v>
      </c>
      <c r="BK126" t="s">
        <v>22215</v>
      </c>
      <c r="BL126" t="s">
        <v>21711</v>
      </c>
      <c r="BM126" t="s">
        <v>563</v>
      </c>
      <c r="BN126" t="s">
        <v>350</v>
      </c>
      <c r="BO126" t="s">
        <v>564</v>
      </c>
      <c r="BP126" t="s">
        <v>565</v>
      </c>
      <c r="BQ126" t="s">
        <v>563</v>
      </c>
      <c r="BS126" t="s">
        <v>22216</v>
      </c>
      <c r="BT126" t="s">
        <v>15547</v>
      </c>
      <c r="BU126" t="s">
        <v>138</v>
      </c>
      <c r="BV126" t="s">
        <v>15548</v>
      </c>
      <c r="BW126" t="s">
        <v>15549</v>
      </c>
      <c r="BX126" t="s">
        <v>15548</v>
      </c>
      <c r="BY126" t="s">
        <v>15547</v>
      </c>
      <c r="BZ126" t="s">
        <v>22217</v>
      </c>
      <c r="CA126" t="s">
        <v>15549</v>
      </c>
      <c r="CB126" t="s">
        <v>22218</v>
      </c>
      <c r="CC126" t="s">
        <v>15548</v>
      </c>
      <c r="CD126" t="s">
        <v>22219</v>
      </c>
      <c r="CE126" t="s">
        <v>15554</v>
      </c>
      <c r="CF126" t="s">
        <v>15555</v>
      </c>
      <c r="CH126" t="s">
        <v>15556</v>
      </c>
      <c r="CI126" t="s">
        <v>15557</v>
      </c>
      <c r="CJ126" t="s">
        <v>15542</v>
      </c>
      <c r="CK126" t="s">
        <v>556</v>
      </c>
      <c r="CL126" t="s">
        <v>15556</v>
      </c>
      <c r="CN126" t="s">
        <v>15558</v>
      </c>
      <c r="CO126" t="s">
        <v>15558</v>
      </c>
    </row>
    <row r="127" spans="1:93" hidden="1">
      <c r="A127" t="s">
        <v>93</v>
      </c>
      <c r="B127">
        <v>3327620</v>
      </c>
      <c r="C127" t="s">
        <v>15588</v>
      </c>
      <c r="D127" t="s">
        <v>21661</v>
      </c>
      <c r="E127" t="s">
        <v>16007</v>
      </c>
      <c r="F127" t="s">
        <v>152</v>
      </c>
      <c r="G127" t="s">
        <v>98</v>
      </c>
      <c r="H127" t="s">
        <v>22220</v>
      </c>
      <c r="I127" t="s">
        <v>100</v>
      </c>
      <c r="J127">
        <v>2272400</v>
      </c>
      <c r="K127">
        <v>2272400</v>
      </c>
      <c r="L127">
        <v>0</v>
      </c>
      <c r="M127">
        <v>0</v>
      </c>
      <c r="O127">
        <v>2272400</v>
      </c>
      <c r="P127">
        <v>1196</v>
      </c>
      <c r="Q127" t="s">
        <v>13436</v>
      </c>
      <c r="R127">
        <v>0</v>
      </c>
      <c r="S127">
        <v>0</v>
      </c>
      <c r="U127" t="s">
        <v>102</v>
      </c>
      <c r="V127" t="s">
        <v>103</v>
      </c>
      <c r="W127" t="s">
        <v>398</v>
      </c>
      <c r="Y127" t="s">
        <v>12817</v>
      </c>
      <c r="Z127" t="s">
        <v>22221</v>
      </c>
      <c r="AA127" t="s">
        <v>22222</v>
      </c>
      <c r="AB127" t="s">
        <v>22223</v>
      </c>
      <c r="AC127" t="s">
        <v>22224</v>
      </c>
      <c r="AD127" t="s">
        <v>22223</v>
      </c>
      <c r="AE127" t="s">
        <v>109</v>
      </c>
      <c r="AF127" t="s">
        <v>102</v>
      </c>
      <c r="AG127" t="s">
        <v>102</v>
      </c>
      <c r="AH127" t="s">
        <v>15733</v>
      </c>
      <c r="AI127" t="s">
        <v>15733</v>
      </c>
      <c r="AJ127" t="s">
        <v>22221</v>
      </c>
      <c r="AK127" t="s">
        <v>22225</v>
      </c>
      <c r="AL127" t="s">
        <v>22226</v>
      </c>
      <c r="AM127" t="s">
        <v>116</v>
      </c>
      <c r="AN127" t="s">
        <v>116</v>
      </c>
      <c r="AS127" t="s">
        <v>102</v>
      </c>
      <c r="AU127" t="s">
        <v>1758</v>
      </c>
      <c r="AV127" t="s">
        <v>119</v>
      </c>
      <c r="AW127" t="s">
        <v>170</v>
      </c>
      <c r="AX127" t="s">
        <v>118</v>
      </c>
      <c r="AZ127" t="s">
        <v>120</v>
      </c>
      <c r="BA127" t="s">
        <v>555</v>
      </c>
      <c r="BB127" t="s">
        <v>556</v>
      </c>
      <c r="BC127" t="s">
        <v>122</v>
      </c>
      <c r="BD127" t="s">
        <v>557</v>
      </c>
      <c r="BE127" t="s">
        <v>124</v>
      </c>
      <c r="BF127" t="s">
        <v>12250</v>
      </c>
      <c r="BG127" t="s">
        <v>21667</v>
      </c>
      <c r="BH127" t="s">
        <v>127</v>
      </c>
      <c r="BI127" t="s">
        <v>22227</v>
      </c>
      <c r="BJ127" t="s">
        <v>15598</v>
      </c>
      <c r="BK127" t="s">
        <v>22228</v>
      </c>
      <c r="BL127" t="s">
        <v>16007</v>
      </c>
      <c r="BM127" t="s">
        <v>563</v>
      </c>
      <c r="BN127" t="s">
        <v>132</v>
      </c>
      <c r="BO127" t="s">
        <v>564</v>
      </c>
      <c r="BP127" t="s">
        <v>565</v>
      </c>
      <c r="BQ127" t="s">
        <v>563</v>
      </c>
      <c r="BS127" t="s">
        <v>22229</v>
      </c>
      <c r="BT127" t="s">
        <v>22230</v>
      </c>
      <c r="BU127" t="s">
        <v>354</v>
      </c>
      <c r="BV127" t="s">
        <v>15602</v>
      </c>
      <c r="BW127" t="s">
        <v>15603</v>
      </c>
      <c r="BX127" t="s">
        <v>15602</v>
      </c>
      <c r="BY127" t="s">
        <v>22231</v>
      </c>
      <c r="BZ127" t="s">
        <v>15607</v>
      </c>
      <c r="CA127" t="s">
        <v>15605</v>
      </c>
      <c r="CB127" t="s">
        <v>22232</v>
      </c>
      <c r="CC127" t="s">
        <v>15607</v>
      </c>
      <c r="CD127" t="s">
        <v>22233</v>
      </c>
      <c r="CE127" t="s">
        <v>3841</v>
      </c>
      <c r="CF127" t="s">
        <v>22234</v>
      </c>
      <c r="CH127" t="s">
        <v>15609</v>
      </c>
      <c r="CI127" t="s">
        <v>22235</v>
      </c>
      <c r="CJ127" t="s">
        <v>555</v>
      </c>
      <c r="CK127" t="s">
        <v>556</v>
      </c>
      <c r="CL127" t="s">
        <v>15609</v>
      </c>
      <c r="CM127" t="s">
        <v>15610</v>
      </c>
      <c r="CN127" t="s">
        <v>15608</v>
      </c>
      <c r="CO127" t="s">
        <v>15608</v>
      </c>
    </row>
    <row r="128" spans="1:93" hidden="1">
      <c r="A128" t="s">
        <v>93</v>
      </c>
      <c r="B128">
        <v>3328193</v>
      </c>
      <c r="C128" t="s">
        <v>15611</v>
      </c>
      <c r="D128" t="s">
        <v>21661</v>
      </c>
      <c r="E128" t="s">
        <v>23765</v>
      </c>
      <c r="F128" t="s">
        <v>643</v>
      </c>
      <c r="G128" t="s">
        <v>98</v>
      </c>
      <c r="H128" t="s">
        <v>23766</v>
      </c>
      <c r="I128" t="s">
        <v>100</v>
      </c>
      <c r="J128">
        <v>498171</v>
      </c>
      <c r="K128">
        <v>554365</v>
      </c>
      <c r="L128">
        <v>0</v>
      </c>
      <c r="M128">
        <v>0</v>
      </c>
      <c r="O128">
        <v>185983</v>
      </c>
      <c r="P128">
        <v>443</v>
      </c>
      <c r="Q128" t="s">
        <v>23767</v>
      </c>
      <c r="R128">
        <v>312188</v>
      </c>
      <c r="S128">
        <v>307</v>
      </c>
      <c r="T128" t="s">
        <v>3924</v>
      </c>
      <c r="U128" t="s">
        <v>102</v>
      </c>
      <c r="V128" t="s">
        <v>103</v>
      </c>
      <c r="W128" t="s">
        <v>398</v>
      </c>
      <c r="Y128" t="s">
        <v>23768</v>
      </c>
      <c r="Z128" t="s">
        <v>23769</v>
      </c>
      <c r="AA128" t="s">
        <v>23770</v>
      </c>
      <c r="AB128" t="s">
        <v>23771</v>
      </c>
      <c r="AC128" t="s">
        <v>23772</v>
      </c>
      <c r="AD128" t="s">
        <v>23771</v>
      </c>
      <c r="AE128" t="s">
        <v>109</v>
      </c>
      <c r="AF128" t="s">
        <v>102</v>
      </c>
      <c r="AG128" t="s">
        <v>102</v>
      </c>
      <c r="AJ128" t="s">
        <v>23769</v>
      </c>
      <c r="AK128" t="s">
        <v>102</v>
      </c>
      <c r="AL128" t="s">
        <v>23769</v>
      </c>
      <c r="AM128" t="s">
        <v>23773</v>
      </c>
      <c r="AN128" t="s">
        <v>23773</v>
      </c>
      <c r="AS128" t="s">
        <v>102</v>
      </c>
      <c r="AU128" t="s">
        <v>1103</v>
      </c>
      <c r="AV128" t="s">
        <v>119</v>
      </c>
      <c r="AW128" t="s">
        <v>170</v>
      </c>
      <c r="AX128" t="s">
        <v>118</v>
      </c>
      <c r="AY128" t="s">
        <v>250</v>
      </c>
      <c r="AZ128" t="s">
        <v>120</v>
      </c>
      <c r="BA128" t="s">
        <v>5553</v>
      </c>
      <c r="BB128" t="s">
        <v>1171</v>
      </c>
      <c r="BC128" t="s">
        <v>174</v>
      </c>
      <c r="BD128" t="s">
        <v>1172</v>
      </c>
      <c r="BE128" t="s">
        <v>124</v>
      </c>
      <c r="BF128" t="s">
        <v>12250</v>
      </c>
      <c r="BG128" t="s">
        <v>21667</v>
      </c>
      <c r="BH128" t="s">
        <v>127</v>
      </c>
      <c r="BI128" t="s">
        <v>23774</v>
      </c>
      <c r="BJ128" t="s">
        <v>15626</v>
      </c>
      <c r="BK128" t="s">
        <v>23775</v>
      </c>
      <c r="BL128" t="s">
        <v>23765</v>
      </c>
      <c r="BM128" t="s">
        <v>5557</v>
      </c>
      <c r="BN128" t="s">
        <v>180</v>
      </c>
      <c r="BO128" t="s">
        <v>5558</v>
      </c>
      <c r="BP128" t="s">
        <v>5559</v>
      </c>
      <c r="BQ128" t="s">
        <v>5560</v>
      </c>
      <c r="BS128" t="s">
        <v>23776</v>
      </c>
      <c r="BT128" t="s">
        <v>15633</v>
      </c>
      <c r="BU128" t="s">
        <v>354</v>
      </c>
      <c r="BV128" t="s">
        <v>23777</v>
      </c>
      <c r="BW128" t="s">
        <v>15635</v>
      </c>
      <c r="BX128" t="s">
        <v>15636</v>
      </c>
      <c r="BY128" t="s">
        <v>23778</v>
      </c>
      <c r="BZ128" t="s">
        <v>23779</v>
      </c>
      <c r="CA128" t="s">
        <v>23780</v>
      </c>
      <c r="CB128" t="s">
        <v>23778</v>
      </c>
      <c r="CC128" t="s">
        <v>23779</v>
      </c>
      <c r="CD128" t="s">
        <v>23780</v>
      </c>
      <c r="CE128" t="s">
        <v>19663</v>
      </c>
      <c r="CF128" t="s">
        <v>15639</v>
      </c>
      <c r="CH128" t="s">
        <v>15640</v>
      </c>
      <c r="CI128" t="s">
        <v>15639</v>
      </c>
      <c r="CJ128" t="s">
        <v>5553</v>
      </c>
      <c r="CK128" t="s">
        <v>1171</v>
      </c>
      <c r="CL128" t="s">
        <v>15640</v>
      </c>
      <c r="CN128" t="s">
        <v>15641</v>
      </c>
      <c r="CO128" t="s">
        <v>15641</v>
      </c>
    </row>
    <row r="129" spans="1:93">
      <c r="A129" t="s">
        <v>337</v>
      </c>
      <c r="B129">
        <v>3339084</v>
      </c>
      <c r="C129" t="s">
        <v>26131</v>
      </c>
      <c r="D129" t="s">
        <v>21661</v>
      </c>
      <c r="E129" t="s">
        <v>23889</v>
      </c>
      <c r="F129" t="s">
        <v>152</v>
      </c>
      <c r="G129" t="s">
        <v>98</v>
      </c>
      <c r="H129" t="s">
        <v>26132</v>
      </c>
      <c r="I129" t="s">
        <v>100</v>
      </c>
      <c r="J129">
        <v>138602</v>
      </c>
      <c r="K129">
        <v>138602</v>
      </c>
      <c r="L129">
        <v>0</v>
      </c>
      <c r="M129">
        <v>0</v>
      </c>
      <c r="O129">
        <v>138602</v>
      </c>
      <c r="P129">
        <v>105</v>
      </c>
      <c r="Q129" t="s">
        <v>16755</v>
      </c>
      <c r="R129">
        <v>0</v>
      </c>
      <c r="S129">
        <v>0</v>
      </c>
      <c r="U129" t="s">
        <v>102</v>
      </c>
      <c r="V129" t="s">
        <v>103</v>
      </c>
      <c r="W129" t="s">
        <v>104</v>
      </c>
      <c r="Y129" t="s">
        <v>21790</v>
      </c>
      <c r="Z129" t="s">
        <v>26133</v>
      </c>
      <c r="AA129" t="s">
        <v>22387</v>
      </c>
      <c r="AB129" t="s">
        <v>26133</v>
      </c>
      <c r="AC129" t="s">
        <v>109</v>
      </c>
      <c r="AD129" t="s">
        <v>102</v>
      </c>
      <c r="AE129" t="s">
        <v>109</v>
      </c>
      <c r="AF129" t="s">
        <v>102</v>
      </c>
      <c r="AG129" t="s">
        <v>102</v>
      </c>
      <c r="AH129" t="s">
        <v>13662</v>
      </c>
      <c r="AI129" t="s">
        <v>13662</v>
      </c>
      <c r="AJ129" t="s">
        <v>26133</v>
      </c>
      <c r="AK129" t="s">
        <v>26133</v>
      </c>
      <c r="AL129" t="s">
        <v>102</v>
      </c>
      <c r="AM129" t="s">
        <v>22463</v>
      </c>
      <c r="AN129" t="s">
        <v>22463</v>
      </c>
      <c r="AS129" t="s">
        <v>102</v>
      </c>
      <c r="AU129" t="s">
        <v>155</v>
      </c>
      <c r="AV129" t="s">
        <v>447</v>
      </c>
      <c r="AW129" t="s">
        <v>170</v>
      </c>
      <c r="AX129" t="s">
        <v>118</v>
      </c>
      <c r="AZ129" t="s">
        <v>120</v>
      </c>
      <c r="BA129" t="s">
        <v>26134</v>
      </c>
      <c r="BB129" t="s">
        <v>556</v>
      </c>
      <c r="BC129" t="s">
        <v>122</v>
      </c>
      <c r="BD129" t="s">
        <v>557</v>
      </c>
      <c r="BE129" t="s">
        <v>124</v>
      </c>
      <c r="BF129" t="s">
        <v>12250</v>
      </c>
      <c r="BG129" t="s">
        <v>21667</v>
      </c>
      <c r="BH129" t="s">
        <v>127</v>
      </c>
      <c r="BI129" t="s">
        <v>26135</v>
      </c>
      <c r="BJ129" t="s">
        <v>26136</v>
      </c>
      <c r="BK129" t="s">
        <v>26137</v>
      </c>
      <c r="BL129" t="s">
        <v>23889</v>
      </c>
      <c r="BM129" t="s">
        <v>563</v>
      </c>
      <c r="BN129" t="s">
        <v>350</v>
      </c>
      <c r="BO129" t="s">
        <v>564</v>
      </c>
      <c r="BP129" t="s">
        <v>565</v>
      </c>
      <c r="BQ129" t="s">
        <v>563</v>
      </c>
      <c r="BR129" t="s">
        <v>2332</v>
      </c>
      <c r="BS129" t="s">
        <v>26138</v>
      </c>
      <c r="BT129" t="s">
        <v>26139</v>
      </c>
      <c r="BU129" t="s">
        <v>138</v>
      </c>
      <c r="BV129" t="s">
        <v>26140</v>
      </c>
      <c r="BW129" t="s">
        <v>26141</v>
      </c>
      <c r="BX129" t="s">
        <v>26142</v>
      </c>
      <c r="BY129" t="s">
        <v>26139</v>
      </c>
      <c r="BZ129" t="s">
        <v>26140</v>
      </c>
      <c r="CA129" t="s">
        <v>26143</v>
      </c>
      <c r="CB129" t="s">
        <v>26144</v>
      </c>
      <c r="CC129" t="s">
        <v>26140</v>
      </c>
      <c r="CD129" t="s">
        <v>26145</v>
      </c>
      <c r="CE129" t="s">
        <v>6457</v>
      </c>
      <c r="CF129" t="s">
        <v>26146</v>
      </c>
      <c r="CH129" t="s">
        <v>26147</v>
      </c>
      <c r="CI129" t="s">
        <v>26146</v>
      </c>
      <c r="CJ129" t="s">
        <v>26134</v>
      </c>
      <c r="CK129" t="s">
        <v>556</v>
      </c>
      <c r="CL129" t="s">
        <v>26147</v>
      </c>
      <c r="CN129" t="s">
        <v>26148</v>
      </c>
      <c r="CO129" t="s">
        <v>26148</v>
      </c>
    </row>
    <row r="130" spans="1:93" hidden="1">
      <c r="A130" t="s">
        <v>149</v>
      </c>
      <c r="B130">
        <v>3347570</v>
      </c>
      <c r="C130" t="s">
        <v>5584</v>
      </c>
      <c r="D130" t="s">
        <v>21661</v>
      </c>
      <c r="E130" t="s">
        <v>21857</v>
      </c>
      <c r="F130" t="s">
        <v>3549</v>
      </c>
      <c r="G130" t="s">
        <v>98</v>
      </c>
      <c r="H130" t="s">
        <v>25073</v>
      </c>
      <c r="I130" t="s">
        <v>100</v>
      </c>
      <c r="J130">
        <v>0</v>
      </c>
      <c r="K130">
        <v>0</v>
      </c>
      <c r="L130">
        <v>0</v>
      </c>
      <c r="M130">
        <v>526</v>
      </c>
      <c r="N130" t="s">
        <v>102</v>
      </c>
      <c r="O130">
        <v>0</v>
      </c>
      <c r="P130">
        <v>0</v>
      </c>
      <c r="R130">
        <v>0</v>
      </c>
      <c r="S130">
        <v>526</v>
      </c>
      <c r="T130" t="s">
        <v>102</v>
      </c>
      <c r="U130" t="s">
        <v>102</v>
      </c>
      <c r="V130" t="s">
        <v>275</v>
      </c>
      <c r="X130" t="s">
        <v>21857</v>
      </c>
      <c r="Y130" t="s">
        <v>109</v>
      </c>
      <c r="Z130" t="s">
        <v>102</v>
      </c>
      <c r="AA130" t="s">
        <v>109</v>
      </c>
      <c r="AB130" t="s">
        <v>102</v>
      </c>
      <c r="AC130" t="s">
        <v>109</v>
      </c>
      <c r="AD130" t="s">
        <v>102</v>
      </c>
      <c r="AE130" t="s">
        <v>109</v>
      </c>
      <c r="AF130" t="s">
        <v>102</v>
      </c>
      <c r="AG130" t="s">
        <v>102</v>
      </c>
      <c r="AJ130" t="s">
        <v>102</v>
      </c>
      <c r="AK130" t="s">
        <v>102</v>
      </c>
      <c r="AL130" t="s">
        <v>102</v>
      </c>
      <c r="AM130" t="s">
        <v>115</v>
      </c>
      <c r="AN130" t="s">
        <v>115</v>
      </c>
      <c r="AS130" t="s">
        <v>117</v>
      </c>
      <c r="AT130" t="s">
        <v>118</v>
      </c>
      <c r="AU130" t="s">
        <v>102</v>
      </c>
      <c r="AV130" t="s">
        <v>119</v>
      </c>
      <c r="AY130" t="s">
        <v>208</v>
      </c>
      <c r="AZ130" t="s">
        <v>120</v>
      </c>
      <c r="BA130" t="s">
        <v>5591</v>
      </c>
      <c r="BB130" t="s">
        <v>211</v>
      </c>
      <c r="BC130" t="s">
        <v>212</v>
      </c>
      <c r="BD130" t="s">
        <v>213</v>
      </c>
      <c r="BE130" t="s">
        <v>124</v>
      </c>
      <c r="BF130" t="s">
        <v>24888</v>
      </c>
      <c r="BG130" t="s">
        <v>23025</v>
      </c>
      <c r="BH130" t="s">
        <v>127</v>
      </c>
      <c r="BI130" t="s">
        <v>25074</v>
      </c>
      <c r="BJ130" t="s">
        <v>5593</v>
      </c>
      <c r="BK130" t="s">
        <v>25075</v>
      </c>
      <c r="BL130" t="s">
        <v>21857</v>
      </c>
      <c r="BM130" t="s">
        <v>24891</v>
      </c>
      <c r="BN130" t="s">
        <v>180</v>
      </c>
      <c r="BO130" t="s">
        <v>24892</v>
      </c>
      <c r="BP130" t="s">
        <v>24893</v>
      </c>
      <c r="BQ130" t="s">
        <v>222</v>
      </c>
      <c r="BS130" t="s">
        <v>25076</v>
      </c>
      <c r="BT130" t="s">
        <v>3585</v>
      </c>
      <c r="BU130" t="s">
        <v>598</v>
      </c>
      <c r="BV130" t="s">
        <v>225</v>
      </c>
      <c r="BW130" t="s">
        <v>8332</v>
      </c>
      <c r="BX130" t="s">
        <v>5596</v>
      </c>
      <c r="BY130" t="s">
        <v>25077</v>
      </c>
      <c r="BZ130" t="s">
        <v>5596</v>
      </c>
      <c r="CA130" t="s">
        <v>25078</v>
      </c>
      <c r="CB130" t="s">
        <v>25077</v>
      </c>
      <c r="CC130" t="s">
        <v>5596</v>
      </c>
      <c r="CD130" t="s">
        <v>25078</v>
      </c>
      <c r="CE130" t="s">
        <v>102</v>
      </c>
      <c r="CF130" t="s">
        <v>5597</v>
      </c>
      <c r="CH130" t="s">
        <v>5598</v>
      </c>
      <c r="CJ130" t="s">
        <v>5591</v>
      </c>
      <c r="CK130" t="s">
        <v>211</v>
      </c>
      <c r="CL130" t="s">
        <v>5598</v>
      </c>
      <c r="CM130" t="s">
        <v>230</v>
      </c>
      <c r="CN130" t="s">
        <v>5597</v>
      </c>
      <c r="CO130" t="s">
        <v>5597</v>
      </c>
    </row>
    <row r="131" spans="1:93" hidden="1">
      <c r="A131" t="s">
        <v>149</v>
      </c>
      <c r="B131">
        <v>3347647</v>
      </c>
      <c r="C131" t="s">
        <v>5599</v>
      </c>
      <c r="D131" t="s">
        <v>21661</v>
      </c>
      <c r="E131" t="s">
        <v>21857</v>
      </c>
      <c r="F131" t="s">
        <v>3549</v>
      </c>
      <c r="G131" t="s">
        <v>98</v>
      </c>
      <c r="H131" t="s">
        <v>25079</v>
      </c>
      <c r="I131" t="s">
        <v>100</v>
      </c>
      <c r="J131">
        <v>0</v>
      </c>
      <c r="K131">
        <v>0</v>
      </c>
      <c r="L131">
        <v>0</v>
      </c>
      <c r="M131">
        <v>725</v>
      </c>
      <c r="N131" t="s">
        <v>102</v>
      </c>
      <c r="O131">
        <v>0</v>
      </c>
      <c r="P131">
        <v>0</v>
      </c>
      <c r="R131">
        <v>0</v>
      </c>
      <c r="S131">
        <v>725</v>
      </c>
      <c r="T131" t="s">
        <v>102</v>
      </c>
      <c r="U131" t="s">
        <v>102</v>
      </c>
      <c r="V131" t="s">
        <v>275</v>
      </c>
      <c r="X131" t="s">
        <v>21857</v>
      </c>
      <c r="Y131" t="s">
        <v>109</v>
      </c>
      <c r="Z131" t="s">
        <v>102</v>
      </c>
      <c r="AA131" t="s">
        <v>109</v>
      </c>
      <c r="AB131" t="s">
        <v>102</v>
      </c>
      <c r="AC131" t="s">
        <v>109</v>
      </c>
      <c r="AD131" t="s">
        <v>102</v>
      </c>
      <c r="AE131" t="s">
        <v>109</v>
      </c>
      <c r="AF131" t="s">
        <v>102</v>
      </c>
      <c r="AG131" t="s">
        <v>102</v>
      </c>
      <c r="AJ131" t="s">
        <v>102</v>
      </c>
      <c r="AK131" t="s">
        <v>102</v>
      </c>
      <c r="AL131" t="s">
        <v>102</v>
      </c>
      <c r="AM131" t="s">
        <v>115</v>
      </c>
      <c r="AN131" t="s">
        <v>115</v>
      </c>
      <c r="AS131" t="s">
        <v>117</v>
      </c>
      <c r="AT131" t="s">
        <v>118</v>
      </c>
      <c r="AU131" t="s">
        <v>102</v>
      </c>
      <c r="AV131" t="s">
        <v>119</v>
      </c>
      <c r="AY131" t="s">
        <v>250</v>
      </c>
      <c r="AZ131" t="s">
        <v>120</v>
      </c>
      <c r="BA131" t="s">
        <v>5606</v>
      </c>
      <c r="BB131" t="s">
        <v>211</v>
      </c>
      <c r="BC131" t="s">
        <v>212</v>
      </c>
      <c r="BD131" t="s">
        <v>213</v>
      </c>
      <c r="BE131" t="s">
        <v>124</v>
      </c>
      <c r="BF131" t="s">
        <v>24888</v>
      </c>
      <c r="BG131" t="s">
        <v>23025</v>
      </c>
      <c r="BH131" t="s">
        <v>127</v>
      </c>
      <c r="BI131" t="s">
        <v>25080</v>
      </c>
      <c r="BJ131" t="s">
        <v>5608</v>
      </c>
      <c r="BK131" t="s">
        <v>25081</v>
      </c>
      <c r="BL131" t="s">
        <v>21857</v>
      </c>
      <c r="BM131" t="s">
        <v>24891</v>
      </c>
      <c r="BN131" t="s">
        <v>180</v>
      </c>
      <c r="BO131" t="s">
        <v>24892</v>
      </c>
      <c r="BP131" t="s">
        <v>24893</v>
      </c>
      <c r="BQ131" t="s">
        <v>222</v>
      </c>
      <c r="BS131" t="s">
        <v>25082</v>
      </c>
      <c r="BT131" t="s">
        <v>3585</v>
      </c>
      <c r="BU131" t="s">
        <v>598</v>
      </c>
      <c r="BV131" t="s">
        <v>225</v>
      </c>
      <c r="BW131" t="s">
        <v>8332</v>
      </c>
      <c r="BX131" t="s">
        <v>5611</v>
      </c>
      <c r="BY131" t="s">
        <v>25083</v>
      </c>
      <c r="BZ131" t="s">
        <v>25084</v>
      </c>
      <c r="CA131" t="s">
        <v>25085</v>
      </c>
      <c r="CB131" t="s">
        <v>25083</v>
      </c>
      <c r="CC131" t="s">
        <v>25084</v>
      </c>
      <c r="CD131" t="s">
        <v>25085</v>
      </c>
      <c r="CE131" t="s">
        <v>102</v>
      </c>
      <c r="CF131" t="s">
        <v>5612</v>
      </c>
      <c r="CH131" t="s">
        <v>5613</v>
      </c>
      <c r="CJ131" t="s">
        <v>5606</v>
      </c>
      <c r="CK131" t="s">
        <v>211</v>
      </c>
      <c r="CL131" t="s">
        <v>5613</v>
      </c>
      <c r="CM131" t="s">
        <v>230</v>
      </c>
      <c r="CN131" t="s">
        <v>5612</v>
      </c>
      <c r="CO131" t="s">
        <v>5612</v>
      </c>
    </row>
    <row r="132" spans="1:93" hidden="1">
      <c r="A132" t="s">
        <v>149</v>
      </c>
      <c r="B132">
        <v>3347753</v>
      </c>
      <c r="C132" t="s">
        <v>5614</v>
      </c>
      <c r="D132" t="s">
        <v>21661</v>
      </c>
      <c r="E132" t="s">
        <v>21857</v>
      </c>
      <c r="F132" t="s">
        <v>3549</v>
      </c>
      <c r="G132" t="s">
        <v>98</v>
      </c>
      <c r="H132" t="s">
        <v>25086</v>
      </c>
      <c r="I132" t="s">
        <v>100</v>
      </c>
      <c r="J132">
        <v>0</v>
      </c>
      <c r="K132">
        <v>0</v>
      </c>
      <c r="L132">
        <v>0</v>
      </c>
      <c r="M132">
        <v>792</v>
      </c>
      <c r="N132" t="s">
        <v>102</v>
      </c>
      <c r="O132">
        <v>0</v>
      </c>
      <c r="P132">
        <v>0</v>
      </c>
      <c r="R132">
        <v>0</v>
      </c>
      <c r="S132">
        <v>792</v>
      </c>
      <c r="T132" t="s">
        <v>102</v>
      </c>
      <c r="U132" t="s">
        <v>102</v>
      </c>
      <c r="V132" t="s">
        <v>275</v>
      </c>
      <c r="X132" t="s">
        <v>21857</v>
      </c>
      <c r="Y132" t="s">
        <v>109</v>
      </c>
      <c r="Z132" t="s">
        <v>102</v>
      </c>
      <c r="AA132" t="s">
        <v>109</v>
      </c>
      <c r="AB132" t="s">
        <v>102</v>
      </c>
      <c r="AC132" t="s">
        <v>109</v>
      </c>
      <c r="AD132" t="s">
        <v>102</v>
      </c>
      <c r="AE132" t="s">
        <v>109</v>
      </c>
      <c r="AF132" t="s">
        <v>102</v>
      </c>
      <c r="AG132" t="s">
        <v>102</v>
      </c>
      <c r="AJ132" t="s">
        <v>102</v>
      </c>
      <c r="AK132" t="s">
        <v>102</v>
      </c>
      <c r="AL132" t="s">
        <v>102</v>
      </c>
      <c r="AM132" t="s">
        <v>115</v>
      </c>
      <c r="AN132" t="s">
        <v>115</v>
      </c>
      <c r="AS132" t="s">
        <v>117</v>
      </c>
      <c r="AT132" t="s">
        <v>118</v>
      </c>
      <c r="AU132" t="s">
        <v>102</v>
      </c>
      <c r="AV132" t="s">
        <v>119</v>
      </c>
      <c r="AY132" t="s">
        <v>250</v>
      </c>
      <c r="AZ132" t="s">
        <v>120</v>
      </c>
      <c r="BA132" t="s">
        <v>5622</v>
      </c>
      <c r="BB132" t="s">
        <v>211</v>
      </c>
      <c r="BC132" t="s">
        <v>212</v>
      </c>
      <c r="BD132" t="s">
        <v>213</v>
      </c>
      <c r="BE132" t="s">
        <v>124</v>
      </c>
      <c r="BF132" t="s">
        <v>24888</v>
      </c>
      <c r="BG132" t="s">
        <v>23025</v>
      </c>
      <c r="BH132" t="s">
        <v>127</v>
      </c>
      <c r="BI132" t="s">
        <v>25087</v>
      </c>
      <c r="BJ132" t="s">
        <v>5624</v>
      </c>
      <c r="BK132" t="s">
        <v>25088</v>
      </c>
      <c r="BL132" t="s">
        <v>21857</v>
      </c>
      <c r="BM132" t="s">
        <v>24891</v>
      </c>
      <c r="BN132" t="s">
        <v>180</v>
      </c>
      <c r="BO132" t="s">
        <v>24892</v>
      </c>
      <c r="BP132" t="s">
        <v>24893</v>
      </c>
      <c r="BQ132" t="s">
        <v>222</v>
      </c>
      <c r="BS132" t="s">
        <v>25089</v>
      </c>
      <c r="BT132" t="s">
        <v>3585</v>
      </c>
      <c r="BU132" t="s">
        <v>598</v>
      </c>
      <c r="BV132" t="s">
        <v>225</v>
      </c>
      <c r="BW132" t="s">
        <v>8332</v>
      </c>
      <c r="BX132" t="s">
        <v>5627</v>
      </c>
      <c r="BY132" t="s">
        <v>25090</v>
      </c>
      <c r="BZ132" t="s">
        <v>25091</v>
      </c>
      <c r="CA132" t="s">
        <v>25092</v>
      </c>
      <c r="CB132" t="s">
        <v>25090</v>
      </c>
      <c r="CC132" t="s">
        <v>25091</v>
      </c>
      <c r="CD132" t="s">
        <v>25092</v>
      </c>
      <c r="CE132" t="s">
        <v>102</v>
      </c>
      <c r="CF132" t="s">
        <v>5628</v>
      </c>
      <c r="CH132" t="s">
        <v>5629</v>
      </c>
      <c r="CJ132" t="s">
        <v>5622</v>
      </c>
      <c r="CK132" t="s">
        <v>211</v>
      </c>
      <c r="CL132" t="s">
        <v>5629</v>
      </c>
      <c r="CM132" t="s">
        <v>230</v>
      </c>
      <c r="CN132" t="s">
        <v>5628</v>
      </c>
      <c r="CO132" t="s">
        <v>5628</v>
      </c>
    </row>
    <row r="133" spans="1:93" hidden="1">
      <c r="A133" t="s">
        <v>149</v>
      </c>
      <c r="B133">
        <v>3347883</v>
      </c>
      <c r="C133" t="s">
        <v>5630</v>
      </c>
      <c r="D133" t="s">
        <v>21661</v>
      </c>
      <c r="E133" t="s">
        <v>21857</v>
      </c>
      <c r="F133" t="s">
        <v>3549</v>
      </c>
      <c r="G133" t="s">
        <v>98</v>
      </c>
      <c r="H133" t="s">
        <v>25093</v>
      </c>
      <c r="I133" t="s">
        <v>100</v>
      </c>
      <c r="J133">
        <v>0</v>
      </c>
      <c r="K133">
        <v>0</v>
      </c>
      <c r="L133">
        <v>0</v>
      </c>
      <c r="M133">
        <v>622</v>
      </c>
      <c r="N133" t="s">
        <v>102</v>
      </c>
      <c r="O133">
        <v>0</v>
      </c>
      <c r="P133">
        <v>0</v>
      </c>
      <c r="R133">
        <v>0</v>
      </c>
      <c r="S133">
        <v>622</v>
      </c>
      <c r="T133" t="s">
        <v>102</v>
      </c>
      <c r="U133" t="s">
        <v>102</v>
      </c>
      <c r="V133" t="s">
        <v>275</v>
      </c>
      <c r="X133" t="s">
        <v>21857</v>
      </c>
      <c r="Y133" t="s">
        <v>109</v>
      </c>
      <c r="Z133" t="s">
        <v>102</v>
      </c>
      <c r="AA133" t="s">
        <v>109</v>
      </c>
      <c r="AB133" t="s">
        <v>102</v>
      </c>
      <c r="AC133" t="s">
        <v>109</v>
      </c>
      <c r="AD133" t="s">
        <v>102</v>
      </c>
      <c r="AE133" t="s">
        <v>109</v>
      </c>
      <c r="AF133" t="s">
        <v>102</v>
      </c>
      <c r="AG133" t="s">
        <v>102</v>
      </c>
      <c r="AJ133" t="s">
        <v>102</v>
      </c>
      <c r="AK133" t="s">
        <v>102</v>
      </c>
      <c r="AL133" t="s">
        <v>102</v>
      </c>
      <c r="AM133" t="s">
        <v>115</v>
      </c>
      <c r="AN133" t="s">
        <v>115</v>
      </c>
      <c r="AS133" t="s">
        <v>117</v>
      </c>
      <c r="AT133" t="s">
        <v>118</v>
      </c>
      <c r="AU133" t="s">
        <v>102</v>
      </c>
      <c r="AV133" t="s">
        <v>119</v>
      </c>
      <c r="AY133" t="s">
        <v>250</v>
      </c>
      <c r="AZ133" t="s">
        <v>209</v>
      </c>
      <c r="BA133" t="s">
        <v>5637</v>
      </c>
      <c r="BB133" t="s">
        <v>211</v>
      </c>
      <c r="BC133" t="s">
        <v>212</v>
      </c>
      <c r="BD133" t="s">
        <v>213</v>
      </c>
      <c r="BE133" t="s">
        <v>124</v>
      </c>
      <c r="BF133" t="s">
        <v>24888</v>
      </c>
      <c r="BG133" t="s">
        <v>23025</v>
      </c>
      <c r="BH133" t="s">
        <v>127</v>
      </c>
      <c r="BI133" t="s">
        <v>25094</v>
      </c>
      <c r="BJ133" t="s">
        <v>5639</v>
      </c>
      <c r="BK133" t="s">
        <v>25095</v>
      </c>
      <c r="BL133" t="s">
        <v>21857</v>
      </c>
      <c r="BM133" t="s">
        <v>24891</v>
      </c>
      <c r="BN133" t="s">
        <v>180</v>
      </c>
      <c r="BO133" t="s">
        <v>24892</v>
      </c>
      <c r="BP133" t="s">
        <v>24893</v>
      </c>
      <c r="BQ133" t="s">
        <v>222</v>
      </c>
      <c r="BS133" t="s">
        <v>25096</v>
      </c>
      <c r="BT133" t="s">
        <v>3585</v>
      </c>
      <c r="BU133" t="s">
        <v>598</v>
      </c>
      <c r="BV133" t="s">
        <v>225</v>
      </c>
      <c r="BW133" t="s">
        <v>8332</v>
      </c>
      <c r="BX133" t="s">
        <v>5642</v>
      </c>
      <c r="BY133" t="s">
        <v>25097</v>
      </c>
      <c r="BZ133" t="s">
        <v>25098</v>
      </c>
      <c r="CA133" t="s">
        <v>25099</v>
      </c>
      <c r="CB133" t="s">
        <v>25097</v>
      </c>
      <c r="CC133" t="s">
        <v>25098</v>
      </c>
      <c r="CD133" t="s">
        <v>25099</v>
      </c>
      <c r="CE133" t="s">
        <v>102</v>
      </c>
      <c r="CF133" t="s">
        <v>5643</v>
      </c>
      <c r="CH133" t="s">
        <v>5644</v>
      </c>
      <c r="CJ133" t="s">
        <v>5637</v>
      </c>
      <c r="CK133" t="s">
        <v>211</v>
      </c>
      <c r="CL133" t="s">
        <v>5644</v>
      </c>
      <c r="CM133" t="s">
        <v>230</v>
      </c>
      <c r="CN133" t="s">
        <v>5643</v>
      </c>
      <c r="CO133" t="s">
        <v>5643</v>
      </c>
    </row>
    <row r="134" spans="1:93" hidden="1">
      <c r="A134" t="s">
        <v>149</v>
      </c>
      <c r="B134">
        <v>3362563</v>
      </c>
      <c r="C134" t="s">
        <v>5666</v>
      </c>
      <c r="D134" t="s">
        <v>21661</v>
      </c>
      <c r="E134" t="s">
        <v>23781</v>
      </c>
      <c r="F134" t="s">
        <v>2163</v>
      </c>
      <c r="G134" t="s">
        <v>98</v>
      </c>
      <c r="H134" t="s">
        <v>23782</v>
      </c>
      <c r="I134" t="s">
        <v>100</v>
      </c>
      <c r="J134">
        <v>312327</v>
      </c>
      <c r="K134">
        <v>325484</v>
      </c>
      <c r="L134">
        <v>65226</v>
      </c>
      <c r="M134">
        <v>131</v>
      </c>
      <c r="N134" t="s">
        <v>23783</v>
      </c>
      <c r="O134">
        <v>174009</v>
      </c>
      <c r="P134">
        <v>114</v>
      </c>
      <c r="Q134" t="s">
        <v>23784</v>
      </c>
      <c r="R134">
        <v>73092</v>
      </c>
      <c r="S134">
        <v>126</v>
      </c>
      <c r="T134" t="s">
        <v>5670</v>
      </c>
      <c r="U134" t="s">
        <v>102</v>
      </c>
      <c r="V134" t="s">
        <v>103</v>
      </c>
      <c r="W134" t="s">
        <v>801</v>
      </c>
      <c r="Y134" t="s">
        <v>12250</v>
      </c>
      <c r="Z134" t="s">
        <v>23785</v>
      </c>
      <c r="AA134" t="s">
        <v>23786</v>
      </c>
      <c r="AB134" t="s">
        <v>23785</v>
      </c>
      <c r="AC134" t="s">
        <v>22089</v>
      </c>
      <c r="AD134" t="s">
        <v>23785</v>
      </c>
      <c r="AE134" t="s">
        <v>23787</v>
      </c>
      <c r="AF134" t="s">
        <v>23785</v>
      </c>
      <c r="AG134" t="s">
        <v>102</v>
      </c>
      <c r="AJ134" t="s">
        <v>23785</v>
      </c>
      <c r="AK134" t="s">
        <v>102</v>
      </c>
      <c r="AL134" t="s">
        <v>23785</v>
      </c>
      <c r="AM134" t="s">
        <v>23788</v>
      </c>
      <c r="AN134" t="s">
        <v>23789</v>
      </c>
      <c r="AR134" t="s">
        <v>169</v>
      </c>
      <c r="AS134" t="s">
        <v>247</v>
      </c>
      <c r="AT134" t="s">
        <v>118</v>
      </c>
      <c r="AU134" t="s">
        <v>5675</v>
      </c>
      <c r="AV134" t="s">
        <v>119</v>
      </c>
      <c r="AW134" t="s">
        <v>1138</v>
      </c>
      <c r="AX134" t="s">
        <v>2203</v>
      </c>
      <c r="AY134" t="s">
        <v>250</v>
      </c>
      <c r="AZ134" t="s">
        <v>120</v>
      </c>
      <c r="BA134" t="s">
        <v>3854</v>
      </c>
      <c r="BB134" t="s">
        <v>449</v>
      </c>
      <c r="BC134" t="s">
        <v>122</v>
      </c>
      <c r="BD134" t="s">
        <v>450</v>
      </c>
      <c r="BE134" t="s">
        <v>124</v>
      </c>
      <c r="BF134" t="s">
        <v>12250</v>
      </c>
      <c r="BG134" t="s">
        <v>21667</v>
      </c>
      <c r="BH134" t="s">
        <v>127</v>
      </c>
      <c r="BI134" t="s">
        <v>23790</v>
      </c>
      <c r="BJ134" t="s">
        <v>5677</v>
      </c>
      <c r="BK134" t="s">
        <v>23791</v>
      </c>
      <c r="BL134" t="s">
        <v>23781</v>
      </c>
      <c r="BM134" t="s">
        <v>3267</v>
      </c>
      <c r="BN134" t="s">
        <v>350</v>
      </c>
      <c r="BO134" t="s">
        <v>3268</v>
      </c>
      <c r="BP134" t="s">
        <v>3269</v>
      </c>
      <c r="BQ134" t="s">
        <v>135</v>
      </c>
      <c r="BS134" t="s">
        <v>23792</v>
      </c>
      <c r="BT134" t="s">
        <v>5680</v>
      </c>
      <c r="BU134" t="s">
        <v>354</v>
      </c>
      <c r="BV134" t="s">
        <v>5681</v>
      </c>
      <c r="BW134" t="s">
        <v>5682</v>
      </c>
      <c r="BX134" t="s">
        <v>5683</v>
      </c>
      <c r="BY134" t="s">
        <v>23793</v>
      </c>
      <c r="BZ134" t="s">
        <v>23794</v>
      </c>
      <c r="CA134" t="s">
        <v>23795</v>
      </c>
      <c r="CB134" t="s">
        <v>23796</v>
      </c>
      <c r="CC134" t="s">
        <v>23797</v>
      </c>
      <c r="CD134" t="s">
        <v>23798</v>
      </c>
      <c r="CE134" t="s">
        <v>102</v>
      </c>
      <c r="CF134" t="s">
        <v>15729</v>
      </c>
      <c r="CH134" t="s">
        <v>22957</v>
      </c>
      <c r="CJ134" t="s">
        <v>3854</v>
      </c>
      <c r="CK134" t="s">
        <v>449</v>
      </c>
      <c r="CL134" t="s">
        <v>22957</v>
      </c>
      <c r="CM134" t="s">
        <v>5687</v>
      </c>
      <c r="CN134" t="s">
        <v>5686</v>
      </c>
      <c r="CO134" t="s">
        <v>5686</v>
      </c>
    </row>
    <row r="135" spans="1:93" hidden="1">
      <c r="A135" t="s">
        <v>149</v>
      </c>
      <c r="B135">
        <v>3370385</v>
      </c>
      <c r="C135" t="s">
        <v>5713</v>
      </c>
      <c r="D135" t="s">
        <v>21661</v>
      </c>
      <c r="E135" t="s">
        <v>21857</v>
      </c>
      <c r="F135" t="s">
        <v>3549</v>
      </c>
      <c r="G135" t="s">
        <v>98</v>
      </c>
      <c r="H135" t="s">
        <v>25100</v>
      </c>
      <c r="I135" t="s">
        <v>100</v>
      </c>
      <c r="J135">
        <v>0</v>
      </c>
      <c r="K135">
        <v>0</v>
      </c>
      <c r="L135">
        <v>0</v>
      </c>
      <c r="M135">
        <v>772</v>
      </c>
      <c r="N135" t="s">
        <v>102</v>
      </c>
      <c r="O135">
        <v>0</v>
      </c>
      <c r="P135">
        <v>0</v>
      </c>
      <c r="R135">
        <v>0</v>
      </c>
      <c r="S135">
        <v>772</v>
      </c>
      <c r="T135" t="s">
        <v>102</v>
      </c>
      <c r="U135" t="s">
        <v>102</v>
      </c>
      <c r="V135" t="s">
        <v>275</v>
      </c>
      <c r="X135" t="s">
        <v>21857</v>
      </c>
      <c r="Y135" t="s">
        <v>109</v>
      </c>
      <c r="Z135" t="s">
        <v>102</v>
      </c>
      <c r="AA135" t="s">
        <v>109</v>
      </c>
      <c r="AB135" t="s">
        <v>102</v>
      </c>
      <c r="AC135" t="s">
        <v>109</v>
      </c>
      <c r="AD135" t="s">
        <v>102</v>
      </c>
      <c r="AE135" t="s">
        <v>109</v>
      </c>
      <c r="AF135" t="s">
        <v>102</v>
      </c>
      <c r="AG135" t="s">
        <v>102</v>
      </c>
      <c r="AJ135" t="s">
        <v>102</v>
      </c>
      <c r="AK135" t="s">
        <v>102</v>
      </c>
      <c r="AL135" t="s">
        <v>102</v>
      </c>
      <c r="AM135" t="s">
        <v>115</v>
      </c>
      <c r="AN135" t="s">
        <v>115</v>
      </c>
      <c r="AS135" t="s">
        <v>117</v>
      </c>
      <c r="AT135" t="s">
        <v>118</v>
      </c>
      <c r="AU135" t="s">
        <v>102</v>
      </c>
      <c r="AV135" t="s">
        <v>119</v>
      </c>
      <c r="AY135" t="s">
        <v>250</v>
      </c>
      <c r="AZ135" t="s">
        <v>120</v>
      </c>
      <c r="BA135" t="s">
        <v>5720</v>
      </c>
      <c r="BB135" t="s">
        <v>211</v>
      </c>
      <c r="BC135" t="s">
        <v>212</v>
      </c>
      <c r="BD135" t="s">
        <v>213</v>
      </c>
      <c r="BE135" t="s">
        <v>124</v>
      </c>
      <c r="BF135" t="s">
        <v>24888</v>
      </c>
      <c r="BG135" t="s">
        <v>23025</v>
      </c>
      <c r="BH135" t="s">
        <v>127</v>
      </c>
      <c r="BI135" t="s">
        <v>25101</v>
      </c>
      <c r="BJ135" t="s">
        <v>5722</v>
      </c>
      <c r="BK135" t="s">
        <v>25102</v>
      </c>
      <c r="BL135" t="s">
        <v>21857</v>
      </c>
      <c r="BM135" t="s">
        <v>24891</v>
      </c>
      <c r="BN135" t="s">
        <v>180</v>
      </c>
      <c r="BO135" t="s">
        <v>24892</v>
      </c>
      <c r="BP135" t="s">
        <v>24893</v>
      </c>
      <c r="BQ135" t="s">
        <v>222</v>
      </c>
      <c r="BS135" t="s">
        <v>25103</v>
      </c>
      <c r="BT135" t="s">
        <v>3585</v>
      </c>
      <c r="BU135" t="s">
        <v>598</v>
      </c>
      <c r="BV135" t="s">
        <v>225</v>
      </c>
      <c r="BW135" t="s">
        <v>8332</v>
      </c>
      <c r="BX135" t="s">
        <v>5725</v>
      </c>
      <c r="BY135" t="s">
        <v>25104</v>
      </c>
      <c r="BZ135" t="s">
        <v>25105</v>
      </c>
      <c r="CA135" t="s">
        <v>25106</v>
      </c>
      <c r="CB135" t="s">
        <v>25104</v>
      </c>
      <c r="CC135" t="s">
        <v>25105</v>
      </c>
      <c r="CD135" t="s">
        <v>25106</v>
      </c>
      <c r="CE135" t="s">
        <v>102</v>
      </c>
      <c r="CF135" t="s">
        <v>5726</v>
      </c>
      <c r="CH135" t="s">
        <v>5727</v>
      </c>
      <c r="CJ135" t="s">
        <v>5720</v>
      </c>
      <c r="CK135" t="s">
        <v>211</v>
      </c>
      <c r="CL135" t="s">
        <v>5727</v>
      </c>
      <c r="CM135" t="s">
        <v>230</v>
      </c>
      <c r="CN135" t="s">
        <v>5726</v>
      </c>
      <c r="CO135" t="s">
        <v>5726</v>
      </c>
    </row>
    <row r="136" spans="1:93" hidden="1">
      <c r="A136" t="s">
        <v>93</v>
      </c>
      <c r="B136">
        <v>3386433</v>
      </c>
      <c r="C136" t="s">
        <v>15753</v>
      </c>
      <c r="D136" t="s">
        <v>21661</v>
      </c>
      <c r="E136" t="s">
        <v>14455</v>
      </c>
      <c r="F136" t="s">
        <v>152</v>
      </c>
      <c r="G136" t="s">
        <v>98</v>
      </c>
      <c r="H136" t="s">
        <v>22236</v>
      </c>
      <c r="I136" t="s">
        <v>100</v>
      </c>
      <c r="J136">
        <v>735098</v>
      </c>
      <c r="K136">
        <v>735098</v>
      </c>
      <c r="L136">
        <v>0</v>
      </c>
      <c r="M136">
        <v>0</v>
      </c>
      <c r="O136">
        <v>735098</v>
      </c>
      <c r="P136">
        <v>490</v>
      </c>
      <c r="Q136" t="s">
        <v>6441</v>
      </c>
      <c r="R136">
        <v>0</v>
      </c>
      <c r="S136">
        <v>0</v>
      </c>
      <c r="U136" t="s">
        <v>102</v>
      </c>
      <c r="V136" t="s">
        <v>103</v>
      </c>
      <c r="W136" t="s">
        <v>155</v>
      </c>
      <c r="Y136" t="s">
        <v>14623</v>
      </c>
      <c r="Z136" t="s">
        <v>22237</v>
      </c>
      <c r="AA136" t="s">
        <v>21826</v>
      </c>
      <c r="AB136" t="s">
        <v>22237</v>
      </c>
      <c r="AC136" t="s">
        <v>21892</v>
      </c>
      <c r="AD136" t="s">
        <v>22237</v>
      </c>
      <c r="AE136" t="s">
        <v>21821</v>
      </c>
      <c r="AF136" t="s">
        <v>22237</v>
      </c>
      <c r="AG136" t="s">
        <v>102</v>
      </c>
      <c r="AJ136" t="s">
        <v>22237</v>
      </c>
      <c r="AK136" t="s">
        <v>102</v>
      </c>
      <c r="AL136" t="s">
        <v>22237</v>
      </c>
      <c r="AM136" t="s">
        <v>6447</v>
      </c>
      <c r="AN136" t="s">
        <v>6447</v>
      </c>
      <c r="AS136" t="s">
        <v>102</v>
      </c>
      <c r="AU136" t="s">
        <v>155</v>
      </c>
      <c r="AV136" t="s">
        <v>119</v>
      </c>
      <c r="AW136" t="s">
        <v>170</v>
      </c>
      <c r="AX136" t="s">
        <v>118</v>
      </c>
      <c r="AZ136" t="s">
        <v>120</v>
      </c>
      <c r="BA136" t="s">
        <v>15759</v>
      </c>
      <c r="BB136" t="s">
        <v>730</v>
      </c>
      <c r="BC136" t="s">
        <v>622</v>
      </c>
      <c r="BD136" t="s">
        <v>730</v>
      </c>
      <c r="BE136" t="s">
        <v>124</v>
      </c>
      <c r="BF136" t="s">
        <v>12250</v>
      </c>
      <c r="BG136" t="s">
        <v>21667</v>
      </c>
      <c r="BH136" t="s">
        <v>127</v>
      </c>
      <c r="BI136" t="s">
        <v>22238</v>
      </c>
      <c r="BJ136" t="s">
        <v>15761</v>
      </c>
      <c r="BK136" t="s">
        <v>22239</v>
      </c>
      <c r="BL136" t="s">
        <v>14455</v>
      </c>
      <c r="BM136" t="s">
        <v>22240</v>
      </c>
      <c r="BN136" t="s">
        <v>350</v>
      </c>
      <c r="BO136" t="s">
        <v>22241</v>
      </c>
      <c r="BP136" t="s">
        <v>22242</v>
      </c>
      <c r="BQ136" t="s">
        <v>2331</v>
      </c>
      <c r="BS136" t="s">
        <v>22243</v>
      </c>
      <c r="BT136" t="s">
        <v>22244</v>
      </c>
      <c r="BU136" t="s">
        <v>138</v>
      </c>
      <c r="BV136" t="s">
        <v>15765</v>
      </c>
      <c r="BW136" t="s">
        <v>15766</v>
      </c>
      <c r="BX136" t="s">
        <v>15765</v>
      </c>
      <c r="BY136" t="s">
        <v>22244</v>
      </c>
      <c r="BZ136" t="s">
        <v>15765</v>
      </c>
      <c r="CA136" t="s">
        <v>15766</v>
      </c>
      <c r="CB136" t="s">
        <v>22244</v>
      </c>
      <c r="CC136" t="s">
        <v>15765</v>
      </c>
      <c r="CD136" t="s">
        <v>15766</v>
      </c>
      <c r="CE136" t="s">
        <v>11006</v>
      </c>
      <c r="CF136" t="s">
        <v>15770</v>
      </c>
      <c r="CH136" t="s">
        <v>15771</v>
      </c>
      <c r="CI136" t="s">
        <v>15772</v>
      </c>
      <c r="CJ136" t="s">
        <v>15759</v>
      </c>
      <c r="CK136" t="s">
        <v>730</v>
      </c>
      <c r="CL136" t="s">
        <v>15771</v>
      </c>
      <c r="CN136" t="s">
        <v>15773</v>
      </c>
      <c r="CO136" t="s">
        <v>15773</v>
      </c>
    </row>
    <row r="137" spans="1:93" hidden="1">
      <c r="A137" t="s">
        <v>93</v>
      </c>
      <c r="B137">
        <v>3395953</v>
      </c>
      <c r="C137" t="s">
        <v>15823</v>
      </c>
      <c r="D137" t="s">
        <v>21661</v>
      </c>
      <c r="E137" t="s">
        <v>23807</v>
      </c>
      <c r="F137" t="s">
        <v>152</v>
      </c>
      <c r="G137" t="s">
        <v>98</v>
      </c>
      <c r="H137" t="s">
        <v>25825</v>
      </c>
      <c r="I137" t="s">
        <v>100</v>
      </c>
      <c r="J137">
        <v>336960</v>
      </c>
      <c r="K137">
        <v>336960</v>
      </c>
      <c r="L137">
        <v>0</v>
      </c>
      <c r="M137">
        <v>0</v>
      </c>
      <c r="O137">
        <v>336960</v>
      </c>
      <c r="P137">
        <v>240</v>
      </c>
      <c r="Q137" t="s">
        <v>25826</v>
      </c>
      <c r="R137">
        <v>0</v>
      </c>
      <c r="S137">
        <v>0</v>
      </c>
      <c r="U137" t="s">
        <v>102</v>
      </c>
      <c r="V137" t="s">
        <v>103</v>
      </c>
      <c r="W137" t="s">
        <v>155</v>
      </c>
      <c r="Y137" t="s">
        <v>23807</v>
      </c>
      <c r="Z137" t="s">
        <v>22356</v>
      </c>
      <c r="AA137" t="s">
        <v>21664</v>
      </c>
      <c r="AB137" t="s">
        <v>22356</v>
      </c>
      <c r="AC137" t="s">
        <v>21665</v>
      </c>
      <c r="AD137" t="s">
        <v>22356</v>
      </c>
      <c r="AE137" t="s">
        <v>21687</v>
      </c>
      <c r="AF137" t="s">
        <v>22356</v>
      </c>
      <c r="AG137" t="s">
        <v>102</v>
      </c>
      <c r="AJ137" t="s">
        <v>22356</v>
      </c>
      <c r="AK137" t="s">
        <v>102</v>
      </c>
      <c r="AL137" t="s">
        <v>22356</v>
      </c>
      <c r="AM137" t="s">
        <v>6699</v>
      </c>
      <c r="AN137" t="s">
        <v>6699</v>
      </c>
      <c r="AS137" t="s">
        <v>102</v>
      </c>
      <c r="AU137" t="s">
        <v>155</v>
      </c>
      <c r="AV137" t="s">
        <v>119</v>
      </c>
      <c r="AW137" t="s">
        <v>170</v>
      </c>
      <c r="AX137" t="s">
        <v>118</v>
      </c>
      <c r="AZ137" t="s">
        <v>120</v>
      </c>
      <c r="BA137" t="s">
        <v>15830</v>
      </c>
      <c r="BB137" t="s">
        <v>252</v>
      </c>
      <c r="BC137" t="s">
        <v>122</v>
      </c>
      <c r="BD137" t="s">
        <v>253</v>
      </c>
      <c r="BE137" t="s">
        <v>124</v>
      </c>
      <c r="BF137" t="s">
        <v>12250</v>
      </c>
      <c r="BG137" t="s">
        <v>21667</v>
      </c>
      <c r="BH137" t="s">
        <v>127</v>
      </c>
      <c r="BI137" t="s">
        <v>25827</v>
      </c>
      <c r="BJ137" t="s">
        <v>15832</v>
      </c>
      <c r="BK137" t="s">
        <v>15833</v>
      </c>
      <c r="BL137" t="s">
        <v>23807</v>
      </c>
      <c r="BM137" t="s">
        <v>12453</v>
      </c>
      <c r="BN137" t="s">
        <v>505</v>
      </c>
      <c r="BO137" t="s">
        <v>12454</v>
      </c>
      <c r="BP137" t="s">
        <v>12455</v>
      </c>
      <c r="BQ137" t="s">
        <v>1995</v>
      </c>
      <c r="BR137" t="s">
        <v>1111</v>
      </c>
      <c r="BS137" t="s">
        <v>25828</v>
      </c>
      <c r="BT137" t="s">
        <v>15835</v>
      </c>
      <c r="BU137" t="s">
        <v>354</v>
      </c>
      <c r="BV137" t="s">
        <v>25829</v>
      </c>
      <c r="BW137" t="s">
        <v>15837</v>
      </c>
      <c r="BX137" t="s">
        <v>15838</v>
      </c>
      <c r="BY137" t="s">
        <v>15835</v>
      </c>
      <c r="BZ137" t="s">
        <v>25829</v>
      </c>
      <c r="CA137" t="s">
        <v>15837</v>
      </c>
      <c r="CB137" t="s">
        <v>15835</v>
      </c>
      <c r="CC137" t="s">
        <v>25829</v>
      </c>
      <c r="CD137" t="s">
        <v>15837</v>
      </c>
      <c r="CE137" t="s">
        <v>102</v>
      </c>
      <c r="CF137" t="s">
        <v>15840</v>
      </c>
      <c r="CH137" t="s">
        <v>12463</v>
      </c>
      <c r="CJ137" t="s">
        <v>15830</v>
      </c>
      <c r="CK137" t="s">
        <v>252</v>
      </c>
      <c r="CL137" t="s">
        <v>12463</v>
      </c>
      <c r="CN137" t="s">
        <v>15841</v>
      </c>
      <c r="CO137" t="s">
        <v>15841</v>
      </c>
    </row>
    <row r="138" spans="1:93" hidden="1">
      <c r="A138" t="s">
        <v>149</v>
      </c>
      <c r="B138">
        <v>3399635</v>
      </c>
      <c r="C138" t="s">
        <v>5861</v>
      </c>
      <c r="D138" t="s">
        <v>21661</v>
      </c>
      <c r="E138" t="s">
        <v>21857</v>
      </c>
      <c r="F138" t="s">
        <v>3549</v>
      </c>
      <c r="G138" t="s">
        <v>98</v>
      </c>
      <c r="H138" t="s">
        <v>25107</v>
      </c>
      <c r="I138" t="s">
        <v>100</v>
      </c>
      <c r="J138">
        <v>0</v>
      </c>
      <c r="K138">
        <v>0</v>
      </c>
      <c r="L138">
        <v>0</v>
      </c>
      <c r="M138">
        <v>1030</v>
      </c>
      <c r="N138" t="s">
        <v>102</v>
      </c>
      <c r="O138">
        <v>0</v>
      </c>
      <c r="P138">
        <v>0</v>
      </c>
      <c r="R138">
        <v>0</v>
      </c>
      <c r="S138">
        <v>1030</v>
      </c>
      <c r="T138" t="s">
        <v>102</v>
      </c>
      <c r="U138" t="s">
        <v>102</v>
      </c>
      <c r="V138" t="s">
        <v>275</v>
      </c>
      <c r="X138" t="s">
        <v>25108</v>
      </c>
      <c r="Y138" t="s">
        <v>109</v>
      </c>
      <c r="Z138" t="s">
        <v>102</v>
      </c>
      <c r="AA138" t="s">
        <v>109</v>
      </c>
      <c r="AB138" t="s">
        <v>102</v>
      </c>
      <c r="AC138" t="s">
        <v>109</v>
      </c>
      <c r="AD138" t="s">
        <v>102</v>
      </c>
      <c r="AE138" t="s">
        <v>109</v>
      </c>
      <c r="AF138" t="s">
        <v>102</v>
      </c>
      <c r="AG138" t="s">
        <v>102</v>
      </c>
      <c r="AJ138" t="s">
        <v>102</v>
      </c>
      <c r="AK138" t="s">
        <v>102</v>
      </c>
      <c r="AL138" t="s">
        <v>102</v>
      </c>
      <c r="AM138" t="s">
        <v>115</v>
      </c>
      <c r="AN138" t="s">
        <v>115</v>
      </c>
      <c r="AS138" t="s">
        <v>117</v>
      </c>
      <c r="AT138" t="s">
        <v>118</v>
      </c>
      <c r="AU138" t="s">
        <v>102</v>
      </c>
      <c r="AV138" t="s">
        <v>119</v>
      </c>
      <c r="AY138" t="s">
        <v>250</v>
      </c>
      <c r="AZ138" t="s">
        <v>120</v>
      </c>
      <c r="BA138" t="s">
        <v>758</v>
      </c>
      <c r="BB138" t="s">
        <v>211</v>
      </c>
      <c r="BC138" t="s">
        <v>212</v>
      </c>
      <c r="BD138" t="s">
        <v>213</v>
      </c>
      <c r="BE138" t="s">
        <v>124</v>
      </c>
      <c r="BF138" t="s">
        <v>24888</v>
      </c>
      <c r="BG138" t="s">
        <v>23025</v>
      </c>
      <c r="BH138" t="s">
        <v>127</v>
      </c>
      <c r="BI138" t="s">
        <v>25109</v>
      </c>
      <c r="BJ138" t="s">
        <v>5869</v>
      </c>
      <c r="BK138" t="s">
        <v>25110</v>
      </c>
      <c r="BL138" t="s">
        <v>21857</v>
      </c>
      <c r="BM138" t="s">
        <v>24891</v>
      </c>
      <c r="BN138" t="s">
        <v>180</v>
      </c>
      <c r="BO138" t="s">
        <v>24892</v>
      </c>
      <c r="BP138" t="s">
        <v>24893</v>
      </c>
      <c r="BQ138" t="s">
        <v>222</v>
      </c>
      <c r="BS138" t="s">
        <v>25111</v>
      </c>
      <c r="BT138" t="s">
        <v>3585</v>
      </c>
      <c r="BV138" t="s">
        <v>225</v>
      </c>
      <c r="BW138" t="s">
        <v>8332</v>
      </c>
      <c r="BX138" t="s">
        <v>5872</v>
      </c>
      <c r="BY138" t="s">
        <v>25112</v>
      </c>
      <c r="BZ138" t="s">
        <v>5872</v>
      </c>
      <c r="CA138" t="s">
        <v>25113</v>
      </c>
      <c r="CB138" t="s">
        <v>25112</v>
      </c>
      <c r="CC138" t="s">
        <v>5872</v>
      </c>
      <c r="CD138" t="s">
        <v>25113</v>
      </c>
      <c r="CE138" t="s">
        <v>102</v>
      </c>
      <c r="CF138" t="s">
        <v>5873</v>
      </c>
      <c r="CH138" t="s">
        <v>765</v>
      </c>
      <c r="CJ138" t="s">
        <v>758</v>
      </c>
      <c r="CK138" t="s">
        <v>211</v>
      </c>
      <c r="CL138" t="s">
        <v>765</v>
      </c>
      <c r="CM138" t="s">
        <v>230</v>
      </c>
      <c r="CN138" t="s">
        <v>5873</v>
      </c>
      <c r="CO138" t="s">
        <v>5873</v>
      </c>
    </row>
    <row r="139" spans="1:93" hidden="1">
      <c r="A139" t="s">
        <v>149</v>
      </c>
      <c r="B139">
        <v>3400783</v>
      </c>
      <c r="C139" t="s">
        <v>5874</v>
      </c>
      <c r="D139" t="s">
        <v>21661</v>
      </c>
      <c r="E139" t="s">
        <v>22245</v>
      </c>
      <c r="F139" t="s">
        <v>152</v>
      </c>
      <c r="G139" t="s">
        <v>98</v>
      </c>
      <c r="H139" t="s">
        <v>22246</v>
      </c>
      <c r="I139" t="s">
        <v>100</v>
      </c>
      <c r="J139">
        <v>713589</v>
      </c>
      <c r="K139">
        <v>713589</v>
      </c>
      <c r="L139">
        <v>0</v>
      </c>
      <c r="M139">
        <v>0</v>
      </c>
      <c r="O139">
        <v>713589</v>
      </c>
      <c r="P139">
        <v>446</v>
      </c>
      <c r="Q139" t="s">
        <v>678</v>
      </c>
      <c r="R139">
        <v>0</v>
      </c>
      <c r="S139">
        <v>0</v>
      </c>
      <c r="U139" t="s">
        <v>102</v>
      </c>
      <c r="V139" t="s">
        <v>275</v>
      </c>
      <c r="X139" t="s">
        <v>21790</v>
      </c>
      <c r="Y139" t="s">
        <v>109</v>
      </c>
      <c r="Z139" t="s">
        <v>102</v>
      </c>
      <c r="AA139" t="s">
        <v>109</v>
      </c>
      <c r="AB139" t="s">
        <v>102</v>
      </c>
      <c r="AC139" t="s">
        <v>109</v>
      </c>
      <c r="AD139" t="s">
        <v>102</v>
      </c>
      <c r="AE139" t="s">
        <v>109</v>
      </c>
      <c r="AF139" t="s">
        <v>102</v>
      </c>
      <c r="AG139" t="s">
        <v>102</v>
      </c>
      <c r="AJ139" t="s">
        <v>24328</v>
      </c>
      <c r="AK139" t="s">
        <v>102</v>
      </c>
      <c r="AL139" t="s">
        <v>24328</v>
      </c>
      <c r="AM139" t="s">
        <v>22247</v>
      </c>
      <c r="AN139" t="s">
        <v>22247</v>
      </c>
      <c r="AS139" t="s">
        <v>102</v>
      </c>
      <c r="AU139" t="s">
        <v>102</v>
      </c>
      <c r="AV139" t="s">
        <v>119</v>
      </c>
      <c r="AW139" t="s">
        <v>170</v>
      </c>
      <c r="AX139" t="s">
        <v>118</v>
      </c>
      <c r="AZ139" t="s">
        <v>120</v>
      </c>
      <c r="BA139" t="s">
        <v>5878</v>
      </c>
      <c r="BB139" t="s">
        <v>5879</v>
      </c>
      <c r="BC139" t="s">
        <v>174</v>
      </c>
      <c r="BD139" t="s">
        <v>4405</v>
      </c>
      <c r="BE139" t="s">
        <v>124</v>
      </c>
      <c r="BF139" t="s">
        <v>16558</v>
      </c>
      <c r="BG139" t="s">
        <v>21667</v>
      </c>
      <c r="BH139" t="s">
        <v>127</v>
      </c>
      <c r="BI139" t="s">
        <v>22248</v>
      </c>
      <c r="BJ139" t="s">
        <v>5881</v>
      </c>
      <c r="BK139" t="s">
        <v>22249</v>
      </c>
      <c r="BL139" t="s">
        <v>22245</v>
      </c>
      <c r="BM139" t="s">
        <v>1108</v>
      </c>
      <c r="BN139" t="s">
        <v>505</v>
      </c>
      <c r="BO139" t="s">
        <v>1109</v>
      </c>
      <c r="BP139" t="s">
        <v>1110</v>
      </c>
      <c r="BQ139" t="s">
        <v>4413</v>
      </c>
      <c r="BS139" t="s">
        <v>22250</v>
      </c>
      <c r="BT139" t="s">
        <v>5884</v>
      </c>
      <c r="BU139" t="s">
        <v>138</v>
      </c>
      <c r="BV139" t="s">
        <v>15861</v>
      </c>
      <c r="BW139" t="s">
        <v>15862</v>
      </c>
      <c r="BX139" t="s">
        <v>5885</v>
      </c>
      <c r="BY139" t="s">
        <v>5884</v>
      </c>
      <c r="BZ139" t="s">
        <v>15861</v>
      </c>
      <c r="CA139" t="s">
        <v>15862</v>
      </c>
      <c r="CB139" t="s">
        <v>5884</v>
      </c>
      <c r="CC139" t="s">
        <v>15861</v>
      </c>
      <c r="CD139" t="s">
        <v>15862</v>
      </c>
      <c r="CE139" t="s">
        <v>102</v>
      </c>
      <c r="CF139" t="s">
        <v>15863</v>
      </c>
      <c r="CH139" t="s">
        <v>5889</v>
      </c>
      <c r="CJ139" t="s">
        <v>5878</v>
      </c>
      <c r="CK139" t="s">
        <v>5879</v>
      </c>
      <c r="CL139" t="s">
        <v>5889</v>
      </c>
      <c r="CN139" t="s">
        <v>5888</v>
      </c>
      <c r="CO139" t="s">
        <v>5888</v>
      </c>
    </row>
    <row r="140" spans="1:93">
      <c r="A140" t="s">
        <v>337</v>
      </c>
      <c r="B140">
        <v>3409378</v>
      </c>
      <c r="C140" t="s">
        <v>15907</v>
      </c>
      <c r="D140" t="s">
        <v>21661</v>
      </c>
      <c r="E140" t="s">
        <v>12728</v>
      </c>
      <c r="F140" t="s">
        <v>152</v>
      </c>
      <c r="G140" t="s">
        <v>98</v>
      </c>
      <c r="H140" t="s">
        <v>22251</v>
      </c>
      <c r="I140" t="s">
        <v>100</v>
      </c>
      <c r="J140">
        <v>564127</v>
      </c>
      <c r="K140">
        <v>564127</v>
      </c>
      <c r="L140">
        <v>0</v>
      </c>
      <c r="M140">
        <v>0</v>
      </c>
      <c r="O140">
        <v>564127</v>
      </c>
      <c r="P140">
        <v>738</v>
      </c>
      <c r="Q140" t="s">
        <v>22252</v>
      </c>
      <c r="R140">
        <v>0</v>
      </c>
      <c r="S140">
        <v>0</v>
      </c>
      <c r="U140" t="s">
        <v>102</v>
      </c>
      <c r="V140" t="s">
        <v>103</v>
      </c>
      <c r="W140" t="s">
        <v>155</v>
      </c>
      <c r="Y140" t="s">
        <v>12430</v>
      </c>
      <c r="Z140" t="s">
        <v>22253</v>
      </c>
      <c r="AA140" t="s">
        <v>13662</v>
      </c>
      <c r="AB140" t="s">
        <v>22254</v>
      </c>
      <c r="AC140" t="s">
        <v>22190</v>
      </c>
      <c r="AD140" t="s">
        <v>22255</v>
      </c>
      <c r="AE140" t="s">
        <v>21872</v>
      </c>
      <c r="AF140" t="s">
        <v>22255</v>
      </c>
      <c r="AG140" t="s">
        <v>102</v>
      </c>
      <c r="AH140" t="s">
        <v>21711</v>
      </c>
      <c r="AI140" t="s">
        <v>17126</v>
      </c>
      <c r="AJ140" t="s">
        <v>25830</v>
      </c>
      <c r="AK140" t="s">
        <v>22256</v>
      </c>
      <c r="AL140" t="s">
        <v>25831</v>
      </c>
      <c r="AM140" t="s">
        <v>22257</v>
      </c>
      <c r="AN140" t="s">
        <v>22257</v>
      </c>
      <c r="AS140" t="s">
        <v>102</v>
      </c>
      <c r="AU140" t="s">
        <v>102</v>
      </c>
      <c r="AV140" t="s">
        <v>119</v>
      </c>
      <c r="AW140" t="s">
        <v>1138</v>
      </c>
      <c r="AX140" t="s">
        <v>118</v>
      </c>
      <c r="AZ140" t="s">
        <v>120</v>
      </c>
      <c r="BA140" t="s">
        <v>409</v>
      </c>
      <c r="BB140" t="s">
        <v>410</v>
      </c>
      <c r="BC140" t="s">
        <v>212</v>
      </c>
      <c r="BD140" t="s">
        <v>410</v>
      </c>
      <c r="BE140" t="s">
        <v>124</v>
      </c>
      <c r="BF140" t="s">
        <v>12250</v>
      </c>
      <c r="BG140" t="s">
        <v>21667</v>
      </c>
      <c r="BH140" t="s">
        <v>127</v>
      </c>
      <c r="BI140" t="s">
        <v>22258</v>
      </c>
      <c r="BJ140" t="s">
        <v>15909</v>
      </c>
      <c r="BK140" t="s">
        <v>22259</v>
      </c>
      <c r="BL140" t="s">
        <v>12728</v>
      </c>
      <c r="BM140" t="s">
        <v>15911</v>
      </c>
      <c r="BN140" t="s">
        <v>132</v>
      </c>
      <c r="BO140" t="s">
        <v>15912</v>
      </c>
      <c r="BP140" t="s">
        <v>15913</v>
      </c>
      <c r="BQ140" t="s">
        <v>9337</v>
      </c>
      <c r="BS140" t="s">
        <v>22260</v>
      </c>
      <c r="BT140" t="s">
        <v>15915</v>
      </c>
      <c r="BU140" t="s">
        <v>598</v>
      </c>
      <c r="BV140" t="s">
        <v>22261</v>
      </c>
      <c r="BW140" t="s">
        <v>15917</v>
      </c>
      <c r="BX140" t="s">
        <v>15916</v>
      </c>
      <c r="BY140" t="s">
        <v>22262</v>
      </c>
      <c r="BZ140" t="s">
        <v>22261</v>
      </c>
      <c r="CA140" t="s">
        <v>22263</v>
      </c>
      <c r="CB140" t="s">
        <v>22262</v>
      </c>
      <c r="CC140" t="s">
        <v>22261</v>
      </c>
      <c r="CD140" t="s">
        <v>22263</v>
      </c>
      <c r="CE140" t="s">
        <v>573</v>
      </c>
      <c r="CF140" t="s">
        <v>15918</v>
      </c>
      <c r="CH140" t="s">
        <v>9348</v>
      </c>
      <c r="CI140" t="s">
        <v>15918</v>
      </c>
      <c r="CJ140" t="s">
        <v>409</v>
      </c>
      <c r="CK140" t="s">
        <v>410</v>
      </c>
      <c r="CL140" t="s">
        <v>9348</v>
      </c>
      <c r="CN140" t="s">
        <v>15918</v>
      </c>
      <c r="CO140" t="s">
        <v>15918</v>
      </c>
    </row>
    <row r="141" spans="1:93" hidden="1">
      <c r="A141" t="s">
        <v>149</v>
      </c>
      <c r="B141">
        <v>34097</v>
      </c>
      <c r="C141" t="s">
        <v>5938</v>
      </c>
      <c r="D141" t="s">
        <v>21661</v>
      </c>
      <c r="E141" t="s">
        <v>14400</v>
      </c>
      <c r="F141" t="s">
        <v>848</v>
      </c>
      <c r="G141" t="s">
        <v>98</v>
      </c>
      <c r="H141" t="s">
        <v>24329</v>
      </c>
      <c r="I141" t="s">
        <v>100</v>
      </c>
      <c r="J141">
        <v>508297</v>
      </c>
      <c r="K141">
        <v>599790</v>
      </c>
      <c r="L141">
        <v>0</v>
      </c>
      <c r="M141">
        <v>0</v>
      </c>
      <c r="O141">
        <v>0</v>
      </c>
      <c r="P141">
        <v>0</v>
      </c>
      <c r="R141">
        <v>508297</v>
      </c>
      <c r="S141">
        <v>196</v>
      </c>
      <c r="T141" t="s">
        <v>23115</v>
      </c>
      <c r="U141" t="s">
        <v>102</v>
      </c>
      <c r="V141" t="s">
        <v>103</v>
      </c>
      <c r="W141" t="s">
        <v>155</v>
      </c>
      <c r="Y141" t="s">
        <v>21843</v>
      </c>
      <c r="Z141" t="s">
        <v>24330</v>
      </c>
      <c r="AA141" t="s">
        <v>21664</v>
      </c>
      <c r="AB141" t="s">
        <v>24330</v>
      </c>
      <c r="AC141" t="s">
        <v>21665</v>
      </c>
      <c r="AD141" t="s">
        <v>24330</v>
      </c>
      <c r="AE141" t="s">
        <v>21687</v>
      </c>
      <c r="AF141" t="s">
        <v>24330</v>
      </c>
      <c r="AG141" t="s">
        <v>102</v>
      </c>
      <c r="AJ141" t="s">
        <v>24330</v>
      </c>
      <c r="AK141" t="s">
        <v>102</v>
      </c>
      <c r="AL141" t="s">
        <v>24330</v>
      </c>
      <c r="AM141" t="s">
        <v>23118</v>
      </c>
      <c r="AN141" t="s">
        <v>343</v>
      </c>
      <c r="AR141" t="s">
        <v>169</v>
      </c>
      <c r="AS141" t="s">
        <v>102</v>
      </c>
      <c r="AU141" t="s">
        <v>102</v>
      </c>
      <c r="AV141" t="s">
        <v>119</v>
      </c>
      <c r="AY141" t="s">
        <v>250</v>
      </c>
      <c r="AZ141" t="s">
        <v>120</v>
      </c>
      <c r="BA141" t="s">
        <v>2840</v>
      </c>
      <c r="BB141" t="s">
        <v>449</v>
      </c>
      <c r="BC141" t="s">
        <v>122</v>
      </c>
      <c r="BD141" t="s">
        <v>253</v>
      </c>
      <c r="BE141" t="s">
        <v>124</v>
      </c>
      <c r="BF141" t="s">
        <v>12250</v>
      </c>
      <c r="BG141" t="s">
        <v>21667</v>
      </c>
      <c r="BH141" t="s">
        <v>127</v>
      </c>
      <c r="BI141" t="s">
        <v>24331</v>
      </c>
      <c r="BJ141" t="s">
        <v>5946</v>
      </c>
      <c r="BK141" t="s">
        <v>24332</v>
      </c>
      <c r="BL141" t="s">
        <v>14400</v>
      </c>
      <c r="BM141" t="s">
        <v>3267</v>
      </c>
      <c r="BN141" t="s">
        <v>350</v>
      </c>
      <c r="BO141" t="s">
        <v>3268</v>
      </c>
      <c r="BP141" t="s">
        <v>3269</v>
      </c>
      <c r="BQ141" t="s">
        <v>135</v>
      </c>
      <c r="BS141" t="s">
        <v>24333</v>
      </c>
      <c r="BT141" t="s">
        <v>14179</v>
      </c>
      <c r="BU141" t="s">
        <v>598</v>
      </c>
      <c r="BV141" t="s">
        <v>14180</v>
      </c>
      <c r="BW141" t="s">
        <v>3633</v>
      </c>
      <c r="BX141" t="s">
        <v>5949</v>
      </c>
      <c r="BY141" t="s">
        <v>24334</v>
      </c>
      <c r="BZ141" t="s">
        <v>24335</v>
      </c>
      <c r="CA141" t="s">
        <v>24336</v>
      </c>
      <c r="CB141" t="s">
        <v>24337</v>
      </c>
      <c r="CC141" t="s">
        <v>24338</v>
      </c>
      <c r="CD141" t="s">
        <v>24336</v>
      </c>
      <c r="CE141" t="s">
        <v>102</v>
      </c>
      <c r="CF141" t="s">
        <v>15927</v>
      </c>
      <c r="CH141" t="s">
        <v>5951</v>
      </c>
      <c r="CJ141" t="s">
        <v>2840</v>
      </c>
      <c r="CK141" t="s">
        <v>449</v>
      </c>
      <c r="CL141" t="s">
        <v>5951</v>
      </c>
      <c r="CM141" t="s">
        <v>3637</v>
      </c>
      <c r="CN141" t="s">
        <v>5950</v>
      </c>
      <c r="CO141" t="s">
        <v>5950</v>
      </c>
    </row>
    <row r="142" spans="1:93">
      <c r="A142" t="s">
        <v>337</v>
      </c>
      <c r="B142">
        <v>343343</v>
      </c>
      <c r="C142" t="s">
        <v>15949</v>
      </c>
      <c r="D142" t="s">
        <v>21661</v>
      </c>
      <c r="E142" t="s">
        <v>12383</v>
      </c>
      <c r="F142" t="s">
        <v>848</v>
      </c>
      <c r="G142" t="s">
        <v>98</v>
      </c>
      <c r="H142" t="s">
        <v>22264</v>
      </c>
      <c r="I142" t="s">
        <v>100</v>
      </c>
      <c r="J142">
        <v>748000</v>
      </c>
      <c r="K142">
        <v>882460</v>
      </c>
      <c r="L142">
        <v>0</v>
      </c>
      <c r="M142">
        <v>0</v>
      </c>
      <c r="N142" t="s">
        <v>102</v>
      </c>
      <c r="O142">
        <v>0</v>
      </c>
      <c r="P142">
        <v>0</v>
      </c>
      <c r="Q142" t="s">
        <v>102</v>
      </c>
      <c r="R142">
        <v>748000</v>
      </c>
      <c r="S142">
        <v>440</v>
      </c>
      <c r="T142" t="s">
        <v>102</v>
      </c>
      <c r="U142" t="s">
        <v>102</v>
      </c>
      <c r="V142" t="s">
        <v>275</v>
      </c>
      <c r="W142" t="s">
        <v>115</v>
      </c>
      <c r="X142" t="s">
        <v>15950</v>
      </c>
      <c r="Y142" t="s">
        <v>15951</v>
      </c>
      <c r="Z142" t="s">
        <v>102</v>
      </c>
      <c r="AA142" t="s">
        <v>15951</v>
      </c>
      <c r="AB142" t="s">
        <v>102</v>
      </c>
      <c r="AC142" t="s">
        <v>15951</v>
      </c>
      <c r="AD142" t="s">
        <v>102</v>
      </c>
      <c r="AE142" t="s">
        <v>15951</v>
      </c>
      <c r="AF142" t="s">
        <v>102</v>
      </c>
      <c r="AG142" t="s">
        <v>102</v>
      </c>
      <c r="AH142" t="s">
        <v>12383</v>
      </c>
      <c r="AI142" t="s">
        <v>12383</v>
      </c>
      <c r="AJ142" t="s">
        <v>22265</v>
      </c>
      <c r="AK142" t="s">
        <v>102</v>
      </c>
      <c r="AL142" t="s">
        <v>22265</v>
      </c>
      <c r="AM142" t="s">
        <v>2202</v>
      </c>
      <c r="AN142" t="s">
        <v>2202</v>
      </c>
      <c r="AO142" t="s">
        <v>102</v>
      </c>
      <c r="AP142" t="s">
        <v>102</v>
      </c>
      <c r="AQ142" t="s">
        <v>102</v>
      </c>
      <c r="AR142" t="s">
        <v>102</v>
      </c>
      <c r="AS142" t="s">
        <v>102</v>
      </c>
      <c r="AU142" t="s">
        <v>102</v>
      </c>
      <c r="AV142" t="s">
        <v>119</v>
      </c>
      <c r="AY142" t="s">
        <v>250</v>
      </c>
      <c r="AZ142" t="s">
        <v>120</v>
      </c>
      <c r="BA142" t="s">
        <v>4889</v>
      </c>
      <c r="BB142" t="s">
        <v>730</v>
      </c>
      <c r="BC142" t="s">
        <v>622</v>
      </c>
      <c r="BD142" t="s">
        <v>730</v>
      </c>
      <c r="BE142" t="s">
        <v>124</v>
      </c>
      <c r="BF142" t="s">
        <v>24339</v>
      </c>
      <c r="BG142" t="s">
        <v>22266</v>
      </c>
      <c r="BH142" t="s">
        <v>15624</v>
      </c>
      <c r="BI142" t="s">
        <v>22267</v>
      </c>
      <c r="BJ142" t="s">
        <v>15960</v>
      </c>
      <c r="BK142" t="s">
        <v>22268</v>
      </c>
      <c r="BL142" t="s">
        <v>12383</v>
      </c>
      <c r="BM142" t="s">
        <v>15962</v>
      </c>
      <c r="BN142" t="s">
        <v>3064</v>
      </c>
      <c r="BO142" t="s">
        <v>15963</v>
      </c>
      <c r="BP142" t="s">
        <v>15964</v>
      </c>
      <c r="BQ142" t="s">
        <v>15965</v>
      </c>
      <c r="BR142" t="s">
        <v>15966</v>
      </c>
      <c r="BS142" t="s">
        <v>22269</v>
      </c>
      <c r="BT142" t="s">
        <v>22270</v>
      </c>
      <c r="BU142" t="s">
        <v>138</v>
      </c>
      <c r="BV142" t="s">
        <v>15969</v>
      </c>
      <c r="BW142" t="s">
        <v>22271</v>
      </c>
      <c r="BX142" t="s">
        <v>15971</v>
      </c>
      <c r="BY142" t="s">
        <v>15972</v>
      </c>
      <c r="BZ142" t="s">
        <v>15969</v>
      </c>
      <c r="CA142" t="s">
        <v>22271</v>
      </c>
      <c r="CB142" t="s">
        <v>15972</v>
      </c>
      <c r="CC142" t="s">
        <v>15969</v>
      </c>
      <c r="CD142" t="s">
        <v>22271</v>
      </c>
      <c r="CE142" t="s">
        <v>15973</v>
      </c>
      <c r="CF142" t="s">
        <v>15974</v>
      </c>
      <c r="CH142" t="s">
        <v>15975</v>
      </c>
      <c r="CI142" t="s">
        <v>15974</v>
      </c>
      <c r="CJ142" t="s">
        <v>4889</v>
      </c>
      <c r="CK142" t="s">
        <v>730</v>
      </c>
      <c r="CL142" t="s">
        <v>15975</v>
      </c>
      <c r="CN142" t="s">
        <v>15976</v>
      </c>
      <c r="CO142" t="s">
        <v>15976</v>
      </c>
    </row>
    <row r="143" spans="1:93" hidden="1">
      <c r="A143" t="s">
        <v>149</v>
      </c>
      <c r="B143">
        <v>3438724</v>
      </c>
      <c r="C143" t="s">
        <v>6026</v>
      </c>
      <c r="D143" t="s">
        <v>21661</v>
      </c>
      <c r="E143" t="s">
        <v>14400</v>
      </c>
      <c r="F143" t="s">
        <v>152</v>
      </c>
      <c r="G143" t="s">
        <v>98</v>
      </c>
      <c r="H143" t="s">
        <v>25114</v>
      </c>
      <c r="I143" t="s">
        <v>100</v>
      </c>
      <c r="J143">
        <v>84445</v>
      </c>
      <c r="K143">
        <v>84445</v>
      </c>
      <c r="L143">
        <v>0</v>
      </c>
      <c r="M143">
        <v>0</v>
      </c>
      <c r="O143">
        <v>84445</v>
      </c>
      <c r="P143">
        <v>56</v>
      </c>
      <c r="Q143" t="s">
        <v>25115</v>
      </c>
      <c r="R143">
        <v>0</v>
      </c>
      <c r="S143">
        <v>0</v>
      </c>
      <c r="U143" t="s">
        <v>102</v>
      </c>
      <c r="V143" t="s">
        <v>275</v>
      </c>
      <c r="X143" t="s">
        <v>21857</v>
      </c>
      <c r="Y143" t="s">
        <v>109</v>
      </c>
      <c r="Z143" t="s">
        <v>102</v>
      </c>
      <c r="AA143" t="s">
        <v>109</v>
      </c>
      <c r="AB143" t="s">
        <v>102</v>
      </c>
      <c r="AC143" t="s">
        <v>109</v>
      </c>
      <c r="AD143" t="s">
        <v>102</v>
      </c>
      <c r="AE143" t="s">
        <v>109</v>
      </c>
      <c r="AF143" t="s">
        <v>102</v>
      </c>
      <c r="AG143" t="s">
        <v>102</v>
      </c>
      <c r="AJ143" t="s">
        <v>25116</v>
      </c>
      <c r="AK143" t="s">
        <v>102</v>
      </c>
      <c r="AL143" t="s">
        <v>25116</v>
      </c>
      <c r="AM143" t="s">
        <v>25117</v>
      </c>
      <c r="AN143" t="s">
        <v>25117</v>
      </c>
      <c r="AS143" t="s">
        <v>102</v>
      </c>
      <c r="AU143" t="s">
        <v>102</v>
      </c>
      <c r="AV143" t="s">
        <v>447</v>
      </c>
      <c r="AW143" t="s">
        <v>170</v>
      </c>
      <c r="AX143" t="s">
        <v>118</v>
      </c>
      <c r="AZ143" t="s">
        <v>120</v>
      </c>
      <c r="BA143" t="s">
        <v>375</v>
      </c>
      <c r="BB143" t="s">
        <v>376</v>
      </c>
      <c r="BC143" t="s">
        <v>174</v>
      </c>
      <c r="BD143" t="s">
        <v>376</v>
      </c>
      <c r="BE143" t="s">
        <v>124</v>
      </c>
      <c r="BF143" t="s">
        <v>12250</v>
      </c>
      <c r="BG143" t="s">
        <v>21667</v>
      </c>
      <c r="BH143" t="s">
        <v>127</v>
      </c>
      <c r="BI143" t="s">
        <v>25118</v>
      </c>
      <c r="BJ143" t="s">
        <v>6036</v>
      </c>
      <c r="BK143" t="s">
        <v>25119</v>
      </c>
      <c r="BL143" t="s">
        <v>14400</v>
      </c>
      <c r="BM143" t="s">
        <v>1917</v>
      </c>
      <c r="BN143" t="s">
        <v>180</v>
      </c>
      <c r="BO143" t="s">
        <v>1918</v>
      </c>
      <c r="BP143" t="s">
        <v>1919</v>
      </c>
      <c r="BQ143" t="s">
        <v>384</v>
      </c>
      <c r="BS143" t="s">
        <v>25120</v>
      </c>
      <c r="BT143" t="s">
        <v>6039</v>
      </c>
      <c r="BU143" t="s">
        <v>138</v>
      </c>
      <c r="BV143" t="s">
        <v>6040</v>
      </c>
      <c r="BW143" t="s">
        <v>25121</v>
      </c>
      <c r="BX143" t="s">
        <v>6040</v>
      </c>
      <c r="BY143" t="s">
        <v>6039</v>
      </c>
      <c r="BZ143" t="s">
        <v>6040</v>
      </c>
      <c r="CA143" t="s">
        <v>25121</v>
      </c>
      <c r="CB143" t="s">
        <v>6039</v>
      </c>
      <c r="CC143" t="s">
        <v>6040</v>
      </c>
      <c r="CD143" t="s">
        <v>25121</v>
      </c>
      <c r="CE143" t="s">
        <v>102</v>
      </c>
      <c r="CF143" t="s">
        <v>6026</v>
      </c>
      <c r="CH143" t="s">
        <v>6046</v>
      </c>
      <c r="CJ143" t="s">
        <v>375</v>
      </c>
      <c r="CK143" t="s">
        <v>376</v>
      </c>
      <c r="CL143" t="s">
        <v>6046</v>
      </c>
      <c r="CM143" t="s">
        <v>6047</v>
      </c>
      <c r="CN143" t="s">
        <v>6048</v>
      </c>
      <c r="CO143" t="s">
        <v>6048</v>
      </c>
    </row>
    <row r="144" spans="1:93" hidden="1">
      <c r="A144" t="s">
        <v>149</v>
      </c>
      <c r="B144">
        <v>343881</v>
      </c>
      <c r="C144" t="s">
        <v>6049</v>
      </c>
      <c r="D144" t="s">
        <v>21661</v>
      </c>
      <c r="E144" t="s">
        <v>12129</v>
      </c>
      <c r="F144" t="s">
        <v>2163</v>
      </c>
      <c r="G144" t="s">
        <v>98</v>
      </c>
      <c r="H144" t="s">
        <v>25122</v>
      </c>
      <c r="I144" t="s">
        <v>100</v>
      </c>
      <c r="J144">
        <v>2591474</v>
      </c>
      <c r="K144">
        <v>2842953</v>
      </c>
      <c r="L144">
        <v>558070</v>
      </c>
      <c r="M144">
        <v>1395</v>
      </c>
      <c r="N144" t="s">
        <v>6051</v>
      </c>
      <c r="O144">
        <v>636300</v>
      </c>
      <c r="P144">
        <v>606</v>
      </c>
      <c r="Q144" t="s">
        <v>433</v>
      </c>
      <c r="R144">
        <v>1397104</v>
      </c>
      <c r="S144">
        <v>785</v>
      </c>
      <c r="T144" t="s">
        <v>4042</v>
      </c>
      <c r="U144" t="s">
        <v>102</v>
      </c>
      <c r="V144" t="s">
        <v>103</v>
      </c>
      <c r="W144" t="s">
        <v>155</v>
      </c>
      <c r="Y144" t="s">
        <v>19143</v>
      </c>
      <c r="Z144" t="s">
        <v>25123</v>
      </c>
      <c r="AA144" t="s">
        <v>21762</v>
      </c>
      <c r="AB144" t="s">
        <v>25123</v>
      </c>
      <c r="AC144" t="s">
        <v>21710</v>
      </c>
      <c r="AD144" t="s">
        <v>25123</v>
      </c>
      <c r="AE144" t="s">
        <v>21687</v>
      </c>
      <c r="AF144" t="s">
        <v>25123</v>
      </c>
      <c r="AG144" t="s">
        <v>102</v>
      </c>
      <c r="AJ144" t="s">
        <v>102</v>
      </c>
      <c r="AK144" t="s">
        <v>102</v>
      </c>
      <c r="AL144" t="s">
        <v>102</v>
      </c>
      <c r="AM144" t="s">
        <v>6062</v>
      </c>
      <c r="AN144" t="s">
        <v>25124</v>
      </c>
      <c r="AP144" t="s">
        <v>169</v>
      </c>
      <c r="AR144" t="s">
        <v>169</v>
      </c>
      <c r="AS144" t="s">
        <v>247</v>
      </c>
      <c r="AT144" t="s">
        <v>118</v>
      </c>
      <c r="AU144" t="s">
        <v>655</v>
      </c>
      <c r="AV144" t="s">
        <v>119</v>
      </c>
      <c r="AX144" t="s">
        <v>250</v>
      </c>
      <c r="AY144" t="s">
        <v>250</v>
      </c>
      <c r="AZ144" t="s">
        <v>120</v>
      </c>
      <c r="BA144" t="s">
        <v>4644</v>
      </c>
      <c r="BB144" t="s">
        <v>320</v>
      </c>
      <c r="BC144" t="s">
        <v>122</v>
      </c>
      <c r="BD144" t="s">
        <v>123</v>
      </c>
      <c r="BE144" t="s">
        <v>124</v>
      </c>
      <c r="BF144" t="s">
        <v>12250</v>
      </c>
      <c r="BG144" t="s">
        <v>21667</v>
      </c>
      <c r="BH144" t="s">
        <v>127</v>
      </c>
      <c r="BI144" t="s">
        <v>25125</v>
      </c>
      <c r="BJ144" t="s">
        <v>6064</v>
      </c>
      <c r="BK144" t="s">
        <v>25126</v>
      </c>
      <c r="BL144" t="s">
        <v>12129</v>
      </c>
      <c r="BM144" t="s">
        <v>23495</v>
      </c>
      <c r="BN144" t="s">
        <v>350</v>
      </c>
      <c r="BO144" t="s">
        <v>23496</v>
      </c>
      <c r="BP144" t="s">
        <v>23497</v>
      </c>
      <c r="BQ144" t="s">
        <v>328</v>
      </c>
      <c r="BS144" t="s">
        <v>25127</v>
      </c>
      <c r="BT144" t="s">
        <v>6067</v>
      </c>
      <c r="BU144" t="s">
        <v>138</v>
      </c>
      <c r="BV144" t="s">
        <v>6068</v>
      </c>
      <c r="BW144" t="s">
        <v>6069</v>
      </c>
      <c r="BX144" t="s">
        <v>6068</v>
      </c>
      <c r="BY144" t="s">
        <v>6067</v>
      </c>
      <c r="BZ144" t="s">
        <v>6068</v>
      </c>
      <c r="CA144" t="s">
        <v>6069</v>
      </c>
      <c r="CB144" t="s">
        <v>25128</v>
      </c>
      <c r="CC144" t="s">
        <v>25129</v>
      </c>
      <c r="CD144" t="s">
        <v>6071</v>
      </c>
      <c r="CE144" t="s">
        <v>102</v>
      </c>
      <c r="CF144" t="s">
        <v>16004</v>
      </c>
      <c r="CH144" t="s">
        <v>6073</v>
      </c>
      <c r="CJ144" t="s">
        <v>4644</v>
      </c>
      <c r="CK144" t="s">
        <v>320</v>
      </c>
      <c r="CL144" t="s">
        <v>6073</v>
      </c>
      <c r="CM144" t="s">
        <v>6074</v>
      </c>
      <c r="CN144" t="s">
        <v>6072</v>
      </c>
      <c r="CO144" t="s">
        <v>6072</v>
      </c>
    </row>
    <row r="145" spans="1:93" hidden="1">
      <c r="A145" t="s">
        <v>93</v>
      </c>
      <c r="B145">
        <v>3442227</v>
      </c>
      <c r="C145" t="s">
        <v>16005</v>
      </c>
      <c r="D145" t="s">
        <v>21661</v>
      </c>
      <c r="E145" t="s">
        <v>23689</v>
      </c>
      <c r="F145" t="s">
        <v>848</v>
      </c>
      <c r="G145" t="s">
        <v>98</v>
      </c>
      <c r="H145" t="s">
        <v>23799</v>
      </c>
      <c r="I145" t="s">
        <v>100</v>
      </c>
      <c r="J145">
        <v>248595</v>
      </c>
      <c r="K145">
        <v>293342</v>
      </c>
      <c r="L145">
        <v>0</v>
      </c>
      <c r="M145">
        <v>0</v>
      </c>
      <c r="O145">
        <v>0</v>
      </c>
      <c r="P145">
        <v>0</v>
      </c>
      <c r="R145">
        <v>248595</v>
      </c>
      <c r="S145">
        <v>194</v>
      </c>
      <c r="T145" t="s">
        <v>10554</v>
      </c>
      <c r="U145" t="s">
        <v>102</v>
      </c>
      <c r="V145" t="s">
        <v>103</v>
      </c>
      <c r="W145" t="s">
        <v>155</v>
      </c>
      <c r="Y145" t="s">
        <v>12250</v>
      </c>
      <c r="Z145" t="s">
        <v>23800</v>
      </c>
      <c r="AA145" t="s">
        <v>21664</v>
      </c>
      <c r="AB145" t="s">
        <v>23800</v>
      </c>
      <c r="AC145" t="s">
        <v>21665</v>
      </c>
      <c r="AD145" t="s">
        <v>23800</v>
      </c>
      <c r="AE145" t="s">
        <v>21687</v>
      </c>
      <c r="AF145" t="s">
        <v>23800</v>
      </c>
      <c r="AG145" t="s">
        <v>102</v>
      </c>
      <c r="AJ145" t="s">
        <v>23800</v>
      </c>
      <c r="AK145" t="s">
        <v>102</v>
      </c>
      <c r="AL145" t="s">
        <v>23800</v>
      </c>
      <c r="AM145" t="s">
        <v>7221</v>
      </c>
      <c r="AN145" t="s">
        <v>7221</v>
      </c>
      <c r="AS145" t="s">
        <v>102</v>
      </c>
      <c r="AU145" t="s">
        <v>102</v>
      </c>
      <c r="AV145" t="s">
        <v>119</v>
      </c>
      <c r="AY145" t="s">
        <v>250</v>
      </c>
      <c r="AZ145" t="s">
        <v>120</v>
      </c>
      <c r="BA145" t="s">
        <v>23801</v>
      </c>
      <c r="BB145" t="s">
        <v>4404</v>
      </c>
      <c r="BC145" t="s">
        <v>174</v>
      </c>
      <c r="BD145" t="s">
        <v>4405</v>
      </c>
      <c r="BE145" t="s">
        <v>124</v>
      </c>
      <c r="BF145" t="s">
        <v>12250</v>
      </c>
      <c r="BG145" t="s">
        <v>21667</v>
      </c>
      <c r="BH145" t="s">
        <v>127</v>
      </c>
      <c r="BI145" t="s">
        <v>23802</v>
      </c>
      <c r="BJ145" t="s">
        <v>16013</v>
      </c>
      <c r="BK145" t="s">
        <v>23803</v>
      </c>
      <c r="BL145" t="s">
        <v>23689</v>
      </c>
      <c r="BM145" t="s">
        <v>16015</v>
      </c>
      <c r="BN145" t="s">
        <v>180</v>
      </c>
      <c r="BO145" t="s">
        <v>16016</v>
      </c>
      <c r="BP145" t="s">
        <v>16017</v>
      </c>
      <c r="BQ145" t="s">
        <v>4413</v>
      </c>
      <c r="BS145" t="s">
        <v>23804</v>
      </c>
      <c r="BT145" t="s">
        <v>16019</v>
      </c>
      <c r="BU145" t="s">
        <v>138</v>
      </c>
      <c r="BV145" t="s">
        <v>16020</v>
      </c>
      <c r="BW145" t="s">
        <v>16021</v>
      </c>
      <c r="BX145" t="s">
        <v>16020</v>
      </c>
      <c r="BY145" t="s">
        <v>16019</v>
      </c>
      <c r="BZ145" t="s">
        <v>16020</v>
      </c>
      <c r="CA145" t="s">
        <v>16021</v>
      </c>
      <c r="CB145" t="s">
        <v>23805</v>
      </c>
      <c r="CC145" t="s">
        <v>16020</v>
      </c>
      <c r="CD145" t="s">
        <v>23806</v>
      </c>
      <c r="CE145" t="s">
        <v>16022</v>
      </c>
      <c r="CF145" t="s">
        <v>16023</v>
      </c>
      <c r="CH145" t="s">
        <v>16024</v>
      </c>
      <c r="CI145" t="s">
        <v>16025</v>
      </c>
      <c r="CJ145" t="s">
        <v>23801</v>
      </c>
      <c r="CK145" t="s">
        <v>4404</v>
      </c>
      <c r="CL145" t="s">
        <v>16024</v>
      </c>
      <c r="CN145" t="s">
        <v>16026</v>
      </c>
      <c r="CO145" t="s">
        <v>16026</v>
      </c>
    </row>
    <row r="146" spans="1:93">
      <c r="A146" t="s">
        <v>337</v>
      </c>
      <c r="B146">
        <v>3454135</v>
      </c>
      <c r="C146" t="s">
        <v>22272</v>
      </c>
      <c r="D146" t="s">
        <v>21661</v>
      </c>
      <c r="E146" t="s">
        <v>18517</v>
      </c>
      <c r="F146" t="s">
        <v>848</v>
      </c>
      <c r="G146" t="s">
        <v>98</v>
      </c>
      <c r="H146" t="s">
        <v>22273</v>
      </c>
      <c r="I146" t="s">
        <v>100</v>
      </c>
      <c r="J146">
        <v>2369518</v>
      </c>
      <c r="K146">
        <v>2796031</v>
      </c>
      <c r="L146">
        <v>0</v>
      </c>
      <c r="M146">
        <v>0</v>
      </c>
      <c r="O146">
        <v>0</v>
      </c>
      <c r="P146">
        <v>0</v>
      </c>
      <c r="R146">
        <v>2369518</v>
      </c>
      <c r="S146">
        <v>1481</v>
      </c>
      <c r="T146" t="s">
        <v>678</v>
      </c>
      <c r="U146" t="s">
        <v>102</v>
      </c>
      <c r="V146" t="s">
        <v>103</v>
      </c>
      <c r="W146" t="s">
        <v>155</v>
      </c>
      <c r="Y146" t="s">
        <v>18517</v>
      </c>
      <c r="Z146" t="s">
        <v>22274</v>
      </c>
      <c r="AA146" t="s">
        <v>21664</v>
      </c>
      <c r="AB146" t="s">
        <v>22274</v>
      </c>
      <c r="AC146" t="s">
        <v>21665</v>
      </c>
      <c r="AD146" t="s">
        <v>22274</v>
      </c>
      <c r="AE146" t="s">
        <v>21710</v>
      </c>
      <c r="AF146" t="s">
        <v>22274</v>
      </c>
      <c r="AG146" t="s">
        <v>22275</v>
      </c>
      <c r="AH146" t="s">
        <v>16235</v>
      </c>
      <c r="AI146" t="s">
        <v>16235</v>
      </c>
      <c r="AJ146" t="s">
        <v>22274</v>
      </c>
      <c r="AK146" t="s">
        <v>22276</v>
      </c>
      <c r="AL146" t="s">
        <v>22277</v>
      </c>
      <c r="AM146" t="s">
        <v>19302</v>
      </c>
      <c r="AN146" t="s">
        <v>19302</v>
      </c>
      <c r="AS146" t="s">
        <v>102</v>
      </c>
      <c r="AU146" t="s">
        <v>102</v>
      </c>
      <c r="AV146" t="s">
        <v>119</v>
      </c>
      <c r="AY146" t="s">
        <v>250</v>
      </c>
      <c r="AZ146" t="s">
        <v>120</v>
      </c>
      <c r="BA146" t="s">
        <v>1407</v>
      </c>
      <c r="BB146" t="s">
        <v>449</v>
      </c>
      <c r="BC146" t="s">
        <v>122</v>
      </c>
      <c r="BD146" t="s">
        <v>450</v>
      </c>
      <c r="BE146" t="s">
        <v>124</v>
      </c>
      <c r="BF146" t="s">
        <v>13208</v>
      </c>
      <c r="BG146" t="s">
        <v>24340</v>
      </c>
      <c r="BH146" t="s">
        <v>127</v>
      </c>
      <c r="BI146" t="s">
        <v>22278</v>
      </c>
      <c r="BJ146" t="s">
        <v>22279</v>
      </c>
      <c r="BK146" t="s">
        <v>22280</v>
      </c>
      <c r="BL146" t="s">
        <v>18517</v>
      </c>
      <c r="BM146" t="s">
        <v>131</v>
      </c>
      <c r="BN146" t="s">
        <v>350</v>
      </c>
      <c r="BO146" t="s">
        <v>133</v>
      </c>
      <c r="BP146" t="s">
        <v>134</v>
      </c>
      <c r="BQ146" t="s">
        <v>455</v>
      </c>
      <c r="BS146" t="s">
        <v>22281</v>
      </c>
      <c r="BT146" t="s">
        <v>4792</v>
      </c>
      <c r="BU146" t="s">
        <v>354</v>
      </c>
      <c r="BV146" t="s">
        <v>4793</v>
      </c>
      <c r="BW146" t="s">
        <v>4794</v>
      </c>
      <c r="BX146" t="s">
        <v>22282</v>
      </c>
      <c r="BY146" t="s">
        <v>22283</v>
      </c>
      <c r="BZ146" t="s">
        <v>22284</v>
      </c>
      <c r="CA146" t="s">
        <v>22285</v>
      </c>
      <c r="CB146" t="s">
        <v>22286</v>
      </c>
      <c r="CC146" t="s">
        <v>22282</v>
      </c>
      <c r="CD146" t="s">
        <v>22287</v>
      </c>
      <c r="CE146" t="s">
        <v>10788</v>
      </c>
      <c r="CF146" t="s">
        <v>22288</v>
      </c>
      <c r="CH146" t="s">
        <v>5235</v>
      </c>
      <c r="CI146" t="s">
        <v>22288</v>
      </c>
      <c r="CJ146" t="s">
        <v>1407</v>
      </c>
      <c r="CK146" t="s">
        <v>449</v>
      </c>
      <c r="CL146" t="s">
        <v>5235</v>
      </c>
      <c r="CM146" t="s">
        <v>4804</v>
      </c>
      <c r="CN146" t="s">
        <v>22288</v>
      </c>
      <c r="CO146" t="s">
        <v>22288</v>
      </c>
    </row>
    <row r="147" spans="1:93" hidden="1">
      <c r="A147" t="s">
        <v>93</v>
      </c>
      <c r="B147">
        <v>3460346</v>
      </c>
      <c r="C147" t="s">
        <v>16074</v>
      </c>
      <c r="D147" t="s">
        <v>21661</v>
      </c>
      <c r="E147" t="s">
        <v>12068</v>
      </c>
      <c r="F147" t="s">
        <v>152</v>
      </c>
      <c r="G147" t="s">
        <v>98</v>
      </c>
      <c r="H147" t="s">
        <v>25130</v>
      </c>
      <c r="I147" t="s">
        <v>100</v>
      </c>
      <c r="J147">
        <v>288514</v>
      </c>
      <c r="K147">
        <v>288514</v>
      </c>
      <c r="L147">
        <v>0</v>
      </c>
      <c r="M147">
        <v>0</v>
      </c>
      <c r="O147">
        <v>288514</v>
      </c>
      <c r="P147">
        <v>400</v>
      </c>
      <c r="Q147" t="s">
        <v>22970</v>
      </c>
      <c r="R147">
        <v>0</v>
      </c>
      <c r="S147">
        <v>0</v>
      </c>
      <c r="U147" t="s">
        <v>102</v>
      </c>
      <c r="V147" t="s">
        <v>103</v>
      </c>
      <c r="W147" t="s">
        <v>155</v>
      </c>
      <c r="Y147" t="s">
        <v>21857</v>
      </c>
      <c r="Z147" t="s">
        <v>25131</v>
      </c>
      <c r="AA147" t="s">
        <v>21826</v>
      </c>
      <c r="AB147" t="s">
        <v>25131</v>
      </c>
      <c r="AC147" t="s">
        <v>21828</v>
      </c>
      <c r="AD147" t="s">
        <v>25131</v>
      </c>
      <c r="AE147" t="s">
        <v>21687</v>
      </c>
      <c r="AF147" t="s">
        <v>25131</v>
      </c>
      <c r="AG147" t="s">
        <v>102</v>
      </c>
      <c r="AJ147" t="s">
        <v>25131</v>
      </c>
      <c r="AK147" t="s">
        <v>102</v>
      </c>
      <c r="AL147" t="s">
        <v>25131</v>
      </c>
      <c r="AM147" t="s">
        <v>1578</v>
      </c>
      <c r="AN147" t="s">
        <v>1578</v>
      </c>
      <c r="AS147" t="s">
        <v>102</v>
      </c>
      <c r="AU147" t="s">
        <v>104</v>
      </c>
      <c r="AV147" t="s">
        <v>447</v>
      </c>
      <c r="AW147" t="s">
        <v>170</v>
      </c>
      <c r="AX147" t="s">
        <v>118</v>
      </c>
      <c r="AZ147" t="s">
        <v>120</v>
      </c>
      <c r="BA147" t="s">
        <v>375</v>
      </c>
      <c r="BB147" t="s">
        <v>376</v>
      </c>
      <c r="BC147" t="s">
        <v>174</v>
      </c>
      <c r="BD147" t="s">
        <v>376</v>
      </c>
      <c r="BE147" t="s">
        <v>124</v>
      </c>
      <c r="BF147" t="s">
        <v>24272</v>
      </c>
      <c r="BG147" t="s">
        <v>21667</v>
      </c>
      <c r="BH147" t="s">
        <v>127</v>
      </c>
      <c r="BI147" t="s">
        <v>25132</v>
      </c>
      <c r="BJ147" t="s">
        <v>16081</v>
      </c>
      <c r="BK147" t="s">
        <v>25133</v>
      </c>
      <c r="BL147" t="s">
        <v>12068</v>
      </c>
      <c r="BM147" t="s">
        <v>6926</v>
      </c>
      <c r="BN147" t="s">
        <v>180</v>
      </c>
      <c r="BO147" t="s">
        <v>6927</v>
      </c>
      <c r="BP147" t="s">
        <v>6928</v>
      </c>
      <c r="BQ147" t="s">
        <v>1858</v>
      </c>
      <c r="BS147" t="s">
        <v>25134</v>
      </c>
      <c r="BT147" t="s">
        <v>25135</v>
      </c>
      <c r="BU147" t="s">
        <v>354</v>
      </c>
      <c r="BV147" t="s">
        <v>16085</v>
      </c>
      <c r="BW147" t="s">
        <v>25136</v>
      </c>
      <c r="BX147" t="s">
        <v>16085</v>
      </c>
      <c r="BY147" t="s">
        <v>25135</v>
      </c>
      <c r="BZ147" t="s">
        <v>16085</v>
      </c>
      <c r="CA147" t="s">
        <v>25136</v>
      </c>
      <c r="CB147" t="s">
        <v>25135</v>
      </c>
      <c r="CC147" t="s">
        <v>16085</v>
      </c>
      <c r="CD147" t="s">
        <v>25136</v>
      </c>
      <c r="CE147" t="s">
        <v>16087</v>
      </c>
      <c r="CF147" t="s">
        <v>16088</v>
      </c>
      <c r="CH147" t="s">
        <v>1866</v>
      </c>
      <c r="CI147" t="s">
        <v>16088</v>
      </c>
      <c r="CJ147" t="s">
        <v>375</v>
      </c>
      <c r="CK147" t="s">
        <v>376</v>
      </c>
      <c r="CL147" t="s">
        <v>1866</v>
      </c>
      <c r="CN147" t="s">
        <v>16088</v>
      </c>
      <c r="CO147" t="s">
        <v>16088</v>
      </c>
    </row>
    <row r="148" spans="1:93">
      <c r="A148" t="s">
        <v>337</v>
      </c>
      <c r="B148">
        <v>3460641</v>
      </c>
      <c r="C148" t="s">
        <v>22289</v>
      </c>
      <c r="D148" t="s">
        <v>21661</v>
      </c>
      <c r="E148" t="s">
        <v>22290</v>
      </c>
      <c r="F148" t="s">
        <v>848</v>
      </c>
      <c r="G148" t="s">
        <v>98</v>
      </c>
      <c r="H148" t="s">
        <v>22291</v>
      </c>
      <c r="I148" t="s">
        <v>100</v>
      </c>
      <c r="J148">
        <v>1149971</v>
      </c>
      <c r="K148">
        <v>1356966</v>
      </c>
      <c r="L148">
        <v>0</v>
      </c>
      <c r="M148">
        <v>0</v>
      </c>
      <c r="O148">
        <v>0</v>
      </c>
      <c r="P148">
        <v>0</v>
      </c>
      <c r="R148">
        <v>1149971</v>
      </c>
      <c r="S148">
        <v>660</v>
      </c>
      <c r="T148" t="s">
        <v>22292</v>
      </c>
      <c r="U148" t="s">
        <v>102</v>
      </c>
      <c r="V148" t="s">
        <v>103</v>
      </c>
      <c r="W148" t="s">
        <v>155</v>
      </c>
      <c r="Y148" t="s">
        <v>13302</v>
      </c>
      <c r="Z148" t="s">
        <v>22293</v>
      </c>
      <c r="AA148" t="s">
        <v>21664</v>
      </c>
      <c r="AB148" t="s">
        <v>22293</v>
      </c>
      <c r="AC148" t="s">
        <v>21665</v>
      </c>
      <c r="AD148" t="s">
        <v>22293</v>
      </c>
      <c r="AE148" t="s">
        <v>21945</v>
      </c>
      <c r="AF148" t="s">
        <v>22293</v>
      </c>
      <c r="AG148" t="s">
        <v>25137</v>
      </c>
      <c r="AH148" t="s">
        <v>12680</v>
      </c>
      <c r="AI148" t="s">
        <v>24272</v>
      </c>
      <c r="AJ148" t="s">
        <v>22293</v>
      </c>
      <c r="AK148" t="s">
        <v>25138</v>
      </c>
      <c r="AL148" t="s">
        <v>102</v>
      </c>
      <c r="AM148" t="s">
        <v>22294</v>
      </c>
      <c r="AN148" t="s">
        <v>22294</v>
      </c>
      <c r="AS148" t="s">
        <v>102</v>
      </c>
      <c r="AU148" t="s">
        <v>102</v>
      </c>
      <c r="AV148" t="s">
        <v>119</v>
      </c>
      <c r="AY148" t="s">
        <v>250</v>
      </c>
      <c r="AZ148" t="s">
        <v>120</v>
      </c>
      <c r="BA148" t="s">
        <v>22295</v>
      </c>
      <c r="BB148" t="s">
        <v>121</v>
      </c>
      <c r="BC148" t="s">
        <v>122</v>
      </c>
      <c r="BD148" t="s">
        <v>123</v>
      </c>
      <c r="BE148" t="s">
        <v>124</v>
      </c>
      <c r="BF148" t="s">
        <v>12250</v>
      </c>
      <c r="BG148" t="s">
        <v>21667</v>
      </c>
      <c r="BH148" t="s">
        <v>127</v>
      </c>
      <c r="BI148" t="s">
        <v>22296</v>
      </c>
      <c r="BJ148" t="s">
        <v>22297</v>
      </c>
      <c r="BK148" t="s">
        <v>22298</v>
      </c>
      <c r="BL148" t="s">
        <v>22290</v>
      </c>
      <c r="BM148" t="s">
        <v>131</v>
      </c>
      <c r="BN148" t="s">
        <v>350</v>
      </c>
      <c r="BO148" t="s">
        <v>133</v>
      </c>
      <c r="BP148" t="s">
        <v>134</v>
      </c>
      <c r="BQ148" t="s">
        <v>455</v>
      </c>
      <c r="BS148" t="s">
        <v>22299</v>
      </c>
      <c r="BT148" t="s">
        <v>22300</v>
      </c>
      <c r="BU148" t="s">
        <v>598</v>
      </c>
      <c r="BV148" t="s">
        <v>22301</v>
      </c>
      <c r="BW148" t="s">
        <v>22302</v>
      </c>
      <c r="BY148" t="s">
        <v>22300</v>
      </c>
      <c r="BZ148" t="s">
        <v>22301</v>
      </c>
      <c r="CA148" t="s">
        <v>22302</v>
      </c>
      <c r="CB148" t="s">
        <v>22303</v>
      </c>
      <c r="CC148" t="s">
        <v>22304</v>
      </c>
      <c r="CD148" t="s">
        <v>22305</v>
      </c>
      <c r="CE148" t="s">
        <v>19943</v>
      </c>
      <c r="CF148" t="s">
        <v>22306</v>
      </c>
      <c r="CH148" t="s">
        <v>22307</v>
      </c>
      <c r="CI148" t="s">
        <v>22289</v>
      </c>
      <c r="CJ148" t="s">
        <v>121</v>
      </c>
      <c r="CK148" t="s">
        <v>121</v>
      </c>
      <c r="CL148" t="s">
        <v>22307</v>
      </c>
      <c r="CM148" t="s">
        <v>22308</v>
      </c>
      <c r="CN148" t="s">
        <v>22289</v>
      </c>
      <c r="CO148" t="s">
        <v>13983</v>
      </c>
    </row>
    <row r="149" spans="1:93" hidden="1">
      <c r="A149" t="s">
        <v>149</v>
      </c>
      <c r="B149">
        <v>3464699</v>
      </c>
      <c r="C149" t="s">
        <v>6171</v>
      </c>
      <c r="D149" t="s">
        <v>21661</v>
      </c>
      <c r="E149" t="s">
        <v>15011</v>
      </c>
      <c r="F149" t="s">
        <v>152</v>
      </c>
      <c r="G149" t="s">
        <v>98</v>
      </c>
      <c r="H149" t="s">
        <v>22309</v>
      </c>
      <c r="I149" t="s">
        <v>100</v>
      </c>
      <c r="J149">
        <v>420420</v>
      </c>
      <c r="K149">
        <v>420420</v>
      </c>
      <c r="L149">
        <v>0</v>
      </c>
      <c r="M149">
        <v>0</v>
      </c>
      <c r="O149">
        <v>420420</v>
      </c>
      <c r="P149">
        <v>210</v>
      </c>
      <c r="Q149" t="s">
        <v>22310</v>
      </c>
      <c r="R149">
        <v>0</v>
      </c>
      <c r="S149">
        <v>0</v>
      </c>
      <c r="U149" t="s">
        <v>102</v>
      </c>
      <c r="V149" t="s">
        <v>103</v>
      </c>
      <c r="W149" t="s">
        <v>155</v>
      </c>
      <c r="Y149" t="s">
        <v>22103</v>
      </c>
      <c r="Z149" t="s">
        <v>22311</v>
      </c>
      <c r="AA149" t="s">
        <v>22312</v>
      </c>
      <c r="AB149" t="s">
        <v>22311</v>
      </c>
      <c r="AC149" t="s">
        <v>22071</v>
      </c>
      <c r="AD149" t="s">
        <v>22311</v>
      </c>
      <c r="AE149" t="s">
        <v>21874</v>
      </c>
      <c r="AF149" t="s">
        <v>22311</v>
      </c>
      <c r="AG149" t="s">
        <v>102</v>
      </c>
      <c r="AJ149" t="s">
        <v>102</v>
      </c>
      <c r="AK149" t="s">
        <v>102</v>
      </c>
      <c r="AL149" t="s">
        <v>102</v>
      </c>
      <c r="AM149" t="s">
        <v>22313</v>
      </c>
      <c r="AN149" t="s">
        <v>22313</v>
      </c>
      <c r="AS149" t="s">
        <v>102</v>
      </c>
      <c r="AU149" t="s">
        <v>155</v>
      </c>
      <c r="AV149" t="s">
        <v>447</v>
      </c>
      <c r="AW149" t="s">
        <v>170</v>
      </c>
      <c r="AX149" t="s">
        <v>118</v>
      </c>
      <c r="AZ149" t="s">
        <v>120</v>
      </c>
      <c r="BA149" t="s">
        <v>6176</v>
      </c>
      <c r="BB149" t="s">
        <v>556</v>
      </c>
      <c r="BC149" t="s">
        <v>122</v>
      </c>
      <c r="BD149" t="s">
        <v>557</v>
      </c>
      <c r="BE149" t="s">
        <v>124</v>
      </c>
      <c r="BF149" t="s">
        <v>12250</v>
      </c>
      <c r="BG149" t="s">
        <v>21667</v>
      </c>
      <c r="BH149" t="s">
        <v>127</v>
      </c>
      <c r="BI149" t="s">
        <v>22314</v>
      </c>
      <c r="BJ149" t="s">
        <v>6179</v>
      </c>
      <c r="BK149" t="s">
        <v>22315</v>
      </c>
      <c r="BL149" t="s">
        <v>15011</v>
      </c>
      <c r="BM149" t="s">
        <v>12743</v>
      </c>
      <c r="BN149" t="s">
        <v>350</v>
      </c>
      <c r="BO149" t="s">
        <v>12744</v>
      </c>
      <c r="BP149" t="s">
        <v>12745</v>
      </c>
      <c r="BQ149" t="s">
        <v>1074</v>
      </c>
      <c r="BS149" t="s">
        <v>22316</v>
      </c>
      <c r="BT149" t="s">
        <v>6182</v>
      </c>
      <c r="BU149" t="s">
        <v>354</v>
      </c>
      <c r="BV149" t="s">
        <v>6183</v>
      </c>
      <c r="BW149" t="s">
        <v>6184</v>
      </c>
      <c r="BX149" t="s">
        <v>6183</v>
      </c>
      <c r="BY149" t="s">
        <v>22317</v>
      </c>
      <c r="BZ149" t="s">
        <v>22318</v>
      </c>
      <c r="CA149" t="s">
        <v>22319</v>
      </c>
      <c r="CB149" t="s">
        <v>22317</v>
      </c>
      <c r="CC149" t="s">
        <v>22318</v>
      </c>
      <c r="CD149" t="s">
        <v>22319</v>
      </c>
      <c r="CE149" t="s">
        <v>6185</v>
      </c>
      <c r="CF149" t="s">
        <v>16097</v>
      </c>
      <c r="CH149" t="s">
        <v>6187</v>
      </c>
      <c r="CI149" t="s">
        <v>16098</v>
      </c>
      <c r="CJ149" t="s">
        <v>6176</v>
      </c>
      <c r="CK149" t="s">
        <v>556</v>
      </c>
      <c r="CL149" t="s">
        <v>6187</v>
      </c>
      <c r="CN149" t="s">
        <v>6186</v>
      </c>
      <c r="CO149" t="s">
        <v>6186</v>
      </c>
    </row>
    <row r="150" spans="1:93" hidden="1">
      <c r="A150" t="s">
        <v>149</v>
      </c>
      <c r="B150">
        <v>346484</v>
      </c>
      <c r="C150" t="s">
        <v>6188</v>
      </c>
      <c r="D150" t="s">
        <v>21661</v>
      </c>
      <c r="E150" t="s">
        <v>13867</v>
      </c>
      <c r="F150" t="s">
        <v>152</v>
      </c>
      <c r="G150" t="s">
        <v>98</v>
      </c>
      <c r="H150" t="s">
        <v>22320</v>
      </c>
      <c r="I150" t="s">
        <v>100</v>
      </c>
      <c r="J150">
        <v>2829096</v>
      </c>
      <c r="K150">
        <v>2829096</v>
      </c>
      <c r="L150">
        <v>0</v>
      </c>
      <c r="M150">
        <v>0</v>
      </c>
      <c r="O150">
        <v>2829096</v>
      </c>
      <c r="P150">
        <v>1061</v>
      </c>
      <c r="Q150" t="s">
        <v>22321</v>
      </c>
      <c r="R150">
        <v>0</v>
      </c>
      <c r="S150">
        <v>0</v>
      </c>
      <c r="U150" t="s">
        <v>102</v>
      </c>
      <c r="V150" t="s">
        <v>275</v>
      </c>
      <c r="X150" t="s">
        <v>22322</v>
      </c>
      <c r="Y150" t="s">
        <v>109</v>
      </c>
      <c r="Z150" t="s">
        <v>102</v>
      </c>
      <c r="AA150" t="s">
        <v>109</v>
      </c>
      <c r="AB150" t="s">
        <v>102</v>
      </c>
      <c r="AC150" t="s">
        <v>109</v>
      </c>
      <c r="AD150" t="s">
        <v>102</v>
      </c>
      <c r="AE150" t="s">
        <v>109</v>
      </c>
      <c r="AF150" t="s">
        <v>102</v>
      </c>
      <c r="AG150" t="s">
        <v>22323</v>
      </c>
      <c r="AH150" t="s">
        <v>11933</v>
      </c>
      <c r="AI150" t="s">
        <v>11933</v>
      </c>
      <c r="AJ150" t="s">
        <v>22324</v>
      </c>
      <c r="AK150" t="s">
        <v>22325</v>
      </c>
      <c r="AL150" t="s">
        <v>22326</v>
      </c>
      <c r="AM150" t="s">
        <v>22327</v>
      </c>
      <c r="AN150" t="s">
        <v>22327</v>
      </c>
      <c r="AS150" t="s">
        <v>102</v>
      </c>
      <c r="AU150" t="s">
        <v>155</v>
      </c>
      <c r="AV150" t="s">
        <v>447</v>
      </c>
      <c r="AW150" t="s">
        <v>170</v>
      </c>
      <c r="AX150" t="s">
        <v>118</v>
      </c>
      <c r="AZ150" t="s">
        <v>171</v>
      </c>
      <c r="BA150" t="s">
        <v>6194</v>
      </c>
      <c r="BB150" t="s">
        <v>376</v>
      </c>
      <c r="BC150" t="s">
        <v>174</v>
      </c>
      <c r="BD150" t="s">
        <v>376</v>
      </c>
      <c r="BE150" t="s">
        <v>124</v>
      </c>
      <c r="BF150" t="s">
        <v>6615</v>
      </c>
      <c r="BG150" t="s">
        <v>22328</v>
      </c>
      <c r="BH150" t="s">
        <v>127</v>
      </c>
      <c r="BI150" t="s">
        <v>22329</v>
      </c>
      <c r="BJ150" t="s">
        <v>6196</v>
      </c>
      <c r="BK150" t="s">
        <v>22330</v>
      </c>
      <c r="BL150" t="s">
        <v>13867</v>
      </c>
      <c r="BM150" t="s">
        <v>1917</v>
      </c>
      <c r="BN150" t="s">
        <v>505</v>
      </c>
      <c r="BO150" t="s">
        <v>1918</v>
      </c>
      <c r="BP150" t="s">
        <v>1919</v>
      </c>
      <c r="BQ150" t="s">
        <v>5029</v>
      </c>
      <c r="BS150" t="s">
        <v>22331</v>
      </c>
      <c r="BT150" t="s">
        <v>16110</v>
      </c>
      <c r="BU150" t="s">
        <v>138</v>
      </c>
      <c r="BV150" t="s">
        <v>6200</v>
      </c>
      <c r="BW150" t="s">
        <v>6201</v>
      </c>
      <c r="BX150" t="s">
        <v>6200</v>
      </c>
      <c r="BY150" t="s">
        <v>16110</v>
      </c>
      <c r="BZ150" t="s">
        <v>6200</v>
      </c>
      <c r="CA150" t="s">
        <v>6201</v>
      </c>
      <c r="CB150" t="s">
        <v>16110</v>
      </c>
      <c r="CC150" t="s">
        <v>6200</v>
      </c>
      <c r="CD150" t="s">
        <v>6201</v>
      </c>
      <c r="CE150" t="s">
        <v>6205</v>
      </c>
      <c r="CF150" t="s">
        <v>6188</v>
      </c>
      <c r="CH150" t="s">
        <v>6207</v>
      </c>
      <c r="CI150" t="s">
        <v>16111</v>
      </c>
      <c r="CJ150" t="s">
        <v>6194</v>
      </c>
      <c r="CK150" t="s">
        <v>376</v>
      </c>
      <c r="CL150" t="s">
        <v>6207</v>
      </c>
      <c r="CM150" t="s">
        <v>6208</v>
      </c>
      <c r="CN150" t="s">
        <v>6206</v>
      </c>
      <c r="CO150" t="s">
        <v>6206</v>
      </c>
    </row>
    <row r="151" spans="1:93">
      <c r="A151" t="s">
        <v>337</v>
      </c>
      <c r="B151">
        <v>3465547</v>
      </c>
      <c r="C151" t="s">
        <v>22332</v>
      </c>
      <c r="D151" t="s">
        <v>21661</v>
      </c>
      <c r="E151" t="s">
        <v>13386</v>
      </c>
      <c r="F151" t="s">
        <v>97</v>
      </c>
      <c r="G151" t="s">
        <v>98</v>
      </c>
      <c r="H151" t="s">
        <v>22333</v>
      </c>
      <c r="I151" t="s">
        <v>100</v>
      </c>
      <c r="J151">
        <v>257250</v>
      </c>
      <c r="K151">
        <v>257250</v>
      </c>
      <c r="L151">
        <v>257250</v>
      </c>
      <c r="M151">
        <v>245</v>
      </c>
      <c r="N151" t="s">
        <v>433</v>
      </c>
      <c r="O151">
        <v>0</v>
      </c>
      <c r="P151">
        <v>0</v>
      </c>
      <c r="R151">
        <v>0</v>
      </c>
      <c r="S151">
        <v>0</v>
      </c>
      <c r="U151" t="s">
        <v>102</v>
      </c>
      <c r="V151" t="s">
        <v>103</v>
      </c>
      <c r="W151" t="s">
        <v>155</v>
      </c>
      <c r="Y151" t="s">
        <v>12729</v>
      </c>
      <c r="Z151" t="s">
        <v>22334</v>
      </c>
      <c r="AA151" t="s">
        <v>13208</v>
      </c>
      <c r="AB151" t="s">
        <v>22334</v>
      </c>
      <c r="AC151" t="s">
        <v>12435</v>
      </c>
      <c r="AD151" t="s">
        <v>22334</v>
      </c>
      <c r="AE151" t="s">
        <v>21731</v>
      </c>
      <c r="AF151" t="s">
        <v>22334</v>
      </c>
      <c r="AG151" t="s">
        <v>102</v>
      </c>
      <c r="AH151" t="s">
        <v>12729</v>
      </c>
      <c r="AI151" t="s">
        <v>12729</v>
      </c>
      <c r="AJ151" t="s">
        <v>24341</v>
      </c>
      <c r="AK151" t="s">
        <v>9917</v>
      </c>
      <c r="AL151" t="s">
        <v>24342</v>
      </c>
      <c r="AM151" t="s">
        <v>4664</v>
      </c>
      <c r="AN151" t="s">
        <v>4664</v>
      </c>
      <c r="AS151" t="s">
        <v>318</v>
      </c>
      <c r="AT151" t="s">
        <v>118</v>
      </c>
      <c r="AU151" t="s">
        <v>102</v>
      </c>
      <c r="AV151" t="s">
        <v>119</v>
      </c>
      <c r="AZ151" t="s">
        <v>120</v>
      </c>
      <c r="BA151" t="s">
        <v>9082</v>
      </c>
      <c r="BB151" t="s">
        <v>1244</v>
      </c>
      <c r="BC151" t="s">
        <v>122</v>
      </c>
      <c r="BD151" t="s">
        <v>1244</v>
      </c>
      <c r="BE151" t="s">
        <v>124</v>
      </c>
      <c r="BF151" t="s">
        <v>12250</v>
      </c>
      <c r="BG151" t="s">
        <v>21667</v>
      </c>
      <c r="BH151" t="s">
        <v>127</v>
      </c>
      <c r="BI151" t="s">
        <v>22335</v>
      </c>
      <c r="BJ151" t="s">
        <v>22336</v>
      </c>
      <c r="BK151" t="s">
        <v>22337</v>
      </c>
      <c r="BL151" t="s">
        <v>13386</v>
      </c>
      <c r="BM151" t="s">
        <v>19163</v>
      </c>
      <c r="BN151" t="s">
        <v>350</v>
      </c>
      <c r="BO151" t="s">
        <v>19164</v>
      </c>
      <c r="BP151" t="s">
        <v>19165</v>
      </c>
      <c r="BQ151" t="s">
        <v>10231</v>
      </c>
      <c r="BR151" t="s">
        <v>5574</v>
      </c>
      <c r="BS151" t="s">
        <v>22338</v>
      </c>
      <c r="BT151" t="s">
        <v>22339</v>
      </c>
      <c r="BU151" t="s">
        <v>138</v>
      </c>
      <c r="BV151" t="s">
        <v>22340</v>
      </c>
      <c r="BW151" t="s">
        <v>22341</v>
      </c>
      <c r="BX151" t="s">
        <v>22342</v>
      </c>
      <c r="BY151" t="s">
        <v>22339</v>
      </c>
      <c r="BZ151" t="s">
        <v>22340</v>
      </c>
      <c r="CA151" t="s">
        <v>22341</v>
      </c>
      <c r="CB151" t="s">
        <v>22339</v>
      </c>
      <c r="CC151" t="s">
        <v>22340</v>
      </c>
      <c r="CD151" t="s">
        <v>22341</v>
      </c>
      <c r="CE151" t="s">
        <v>22343</v>
      </c>
      <c r="CF151" t="s">
        <v>22344</v>
      </c>
      <c r="CH151" t="s">
        <v>22345</v>
      </c>
      <c r="CI151" t="s">
        <v>22344</v>
      </c>
      <c r="CJ151" t="s">
        <v>9082</v>
      </c>
      <c r="CK151" t="s">
        <v>1244</v>
      </c>
      <c r="CL151" t="s">
        <v>22345</v>
      </c>
      <c r="CN151" t="s">
        <v>22346</v>
      </c>
      <c r="CO151" t="s">
        <v>22346</v>
      </c>
    </row>
    <row r="152" spans="1:93" hidden="1">
      <c r="A152" t="s">
        <v>93</v>
      </c>
      <c r="B152">
        <v>3469794</v>
      </c>
      <c r="C152" t="s">
        <v>16112</v>
      </c>
      <c r="D152" t="s">
        <v>21661</v>
      </c>
      <c r="E152" t="s">
        <v>6615</v>
      </c>
      <c r="F152" t="s">
        <v>2044</v>
      </c>
      <c r="G152" t="s">
        <v>98</v>
      </c>
      <c r="H152" t="s">
        <v>23543</v>
      </c>
      <c r="I152" t="s">
        <v>100</v>
      </c>
      <c r="J152">
        <v>1030509</v>
      </c>
      <c r="K152">
        <v>1030509</v>
      </c>
      <c r="L152">
        <v>552058</v>
      </c>
      <c r="M152">
        <v>1073</v>
      </c>
      <c r="N152" t="s">
        <v>23544</v>
      </c>
      <c r="O152">
        <v>478451</v>
      </c>
      <c r="P152">
        <v>1073</v>
      </c>
      <c r="Q152" t="s">
        <v>23545</v>
      </c>
      <c r="R152">
        <v>0</v>
      </c>
      <c r="S152">
        <v>0</v>
      </c>
      <c r="U152" t="s">
        <v>102</v>
      </c>
      <c r="V152" t="s">
        <v>103</v>
      </c>
      <c r="W152" t="s">
        <v>155</v>
      </c>
      <c r="Y152" t="s">
        <v>21768</v>
      </c>
      <c r="Z152" t="s">
        <v>23546</v>
      </c>
      <c r="AA152" t="s">
        <v>12788</v>
      </c>
      <c r="AB152" t="s">
        <v>23546</v>
      </c>
      <c r="AC152" t="s">
        <v>23547</v>
      </c>
      <c r="AD152" t="s">
        <v>23546</v>
      </c>
      <c r="AE152" t="s">
        <v>21666</v>
      </c>
      <c r="AF152" t="s">
        <v>23546</v>
      </c>
      <c r="AG152" t="s">
        <v>102</v>
      </c>
      <c r="AJ152" t="s">
        <v>23546</v>
      </c>
      <c r="AK152" t="s">
        <v>102</v>
      </c>
      <c r="AL152" t="s">
        <v>23546</v>
      </c>
      <c r="AM152" t="s">
        <v>23548</v>
      </c>
      <c r="AN152" t="s">
        <v>23549</v>
      </c>
      <c r="AQ152" t="s">
        <v>169</v>
      </c>
      <c r="AS152" t="s">
        <v>117</v>
      </c>
      <c r="AT152" t="s">
        <v>118</v>
      </c>
      <c r="AU152" t="s">
        <v>104</v>
      </c>
      <c r="AV152" t="s">
        <v>447</v>
      </c>
      <c r="AW152" t="s">
        <v>170</v>
      </c>
      <c r="AX152" t="s">
        <v>118</v>
      </c>
      <c r="AZ152" t="s">
        <v>120</v>
      </c>
      <c r="BA152" t="s">
        <v>7324</v>
      </c>
      <c r="BB152" t="s">
        <v>556</v>
      </c>
      <c r="BC152" t="s">
        <v>122</v>
      </c>
      <c r="BD152" t="s">
        <v>557</v>
      </c>
      <c r="BE152" t="s">
        <v>124</v>
      </c>
      <c r="BF152" t="s">
        <v>12250</v>
      </c>
      <c r="BG152" t="s">
        <v>21667</v>
      </c>
      <c r="BH152" t="s">
        <v>127</v>
      </c>
      <c r="BI152" t="s">
        <v>23550</v>
      </c>
      <c r="BJ152" t="s">
        <v>16120</v>
      </c>
      <c r="BK152" t="s">
        <v>23551</v>
      </c>
      <c r="BL152" t="s">
        <v>6615</v>
      </c>
      <c r="BM152" t="s">
        <v>1071</v>
      </c>
      <c r="BN152" t="s">
        <v>350</v>
      </c>
      <c r="BO152" t="s">
        <v>1072</v>
      </c>
      <c r="BP152" t="s">
        <v>1073</v>
      </c>
      <c r="BQ152" t="s">
        <v>1074</v>
      </c>
      <c r="BS152" t="s">
        <v>23552</v>
      </c>
      <c r="BT152" t="s">
        <v>23553</v>
      </c>
      <c r="BU152" t="s">
        <v>354</v>
      </c>
      <c r="BV152" t="s">
        <v>16124</v>
      </c>
      <c r="BW152" t="s">
        <v>16125</v>
      </c>
      <c r="BX152" t="s">
        <v>16126</v>
      </c>
      <c r="BY152" t="s">
        <v>16127</v>
      </c>
      <c r="BZ152" t="s">
        <v>16124</v>
      </c>
      <c r="CA152" t="s">
        <v>16125</v>
      </c>
      <c r="CB152" t="s">
        <v>16127</v>
      </c>
      <c r="CC152" t="s">
        <v>16124</v>
      </c>
      <c r="CD152" t="s">
        <v>16125</v>
      </c>
      <c r="CE152" t="s">
        <v>16128</v>
      </c>
      <c r="CF152" t="s">
        <v>16129</v>
      </c>
      <c r="CH152" t="s">
        <v>7334</v>
      </c>
      <c r="CI152" t="s">
        <v>16130</v>
      </c>
      <c r="CJ152" t="s">
        <v>7324</v>
      </c>
      <c r="CK152" t="s">
        <v>556</v>
      </c>
      <c r="CL152" t="s">
        <v>7334</v>
      </c>
      <c r="CN152" t="s">
        <v>16131</v>
      </c>
      <c r="CO152" t="s">
        <v>16131</v>
      </c>
    </row>
    <row r="153" spans="1:93" hidden="1">
      <c r="A153" t="s">
        <v>149</v>
      </c>
      <c r="B153">
        <v>3475635</v>
      </c>
      <c r="C153" t="s">
        <v>16179</v>
      </c>
      <c r="D153" t="s">
        <v>21661</v>
      </c>
      <c r="E153" t="s">
        <v>13486</v>
      </c>
      <c r="F153" t="s">
        <v>97</v>
      </c>
      <c r="G153" t="s">
        <v>98</v>
      </c>
      <c r="H153" t="s">
        <v>22347</v>
      </c>
      <c r="I153" t="s">
        <v>100</v>
      </c>
      <c r="J153">
        <v>758175</v>
      </c>
      <c r="K153">
        <v>758175</v>
      </c>
      <c r="L153">
        <v>758175</v>
      </c>
      <c r="M153">
        <v>919</v>
      </c>
      <c r="N153" t="s">
        <v>3811</v>
      </c>
      <c r="O153">
        <v>0</v>
      </c>
      <c r="P153">
        <v>0</v>
      </c>
      <c r="R153">
        <v>0</v>
      </c>
      <c r="S153">
        <v>0</v>
      </c>
      <c r="U153" t="s">
        <v>102</v>
      </c>
      <c r="V153" t="s">
        <v>103</v>
      </c>
      <c r="W153" t="s">
        <v>104</v>
      </c>
      <c r="Y153" t="s">
        <v>13486</v>
      </c>
      <c r="Z153" t="s">
        <v>22348</v>
      </c>
      <c r="AA153" t="s">
        <v>19143</v>
      </c>
      <c r="AB153" t="s">
        <v>22349</v>
      </c>
      <c r="AC153" t="s">
        <v>109</v>
      </c>
      <c r="AD153" t="s">
        <v>102</v>
      </c>
      <c r="AE153" t="s">
        <v>109</v>
      </c>
      <c r="AF153" t="s">
        <v>102</v>
      </c>
      <c r="AG153" t="s">
        <v>102</v>
      </c>
      <c r="AJ153" t="s">
        <v>22348</v>
      </c>
      <c r="AK153" t="s">
        <v>102</v>
      </c>
      <c r="AL153" t="s">
        <v>22348</v>
      </c>
      <c r="AM153" t="s">
        <v>1826</v>
      </c>
      <c r="AN153" t="s">
        <v>1826</v>
      </c>
      <c r="AS153" t="s">
        <v>318</v>
      </c>
      <c r="AT153" t="s">
        <v>118</v>
      </c>
      <c r="AU153" t="s">
        <v>102</v>
      </c>
      <c r="AV153" t="s">
        <v>119</v>
      </c>
      <c r="AZ153" t="s">
        <v>171</v>
      </c>
      <c r="BA153" t="s">
        <v>6280</v>
      </c>
      <c r="BB153" t="s">
        <v>621</v>
      </c>
      <c r="BC153" t="s">
        <v>622</v>
      </c>
      <c r="BD153" t="s">
        <v>976</v>
      </c>
      <c r="BE153" t="s">
        <v>124</v>
      </c>
      <c r="BF153" t="s">
        <v>12250</v>
      </c>
      <c r="BG153" t="s">
        <v>21667</v>
      </c>
      <c r="BH153" t="s">
        <v>127</v>
      </c>
      <c r="BI153" t="s">
        <v>22350</v>
      </c>
      <c r="BJ153" t="s">
        <v>6282</v>
      </c>
      <c r="BK153" t="s">
        <v>22351</v>
      </c>
      <c r="BL153" t="s">
        <v>13486</v>
      </c>
      <c r="BM153" t="s">
        <v>629</v>
      </c>
      <c r="BN153" t="s">
        <v>132</v>
      </c>
      <c r="BO153" t="s">
        <v>630</v>
      </c>
      <c r="BP153" t="s">
        <v>631</v>
      </c>
      <c r="BQ153" t="s">
        <v>1342</v>
      </c>
      <c r="BS153" t="s">
        <v>22352</v>
      </c>
      <c r="BT153" t="s">
        <v>22353</v>
      </c>
      <c r="BU153" t="s">
        <v>138</v>
      </c>
      <c r="BV153" t="s">
        <v>6286</v>
      </c>
      <c r="BW153" t="s">
        <v>6287</v>
      </c>
      <c r="BX153" t="s">
        <v>6286</v>
      </c>
      <c r="BY153" t="s">
        <v>22353</v>
      </c>
      <c r="BZ153" t="s">
        <v>6286</v>
      </c>
      <c r="CA153" t="s">
        <v>6287</v>
      </c>
      <c r="CB153" t="s">
        <v>22353</v>
      </c>
      <c r="CC153" t="s">
        <v>6286</v>
      </c>
      <c r="CD153" t="s">
        <v>6287</v>
      </c>
      <c r="CE153" t="s">
        <v>6290</v>
      </c>
      <c r="CF153" t="s">
        <v>16203</v>
      </c>
      <c r="CH153" t="s">
        <v>11203</v>
      </c>
      <c r="CI153" t="s">
        <v>16203</v>
      </c>
      <c r="CJ153" t="s">
        <v>6280</v>
      </c>
      <c r="CK153" t="s">
        <v>621</v>
      </c>
      <c r="CL153" t="s">
        <v>11203</v>
      </c>
      <c r="CM153" t="s">
        <v>6293</v>
      </c>
      <c r="CN153" t="s">
        <v>6294</v>
      </c>
      <c r="CO153" t="s">
        <v>6295</v>
      </c>
    </row>
    <row r="154" spans="1:93" hidden="1">
      <c r="A154" t="s">
        <v>149</v>
      </c>
      <c r="B154">
        <v>347614</v>
      </c>
      <c r="C154" t="s">
        <v>6296</v>
      </c>
      <c r="D154" t="s">
        <v>21661</v>
      </c>
      <c r="E154" t="s">
        <v>23807</v>
      </c>
      <c r="F154" t="s">
        <v>97</v>
      </c>
      <c r="G154" t="s">
        <v>98</v>
      </c>
      <c r="H154" t="s">
        <v>23808</v>
      </c>
      <c r="I154" t="s">
        <v>100</v>
      </c>
      <c r="J154">
        <v>378405</v>
      </c>
      <c r="K154">
        <v>378405</v>
      </c>
      <c r="L154">
        <v>378405</v>
      </c>
      <c r="M154">
        <v>473</v>
      </c>
      <c r="N154" t="s">
        <v>1297</v>
      </c>
      <c r="O154">
        <v>0</v>
      </c>
      <c r="P154">
        <v>0</v>
      </c>
      <c r="R154">
        <v>0</v>
      </c>
      <c r="S154">
        <v>0</v>
      </c>
      <c r="U154" t="s">
        <v>102</v>
      </c>
      <c r="V154" t="s">
        <v>275</v>
      </c>
      <c r="X154" t="s">
        <v>22101</v>
      </c>
      <c r="Y154" t="s">
        <v>109</v>
      </c>
      <c r="Z154" t="s">
        <v>102</v>
      </c>
      <c r="AA154" t="s">
        <v>109</v>
      </c>
      <c r="AB154" t="s">
        <v>102</v>
      </c>
      <c r="AC154" t="s">
        <v>109</v>
      </c>
      <c r="AD154" t="s">
        <v>102</v>
      </c>
      <c r="AE154" t="s">
        <v>109</v>
      </c>
      <c r="AF154" t="s">
        <v>102</v>
      </c>
      <c r="AG154" t="s">
        <v>102</v>
      </c>
      <c r="AJ154" t="s">
        <v>23809</v>
      </c>
      <c r="AK154" t="s">
        <v>102</v>
      </c>
      <c r="AL154" t="s">
        <v>23809</v>
      </c>
      <c r="AM154" t="s">
        <v>23810</v>
      </c>
      <c r="AN154" t="s">
        <v>23811</v>
      </c>
      <c r="AO154" t="s">
        <v>343</v>
      </c>
      <c r="AR154" t="s">
        <v>169</v>
      </c>
      <c r="AS154" t="s">
        <v>318</v>
      </c>
      <c r="AT154" t="s">
        <v>118</v>
      </c>
      <c r="AU154" t="s">
        <v>102</v>
      </c>
      <c r="AV154" t="s">
        <v>119</v>
      </c>
      <c r="AZ154" t="s">
        <v>120</v>
      </c>
      <c r="BA154" t="s">
        <v>6305</v>
      </c>
      <c r="BB154" t="s">
        <v>730</v>
      </c>
      <c r="BC154" t="s">
        <v>622</v>
      </c>
      <c r="BD154" t="s">
        <v>730</v>
      </c>
      <c r="BE154" t="s">
        <v>124</v>
      </c>
      <c r="BF154" t="s">
        <v>12250</v>
      </c>
      <c r="BG154" t="s">
        <v>21667</v>
      </c>
      <c r="BH154" t="s">
        <v>127</v>
      </c>
      <c r="BI154" t="s">
        <v>23812</v>
      </c>
      <c r="BJ154" t="s">
        <v>6307</v>
      </c>
      <c r="BK154" t="s">
        <v>23813</v>
      </c>
      <c r="BL154" t="s">
        <v>23807</v>
      </c>
      <c r="BM154" t="s">
        <v>3606</v>
      </c>
      <c r="BN154" t="s">
        <v>505</v>
      </c>
      <c r="BO154" t="s">
        <v>3607</v>
      </c>
      <c r="BP154" t="s">
        <v>3608</v>
      </c>
      <c r="BQ154" t="s">
        <v>2569</v>
      </c>
      <c r="BS154" t="s">
        <v>23814</v>
      </c>
      <c r="BT154" t="s">
        <v>16220</v>
      </c>
      <c r="BU154" t="s">
        <v>138</v>
      </c>
      <c r="BV154" t="s">
        <v>6311</v>
      </c>
      <c r="BW154" t="s">
        <v>6312</v>
      </c>
      <c r="BX154" t="s">
        <v>6313</v>
      </c>
      <c r="BY154" t="s">
        <v>16220</v>
      </c>
      <c r="BZ154" t="s">
        <v>6311</v>
      </c>
      <c r="CA154" t="s">
        <v>6312</v>
      </c>
      <c r="CB154" t="s">
        <v>16220</v>
      </c>
      <c r="CC154" t="s">
        <v>6311</v>
      </c>
      <c r="CD154" t="s">
        <v>6312</v>
      </c>
      <c r="CE154" t="s">
        <v>907</v>
      </c>
      <c r="CF154" t="s">
        <v>16221</v>
      </c>
      <c r="CH154" t="s">
        <v>6315</v>
      </c>
      <c r="CI154" t="s">
        <v>16222</v>
      </c>
      <c r="CJ154" t="s">
        <v>6305</v>
      </c>
      <c r="CK154" t="s">
        <v>730</v>
      </c>
      <c r="CL154" t="s">
        <v>6315</v>
      </c>
      <c r="CM154" t="s">
        <v>6316</v>
      </c>
      <c r="CN154" t="s">
        <v>6314</v>
      </c>
      <c r="CO154" t="s">
        <v>6314</v>
      </c>
    </row>
    <row r="155" spans="1:93" hidden="1">
      <c r="A155" t="s">
        <v>149</v>
      </c>
      <c r="B155">
        <v>3478771</v>
      </c>
      <c r="C155" t="s">
        <v>6317</v>
      </c>
      <c r="D155" t="s">
        <v>21661</v>
      </c>
      <c r="E155" t="s">
        <v>11889</v>
      </c>
      <c r="F155" t="s">
        <v>152</v>
      </c>
      <c r="G155" t="s">
        <v>98</v>
      </c>
      <c r="H155" t="s">
        <v>25139</v>
      </c>
      <c r="I155" t="s">
        <v>100</v>
      </c>
      <c r="J155">
        <v>609577</v>
      </c>
      <c r="K155">
        <v>609577</v>
      </c>
      <c r="L155">
        <v>0</v>
      </c>
      <c r="M155">
        <v>0</v>
      </c>
      <c r="O155">
        <v>609577</v>
      </c>
      <c r="P155">
        <v>554</v>
      </c>
      <c r="Q155" t="s">
        <v>466</v>
      </c>
      <c r="R155">
        <v>0</v>
      </c>
      <c r="S155">
        <v>0</v>
      </c>
      <c r="U155" t="s">
        <v>102</v>
      </c>
      <c r="V155" t="s">
        <v>103</v>
      </c>
      <c r="W155" t="s">
        <v>155</v>
      </c>
      <c r="Y155" t="s">
        <v>11960</v>
      </c>
      <c r="Z155" t="s">
        <v>25140</v>
      </c>
      <c r="AA155" t="s">
        <v>21983</v>
      </c>
      <c r="AB155" t="s">
        <v>25140</v>
      </c>
      <c r="AC155" t="s">
        <v>22119</v>
      </c>
      <c r="AD155" t="s">
        <v>25140</v>
      </c>
      <c r="AE155" t="s">
        <v>21687</v>
      </c>
      <c r="AF155" t="s">
        <v>25140</v>
      </c>
      <c r="AG155" t="s">
        <v>102</v>
      </c>
      <c r="AJ155" t="s">
        <v>102</v>
      </c>
      <c r="AK155" t="s">
        <v>102</v>
      </c>
      <c r="AL155" t="s">
        <v>102</v>
      </c>
      <c r="AM155" t="s">
        <v>6304</v>
      </c>
      <c r="AN155" t="s">
        <v>25141</v>
      </c>
      <c r="AR155" t="s">
        <v>169</v>
      </c>
      <c r="AS155" t="s">
        <v>102</v>
      </c>
      <c r="AU155" t="s">
        <v>155</v>
      </c>
      <c r="AV155" t="s">
        <v>447</v>
      </c>
      <c r="AW155" t="s">
        <v>170</v>
      </c>
      <c r="AX155" t="s">
        <v>118</v>
      </c>
      <c r="AZ155" t="s">
        <v>120</v>
      </c>
      <c r="BA155" t="s">
        <v>6323</v>
      </c>
      <c r="BB155" t="s">
        <v>2800</v>
      </c>
      <c r="BC155" t="s">
        <v>122</v>
      </c>
      <c r="BD155" t="s">
        <v>346</v>
      </c>
      <c r="BE155" t="s">
        <v>124</v>
      </c>
      <c r="BF155" t="s">
        <v>12250</v>
      </c>
      <c r="BG155" t="s">
        <v>21667</v>
      </c>
      <c r="BH155" t="s">
        <v>127</v>
      </c>
      <c r="BI155" t="s">
        <v>25142</v>
      </c>
      <c r="BJ155" t="s">
        <v>6325</v>
      </c>
      <c r="BK155" t="s">
        <v>25143</v>
      </c>
      <c r="BL155" t="s">
        <v>11889</v>
      </c>
      <c r="BM155" t="s">
        <v>12934</v>
      </c>
      <c r="BN155" t="s">
        <v>350</v>
      </c>
      <c r="BO155" t="s">
        <v>12935</v>
      </c>
      <c r="BP155" t="s">
        <v>12936</v>
      </c>
      <c r="BQ155" t="s">
        <v>328</v>
      </c>
      <c r="BS155" t="s">
        <v>25144</v>
      </c>
      <c r="BT155" t="s">
        <v>25145</v>
      </c>
      <c r="BU155" t="s">
        <v>138</v>
      </c>
      <c r="BV155" t="s">
        <v>6329</v>
      </c>
      <c r="BW155" t="s">
        <v>6330</v>
      </c>
      <c r="BX155" t="s">
        <v>6331</v>
      </c>
      <c r="BY155" t="s">
        <v>25145</v>
      </c>
      <c r="BZ155" t="s">
        <v>6329</v>
      </c>
      <c r="CA155" t="s">
        <v>6330</v>
      </c>
      <c r="CB155" t="s">
        <v>25146</v>
      </c>
      <c r="CC155" t="s">
        <v>6333</v>
      </c>
      <c r="CD155" t="s">
        <v>6334</v>
      </c>
      <c r="CE155" t="s">
        <v>102</v>
      </c>
      <c r="CF155" t="s">
        <v>6335</v>
      </c>
      <c r="CH155" t="s">
        <v>6336</v>
      </c>
      <c r="CJ155" t="s">
        <v>6323</v>
      </c>
      <c r="CK155" t="s">
        <v>2800</v>
      </c>
      <c r="CL155" t="s">
        <v>6336</v>
      </c>
      <c r="CN155" t="s">
        <v>6335</v>
      </c>
      <c r="CO155" t="s">
        <v>6335</v>
      </c>
    </row>
    <row r="156" spans="1:93">
      <c r="A156" t="s">
        <v>337</v>
      </c>
      <c r="B156">
        <v>3492595</v>
      </c>
      <c r="C156" t="s">
        <v>21899</v>
      </c>
      <c r="D156" t="s">
        <v>21661</v>
      </c>
      <c r="E156" t="s">
        <v>12716</v>
      </c>
      <c r="F156" t="s">
        <v>97</v>
      </c>
      <c r="G156" t="s">
        <v>98</v>
      </c>
      <c r="H156" t="s">
        <v>22354</v>
      </c>
      <c r="I156" t="s">
        <v>100</v>
      </c>
      <c r="J156">
        <v>187200</v>
      </c>
      <c r="K156">
        <v>187200</v>
      </c>
      <c r="L156">
        <v>187200</v>
      </c>
      <c r="M156">
        <v>312</v>
      </c>
      <c r="N156" t="s">
        <v>310</v>
      </c>
      <c r="O156">
        <v>0</v>
      </c>
      <c r="P156">
        <v>0</v>
      </c>
      <c r="R156">
        <v>0</v>
      </c>
      <c r="S156">
        <v>0</v>
      </c>
      <c r="U156" t="s">
        <v>102</v>
      </c>
      <c r="V156" t="s">
        <v>103</v>
      </c>
      <c r="W156" t="s">
        <v>104</v>
      </c>
      <c r="Y156" t="s">
        <v>12716</v>
      </c>
      <c r="Z156" t="s">
        <v>22355</v>
      </c>
      <c r="AA156" t="s">
        <v>21762</v>
      </c>
      <c r="AB156" t="s">
        <v>22355</v>
      </c>
      <c r="AC156" t="s">
        <v>109</v>
      </c>
      <c r="AD156" t="s">
        <v>102</v>
      </c>
      <c r="AE156" t="s">
        <v>109</v>
      </c>
      <c r="AF156" t="s">
        <v>102</v>
      </c>
      <c r="AG156" t="s">
        <v>102</v>
      </c>
      <c r="AH156" t="s">
        <v>15054</v>
      </c>
      <c r="AI156" t="s">
        <v>15054</v>
      </c>
      <c r="AJ156" t="s">
        <v>22355</v>
      </c>
      <c r="AK156" t="s">
        <v>22356</v>
      </c>
      <c r="AL156" t="s">
        <v>22357</v>
      </c>
      <c r="AM156" t="s">
        <v>317</v>
      </c>
      <c r="AN156" t="s">
        <v>317</v>
      </c>
      <c r="AS156" t="s">
        <v>318</v>
      </c>
      <c r="AT156" t="s">
        <v>118</v>
      </c>
      <c r="AU156" t="s">
        <v>102</v>
      </c>
      <c r="AV156" t="s">
        <v>119</v>
      </c>
      <c r="AZ156" t="s">
        <v>120</v>
      </c>
      <c r="BA156" t="s">
        <v>1407</v>
      </c>
      <c r="BB156" t="s">
        <v>449</v>
      </c>
      <c r="BC156" t="s">
        <v>122</v>
      </c>
      <c r="BD156" t="s">
        <v>450</v>
      </c>
      <c r="BE156" t="s">
        <v>124</v>
      </c>
      <c r="BF156" t="s">
        <v>12250</v>
      </c>
      <c r="BG156" t="s">
        <v>21667</v>
      </c>
      <c r="BH156" t="s">
        <v>127</v>
      </c>
      <c r="BI156" t="s">
        <v>22358</v>
      </c>
      <c r="BJ156" t="s">
        <v>22359</v>
      </c>
      <c r="BK156" t="s">
        <v>22360</v>
      </c>
      <c r="BL156" t="s">
        <v>12716</v>
      </c>
      <c r="BM156" t="s">
        <v>131</v>
      </c>
      <c r="BN156" t="s">
        <v>505</v>
      </c>
      <c r="BO156" t="s">
        <v>133</v>
      </c>
      <c r="BP156" t="s">
        <v>134</v>
      </c>
      <c r="BQ156" t="s">
        <v>455</v>
      </c>
      <c r="BS156" t="s">
        <v>22361</v>
      </c>
      <c r="BT156" t="s">
        <v>22362</v>
      </c>
      <c r="BU156" t="s">
        <v>138</v>
      </c>
      <c r="BV156" t="s">
        <v>22363</v>
      </c>
      <c r="BW156" t="s">
        <v>22364</v>
      </c>
      <c r="BX156" t="s">
        <v>22363</v>
      </c>
      <c r="BY156" t="s">
        <v>22362</v>
      </c>
      <c r="BZ156" t="s">
        <v>22363</v>
      </c>
      <c r="CA156" t="s">
        <v>22364</v>
      </c>
      <c r="CB156" t="s">
        <v>22365</v>
      </c>
      <c r="CC156" t="s">
        <v>22366</v>
      </c>
      <c r="CD156" t="s">
        <v>22367</v>
      </c>
      <c r="CE156" t="s">
        <v>7998</v>
      </c>
      <c r="CF156" t="s">
        <v>22368</v>
      </c>
      <c r="CH156" t="s">
        <v>22369</v>
      </c>
      <c r="CI156" t="s">
        <v>22368</v>
      </c>
      <c r="CJ156" t="s">
        <v>1407</v>
      </c>
      <c r="CK156" t="s">
        <v>449</v>
      </c>
      <c r="CL156" t="s">
        <v>22369</v>
      </c>
      <c r="CN156" t="s">
        <v>22370</v>
      </c>
      <c r="CO156" t="s">
        <v>22370</v>
      </c>
    </row>
    <row r="157" spans="1:93" hidden="1">
      <c r="A157" t="s">
        <v>149</v>
      </c>
      <c r="B157">
        <v>3495131</v>
      </c>
      <c r="C157" t="s">
        <v>6374</v>
      </c>
      <c r="D157" t="s">
        <v>21661</v>
      </c>
      <c r="E157" t="s">
        <v>21857</v>
      </c>
      <c r="F157" t="s">
        <v>848</v>
      </c>
      <c r="G157" t="s">
        <v>98</v>
      </c>
      <c r="H157" t="s">
        <v>25832</v>
      </c>
      <c r="I157" t="s">
        <v>100</v>
      </c>
      <c r="J157">
        <v>1600981</v>
      </c>
      <c r="K157">
        <v>1889158</v>
      </c>
      <c r="L157">
        <v>0</v>
      </c>
      <c r="M157">
        <v>0</v>
      </c>
      <c r="O157">
        <v>0</v>
      </c>
      <c r="P157">
        <v>0</v>
      </c>
      <c r="R157">
        <v>1600981</v>
      </c>
      <c r="S157">
        <v>756</v>
      </c>
      <c r="T157" t="s">
        <v>24126</v>
      </c>
      <c r="U157" t="s">
        <v>102</v>
      </c>
      <c r="V157" t="s">
        <v>103</v>
      </c>
      <c r="W157" t="s">
        <v>155</v>
      </c>
      <c r="Y157" t="s">
        <v>22526</v>
      </c>
      <c r="Z157" t="s">
        <v>25833</v>
      </c>
      <c r="AA157" t="s">
        <v>25834</v>
      </c>
      <c r="AB157" t="s">
        <v>25833</v>
      </c>
      <c r="AC157" t="s">
        <v>21828</v>
      </c>
      <c r="AD157" t="s">
        <v>25833</v>
      </c>
      <c r="AE157" t="s">
        <v>21821</v>
      </c>
      <c r="AF157" t="s">
        <v>25833</v>
      </c>
      <c r="AG157" t="s">
        <v>102</v>
      </c>
      <c r="AJ157" t="s">
        <v>102</v>
      </c>
      <c r="AK157" t="s">
        <v>102</v>
      </c>
      <c r="AL157" t="s">
        <v>102</v>
      </c>
      <c r="AM157" t="s">
        <v>25835</v>
      </c>
      <c r="AN157" t="s">
        <v>25835</v>
      </c>
      <c r="AS157" t="s">
        <v>102</v>
      </c>
      <c r="AU157" t="s">
        <v>102</v>
      </c>
      <c r="AV157" t="s">
        <v>119</v>
      </c>
      <c r="AY157" t="s">
        <v>250</v>
      </c>
      <c r="AZ157" t="s">
        <v>120</v>
      </c>
      <c r="BA157" t="s">
        <v>6389</v>
      </c>
      <c r="BB157" t="s">
        <v>6390</v>
      </c>
      <c r="BC157" t="s">
        <v>212</v>
      </c>
      <c r="BD157" t="s">
        <v>286</v>
      </c>
      <c r="BE157" t="s">
        <v>124</v>
      </c>
      <c r="BF157" t="s">
        <v>21857</v>
      </c>
      <c r="BG157" t="s">
        <v>25836</v>
      </c>
      <c r="BH157" t="s">
        <v>127</v>
      </c>
      <c r="BI157" t="s">
        <v>25837</v>
      </c>
      <c r="BJ157" t="s">
        <v>6393</v>
      </c>
      <c r="BK157" t="s">
        <v>25838</v>
      </c>
      <c r="BL157" t="s">
        <v>21857</v>
      </c>
      <c r="BM157" t="s">
        <v>23823</v>
      </c>
      <c r="BN157" t="s">
        <v>132</v>
      </c>
      <c r="BO157" t="s">
        <v>23824</v>
      </c>
      <c r="BP157" t="s">
        <v>23825</v>
      </c>
      <c r="BQ157" t="s">
        <v>4765</v>
      </c>
      <c r="BS157" t="s">
        <v>25839</v>
      </c>
      <c r="BT157" t="s">
        <v>25840</v>
      </c>
      <c r="BU157" t="s">
        <v>138</v>
      </c>
      <c r="BV157" t="s">
        <v>6399</v>
      </c>
      <c r="BW157" t="s">
        <v>6398</v>
      </c>
      <c r="BX157" t="s">
        <v>6399</v>
      </c>
      <c r="BY157" t="s">
        <v>25840</v>
      </c>
      <c r="BZ157" t="s">
        <v>6399</v>
      </c>
      <c r="CA157" t="s">
        <v>6398</v>
      </c>
      <c r="CB157" t="s">
        <v>25840</v>
      </c>
      <c r="CC157" t="s">
        <v>6399</v>
      </c>
      <c r="CD157" t="s">
        <v>6398</v>
      </c>
      <c r="CE157" t="s">
        <v>6401</v>
      </c>
      <c r="CF157" t="s">
        <v>16271</v>
      </c>
      <c r="CH157" t="s">
        <v>6403</v>
      </c>
      <c r="CI157" t="s">
        <v>6402</v>
      </c>
      <c r="CJ157" t="s">
        <v>6389</v>
      </c>
      <c r="CK157" t="s">
        <v>6390</v>
      </c>
      <c r="CL157" t="s">
        <v>6403</v>
      </c>
      <c r="CM157" t="s">
        <v>6404</v>
      </c>
      <c r="CN157" t="s">
        <v>6405</v>
      </c>
      <c r="CO157" t="s">
        <v>6402</v>
      </c>
    </row>
    <row r="158" spans="1:93">
      <c r="A158" t="s">
        <v>337</v>
      </c>
      <c r="B158">
        <v>3495234</v>
      </c>
      <c r="C158" t="s">
        <v>22371</v>
      </c>
      <c r="D158" t="s">
        <v>21661</v>
      </c>
      <c r="E158" t="s">
        <v>20580</v>
      </c>
      <c r="F158" t="s">
        <v>152</v>
      </c>
      <c r="G158" t="s">
        <v>98</v>
      </c>
      <c r="H158" t="s">
        <v>22372</v>
      </c>
      <c r="I158" t="s">
        <v>100</v>
      </c>
      <c r="J158">
        <v>1137073</v>
      </c>
      <c r="K158">
        <v>1137073</v>
      </c>
      <c r="L158">
        <v>0</v>
      </c>
      <c r="M158">
        <v>0</v>
      </c>
      <c r="O158">
        <v>1137073</v>
      </c>
      <c r="P158">
        <v>989</v>
      </c>
      <c r="Q158" t="s">
        <v>1749</v>
      </c>
      <c r="R158">
        <v>0</v>
      </c>
      <c r="S158">
        <v>0</v>
      </c>
      <c r="U158" t="s">
        <v>102</v>
      </c>
      <c r="V158" t="s">
        <v>103</v>
      </c>
      <c r="W158" t="s">
        <v>155</v>
      </c>
      <c r="Y158" t="s">
        <v>13189</v>
      </c>
      <c r="Z158" t="s">
        <v>22373</v>
      </c>
      <c r="AA158" t="s">
        <v>21737</v>
      </c>
      <c r="AB158" t="s">
        <v>22373</v>
      </c>
      <c r="AC158" t="s">
        <v>22030</v>
      </c>
      <c r="AD158" t="s">
        <v>22373</v>
      </c>
      <c r="AE158" t="s">
        <v>22031</v>
      </c>
      <c r="AF158" t="s">
        <v>22373</v>
      </c>
      <c r="AG158" t="s">
        <v>102</v>
      </c>
      <c r="AH158" t="s">
        <v>14238</v>
      </c>
      <c r="AI158" t="s">
        <v>21857</v>
      </c>
      <c r="AJ158" t="s">
        <v>22373</v>
      </c>
      <c r="AK158" t="s">
        <v>25841</v>
      </c>
      <c r="AL158" t="s">
        <v>25842</v>
      </c>
      <c r="AM158" t="s">
        <v>18052</v>
      </c>
      <c r="AN158" t="s">
        <v>18052</v>
      </c>
      <c r="AS158" t="s">
        <v>102</v>
      </c>
      <c r="AU158" t="s">
        <v>155</v>
      </c>
      <c r="AV158" t="s">
        <v>119</v>
      </c>
      <c r="AW158" t="s">
        <v>170</v>
      </c>
      <c r="AX158" t="s">
        <v>118</v>
      </c>
      <c r="AZ158" t="s">
        <v>120</v>
      </c>
      <c r="BA158" t="s">
        <v>2840</v>
      </c>
      <c r="BB158" t="s">
        <v>449</v>
      </c>
      <c r="BC158" t="s">
        <v>122</v>
      </c>
      <c r="BD158" t="s">
        <v>253</v>
      </c>
      <c r="BE158" t="s">
        <v>124</v>
      </c>
      <c r="BF158" t="s">
        <v>12250</v>
      </c>
      <c r="BG158" t="s">
        <v>21667</v>
      </c>
      <c r="BH158" t="s">
        <v>127</v>
      </c>
      <c r="BI158" t="s">
        <v>22374</v>
      </c>
      <c r="BJ158" t="s">
        <v>22375</v>
      </c>
      <c r="BK158" t="s">
        <v>22376</v>
      </c>
      <c r="BL158" t="s">
        <v>20580</v>
      </c>
      <c r="BM158" t="s">
        <v>10675</v>
      </c>
      <c r="BN158" t="s">
        <v>350</v>
      </c>
      <c r="BO158" t="s">
        <v>10676</v>
      </c>
      <c r="BP158" t="s">
        <v>10677</v>
      </c>
      <c r="BQ158" t="s">
        <v>1111</v>
      </c>
      <c r="BR158" t="s">
        <v>1111</v>
      </c>
      <c r="BS158" t="s">
        <v>22377</v>
      </c>
      <c r="BT158" t="s">
        <v>22378</v>
      </c>
      <c r="BU158" t="s">
        <v>138</v>
      </c>
      <c r="BV158" t="s">
        <v>22379</v>
      </c>
      <c r="BW158" t="s">
        <v>22380</v>
      </c>
      <c r="BX158" t="s">
        <v>22379</v>
      </c>
      <c r="BY158" t="s">
        <v>22378</v>
      </c>
      <c r="BZ158" t="s">
        <v>22379</v>
      </c>
      <c r="CA158" t="s">
        <v>22380</v>
      </c>
      <c r="CB158" t="s">
        <v>22378</v>
      </c>
      <c r="CC158" t="s">
        <v>22379</v>
      </c>
      <c r="CD158" t="s">
        <v>22380</v>
      </c>
      <c r="CE158" t="s">
        <v>22381</v>
      </c>
      <c r="CF158" t="s">
        <v>22382</v>
      </c>
      <c r="CH158" t="s">
        <v>22383</v>
      </c>
      <c r="CI158" t="s">
        <v>22384</v>
      </c>
      <c r="CJ158" t="s">
        <v>2840</v>
      </c>
      <c r="CK158" t="s">
        <v>449</v>
      </c>
      <c r="CL158" t="s">
        <v>22383</v>
      </c>
      <c r="CN158" t="s">
        <v>22382</v>
      </c>
      <c r="CO158" t="s">
        <v>22382</v>
      </c>
    </row>
    <row r="159" spans="1:93" hidden="1">
      <c r="A159" t="s">
        <v>149</v>
      </c>
      <c r="B159">
        <v>3505875</v>
      </c>
      <c r="C159" t="s">
        <v>6422</v>
      </c>
      <c r="D159" t="s">
        <v>21661</v>
      </c>
      <c r="E159" t="s">
        <v>13662</v>
      </c>
      <c r="F159" t="s">
        <v>193</v>
      </c>
      <c r="G159" t="s">
        <v>98</v>
      </c>
      <c r="H159" t="s">
        <v>26149</v>
      </c>
      <c r="I159" t="s">
        <v>100</v>
      </c>
      <c r="J159">
        <v>830993</v>
      </c>
      <c r="K159">
        <v>917651</v>
      </c>
      <c r="L159">
        <v>349558</v>
      </c>
      <c r="M159">
        <v>360</v>
      </c>
      <c r="N159" t="s">
        <v>13650</v>
      </c>
      <c r="O159">
        <v>0</v>
      </c>
      <c r="P159">
        <v>0</v>
      </c>
      <c r="R159">
        <v>481435</v>
      </c>
      <c r="S159">
        <v>181</v>
      </c>
      <c r="T159" t="s">
        <v>13651</v>
      </c>
      <c r="U159" t="s">
        <v>102</v>
      </c>
      <c r="V159" t="s">
        <v>103</v>
      </c>
      <c r="W159" t="s">
        <v>155</v>
      </c>
      <c r="Y159" t="s">
        <v>21776</v>
      </c>
      <c r="Z159" t="s">
        <v>26150</v>
      </c>
      <c r="AA159" t="s">
        <v>21664</v>
      </c>
      <c r="AB159" t="s">
        <v>26150</v>
      </c>
      <c r="AC159" t="s">
        <v>21665</v>
      </c>
      <c r="AD159" t="s">
        <v>26150</v>
      </c>
      <c r="AE159" t="s">
        <v>21710</v>
      </c>
      <c r="AF159" t="s">
        <v>26150</v>
      </c>
      <c r="AG159" t="s">
        <v>26481</v>
      </c>
      <c r="AH159" t="s">
        <v>26402</v>
      </c>
      <c r="AI159" t="s">
        <v>26402</v>
      </c>
      <c r="AJ159" t="s">
        <v>26151</v>
      </c>
      <c r="AK159" t="s">
        <v>26482</v>
      </c>
      <c r="AL159" t="s">
        <v>2202</v>
      </c>
      <c r="AM159" t="s">
        <v>26152</v>
      </c>
      <c r="AN159" t="s">
        <v>26152</v>
      </c>
      <c r="AS159" t="s">
        <v>207</v>
      </c>
      <c r="AT159" t="s">
        <v>118</v>
      </c>
      <c r="AU159" t="s">
        <v>102</v>
      </c>
      <c r="AV159" t="s">
        <v>119</v>
      </c>
      <c r="AY159" t="s">
        <v>250</v>
      </c>
      <c r="AZ159" t="s">
        <v>120</v>
      </c>
      <c r="BA159" t="s">
        <v>4153</v>
      </c>
      <c r="BB159" t="s">
        <v>320</v>
      </c>
      <c r="BC159" t="s">
        <v>122</v>
      </c>
      <c r="BD159" t="s">
        <v>123</v>
      </c>
      <c r="BE159" t="s">
        <v>124</v>
      </c>
      <c r="BF159" t="s">
        <v>25846</v>
      </c>
      <c r="BG159" t="s">
        <v>25847</v>
      </c>
      <c r="BH159" t="s">
        <v>127</v>
      </c>
      <c r="BI159" t="s">
        <v>26153</v>
      </c>
      <c r="BJ159" t="s">
        <v>6433</v>
      </c>
      <c r="BK159" t="s">
        <v>26154</v>
      </c>
      <c r="BL159" t="s">
        <v>13662</v>
      </c>
      <c r="BM159" t="s">
        <v>3267</v>
      </c>
      <c r="BN159" t="s">
        <v>350</v>
      </c>
      <c r="BO159" t="s">
        <v>3268</v>
      </c>
      <c r="BP159" t="s">
        <v>3269</v>
      </c>
      <c r="BQ159" t="s">
        <v>135</v>
      </c>
      <c r="BS159" t="s">
        <v>26155</v>
      </c>
      <c r="BT159" t="s">
        <v>25851</v>
      </c>
      <c r="BU159" t="s">
        <v>296</v>
      </c>
      <c r="BV159" t="s">
        <v>25852</v>
      </c>
      <c r="BW159" t="s">
        <v>25853</v>
      </c>
      <c r="BX159" t="s">
        <v>6436</v>
      </c>
      <c r="BY159" t="s">
        <v>26156</v>
      </c>
      <c r="BZ159" t="s">
        <v>26157</v>
      </c>
      <c r="CA159" t="s">
        <v>25853</v>
      </c>
      <c r="CB159" t="s">
        <v>25851</v>
      </c>
      <c r="CC159" t="s">
        <v>25852</v>
      </c>
      <c r="CD159" t="s">
        <v>25853</v>
      </c>
      <c r="CE159" t="s">
        <v>102</v>
      </c>
      <c r="CF159" t="s">
        <v>16294</v>
      </c>
      <c r="CH159" t="s">
        <v>5161</v>
      </c>
      <c r="CJ159" t="s">
        <v>4153</v>
      </c>
      <c r="CK159" t="s">
        <v>320</v>
      </c>
      <c r="CL159" t="s">
        <v>5161</v>
      </c>
      <c r="CM159" t="s">
        <v>3178</v>
      </c>
      <c r="CN159" t="s">
        <v>6437</v>
      </c>
      <c r="CO159" t="s">
        <v>6438</v>
      </c>
    </row>
    <row r="160" spans="1:93" hidden="1">
      <c r="A160" t="s">
        <v>149</v>
      </c>
      <c r="B160">
        <v>3534332</v>
      </c>
      <c r="C160" t="s">
        <v>6541</v>
      </c>
      <c r="D160" t="s">
        <v>21661</v>
      </c>
      <c r="E160" t="s">
        <v>12068</v>
      </c>
      <c r="F160" t="s">
        <v>193</v>
      </c>
      <c r="G160" t="s">
        <v>98</v>
      </c>
      <c r="H160" t="s">
        <v>25147</v>
      </c>
      <c r="I160" t="s">
        <v>100</v>
      </c>
      <c r="J160">
        <v>190618</v>
      </c>
      <c r="K160">
        <v>211022</v>
      </c>
      <c r="L160">
        <v>77265</v>
      </c>
      <c r="M160">
        <v>101</v>
      </c>
      <c r="N160" t="s">
        <v>13584</v>
      </c>
      <c r="O160">
        <v>0</v>
      </c>
      <c r="P160">
        <v>0</v>
      </c>
      <c r="R160">
        <v>113353</v>
      </c>
      <c r="S160">
        <v>38</v>
      </c>
      <c r="T160" t="s">
        <v>7286</v>
      </c>
      <c r="U160" t="s">
        <v>102</v>
      </c>
      <c r="V160" t="s">
        <v>103</v>
      </c>
      <c r="W160" t="s">
        <v>104</v>
      </c>
      <c r="Y160" t="s">
        <v>12720</v>
      </c>
      <c r="Z160" t="s">
        <v>25148</v>
      </c>
      <c r="AA160" t="s">
        <v>21686</v>
      </c>
      <c r="AB160" t="s">
        <v>25148</v>
      </c>
      <c r="AC160" t="s">
        <v>109</v>
      </c>
      <c r="AD160" t="s">
        <v>102</v>
      </c>
      <c r="AE160" t="s">
        <v>109</v>
      </c>
      <c r="AF160" t="s">
        <v>102</v>
      </c>
      <c r="AG160" t="s">
        <v>102</v>
      </c>
      <c r="AJ160" t="s">
        <v>102</v>
      </c>
      <c r="AK160" t="s">
        <v>102</v>
      </c>
      <c r="AL160" t="s">
        <v>102</v>
      </c>
      <c r="AM160" t="s">
        <v>25149</v>
      </c>
      <c r="AN160" t="s">
        <v>25149</v>
      </c>
      <c r="AS160" t="s">
        <v>207</v>
      </c>
      <c r="AT160" t="s">
        <v>118</v>
      </c>
      <c r="AU160" t="s">
        <v>102</v>
      </c>
      <c r="AV160" t="s">
        <v>119</v>
      </c>
      <c r="AY160" t="s">
        <v>250</v>
      </c>
      <c r="AZ160" t="s">
        <v>1242</v>
      </c>
      <c r="BA160" t="s">
        <v>409</v>
      </c>
      <c r="BB160" t="s">
        <v>410</v>
      </c>
      <c r="BC160" t="s">
        <v>212</v>
      </c>
      <c r="BD160" t="s">
        <v>410</v>
      </c>
      <c r="BE160" t="s">
        <v>124</v>
      </c>
      <c r="BF160" t="s">
        <v>19143</v>
      </c>
      <c r="BG160" t="s">
        <v>23025</v>
      </c>
      <c r="BH160" t="s">
        <v>127</v>
      </c>
      <c r="BI160" t="s">
        <v>25150</v>
      </c>
      <c r="BJ160" t="s">
        <v>6556</v>
      </c>
      <c r="BK160" t="s">
        <v>25151</v>
      </c>
      <c r="BL160" t="s">
        <v>12068</v>
      </c>
      <c r="BM160" t="s">
        <v>866</v>
      </c>
      <c r="BN160" t="s">
        <v>132</v>
      </c>
      <c r="BO160" t="s">
        <v>867</v>
      </c>
      <c r="BP160" t="s">
        <v>868</v>
      </c>
      <c r="BQ160" t="s">
        <v>418</v>
      </c>
      <c r="BS160" t="s">
        <v>25152</v>
      </c>
      <c r="BT160" t="s">
        <v>6562</v>
      </c>
      <c r="BU160" t="s">
        <v>598</v>
      </c>
      <c r="BV160" t="s">
        <v>6563</v>
      </c>
      <c r="BW160" t="s">
        <v>6685</v>
      </c>
      <c r="BX160" t="s">
        <v>6565</v>
      </c>
      <c r="BY160" t="s">
        <v>25153</v>
      </c>
      <c r="BZ160" t="s">
        <v>25154</v>
      </c>
      <c r="CA160" t="s">
        <v>6685</v>
      </c>
      <c r="CB160" t="s">
        <v>25155</v>
      </c>
      <c r="CC160" t="s">
        <v>16409</v>
      </c>
      <c r="CD160" t="s">
        <v>6685</v>
      </c>
      <c r="CE160" t="s">
        <v>102</v>
      </c>
      <c r="CF160" t="s">
        <v>6568</v>
      </c>
      <c r="CH160" t="s">
        <v>6569</v>
      </c>
      <c r="CJ160" t="s">
        <v>409</v>
      </c>
      <c r="CK160" t="s">
        <v>410</v>
      </c>
      <c r="CL160" t="s">
        <v>6569</v>
      </c>
      <c r="CM160" t="s">
        <v>6570</v>
      </c>
      <c r="CN160" t="s">
        <v>6568</v>
      </c>
      <c r="CO160" t="s">
        <v>6568</v>
      </c>
    </row>
    <row r="161" spans="1:93" hidden="1">
      <c r="A161" t="s">
        <v>149</v>
      </c>
      <c r="B161">
        <v>354838</v>
      </c>
      <c r="C161" t="s">
        <v>16418</v>
      </c>
      <c r="D161" t="s">
        <v>21661</v>
      </c>
      <c r="E161" t="s">
        <v>12728</v>
      </c>
      <c r="F161" t="s">
        <v>152</v>
      </c>
      <c r="G161" t="s">
        <v>98</v>
      </c>
      <c r="H161" t="s">
        <v>22385</v>
      </c>
      <c r="I161" t="s">
        <v>100</v>
      </c>
      <c r="J161">
        <v>1333168</v>
      </c>
      <c r="K161">
        <v>1333168</v>
      </c>
      <c r="L161">
        <v>0</v>
      </c>
      <c r="M161">
        <v>0</v>
      </c>
      <c r="O161">
        <v>1333168</v>
      </c>
      <c r="P161">
        <v>808</v>
      </c>
      <c r="Q161" t="s">
        <v>9865</v>
      </c>
      <c r="R161">
        <v>0</v>
      </c>
      <c r="S161">
        <v>0</v>
      </c>
      <c r="U161" t="s">
        <v>102</v>
      </c>
      <c r="V161" t="s">
        <v>103</v>
      </c>
      <c r="W161" t="s">
        <v>155</v>
      </c>
      <c r="Y161" t="s">
        <v>12068</v>
      </c>
      <c r="Z161" t="s">
        <v>22386</v>
      </c>
      <c r="AA161" t="s">
        <v>21870</v>
      </c>
      <c r="AB161" t="s">
        <v>22386</v>
      </c>
      <c r="AC161" t="s">
        <v>21846</v>
      </c>
      <c r="AD161" t="s">
        <v>22386</v>
      </c>
      <c r="AE161" t="s">
        <v>22387</v>
      </c>
      <c r="AF161" t="s">
        <v>22386</v>
      </c>
      <c r="AG161" t="s">
        <v>102</v>
      </c>
      <c r="AJ161" t="s">
        <v>22386</v>
      </c>
      <c r="AK161" t="s">
        <v>102</v>
      </c>
      <c r="AL161" t="s">
        <v>22386</v>
      </c>
      <c r="AM161" t="s">
        <v>22388</v>
      </c>
      <c r="AN161" t="s">
        <v>22388</v>
      </c>
      <c r="AS161" t="s">
        <v>102</v>
      </c>
      <c r="AU161" t="s">
        <v>155</v>
      </c>
      <c r="AV161" t="s">
        <v>119</v>
      </c>
      <c r="AW161" t="s">
        <v>170</v>
      </c>
      <c r="AX161" t="s">
        <v>118</v>
      </c>
      <c r="AZ161" t="s">
        <v>209</v>
      </c>
      <c r="BA161" t="s">
        <v>6594</v>
      </c>
      <c r="BB161" t="s">
        <v>6595</v>
      </c>
      <c r="BC161" t="s">
        <v>174</v>
      </c>
      <c r="BD161" t="s">
        <v>4405</v>
      </c>
      <c r="BE161" t="s">
        <v>124</v>
      </c>
      <c r="BF161" t="s">
        <v>16162</v>
      </c>
      <c r="BG161" t="s">
        <v>22389</v>
      </c>
      <c r="BH161" t="s">
        <v>127</v>
      </c>
      <c r="BI161" t="s">
        <v>22390</v>
      </c>
      <c r="BJ161" t="s">
        <v>6597</v>
      </c>
      <c r="BK161" t="s">
        <v>22391</v>
      </c>
      <c r="BL161" t="s">
        <v>12728</v>
      </c>
      <c r="BM161" t="s">
        <v>1108</v>
      </c>
      <c r="BN161" t="s">
        <v>180</v>
      </c>
      <c r="BO161" t="s">
        <v>1109</v>
      </c>
      <c r="BP161" t="s">
        <v>1110</v>
      </c>
      <c r="BQ161" t="s">
        <v>4413</v>
      </c>
      <c r="BS161" t="s">
        <v>22392</v>
      </c>
      <c r="BT161" t="s">
        <v>22393</v>
      </c>
      <c r="BU161" t="s">
        <v>138</v>
      </c>
      <c r="BV161" t="s">
        <v>22394</v>
      </c>
      <c r="BW161" t="s">
        <v>6602</v>
      </c>
      <c r="BX161" t="s">
        <v>6601</v>
      </c>
      <c r="BY161" t="s">
        <v>22395</v>
      </c>
      <c r="BZ161" t="s">
        <v>6601</v>
      </c>
      <c r="CA161" t="s">
        <v>6602</v>
      </c>
      <c r="CB161" t="s">
        <v>22395</v>
      </c>
      <c r="CC161" t="s">
        <v>6601</v>
      </c>
      <c r="CD161" t="s">
        <v>6602</v>
      </c>
      <c r="CE161" t="s">
        <v>6604</v>
      </c>
      <c r="CF161" t="s">
        <v>16430</v>
      </c>
      <c r="CH161" t="s">
        <v>6606</v>
      </c>
      <c r="CI161" t="s">
        <v>16431</v>
      </c>
      <c r="CJ161" t="s">
        <v>6594</v>
      </c>
      <c r="CK161" t="s">
        <v>6595</v>
      </c>
      <c r="CL161" t="s">
        <v>6606</v>
      </c>
      <c r="CN161" t="s">
        <v>6608</v>
      </c>
      <c r="CO161" t="s">
        <v>6608</v>
      </c>
    </row>
    <row r="162" spans="1:93" hidden="1">
      <c r="A162" t="s">
        <v>149</v>
      </c>
      <c r="B162">
        <v>3552349</v>
      </c>
      <c r="C162" t="s">
        <v>16432</v>
      </c>
      <c r="D162" t="s">
        <v>21661</v>
      </c>
      <c r="E162" t="s">
        <v>14161</v>
      </c>
      <c r="F162" t="s">
        <v>152</v>
      </c>
      <c r="G162" t="s">
        <v>98</v>
      </c>
      <c r="H162" t="s">
        <v>26158</v>
      </c>
      <c r="I162" t="s">
        <v>100</v>
      </c>
      <c r="J162">
        <v>1828750</v>
      </c>
      <c r="K162">
        <v>1828750</v>
      </c>
      <c r="L162">
        <v>0</v>
      </c>
      <c r="M162">
        <v>0</v>
      </c>
      <c r="O162">
        <v>1828750</v>
      </c>
      <c r="P162">
        <v>550</v>
      </c>
      <c r="Q162" t="s">
        <v>16433</v>
      </c>
      <c r="R162">
        <v>0</v>
      </c>
      <c r="S162">
        <v>0</v>
      </c>
      <c r="U162" t="s">
        <v>102</v>
      </c>
      <c r="V162" t="s">
        <v>103</v>
      </c>
      <c r="W162" t="s">
        <v>155</v>
      </c>
      <c r="Y162" t="s">
        <v>26159</v>
      </c>
      <c r="Z162" t="s">
        <v>26160</v>
      </c>
      <c r="AA162" t="s">
        <v>26161</v>
      </c>
      <c r="AB162" t="s">
        <v>26160</v>
      </c>
      <c r="AC162" t="s">
        <v>26162</v>
      </c>
      <c r="AD162" t="s">
        <v>26160</v>
      </c>
      <c r="AE162" t="s">
        <v>22224</v>
      </c>
      <c r="AF162" t="s">
        <v>26160</v>
      </c>
      <c r="AG162" t="s">
        <v>102</v>
      </c>
      <c r="AJ162" t="s">
        <v>102</v>
      </c>
      <c r="AK162" t="s">
        <v>102</v>
      </c>
      <c r="AL162" t="s">
        <v>102</v>
      </c>
      <c r="AM162" t="s">
        <v>169</v>
      </c>
      <c r="AN162" t="s">
        <v>169</v>
      </c>
      <c r="AS162" t="s">
        <v>102</v>
      </c>
      <c r="AU162" t="s">
        <v>155</v>
      </c>
      <c r="AV162" t="s">
        <v>119</v>
      </c>
      <c r="AW162" t="s">
        <v>170</v>
      </c>
      <c r="AX162" t="s">
        <v>118</v>
      </c>
      <c r="AZ162" t="s">
        <v>120</v>
      </c>
      <c r="BA162" t="s">
        <v>409</v>
      </c>
      <c r="BB162" t="s">
        <v>410</v>
      </c>
      <c r="BC162" t="s">
        <v>212</v>
      </c>
      <c r="BD162" t="s">
        <v>410</v>
      </c>
      <c r="BE162" t="s">
        <v>124</v>
      </c>
      <c r="BF162" t="s">
        <v>19143</v>
      </c>
      <c r="BG162" t="s">
        <v>21667</v>
      </c>
      <c r="BH162" t="s">
        <v>127</v>
      </c>
      <c r="BI162" t="s">
        <v>26163</v>
      </c>
      <c r="BJ162" t="s">
        <v>6660</v>
      </c>
      <c r="BK162" t="s">
        <v>26164</v>
      </c>
      <c r="BL162" t="s">
        <v>14161</v>
      </c>
      <c r="BM162" t="s">
        <v>866</v>
      </c>
      <c r="BN162" t="s">
        <v>132</v>
      </c>
      <c r="BO162" t="s">
        <v>867</v>
      </c>
      <c r="BP162" t="s">
        <v>868</v>
      </c>
      <c r="BQ162" t="s">
        <v>222</v>
      </c>
      <c r="BS162" t="s">
        <v>26165</v>
      </c>
      <c r="BT162" t="s">
        <v>26166</v>
      </c>
      <c r="BU162" t="s">
        <v>354</v>
      </c>
      <c r="BV162" t="s">
        <v>6667</v>
      </c>
      <c r="BW162" t="s">
        <v>16444</v>
      </c>
      <c r="BX162" t="s">
        <v>6667</v>
      </c>
      <c r="BY162" t="s">
        <v>26167</v>
      </c>
      <c r="BZ162" t="s">
        <v>16446</v>
      </c>
      <c r="CA162" t="s">
        <v>16444</v>
      </c>
      <c r="CB162" t="s">
        <v>26168</v>
      </c>
      <c r="CC162" t="s">
        <v>26169</v>
      </c>
      <c r="CD162" t="s">
        <v>16444</v>
      </c>
      <c r="CE162" t="s">
        <v>907</v>
      </c>
      <c r="CF162" t="s">
        <v>6670</v>
      </c>
      <c r="CH162" t="s">
        <v>6671</v>
      </c>
      <c r="CI162" t="s">
        <v>6670</v>
      </c>
      <c r="CJ162" t="s">
        <v>409</v>
      </c>
      <c r="CK162" t="s">
        <v>410</v>
      </c>
      <c r="CL162" t="s">
        <v>6671</v>
      </c>
      <c r="CN162" t="s">
        <v>6670</v>
      </c>
      <c r="CO162" t="s">
        <v>6670</v>
      </c>
    </row>
    <row r="163" spans="1:93" hidden="1">
      <c r="A163" t="s">
        <v>149</v>
      </c>
      <c r="B163">
        <v>3557796</v>
      </c>
      <c r="C163" t="s">
        <v>6541</v>
      </c>
      <c r="D163" t="s">
        <v>21661</v>
      </c>
      <c r="E163" t="s">
        <v>12068</v>
      </c>
      <c r="F163" t="s">
        <v>193</v>
      </c>
      <c r="G163" t="s">
        <v>98</v>
      </c>
      <c r="H163" t="s">
        <v>25156</v>
      </c>
      <c r="I163" t="s">
        <v>100</v>
      </c>
      <c r="J163">
        <v>389588</v>
      </c>
      <c r="K163">
        <v>431469</v>
      </c>
      <c r="L163">
        <v>156917</v>
      </c>
      <c r="M163">
        <v>204</v>
      </c>
      <c r="N163" t="s">
        <v>8217</v>
      </c>
      <c r="O163">
        <v>0</v>
      </c>
      <c r="P163">
        <v>0</v>
      </c>
      <c r="R163">
        <v>232671</v>
      </c>
      <c r="S163">
        <v>78</v>
      </c>
      <c r="T163" t="s">
        <v>7286</v>
      </c>
      <c r="U163" t="s">
        <v>102</v>
      </c>
      <c r="V163" t="s">
        <v>103</v>
      </c>
      <c r="W163" t="s">
        <v>104</v>
      </c>
      <c r="Y163" t="s">
        <v>12720</v>
      </c>
      <c r="Z163" t="s">
        <v>25157</v>
      </c>
      <c r="AA163" t="s">
        <v>21686</v>
      </c>
      <c r="AB163" t="s">
        <v>25157</v>
      </c>
      <c r="AC163" t="s">
        <v>109</v>
      </c>
      <c r="AD163" t="s">
        <v>102</v>
      </c>
      <c r="AE163" t="s">
        <v>109</v>
      </c>
      <c r="AF163" t="s">
        <v>102</v>
      </c>
      <c r="AG163" t="s">
        <v>102</v>
      </c>
      <c r="AJ163" t="s">
        <v>102</v>
      </c>
      <c r="AK163" t="s">
        <v>102</v>
      </c>
      <c r="AL163" t="s">
        <v>102</v>
      </c>
      <c r="AM163" t="s">
        <v>25158</v>
      </c>
      <c r="AN163" t="s">
        <v>25158</v>
      </c>
      <c r="AS163" t="s">
        <v>207</v>
      </c>
      <c r="AT163" t="s">
        <v>118</v>
      </c>
      <c r="AU163" t="s">
        <v>102</v>
      </c>
      <c r="AV163" t="s">
        <v>119</v>
      </c>
      <c r="AY163" t="s">
        <v>250</v>
      </c>
      <c r="AZ163" t="s">
        <v>2565</v>
      </c>
      <c r="BA163" t="s">
        <v>409</v>
      </c>
      <c r="BB163" t="s">
        <v>410</v>
      </c>
      <c r="BC163" t="s">
        <v>212</v>
      </c>
      <c r="BD163" t="s">
        <v>410</v>
      </c>
      <c r="BE163" t="s">
        <v>124</v>
      </c>
      <c r="BF163" t="s">
        <v>19143</v>
      </c>
      <c r="BG163" t="s">
        <v>23025</v>
      </c>
      <c r="BH163" t="s">
        <v>127</v>
      </c>
      <c r="BI163" t="s">
        <v>25159</v>
      </c>
      <c r="BJ163" t="s">
        <v>6682</v>
      </c>
      <c r="BK163" t="s">
        <v>25160</v>
      </c>
      <c r="BL163" t="s">
        <v>12068</v>
      </c>
      <c r="BM163" t="s">
        <v>866</v>
      </c>
      <c r="BN163" t="s">
        <v>132</v>
      </c>
      <c r="BO163" t="s">
        <v>867</v>
      </c>
      <c r="BP163" t="s">
        <v>868</v>
      </c>
      <c r="BQ163" t="s">
        <v>418</v>
      </c>
      <c r="BS163" t="s">
        <v>25161</v>
      </c>
      <c r="BT163" t="s">
        <v>6562</v>
      </c>
      <c r="BU163" t="s">
        <v>598</v>
      </c>
      <c r="BV163" t="s">
        <v>6563</v>
      </c>
      <c r="BW163" t="s">
        <v>6685</v>
      </c>
      <c r="BX163" t="s">
        <v>6563</v>
      </c>
      <c r="BY163" t="s">
        <v>25162</v>
      </c>
      <c r="BZ163" t="s">
        <v>25163</v>
      </c>
      <c r="CA163" t="s">
        <v>6685</v>
      </c>
      <c r="CB163" t="s">
        <v>25164</v>
      </c>
      <c r="CC163" t="s">
        <v>25165</v>
      </c>
      <c r="CD163" t="s">
        <v>6685</v>
      </c>
      <c r="CE163" t="s">
        <v>102</v>
      </c>
      <c r="CF163" t="s">
        <v>6686</v>
      </c>
      <c r="CH163" t="s">
        <v>6687</v>
      </c>
      <c r="CJ163" t="s">
        <v>409</v>
      </c>
      <c r="CK163" t="s">
        <v>410</v>
      </c>
      <c r="CL163" t="s">
        <v>6687</v>
      </c>
      <c r="CM163" t="s">
        <v>6570</v>
      </c>
      <c r="CN163" t="s">
        <v>6686</v>
      </c>
      <c r="CO163" t="s">
        <v>6686</v>
      </c>
    </row>
    <row r="164" spans="1:93" hidden="1">
      <c r="A164" t="s">
        <v>93</v>
      </c>
      <c r="B164">
        <v>3565966</v>
      </c>
      <c r="C164" t="s">
        <v>16462</v>
      </c>
      <c r="D164" t="s">
        <v>21661</v>
      </c>
      <c r="E164" t="s">
        <v>19723</v>
      </c>
      <c r="F164" t="s">
        <v>97</v>
      </c>
      <c r="G164" t="s">
        <v>98</v>
      </c>
      <c r="H164" t="s">
        <v>22396</v>
      </c>
      <c r="I164" t="s">
        <v>100</v>
      </c>
      <c r="J164">
        <v>930427</v>
      </c>
      <c r="K164">
        <v>930427</v>
      </c>
      <c r="L164">
        <v>930427</v>
      </c>
      <c r="M164">
        <v>1310</v>
      </c>
      <c r="N164" t="s">
        <v>16463</v>
      </c>
      <c r="O164">
        <v>0</v>
      </c>
      <c r="P164">
        <v>0</v>
      </c>
      <c r="R164">
        <v>0</v>
      </c>
      <c r="S164">
        <v>0</v>
      </c>
      <c r="U164" t="s">
        <v>102</v>
      </c>
      <c r="V164" t="s">
        <v>103</v>
      </c>
      <c r="W164" t="s">
        <v>398</v>
      </c>
      <c r="Y164" t="s">
        <v>12250</v>
      </c>
      <c r="Z164" t="s">
        <v>22397</v>
      </c>
      <c r="AA164" t="s">
        <v>21664</v>
      </c>
      <c r="AB164" t="s">
        <v>22398</v>
      </c>
      <c r="AC164" t="s">
        <v>21665</v>
      </c>
      <c r="AD164" t="s">
        <v>22398</v>
      </c>
      <c r="AE164" t="s">
        <v>109</v>
      </c>
      <c r="AF164" t="s">
        <v>102</v>
      </c>
      <c r="AG164" t="s">
        <v>102</v>
      </c>
      <c r="AJ164" t="s">
        <v>22397</v>
      </c>
      <c r="AK164" t="s">
        <v>102</v>
      </c>
      <c r="AL164" t="s">
        <v>22397</v>
      </c>
      <c r="AM164" t="s">
        <v>16470</v>
      </c>
      <c r="AN164" t="s">
        <v>16470</v>
      </c>
      <c r="AS164" t="s">
        <v>318</v>
      </c>
      <c r="AT164" t="s">
        <v>118</v>
      </c>
      <c r="AU164" t="s">
        <v>102</v>
      </c>
      <c r="AV164" t="s">
        <v>119</v>
      </c>
      <c r="AZ164" t="s">
        <v>120</v>
      </c>
      <c r="BA164" t="s">
        <v>16471</v>
      </c>
      <c r="BB164" t="s">
        <v>376</v>
      </c>
      <c r="BC164" t="s">
        <v>174</v>
      </c>
      <c r="BD164" t="s">
        <v>376</v>
      </c>
      <c r="BE164" t="s">
        <v>124</v>
      </c>
      <c r="BF164" t="s">
        <v>12250</v>
      </c>
      <c r="BG164" t="s">
        <v>21667</v>
      </c>
      <c r="BH164" t="s">
        <v>127</v>
      </c>
      <c r="BI164" t="s">
        <v>22399</v>
      </c>
      <c r="BJ164" t="s">
        <v>16473</v>
      </c>
      <c r="BK164" t="s">
        <v>22400</v>
      </c>
      <c r="BL164" t="s">
        <v>19723</v>
      </c>
      <c r="BM164" t="s">
        <v>6926</v>
      </c>
      <c r="BN164" t="s">
        <v>180</v>
      </c>
      <c r="BO164" t="s">
        <v>6927</v>
      </c>
      <c r="BP164" t="s">
        <v>6928</v>
      </c>
      <c r="BQ164" t="s">
        <v>1858</v>
      </c>
      <c r="BS164" t="s">
        <v>22401</v>
      </c>
      <c r="BT164" t="s">
        <v>22402</v>
      </c>
      <c r="BU164" t="s">
        <v>354</v>
      </c>
      <c r="BV164" t="s">
        <v>16477</v>
      </c>
      <c r="BW164" t="s">
        <v>16478</v>
      </c>
      <c r="BX164" t="s">
        <v>16479</v>
      </c>
      <c r="BY164" t="s">
        <v>22403</v>
      </c>
      <c r="BZ164" t="s">
        <v>22404</v>
      </c>
      <c r="CA164" t="s">
        <v>22405</v>
      </c>
      <c r="CB164" t="s">
        <v>22403</v>
      </c>
      <c r="CC164" t="s">
        <v>22404</v>
      </c>
      <c r="CD164" t="s">
        <v>22405</v>
      </c>
      <c r="CE164" t="s">
        <v>4372</v>
      </c>
      <c r="CF164" t="s">
        <v>16480</v>
      </c>
      <c r="CH164" t="s">
        <v>16481</v>
      </c>
      <c r="CI164" t="s">
        <v>16480</v>
      </c>
      <c r="CJ164" t="s">
        <v>16471</v>
      </c>
      <c r="CK164" t="s">
        <v>376</v>
      </c>
      <c r="CL164" t="s">
        <v>16481</v>
      </c>
      <c r="CM164" t="s">
        <v>16482</v>
      </c>
      <c r="CN164" t="s">
        <v>16480</v>
      </c>
      <c r="CO164" t="s">
        <v>16480</v>
      </c>
    </row>
    <row r="165" spans="1:93" hidden="1">
      <c r="A165" t="s">
        <v>149</v>
      </c>
      <c r="B165">
        <v>3594140</v>
      </c>
      <c r="C165" t="s">
        <v>6856</v>
      </c>
      <c r="D165" t="s">
        <v>21661</v>
      </c>
      <c r="E165" t="s">
        <v>11889</v>
      </c>
      <c r="F165" t="s">
        <v>3549</v>
      </c>
      <c r="G165" t="s">
        <v>98</v>
      </c>
      <c r="H165" t="s">
        <v>25166</v>
      </c>
      <c r="I165" t="s">
        <v>100</v>
      </c>
      <c r="J165">
        <v>1712819</v>
      </c>
      <c r="K165">
        <v>1823810</v>
      </c>
      <c r="L165">
        <v>1096200</v>
      </c>
      <c r="M165">
        <v>1450</v>
      </c>
      <c r="N165" t="s">
        <v>12493</v>
      </c>
      <c r="O165">
        <v>0</v>
      </c>
      <c r="P165">
        <v>0</v>
      </c>
      <c r="R165">
        <v>616619</v>
      </c>
      <c r="S165">
        <v>401</v>
      </c>
      <c r="T165" t="s">
        <v>25167</v>
      </c>
      <c r="U165" t="s">
        <v>102</v>
      </c>
      <c r="V165" t="s">
        <v>103</v>
      </c>
      <c r="W165" t="s">
        <v>155</v>
      </c>
      <c r="Y165" t="s">
        <v>21857</v>
      </c>
      <c r="Z165" t="s">
        <v>25168</v>
      </c>
      <c r="AA165" t="s">
        <v>21826</v>
      </c>
      <c r="AB165" t="s">
        <v>25168</v>
      </c>
      <c r="AC165" t="s">
        <v>21828</v>
      </c>
      <c r="AD165" t="s">
        <v>25168</v>
      </c>
      <c r="AE165" t="s">
        <v>21821</v>
      </c>
      <c r="AF165" t="s">
        <v>25168</v>
      </c>
      <c r="AG165" t="s">
        <v>102</v>
      </c>
      <c r="AJ165" t="s">
        <v>25168</v>
      </c>
      <c r="AK165" t="s">
        <v>102</v>
      </c>
      <c r="AL165" t="s">
        <v>25168</v>
      </c>
      <c r="AM165" t="s">
        <v>25169</v>
      </c>
      <c r="AN165" t="s">
        <v>25169</v>
      </c>
      <c r="AS165" t="s">
        <v>318</v>
      </c>
      <c r="AT165" t="s">
        <v>118</v>
      </c>
      <c r="AU165" t="s">
        <v>102</v>
      </c>
      <c r="AV165" t="s">
        <v>119</v>
      </c>
      <c r="AY165" t="s">
        <v>250</v>
      </c>
      <c r="AZ165" t="s">
        <v>120</v>
      </c>
      <c r="BA165" t="s">
        <v>284</v>
      </c>
      <c r="BB165" t="s">
        <v>285</v>
      </c>
      <c r="BC165" t="s">
        <v>212</v>
      </c>
      <c r="BD165" t="s">
        <v>286</v>
      </c>
      <c r="BE165" t="s">
        <v>124</v>
      </c>
      <c r="BF165" t="s">
        <v>11889</v>
      </c>
      <c r="BG165" t="s">
        <v>21667</v>
      </c>
      <c r="BH165" t="s">
        <v>127</v>
      </c>
      <c r="BI165" t="s">
        <v>25170</v>
      </c>
      <c r="BJ165" t="s">
        <v>6872</v>
      </c>
      <c r="BK165" t="s">
        <v>25171</v>
      </c>
      <c r="BL165" t="s">
        <v>11889</v>
      </c>
      <c r="BM165" t="s">
        <v>23823</v>
      </c>
      <c r="BN165" t="s">
        <v>132</v>
      </c>
      <c r="BO165" t="s">
        <v>23824</v>
      </c>
      <c r="BP165" t="s">
        <v>23825</v>
      </c>
      <c r="BQ165" t="s">
        <v>4765</v>
      </c>
      <c r="BS165" t="s">
        <v>25172</v>
      </c>
      <c r="BT165" t="s">
        <v>18931</v>
      </c>
      <c r="BU165" t="s">
        <v>296</v>
      </c>
      <c r="BV165" t="s">
        <v>18932</v>
      </c>
      <c r="BW165" t="s">
        <v>6877</v>
      </c>
      <c r="BX165" t="s">
        <v>6878</v>
      </c>
      <c r="BY165" t="s">
        <v>25173</v>
      </c>
      <c r="BZ165" t="s">
        <v>18932</v>
      </c>
      <c r="CA165" t="s">
        <v>6877</v>
      </c>
      <c r="CB165" t="s">
        <v>25173</v>
      </c>
      <c r="CC165" t="s">
        <v>18932</v>
      </c>
      <c r="CD165" t="s">
        <v>6877</v>
      </c>
      <c r="CE165" t="s">
        <v>102</v>
      </c>
      <c r="CF165" t="s">
        <v>16629</v>
      </c>
      <c r="CH165" t="s">
        <v>6729</v>
      </c>
      <c r="CJ165" t="s">
        <v>284</v>
      </c>
      <c r="CK165" t="s">
        <v>285</v>
      </c>
      <c r="CL165" t="s">
        <v>6729</v>
      </c>
      <c r="CM165" t="s">
        <v>6886</v>
      </c>
      <c r="CN165" t="s">
        <v>6887</v>
      </c>
      <c r="CO165" t="s">
        <v>6885</v>
      </c>
    </row>
    <row r="166" spans="1:93" hidden="1">
      <c r="A166" t="s">
        <v>149</v>
      </c>
      <c r="B166">
        <v>3605584</v>
      </c>
      <c r="C166" t="s">
        <v>6888</v>
      </c>
      <c r="D166" t="s">
        <v>21661</v>
      </c>
      <c r="E166" t="s">
        <v>16593</v>
      </c>
      <c r="F166" t="s">
        <v>193</v>
      </c>
      <c r="G166" t="s">
        <v>98</v>
      </c>
      <c r="H166" t="s">
        <v>22406</v>
      </c>
      <c r="I166" t="s">
        <v>100</v>
      </c>
      <c r="J166">
        <v>450561</v>
      </c>
      <c r="K166">
        <v>508823</v>
      </c>
      <c r="L166">
        <v>126885</v>
      </c>
      <c r="M166">
        <v>203</v>
      </c>
      <c r="N166" t="s">
        <v>15308</v>
      </c>
      <c r="O166">
        <v>0</v>
      </c>
      <c r="P166">
        <v>0</v>
      </c>
      <c r="R166">
        <v>323676</v>
      </c>
      <c r="S166">
        <v>228</v>
      </c>
      <c r="T166" t="s">
        <v>22407</v>
      </c>
      <c r="U166" t="s">
        <v>102</v>
      </c>
      <c r="V166" t="s">
        <v>679</v>
      </c>
      <c r="W166" t="s">
        <v>155</v>
      </c>
      <c r="X166" t="s">
        <v>21737</v>
      </c>
      <c r="Y166" t="s">
        <v>21738</v>
      </c>
      <c r="Z166" t="s">
        <v>22408</v>
      </c>
      <c r="AA166" t="s">
        <v>21740</v>
      </c>
      <c r="AB166" t="s">
        <v>22408</v>
      </c>
      <c r="AC166" t="s">
        <v>21741</v>
      </c>
      <c r="AD166" t="s">
        <v>22408</v>
      </c>
      <c r="AE166" t="s">
        <v>21742</v>
      </c>
      <c r="AF166" t="s">
        <v>22408</v>
      </c>
      <c r="AG166" t="s">
        <v>102</v>
      </c>
      <c r="AJ166" t="s">
        <v>22408</v>
      </c>
      <c r="AK166" t="s">
        <v>102</v>
      </c>
      <c r="AL166" t="s">
        <v>22408</v>
      </c>
      <c r="AM166" t="s">
        <v>22409</v>
      </c>
      <c r="AN166" t="s">
        <v>22409</v>
      </c>
      <c r="AS166" t="s">
        <v>247</v>
      </c>
      <c r="AT166" t="s">
        <v>118</v>
      </c>
      <c r="AU166" t="s">
        <v>102</v>
      </c>
      <c r="AV166" t="s">
        <v>119</v>
      </c>
      <c r="AY166" t="s">
        <v>250</v>
      </c>
      <c r="AZ166" t="s">
        <v>120</v>
      </c>
      <c r="BA166" t="s">
        <v>6900</v>
      </c>
      <c r="BB166" t="s">
        <v>173</v>
      </c>
      <c r="BC166" t="s">
        <v>174</v>
      </c>
      <c r="BD166" t="s">
        <v>173</v>
      </c>
      <c r="BE166" t="s">
        <v>124</v>
      </c>
      <c r="BF166" t="s">
        <v>12250</v>
      </c>
      <c r="BG166" t="s">
        <v>21667</v>
      </c>
      <c r="BH166" t="s">
        <v>127</v>
      </c>
      <c r="BI166" t="s">
        <v>22410</v>
      </c>
      <c r="BJ166" t="s">
        <v>6902</v>
      </c>
      <c r="BK166" t="s">
        <v>22411</v>
      </c>
      <c r="BL166" t="s">
        <v>16593</v>
      </c>
      <c r="BM166" t="s">
        <v>12557</v>
      </c>
      <c r="BN166" t="s">
        <v>180</v>
      </c>
      <c r="BO166" t="s">
        <v>12558</v>
      </c>
      <c r="BP166" t="s">
        <v>12559</v>
      </c>
      <c r="BQ166" t="s">
        <v>183</v>
      </c>
      <c r="BS166" t="s">
        <v>22412</v>
      </c>
      <c r="BT166" t="s">
        <v>1043</v>
      </c>
      <c r="BU166" t="s">
        <v>569</v>
      </c>
      <c r="BV166" t="s">
        <v>1044</v>
      </c>
      <c r="BW166" t="s">
        <v>1045</v>
      </c>
      <c r="BX166" t="s">
        <v>6905</v>
      </c>
      <c r="BY166" t="s">
        <v>12561</v>
      </c>
      <c r="BZ166" t="s">
        <v>21747</v>
      </c>
      <c r="CA166" t="s">
        <v>1049</v>
      </c>
      <c r="CB166" t="s">
        <v>6906</v>
      </c>
      <c r="CC166" t="s">
        <v>6907</v>
      </c>
      <c r="CD166" t="s">
        <v>6908</v>
      </c>
      <c r="CE166" t="s">
        <v>102</v>
      </c>
      <c r="CF166" t="s">
        <v>22413</v>
      </c>
      <c r="CH166" t="s">
        <v>6913</v>
      </c>
      <c r="CI166" t="s">
        <v>22414</v>
      </c>
      <c r="CJ166" t="s">
        <v>6900</v>
      </c>
      <c r="CK166" t="s">
        <v>173</v>
      </c>
      <c r="CL166" t="s">
        <v>6913</v>
      </c>
      <c r="CM166" t="s">
        <v>1055</v>
      </c>
      <c r="CN166" t="s">
        <v>6914</v>
      </c>
      <c r="CO166" t="s">
        <v>6915</v>
      </c>
    </row>
    <row r="167" spans="1:93" hidden="1">
      <c r="A167" t="s">
        <v>149</v>
      </c>
      <c r="B167">
        <v>3626747</v>
      </c>
      <c r="C167" t="s">
        <v>16647</v>
      </c>
      <c r="D167" t="s">
        <v>21661</v>
      </c>
      <c r="E167" t="s">
        <v>15054</v>
      </c>
      <c r="F167" t="s">
        <v>193</v>
      </c>
      <c r="G167" t="s">
        <v>98</v>
      </c>
      <c r="H167" t="s">
        <v>22415</v>
      </c>
      <c r="I167" t="s">
        <v>100</v>
      </c>
      <c r="J167">
        <v>339699</v>
      </c>
      <c r="K167">
        <v>383064</v>
      </c>
      <c r="L167">
        <v>98781</v>
      </c>
      <c r="M167">
        <v>190</v>
      </c>
      <c r="N167" t="s">
        <v>7829</v>
      </c>
      <c r="O167">
        <v>0</v>
      </c>
      <c r="P167">
        <v>0</v>
      </c>
      <c r="R167">
        <v>240918</v>
      </c>
      <c r="S167">
        <v>233</v>
      </c>
      <c r="T167" t="s">
        <v>10243</v>
      </c>
      <c r="U167" t="s">
        <v>102</v>
      </c>
      <c r="V167" t="s">
        <v>103</v>
      </c>
      <c r="W167" t="s">
        <v>938</v>
      </c>
      <c r="Y167" t="s">
        <v>22416</v>
      </c>
      <c r="Z167" t="s">
        <v>22417</v>
      </c>
      <c r="AA167" t="s">
        <v>22418</v>
      </c>
      <c r="AB167" t="s">
        <v>22419</v>
      </c>
      <c r="AC167" t="s">
        <v>22420</v>
      </c>
      <c r="AD167" t="s">
        <v>22421</v>
      </c>
      <c r="AE167" t="s">
        <v>22422</v>
      </c>
      <c r="AF167" t="s">
        <v>22423</v>
      </c>
      <c r="AG167" t="s">
        <v>102</v>
      </c>
      <c r="AJ167" t="s">
        <v>26170</v>
      </c>
      <c r="AK167" t="s">
        <v>102</v>
      </c>
      <c r="AL167" t="s">
        <v>26170</v>
      </c>
      <c r="AM167" t="s">
        <v>22424</v>
      </c>
      <c r="AN167" t="s">
        <v>22424</v>
      </c>
      <c r="AS167" t="s">
        <v>207</v>
      </c>
      <c r="AT167" t="s">
        <v>118</v>
      </c>
      <c r="AU167" t="s">
        <v>102</v>
      </c>
      <c r="AV167" t="s">
        <v>119</v>
      </c>
      <c r="AY167" t="s">
        <v>250</v>
      </c>
      <c r="AZ167" t="s">
        <v>120</v>
      </c>
      <c r="BA167" t="s">
        <v>6922</v>
      </c>
      <c r="BB167" t="s">
        <v>376</v>
      </c>
      <c r="BC167" t="s">
        <v>174</v>
      </c>
      <c r="BD167" t="s">
        <v>376</v>
      </c>
      <c r="BE167" t="s">
        <v>124</v>
      </c>
      <c r="BF167" t="s">
        <v>12250</v>
      </c>
      <c r="BG167" t="s">
        <v>21667</v>
      </c>
      <c r="BH167" t="s">
        <v>127</v>
      </c>
      <c r="BI167" t="s">
        <v>22425</v>
      </c>
      <c r="BJ167" t="s">
        <v>6924</v>
      </c>
      <c r="BK167" t="s">
        <v>22426</v>
      </c>
      <c r="BL167" t="s">
        <v>15054</v>
      </c>
      <c r="BM167" t="s">
        <v>1917</v>
      </c>
      <c r="BN167" t="s">
        <v>180</v>
      </c>
      <c r="BO167" t="s">
        <v>1918</v>
      </c>
      <c r="BP167" t="s">
        <v>1919</v>
      </c>
      <c r="BQ167" t="s">
        <v>1858</v>
      </c>
      <c r="BS167" t="s">
        <v>22427</v>
      </c>
      <c r="BT167" t="s">
        <v>22428</v>
      </c>
      <c r="BU167" t="s">
        <v>138</v>
      </c>
      <c r="BV167" t="s">
        <v>6931</v>
      </c>
      <c r="BW167" t="s">
        <v>6932</v>
      </c>
      <c r="BX167" t="s">
        <v>6931</v>
      </c>
      <c r="BY167" t="s">
        <v>22428</v>
      </c>
      <c r="BZ167" t="s">
        <v>6931</v>
      </c>
      <c r="CA167" t="s">
        <v>6932</v>
      </c>
      <c r="CB167" t="s">
        <v>22428</v>
      </c>
      <c r="CC167" t="s">
        <v>6931</v>
      </c>
      <c r="CD167" t="s">
        <v>6932</v>
      </c>
      <c r="CE167" t="s">
        <v>6933</v>
      </c>
      <c r="CF167" t="s">
        <v>6934</v>
      </c>
      <c r="CH167" t="s">
        <v>6935</v>
      </c>
      <c r="CI167" t="s">
        <v>6934</v>
      </c>
      <c r="CJ167" t="s">
        <v>6922</v>
      </c>
      <c r="CK167" t="s">
        <v>376</v>
      </c>
      <c r="CL167" t="s">
        <v>6935</v>
      </c>
      <c r="CN167" t="s">
        <v>6934</v>
      </c>
      <c r="CO167" t="s">
        <v>6934</v>
      </c>
    </row>
    <row r="168" spans="1:93">
      <c r="A168" t="s">
        <v>337</v>
      </c>
      <c r="B168">
        <v>3631447</v>
      </c>
      <c r="C168" t="s">
        <v>22429</v>
      </c>
      <c r="D168" t="s">
        <v>21661</v>
      </c>
      <c r="E168" t="s">
        <v>12875</v>
      </c>
      <c r="F168" t="s">
        <v>848</v>
      </c>
      <c r="G168" t="s">
        <v>98</v>
      </c>
      <c r="H168" t="s">
        <v>22430</v>
      </c>
      <c r="I168" t="s">
        <v>100</v>
      </c>
      <c r="J168">
        <v>597070</v>
      </c>
      <c r="K168">
        <v>704543</v>
      </c>
      <c r="L168">
        <v>0</v>
      </c>
      <c r="M168">
        <v>0</v>
      </c>
      <c r="O168">
        <v>0</v>
      </c>
      <c r="P168">
        <v>0</v>
      </c>
      <c r="R168">
        <v>597070</v>
      </c>
      <c r="S168">
        <v>597</v>
      </c>
      <c r="T168" t="s">
        <v>5042</v>
      </c>
      <c r="U168" t="s">
        <v>102</v>
      </c>
      <c r="V168" t="s">
        <v>103</v>
      </c>
      <c r="W168" t="s">
        <v>398</v>
      </c>
      <c r="Y168" t="s">
        <v>17302</v>
      </c>
      <c r="Z168" t="s">
        <v>22431</v>
      </c>
      <c r="AA168" t="s">
        <v>21826</v>
      </c>
      <c r="AB168" t="s">
        <v>22432</v>
      </c>
      <c r="AC168" t="s">
        <v>21828</v>
      </c>
      <c r="AD168" t="s">
        <v>22433</v>
      </c>
      <c r="AE168" t="s">
        <v>109</v>
      </c>
      <c r="AF168" t="s">
        <v>102</v>
      </c>
      <c r="AG168" t="s">
        <v>23554</v>
      </c>
      <c r="AH168" t="s">
        <v>13344</v>
      </c>
      <c r="AI168" t="s">
        <v>13344</v>
      </c>
      <c r="AJ168" t="s">
        <v>22431</v>
      </c>
      <c r="AK168" t="s">
        <v>23555</v>
      </c>
      <c r="AL168" t="s">
        <v>23556</v>
      </c>
      <c r="AM168" t="s">
        <v>9482</v>
      </c>
      <c r="AN168" t="s">
        <v>9482</v>
      </c>
      <c r="AS168" t="s">
        <v>102</v>
      </c>
      <c r="AU168" t="s">
        <v>102</v>
      </c>
      <c r="AV168" t="s">
        <v>119</v>
      </c>
      <c r="AY168" t="s">
        <v>250</v>
      </c>
      <c r="AZ168" t="s">
        <v>120</v>
      </c>
      <c r="BA168" t="s">
        <v>2542</v>
      </c>
      <c r="BB168" t="s">
        <v>2543</v>
      </c>
      <c r="BC168" t="s">
        <v>122</v>
      </c>
      <c r="BD168" t="s">
        <v>557</v>
      </c>
      <c r="BE168" t="s">
        <v>124</v>
      </c>
      <c r="BF168" t="s">
        <v>21784</v>
      </c>
      <c r="BG168" t="s">
        <v>21667</v>
      </c>
      <c r="BH168" t="s">
        <v>127</v>
      </c>
      <c r="BI168" t="s">
        <v>22434</v>
      </c>
      <c r="BJ168" t="s">
        <v>22435</v>
      </c>
      <c r="BK168" t="s">
        <v>22436</v>
      </c>
      <c r="BL168" t="s">
        <v>12875</v>
      </c>
      <c r="BM168" t="s">
        <v>13402</v>
      </c>
      <c r="BN168" t="s">
        <v>350</v>
      </c>
      <c r="BO168" t="s">
        <v>13403</v>
      </c>
      <c r="BP168" t="s">
        <v>13404</v>
      </c>
      <c r="BQ168" t="s">
        <v>13405</v>
      </c>
      <c r="BS168" t="s">
        <v>22437</v>
      </c>
      <c r="BT168" t="s">
        <v>21929</v>
      </c>
      <c r="BU168" t="s">
        <v>354</v>
      </c>
      <c r="BV168" t="s">
        <v>21930</v>
      </c>
      <c r="BW168" t="s">
        <v>21931</v>
      </c>
      <c r="BX168" t="s">
        <v>21930</v>
      </c>
      <c r="BY168" t="s">
        <v>22438</v>
      </c>
      <c r="BZ168" t="s">
        <v>22439</v>
      </c>
      <c r="CA168" t="s">
        <v>22440</v>
      </c>
      <c r="CB168" t="s">
        <v>21935</v>
      </c>
      <c r="CC168" t="s">
        <v>21936</v>
      </c>
      <c r="CD168" t="s">
        <v>21937</v>
      </c>
      <c r="CE168" t="s">
        <v>18861</v>
      </c>
      <c r="CF168" t="s">
        <v>22441</v>
      </c>
      <c r="CH168" t="s">
        <v>22442</v>
      </c>
      <c r="CI168" t="s">
        <v>22441</v>
      </c>
      <c r="CJ168" t="s">
        <v>2542</v>
      </c>
      <c r="CK168" t="s">
        <v>2543</v>
      </c>
      <c r="CL168" t="s">
        <v>22442</v>
      </c>
      <c r="CM168" t="s">
        <v>22443</v>
      </c>
      <c r="CN168" t="s">
        <v>22444</v>
      </c>
      <c r="CO168" t="s">
        <v>22444</v>
      </c>
    </row>
    <row r="169" spans="1:93" hidden="1">
      <c r="A169" t="s">
        <v>149</v>
      </c>
      <c r="B169">
        <v>3634161</v>
      </c>
      <c r="C169" t="s">
        <v>6936</v>
      </c>
      <c r="D169" t="s">
        <v>21661</v>
      </c>
      <c r="E169" t="s">
        <v>23756</v>
      </c>
      <c r="F169" t="s">
        <v>152</v>
      </c>
      <c r="G169" t="s">
        <v>98</v>
      </c>
      <c r="H169" t="s">
        <v>24343</v>
      </c>
      <c r="I169" t="s">
        <v>100</v>
      </c>
      <c r="J169">
        <v>1806963</v>
      </c>
      <c r="K169">
        <v>1806963</v>
      </c>
      <c r="L169">
        <v>0</v>
      </c>
      <c r="M169">
        <v>0</v>
      </c>
      <c r="O169">
        <v>1806963</v>
      </c>
      <c r="P169">
        <v>868</v>
      </c>
      <c r="Q169" t="s">
        <v>24344</v>
      </c>
      <c r="R169">
        <v>0</v>
      </c>
      <c r="S169">
        <v>0</v>
      </c>
      <c r="U169" t="s">
        <v>102</v>
      </c>
      <c r="V169" t="s">
        <v>103</v>
      </c>
      <c r="W169" t="s">
        <v>155</v>
      </c>
      <c r="Y169" t="s">
        <v>11889</v>
      </c>
      <c r="Z169" t="s">
        <v>24345</v>
      </c>
      <c r="AA169" t="s">
        <v>19143</v>
      </c>
      <c r="AB169" t="s">
        <v>24345</v>
      </c>
      <c r="AC169" t="s">
        <v>21762</v>
      </c>
      <c r="AD169" t="s">
        <v>24345</v>
      </c>
      <c r="AE169" t="s">
        <v>21710</v>
      </c>
      <c r="AF169" t="s">
        <v>24345</v>
      </c>
      <c r="AG169" t="s">
        <v>25174</v>
      </c>
      <c r="AH169" t="s">
        <v>12068</v>
      </c>
      <c r="AI169" t="s">
        <v>12068</v>
      </c>
      <c r="AJ169" t="s">
        <v>24345</v>
      </c>
      <c r="AK169" t="s">
        <v>25175</v>
      </c>
      <c r="AL169" t="s">
        <v>2202</v>
      </c>
      <c r="AM169" t="s">
        <v>24346</v>
      </c>
      <c r="AN169" t="s">
        <v>24346</v>
      </c>
      <c r="AS169" t="s">
        <v>102</v>
      </c>
      <c r="AU169" t="s">
        <v>19290</v>
      </c>
      <c r="AV169" t="s">
        <v>447</v>
      </c>
      <c r="AW169" t="s">
        <v>170</v>
      </c>
      <c r="AX169" t="s">
        <v>118</v>
      </c>
      <c r="AZ169" t="s">
        <v>120</v>
      </c>
      <c r="BA169" t="s">
        <v>2127</v>
      </c>
      <c r="BB169" t="s">
        <v>621</v>
      </c>
      <c r="BC169" t="s">
        <v>622</v>
      </c>
      <c r="BD169" t="s">
        <v>976</v>
      </c>
      <c r="BE169" t="s">
        <v>124</v>
      </c>
      <c r="BF169" t="s">
        <v>12250</v>
      </c>
      <c r="BG169" t="s">
        <v>21667</v>
      </c>
      <c r="BH169" t="s">
        <v>127</v>
      </c>
      <c r="BI169" t="s">
        <v>24347</v>
      </c>
      <c r="BJ169" t="s">
        <v>6945</v>
      </c>
      <c r="BK169" t="s">
        <v>24348</v>
      </c>
      <c r="BL169" t="s">
        <v>23756</v>
      </c>
      <c r="BM169" t="s">
        <v>981</v>
      </c>
      <c r="BN169" t="s">
        <v>132</v>
      </c>
      <c r="BO169" t="s">
        <v>982</v>
      </c>
      <c r="BP169" t="s">
        <v>983</v>
      </c>
      <c r="BQ169" t="s">
        <v>984</v>
      </c>
      <c r="BS169" t="s">
        <v>24349</v>
      </c>
      <c r="BT169" t="s">
        <v>16670</v>
      </c>
      <c r="BU169" t="s">
        <v>354</v>
      </c>
      <c r="BV169" t="s">
        <v>6949</v>
      </c>
      <c r="BW169" t="s">
        <v>6950</v>
      </c>
      <c r="BX169" t="s">
        <v>6949</v>
      </c>
      <c r="BY169" t="s">
        <v>16671</v>
      </c>
      <c r="BZ169" t="s">
        <v>16672</v>
      </c>
      <c r="CA169" t="s">
        <v>16673</v>
      </c>
      <c r="CB169" t="s">
        <v>16671</v>
      </c>
      <c r="CC169" t="s">
        <v>16672</v>
      </c>
      <c r="CD169" t="s">
        <v>16673</v>
      </c>
      <c r="CE169" t="s">
        <v>6951</v>
      </c>
      <c r="CF169" t="s">
        <v>16674</v>
      </c>
      <c r="CH169" t="s">
        <v>6953</v>
      </c>
      <c r="CI169" t="s">
        <v>16675</v>
      </c>
      <c r="CJ169" t="s">
        <v>2127</v>
      </c>
      <c r="CK169" t="s">
        <v>621</v>
      </c>
      <c r="CL169" t="s">
        <v>6953</v>
      </c>
      <c r="CM169" t="s">
        <v>6954</v>
      </c>
      <c r="CN169" t="s">
        <v>6952</v>
      </c>
      <c r="CO169" t="s">
        <v>6952</v>
      </c>
    </row>
    <row r="170" spans="1:93" hidden="1">
      <c r="A170" t="s">
        <v>149</v>
      </c>
      <c r="B170">
        <v>364480</v>
      </c>
      <c r="C170" t="s">
        <v>6974</v>
      </c>
      <c r="D170" t="s">
        <v>21661</v>
      </c>
      <c r="E170" t="s">
        <v>13662</v>
      </c>
      <c r="F170" t="s">
        <v>193</v>
      </c>
      <c r="G170" t="s">
        <v>98</v>
      </c>
      <c r="H170" t="s">
        <v>25843</v>
      </c>
      <c r="I170" t="s">
        <v>100</v>
      </c>
      <c r="J170">
        <v>1638854</v>
      </c>
      <c r="K170">
        <v>1809777</v>
      </c>
      <c r="L170">
        <v>689283</v>
      </c>
      <c r="M170">
        <v>710</v>
      </c>
      <c r="N170" t="s">
        <v>13650</v>
      </c>
      <c r="O170">
        <v>0</v>
      </c>
      <c r="P170">
        <v>0</v>
      </c>
      <c r="R170">
        <v>949571</v>
      </c>
      <c r="S170">
        <v>357</v>
      </c>
      <c r="T170" t="s">
        <v>13651</v>
      </c>
      <c r="U170" t="s">
        <v>102</v>
      </c>
      <c r="V170" t="s">
        <v>103</v>
      </c>
      <c r="W170" t="s">
        <v>155</v>
      </c>
      <c r="Y170" t="s">
        <v>21805</v>
      </c>
      <c r="Z170" t="s">
        <v>25844</v>
      </c>
      <c r="AA170" t="s">
        <v>21664</v>
      </c>
      <c r="AB170" t="s">
        <v>25844</v>
      </c>
      <c r="AC170" t="s">
        <v>21665</v>
      </c>
      <c r="AD170" t="s">
        <v>25844</v>
      </c>
      <c r="AE170" t="s">
        <v>21710</v>
      </c>
      <c r="AF170" t="s">
        <v>25844</v>
      </c>
      <c r="AG170" t="s">
        <v>102</v>
      </c>
      <c r="AJ170" t="s">
        <v>102</v>
      </c>
      <c r="AK170" t="s">
        <v>102</v>
      </c>
      <c r="AL170" t="s">
        <v>102</v>
      </c>
      <c r="AM170" t="s">
        <v>25845</v>
      </c>
      <c r="AN170" t="s">
        <v>25845</v>
      </c>
      <c r="AS170" t="s">
        <v>207</v>
      </c>
      <c r="AT170" t="s">
        <v>118</v>
      </c>
      <c r="AU170" t="s">
        <v>102</v>
      </c>
      <c r="AV170" t="s">
        <v>119</v>
      </c>
      <c r="AY170" t="s">
        <v>250</v>
      </c>
      <c r="AZ170" t="s">
        <v>120</v>
      </c>
      <c r="BA170" t="s">
        <v>4153</v>
      </c>
      <c r="BB170" t="s">
        <v>320</v>
      </c>
      <c r="BC170" t="s">
        <v>122</v>
      </c>
      <c r="BD170" t="s">
        <v>123</v>
      </c>
      <c r="BE170" t="s">
        <v>124</v>
      </c>
      <c r="BF170" t="s">
        <v>25846</v>
      </c>
      <c r="BG170" t="s">
        <v>25847</v>
      </c>
      <c r="BH170" t="s">
        <v>127</v>
      </c>
      <c r="BI170" t="s">
        <v>25848</v>
      </c>
      <c r="BJ170" t="s">
        <v>6983</v>
      </c>
      <c r="BK170" t="s">
        <v>25849</v>
      </c>
      <c r="BL170" t="s">
        <v>13662</v>
      </c>
      <c r="BM170" t="s">
        <v>3267</v>
      </c>
      <c r="BN170" t="s">
        <v>350</v>
      </c>
      <c r="BO170" t="s">
        <v>3268</v>
      </c>
      <c r="BP170" t="s">
        <v>3269</v>
      </c>
      <c r="BQ170" t="s">
        <v>135</v>
      </c>
      <c r="BS170" t="s">
        <v>25850</v>
      </c>
      <c r="BT170" t="s">
        <v>25851</v>
      </c>
      <c r="BU170" t="s">
        <v>296</v>
      </c>
      <c r="BV170" t="s">
        <v>25852</v>
      </c>
      <c r="BW170" t="s">
        <v>25853</v>
      </c>
      <c r="BX170" t="s">
        <v>6986</v>
      </c>
      <c r="BY170" t="s">
        <v>25854</v>
      </c>
      <c r="BZ170" t="s">
        <v>25855</v>
      </c>
      <c r="CA170" t="s">
        <v>25853</v>
      </c>
      <c r="CB170" t="s">
        <v>25851</v>
      </c>
      <c r="CC170" t="s">
        <v>25852</v>
      </c>
      <c r="CD170" t="s">
        <v>25853</v>
      </c>
      <c r="CE170" t="s">
        <v>102</v>
      </c>
      <c r="CF170" t="s">
        <v>16712</v>
      </c>
      <c r="CH170" t="s">
        <v>5161</v>
      </c>
      <c r="CJ170" t="s">
        <v>4153</v>
      </c>
      <c r="CK170" t="s">
        <v>320</v>
      </c>
      <c r="CL170" t="s">
        <v>5161</v>
      </c>
      <c r="CM170" t="s">
        <v>3178</v>
      </c>
      <c r="CN170" t="s">
        <v>6992</v>
      </c>
      <c r="CO170" t="s">
        <v>6992</v>
      </c>
    </row>
    <row r="171" spans="1:93" hidden="1">
      <c r="A171" t="s">
        <v>495</v>
      </c>
      <c r="B171">
        <v>365439</v>
      </c>
      <c r="C171" t="s">
        <v>25856</v>
      </c>
      <c r="D171" t="s">
        <v>21661</v>
      </c>
      <c r="E171" t="s">
        <v>20476</v>
      </c>
      <c r="F171" t="s">
        <v>97</v>
      </c>
      <c r="G171" t="s">
        <v>98</v>
      </c>
      <c r="H171" t="s">
        <v>25857</v>
      </c>
      <c r="I171" t="s">
        <v>100</v>
      </c>
      <c r="J171">
        <v>259018</v>
      </c>
      <c r="K171">
        <v>259018</v>
      </c>
      <c r="L171">
        <v>259018</v>
      </c>
      <c r="M171">
        <v>370</v>
      </c>
      <c r="N171" t="s">
        <v>799</v>
      </c>
      <c r="O171">
        <v>0</v>
      </c>
      <c r="P171">
        <v>0</v>
      </c>
      <c r="R171">
        <v>0</v>
      </c>
      <c r="S171">
        <v>0</v>
      </c>
      <c r="U171" t="s">
        <v>102</v>
      </c>
      <c r="V171" t="s">
        <v>275</v>
      </c>
      <c r="X171" t="s">
        <v>13662</v>
      </c>
      <c r="Y171" t="s">
        <v>109</v>
      </c>
      <c r="Z171" t="s">
        <v>102</v>
      </c>
      <c r="AA171" t="s">
        <v>109</v>
      </c>
      <c r="AB171" t="s">
        <v>102</v>
      </c>
      <c r="AC171" t="s">
        <v>109</v>
      </c>
      <c r="AD171" t="s">
        <v>102</v>
      </c>
      <c r="AE171" t="s">
        <v>109</v>
      </c>
      <c r="AF171" t="s">
        <v>102</v>
      </c>
      <c r="AG171" t="s">
        <v>102</v>
      </c>
      <c r="AJ171" t="s">
        <v>25858</v>
      </c>
      <c r="AK171" t="s">
        <v>102</v>
      </c>
      <c r="AL171" t="s">
        <v>25858</v>
      </c>
      <c r="AM171" t="s">
        <v>3305</v>
      </c>
      <c r="AN171" t="s">
        <v>24373</v>
      </c>
      <c r="AO171" t="s">
        <v>102</v>
      </c>
      <c r="AP171" t="s">
        <v>102</v>
      </c>
      <c r="AQ171" t="s">
        <v>102</v>
      </c>
      <c r="AR171" t="s">
        <v>102</v>
      </c>
      <c r="AS171" t="s">
        <v>318</v>
      </c>
      <c r="AT171" t="s">
        <v>118</v>
      </c>
      <c r="AU171" t="s">
        <v>102</v>
      </c>
      <c r="AV171" t="s">
        <v>119</v>
      </c>
      <c r="AZ171" t="s">
        <v>171</v>
      </c>
      <c r="BA171" t="s">
        <v>2327</v>
      </c>
      <c r="BB171" t="s">
        <v>730</v>
      </c>
      <c r="BC171" t="s">
        <v>622</v>
      </c>
      <c r="BD171" t="s">
        <v>730</v>
      </c>
      <c r="BE171" t="s">
        <v>124</v>
      </c>
      <c r="BF171" t="s">
        <v>12250</v>
      </c>
      <c r="BG171" t="s">
        <v>21667</v>
      </c>
      <c r="BH171" t="s">
        <v>127</v>
      </c>
      <c r="BI171" t="s">
        <v>25859</v>
      </c>
      <c r="BJ171" t="s">
        <v>7042</v>
      </c>
      <c r="BK171" t="s">
        <v>25860</v>
      </c>
      <c r="BL171" t="s">
        <v>20476</v>
      </c>
      <c r="BM171" t="s">
        <v>734</v>
      </c>
      <c r="BN171" t="s">
        <v>350</v>
      </c>
      <c r="BO171" t="s">
        <v>735</v>
      </c>
      <c r="BP171" t="s">
        <v>736</v>
      </c>
      <c r="BQ171" t="s">
        <v>2569</v>
      </c>
      <c r="BR171" t="s">
        <v>985</v>
      </c>
      <c r="BS171" t="s">
        <v>25861</v>
      </c>
      <c r="BT171" t="s">
        <v>7044</v>
      </c>
      <c r="BU171" t="s">
        <v>138</v>
      </c>
      <c r="BV171" t="s">
        <v>16720</v>
      </c>
      <c r="BW171" t="s">
        <v>16721</v>
      </c>
      <c r="BX171" t="s">
        <v>7046</v>
      </c>
      <c r="BY171" t="s">
        <v>7044</v>
      </c>
      <c r="BZ171" t="s">
        <v>16720</v>
      </c>
      <c r="CA171" t="s">
        <v>16721</v>
      </c>
      <c r="CB171" t="s">
        <v>7044</v>
      </c>
      <c r="CC171" t="s">
        <v>16720</v>
      </c>
      <c r="CD171" t="s">
        <v>16721</v>
      </c>
      <c r="CE171" t="s">
        <v>3841</v>
      </c>
      <c r="CF171" t="s">
        <v>13696</v>
      </c>
      <c r="CH171" t="s">
        <v>2982</v>
      </c>
      <c r="CI171" t="s">
        <v>13697</v>
      </c>
      <c r="CJ171" t="s">
        <v>2327</v>
      </c>
      <c r="CK171" t="s">
        <v>730</v>
      </c>
      <c r="CL171" t="s">
        <v>2982</v>
      </c>
      <c r="CM171" t="s">
        <v>2983</v>
      </c>
      <c r="CN171" t="s">
        <v>7047</v>
      </c>
      <c r="CO171" t="s">
        <v>7047</v>
      </c>
    </row>
    <row r="172" spans="1:93" hidden="1">
      <c r="A172" t="s">
        <v>149</v>
      </c>
      <c r="B172">
        <v>366777</v>
      </c>
      <c r="C172" t="s">
        <v>7048</v>
      </c>
      <c r="D172" t="s">
        <v>21661</v>
      </c>
      <c r="E172" t="s">
        <v>15141</v>
      </c>
      <c r="F172" t="s">
        <v>2044</v>
      </c>
      <c r="G172" t="s">
        <v>98</v>
      </c>
      <c r="H172" t="s">
        <v>22445</v>
      </c>
      <c r="I172" t="s">
        <v>100</v>
      </c>
      <c r="J172">
        <v>1030249</v>
      </c>
      <c r="K172">
        <v>1030249</v>
      </c>
      <c r="L172">
        <v>423781</v>
      </c>
      <c r="M172">
        <v>662</v>
      </c>
      <c r="N172" t="s">
        <v>21981</v>
      </c>
      <c r="O172">
        <v>606468</v>
      </c>
      <c r="P172">
        <v>341</v>
      </c>
      <c r="Q172" t="s">
        <v>22446</v>
      </c>
      <c r="R172">
        <v>0</v>
      </c>
      <c r="S172">
        <v>0</v>
      </c>
      <c r="U172" t="s">
        <v>102</v>
      </c>
      <c r="V172" t="s">
        <v>275</v>
      </c>
      <c r="X172" t="s">
        <v>16162</v>
      </c>
      <c r="Y172" t="s">
        <v>109</v>
      </c>
      <c r="Z172" t="s">
        <v>102</v>
      </c>
      <c r="AA172" t="s">
        <v>109</v>
      </c>
      <c r="AB172" t="s">
        <v>102</v>
      </c>
      <c r="AC172" t="s">
        <v>109</v>
      </c>
      <c r="AD172" t="s">
        <v>102</v>
      </c>
      <c r="AE172" t="s">
        <v>109</v>
      </c>
      <c r="AF172" t="s">
        <v>102</v>
      </c>
      <c r="AG172" t="s">
        <v>22447</v>
      </c>
      <c r="AH172" t="s">
        <v>21768</v>
      </c>
      <c r="AI172" t="s">
        <v>21768</v>
      </c>
      <c r="AJ172" t="s">
        <v>22448</v>
      </c>
      <c r="AK172" t="s">
        <v>22449</v>
      </c>
      <c r="AL172" t="s">
        <v>102</v>
      </c>
      <c r="AM172" t="s">
        <v>22450</v>
      </c>
      <c r="AN172" t="s">
        <v>22450</v>
      </c>
      <c r="AS172" t="s">
        <v>117</v>
      </c>
      <c r="AT172" t="s">
        <v>118</v>
      </c>
      <c r="AU172" t="s">
        <v>1384</v>
      </c>
      <c r="AV172" t="s">
        <v>119</v>
      </c>
      <c r="AW172" t="s">
        <v>1138</v>
      </c>
      <c r="AX172" t="s">
        <v>118</v>
      </c>
      <c r="AZ172" t="s">
        <v>120</v>
      </c>
      <c r="BA172" t="s">
        <v>2327</v>
      </c>
      <c r="BB172" t="s">
        <v>730</v>
      </c>
      <c r="BC172" t="s">
        <v>622</v>
      </c>
      <c r="BD172" t="s">
        <v>730</v>
      </c>
      <c r="BE172" t="s">
        <v>124</v>
      </c>
      <c r="BF172" t="s">
        <v>12250</v>
      </c>
      <c r="BG172" t="s">
        <v>21667</v>
      </c>
      <c r="BH172" t="s">
        <v>127</v>
      </c>
      <c r="BI172" t="s">
        <v>22451</v>
      </c>
      <c r="BJ172" t="s">
        <v>7057</v>
      </c>
      <c r="BK172" t="s">
        <v>22452</v>
      </c>
      <c r="BL172" t="s">
        <v>15141</v>
      </c>
      <c r="BM172" t="s">
        <v>3606</v>
      </c>
      <c r="BN172" t="s">
        <v>350</v>
      </c>
      <c r="BO172" t="s">
        <v>3607</v>
      </c>
      <c r="BP172" t="s">
        <v>3608</v>
      </c>
      <c r="BQ172" t="s">
        <v>2525</v>
      </c>
      <c r="BS172" t="s">
        <v>22453</v>
      </c>
      <c r="BT172" t="s">
        <v>7060</v>
      </c>
      <c r="BU172" t="s">
        <v>138</v>
      </c>
      <c r="BV172" t="s">
        <v>7061</v>
      </c>
      <c r="BW172" t="s">
        <v>16733</v>
      </c>
      <c r="BX172" t="s">
        <v>7061</v>
      </c>
      <c r="BY172" t="s">
        <v>22454</v>
      </c>
      <c r="BZ172" t="s">
        <v>7061</v>
      </c>
      <c r="CA172" t="s">
        <v>22455</v>
      </c>
      <c r="CB172" t="s">
        <v>22454</v>
      </c>
      <c r="CC172" t="s">
        <v>7061</v>
      </c>
      <c r="CD172" t="s">
        <v>22455</v>
      </c>
      <c r="CE172" t="s">
        <v>102</v>
      </c>
      <c r="CF172" t="s">
        <v>7062</v>
      </c>
      <c r="CH172" t="s">
        <v>2532</v>
      </c>
      <c r="CJ172" t="s">
        <v>2327</v>
      </c>
      <c r="CK172" t="s">
        <v>730</v>
      </c>
      <c r="CL172" t="s">
        <v>2532</v>
      </c>
      <c r="CM172" t="s">
        <v>7063</v>
      </c>
      <c r="CN172" t="s">
        <v>7062</v>
      </c>
      <c r="CO172" t="s">
        <v>7062</v>
      </c>
    </row>
    <row r="173" spans="1:93">
      <c r="A173" t="s">
        <v>337</v>
      </c>
      <c r="B173">
        <v>3672833</v>
      </c>
      <c r="C173" t="s">
        <v>24350</v>
      </c>
      <c r="D173" t="s">
        <v>21661</v>
      </c>
      <c r="E173" t="s">
        <v>17302</v>
      </c>
      <c r="F173" t="s">
        <v>1746</v>
      </c>
      <c r="G173" t="s">
        <v>98</v>
      </c>
      <c r="H173" t="s">
        <v>24351</v>
      </c>
      <c r="I173" t="s">
        <v>100</v>
      </c>
      <c r="J173">
        <v>904956</v>
      </c>
      <c r="K173">
        <v>990570</v>
      </c>
      <c r="L173">
        <v>110515</v>
      </c>
      <c r="M173">
        <v>179</v>
      </c>
      <c r="N173" t="s">
        <v>21463</v>
      </c>
      <c r="O173">
        <v>318810</v>
      </c>
      <c r="P173">
        <v>153</v>
      </c>
      <c r="Q173" t="s">
        <v>24352</v>
      </c>
      <c r="R173">
        <v>475631</v>
      </c>
      <c r="S173">
        <v>303</v>
      </c>
      <c r="T173" t="s">
        <v>18336</v>
      </c>
      <c r="U173" t="s">
        <v>102</v>
      </c>
      <c r="V173" t="s">
        <v>103</v>
      </c>
      <c r="W173" t="s">
        <v>155</v>
      </c>
      <c r="Y173" t="s">
        <v>17302</v>
      </c>
      <c r="Z173" t="s">
        <v>24353</v>
      </c>
      <c r="AA173" t="s">
        <v>21857</v>
      </c>
      <c r="AB173" t="s">
        <v>24353</v>
      </c>
      <c r="AC173" t="s">
        <v>22526</v>
      </c>
      <c r="AD173" t="s">
        <v>24354</v>
      </c>
      <c r="AE173" t="s">
        <v>21892</v>
      </c>
      <c r="AF173" t="s">
        <v>24354</v>
      </c>
      <c r="AG173" t="s">
        <v>102</v>
      </c>
      <c r="AJ173" t="s">
        <v>25176</v>
      </c>
      <c r="AK173" t="s">
        <v>102</v>
      </c>
      <c r="AL173" t="s">
        <v>25176</v>
      </c>
      <c r="AM173" t="s">
        <v>24355</v>
      </c>
      <c r="AN173" t="s">
        <v>24355</v>
      </c>
      <c r="AS173" t="s">
        <v>318</v>
      </c>
      <c r="AT173" t="s">
        <v>250</v>
      </c>
      <c r="AU173" t="s">
        <v>102</v>
      </c>
      <c r="AV173" t="s">
        <v>119</v>
      </c>
      <c r="AW173" t="s">
        <v>1138</v>
      </c>
      <c r="AX173" t="s">
        <v>118</v>
      </c>
      <c r="AY173" t="s">
        <v>250</v>
      </c>
      <c r="AZ173" t="s">
        <v>120</v>
      </c>
      <c r="BA173" t="s">
        <v>2127</v>
      </c>
      <c r="BB173" t="s">
        <v>621</v>
      </c>
      <c r="BC173" t="s">
        <v>622</v>
      </c>
      <c r="BD173" t="s">
        <v>976</v>
      </c>
      <c r="BE173" t="s">
        <v>124</v>
      </c>
      <c r="BF173" t="s">
        <v>19143</v>
      </c>
      <c r="BG173" t="s">
        <v>21806</v>
      </c>
      <c r="BH173" t="s">
        <v>127</v>
      </c>
      <c r="BI173" t="s">
        <v>24356</v>
      </c>
      <c r="BJ173" t="s">
        <v>24357</v>
      </c>
      <c r="BK173" t="s">
        <v>24358</v>
      </c>
      <c r="BL173" t="s">
        <v>17302</v>
      </c>
      <c r="BM173" t="s">
        <v>13638</v>
      </c>
      <c r="BN173" t="s">
        <v>132</v>
      </c>
      <c r="BO173" t="s">
        <v>13639</v>
      </c>
      <c r="BP173" t="s">
        <v>13640</v>
      </c>
      <c r="BQ173" t="s">
        <v>2847</v>
      </c>
      <c r="BS173" t="s">
        <v>24359</v>
      </c>
      <c r="BT173" t="s">
        <v>24360</v>
      </c>
      <c r="BU173" t="s">
        <v>138</v>
      </c>
      <c r="BV173" t="s">
        <v>24361</v>
      </c>
      <c r="BW173" t="s">
        <v>24362</v>
      </c>
      <c r="BX173" t="s">
        <v>24363</v>
      </c>
      <c r="BY173" t="s">
        <v>24360</v>
      </c>
      <c r="BZ173" t="s">
        <v>24364</v>
      </c>
      <c r="CA173" t="s">
        <v>24365</v>
      </c>
      <c r="CB173" t="s">
        <v>24366</v>
      </c>
      <c r="CC173" t="s">
        <v>24361</v>
      </c>
      <c r="CD173" t="s">
        <v>24362</v>
      </c>
      <c r="CE173" t="s">
        <v>746</v>
      </c>
      <c r="CF173" t="s">
        <v>24367</v>
      </c>
      <c r="CH173" t="s">
        <v>18459</v>
      </c>
      <c r="CI173" t="s">
        <v>24368</v>
      </c>
      <c r="CJ173" t="s">
        <v>2127</v>
      </c>
      <c r="CK173" t="s">
        <v>621</v>
      </c>
      <c r="CL173" t="s">
        <v>18459</v>
      </c>
      <c r="CN173" t="s">
        <v>24367</v>
      </c>
      <c r="CO173" t="s">
        <v>24367</v>
      </c>
    </row>
    <row r="174" spans="1:93" hidden="1">
      <c r="A174" t="s">
        <v>149</v>
      </c>
      <c r="B174">
        <v>3705528</v>
      </c>
      <c r="C174" t="s">
        <v>7188</v>
      </c>
      <c r="D174" t="s">
        <v>21661</v>
      </c>
      <c r="E174" t="s">
        <v>23815</v>
      </c>
      <c r="F174" t="s">
        <v>2044</v>
      </c>
      <c r="G174" t="s">
        <v>98</v>
      </c>
      <c r="H174" t="s">
        <v>23816</v>
      </c>
      <c r="I174" t="s">
        <v>100</v>
      </c>
      <c r="J174">
        <v>1364191</v>
      </c>
      <c r="K174">
        <v>1364191</v>
      </c>
      <c r="L174">
        <v>643558</v>
      </c>
      <c r="M174">
        <v>678</v>
      </c>
      <c r="N174" t="s">
        <v>23817</v>
      </c>
      <c r="O174">
        <v>720633</v>
      </c>
      <c r="P174">
        <v>438</v>
      </c>
      <c r="Q174" t="s">
        <v>16419</v>
      </c>
      <c r="R174">
        <v>0</v>
      </c>
      <c r="S174">
        <v>0</v>
      </c>
      <c r="U174" t="s">
        <v>102</v>
      </c>
      <c r="V174" t="s">
        <v>103</v>
      </c>
      <c r="W174" t="s">
        <v>155</v>
      </c>
      <c r="Y174" t="s">
        <v>23818</v>
      </c>
      <c r="Z174" t="s">
        <v>23819</v>
      </c>
      <c r="AA174" t="s">
        <v>21826</v>
      </c>
      <c r="AB174" t="s">
        <v>23819</v>
      </c>
      <c r="AC174" t="s">
        <v>21828</v>
      </c>
      <c r="AD174" t="s">
        <v>23819</v>
      </c>
      <c r="AE174" t="s">
        <v>21821</v>
      </c>
      <c r="AF174" t="s">
        <v>23819</v>
      </c>
      <c r="AG174" t="s">
        <v>102</v>
      </c>
      <c r="AJ174" t="s">
        <v>102</v>
      </c>
      <c r="AK174" t="s">
        <v>102</v>
      </c>
      <c r="AL174" t="s">
        <v>102</v>
      </c>
      <c r="AM174" t="s">
        <v>23820</v>
      </c>
      <c r="AN174" t="s">
        <v>23820</v>
      </c>
      <c r="AS174" t="s">
        <v>117</v>
      </c>
      <c r="AT174" t="s">
        <v>118</v>
      </c>
      <c r="AU174" t="s">
        <v>155</v>
      </c>
      <c r="AV174" t="s">
        <v>119</v>
      </c>
      <c r="AW174" t="s">
        <v>170</v>
      </c>
      <c r="AX174" t="s">
        <v>118</v>
      </c>
      <c r="AZ174" t="s">
        <v>120</v>
      </c>
      <c r="BA174" t="s">
        <v>284</v>
      </c>
      <c r="BB174" t="s">
        <v>285</v>
      </c>
      <c r="BC174" t="s">
        <v>212</v>
      </c>
      <c r="BD174" t="s">
        <v>286</v>
      </c>
      <c r="BE174" t="s">
        <v>124</v>
      </c>
      <c r="BF174" t="s">
        <v>11889</v>
      </c>
      <c r="BG174" t="s">
        <v>21667</v>
      </c>
      <c r="BH174" t="s">
        <v>127</v>
      </c>
      <c r="BI174" t="s">
        <v>23821</v>
      </c>
      <c r="BJ174" t="s">
        <v>7204</v>
      </c>
      <c r="BK174" t="s">
        <v>23822</v>
      </c>
      <c r="BL174" t="s">
        <v>23815</v>
      </c>
      <c r="BM174" t="s">
        <v>23823</v>
      </c>
      <c r="BN174" t="s">
        <v>505</v>
      </c>
      <c r="BO174" t="s">
        <v>23824</v>
      </c>
      <c r="BP174" t="s">
        <v>23825</v>
      </c>
      <c r="BQ174" t="s">
        <v>293</v>
      </c>
      <c r="BS174" t="s">
        <v>23826</v>
      </c>
      <c r="BT174" t="s">
        <v>23827</v>
      </c>
      <c r="BU174" t="s">
        <v>138</v>
      </c>
      <c r="BV174" t="s">
        <v>16786</v>
      </c>
      <c r="BW174" t="s">
        <v>16787</v>
      </c>
      <c r="BX174" t="s">
        <v>7210</v>
      </c>
      <c r="BY174" t="s">
        <v>23827</v>
      </c>
      <c r="BZ174" t="s">
        <v>16786</v>
      </c>
      <c r="CA174" t="s">
        <v>16787</v>
      </c>
      <c r="CB174" t="s">
        <v>23827</v>
      </c>
      <c r="CC174" t="s">
        <v>16786</v>
      </c>
      <c r="CD174" t="s">
        <v>16787</v>
      </c>
      <c r="CE174" t="s">
        <v>102</v>
      </c>
      <c r="CF174" t="s">
        <v>16789</v>
      </c>
      <c r="CH174" t="s">
        <v>6729</v>
      </c>
      <c r="CJ174" t="s">
        <v>284</v>
      </c>
      <c r="CK174" t="s">
        <v>285</v>
      </c>
      <c r="CL174" t="s">
        <v>6729</v>
      </c>
      <c r="CM174" t="s">
        <v>7215</v>
      </c>
      <c r="CN174" t="s">
        <v>7216</v>
      </c>
      <c r="CO174" t="s">
        <v>7216</v>
      </c>
    </row>
    <row r="175" spans="1:93">
      <c r="A175" t="s">
        <v>337</v>
      </c>
      <c r="B175">
        <v>3727222</v>
      </c>
      <c r="C175" t="s">
        <v>24369</v>
      </c>
      <c r="D175" t="s">
        <v>21661</v>
      </c>
      <c r="E175" t="s">
        <v>11889</v>
      </c>
      <c r="F175" t="s">
        <v>97</v>
      </c>
      <c r="G175" t="s">
        <v>98</v>
      </c>
      <c r="H175" t="s">
        <v>24370</v>
      </c>
      <c r="I175" t="s">
        <v>100</v>
      </c>
      <c r="J175">
        <v>255518</v>
      </c>
      <c r="K175">
        <v>255518</v>
      </c>
      <c r="L175">
        <v>255518</v>
      </c>
      <c r="M175">
        <v>365</v>
      </c>
      <c r="N175" t="s">
        <v>799</v>
      </c>
      <c r="O175">
        <v>0</v>
      </c>
      <c r="P175">
        <v>0</v>
      </c>
      <c r="R175">
        <v>0</v>
      </c>
      <c r="S175">
        <v>0</v>
      </c>
      <c r="U175" t="s">
        <v>102</v>
      </c>
      <c r="V175" t="s">
        <v>103</v>
      </c>
      <c r="W175" t="s">
        <v>104</v>
      </c>
      <c r="Y175" t="s">
        <v>24371</v>
      </c>
      <c r="Z175" t="s">
        <v>24372</v>
      </c>
      <c r="AA175" t="s">
        <v>12720</v>
      </c>
      <c r="AB175" t="s">
        <v>24372</v>
      </c>
      <c r="AC175" t="s">
        <v>109</v>
      </c>
      <c r="AD175" t="s">
        <v>102</v>
      </c>
      <c r="AE175" t="s">
        <v>109</v>
      </c>
      <c r="AF175" t="s">
        <v>102</v>
      </c>
      <c r="AG175" t="s">
        <v>102</v>
      </c>
      <c r="AJ175" t="s">
        <v>102</v>
      </c>
      <c r="AK175" t="s">
        <v>102</v>
      </c>
      <c r="AL175" t="s">
        <v>102</v>
      </c>
      <c r="AM175" t="s">
        <v>3305</v>
      </c>
      <c r="AN175" t="s">
        <v>24373</v>
      </c>
      <c r="AO175" t="s">
        <v>102</v>
      </c>
      <c r="AP175" t="s">
        <v>102</v>
      </c>
      <c r="AQ175" t="s">
        <v>102</v>
      </c>
      <c r="AR175" t="s">
        <v>102</v>
      </c>
      <c r="AS175" t="s">
        <v>318</v>
      </c>
      <c r="AT175" t="s">
        <v>118</v>
      </c>
      <c r="AU175" t="s">
        <v>102</v>
      </c>
      <c r="AV175" t="s">
        <v>119</v>
      </c>
      <c r="AZ175" t="s">
        <v>10399</v>
      </c>
      <c r="BA175" t="s">
        <v>4889</v>
      </c>
      <c r="BB175" t="s">
        <v>730</v>
      </c>
      <c r="BC175" t="s">
        <v>622</v>
      </c>
      <c r="BD175" t="s">
        <v>730</v>
      </c>
      <c r="BE175" t="s">
        <v>124</v>
      </c>
      <c r="BF175" t="s">
        <v>12250</v>
      </c>
      <c r="BG175" t="s">
        <v>21667</v>
      </c>
      <c r="BH175" t="s">
        <v>127</v>
      </c>
      <c r="BI175" t="s">
        <v>24374</v>
      </c>
      <c r="BJ175" t="s">
        <v>24375</v>
      </c>
      <c r="BK175" t="s">
        <v>24376</v>
      </c>
      <c r="BL175" t="s">
        <v>11889</v>
      </c>
      <c r="BM175" t="s">
        <v>5197</v>
      </c>
      <c r="BN175" t="s">
        <v>180</v>
      </c>
      <c r="BO175" t="s">
        <v>5198</v>
      </c>
      <c r="BP175" t="s">
        <v>5199</v>
      </c>
      <c r="BQ175" t="s">
        <v>5199</v>
      </c>
      <c r="BR175" t="s">
        <v>2332</v>
      </c>
      <c r="BS175" t="s">
        <v>24377</v>
      </c>
      <c r="BT175" t="s">
        <v>24378</v>
      </c>
      <c r="BU175" t="s">
        <v>138</v>
      </c>
      <c r="BV175" t="s">
        <v>15969</v>
      </c>
      <c r="BW175" t="s">
        <v>24379</v>
      </c>
      <c r="BX175" t="s">
        <v>24380</v>
      </c>
      <c r="BY175" t="s">
        <v>24381</v>
      </c>
      <c r="BZ175" t="s">
        <v>24380</v>
      </c>
      <c r="CA175" t="s">
        <v>24382</v>
      </c>
      <c r="CB175" t="s">
        <v>24383</v>
      </c>
      <c r="CC175" t="s">
        <v>24380</v>
      </c>
      <c r="CD175" t="s">
        <v>24384</v>
      </c>
      <c r="CE175" t="s">
        <v>1594</v>
      </c>
      <c r="CF175" t="s">
        <v>24385</v>
      </c>
      <c r="CH175" t="s">
        <v>23370</v>
      </c>
      <c r="CJ175" t="s">
        <v>4889</v>
      </c>
      <c r="CK175" t="s">
        <v>730</v>
      </c>
      <c r="CL175" t="s">
        <v>23370</v>
      </c>
      <c r="CN175" t="s">
        <v>24386</v>
      </c>
      <c r="CO175" t="s">
        <v>24386</v>
      </c>
    </row>
    <row r="176" spans="1:93">
      <c r="A176" t="s">
        <v>337</v>
      </c>
      <c r="B176">
        <v>3742933</v>
      </c>
      <c r="C176" t="s">
        <v>22456</v>
      </c>
      <c r="D176" t="s">
        <v>21661</v>
      </c>
      <c r="E176" t="s">
        <v>6895</v>
      </c>
      <c r="F176" t="s">
        <v>152</v>
      </c>
      <c r="G176" t="s">
        <v>98</v>
      </c>
      <c r="H176" t="s">
        <v>22457</v>
      </c>
      <c r="I176" t="s">
        <v>100</v>
      </c>
      <c r="J176">
        <v>415806</v>
      </c>
      <c r="K176">
        <v>415806</v>
      </c>
      <c r="L176">
        <v>0</v>
      </c>
      <c r="M176">
        <v>0</v>
      </c>
      <c r="O176">
        <v>415806</v>
      </c>
      <c r="P176">
        <v>315</v>
      </c>
      <c r="Q176" t="s">
        <v>16755</v>
      </c>
      <c r="R176">
        <v>0</v>
      </c>
      <c r="S176">
        <v>0</v>
      </c>
      <c r="U176" t="s">
        <v>102</v>
      </c>
      <c r="V176" t="s">
        <v>103</v>
      </c>
      <c r="W176" t="s">
        <v>398</v>
      </c>
      <c r="Y176" t="s">
        <v>6895</v>
      </c>
      <c r="Z176" t="s">
        <v>22458</v>
      </c>
      <c r="AA176" t="s">
        <v>22459</v>
      </c>
      <c r="AB176" t="s">
        <v>22460</v>
      </c>
      <c r="AC176" t="s">
        <v>21821</v>
      </c>
      <c r="AD176" t="s">
        <v>22460</v>
      </c>
      <c r="AE176" t="s">
        <v>109</v>
      </c>
      <c r="AF176" t="s">
        <v>102</v>
      </c>
      <c r="AG176" t="s">
        <v>102</v>
      </c>
      <c r="AH176" t="s">
        <v>12313</v>
      </c>
      <c r="AI176" t="s">
        <v>12313</v>
      </c>
      <c r="AJ176" t="s">
        <v>22458</v>
      </c>
      <c r="AK176" t="s">
        <v>22461</v>
      </c>
      <c r="AL176" t="s">
        <v>22462</v>
      </c>
      <c r="AM176" t="s">
        <v>22463</v>
      </c>
      <c r="AN176" t="s">
        <v>22463</v>
      </c>
      <c r="AS176" t="s">
        <v>102</v>
      </c>
      <c r="AU176" t="s">
        <v>155</v>
      </c>
      <c r="AV176" t="s">
        <v>119</v>
      </c>
      <c r="AW176" t="s">
        <v>170</v>
      </c>
      <c r="AX176" t="s">
        <v>118</v>
      </c>
      <c r="AZ176" t="s">
        <v>120</v>
      </c>
      <c r="BA176" t="s">
        <v>555</v>
      </c>
      <c r="BB176" t="s">
        <v>556</v>
      </c>
      <c r="BC176" t="s">
        <v>122</v>
      </c>
      <c r="BD176" t="s">
        <v>557</v>
      </c>
      <c r="BE176" t="s">
        <v>124</v>
      </c>
      <c r="BF176" t="s">
        <v>12250</v>
      </c>
      <c r="BG176" t="s">
        <v>21667</v>
      </c>
      <c r="BH176" t="s">
        <v>127</v>
      </c>
      <c r="BI176" t="s">
        <v>22464</v>
      </c>
      <c r="BJ176" t="s">
        <v>22465</v>
      </c>
      <c r="BK176" t="s">
        <v>22466</v>
      </c>
      <c r="BL176" t="s">
        <v>6895</v>
      </c>
      <c r="BM176" t="s">
        <v>16526</v>
      </c>
      <c r="BN176" t="s">
        <v>350</v>
      </c>
      <c r="BO176" t="s">
        <v>16527</v>
      </c>
      <c r="BP176" t="s">
        <v>16528</v>
      </c>
      <c r="BQ176" t="s">
        <v>224</v>
      </c>
      <c r="BS176" t="s">
        <v>22467</v>
      </c>
      <c r="BT176" t="s">
        <v>22468</v>
      </c>
      <c r="BU176" t="s">
        <v>138</v>
      </c>
      <c r="BV176" t="s">
        <v>22469</v>
      </c>
      <c r="BW176" t="s">
        <v>22470</v>
      </c>
      <c r="BX176" t="s">
        <v>22471</v>
      </c>
      <c r="BY176" t="s">
        <v>22468</v>
      </c>
      <c r="BZ176" t="s">
        <v>22469</v>
      </c>
      <c r="CA176" t="s">
        <v>22470</v>
      </c>
      <c r="CB176" t="s">
        <v>22472</v>
      </c>
      <c r="CC176" t="s">
        <v>22469</v>
      </c>
      <c r="CD176" t="s">
        <v>22473</v>
      </c>
      <c r="CE176" t="s">
        <v>1317</v>
      </c>
      <c r="CF176" t="s">
        <v>22474</v>
      </c>
      <c r="CH176" t="s">
        <v>22475</v>
      </c>
      <c r="CJ176" t="s">
        <v>555</v>
      </c>
      <c r="CK176" t="s">
        <v>556</v>
      </c>
      <c r="CL176" t="s">
        <v>22475</v>
      </c>
      <c r="CN176" t="s">
        <v>22476</v>
      </c>
      <c r="CO176" t="s">
        <v>22476</v>
      </c>
    </row>
    <row r="177" spans="1:93" hidden="1">
      <c r="A177" t="s">
        <v>149</v>
      </c>
      <c r="B177">
        <v>3752732</v>
      </c>
      <c r="C177" t="s">
        <v>7315</v>
      </c>
      <c r="D177" t="s">
        <v>21661</v>
      </c>
      <c r="E177" t="s">
        <v>21790</v>
      </c>
      <c r="F177" t="s">
        <v>152</v>
      </c>
      <c r="G177" t="s">
        <v>98</v>
      </c>
      <c r="H177" t="s">
        <v>25862</v>
      </c>
      <c r="I177" t="s">
        <v>100</v>
      </c>
      <c r="J177">
        <v>666991</v>
      </c>
      <c r="K177">
        <v>666991</v>
      </c>
      <c r="L177">
        <v>0</v>
      </c>
      <c r="M177">
        <v>0</v>
      </c>
      <c r="O177">
        <v>666991</v>
      </c>
      <c r="P177">
        <v>417</v>
      </c>
      <c r="Q177" t="s">
        <v>25863</v>
      </c>
      <c r="R177">
        <v>0</v>
      </c>
      <c r="S177">
        <v>0</v>
      </c>
      <c r="U177" t="s">
        <v>102</v>
      </c>
      <c r="V177" t="s">
        <v>103</v>
      </c>
      <c r="W177" t="s">
        <v>398</v>
      </c>
      <c r="Y177" t="s">
        <v>23231</v>
      </c>
      <c r="Z177" t="s">
        <v>25864</v>
      </c>
      <c r="AA177" t="s">
        <v>24620</v>
      </c>
      <c r="AB177" t="s">
        <v>25865</v>
      </c>
      <c r="AC177" t="s">
        <v>22212</v>
      </c>
      <c r="AD177" t="s">
        <v>25865</v>
      </c>
      <c r="AE177" t="s">
        <v>109</v>
      </c>
      <c r="AF177" t="s">
        <v>102</v>
      </c>
      <c r="AG177" t="s">
        <v>102</v>
      </c>
      <c r="AJ177" t="s">
        <v>102</v>
      </c>
      <c r="AK177" t="s">
        <v>102</v>
      </c>
      <c r="AL177" t="s">
        <v>102</v>
      </c>
      <c r="AM177" t="s">
        <v>4643</v>
      </c>
      <c r="AN177" t="s">
        <v>18174</v>
      </c>
      <c r="AR177" t="s">
        <v>169</v>
      </c>
      <c r="AS177" t="s">
        <v>102</v>
      </c>
      <c r="AU177" t="s">
        <v>155</v>
      </c>
      <c r="AV177" t="s">
        <v>447</v>
      </c>
      <c r="AW177" t="s">
        <v>170</v>
      </c>
      <c r="AX177" t="s">
        <v>118</v>
      </c>
      <c r="AZ177" t="s">
        <v>120</v>
      </c>
      <c r="BA177" t="s">
        <v>7324</v>
      </c>
      <c r="BB177" t="s">
        <v>556</v>
      </c>
      <c r="BC177" t="s">
        <v>122</v>
      </c>
      <c r="BD177" t="s">
        <v>557</v>
      </c>
      <c r="BE177" t="s">
        <v>124</v>
      </c>
      <c r="BF177" t="s">
        <v>12250</v>
      </c>
      <c r="BG177" t="s">
        <v>21667</v>
      </c>
      <c r="BH177" t="s">
        <v>127</v>
      </c>
      <c r="BI177" t="s">
        <v>25866</v>
      </c>
      <c r="BJ177" t="s">
        <v>7326</v>
      </c>
      <c r="BK177" t="s">
        <v>25867</v>
      </c>
      <c r="BL177" t="s">
        <v>21790</v>
      </c>
      <c r="BM177" t="s">
        <v>12743</v>
      </c>
      <c r="BN177" t="s">
        <v>350</v>
      </c>
      <c r="BO177" t="s">
        <v>12744</v>
      </c>
      <c r="BP177" t="s">
        <v>12745</v>
      </c>
      <c r="BQ177" t="s">
        <v>566</v>
      </c>
      <c r="BS177" t="s">
        <v>25868</v>
      </c>
      <c r="BT177" t="s">
        <v>25869</v>
      </c>
      <c r="BU177" t="s">
        <v>138</v>
      </c>
      <c r="BV177" t="s">
        <v>25870</v>
      </c>
      <c r="BW177" t="s">
        <v>25871</v>
      </c>
      <c r="BX177" t="s">
        <v>7330</v>
      </c>
      <c r="BY177" t="s">
        <v>25869</v>
      </c>
      <c r="BZ177" t="s">
        <v>25870</v>
      </c>
      <c r="CA177" t="s">
        <v>25871</v>
      </c>
      <c r="CB177" t="s">
        <v>25869</v>
      </c>
      <c r="CC177" t="s">
        <v>25870</v>
      </c>
      <c r="CD177" t="s">
        <v>25871</v>
      </c>
      <c r="CE177" t="s">
        <v>7332</v>
      </c>
      <c r="CF177" t="s">
        <v>7315</v>
      </c>
      <c r="CH177" t="s">
        <v>7334</v>
      </c>
      <c r="CJ177" t="s">
        <v>7324</v>
      </c>
      <c r="CK177" t="s">
        <v>556</v>
      </c>
      <c r="CL177" t="s">
        <v>7334</v>
      </c>
      <c r="CN177" t="s">
        <v>7333</v>
      </c>
      <c r="CO177" t="s">
        <v>7333</v>
      </c>
    </row>
    <row r="178" spans="1:93" hidden="1">
      <c r="A178" t="s">
        <v>149</v>
      </c>
      <c r="B178">
        <v>3769775</v>
      </c>
      <c r="C178" t="s">
        <v>7391</v>
      </c>
      <c r="D178" t="s">
        <v>21661</v>
      </c>
      <c r="E178" t="s">
        <v>13302</v>
      </c>
      <c r="F178" t="s">
        <v>1086</v>
      </c>
      <c r="G178" t="s">
        <v>98</v>
      </c>
      <c r="H178" t="s">
        <v>22477</v>
      </c>
      <c r="I178" t="s">
        <v>100</v>
      </c>
      <c r="J178">
        <v>915922</v>
      </c>
      <c r="K178">
        <v>1021196</v>
      </c>
      <c r="L178">
        <v>98501</v>
      </c>
      <c r="M178">
        <v>212</v>
      </c>
      <c r="N178" t="s">
        <v>5286</v>
      </c>
      <c r="O178">
        <v>232567</v>
      </c>
      <c r="P178">
        <v>212</v>
      </c>
      <c r="Q178" t="s">
        <v>22478</v>
      </c>
      <c r="R178">
        <v>584854</v>
      </c>
      <c r="S178">
        <v>294</v>
      </c>
      <c r="T178" t="s">
        <v>22479</v>
      </c>
      <c r="U178" t="s">
        <v>102</v>
      </c>
      <c r="V178" t="s">
        <v>103</v>
      </c>
      <c r="W178" t="s">
        <v>155</v>
      </c>
      <c r="Y178" t="s">
        <v>13662</v>
      </c>
      <c r="Z178" t="s">
        <v>22480</v>
      </c>
      <c r="AA178" t="s">
        <v>22103</v>
      </c>
      <c r="AB178" t="s">
        <v>22480</v>
      </c>
      <c r="AC178" t="s">
        <v>22071</v>
      </c>
      <c r="AD178" t="s">
        <v>22480</v>
      </c>
      <c r="AE178" t="s">
        <v>21687</v>
      </c>
      <c r="AF178" t="s">
        <v>22480</v>
      </c>
      <c r="AG178" t="s">
        <v>102</v>
      </c>
      <c r="AJ178" t="s">
        <v>22480</v>
      </c>
      <c r="AK178" t="s">
        <v>102</v>
      </c>
      <c r="AL178" t="s">
        <v>22480</v>
      </c>
      <c r="AM178" t="s">
        <v>22481</v>
      </c>
      <c r="AN178" t="s">
        <v>22481</v>
      </c>
      <c r="AS178" t="s">
        <v>207</v>
      </c>
      <c r="AT178" t="s">
        <v>250</v>
      </c>
      <c r="AU178" t="s">
        <v>655</v>
      </c>
      <c r="AV178" t="s">
        <v>119</v>
      </c>
      <c r="AX178" t="s">
        <v>250</v>
      </c>
      <c r="AY178" t="s">
        <v>250</v>
      </c>
      <c r="AZ178" t="s">
        <v>120</v>
      </c>
      <c r="BA178" t="s">
        <v>7403</v>
      </c>
      <c r="BB178" t="s">
        <v>4404</v>
      </c>
      <c r="BC178" t="s">
        <v>174</v>
      </c>
      <c r="BD178" t="s">
        <v>4405</v>
      </c>
      <c r="BE178" t="s">
        <v>124</v>
      </c>
      <c r="BF178" t="s">
        <v>12250</v>
      </c>
      <c r="BG178" t="s">
        <v>21667</v>
      </c>
      <c r="BH178" t="s">
        <v>127</v>
      </c>
      <c r="BI178" t="s">
        <v>22482</v>
      </c>
      <c r="BJ178" t="s">
        <v>7405</v>
      </c>
      <c r="BK178" t="s">
        <v>22483</v>
      </c>
      <c r="BL178" t="s">
        <v>13302</v>
      </c>
      <c r="BM178" t="s">
        <v>1108</v>
      </c>
      <c r="BN178" t="s">
        <v>180</v>
      </c>
      <c r="BO178" t="s">
        <v>1109</v>
      </c>
      <c r="BP178" t="s">
        <v>1110</v>
      </c>
      <c r="BQ178" t="s">
        <v>4413</v>
      </c>
      <c r="BS178" t="s">
        <v>22484</v>
      </c>
      <c r="BT178" t="s">
        <v>7408</v>
      </c>
      <c r="BU178" t="s">
        <v>138</v>
      </c>
      <c r="BV178" t="s">
        <v>7409</v>
      </c>
      <c r="BW178" t="s">
        <v>7410</v>
      </c>
      <c r="BX178" t="s">
        <v>7409</v>
      </c>
      <c r="BY178" t="s">
        <v>7408</v>
      </c>
      <c r="BZ178" t="s">
        <v>7409</v>
      </c>
      <c r="CA178" t="s">
        <v>7410</v>
      </c>
      <c r="CB178" t="s">
        <v>22485</v>
      </c>
      <c r="CC178" t="s">
        <v>22486</v>
      </c>
      <c r="CD178" t="s">
        <v>22487</v>
      </c>
      <c r="CE178" t="s">
        <v>102</v>
      </c>
      <c r="CF178" t="s">
        <v>16931</v>
      </c>
      <c r="CH178" t="s">
        <v>7415</v>
      </c>
      <c r="CJ178" t="s">
        <v>7403</v>
      </c>
      <c r="CK178" t="s">
        <v>4404</v>
      </c>
      <c r="CL178" t="s">
        <v>7415</v>
      </c>
      <c r="CN178" t="s">
        <v>7416</v>
      </c>
      <c r="CO178" t="s">
        <v>7414</v>
      </c>
    </row>
    <row r="179" spans="1:93" hidden="1">
      <c r="A179" t="s">
        <v>149</v>
      </c>
      <c r="B179">
        <v>3799725</v>
      </c>
      <c r="C179" t="s">
        <v>7449</v>
      </c>
      <c r="D179" t="s">
        <v>21661</v>
      </c>
      <c r="E179" t="s">
        <v>16162</v>
      </c>
      <c r="F179" t="s">
        <v>2044</v>
      </c>
      <c r="G179" t="s">
        <v>98</v>
      </c>
      <c r="H179" t="s">
        <v>22488</v>
      </c>
      <c r="I179" t="s">
        <v>100</v>
      </c>
      <c r="J179">
        <v>1602182</v>
      </c>
      <c r="K179">
        <v>1602182</v>
      </c>
      <c r="L179">
        <v>624897</v>
      </c>
      <c r="M179">
        <v>763</v>
      </c>
      <c r="N179" t="s">
        <v>22489</v>
      </c>
      <c r="O179">
        <v>977285</v>
      </c>
      <c r="P179">
        <v>763</v>
      </c>
      <c r="Q179" t="s">
        <v>10554</v>
      </c>
      <c r="R179">
        <v>0</v>
      </c>
      <c r="S179">
        <v>0</v>
      </c>
      <c r="U179" t="s">
        <v>102</v>
      </c>
      <c r="V179" t="s">
        <v>103</v>
      </c>
      <c r="W179" t="s">
        <v>155</v>
      </c>
      <c r="Y179" t="s">
        <v>12250</v>
      </c>
      <c r="Z179" t="s">
        <v>22490</v>
      </c>
      <c r="AA179" t="s">
        <v>21664</v>
      </c>
      <c r="AB179" t="s">
        <v>22490</v>
      </c>
      <c r="AC179" t="s">
        <v>21665</v>
      </c>
      <c r="AD179" t="s">
        <v>22490</v>
      </c>
      <c r="AE179" t="s">
        <v>21710</v>
      </c>
      <c r="AF179" t="s">
        <v>22490</v>
      </c>
      <c r="AG179" t="s">
        <v>102</v>
      </c>
      <c r="AJ179" t="s">
        <v>22490</v>
      </c>
      <c r="AK179" t="s">
        <v>102</v>
      </c>
      <c r="AL179" t="s">
        <v>22490</v>
      </c>
      <c r="AM179" t="s">
        <v>22491</v>
      </c>
      <c r="AN179" t="s">
        <v>22492</v>
      </c>
      <c r="AQ179" t="s">
        <v>169</v>
      </c>
      <c r="AR179" t="s">
        <v>169</v>
      </c>
      <c r="AS179" t="s">
        <v>318</v>
      </c>
      <c r="AT179" t="s">
        <v>118</v>
      </c>
      <c r="AU179" t="s">
        <v>104</v>
      </c>
      <c r="AV179" t="s">
        <v>447</v>
      </c>
      <c r="AW179" t="s">
        <v>170</v>
      </c>
      <c r="AX179" t="s">
        <v>118</v>
      </c>
      <c r="AZ179" t="s">
        <v>120</v>
      </c>
      <c r="BA179" t="s">
        <v>3854</v>
      </c>
      <c r="BB179" t="s">
        <v>449</v>
      </c>
      <c r="BC179" t="s">
        <v>122</v>
      </c>
      <c r="BD179" t="s">
        <v>450</v>
      </c>
      <c r="BE179" t="s">
        <v>124</v>
      </c>
      <c r="BF179" t="s">
        <v>12250</v>
      </c>
      <c r="BG179" t="s">
        <v>21667</v>
      </c>
      <c r="BH179" t="s">
        <v>127</v>
      </c>
      <c r="BI179" t="s">
        <v>22493</v>
      </c>
      <c r="BJ179" t="s">
        <v>7461</v>
      </c>
      <c r="BK179" t="s">
        <v>22494</v>
      </c>
      <c r="BL179" t="s">
        <v>16162</v>
      </c>
      <c r="BM179" t="s">
        <v>18467</v>
      </c>
      <c r="BN179" t="s">
        <v>350</v>
      </c>
      <c r="BO179" t="s">
        <v>18468</v>
      </c>
      <c r="BP179" t="s">
        <v>18469</v>
      </c>
      <c r="BQ179" t="s">
        <v>261</v>
      </c>
      <c r="BS179" t="s">
        <v>22495</v>
      </c>
      <c r="BT179" t="s">
        <v>7464</v>
      </c>
      <c r="BU179" t="s">
        <v>138</v>
      </c>
      <c r="BV179" t="s">
        <v>7465</v>
      </c>
      <c r="BW179" t="s">
        <v>7466</v>
      </c>
      <c r="BX179" t="s">
        <v>7467</v>
      </c>
      <c r="BY179" t="s">
        <v>7464</v>
      </c>
      <c r="BZ179" t="s">
        <v>7465</v>
      </c>
      <c r="CA179" t="s">
        <v>7466</v>
      </c>
      <c r="CB179" t="s">
        <v>22496</v>
      </c>
      <c r="CC179" t="s">
        <v>22497</v>
      </c>
      <c r="CD179" t="s">
        <v>22498</v>
      </c>
      <c r="CE179" t="s">
        <v>5768</v>
      </c>
      <c r="CF179" t="s">
        <v>17030</v>
      </c>
      <c r="CH179" t="s">
        <v>7472</v>
      </c>
      <c r="CI179" t="s">
        <v>17031</v>
      </c>
      <c r="CJ179" t="s">
        <v>3854</v>
      </c>
      <c r="CK179" t="s">
        <v>449</v>
      </c>
      <c r="CL179" t="s">
        <v>7472</v>
      </c>
      <c r="CM179" t="s">
        <v>7473</v>
      </c>
      <c r="CN179" t="s">
        <v>7471</v>
      </c>
      <c r="CO179" t="s">
        <v>7471</v>
      </c>
    </row>
    <row r="180" spans="1:93" hidden="1">
      <c r="A180" t="s">
        <v>149</v>
      </c>
      <c r="B180">
        <v>381519</v>
      </c>
      <c r="C180" t="s">
        <v>25872</v>
      </c>
      <c r="D180" t="s">
        <v>21661</v>
      </c>
      <c r="E180" t="s">
        <v>24940</v>
      </c>
      <c r="F180" t="s">
        <v>848</v>
      </c>
      <c r="G180" t="s">
        <v>98</v>
      </c>
      <c r="H180" t="s">
        <v>25873</v>
      </c>
      <c r="I180" t="s">
        <v>100</v>
      </c>
      <c r="J180">
        <v>1233873</v>
      </c>
      <c r="K180">
        <v>1455970</v>
      </c>
      <c r="L180">
        <v>0</v>
      </c>
      <c r="M180">
        <v>0</v>
      </c>
      <c r="O180">
        <v>0</v>
      </c>
      <c r="P180">
        <v>0</v>
      </c>
      <c r="R180">
        <v>1233873</v>
      </c>
      <c r="S180">
        <v>640</v>
      </c>
      <c r="T180" t="s">
        <v>25874</v>
      </c>
      <c r="U180" t="s">
        <v>102</v>
      </c>
      <c r="V180" t="s">
        <v>103</v>
      </c>
      <c r="W180" t="s">
        <v>155</v>
      </c>
      <c r="Y180" t="s">
        <v>20504</v>
      </c>
      <c r="Z180" t="s">
        <v>25875</v>
      </c>
      <c r="AA180" t="s">
        <v>21826</v>
      </c>
      <c r="AB180" t="s">
        <v>25875</v>
      </c>
      <c r="AC180" t="s">
        <v>21892</v>
      </c>
      <c r="AD180" t="s">
        <v>25875</v>
      </c>
      <c r="AE180" t="s">
        <v>21687</v>
      </c>
      <c r="AF180" t="s">
        <v>25875</v>
      </c>
      <c r="AG180" t="s">
        <v>102</v>
      </c>
      <c r="AJ180" t="s">
        <v>25875</v>
      </c>
      <c r="AK180" t="s">
        <v>102</v>
      </c>
      <c r="AL180" t="s">
        <v>25875</v>
      </c>
      <c r="AM180" t="s">
        <v>25876</v>
      </c>
      <c r="AN180" t="s">
        <v>25876</v>
      </c>
      <c r="AS180" t="s">
        <v>102</v>
      </c>
      <c r="AU180" t="s">
        <v>102</v>
      </c>
      <c r="AV180" t="s">
        <v>119</v>
      </c>
      <c r="AY180" t="s">
        <v>250</v>
      </c>
      <c r="AZ180" t="s">
        <v>120</v>
      </c>
      <c r="BA180" t="s">
        <v>375</v>
      </c>
      <c r="BB180" t="s">
        <v>376</v>
      </c>
      <c r="BC180" t="s">
        <v>174</v>
      </c>
      <c r="BD180" t="s">
        <v>376</v>
      </c>
      <c r="BE180" t="s">
        <v>124</v>
      </c>
      <c r="BF180" t="s">
        <v>20476</v>
      </c>
      <c r="BG180" t="s">
        <v>21667</v>
      </c>
      <c r="BH180" t="s">
        <v>127</v>
      </c>
      <c r="BI180" t="s">
        <v>25877</v>
      </c>
      <c r="BJ180" t="s">
        <v>7537</v>
      </c>
      <c r="BK180" t="s">
        <v>25878</v>
      </c>
      <c r="BL180" t="s">
        <v>24940</v>
      </c>
      <c r="BM180" t="s">
        <v>1917</v>
      </c>
      <c r="BN180" t="s">
        <v>180</v>
      </c>
      <c r="BO180" t="s">
        <v>1918</v>
      </c>
      <c r="BP180" t="s">
        <v>1919</v>
      </c>
      <c r="BQ180" t="s">
        <v>384</v>
      </c>
      <c r="BS180" t="s">
        <v>25879</v>
      </c>
      <c r="BT180" t="s">
        <v>25880</v>
      </c>
      <c r="BU180" t="s">
        <v>598</v>
      </c>
      <c r="BV180" t="s">
        <v>25881</v>
      </c>
      <c r="BW180" t="s">
        <v>25882</v>
      </c>
      <c r="BX180" t="s">
        <v>7543</v>
      </c>
      <c r="BY180" t="s">
        <v>25880</v>
      </c>
      <c r="BZ180" t="s">
        <v>25881</v>
      </c>
      <c r="CA180" t="s">
        <v>25882</v>
      </c>
      <c r="CB180" t="s">
        <v>25880</v>
      </c>
      <c r="CC180" t="s">
        <v>25881</v>
      </c>
      <c r="CD180" t="s">
        <v>25882</v>
      </c>
      <c r="CE180" t="s">
        <v>102</v>
      </c>
      <c r="CF180" t="s">
        <v>17041</v>
      </c>
      <c r="CH180" t="s">
        <v>7551</v>
      </c>
      <c r="CJ180" t="s">
        <v>375</v>
      </c>
      <c r="CK180" t="s">
        <v>376</v>
      </c>
      <c r="CL180" t="s">
        <v>7551</v>
      </c>
      <c r="CM180" t="s">
        <v>7552</v>
      </c>
      <c r="CN180" t="s">
        <v>7550</v>
      </c>
      <c r="CO180" t="s">
        <v>7550</v>
      </c>
    </row>
    <row r="181" spans="1:93">
      <c r="A181" t="s">
        <v>337</v>
      </c>
      <c r="B181">
        <v>3817615</v>
      </c>
      <c r="C181" t="s">
        <v>22499</v>
      </c>
      <c r="D181" t="s">
        <v>21661</v>
      </c>
      <c r="E181" t="s">
        <v>13245</v>
      </c>
      <c r="F181" t="s">
        <v>8024</v>
      </c>
      <c r="G181" t="s">
        <v>98</v>
      </c>
      <c r="H181" t="s">
        <v>22500</v>
      </c>
      <c r="I181" t="s">
        <v>100</v>
      </c>
      <c r="J181">
        <v>780640</v>
      </c>
      <c r="K181">
        <v>902180</v>
      </c>
      <c r="L181">
        <v>0</v>
      </c>
      <c r="M181">
        <v>0</v>
      </c>
      <c r="O181">
        <v>105416</v>
      </c>
      <c r="P181">
        <v>229</v>
      </c>
      <c r="Q181" t="s">
        <v>22501</v>
      </c>
      <c r="R181">
        <v>675224</v>
      </c>
      <c r="S181">
        <v>375</v>
      </c>
      <c r="T181" t="s">
        <v>5012</v>
      </c>
      <c r="U181" t="s">
        <v>102</v>
      </c>
      <c r="V181" t="s">
        <v>103</v>
      </c>
      <c r="W181" t="s">
        <v>155</v>
      </c>
      <c r="Y181" t="s">
        <v>20476</v>
      </c>
      <c r="Z181" t="s">
        <v>22502</v>
      </c>
      <c r="AA181" t="s">
        <v>21786</v>
      </c>
      <c r="AB181" t="s">
        <v>22502</v>
      </c>
      <c r="AC181" t="s">
        <v>21944</v>
      </c>
      <c r="AD181" t="s">
        <v>22502</v>
      </c>
      <c r="AE181" t="s">
        <v>21687</v>
      </c>
      <c r="AF181" t="s">
        <v>22502</v>
      </c>
      <c r="AG181" t="s">
        <v>102</v>
      </c>
      <c r="AH181" t="s">
        <v>13863</v>
      </c>
      <c r="AI181" t="s">
        <v>13863</v>
      </c>
      <c r="AJ181" t="s">
        <v>22502</v>
      </c>
      <c r="AK181" t="s">
        <v>573</v>
      </c>
      <c r="AL181" t="s">
        <v>25177</v>
      </c>
      <c r="AM181" t="s">
        <v>22504</v>
      </c>
      <c r="AN181" t="s">
        <v>22505</v>
      </c>
      <c r="AQ181" t="s">
        <v>169</v>
      </c>
      <c r="AS181" t="s">
        <v>102</v>
      </c>
      <c r="AU181" t="s">
        <v>104</v>
      </c>
      <c r="AV181" t="s">
        <v>447</v>
      </c>
      <c r="AW181" t="s">
        <v>170</v>
      </c>
      <c r="AX181" t="s">
        <v>118</v>
      </c>
      <c r="AY181" t="s">
        <v>250</v>
      </c>
      <c r="AZ181" t="s">
        <v>120</v>
      </c>
      <c r="BA181" t="s">
        <v>18092</v>
      </c>
      <c r="BB181" t="s">
        <v>2800</v>
      </c>
      <c r="BC181" t="s">
        <v>122</v>
      </c>
      <c r="BD181" t="s">
        <v>346</v>
      </c>
      <c r="BE181" t="s">
        <v>124</v>
      </c>
      <c r="BF181" t="s">
        <v>12250</v>
      </c>
      <c r="BG181" t="s">
        <v>21667</v>
      </c>
      <c r="BH181" t="s">
        <v>127</v>
      </c>
      <c r="BI181" t="s">
        <v>22506</v>
      </c>
      <c r="BJ181" t="s">
        <v>22507</v>
      </c>
      <c r="BK181" t="s">
        <v>22508</v>
      </c>
      <c r="BL181" t="s">
        <v>13245</v>
      </c>
      <c r="BM181" t="s">
        <v>4845</v>
      </c>
      <c r="BN181" t="s">
        <v>350</v>
      </c>
      <c r="BO181" t="s">
        <v>4846</v>
      </c>
      <c r="BP181" t="s">
        <v>4847</v>
      </c>
      <c r="BQ181" t="s">
        <v>8756</v>
      </c>
      <c r="BS181" t="s">
        <v>22509</v>
      </c>
      <c r="BT181" t="s">
        <v>22510</v>
      </c>
      <c r="BU181" t="s">
        <v>138</v>
      </c>
      <c r="BV181" t="s">
        <v>22511</v>
      </c>
      <c r="BW181" t="s">
        <v>22512</v>
      </c>
      <c r="BX181" t="s">
        <v>22511</v>
      </c>
      <c r="BY181" t="s">
        <v>22510</v>
      </c>
      <c r="BZ181" t="s">
        <v>22511</v>
      </c>
      <c r="CA181" t="s">
        <v>22512</v>
      </c>
      <c r="CB181" t="s">
        <v>22510</v>
      </c>
      <c r="CC181" t="s">
        <v>22511</v>
      </c>
      <c r="CD181" t="s">
        <v>22512</v>
      </c>
      <c r="CE181" t="s">
        <v>10583</v>
      </c>
      <c r="CF181" t="s">
        <v>22513</v>
      </c>
      <c r="CH181" t="s">
        <v>18106</v>
      </c>
      <c r="CI181" t="s">
        <v>22513</v>
      </c>
      <c r="CJ181" t="s">
        <v>18092</v>
      </c>
      <c r="CK181" t="s">
        <v>2800</v>
      </c>
      <c r="CL181" t="s">
        <v>18106</v>
      </c>
      <c r="CN181" t="s">
        <v>22513</v>
      </c>
      <c r="CO181" t="s">
        <v>22513</v>
      </c>
    </row>
    <row r="182" spans="1:93" hidden="1">
      <c r="A182" t="s">
        <v>149</v>
      </c>
      <c r="B182">
        <v>3833865</v>
      </c>
      <c r="C182" t="s">
        <v>7592</v>
      </c>
      <c r="D182" t="s">
        <v>21661</v>
      </c>
      <c r="E182" t="s">
        <v>6615</v>
      </c>
      <c r="F182" t="s">
        <v>97</v>
      </c>
      <c r="G182" t="s">
        <v>98</v>
      </c>
      <c r="H182" t="s">
        <v>22514</v>
      </c>
      <c r="I182" t="s">
        <v>100</v>
      </c>
      <c r="J182">
        <v>396652</v>
      </c>
      <c r="K182">
        <v>396652</v>
      </c>
      <c r="L182">
        <v>396652</v>
      </c>
      <c r="M182">
        <v>494</v>
      </c>
      <c r="N182" t="s">
        <v>7595</v>
      </c>
      <c r="O182">
        <v>0</v>
      </c>
      <c r="P182">
        <v>0</v>
      </c>
      <c r="R182">
        <v>0</v>
      </c>
      <c r="S182">
        <v>0</v>
      </c>
      <c r="U182" t="s">
        <v>102</v>
      </c>
      <c r="V182" t="s">
        <v>275</v>
      </c>
      <c r="X182" t="s">
        <v>14623</v>
      </c>
      <c r="Y182" t="s">
        <v>109</v>
      </c>
      <c r="Z182" t="s">
        <v>102</v>
      </c>
      <c r="AA182" t="s">
        <v>109</v>
      </c>
      <c r="AB182" t="s">
        <v>102</v>
      </c>
      <c r="AC182" t="s">
        <v>109</v>
      </c>
      <c r="AD182" t="s">
        <v>102</v>
      </c>
      <c r="AE182" t="s">
        <v>109</v>
      </c>
      <c r="AF182" t="s">
        <v>102</v>
      </c>
      <c r="AG182" t="s">
        <v>23828</v>
      </c>
      <c r="AH182" t="s">
        <v>23517</v>
      </c>
      <c r="AI182" t="s">
        <v>23517</v>
      </c>
      <c r="AJ182" t="s">
        <v>22515</v>
      </c>
      <c r="AK182" t="s">
        <v>23829</v>
      </c>
      <c r="AL182" t="s">
        <v>115</v>
      </c>
      <c r="AM182" t="s">
        <v>7600</v>
      </c>
      <c r="AN182" t="s">
        <v>17087</v>
      </c>
      <c r="AR182" t="s">
        <v>169</v>
      </c>
      <c r="AS182" t="s">
        <v>117</v>
      </c>
      <c r="AT182" t="s">
        <v>250</v>
      </c>
      <c r="AU182" t="s">
        <v>102</v>
      </c>
      <c r="AV182" t="s">
        <v>119</v>
      </c>
      <c r="AZ182" t="s">
        <v>209</v>
      </c>
      <c r="BA182" t="s">
        <v>2542</v>
      </c>
      <c r="BB182" t="s">
        <v>2543</v>
      </c>
      <c r="BC182" t="s">
        <v>122</v>
      </c>
      <c r="BD182" t="s">
        <v>557</v>
      </c>
      <c r="BE182" t="s">
        <v>124</v>
      </c>
      <c r="BF182" t="s">
        <v>12250</v>
      </c>
      <c r="BG182" t="s">
        <v>21667</v>
      </c>
      <c r="BH182" t="s">
        <v>127</v>
      </c>
      <c r="BI182" t="s">
        <v>22516</v>
      </c>
      <c r="BJ182" t="s">
        <v>7602</v>
      </c>
      <c r="BK182" t="s">
        <v>22517</v>
      </c>
      <c r="BL182" t="s">
        <v>6615</v>
      </c>
      <c r="BM182" t="s">
        <v>12743</v>
      </c>
      <c r="BN182" t="s">
        <v>350</v>
      </c>
      <c r="BO182" t="s">
        <v>12744</v>
      </c>
      <c r="BP182" t="s">
        <v>12745</v>
      </c>
      <c r="BQ182" t="s">
        <v>1075</v>
      </c>
      <c r="BS182" t="s">
        <v>22518</v>
      </c>
      <c r="BT182" t="s">
        <v>17091</v>
      </c>
      <c r="BU182" t="s">
        <v>569</v>
      </c>
      <c r="BV182" t="s">
        <v>7606</v>
      </c>
      <c r="BW182" t="s">
        <v>7607</v>
      </c>
      <c r="BX182" t="s">
        <v>7608</v>
      </c>
      <c r="BY182" t="s">
        <v>22519</v>
      </c>
      <c r="BZ182" t="s">
        <v>17093</v>
      </c>
      <c r="CA182" t="s">
        <v>17097</v>
      </c>
      <c r="CB182" t="s">
        <v>22520</v>
      </c>
      <c r="CC182" t="s">
        <v>17096</v>
      </c>
      <c r="CD182" t="s">
        <v>17097</v>
      </c>
      <c r="CE182" t="s">
        <v>709</v>
      </c>
      <c r="CF182" t="s">
        <v>7609</v>
      </c>
      <c r="CH182" t="s">
        <v>7610</v>
      </c>
      <c r="CI182" t="s">
        <v>7609</v>
      </c>
      <c r="CJ182" t="s">
        <v>2542</v>
      </c>
      <c r="CK182" t="s">
        <v>2543</v>
      </c>
      <c r="CL182" t="s">
        <v>7610</v>
      </c>
      <c r="CM182" t="s">
        <v>2161</v>
      </c>
      <c r="CN182" t="s">
        <v>7609</v>
      </c>
      <c r="CO182" t="s">
        <v>7609</v>
      </c>
    </row>
    <row r="183" spans="1:93" hidden="1">
      <c r="A183" t="s">
        <v>149</v>
      </c>
      <c r="B183">
        <v>3837686</v>
      </c>
      <c r="C183" t="s">
        <v>7631</v>
      </c>
      <c r="D183" t="s">
        <v>21661</v>
      </c>
      <c r="E183" t="s">
        <v>21857</v>
      </c>
      <c r="F183" t="s">
        <v>3549</v>
      </c>
      <c r="G183" t="s">
        <v>98</v>
      </c>
      <c r="H183" t="s">
        <v>25178</v>
      </c>
      <c r="I183" t="s">
        <v>100</v>
      </c>
      <c r="J183">
        <v>0</v>
      </c>
      <c r="K183">
        <v>0</v>
      </c>
      <c r="L183">
        <v>0</v>
      </c>
      <c r="M183">
        <v>492</v>
      </c>
      <c r="N183" t="s">
        <v>102</v>
      </c>
      <c r="O183">
        <v>0</v>
      </c>
      <c r="P183">
        <v>0</v>
      </c>
      <c r="R183">
        <v>0</v>
      </c>
      <c r="S183">
        <v>492</v>
      </c>
      <c r="T183" t="s">
        <v>102</v>
      </c>
      <c r="U183" t="s">
        <v>102</v>
      </c>
      <c r="V183" t="s">
        <v>275</v>
      </c>
      <c r="X183" t="s">
        <v>21857</v>
      </c>
      <c r="Y183" t="s">
        <v>109</v>
      </c>
      <c r="Z183" t="s">
        <v>102</v>
      </c>
      <c r="AA183" t="s">
        <v>109</v>
      </c>
      <c r="AB183" t="s">
        <v>102</v>
      </c>
      <c r="AC183" t="s">
        <v>109</v>
      </c>
      <c r="AD183" t="s">
        <v>102</v>
      </c>
      <c r="AE183" t="s">
        <v>109</v>
      </c>
      <c r="AF183" t="s">
        <v>102</v>
      </c>
      <c r="AG183" t="s">
        <v>102</v>
      </c>
      <c r="AJ183" t="s">
        <v>102</v>
      </c>
      <c r="AK183" t="s">
        <v>102</v>
      </c>
      <c r="AL183" t="s">
        <v>102</v>
      </c>
      <c r="AM183" t="s">
        <v>115</v>
      </c>
      <c r="AN183" t="s">
        <v>115</v>
      </c>
      <c r="AS183" t="s">
        <v>117</v>
      </c>
      <c r="AT183" t="s">
        <v>118</v>
      </c>
      <c r="AU183" t="s">
        <v>102</v>
      </c>
      <c r="AV183" t="s">
        <v>119</v>
      </c>
      <c r="AY183" t="s">
        <v>250</v>
      </c>
      <c r="AZ183" t="s">
        <v>120</v>
      </c>
      <c r="BA183" t="s">
        <v>5637</v>
      </c>
      <c r="BB183" t="s">
        <v>211</v>
      </c>
      <c r="BC183" t="s">
        <v>212</v>
      </c>
      <c r="BD183" t="s">
        <v>213</v>
      </c>
      <c r="BE183" t="s">
        <v>124</v>
      </c>
      <c r="BF183" t="s">
        <v>24888</v>
      </c>
      <c r="BG183" t="s">
        <v>23025</v>
      </c>
      <c r="BH183" t="s">
        <v>127</v>
      </c>
      <c r="BI183" t="s">
        <v>25179</v>
      </c>
      <c r="BJ183" t="s">
        <v>7639</v>
      </c>
      <c r="BK183" t="s">
        <v>25180</v>
      </c>
      <c r="BL183" t="s">
        <v>21857</v>
      </c>
      <c r="BM183" t="s">
        <v>24891</v>
      </c>
      <c r="BN183" t="s">
        <v>180</v>
      </c>
      <c r="BO183" t="s">
        <v>24892</v>
      </c>
      <c r="BP183" t="s">
        <v>24893</v>
      </c>
      <c r="BQ183" t="s">
        <v>222</v>
      </c>
      <c r="BS183" t="s">
        <v>25181</v>
      </c>
      <c r="BT183" t="s">
        <v>3585</v>
      </c>
      <c r="BU183" t="s">
        <v>598</v>
      </c>
      <c r="BV183" t="s">
        <v>225</v>
      </c>
      <c r="BW183" t="s">
        <v>8332</v>
      </c>
      <c r="BX183" t="s">
        <v>7642</v>
      </c>
      <c r="BY183" t="s">
        <v>25182</v>
      </c>
      <c r="BZ183" t="s">
        <v>7642</v>
      </c>
      <c r="CA183" t="s">
        <v>25183</v>
      </c>
      <c r="CB183" t="s">
        <v>25182</v>
      </c>
      <c r="CC183" t="s">
        <v>7642</v>
      </c>
      <c r="CD183" t="s">
        <v>25183</v>
      </c>
      <c r="CE183" t="s">
        <v>102</v>
      </c>
      <c r="CF183" t="s">
        <v>7643</v>
      </c>
      <c r="CH183" t="s">
        <v>7644</v>
      </c>
      <c r="CJ183" t="s">
        <v>5637</v>
      </c>
      <c r="CK183" t="s">
        <v>211</v>
      </c>
      <c r="CL183" t="s">
        <v>7644</v>
      </c>
      <c r="CM183" t="s">
        <v>230</v>
      </c>
      <c r="CN183" t="s">
        <v>7643</v>
      </c>
      <c r="CO183" t="s">
        <v>7643</v>
      </c>
    </row>
    <row r="184" spans="1:93" hidden="1">
      <c r="A184" t="s">
        <v>149</v>
      </c>
      <c r="B184">
        <v>384445</v>
      </c>
      <c r="C184" t="s">
        <v>7645</v>
      </c>
      <c r="D184" t="s">
        <v>21661</v>
      </c>
      <c r="E184" t="s">
        <v>21962</v>
      </c>
      <c r="F184" t="s">
        <v>2163</v>
      </c>
      <c r="G184" t="s">
        <v>98</v>
      </c>
      <c r="H184" t="s">
        <v>25184</v>
      </c>
      <c r="I184" t="s">
        <v>100</v>
      </c>
      <c r="J184">
        <v>1564000</v>
      </c>
      <c r="K184">
        <v>1634899</v>
      </c>
      <c r="L184">
        <v>300719</v>
      </c>
      <c r="M184">
        <v>388</v>
      </c>
      <c r="N184" t="s">
        <v>25185</v>
      </c>
      <c r="O184">
        <v>869400</v>
      </c>
      <c r="P184">
        <v>322</v>
      </c>
      <c r="Q184" t="s">
        <v>18374</v>
      </c>
      <c r="R184">
        <v>393881</v>
      </c>
      <c r="S184">
        <v>169</v>
      </c>
      <c r="T184" t="s">
        <v>581</v>
      </c>
      <c r="U184" t="s">
        <v>102</v>
      </c>
      <c r="V184" t="s">
        <v>103</v>
      </c>
      <c r="W184" t="s">
        <v>155</v>
      </c>
      <c r="Y184" t="s">
        <v>12720</v>
      </c>
      <c r="Z184" t="s">
        <v>25186</v>
      </c>
      <c r="AA184" t="s">
        <v>21686</v>
      </c>
      <c r="AB184" t="s">
        <v>25186</v>
      </c>
      <c r="AC184" t="s">
        <v>22119</v>
      </c>
      <c r="AD184" t="s">
        <v>25186</v>
      </c>
      <c r="AE184" t="s">
        <v>21687</v>
      </c>
      <c r="AF184" t="s">
        <v>25186</v>
      </c>
      <c r="AG184" t="s">
        <v>26483</v>
      </c>
      <c r="AH184" t="s">
        <v>26402</v>
      </c>
      <c r="AI184" t="s">
        <v>26402</v>
      </c>
      <c r="AJ184" t="s">
        <v>102</v>
      </c>
      <c r="AK184" t="s">
        <v>26484</v>
      </c>
      <c r="AL184" t="s">
        <v>26485</v>
      </c>
      <c r="AM184" t="s">
        <v>25187</v>
      </c>
      <c r="AN184" t="s">
        <v>25187</v>
      </c>
      <c r="AS184" t="s">
        <v>207</v>
      </c>
      <c r="AT184" t="s">
        <v>118</v>
      </c>
      <c r="AU184" t="s">
        <v>248</v>
      </c>
      <c r="AV184" t="s">
        <v>119</v>
      </c>
      <c r="AX184" t="s">
        <v>250</v>
      </c>
      <c r="AY184" t="s">
        <v>250</v>
      </c>
      <c r="AZ184" t="s">
        <v>171</v>
      </c>
      <c r="BA184" t="s">
        <v>623</v>
      </c>
      <c r="BB184" t="s">
        <v>621</v>
      </c>
      <c r="BC184" t="s">
        <v>622</v>
      </c>
      <c r="BD184" t="s">
        <v>623</v>
      </c>
      <c r="BE184" t="s">
        <v>124</v>
      </c>
      <c r="BF184" t="s">
        <v>12250</v>
      </c>
      <c r="BG184" t="s">
        <v>21667</v>
      </c>
      <c r="BH184" t="s">
        <v>127</v>
      </c>
      <c r="BI184" t="s">
        <v>25188</v>
      </c>
      <c r="BJ184" t="s">
        <v>7660</v>
      </c>
      <c r="BK184" t="s">
        <v>25189</v>
      </c>
      <c r="BL184" t="s">
        <v>21962</v>
      </c>
      <c r="BM184" t="s">
        <v>1339</v>
      </c>
      <c r="BN184" t="s">
        <v>132</v>
      </c>
      <c r="BO184" t="s">
        <v>1340</v>
      </c>
      <c r="BP184" t="s">
        <v>1341</v>
      </c>
      <c r="BQ184" t="s">
        <v>632</v>
      </c>
      <c r="BS184" t="s">
        <v>25190</v>
      </c>
      <c r="BT184" t="s">
        <v>17137</v>
      </c>
      <c r="BU184" t="s">
        <v>138</v>
      </c>
      <c r="BV184" t="s">
        <v>1345</v>
      </c>
      <c r="BW184" t="s">
        <v>17138</v>
      </c>
      <c r="BX184" t="s">
        <v>1345</v>
      </c>
      <c r="BY184" t="s">
        <v>25191</v>
      </c>
      <c r="BZ184" t="s">
        <v>25192</v>
      </c>
      <c r="CA184" t="s">
        <v>17138</v>
      </c>
      <c r="CB184" t="s">
        <v>25191</v>
      </c>
      <c r="CC184" t="s">
        <v>25192</v>
      </c>
      <c r="CD184" t="s">
        <v>17138</v>
      </c>
      <c r="CE184" t="s">
        <v>102</v>
      </c>
      <c r="CF184" t="s">
        <v>7672</v>
      </c>
      <c r="CH184" t="s">
        <v>3177</v>
      </c>
      <c r="CJ184" t="s">
        <v>623</v>
      </c>
      <c r="CK184" t="s">
        <v>621</v>
      </c>
      <c r="CL184" t="s">
        <v>3177</v>
      </c>
      <c r="CM184" t="s">
        <v>7673</v>
      </c>
      <c r="CN184" t="s">
        <v>7672</v>
      </c>
      <c r="CO184" t="s">
        <v>7672</v>
      </c>
    </row>
    <row r="185" spans="1:93" hidden="1">
      <c r="A185" t="s">
        <v>93</v>
      </c>
      <c r="B185">
        <v>3857130</v>
      </c>
      <c r="C185" t="s">
        <v>17173</v>
      </c>
      <c r="D185" t="s">
        <v>21661</v>
      </c>
      <c r="E185" t="s">
        <v>18964</v>
      </c>
      <c r="F185" t="s">
        <v>152</v>
      </c>
      <c r="G185" t="s">
        <v>98</v>
      </c>
      <c r="H185" t="s">
        <v>26486</v>
      </c>
      <c r="I185" t="s">
        <v>100</v>
      </c>
      <c r="J185">
        <v>272673</v>
      </c>
      <c r="K185">
        <v>272673</v>
      </c>
      <c r="L185">
        <v>0</v>
      </c>
      <c r="M185">
        <v>0</v>
      </c>
      <c r="O185">
        <v>272673</v>
      </c>
      <c r="P185">
        <v>191</v>
      </c>
      <c r="Q185" t="s">
        <v>8970</v>
      </c>
      <c r="R185">
        <v>0</v>
      </c>
      <c r="S185">
        <v>0</v>
      </c>
      <c r="U185" t="s">
        <v>102</v>
      </c>
      <c r="V185" t="s">
        <v>103</v>
      </c>
      <c r="W185" t="s">
        <v>155</v>
      </c>
      <c r="Y185" t="s">
        <v>12435</v>
      </c>
      <c r="Z185" t="s">
        <v>26487</v>
      </c>
      <c r="AA185" t="s">
        <v>21983</v>
      </c>
      <c r="AB185" t="s">
        <v>26487</v>
      </c>
      <c r="AC185" t="s">
        <v>22119</v>
      </c>
      <c r="AD185" t="s">
        <v>26487</v>
      </c>
      <c r="AE185" t="s">
        <v>21687</v>
      </c>
      <c r="AF185" t="s">
        <v>26487</v>
      </c>
      <c r="AG185" t="s">
        <v>102</v>
      </c>
      <c r="AJ185" t="s">
        <v>102</v>
      </c>
      <c r="AK185" t="s">
        <v>102</v>
      </c>
      <c r="AL185" t="s">
        <v>102</v>
      </c>
      <c r="AM185" t="s">
        <v>26488</v>
      </c>
      <c r="AN185" t="s">
        <v>26488</v>
      </c>
      <c r="AS185" t="s">
        <v>102</v>
      </c>
      <c r="AU185" t="s">
        <v>1758</v>
      </c>
      <c r="AV185" t="s">
        <v>447</v>
      </c>
      <c r="AX185" t="s">
        <v>250</v>
      </c>
      <c r="AZ185" t="s">
        <v>120</v>
      </c>
      <c r="BA185" t="s">
        <v>17179</v>
      </c>
      <c r="BB185" t="s">
        <v>345</v>
      </c>
      <c r="BC185" t="s">
        <v>122</v>
      </c>
      <c r="BD185" t="s">
        <v>346</v>
      </c>
      <c r="BE185" t="s">
        <v>124</v>
      </c>
      <c r="BF185" t="s">
        <v>12250</v>
      </c>
      <c r="BG185" t="s">
        <v>21667</v>
      </c>
      <c r="BH185" t="s">
        <v>127</v>
      </c>
      <c r="BI185" t="s">
        <v>26489</v>
      </c>
      <c r="BJ185" t="s">
        <v>17181</v>
      </c>
      <c r="BK185" t="s">
        <v>26490</v>
      </c>
      <c r="BL185" t="s">
        <v>18964</v>
      </c>
      <c r="BM185" t="s">
        <v>12226</v>
      </c>
      <c r="BN185" t="s">
        <v>350</v>
      </c>
      <c r="BO185" t="s">
        <v>12228</v>
      </c>
      <c r="BP185" t="s">
        <v>12229</v>
      </c>
      <c r="BQ185" t="s">
        <v>8623</v>
      </c>
      <c r="BS185" t="s">
        <v>26491</v>
      </c>
      <c r="BT185" t="s">
        <v>12231</v>
      </c>
      <c r="BU185" t="s">
        <v>354</v>
      </c>
      <c r="BV185" t="s">
        <v>12232</v>
      </c>
      <c r="BW185" t="s">
        <v>12233</v>
      </c>
      <c r="BX185" t="s">
        <v>12234</v>
      </c>
      <c r="BY185" t="s">
        <v>12235</v>
      </c>
      <c r="BZ185" t="s">
        <v>12234</v>
      </c>
      <c r="CA185" t="s">
        <v>26397</v>
      </c>
      <c r="CB185" t="s">
        <v>26398</v>
      </c>
      <c r="CC185" t="s">
        <v>26492</v>
      </c>
      <c r="CD185" t="s">
        <v>26400</v>
      </c>
      <c r="CE185" t="s">
        <v>907</v>
      </c>
      <c r="CF185" t="s">
        <v>17184</v>
      </c>
      <c r="CG185" t="s">
        <v>26493</v>
      </c>
      <c r="CH185" t="s">
        <v>17185</v>
      </c>
      <c r="CI185" t="s">
        <v>17184</v>
      </c>
      <c r="CJ185" t="s">
        <v>17179</v>
      </c>
      <c r="CK185" t="s">
        <v>345</v>
      </c>
      <c r="CL185" t="s">
        <v>17185</v>
      </c>
      <c r="CN185" t="s">
        <v>17186</v>
      </c>
      <c r="CO185" t="s">
        <v>17186</v>
      </c>
    </row>
    <row r="186" spans="1:93" hidden="1">
      <c r="A186" t="s">
        <v>93</v>
      </c>
      <c r="B186">
        <v>3857260</v>
      </c>
      <c r="C186" t="s">
        <v>17187</v>
      </c>
      <c r="D186" t="s">
        <v>21661</v>
      </c>
      <c r="E186" t="s">
        <v>18964</v>
      </c>
      <c r="F186" t="s">
        <v>152</v>
      </c>
      <c r="G186" t="s">
        <v>98</v>
      </c>
      <c r="H186" t="s">
        <v>26494</v>
      </c>
      <c r="I186" t="s">
        <v>100</v>
      </c>
      <c r="J186">
        <v>240808</v>
      </c>
      <c r="K186">
        <v>240808</v>
      </c>
      <c r="L186">
        <v>0</v>
      </c>
      <c r="M186">
        <v>0</v>
      </c>
      <c r="O186">
        <v>240808</v>
      </c>
      <c r="P186">
        <v>166</v>
      </c>
      <c r="Q186" t="s">
        <v>26495</v>
      </c>
      <c r="R186">
        <v>0</v>
      </c>
      <c r="S186">
        <v>0</v>
      </c>
      <c r="U186" t="s">
        <v>102</v>
      </c>
      <c r="V186" t="s">
        <v>103</v>
      </c>
      <c r="W186" t="s">
        <v>155</v>
      </c>
      <c r="Y186" t="s">
        <v>12435</v>
      </c>
      <c r="Z186" t="s">
        <v>26496</v>
      </c>
      <c r="AA186" t="s">
        <v>21983</v>
      </c>
      <c r="AB186" t="s">
        <v>26496</v>
      </c>
      <c r="AC186" t="s">
        <v>22119</v>
      </c>
      <c r="AD186" t="s">
        <v>26496</v>
      </c>
      <c r="AE186" t="s">
        <v>21687</v>
      </c>
      <c r="AF186" t="s">
        <v>26496</v>
      </c>
      <c r="AG186" t="s">
        <v>102</v>
      </c>
      <c r="AJ186" t="s">
        <v>102</v>
      </c>
      <c r="AK186" t="s">
        <v>102</v>
      </c>
      <c r="AL186" t="s">
        <v>102</v>
      </c>
      <c r="AM186" t="s">
        <v>26497</v>
      </c>
      <c r="AN186" t="s">
        <v>26497</v>
      </c>
      <c r="AS186" t="s">
        <v>102</v>
      </c>
      <c r="AU186" t="s">
        <v>1758</v>
      </c>
      <c r="AV186" t="s">
        <v>447</v>
      </c>
      <c r="AX186" t="s">
        <v>250</v>
      </c>
      <c r="AZ186" t="s">
        <v>120</v>
      </c>
      <c r="BA186" t="s">
        <v>3490</v>
      </c>
      <c r="BB186" t="s">
        <v>345</v>
      </c>
      <c r="BC186" t="s">
        <v>122</v>
      </c>
      <c r="BD186" t="s">
        <v>346</v>
      </c>
      <c r="BE186" t="s">
        <v>124</v>
      </c>
      <c r="BF186" t="s">
        <v>12250</v>
      </c>
      <c r="BG186" t="s">
        <v>21667</v>
      </c>
      <c r="BH186" t="s">
        <v>127</v>
      </c>
      <c r="BI186" t="s">
        <v>26498</v>
      </c>
      <c r="BJ186" t="s">
        <v>17192</v>
      </c>
      <c r="BK186" t="s">
        <v>26499</v>
      </c>
      <c r="BL186" t="s">
        <v>18964</v>
      </c>
      <c r="BM186" t="s">
        <v>12226</v>
      </c>
      <c r="BN186" t="s">
        <v>350</v>
      </c>
      <c r="BO186" t="s">
        <v>12228</v>
      </c>
      <c r="BP186" t="s">
        <v>12229</v>
      </c>
      <c r="BQ186" t="s">
        <v>8623</v>
      </c>
      <c r="BS186" t="s">
        <v>26500</v>
      </c>
      <c r="BT186" t="s">
        <v>12231</v>
      </c>
      <c r="BU186" t="s">
        <v>354</v>
      </c>
      <c r="BV186" t="s">
        <v>12232</v>
      </c>
      <c r="BW186" t="s">
        <v>12233</v>
      </c>
      <c r="BX186" t="s">
        <v>12232</v>
      </c>
      <c r="BY186" t="s">
        <v>12235</v>
      </c>
      <c r="BZ186" t="s">
        <v>12234</v>
      </c>
      <c r="CA186" t="s">
        <v>26397</v>
      </c>
      <c r="CB186" t="s">
        <v>26398</v>
      </c>
      <c r="CC186" t="s">
        <v>26399</v>
      </c>
      <c r="CD186" t="s">
        <v>26400</v>
      </c>
      <c r="CE186" t="s">
        <v>907</v>
      </c>
      <c r="CF186" t="s">
        <v>17195</v>
      </c>
      <c r="CG186" t="s">
        <v>26501</v>
      </c>
      <c r="CH186" t="s">
        <v>17196</v>
      </c>
      <c r="CI186" t="s">
        <v>17195</v>
      </c>
      <c r="CJ186" t="s">
        <v>3490</v>
      </c>
      <c r="CK186" t="s">
        <v>345</v>
      </c>
      <c r="CL186" t="s">
        <v>17196</v>
      </c>
      <c r="CN186" t="s">
        <v>17197</v>
      </c>
      <c r="CO186" t="s">
        <v>17198</v>
      </c>
    </row>
    <row r="187" spans="1:93" hidden="1">
      <c r="A187" t="s">
        <v>149</v>
      </c>
      <c r="B187">
        <v>3875940</v>
      </c>
      <c r="C187" t="s">
        <v>7753</v>
      </c>
      <c r="D187" t="s">
        <v>21661</v>
      </c>
      <c r="E187" t="s">
        <v>22522</v>
      </c>
      <c r="F187" t="s">
        <v>152</v>
      </c>
      <c r="G187" t="s">
        <v>98</v>
      </c>
      <c r="H187" t="s">
        <v>22523</v>
      </c>
      <c r="I187" t="s">
        <v>100</v>
      </c>
      <c r="J187">
        <v>264683</v>
      </c>
      <c r="K187">
        <v>264683</v>
      </c>
      <c r="L187">
        <v>0</v>
      </c>
      <c r="M187">
        <v>0</v>
      </c>
      <c r="O187">
        <v>264683</v>
      </c>
      <c r="P187">
        <v>147</v>
      </c>
      <c r="Q187" t="s">
        <v>22524</v>
      </c>
      <c r="R187">
        <v>0</v>
      </c>
      <c r="S187">
        <v>0</v>
      </c>
      <c r="U187" t="s">
        <v>102</v>
      </c>
      <c r="V187" t="s">
        <v>103</v>
      </c>
      <c r="W187" t="s">
        <v>155</v>
      </c>
      <c r="Y187" t="s">
        <v>16780</v>
      </c>
      <c r="Z187" t="s">
        <v>22525</v>
      </c>
      <c r="AA187" t="s">
        <v>22526</v>
      </c>
      <c r="AB187" t="s">
        <v>22525</v>
      </c>
      <c r="AC187" t="s">
        <v>21892</v>
      </c>
      <c r="AD187" t="s">
        <v>22525</v>
      </c>
      <c r="AE187" t="s">
        <v>21821</v>
      </c>
      <c r="AF187" t="s">
        <v>22525</v>
      </c>
      <c r="AG187" t="s">
        <v>102</v>
      </c>
      <c r="AJ187" t="s">
        <v>22525</v>
      </c>
      <c r="AK187" t="s">
        <v>102</v>
      </c>
      <c r="AL187" t="s">
        <v>22525</v>
      </c>
      <c r="AM187" t="s">
        <v>22527</v>
      </c>
      <c r="AN187" t="s">
        <v>22527</v>
      </c>
      <c r="AS187" t="s">
        <v>102</v>
      </c>
      <c r="AU187" t="s">
        <v>801</v>
      </c>
      <c r="AV187" t="s">
        <v>249</v>
      </c>
      <c r="AW187" t="s">
        <v>170</v>
      </c>
      <c r="AX187" t="s">
        <v>118</v>
      </c>
      <c r="AZ187" t="s">
        <v>171</v>
      </c>
      <c r="BA187" t="s">
        <v>7760</v>
      </c>
      <c r="BB187" t="s">
        <v>376</v>
      </c>
      <c r="BC187" t="s">
        <v>174</v>
      </c>
      <c r="BD187" t="s">
        <v>376</v>
      </c>
      <c r="BE187" t="s">
        <v>124</v>
      </c>
      <c r="BF187" t="s">
        <v>18155</v>
      </c>
      <c r="BG187" t="s">
        <v>21687</v>
      </c>
      <c r="BH187" t="s">
        <v>127</v>
      </c>
      <c r="BI187" t="s">
        <v>22528</v>
      </c>
      <c r="BJ187" t="s">
        <v>7762</v>
      </c>
      <c r="BK187" t="s">
        <v>22529</v>
      </c>
      <c r="BL187" t="s">
        <v>22522</v>
      </c>
      <c r="BM187" t="s">
        <v>1917</v>
      </c>
      <c r="BN187" t="s">
        <v>180</v>
      </c>
      <c r="BO187" t="s">
        <v>1918</v>
      </c>
      <c r="BP187" t="s">
        <v>1919</v>
      </c>
      <c r="BQ187" t="s">
        <v>1834</v>
      </c>
      <c r="BS187" t="s">
        <v>22530</v>
      </c>
      <c r="BT187" t="s">
        <v>22531</v>
      </c>
      <c r="BU187" t="s">
        <v>354</v>
      </c>
      <c r="BV187" t="s">
        <v>7766</v>
      </c>
      <c r="BW187" t="s">
        <v>7767</v>
      </c>
      <c r="BX187" t="s">
        <v>7766</v>
      </c>
      <c r="BY187" t="s">
        <v>22531</v>
      </c>
      <c r="BZ187" t="s">
        <v>7766</v>
      </c>
      <c r="CA187" t="s">
        <v>7767</v>
      </c>
      <c r="CB187" t="s">
        <v>22531</v>
      </c>
      <c r="CC187" t="s">
        <v>7766</v>
      </c>
      <c r="CD187" t="s">
        <v>7767</v>
      </c>
      <c r="CE187" t="s">
        <v>358</v>
      </c>
      <c r="CF187" t="s">
        <v>17216</v>
      </c>
      <c r="CH187" t="s">
        <v>7772</v>
      </c>
      <c r="CI187" t="s">
        <v>7771</v>
      </c>
      <c r="CJ187" t="s">
        <v>7760</v>
      </c>
      <c r="CK187" t="s">
        <v>376</v>
      </c>
      <c r="CL187" t="s">
        <v>7772</v>
      </c>
      <c r="CN187" t="s">
        <v>7771</v>
      </c>
      <c r="CO187" t="s">
        <v>7771</v>
      </c>
    </row>
    <row r="188" spans="1:93">
      <c r="A188" t="s">
        <v>337</v>
      </c>
      <c r="B188">
        <v>388277</v>
      </c>
      <c r="C188" t="s">
        <v>25883</v>
      </c>
      <c r="D188" t="s">
        <v>21661</v>
      </c>
      <c r="E188" t="s">
        <v>13208</v>
      </c>
      <c r="F188" t="s">
        <v>848</v>
      </c>
      <c r="G188" t="s">
        <v>98</v>
      </c>
      <c r="H188" t="s">
        <v>25884</v>
      </c>
      <c r="I188" t="s">
        <v>100</v>
      </c>
      <c r="J188">
        <v>1097259</v>
      </c>
      <c r="K188">
        <v>1294766</v>
      </c>
      <c r="L188">
        <v>0</v>
      </c>
      <c r="M188">
        <v>0</v>
      </c>
      <c r="O188">
        <v>0</v>
      </c>
      <c r="P188">
        <v>0</v>
      </c>
      <c r="R188">
        <v>1097259</v>
      </c>
      <c r="S188">
        <v>830</v>
      </c>
      <c r="T188" t="s">
        <v>25204</v>
      </c>
      <c r="U188" t="s">
        <v>102</v>
      </c>
      <c r="V188" t="s">
        <v>103</v>
      </c>
      <c r="W188" t="s">
        <v>155</v>
      </c>
      <c r="Y188" t="s">
        <v>12250</v>
      </c>
      <c r="Z188" t="s">
        <v>25885</v>
      </c>
      <c r="AA188" t="s">
        <v>21664</v>
      </c>
      <c r="AB188" t="s">
        <v>25885</v>
      </c>
      <c r="AC188" t="s">
        <v>21665</v>
      </c>
      <c r="AD188" t="s">
        <v>25885</v>
      </c>
      <c r="AE188" t="s">
        <v>21687</v>
      </c>
      <c r="AF188" t="s">
        <v>25885</v>
      </c>
      <c r="AG188" t="s">
        <v>102</v>
      </c>
      <c r="AJ188" t="s">
        <v>25885</v>
      </c>
      <c r="AK188" t="s">
        <v>102</v>
      </c>
      <c r="AL188" t="s">
        <v>25885</v>
      </c>
      <c r="AM188" t="s">
        <v>5355</v>
      </c>
      <c r="AN188" t="s">
        <v>5355</v>
      </c>
      <c r="AS188" t="s">
        <v>102</v>
      </c>
      <c r="AU188" t="s">
        <v>102</v>
      </c>
      <c r="AV188" t="s">
        <v>119</v>
      </c>
      <c r="AY188" t="s">
        <v>250</v>
      </c>
      <c r="AZ188" t="s">
        <v>120</v>
      </c>
      <c r="BA188" t="s">
        <v>2820</v>
      </c>
      <c r="BB188" t="s">
        <v>376</v>
      </c>
      <c r="BC188" t="s">
        <v>174</v>
      </c>
      <c r="BD188" t="s">
        <v>376</v>
      </c>
      <c r="BE188" t="s">
        <v>124</v>
      </c>
      <c r="BF188" t="s">
        <v>21790</v>
      </c>
      <c r="BG188" t="s">
        <v>21667</v>
      </c>
      <c r="BH188" t="s">
        <v>127</v>
      </c>
      <c r="BI188" t="s">
        <v>25886</v>
      </c>
      <c r="BJ188" t="s">
        <v>25887</v>
      </c>
      <c r="BK188" t="s">
        <v>25888</v>
      </c>
      <c r="BL188" t="s">
        <v>13208</v>
      </c>
      <c r="BM188" t="s">
        <v>6926</v>
      </c>
      <c r="BN188" t="s">
        <v>180</v>
      </c>
      <c r="BO188" t="s">
        <v>6927</v>
      </c>
      <c r="BP188" t="s">
        <v>6928</v>
      </c>
      <c r="BQ188" t="s">
        <v>1858</v>
      </c>
      <c r="BR188" t="s">
        <v>13612</v>
      </c>
      <c r="BS188" t="s">
        <v>25889</v>
      </c>
      <c r="BT188" t="s">
        <v>25890</v>
      </c>
      <c r="BU188" t="s">
        <v>138</v>
      </c>
      <c r="BV188" t="s">
        <v>25891</v>
      </c>
      <c r="BW188" t="s">
        <v>25892</v>
      </c>
      <c r="BX188" t="s">
        <v>25893</v>
      </c>
      <c r="BY188" t="s">
        <v>25890</v>
      </c>
      <c r="BZ188" t="s">
        <v>25891</v>
      </c>
      <c r="CA188" t="s">
        <v>25892</v>
      </c>
      <c r="CB188" t="s">
        <v>25890</v>
      </c>
      <c r="CC188" t="s">
        <v>25891</v>
      </c>
      <c r="CD188" t="s">
        <v>25892</v>
      </c>
      <c r="CE188" t="s">
        <v>18709</v>
      </c>
      <c r="CF188" t="s">
        <v>25894</v>
      </c>
      <c r="CH188" t="s">
        <v>25895</v>
      </c>
      <c r="CI188" t="s">
        <v>25894</v>
      </c>
      <c r="CJ188" t="s">
        <v>2820</v>
      </c>
      <c r="CK188" t="s">
        <v>376</v>
      </c>
      <c r="CL188" t="s">
        <v>25895</v>
      </c>
      <c r="CN188" t="s">
        <v>25894</v>
      </c>
      <c r="CO188" t="s">
        <v>25894</v>
      </c>
    </row>
    <row r="189" spans="1:93" hidden="1">
      <c r="A189" t="s">
        <v>149</v>
      </c>
      <c r="B189">
        <v>3883519</v>
      </c>
      <c r="C189" t="s">
        <v>7786</v>
      </c>
      <c r="D189" t="s">
        <v>21661</v>
      </c>
      <c r="E189" t="s">
        <v>21784</v>
      </c>
      <c r="F189" t="s">
        <v>675</v>
      </c>
      <c r="G189" t="s">
        <v>98</v>
      </c>
      <c r="H189" t="s">
        <v>23830</v>
      </c>
      <c r="I189" t="s">
        <v>100</v>
      </c>
      <c r="J189">
        <v>1504335</v>
      </c>
      <c r="K189">
        <v>1504335</v>
      </c>
      <c r="L189">
        <v>492523</v>
      </c>
      <c r="M189">
        <v>615</v>
      </c>
      <c r="N189" t="s">
        <v>19169</v>
      </c>
      <c r="O189">
        <v>1011812</v>
      </c>
      <c r="P189">
        <v>433</v>
      </c>
      <c r="Q189" t="s">
        <v>23831</v>
      </c>
      <c r="R189">
        <v>0</v>
      </c>
      <c r="S189">
        <v>0</v>
      </c>
      <c r="U189" t="s">
        <v>102</v>
      </c>
      <c r="V189" t="s">
        <v>103</v>
      </c>
      <c r="W189" t="s">
        <v>155</v>
      </c>
      <c r="Y189" t="s">
        <v>21123</v>
      </c>
      <c r="Z189" t="s">
        <v>23832</v>
      </c>
      <c r="AA189" t="s">
        <v>23833</v>
      </c>
      <c r="AB189" t="s">
        <v>23832</v>
      </c>
      <c r="AC189" t="s">
        <v>23834</v>
      </c>
      <c r="AD189" t="s">
        <v>23832</v>
      </c>
      <c r="AE189" t="s">
        <v>21687</v>
      </c>
      <c r="AF189" t="s">
        <v>23832</v>
      </c>
      <c r="AG189" t="s">
        <v>102</v>
      </c>
      <c r="AJ189" t="s">
        <v>23832</v>
      </c>
      <c r="AK189" t="s">
        <v>102</v>
      </c>
      <c r="AL189" t="s">
        <v>23832</v>
      </c>
      <c r="AM189" t="s">
        <v>23835</v>
      </c>
      <c r="AN189" t="s">
        <v>23835</v>
      </c>
      <c r="AS189" t="s">
        <v>207</v>
      </c>
      <c r="AT189" t="s">
        <v>118</v>
      </c>
      <c r="AU189" t="s">
        <v>655</v>
      </c>
      <c r="AV189" t="s">
        <v>119</v>
      </c>
      <c r="AW189" t="s">
        <v>1138</v>
      </c>
      <c r="AX189" t="s">
        <v>118</v>
      </c>
      <c r="AZ189" t="s">
        <v>120</v>
      </c>
      <c r="BA189" t="s">
        <v>3854</v>
      </c>
      <c r="BB189" t="s">
        <v>449</v>
      </c>
      <c r="BC189" t="s">
        <v>122</v>
      </c>
      <c r="BD189" t="s">
        <v>450</v>
      </c>
      <c r="BE189" t="s">
        <v>124</v>
      </c>
      <c r="BF189" t="s">
        <v>12250</v>
      </c>
      <c r="BG189" t="s">
        <v>21667</v>
      </c>
      <c r="BH189" t="s">
        <v>127</v>
      </c>
      <c r="BI189" t="s">
        <v>23836</v>
      </c>
      <c r="BJ189" t="s">
        <v>7800</v>
      </c>
      <c r="BK189" t="s">
        <v>23837</v>
      </c>
      <c r="BL189" t="s">
        <v>21784</v>
      </c>
      <c r="BM189" t="s">
        <v>8788</v>
      </c>
      <c r="BN189" t="s">
        <v>350</v>
      </c>
      <c r="BO189" t="s">
        <v>8789</v>
      </c>
      <c r="BP189" t="s">
        <v>8790</v>
      </c>
      <c r="BQ189" t="s">
        <v>1006</v>
      </c>
      <c r="BS189" t="s">
        <v>23838</v>
      </c>
      <c r="BT189" t="s">
        <v>7803</v>
      </c>
      <c r="BU189" t="s">
        <v>354</v>
      </c>
      <c r="BV189" t="s">
        <v>17239</v>
      </c>
      <c r="BW189" t="s">
        <v>17240</v>
      </c>
      <c r="BX189" t="s">
        <v>7806</v>
      </c>
      <c r="BY189" t="s">
        <v>17241</v>
      </c>
      <c r="BZ189" t="s">
        <v>17242</v>
      </c>
      <c r="CA189" t="s">
        <v>23839</v>
      </c>
      <c r="CB189" t="s">
        <v>23840</v>
      </c>
      <c r="CC189" t="s">
        <v>23841</v>
      </c>
      <c r="CD189" t="s">
        <v>23842</v>
      </c>
      <c r="CE189" t="s">
        <v>102</v>
      </c>
      <c r="CF189" t="s">
        <v>17246</v>
      </c>
      <c r="CH189" t="s">
        <v>7810</v>
      </c>
      <c r="CJ189" t="s">
        <v>3854</v>
      </c>
      <c r="CK189" t="s">
        <v>449</v>
      </c>
      <c r="CL189" t="s">
        <v>7810</v>
      </c>
      <c r="CM189" t="s">
        <v>7811</v>
      </c>
      <c r="CN189" t="s">
        <v>7809</v>
      </c>
      <c r="CO189" t="s">
        <v>7809</v>
      </c>
    </row>
    <row r="190" spans="1:93" hidden="1">
      <c r="A190" t="s">
        <v>149</v>
      </c>
      <c r="B190">
        <v>3886024</v>
      </c>
      <c r="C190" t="s">
        <v>25193</v>
      </c>
      <c r="D190" t="s">
        <v>21661</v>
      </c>
      <c r="E190" t="s">
        <v>21857</v>
      </c>
      <c r="F190" t="s">
        <v>3549</v>
      </c>
      <c r="G190" t="s">
        <v>98</v>
      </c>
      <c r="H190" t="s">
        <v>25194</v>
      </c>
      <c r="I190" t="s">
        <v>100</v>
      </c>
      <c r="J190">
        <v>0</v>
      </c>
      <c r="K190">
        <v>0</v>
      </c>
      <c r="L190">
        <v>0</v>
      </c>
      <c r="M190">
        <v>280</v>
      </c>
      <c r="N190" t="s">
        <v>102</v>
      </c>
      <c r="O190">
        <v>0</v>
      </c>
      <c r="P190">
        <v>0</v>
      </c>
      <c r="R190">
        <v>0</v>
      </c>
      <c r="S190">
        <v>280</v>
      </c>
      <c r="T190" t="s">
        <v>102</v>
      </c>
      <c r="U190" t="s">
        <v>102</v>
      </c>
      <c r="V190" t="s">
        <v>275</v>
      </c>
      <c r="X190" t="s">
        <v>21857</v>
      </c>
      <c r="Y190" t="s">
        <v>109</v>
      </c>
      <c r="Z190" t="s">
        <v>102</v>
      </c>
      <c r="AA190" t="s">
        <v>109</v>
      </c>
      <c r="AB190" t="s">
        <v>102</v>
      </c>
      <c r="AC190" t="s">
        <v>109</v>
      </c>
      <c r="AD190" t="s">
        <v>102</v>
      </c>
      <c r="AE190" t="s">
        <v>109</v>
      </c>
      <c r="AF190" t="s">
        <v>102</v>
      </c>
      <c r="AG190" t="s">
        <v>102</v>
      </c>
      <c r="AJ190" t="s">
        <v>102</v>
      </c>
      <c r="AK190" t="s">
        <v>102</v>
      </c>
      <c r="AL190" t="s">
        <v>102</v>
      </c>
      <c r="AM190" t="s">
        <v>115</v>
      </c>
      <c r="AN190" t="s">
        <v>115</v>
      </c>
      <c r="AS190" t="s">
        <v>117</v>
      </c>
      <c r="AT190" t="s">
        <v>118</v>
      </c>
      <c r="AU190" t="s">
        <v>102</v>
      </c>
      <c r="AV190" t="s">
        <v>119</v>
      </c>
      <c r="AY190" t="s">
        <v>250</v>
      </c>
      <c r="AZ190" t="s">
        <v>209</v>
      </c>
      <c r="BA190" t="s">
        <v>920</v>
      </c>
      <c r="BB190" t="s">
        <v>211</v>
      </c>
      <c r="BC190" t="s">
        <v>212</v>
      </c>
      <c r="BD190" t="s">
        <v>213</v>
      </c>
      <c r="BE190" t="s">
        <v>124</v>
      </c>
      <c r="BF190" t="s">
        <v>24888</v>
      </c>
      <c r="BG190" t="s">
        <v>23025</v>
      </c>
      <c r="BH190" t="s">
        <v>127</v>
      </c>
      <c r="BI190" t="s">
        <v>25195</v>
      </c>
      <c r="BJ190" t="s">
        <v>7821</v>
      </c>
      <c r="BK190" t="s">
        <v>25196</v>
      </c>
      <c r="BL190" t="s">
        <v>21857</v>
      </c>
      <c r="BM190" t="s">
        <v>24891</v>
      </c>
      <c r="BN190" t="s">
        <v>180</v>
      </c>
      <c r="BO190" t="s">
        <v>24892</v>
      </c>
      <c r="BP190" t="s">
        <v>24893</v>
      </c>
      <c r="BQ190" t="s">
        <v>222</v>
      </c>
      <c r="BS190" t="s">
        <v>25197</v>
      </c>
      <c r="BT190" t="s">
        <v>3585</v>
      </c>
      <c r="BU190" t="s">
        <v>598</v>
      </c>
      <c r="BV190" t="s">
        <v>225</v>
      </c>
      <c r="BW190" t="s">
        <v>8332</v>
      </c>
      <c r="BX190" t="s">
        <v>7824</v>
      </c>
      <c r="BY190" t="s">
        <v>25198</v>
      </c>
      <c r="BZ190" t="s">
        <v>7824</v>
      </c>
      <c r="CA190" t="s">
        <v>25199</v>
      </c>
      <c r="CB190" t="s">
        <v>25198</v>
      </c>
      <c r="CC190" t="s">
        <v>7824</v>
      </c>
      <c r="CD190" t="s">
        <v>25199</v>
      </c>
      <c r="CE190" t="s">
        <v>102</v>
      </c>
      <c r="CF190" t="s">
        <v>7825</v>
      </c>
      <c r="CH190" t="s">
        <v>7826</v>
      </c>
      <c r="CJ190" t="s">
        <v>920</v>
      </c>
      <c r="CK190" t="s">
        <v>211</v>
      </c>
      <c r="CL190" t="s">
        <v>7826</v>
      </c>
      <c r="CM190" t="s">
        <v>230</v>
      </c>
      <c r="CN190" t="s">
        <v>7825</v>
      </c>
      <c r="CO190" t="s">
        <v>7825</v>
      </c>
    </row>
    <row r="191" spans="1:93">
      <c r="A191" t="s">
        <v>337</v>
      </c>
      <c r="B191">
        <v>3895415</v>
      </c>
      <c r="C191" t="s">
        <v>22532</v>
      </c>
      <c r="D191" t="s">
        <v>21661</v>
      </c>
      <c r="E191" t="s">
        <v>13964</v>
      </c>
      <c r="F191" t="s">
        <v>152</v>
      </c>
      <c r="G191" t="s">
        <v>98</v>
      </c>
      <c r="H191" t="s">
        <v>22533</v>
      </c>
      <c r="I191" t="s">
        <v>100</v>
      </c>
      <c r="J191">
        <v>71760</v>
      </c>
      <c r="K191">
        <v>71760</v>
      </c>
      <c r="L191">
        <v>0</v>
      </c>
      <c r="M191">
        <v>0</v>
      </c>
      <c r="O191">
        <v>71760</v>
      </c>
      <c r="P191">
        <v>115</v>
      </c>
      <c r="Q191" t="s">
        <v>7418</v>
      </c>
      <c r="R191">
        <v>0</v>
      </c>
      <c r="S191">
        <v>0</v>
      </c>
      <c r="U191" t="s">
        <v>102</v>
      </c>
      <c r="V191" t="s">
        <v>103</v>
      </c>
      <c r="W191" t="s">
        <v>155</v>
      </c>
      <c r="Y191" t="s">
        <v>11889</v>
      </c>
      <c r="Z191" t="s">
        <v>22534</v>
      </c>
      <c r="AA191" t="s">
        <v>12720</v>
      </c>
      <c r="AB191" t="s">
        <v>22534</v>
      </c>
      <c r="AC191" t="s">
        <v>21686</v>
      </c>
      <c r="AD191" t="s">
        <v>22534</v>
      </c>
      <c r="AE191" t="s">
        <v>21687</v>
      </c>
      <c r="AF191" t="s">
        <v>22534</v>
      </c>
      <c r="AG191" t="s">
        <v>102</v>
      </c>
      <c r="AH191" t="s">
        <v>13245</v>
      </c>
      <c r="AI191" t="s">
        <v>13245</v>
      </c>
      <c r="AJ191" t="s">
        <v>22534</v>
      </c>
      <c r="AK191" t="s">
        <v>1221</v>
      </c>
      <c r="AL191" t="s">
        <v>24387</v>
      </c>
      <c r="AM191" t="s">
        <v>4168</v>
      </c>
      <c r="AN191" t="s">
        <v>4168</v>
      </c>
      <c r="AS191" t="s">
        <v>102</v>
      </c>
      <c r="AU191" t="s">
        <v>104</v>
      </c>
      <c r="AV191" t="s">
        <v>447</v>
      </c>
      <c r="AW191" t="s">
        <v>170</v>
      </c>
      <c r="AX191" t="s">
        <v>118</v>
      </c>
      <c r="AZ191" t="s">
        <v>209</v>
      </c>
      <c r="BA191" t="s">
        <v>22535</v>
      </c>
      <c r="BB191" t="s">
        <v>4404</v>
      </c>
      <c r="BC191" t="s">
        <v>174</v>
      </c>
      <c r="BD191" t="s">
        <v>4405</v>
      </c>
      <c r="BE191" t="s">
        <v>124</v>
      </c>
      <c r="BF191" t="s">
        <v>12250</v>
      </c>
      <c r="BG191" t="s">
        <v>21667</v>
      </c>
      <c r="BH191" t="s">
        <v>127</v>
      </c>
      <c r="BI191" t="s">
        <v>22536</v>
      </c>
      <c r="BJ191" t="s">
        <v>22537</v>
      </c>
      <c r="BK191" t="s">
        <v>22538</v>
      </c>
      <c r="BL191" t="s">
        <v>13964</v>
      </c>
      <c r="BM191" t="s">
        <v>16015</v>
      </c>
      <c r="BN191" t="s">
        <v>180</v>
      </c>
      <c r="BO191" t="s">
        <v>16016</v>
      </c>
      <c r="BP191" t="s">
        <v>16017</v>
      </c>
      <c r="BQ191" t="s">
        <v>4413</v>
      </c>
      <c r="BR191" t="s">
        <v>22124</v>
      </c>
      <c r="BS191" t="s">
        <v>22539</v>
      </c>
      <c r="BT191" t="s">
        <v>22540</v>
      </c>
      <c r="BV191" t="s">
        <v>22541</v>
      </c>
      <c r="BW191" t="s">
        <v>22542</v>
      </c>
      <c r="BX191" t="s">
        <v>22543</v>
      </c>
      <c r="BY191" t="s">
        <v>22540</v>
      </c>
      <c r="BZ191" t="s">
        <v>22541</v>
      </c>
      <c r="CA191" t="s">
        <v>22542</v>
      </c>
      <c r="CB191" t="s">
        <v>22540</v>
      </c>
      <c r="CC191" t="s">
        <v>22541</v>
      </c>
      <c r="CD191" t="s">
        <v>22542</v>
      </c>
      <c r="CE191" t="s">
        <v>5650</v>
      </c>
      <c r="CF191" t="s">
        <v>22544</v>
      </c>
      <c r="CH191" t="s">
        <v>22545</v>
      </c>
      <c r="CI191" t="s">
        <v>22544</v>
      </c>
      <c r="CJ191" t="s">
        <v>22535</v>
      </c>
      <c r="CK191" t="s">
        <v>4404</v>
      </c>
      <c r="CL191" t="s">
        <v>22546</v>
      </c>
      <c r="CN191" t="s">
        <v>22544</v>
      </c>
      <c r="CO191" t="s">
        <v>22544</v>
      </c>
    </row>
    <row r="192" spans="1:93" hidden="1">
      <c r="A192" t="s">
        <v>149</v>
      </c>
      <c r="B192">
        <v>3896752</v>
      </c>
      <c r="C192" t="s">
        <v>7847</v>
      </c>
      <c r="D192" t="s">
        <v>21661</v>
      </c>
      <c r="E192" t="s">
        <v>25301</v>
      </c>
      <c r="F192" t="s">
        <v>97</v>
      </c>
      <c r="G192" t="s">
        <v>98</v>
      </c>
      <c r="H192" t="s">
        <v>26171</v>
      </c>
      <c r="I192" t="s">
        <v>100</v>
      </c>
      <c r="J192">
        <v>181708</v>
      </c>
      <c r="K192">
        <v>181708</v>
      </c>
      <c r="L192">
        <v>181708</v>
      </c>
      <c r="M192">
        <v>236</v>
      </c>
      <c r="N192" t="s">
        <v>13937</v>
      </c>
      <c r="O192">
        <v>0</v>
      </c>
      <c r="P192">
        <v>0</v>
      </c>
      <c r="R192">
        <v>0</v>
      </c>
      <c r="S192">
        <v>0</v>
      </c>
      <c r="U192" t="s">
        <v>102</v>
      </c>
      <c r="V192" t="s">
        <v>103</v>
      </c>
      <c r="W192" t="s">
        <v>104</v>
      </c>
      <c r="Y192" t="s">
        <v>21805</v>
      </c>
      <c r="Z192" t="s">
        <v>26172</v>
      </c>
      <c r="AA192" t="s">
        <v>21826</v>
      </c>
      <c r="AB192" t="s">
        <v>26173</v>
      </c>
      <c r="AC192" t="s">
        <v>109</v>
      </c>
      <c r="AD192" t="s">
        <v>102</v>
      </c>
      <c r="AE192" t="s">
        <v>109</v>
      </c>
      <c r="AF192" t="s">
        <v>102</v>
      </c>
      <c r="AG192" t="s">
        <v>102</v>
      </c>
      <c r="AJ192" t="s">
        <v>102</v>
      </c>
      <c r="AK192" t="s">
        <v>102</v>
      </c>
      <c r="AL192" t="s">
        <v>102</v>
      </c>
      <c r="AM192" t="s">
        <v>13941</v>
      </c>
      <c r="AN192" t="s">
        <v>26174</v>
      </c>
      <c r="AO192" t="s">
        <v>102</v>
      </c>
      <c r="AP192" t="s">
        <v>102</v>
      </c>
      <c r="AQ192" t="s">
        <v>102</v>
      </c>
      <c r="AR192" t="s">
        <v>102</v>
      </c>
      <c r="AS192" t="s">
        <v>117</v>
      </c>
      <c r="AT192" t="s">
        <v>118</v>
      </c>
      <c r="AU192" t="s">
        <v>102</v>
      </c>
      <c r="AV192" t="s">
        <v>119</v>
      </c>
      <c r="AZ192" t="s">
        <v>209</v>
      </c>
      <c r="BA192" t="s">
        <v>1729</v>
      </c>
      <c r="BB192" t="s">
        <v>730</v>
      </c>
      <c r="BC192" t="s">
        <v>622</v>
      </c>
      <c r="BD192" t="s">
        <v>730</v>
      </c>
      <c r="BE192" t="s">
        <v>124</v>
      </c>
      <c r="BF192" t="s">
        <v>19143</v>
      </c>
      <c r="BG192" t="s">
        <v>26175</v>
      </c>
      <c r="BH192" t="s">
        <v>127</v>
      </c>
      <c r="BI192" t="s">
        <v>26176</v>
      </c>
      <c r="BJ192" t="s">
        <v>7860</v>
      </c>
      <c r="BK192" t="s">
        <v>26177</v>
      </c>
      <c r="BL192" t="s">
        <v>25301</v>
      </c>
      <c r="BM192" t="s">
        <v>629</v>
      </c>
      <c r="BN192" t="s">
        <v>132</v>
      </c>
      <c r="BO192" t="s">
        <v>630</v>
      </c>
      <c r="BP192" t="s">
        <v>631</v>
      </c>
      <c r="BQ192" t="s">
        <v>7862</v>
      </c>
      <c r="BS192" t="s">
        <v>26178</v>
      </c>
      <c r="BT192" t="s">
        <v>7864</v>
      </c>
      <c r="BU192" t="s">
        <v>354</v>
      </c>
      <c r="BV192" t="s">
        <v>7865</v>
      </c>
      <c r="BW192" t="s">
        <v>17296</v>
      </c>
      <c r="BX192" t="s">
        <v>7865</v>
      </c>
      <c r="BY192" t="s">
        <v>7864</v>
      </c>
      <c r="BZ192" t="s">
        <v>7865</v>
      </c>
      <c r="CA192" t="s">
        <v>17296</v>
      </c>
      <c r="CB192" t="s">
        <v>7864</v>
      </c>
      <c r="CC192" t="s">
        <v>7865</v>
      </c>
      <c r="CD192" t="s">
        <v>17296</v>
      </c>
      <c r="CE192" t="s">
        <v>102</v>
      </c>
      <c r="CF192" t="s">
        <v>7867</v>
      </c>
      <c r="CH192" t="s">
        <v>7868</v>
      </c>
      <c r="CJ192" t="s">
        <v>1729</v>
      </c>
      <c r="CK192" t="s">
        <v>730</v>
      </c>
      <c r="CL192" t="s">
        <v>7868</v>
      </c>
      <c r="CN192" t="s">
        <v>7867</v>
      </c>
      <c r="CO192" t="s">
        <v>7867</v>
      </c>
    </row>
    <row r="193" spans="1:93" hidden="1">
      <c r="A193" t="s">
        <v>149</v>
      </c>
      <c r="B193">
        <v>391739</v>
      </c>
      <c r="C193" t="s">
        <v>7869</v>
      </c>
      <c r="D193" t="s">
        <v>21661</v>
      </c>
      <c r="E193" t="s">
        <v>14623</v>
      </c>
      <c r="F193" t="s">
        <v>643</v>
      </c>
      <c r="G193" t="s">
        <v>98</v>
      </c>
      <c r="H193" t="s">
        <v>22547</v>
      </c>
      <c r="I193" t="s">
        <v>100</v>
      </c>
      <c r="J193">
        <v>1713116</v>
      </c>
      <c r="K193">
        <v>1862083</v>
      </c>
      <c r="L193">
        <v>0</v>
      </c>
      <c r="M193">
        <v>0</v>
      </c>
      <c r="O193">
        <v>885519</v>
      </c>
      <c r="P193">
        <v>428</v>
      </c>
      <c r="Q193" t="s">
        <v>22548</v>
      </c>
      <c r="R193">
        <v>827597</v>
      </c>
      <c r="S193">
        <v>331</v>
      </c>
      <c r="T193" t="s">
        <v>3499</v>
      </c>
      <c r="U193" t="s">
        <v>102</v>
      </c>
      <c r="V193" t="s">
        <v>103</v>
      </c>
      <c r="W193" t="s">
        <v>155</v>
      </c>
      <c r="Y193" t="s">
        <v>12250</v>
      </c>
      <c r="Z193" t="s">
        <v>22549</v>
      </c>
      <c r="AA193" t="s">
        <v>21664</v>
      </c>
      <c r="AB193" t="s">
        <v>22549</v>
      </c>
      <c r="AC193" t="s">
        <v>21665</v>
      </c>
      <c r="AD193" t="s">
        <v>22549</v>
      </c>
      <c r="AE193" t="s">
        <v>21687</v>
      </c>
      <c r="AF193" t="s">
        <v>22549</v>
      </c>
      <c r="AG193" t="s">
        <v>102</v>
      </c>
      <c r="AH193" t="s">
        <v>24272</v>
      </c>
      <c r="AI193" t="s">
        <v>24272</v>
      </c>
      <c r="AJ193" t="s">
        <v>22549</v>
      </c>
      <c r="AK193" t="s">
        <v>25200</v>
      </c>
      <c r="AL193" t="s">
        <v>25201</v>
      </c>
      <c r="AM193" t="s">
        <v>22550</v>
      </c>
      <c r="AN193" t="s">
        <v>22551</v>
      </c>
      <c r="AR193" t="s">
        <v>169</v>
      </c>
      <c r="AS193" t="s">
        <v>102</v>
      </c>
      <c r="AU193" t="s">
        <v>655</v>
      </c>
      <c r="AV193" t="s">
        <v>119</v>
      </c>
      <c r="AX193" t="s">
        <v>250</v>
      </c>
      <c r="AY193" t="s">
        <v>250</v>
      </c>
      <c r="AZ193" t="s">
        <v>120</v>
      </c>
      <c r="BA193" t="s">
        <v>3854</v>
      </c>
      <c r="BB193" t="s">
        <v>449</v>
      </c>
      <c r="BC193" t="s">
        <v>122</v>
      </c>
      <c r="BD193" t="s">
        <v>450</v>
      </c>
      <c r="BE193" t="s">
        <v>124</v>
      </c>
      <c r="BF193" t="s">
        <v>12250</v>
      </c>
      <c r="BG193" t="s">
        <v>21667</v>
      </c>
      <c r="BH193" t="s">
        <v>127</v>
      </c>
      <c r="BI193" t="s">
        <v>22552</v>
      </c>
      <c r="BJ193" t="s">
        <v>7881</v>
      </c>
      <c r="BK193" t="s">
        <v>22553</v>
      </c>
      <c r="BL193" t="s">
        <v>14623</v>
      </c>
      <c r="BM193" t="s">
        <v>3267</v>
      </c>
      <c r="BN193" t="s">
        <v>350</v>
      </c>
      <c r="BO193" t="s">
        <v>3268</v>
      </c>
      <c r="BP193" t="s">
        <v>3269</v>
      </c>
      <c r="BQ193" t="s">
        <v>328</v>
      </c>
      <c r="BS193" t="s">
        <v>22554</v>
      </c>
      <c r="BT193" t="s">
        <v>17332</v>
      </c>
      <c r="BU193" t="s">
        <v>354</v>
      </c>
      <c r="BV193" t="s">
        <v>7885</v>
      </c>
      <c r="BW193" t="s">
        <v>17333</v>
      </c>
      <c r="BX193" t="s">
        <v>7887</v>
      </c>
      <c r="BY193" t="s">
        <v>17334</v>
      </c>
      <c r="BZ193" t="s">
        <v>17335</v>
      </c>
      <c r="CA193" t="s">
        <v>22555</v>
      </c>
      <c r="CB193" t="s">
        <v>22556</v>
      </c>
      <c r="CC193" t="s">
        <v>22557</v>
      </c>
      <c r="CD193" t="s">
        <v>22558</v>
      </c>
      <c r="CE193" t="s">
        <v>102</v>
      </c>
      <c r="CF193" t="s">
        <v>17339</v>
      </c>
      <c r="CH193" t="s">
        <v>4271</v>
      </c>
      <c r="CJ193" t="s">
        <v>3854</v>
      </c>
      <c r="CK193" t="s">
        <v>449</v>
      </c>
      <c r="CL193" t="s">
        <v>4271</v>
      </c>
      <c r="CM193" t="s">
        <v>7889</v>
      </c>
      <c r="CN193" t="s">
        <v>7888</v>
      </c>
      <c r="CO193" t="s">
        <v>7888</v>
      </c>
    </row>
    <row r="194" spans="1:93" hidden="1">
      <c r="A194" t="s">
        <v>495</v>
      </c>
      <c r="B194">
        <v>392816</v>
      </c>
      <c r="C194" t="s">
        <v>24388</v>
      </c>
      <c r="D194" t="s">
        <v>21661</v>
      </c>
      <c r="E194" t="s">
        <v>11889</v>
      </c>
      <c r="F194" t="s">
        <v>97</v>
      </c>
      <c r="G194" t="s">
        <v>98</v>
      </c>
      <c r="H194" t="s">
        <v>24389</v>
      </c>
      <c r="I194" t="s">
        <v>100</v>
      </c>
      <c r="J194">
        <v>74111</v>
      </c>
      <c r="K194">
        <v>74111</v>
      </c>
      <c r="L194">
        <v>74111</v>
      </c>
      <c r="M194">
        <v>114</v>
      </c>
      <c r="N194" t="s">
        <v>1122</v>
      </c>
      <c r="O194">
        <v>0</v>
      </c>
      <c r="P194">
        <v>0</v>
      </c>
      <c r="R194">
        <v>0</v>
      </c>
      <c r="S194">
        <v>0</v>
      </c>
      <c r="U194" t="s">
        <v>102</v>
      </c>
      <c r="V194" t="s">
        <v>275</v>
      </c>
      <c r="X194" t="s">
        <v>21857</v>
      </c>
      <c r="Y194" t="s">
        <v>109</v>
      </c>
      <c r="Z194" t="s">
        <v>102</v>
      </c>
      <c r="AA194" t="s">
        <v>109</v>
      </c>
      <c r="AB194" t="s">
        <v>102</v>
      </c>
      <c r="AC194" t="s">
        <v>109</v>
      </c>
      <c r="AD194" t="s">
        <v>102</v>
      </c>
      <c r="AE194" t="s">
        <v>109</v>
      </c>
      <c r="AF194" t="s">
        <v>102</v>
      </c>
      <c r="AG194" t="s">
        <v>102</v>
      </c>
      <c r="AJ194" t="s">
        <v>25202</v>
      </c>
      <c r="AK194" t="s">
        <v>102</v>
      </c>
      <c r="AL194" t="s">
        <v>25202</v>
      </c>
      <c r="AM194" t="s">
        <v>6322</v>
      </c>
      <c r="AN194" t="s">
        <v>24390</v>
      </c>
      <c r="AO194" t="s">
        <v>102</v>
      </c>
      <c r="AP194" t="s">
        <v>102</v>
      </c>
      <c r="AQ194" t="s">
        <v>102</v>
      </c>
      <c r="AR194" t="s">
        <v>102</v>
      </c>
      <c r="AS194" t="s">
        <v>318</v>
      </c>
      <c r="AT194" t="s">
        <v>118</v>
      </c>
      <c r="AU194" t="s">
        <v>102</v>
      </c>
      <c r="AV194" t="s">
        <v>119</v>
      </c>
      <c r="AZ194" t="s">
        <v>1242</v>
      </c>
      <c r="BA194" t="s">
        <v>4889</v>
      </c>
      <c r="BB194" t="s">
        <v>730</v>
      </c>
      <c r="BC194" t="s">
        <v>622</v>
      </c>
      <c r="BD194" t="s">
        <v>730</v>
      </c>
      <c r="BE194" t="s">
        <v>124</v>
      </c>
      <c r="BF194" t="s">
        <v>12250</v>
      </c>
      <c r="BG194" t="s">
        <v>21667</v>
      </c>
      <c r="BH194" t="s">
        <v>127</v>
      </c>
      <c r="BI194" t="s">
        <v>24391</v>
      </c>
      <c r="BJ194" t="s">
        <v>24392</v>
      </c>
      <c r="BK194" t="s">
        <v>24393</v>
      </c>
      <c r="BL194" t="s">
        <v>11889</v>
      </c>
      <c r="BM194" t="s">
        <v>5197</v>
      </c>
      <c r="BN194" t="s">
        <v>180</v>
      </c>
      <c r="BO194" t="s">
        <v>5198</v>
      </c>
      <c r="BP194" t="s">
        <v>5199</v>
      </c>
      <c r="BQ194" t="s">
        <v>5199</v>
      </c>
      <c r="BS194" t="s">
        <v>24394</v>
      </c>
      <c r="BT194" t="s">
        <v>24395</v>
      </c>
      <c r="BV194" t="s">
        <v>15969</v>
      </c>
      <c r="BW194" t="s">
        <v>24396</v>
      </c>
      <c r="BX194" t="s">
        <v>24397</v>
      </c>
      <c r="BY194" t="s">
        <v>24398</v>
      </c>
      <c r="BZ194" t="s">
        <v>24399</v>
      </c>
      <c r="CA194" t="s">
        <v>24396</v>
      </c>
      <c r="CB194" t="s">
        <v>24398</v>
      </c>
      <c r="CC194" t="s">
        <v>24399</v>
      </c>
      <c r="CD194" t="s">
        <v>24396</v>
      </c>
      <c r="CE194" t="s">
        <v>24400</v>
      </c>
      <c r="CF194" t="s">
        <v>24401</v>
      </c>
      <c r="CH194" t="s">
        <v>24402</v>
      </c>
      <c r="CI194" t="s">
        <v>24403</v>
      </c>
      <c r="CJ194" t="s">
        <v>4889</v>
      </c>
      <c r="CK194" t="s">
        <v>730</v>
      </c>
      <c r="CL194" t="s">
        <v>24402</v>
      </c>
      <c r="CN194" t="s">
        <v>24401</v>
      </c>
      <c r="CO194" t="s">
        <v>24401</v>
      </c>
    </row>
    <row r="195" spans="1:93" hidden="1">
      <c r="A195" t="s">
        <v>149</v>
      </c>
      <c r="B195">
        <v>393696</v>
      </c>
      <c r="C195" t="s">
        <v>7890</v>
      </c>
      <c r="D195" t="s">
        <v>21661</v>
      </c>
      <c r="E195" t="s">
        <v>22559</v>
      </c>
      <c r="F195" t="s">
        <v>152</v>
      </c>
      <c r="G195" t="s">
        <v>98</v>
      </c>
      <c r="H195" t="s">
        <v>22560</v>
      </c>
      <c r="I195" t="s">
        <v>100</v>
      </c>
      <c r="J195">
        <v>2419290</v>
      </c>
      <c r="K195">
        <v>2419290</v>
      </c>
      <c r="L195">
        <v>0</v>
      </c>
      <c r="M195">
        <v>0</v>
      </c>
      <c r="O195">
        <v>2419290</v>
      </c>
      <c r="P195">
        <v>1560</v>
      </c>
      <c r="Q195" t="s">
        <v>22561</v>
      </c>
      <c r="R195">
        <v>0</v>
      </c>
      <c r="S195">
        <v>0</v>
      </c>
      <c r="U195" t="s">
        <v>102</v>
      </c>
      <c r="V195" t="s">
        <v>679</v>
      </c>
      <c r="W195" t="s">
        <v>155</v>
      </c>
      <c r="X195" t="s">
        <v>14623</v>
      </c>
      <c r="Y195" t="s">
        <v>22562</v>
      </c>
      <c r="Z195" t="s">
        <v>22563</v>
      </c>
      <c r="AA195" t="s">
        <v>22564</v>
      </c>
      <c r="AB195" t="s">
        <v>22563</v>
      </c>
      <c r="AC195" t="s">
        <v>22565</v>
      </c>
      <c r="AD195" t="s">
        <v>22563</v>
      </c>
      <c r="AE195" t="s">
        <v>21742</v>
      </c>
      <c r="AF195" t="s">
        <v>22563</v>
      </c>
      <c r="AG195" t="s">
        <v>102</v>
      </c>
      <c r="AJ195" t="s">
        <v>22563</v>
      </c>
      <c r="AK195" t="s">
        <v>102</v>
      </c>
      <c r="AL195" t="s">
        <v>22563</v>
      </c>
      <c r="AM195" t="s">
        <v>22566</v>
      </c>
      <c r="AN195" t="s">
        <v>22566</v>
      </c>
      <c r="AS195" t="s">
        <v>102</v>
      </c>
      <c r="AU195" t="s">
        <v>801</v>
      </c>
      <c r="AV195" t="s">
        <v>249</v>
      </c>
      <c r="AW195" t="s">
        <v>170</v>
      </c>
      <c r="AX195" t="s">
        <v>118</v>
      </c>
      <c r="AZ195" t="s">
        <v>209</v>
      </c>
      <c r="BA195" t="s">
        <v>7901</v>
      </c>
      <c r="BB195" t="s">
        <v>4404</v>
      </c>
      <c r="BC195" t="s">
        <v>174</v>
      </c>
      <c r="BD195" t="s">
        <v>4405</v>
      </c>
      <c r="BE195" t="s">
        <v>124</v>
      </c>
      <c r="BF195" t="s">
        <v>12250</v>
      </c>
      <c r="BG195" t="s">
        <v>21667</v>
      </c>
      <c r="BH195" t="s">
        <v>127</v>
      </c>
      <c r="BI195" t="s">
        <v>22567</v>
      </c>
      <c r="BJ195" t="s">
        <v>7903</v>
      </c>
      <c r="BK195" t="s">
        <v>22568</v>
      </c>
      <c r="BL195" t="s">
        <v>22559</v>
      </c>
      <c r="BM195" t="s">
        <v>1108</v>
      </c>
      <c r="BN195" t="s">
        <v>180</v>
      </c>
      <c r="BO195" t="s">
        <v>1109</v>
      </c>
      <c r="BP195" t="s">
        <v>1110</v>
      </c>
      <c r="BQ195" t="s">
        <v>4413</v>
      </c>
      <c r="BS195" t="s">
        <v>22569</v>
      </c>
      <c r="BT195" t="s">
        <v>7906</v>
      </c>
      <c r="BU195" t="s">
        <v>138</v>
      </c>
      <c r="BV195" t="s">
        <v>7907</v>
      </c>
      <c r="BW195" t="s">
        <v>7908</v>
      </c>
      <c r="BX195" t="s">
        <v>7907</v>
      </c>
      <c r="BY195" t="s">
        <v>17353</v>
      </c>
      <c r="BZ195" t="s">
        <v>7907</v>
      </c>
      <c r="CA195" t="s">
        <v>7908</v>
      </c>
      <c r="CB195" t="s">
        <v>17353</v>
      </c>
      <c r="CC195" t="s">
        <v>7907</v>
      </c>
      <c r="CD195" t="s">
        <v>7908</v>
      </c>
      <c r="CE195" t="s">
        <v>102</v>
      </c>
      <c r="CF195" t="s">
        <v>7912</v>
      </c>
      <c r="CH195" t="s">
        <v>7913</v>
      </c>
      <c r="CJ195" t="s">
        <v>7901</v>
      </c>
      <c r="CK195" t="s">
        <v>4404</v>
      </c>
      <c r="CL195" t="s">
        <v>7913</v>
      </c>
      <c r="CM195" t="s">
        <v>7915</v>
      </c>
      <c r="CN195" t="s">
        <v>7912</v>
      </c>
      <c r="CO195" t="s">
        <v>7914</v>
      </c>
    </row>
    <row r="196" spans="1:93" hidden="1">
      <c r="A196" t="s">
        <v>149</v>
      </c>
      <c r="B196">
        <v>3944825</v>
      </c>
      <c r="C196" t="s">
        <v>7916</v>
      </c>
      <c r="D196" t="s">
        <v>21661</v>
      </c>
      <c r="E196" t="s">
        <v>14623</v>
      </c>
      <c r="F196" t="s">
        <v>97</v>
      </c>
      <c r="G196" t="s">
        <v>98</v>
      </c>
      <c r="H196" t="s">
        <v>22570</v>
      </c>
      <c r="I196" t="s">
        <v>100</v>
      </c>
      <c r="J196">
        <v>919074</v>
      </c>
      <c r="K196">
        <v>919074</v>
      </c>
      <c r="L196">
        <v>919074</v>
      </c>
      <c r="M196">
        <v>919</v>
      </c>
      <c r="N196" t="s">
        <v>5042</v>
      </c>
      <c r="O196">
        <v>0</v>
      </c>
      <c r="P196">
        <v>0</v>
      </c>
      <c r="R196">
        <v>0</v>
      </c>
      <c r="S196">
        <v>0</v>
      </c>
      <c r="U196" t="s">
        <v>102</v>
      </c>
      <c r="V196" t="s">
        <v>275</v>
      </c>
      <c r="X196" t="s">
        <v>22571</v>
      </c>
      <c r="Y196" t="s">
        <v>109</v>
      </c>
      <c r="Z196" t="s">
        <v>102</v>
      </c>
      <c r="AA196" t="s">
        <v>109</v>
      </c>
      <c r="AB196" t="s">
        <v>102</v>
      </c>
      <c r="AC196" t="s">
        <v>109</v>
      </c>
      <c r="AD196" t="s">
        <v>102</v>
      </c>
      <c r="AE196" t="s">
        <v>109</v>
      </c>
      <c r="AF196" t="s">
        <v>102</v>
      </c>
      <c r="AG196" t="s">
        <v>102</v>
      </c>
      <c r="AJ196" t="s">
        <v>23843</v>
      </c>
      <c r="AK196" t="s">
        <v>102</v>
      </c>
      <c r="AL196" t="s">
        <v>23843</v>
      </c>
      <c r="AM196" t="s">
        <v>17360</v>
      </c>
      <c r="AN196" t="s">
        <v>17361</v>
      </c>
      <c r="AO196" t="s">
        <v>343</v>
      </c>
      <c r="AP196" t="s">
        <v>169</v>
      </c>
      <c r="AR196" t="s">
        <v>169</v>
      </c>
      <c r="AS196" t="s">
        <v>318</v>
      </c>
      <c r="AT196" t="s">
        <v>118</v>
      </c>
      <c r="AU196" t="s">
        <v>102</v>
      </c>
      <c r="AV196" t="s">
        <v>119</v>
      </c>
      <c r="AZ196" t="s">
        <v>120</v>
      </c>
      <c r="BA196" t="s">
        <v>1729</v>
      </c>
      <c r="BB196" t="s">
        <v>730</v>
      </c>
      <c r="BC196" t="s">
        <v>622</v>
      </c>
      <c r="BD196" t="s">
        <v>730</v>
      </c>
      <c r="BE196" t="s">
        <v>124</v>
      </c>
      <c r="BF196" t="s">
        <v>12250</v>
      </c>
      <c r="BG196" t="s">
        <v>21667</v>
      </c>
      <c r="BH196" t="s">
        <v>127</v>
      </c>
      <c r="BI196" t="s">
        <v>22572</v>
      </c>
      <c r="BJ196" t="s">
        <v>7922</v>
      </c>
      <c r="BK196" t="s">
        <v>22573</v>
      </c>
      <c r="BL196" t="s">
        <v>14623</v>
      </c>
      <c r="BM196" t="s">
        <v>3606</v>
      </c>
      <c r="BN196" t="s">
        <v>180</v>
      </c>
      <c r="BO196" t="s">
        <v>3607</v>
      </c>
      <c r="BP196" t="s">
        <v>3608</v>
      </c>
      <c r="BQ196" t="s">
        <v>2569</v>
      </c>
      <c r="BS196" t="s">
        <v>22574</v>
      </c>
      <c r="BT196" t="s">
        <v>17365</v>
      </c>
      <c r="BU196" t="s">
        <v>138</v>
      </c>
      <c r="BV196" t="s">
        <v>7926</v>
      </c>
      <c r="BW196" t="s">
        <v>17366</v>
      </c>
      <c r="BX196" t="s">
        <v>7928</v>
      </c>
      <c r="BY196" t="s">
        <v>17365</v>
      </c>
      <c r="BZ196" t="s">
        <v>7926</v>
      </c>
      <c r="CA196" t="s">
        <v>17366</v>
      </c>
      <c r="CB196" t="s">
        <v>17365</v>
      </c>
      <c r="CC196" t="s">
        <v>7926</v>
      </c>
      <c r="CD196" t="s">
        <v>17366</v>
      </c>
      <c r="CE196" t="s">
        <v>3841</v>
      </c>
      <c r="CF196" t="s">
        <v>7933</v>
      </c>
      <c r="CH196" t="s">
        <v>7932</v>
      </c>
      <c r="CI196" t="s">
        <v>17367</v>
      </c>
      <c r="CJ196" t="s">
        <v>1729</v>
      </c>
      <c r="CK196" t="s">
        <v>730</v>
      </c>
      <c r="CL196" t="s">
        <v>7932</v>
      </c>
      <c r="CN196" t="s">
        <v>7933</v>
      </c>
      <c r="CO196" t="s">
        <v>7931</v>
      </c>
    </row>
    <row r="197" spans="1:93" hidden="1">
      <c r="A197" t="s">
        <v>149</v>
      </c>
      <c r="B197">
        <v>395483</v>
      </c>
      <c r="C197" t="s">
        <v>8001</v>
      </c>
      <c r="D197" t="s">
        <v>21661</v>
      </c>
      <c r="E197" t="s">
        <v>22101</v>
      </c>
      <c r="F197" t="s">
        <v>2163</v>
      </c>
      <c r="G197" t="s">
        <v>98</v>
      </c>
      <c r="H197" t="s">
        <v>23844</v>
      </c>
      <c r="I197" t="s">
        <v>100</v>
      </c>
      <c r="J197">
        <v>3006489</v>
      </c>
      <c r="K197">
        <v>3119750</v>
      </c>
      <c r="L197">
        <v>494349</v>
      </c>
      <c r="M197">
        <v>989</v>
      </c>
      <c r="N197" t="s">
        <v>364</v>
      </c>
      <c r="O197">
        <v>1882912</v>
      </c>
      <c r="P197">
        <v>1177</v>
      </c>
      <c r="Q197" t="s">
        <v>23845</v>
      </c>
      <c r="R197">
        <v>629228</v>
      </c>
      <c r="S197">
        <v>1054</v>
      </c>
      <c r="T197" t="s">
        <v>5670</v>
      </c>
      <c r="U197" t="s">
        <v>102</v>
      </c>
      <c r="V197" t="s">
        <v>679</v>
      </c>
      <c r="W197" t="s">
        <v>155</v>
      </c>
      <c r="X197" t="s">
        <v>12250</v>
      </c>
      <c r="Y197" t="s">
        <v>21770</v>
      </c>
      <c r="Z197" t="s">
        <v>23846</v>
      </c>
      <c r="AA197" t="s">
        <v>23847</v>
      </c>
      <c r="AB197" t="s">
        <v>23846</v>
      </c>
      <c r="AC197" t="s">
        <v>22089</v>
      </c>
      <c r="AD197" t="s">
        <v>23846</v>
      </c>
      <c r="AE197" t="s">
        <v>21742</v>
      </c>
      <c r="AF197" t="s">
        <v>23846</v>
      </c>
      <c r="AG197" t="s">
        <v>102</v>
      </c>
      <c r="AJ197" t="s">
        <v>23846</v>
      </c>
      <c r="AK197" t="s">
        <v>102</v>
      </c>
      <c r="AL197" t="s">
        <v>23846</v>
      </c>
      <c r="AM197" t="s">
        <v>23848</v>
      </c>
      <c r="AN197" t="s">
        <v>23849</v>
      </c>
      <c r="AP197" t="s">
        <v>169</v>
      </c>
      <c r="AR197" t="s">
        <v>169</v>
      </c>
      <c r="AS197" t="s">
        <v>247</v>
      </c>
      <c r="AT197" t="s">
        <v>250</v>
      </c>
      <c r="AU197" t="s">
        <v>5675</v>
      </c>
      <c r="AV197" t="s">
        <v>119</v>
      </c>
      <c r="AW197" t="s">
        <v>1138</v>
      </c>
      <c r="AX197" t="s">
        <v>118</v>
      </c>
      <c r="AY197" t="s">
        <v>250</v>
      </c>
      <c r="AZ197" t="s">
        <v>120</v>
      </c>
      <c r="BA197" t="s">
        <v>448</v>
      </c>
      <c r="BB197" t="s">
        <v>449</v>
      </c>
      <c r="BC197" t="s">
        <v>122</v>
      </c>
      <c r="BD197" t="s">
        <v>450</v>
      </c>
      <c r="BE197" t="s">
        <v>124</v>
      </c>
      <c r="BF197" t="s">
        <v>12250</v>
      </c>
      <c r="BG197" t="s">
        <v>21667</v>
      </c>
      <c r="BH197" t="s">
        <v>127</v>
      </c>
      <c r="BI197" t="s">
        <v>23850</v>
      </c>
      <c r="BJ197" t="s">
        <v>8012</v>
      </c>
      <c r="BK197" t="s">
        <v>23851</v>
      </c>
      <c r="BL197" t="s">
        <v>22101</v>
      </c>
      <c r="BM197" t="s">
        <v>3267</v>
      </c>
      <c r="BN197" t="s">
        <v>350</v>
      </c>
      <c r="BO197" t="s">
        <v>3268</v>
      </c>
      <c r="BP197" t="s">
        <v>3269</v>
      </c>
      <c r="BQ197" t="s">
        <v>135</v>
      </c>
      <c r="BS197" t="s">
        <v>23852</v>
      </c>
      <c r="BT197" t="s">
        <v>5680</v>
      </c>
      <c r="BU197" t="s">
        <v>354</v>
      </c>
      <c r="BV197" t="s">
        <v>5681</v>
      </c>
      <c r="BW197" t="s">
        <v>5682</v>
      </c>
      <c r="BX197" t="s">
        <v>8015</v>
      </c>
      <c r="BY197" t="s">
        <v>18203</v>
      </c>
      <c r="BZ197" t="s">
        <v>23853</v>
      </c>
      <c r="CA197" t="s">
        <v>8019</v>
      </c>
      <c r="CB197" t="s">
        <v>23854</v>
      </c>
      <c r="CC197" t="s">
        <v>8018</v>
      </c>
      <c r="CD197" t="s">
        <v>8019</v>
      </c>
      <c r="CE197" t="s">
        <v>102</v>
      </c>
      <c r="CF197" t="s">
        <v>17396</v>
      </c>
      <c r="CH197" t="s">
        <v>8000</v>
      </c>
      <c r="CJ197" t="s">
        <v>448</v>
      </c>
      <c r="CK197" t="s">
        <v>449</v>
      </c>
      <c r="CL197" t="s">
        <v>8000</v>
      </c>
      <c r="CM197" t="s">
        <v>5687</v>
      </c>
      <c r="CN197" t="s">
        <v>8021</v>
      </c>
      <c r="CO197" t="s">
        <v>8020</v>
      </c>
    </row>
    <row r="198" spans="1:93" hidden="1">
      <c r="A198" t="s">
        <v>93</v>
      </c>
      <c r="B198">
        <v>3970895</v>
      </c>
      <c r="C198" t="s">
        <v>17416</v>
      </c>
      <c r="D198" t="s">
        <v>21661</v>
      </c>
      <c r="E198" t="s">
        <v>11889</v>
      </c>
      <c r="F198" t="s">
        <v>848</v>
      </c>
      <c r="G198" t="s">
        <v>98</v>
      </c>
      <c r="H198" t="s">
        <v>25203</v>
      </c>
      <c r="I198" t="s">
        <v>100</v>
      </c>
      <c r="J198">
        <v>855348</v>
      </c>
      <c r="K198">
        <v>1009311</v>
      </c>
      <c r="L198">
        <v>0</v>
      </c>
      <c r="M198">
        <v>0</v>
      </c>
      <c r="O198">
        <v>0</v>
      </c>
      <c r="P198">
        <v>0</v>
      </c>
      <c r="R198">
        <v>855348</v>
      </c>
      <c r="S198">
        <v>647</v>
      </c>
      <c r="T198" t="s">
        <v>25204</v>
      </c>
      <c r="U198" t="s">
        <v>102</v>
      </c>
      <c r="V198" t="s">
        <v>103</v>
      </c>
      <c r="W198" t="s">
        <v>104</v>
      </c>
      <c r="Y198" t="s">
        <v>21790</v>
      </c>
      <c r="Z198" t="s">
        <v>25205</v>
      </c>
      <c r="AA198" t="s">
        <v>21826</v>
      </c>
      <c r="AB198" t="s">
        <v>25205</v>
      </c>
      <c r="AC198" t="s">
        <v>109</v>
      </c>
      <c r="AD198" t="s">
        <v>102</v>
      </c>
      <c r="AE198" t="s">
        <v>109</v>
      </c>
      <c r="AF198" t="s">
        <v>102</v>
      </c>
      <c r="AG198" t="s">
        <v>25206</v>
      </c>
      <c r="AH198" t="s">
        <v>21790</v>
      </c>
      <c r="AI198" t="s">
        <v>21790</v>
      </c>
      <c r="AJ198" t="s">
        <v>25205</v>
      </c>
      <c r="AK198" t="s">
        <v>25207</v>
      </c>
      <c r="AL198" t="s">
        <v>102</v>
      </c>
      <c r="AM198" t="s">
        <v>25208</v>
      </c>
      <c r="AN198" t="s">
        <v>25209</v>
      </c>
      <c r="AR198" t="s">
        <v>169</v>
      </c>
      <c r="AS198" t="s">
        <v>102</v>
      </c>
      <c r="AU198" t="s">
        <v>102</v>
      </c>
      <c r="AV198" t="s">
        <v>119</v>
      </c>
      <c r="AY198" t="s">
        <v>250</v>
      </c>
      <c r="AZ198" t="s">
        <v>120</v>
      </c>
      <c r="BA198" t="s">
        <v>17422</v>
      </c>
      <c r="BB198" t="s">
        <v>2543</v>
      </c>
      <c r="BC198" t="s">
        <v>122</v>
      </c>
      <c r="BD198" t="s">
        <v>557</v>
      </c>
      <c r="BE198" t="s">
        <v>124</v>
      </c>
      <c r="BF198" t="s">
        <v>12250</v>
      </c>
      <c r="BG198" t="s">
        <v>21667</v>
      </c>
      <c r="BH198" t="s">
        <v>127</v>
      </c>
      <c r="BI198" t="s">
        <v>25210</v>
      </c>
      <c r="BJ198" t="s">
        <v>17424</v>
      </c>
      <c r="BK198" t="s">
        <v>17425</v>
      </c>
      <c r="BL198" t="s">
        <v>11889</v>
      </c>
      <c r="BM198" t="s">
        <v>13402</v>
      </c>
      <c r="BN198" t="s">
        <v>350</v>
      </c>
      <c r="BO198" t="s">
        <v>13403</v>
      </c>
      <c r="BP198" t="s">
        <v>13404</v>
      </c>
      <c r="BQ198" t="s">
        <v>13405</v>
      </c>
      <c r="BR198" t="s">
        <v>1075</v>
      </c>
      <c r="BS198" t="s">
        <v>25211</v>
      </c>
      <c r="BT198" t="s">
        <v>17427</v>
      </c>
      <c r="BU198" t="s">
        <v>354</v>
      </c>
      <c r="BV198" t="s">
        <v>17428</v>
      </c>
      <c r="BW198" t="s">
        <v>17429</v>
      </c>
      <c r="BX198" t="s">
        <v>17430</v>
      </c>
      <c r="BY198" t="s">
        <v>25212</v>
      </c>
      <c r="BZ198" t="s">
        <v>17432</v>
      </c>
      <c r="CA198" t="s">
        <v>17433</v>
      </c>
      <c r="CB198" t="s">
        <v>25213</v>
      </c>
      <c r="CC198" t="s">
        <v>17435</v>
      </c>
      <c r="CD198" t="s">
        <v>17436</v>
      </c>
      <c r="CE198" t="s">
        <v>102</v>
      </c>
      <c r="CF198" t="s">
        <v>17437</v>
      </c>
      <c r="CH198" t="s">
        <v>17438</v>
      </c>
      <c r="CJ198" t="s">
        <v>17422</v>
      </c>
      <c r="CK198" t="s">
        <v>2543</v>
      </c>
      <c r="CL198" t="s">
        <v>17438</v>
      </c>
      <c r="CM198" t="s">
        <v>17439</v>
      </c>
      <c r="CN198" t="s">
        <v>17437</v>
      </c>
      <c r="CO198" t="s">
        <v>17437</v>
      </c>
    </row>
    <row r="199" spans="1:93" hidden="1">
      <c r="A199" t="s">
        <v>93</v>
      </c>
      <c r="B199">
        <v>398948</v>
      </c>
      <c r="C199" t="s">
        <v>17440</v>
      </c>
      <c r="D199" t="s">
        <v>21661</v>
      </c>
      <c r="E199" t="s">
        <v>25214</v>
      </c>
      <c r="F199" t="s">
        <v>152</v>
      </c>
      <c r="G199" t="s">
        <v>98</v>
      </c>
      <c r="H199" t="s">
        <v>25215</v>
      </c>
      <c r="I199" t="s">
        <v>100</v>
      </c>
      <c r="J199">
        <v>344009</v>
      </c>
      <c r="K199">
        <v>344009</v>
      </c>
      <c r="L199">
        <v>0</v>
      </c>
      <c r="M199">
        <v>0</v>
      </c>
      <c r="O199">
        <v>344009</v>
      </c>
      <c r="P199">
        <v>430</v>
      </c>
      <c r="Q199" t="s">
        <v>25216</v>
      </c>
      <c r="R199">
        <v>0</v>
      </c>
      <c r="S199">
        <v>0</v>
      </c>
      <c r="U199" t="s">
        <v>102</v>
      </c>
      <c r="V199" t="s">
        <v>275</v>
      </c>
      <c r="X199" t="s">
        <v>13737</v>
      </c>
      <c r="Y199" t="s">
        <v>109</v>
      </c>
      <c r="Z199" t="s">
        <v>102</v>
      </c>
      <c r="AA199" t="s">
        <v>109</v>
      </c>
      <c r="AB199" t="s">
        <v>102</v>
      </c>
      <c r="AC199" t="s">
        <v>109</v>
      </c>
      <c r="AD199" t="s">
        <v>102</v>
      </c>
      <c r="AE199" t="s">
        <v>109</v>
      </c>
      <c r="AF199" t="s">
        <v>102</v>
      </c>
      <c r="AG199" t="s">
        <v>102</v>
      </c>
      <c r="AH199" t="s">
        <v>12068</v>
      </c>
      <c r="AI199" t="s">
        <v>12068</v>
      </c>
      <c r="AJ199" t="s">
        <v>26502</v>
      </c>
      <c r="AK199" t="s">
        <v>25217</v>
      </c>
      <c r="AL199" t="s">
        <v>26503</v>
      </c>
      <c r="AM199" t="s">
        <v>25218</v>
      </c>
      <c r="AN199" t="s">
        <v>25218</v>
      </c>
      <c r="AS199" t="s">
        <v>102</v>
      </c>
      <c r="AU199" t="s">
        <v>155</v>
      </c>
      <c r="AV199" t="s">
        <v>447</v>
      </c>
      <c r="AW199" t="s">
        <v>170</v>
      </c>
      <c r="AX199" t="s">
        <v>118</v>
      </c>
      <c r="AZ199" t="s">
        <v>120</v>
      </c>
      <c r="BA199" t="s">
        <v>17444</v>
      </c>
      <c r="BB199" t="s">
        <v>730</v>
      </c>
      <c r="BC199" t="s">
        <v>622</v>
      </c>
      <c r="BD199" t="s">
        <v>730</v>
      </c>
      <c r="BE199" t="s">
        <v>124</v>
      </c>
      <c r="BF199" t="s">
        <v>12250</v>
      </c>
      <c r="BG199" t="s">
        <v>21667</v>
      </c>
      <c r="BH199" t="s">
        <v>127</v>
      </c>
      <c r="BI199" t="s">
        <v>25219</v>
      </c>
      <c r="BJ199" t="s">
        <v>17446</v>
      </c>
      <c r="BK199" t="s">
        <v>22575</v>
      </c>
      <c r="BL199" t="s">
        <v>25214</v>
      </c>
      <c r="BM199" t="s">
        <v>3910</v>
      </c>
      <c r="BN199" t="s">
        <v>350</v>
      </c>
      <c r="BO199" t="s">
        <v>3911</v>
      </c>
      <c r="BP199" t="s">
        <v>3912</v>
      </c>
      <c r="BQ199" t="s">
        <v>7862</v>
      </c>
      <c r="BS199" t="s">
        <v>25220</v>
      </c>
      <c r="BT199" t="s">
        <v>22576</v>
      </c>
      <c r="BU199" t="s">
        <v>1282</v>
      </c>
      <c r="BV199" t="s">
        <v>25221</v>
      </c>
      <c r="BW199" t="s">
        <v>17451</v>
      </c>
      <c r="BX199" t="s">
        <v>17450</v>
      </c>
      <c r="BY199" t="s">
        <v>17449</v>
      </c>
      <c r="BZ199" t="s">
        <v>25222</v>
      </c>
      <c r="CA199" t="s">
        <v>17451</v>
      </c>
      <c r="CB199" t="s">
        <v>17449</v>
      </c>
      <c r="CC199" t="s">
        <v>25222</v>
      </c>
      <c r="CD199" t="s">
        <v>17451</v>
      </c>
      <c r="CE199" t="s">
        <v>358</v>
      </c>
      <c r="CF199" t="s">
        <v>17452</v>
      </c>
      <c r="CH199" t="s">
        <v>17453</v>
      </c>
      <c r="CI199" t="s">
        <v>17454</v>
      </c>
      <c r="CJ199" t="s">
        <v>17444</v>
      </c>
      <c r="CK199" t="s">
        <v>730</v>
      </c>
      <c r="CL199" t="s">
        <v>17453</v>
      </c>
      <c r="CN199" t="s">
        <v>17455</v>
      </c>
      <c r="CO199" t="s">
        <v>17455</v>
      </c>
    </row>
    <row r="200" spans="1:93">
      <c r="A200" t="s">
        <v>337</v>
      </c>
      <c r="B200">
        <v>3992038</v>
      </c>
      <c r="C200" t="s">
        <v>24404</v>
      </c>
      <c r="D200" t="s">
        <v>21661</v>
      </c>
      <c r="E200" t="s">
        <v>14400</v>
      </c>
      <c r="F200" t="s">
        <v>97</v>
      </c>
      <c r="G200" t="s">
        <v>98</v>
      </c>
      <c r="H200" t="s">
        <v>24405</v>
      </c>
      <c r="I200" t="s">
        <v>100</v>
      </c>
      <c r="J200">
        <v>169200</v>
      </c>
      <c r="K200">
        <v>169200</v>
      </c>
      <c r="L200">
        <v>169200</v>
      </c>
      <c r="M200">
        <v>376</v>
      </c>
      <c r="N200" t="s">
        <v>5668</v>
      </c>
      <c r="O200">
        <v>0</v>
      </c>
      <c r="P200">
        <v>0</v>
      </c>
      <c r="R200">
        <v>0</v>
      </c>
      <c r="S200">
        <v>0</v>
      </c>
      <c r="U200" t="s">
        <v>102</v>
      </c>
      <c r="V200" t="s">
        <v>103</v>
      </c>
      <c r="W200" t="s">
        <v>104</v>
      </c>
      <c r="Y200" t="s">
        <v>12250</v>
      </c>
      <c r="Z200" t="s">
        <v>24406</v>
      </c>
      <c r="AA200" t="s">
        <v>24407</v>
      </c>
      <c r="AB200" t="s">
        <v>24408</v>
      </c>
      <c r="AC200" t="s">
        <v>109</v>
      </c>
      <c r="AD200" t="s">
        <v>102</v>
      </c>
      <c r="AE200" t="s">
        <v>109</v>
      </c>
      <c r="AF200" t="s">
        <v>102</v>
      </c>
      <c r="AG200" t="s">
        <v>102</v>
      </c>
      <c r="AH200" t="s">
        <v>21962</v>
      </c>
      <c r="AI200" t="s">
        <v>21962</v>
      </c>
      <c r="AJ200" t="s">
        <v>24406</v>
      </c>
      <c r="AK200" t="s">
        <v>25223</v>
      </c>
      <c r="AL200" t="s">
        <v>25224</v>
      </c>
      <c r="AM200" t="s">
        <v>17879</v>
      </c>
      <c r="AN200" t="s">
        <v>24409</v>
      </c>
      <c r="AO200" t="s">
        <v>102</v>
      </c>
      <c r="AP200" t="s">
        <v>102</v>
      </c>
      <c r="AQ200" t="s">
        <v>102</v>
      </c>
      <c r="AR200" t="s">
        <v>102</v>
      </c>
      <c r="AS200" t="s">
        <v>318</v>
      </c>
      <c r="AT200" t="s">
        <v>118</v>
      </c>
      <c r="AU200" t="s">
        <v>102</v>
      </c>
      <c r="AV200" t="s">
        <v>119</v>
      </c>
      <c r="AZ200" t="s">
        <v>120</v>
      </c>
      <c r="BA200" t="s">
        <v>6824</v>
      </c>
      <c r="BB200" t="s">
        <v>730</v>
      </c>
      <c r="BC200" t="s">
        <v>622</v>
      </c>
      <c r="BD200" t="s">
        <v>730</v>
      </c>
      <c r="BE200" t="s">
        <v>124</v>
      </c>
      <c r="BF200" t="s">
        <v>12250</v>
      </c>
      <c r="BG200" t="s">
        <v>21667</v>
      </c>
      <c r="BH200" t="s">
        <v>127</v>
      </c>
      <c r="BI200" t="s">
        <v>24410</v>
      </c>
      <c r="BJ200" t="s">
        <v>24411</v>
      </c>
      <c r="BK200" t="s">
        <v>24412</v>
      </c>
      <c r="BL200" t="s">
        <v>14400</v>
      </c>
      <c r="BM200" t="s">
        <v>3910</v>
      </c>
      <c r="BN200" t="s">
        <v>180</v>
      </c>
      <c r="BO200" t="s">
        <v>3911</v>
      </c>
      <c r="BP200" t="s">
        <v>3912</v>
      </c>
      <c r="BQ200" t="s">
        <v>7862</v>
      </c>
      <c r="BS200" t="s">
        <v>24413</v>
      </c>
      <c r="BT200" t="s">
        <v>24414</v>
      </c>
      <c r="BU200" t="s">
        <v>598</v>
      </c>
      <c r="BV200" t="s">
        <v>8960</v>
      </c>
      <c r="BW200" t="s">
        <v>8961</v>
      </c>
      <c r="BX200" t="s">
        <v>24415</v>
      </c>
      <c r="BY200" t="s">
        <v>24414</v>
      </c>
      <c r="BZ200" t="s">
        <v>24416</v>
      </c>
      <c r="CA200" t="s">
        <v>24417</v>
      </c>
      <c r="CB200" t="s">
        <v>24414</v>
      </c>
      <c r="CC200" t="s">
        <v>24416</v>
      </c>
      <c r="CD200" t="s">
        <v>24417</v>
      </c>
      <c r="CE200" t="s">
        <v>1538</v>
      </c>
      <c r="CF200" t="s">
        <v>24418</v>
      </c>
      <c r="CH200" t="s">
        <v>24419</v>
      </c>
      <c r="CI200" t="s">
        <v>24420</v>
      </c>
      <c r="CJ200" t="s">
        <v>6824</v>
      </c>
      <c r="CK200" t="s">
        <v>730</v>
      </c>
      <c r="CL200" t="s">
        <v>24419</v>
      </c>
      <c r="CN200" t="s">
        <v>24421</v>
      </c>
      <c r="CO200" t="s">
        <v>24421</v>
      </c>
    </row>
    <row r="201" spans="1:93" hidden="1">
      <c r="A201" t="s">
        <v>93</v>
      </c>
      <c r="B201">
        <v>3992708</v>
      </c>
      <c r="C201" t="s">
        <v>17550</v>
      </c>
      <c r="D201" t="s">
        <v>21661</v>
      </c>
      <c r="E201" t="s">
        <v>24940</v>
      </c>
      <c r="F201" t="s">
        <v>152</v>
      </c>
      <c r="G201" t="s">
        <v>98</v>
      </c>
      <c r="H201" t="s">
        <v>25225</v>
      </c>
      <c r="I201" t="s">
        <v>100</v>
      </c>
      <c r="J201">
        <v>166310</v>
      </c>
      <c r="K201">
        <v>166310</v>
      </c>
      <c r="L201">
        <v>0</v>
      </c>
      <c r="M201">
        <v>0</v>
      </c>
      <c r="O201">
        <v>166310</v>
      </c>
      <c r="P201">
        <v>252</v>
      </c>
      <c r="Q201" t="s">
        <v>4273</v>
      </c>
      <c r="R201">
        <v>0</v>
      </c>
      <c r="S201">
        <v>0</v>
      </c>
      <c r="U201" t="s">
        <v>102</v>
      </c>
      <c r="V201" t="s">
        <v>103</v>
      </c>
      <c r="W201" t="s">
        <v>155</v>
      </c>
      <c r="Y201" t="s">
        <v>25226</v>
      </c>
      <c r="Z201" t="s">
        <v>25227</v>
      </c>
      <c r="AA201" t="s">
        <v>25228</v>
      </c>
      <c r="AB201" t="s">
        <v>25227</v>
      </c>
      <c r="AC201" t="s">
        <v>23594</v>
      </c>
      <c r="AD201" t="s">
        <v>25227</v>
      </c>
      <c r="AE201" t="s">
        <v>23595</v>
      </c>
      <c r="AF201" t="s">
        <v>25227</v>
      </c>
      <c r="AG201" t="s">
        <v>102</v>
      </c>
      <c r="AJ201" t="s">
        <v>102</v>
      </c>
      <c r="AK201" t="s">
        <v>102</v>
      </c>
      <c r="AL201" t="s">
        <v>102</v>
      </c>
      <c r="AM201" t="s">
        <v>14636</v>
      </c>
      <c r="AN201" t="s">
        <v>14636</v>
      </c>
      <c r="AS201" t="s">
        <v>102</v>
      </c>
      <c r="AU201" t="s">
        <v>104</v>
      </c>
      <c r="AV201" t="s">
        <v>447</v>
      </c>
      <c r="AW201" t="s">
        <v>170</v>
      </c>
      <c r="AX201" t="s">
        <v>118</v>
      </c>
      <c r="AZ201" t="s">
        <v>120</v>
      </c>
      <c r="BA201" t="s">
        <v>17555</v>
      </c>
      <c r="BB201" t="s">
        <v>173</v>
      </c>
      <c r="BC201" t="s">
        <v>174</v>
      </c>
      <c r="BD201" t="s">
        <v>173</v>
      </c>
      <c r="BE201" t="s">
        <v>124</v>
      </c>
      <c r="BF201" t="s">
        <v>21962</v>
      </c>
      <c r="BG201" t="s">
        <v>21667</v>
      </c>
      <c r="BH201" t="s">
        <v>127</v>
      </c>
      <c r="BI201" t="s">
        <v>25229</v>
      </c>
      <c r="BJ201" t="s">
        <v>17557</v>
      </c>
      <c r="BK201" t="s">
        <v>25230</v>
      </c>
      <c r="BL201" t="s">
        <v>24940</v>
      </c>
      <c r="BM201" t="s">
        <v>8447</v>
      </c>
      <c r="BN201" t="s">
        <v>180</v>
      </c>
      <c r="BO201" t="s">
        <v>8448</v>
      </c>
      <c r="BP201" t="s">
        <v>8449</v>
      </c>
      <c r="BQ201" t="s">
        <v>8450</v>
      </c>
      <c r="BS201" t="s">
        <v>25231</v>
      </c>
      <c r="BT201" t="s">
        <v>17561</v>
      </c>
      <c r="BU201" t="s">
        <v>354</v>
      </c>
      <c r="BV201" t="s">
        <v>17562</v>
      </c>
      <c r="BW201" t="s">
        <v>17563</v>
      </c>
      <c r="BX201" t="s">
        <v>17562</v>
      </c>
      <c r="BY201" t="s">
        <v>25232</v>
      </c>
      <c r="BZ201" t="s">
        <v>17562</v>
      </c>
      <c r="CA201" t="s">
        <v>25233</v>
      </c>
      <c r="CB201" t="s">
        <v>25234</v>
      </c>
      <c r="CC201" t="s">
        <v>17562</v>
      </c>
      <c r="CD201" t="s">
        <v>25235</v>
      </c>
      <c r="CE201" t="s">
        <v>17566</v>
      </c>
      <c r="CF201" t="s">
        <v>17567</v>
      </c>
      <c r="CH201" t="s">
        <v>17568</v>
      </c>
      <c r="CI201" t="s">
        <v>17569</v>
      </c>
      <c r="CJ201" t="s">
        <v>17570</v>
      </c>
      <c r="CK201" t="s">
        <v>173</v>
      </c>
      <c r="CL201" t="s">
        <v>17568</v>
      </c>
      <c r="CN201" t="s">
        <v>17567</v>
      </c>
      <c r="CO201" t="s">
        <v>17567</v>
      </c>
    </row>
    <row r="202" spans="1:93">
      <c r="A202" t="s">
        <v>337</v>
      </c>
      <c r="B202">
        <v>3993835</v>
      </c>
      <c r="C202" t="s">
        <v>22577</v>
      </c>
      <c r="D202" t="s">
        <v>21661</v>
      </c>
      <c r="E202" t="s">
        <v>16162</v>
      </c>
      <c r="F202" t="s">
        <v>97</v>
      </c>
      <c r="G202" t="s">
        <v>98</v>
      </c>
      <c r="H202" t="s">
        <v>22578</v>
      </c>
      <c r="I202" t="s">
        <v>100</v>
      </c>
      <c r="J202">
        <v>117000</v>
      </c>
      <c r="K202">
        <v>117000</v>
      </c>
      <c r="L202">
        <v>117000</v>
      </c>
      <c r="M202">
        <v>150</v>
      </c>
      <c r="N202" t="s">
        <v>2110</v>
      </c>
      <c r="O202">
        <v>0</v>
      </c>
      <c r="P202">
        <v>0</v>
      </c>
      <c r="R202">
        <v>0</v>
      </c>
      <c r="S202">
        <v>0</v>
      </c>
      <c r="U202" t="s">
        <v>102</v>
      </c>
      <c r="V202" t="s">
        <v>275</v>
      </c>
      <c r="X202" t="s">
        <v>13675</v>
      </c>
      <c r="Y202" t="s">
        <v>109</v>
      </c>
      <c r="Z202" t="s">
        <v>102</v>
      </c>
      <c r="AA202" t="s">
        <v>109</v>
      </c>
      <c r="AB202" t="s">
        <v>102</v>
      </c>
      <c r="AC202" t="s">
        <v>109</v>
      </c>
      <c r="AD202" t="s">
        <v>102</v>
      </c>
      <c r="AE202" t="s">
        <v>109</v>
      </c>
      <c r="AF202" t="s">
        <v>102</v>
      </c>
      <c r="AG202" t="s">
        <v>102</v>
      </c>
      <c r="AH202" t="s">
        <v>22245</v>
      </c>
      <c r="AI202" t="s">
        <v>22245</v>
      </c>
      <c r="AJ202" t="s">
        <v>22579</v>
      </c>
      <c r="AK202" t="s">
        <v>22579</v>
      </c>
      <c r="AL202" t="s">
        <v>102</v>
      </c>
      <c r="AM202" t="s">
        <v>6752</v>
      </c>
      <c r="AN202" t="s">
        <v>6752</v>
      </c>
      <c r="AS202" t="s">
        <v>117</v>
      </c>
      <c r="AT202" t="s">
        <v>250</v>
      </c>
      <c r="AU202" t="s">
        <v>102</v>
      </c>
      <c r="AV202" t="s">
        <v>119</v>
      </c>
      <c r="AZ202" t="s">
        <v>120</v>
      </c>
      <c r="BA202" t="s">
        <v>1104</v>
      </c>
      <c r="BB202" t="s">
        <v>449</v>
      </c>
      <c r="BC202" t="s">
        <v>122</v>
      </c>
      <c r="BD202" t="s">
        <v>253</v>
      </c>
      <c r="BE202" t="s">
        <v>124</v>
      </c>
      <c r="BF202" t="s">
        <v>11889</v>
      </c>
      <c r="BG202" t="s">
        <v>11889</v>
      </c>
      <c r="BH202" t="s">
        <v>127</v>
      </c>
      <c r="BI202" t="s">
        <v>22580</v>
      </c>
      <c r="BJ202" t="s">
        <v>22581</v>
      </c>
      <c r="BK202" t="s">
        <v>22582</v>
      </c>
      <c r="BL202" t="s">
        <v>16162</v>
      </c>
      <c r="BM202" t="s">
        <v>10675</v>
      </c>
      <c r="BN202" t="s">
        <v>505</v>
      </c>
      <c r="BO202" t="s">
        <v>10676</v>
      </c>
      <c r="BP202" t="s">
        <v>10677</v>
      </c>
      <c r="BQ202" t="s">
        <v>10678</v>
      </c>
      <c r="BS202" t="s">
        <v>22583</v>
      </c>
      <c r="BT202" t="s">
        <v>22584</v>
      </c>
      <c r="BU202" t="s">
        <v>138</v>
      </c>
      <c r="BV202" t="s">
        <v>22585</v>
      </c>
      <c r="BW202" t="s">
        <v>22586</v>
      </c>
      <c r="BX202" t="s">
        <v>22587</v>
      </c>
      <c r="BY202" t="s">
        <v>22584</v>
      </c>
      <c r="BZ202" t="s">
        <v>22585</v>
      </c>
      <c r="CA202" t="s">
        <v>22586</v>
      </c>
      <c r="CB202" t="s">
        <v>22588</v>
      </c>
      <c r="CC202" t="s">
        <v>22589</v>
      </c>
      <c r="CD202" t="s">
        <v>22590</v>
      </c>
      <c r="CE202" t="s">
        <v>573</v>
      </c>
      <c r="CF202" t="s">
        <v>22591</v>
      </c>
      <c r="CH202" t="s">
        <v>22592</v>
      </c>
      <c r="CI202" t="s">
        <v>22593</v>
      </c>
      <c r="CJ202" t="s">
        <v>1104</v>
      </c>
      <c r="CK202" t="s">
        <v>449</v>
      </c>
      <c r="CL202" t="s">
        <v>22592</v>
      </c>
      <c r="CN202" t="s">
        <v>22594</v>
      </c>
      <c r="CO202" t="s">
        <v>22594</v>
      </c>
    </row>
    <row r="203" spans="1:93">
      <c r="A203" t="s">
        <v>337</v>
      </c>
      <c r="B203">
        <v>3994402</v>
      </c>
      <c r="C203" t="s">
        <v>21899</v>
      </c>
      <c r="D203" t="s">
        <v>21661</v>
      </c>
      <c r="E203" t="s">
        <v>12716</v>
      </c>
      <c r="F203" t="s">
        <v>97</v>
      </c>
      <c r="G203" t="s">
        <v>98</v>
      </c>
      <c r="H203" t="s">
        <v>22595</v>
      </c>
      <c r="I203" t="s">
        <v>100</v>
      </c>
      <c r="J203">
        <v>93600</v>
      </c>
      <c r="K203">
        <v>93600</v>
      </c>
      <c r="L203">
        <v>93600</v>
      </c>
      <c r="M203">
        <v>156</v>
      </c>
      <c r="N203" t="s">
        <v>310</v>
      </c>
      <c r="O203">
        <v>0</v>
      </c>
      <c r="P203">
        <v>0</v>
      </c>
      <c r="R203">
        <v>0</v>
      </c>
      <c r="S203">
        <v>0</v>
      </c>
      <c r="U203" t="s">
        <v>102</v>
      </c>
      <c r="V203" t="s">
        <v>103</v>
      </c>
      <c r="W203" t="s">
        <v>104</v>
      </c>
      <c r="Y203" t="s">
        <v>12716</v>
      </c>
      <c r="Z203" t="s">
        <v>22596</v>
      </c>
      <c r="AA203" t="s">
        <v>21762</v>
      </c>
      <c r="AB203" t="s">
        <v>22596</v>
      </c>
      <c r="AC203" t="s">
        <v>109</v>
      </c>
      <c r="AD203" t="s">
        <v>102</v>
      </c>
      <c r="AE203" t="s">
        <v>109</v>
      </c>
      <c r="AF203" t="s">
        <v>102</v>
      </c>
      <c r="AG203" t="s">
        <v>102</v>
      </c>
      <c r="AH203" t="s">
        <v>14400</v>
      </c>
      <c r="AI203" t="s">
        <v>14400</v>
      </c>
      <c r="AJ203" t="s">
        <v>22596</v>
      </c>
      <c r="AK203" t="s">
        <v>24422</v>
      </c>
      <c r="AL203" t="s">
        <v>24423</v>
      </c>
      <c r="AM203" t="s">
        <v>317</v>
      </c>
      <c r="AN203" t="s">
        <v>317</v>
      </c>
      <c r="AS203" t="s">
        <v>318</v>
      </c>
      <c r="AT203" t="s">
        <v>118</v>
      </c>
      <c r="AU203" t="s">
        <v>102</v>
      </c>
      <c r="AV203" t="s">
        <v>119</v>
      </c>
      <c r="AZ203" t="s">
        <v>120</v>
      </c>
      <c r="BA203" t="s">
        <v>3058</v>
      </c>
      <c r="BB203" t="s">
        <v>320</v>
      </c>
      <c r="BC203" t="s">
        <v>122</v>
      </c>
      <c r="BD203" t="s">
        <v>123</v>
      </c>
      <c r="BE203" t="s">
        <v>124</v>
      </c>
      <c r="BF203" t="s">
        <v>12250</v>
      </c>
      <c r="BG203" t="s">
        <v>21667</v>
      </c>
      <c r="BH203" t="s">
        <v>127</v>
      </c>
      <c r="BI203" t="s">
        <v>22597</v>
      </c>
      <c r="BJ203" t="s">
        <v>22598</v>
      </c>
      <c r="BK203" t="s">
        <v>22599</v>
      </c>
      <c r="BL203" t="s">
        <v>12716</v>
      </c>
      <c r="BM203" t="s">
        <v>131</v>
      </c>
      <c r="BN203" t="s">
        <v>505</v>
      </c>
      <c r="BO203" t="s">
        <v>133</v>
      </c>
      <c r="BP203" t="s">
        <v>134</v>
      </c>
      <c r="BQ203" t="s">
        <v>455</v>
      </c>
      <c r="BS203" t="s">
        <v>22600</v>
      </c>
      <c r="BT203" t="s">
        <v>22601</v>
      </c>
      <c r="BU203" t="s">
        <v>138</v>
      </c>
      <c r="BV203" t="s">
        <v>22602</v>
      </c>
      <c r="BW203" t="s">
        <v>22603</v>
      </c>
      <c r="BX203" t="s">
        <v>22602</v>
      </c>
      <c r="BY203" t="s">
        <v>22601</v>
      </c>
      <c r="BZ203" t="s">
        <v>22602</v>
      </c>
      <c r="CA203" t="s">
        <v>22603</v>
      </c>
      <c r="CB203" t="s">
        <v>22604</v>
      </c>
      <c r="CC203" t="s">
        <v>22605</v>
      </c>
      <c r="CD203" t="s">
        <v>22606</v>
      </c>
      <c r="CE203" t="s">
        <v>102</v>
      </c>
      <c r="CF203" t="s">
        <v>22607</v>
      </c>
      <c r="CH203" t="s">
        <v>22608</v>
      </c>
      <c r="CI203" t="s">
        <v>22607</v>
      </c>
      <c r="CJ203" t="s">
        <v>3058</v>
      </c>
      <c r="CK203" t="s">
        <v>320</v>
      </c>
      <c r="CL203" t="s">
        <v>22608</v>
      </c>
      <c r="CN203" t="s">
        <v>22609</v>
      </c>
      <c r="CO203" t="s">
        <v>22609</v>
      </c>
    </row>
    <row r="204" spans="1:93">
      <c r="A204" t="s">
        <v>337</v>
      </c>
      <c r="B204">
        <v>3994403</v>
      </c>
      <c r="C204" t="s">
        <v>21899</v>
      </c>
      <c r="D204" t="s">
        <v>21661</v>
      </c>
      <c r="E204" t="s">
        <v>12716</v>
      </c>
      <c r="F204" t="s">
        <v>97</v>
      </c>
      <c r="G204" t="s">
        <v>98</v>
      </c>
      <c r="H204" t="s">
        <v>22610</v>
      </c>
      <c r="I204" t="s">
        <v>100</v>
      </c>
      <c r="J204">
        <v>354600</v>
      </c>
      <c r="K204">
        <v>354600</v>
      </c>
      <c r="L204">
        <v>354600</v>
      </c>
      <c r="M204">
        <v>591</v>
      </c>
      <c r="N204" t="s">
        <v>310</v>
      </c>
      <c r="O204">
        <v>0</v>
      </c>
      <c r="P204">
        <v>0</v>
      </c>
      <c r="R204">
        <v>0</v>
      </c>
      <c r="S204">
        <v>0</v>
      </c>
      <c r="U204" t="s">
        <v>102</v>
      </c>
      <c r="V204" t="s">
        <v>103</v>
      </c>
      <c r="W204" t="s">
        <v>104</v>
      </c>
      <c r="Y204" t="s">
        <v>12716</v>
      </c>
      <c r="Z204" t="s">
        <v>22611</v>
      </c>
      <c r="AA204" t="s">
        <v>21762</v>
      </c>
      <c r="AB204" t="s">
        <v>22611</v>
      </c>
      <c r="AC204" t="s">
        <v>109</v>
      </c>
      <c r="AD204" t="s">
        <v>102</v>
      </c>
      <c r="AE204" t="s">
        <v>109</v>
      </c>
      <c r="AF204" t="s">
        <v>102</v>
      </c>
      <c r="AG204" t="s">
        <v>102</v>
      </c>
      <c r="AH204" t="s">
        <v>23756</v>
      </c>
      <c r="AI204" t="s">
        <v>23756</v>
      </c>
      <c r="AJ204" t="s">
        <v>22611</v>
      </c>
      <c r="AK204" t="s">
        <v>24424</v>
      </c>
      <c r="AL204" t="s">
        <v>24425</v>
      </c>
      <c r="AM204" t="s">
        <v>317</v>
      </c>
      <c r="AN204" t="s">
        <v>317</v>
      </c>
      <c r="AS204" t="s">
        <v>318</v>
      </c>
      <c r="AT204" t="s">
        <v>118</v>
      </c>
      <c r="AU204" t="s">
        <v>102</v>
      </c>
      <c r="AV204" t="s">
        <v>119</v>
      </c>
      <c r="AZ204" t="s">
        <v>120</v>
      </c>
      <c r="BA204" t="s">
        <v>3058</v>
      </c>
      <c r="BB204" t="s">
        <v>320</v>
      </c>
      <c r="BC204" t="s">
        <v>122</v>
      </c>
      <c r="BD204" t="s">
        <v>123</v>
      </c>
      <c r="BE204" t="s">
        <v>124</v>
      </c>
      <c r="BF204" t="s">
        <v>12250</v>
      </c>
      <c r="BG204" t="s">
        <v>21667</v>
      </c>
      <c r="BH204" t="s">
        <v>127</v>
      </c>
      <c r="BI204" t="s">
        <v>22612</v>
      </c>
      <c r="BJ204" t="s">
        <v>22613</v>
      </c>
      <c r="BK204" t="s">
        <v>22614</v>
      </c>
      <c r="BL204" t="s">
        <v>12716</v>
      </c>
      <c r="BM204" t="s">
        <v>131</v>
      </c>
      <c r="BN204" t="s">
        <v>505</v>
      </c>
      <c r="BO204" t="s">
        <v>133</v>
      </c>
      <c r="BP204" t="s">
        <v>134</v>
      </c>
      <c r="BQ204" t="s">
        <v>455</v>
      </c>
      <c r="BS204" t="s">
        <v>22615</v>
      </c>
      <c r="BT204" t="s">
        <v>22616</v>
      </c>
      <c r="BU204" t="s">
        <v>138</v>
      </c>
      <c r="BV204" t="s">
        <v>22617</v>
      </c>
      <c r="BW204" t="s">
        <v>22618</v>
      </c>
      <c r="BX204" t="s">
        <v>22619</v>
      </c>
      <c r="BY204" t="s">
        <v>22616</v>
      </c>
      <c r="BZ204" t="s">
        <v>22617</v>
      </c>
      <c r="CA204" t="s">
        <v>22618</v>
      </c>
      <c r="CB204" t="s">
        <v>22620</v>
      </c>
      <c r="CC204" t="s">
        <v>22621</v>
      </c>
      <c r="CD204" t="s">
        <v>22622</v>
      </c>
      <c r="CE204" t="s">
        <v>7998</v>
      </c>
      <c r="CF204" t="s">
        <v>22623</v>
      </c>
      <c r="CH204" t="s">
        <v>22624</v>
      </c>
      <c r="CI204" t="s">
        <v>22623</v>
      </c>
      <c r="CJ204" t="s">
        <v>3058</v>
      </c>
      <c r="CK204" t="s">
        <v>320</v>
      </c>
      <c r="CL204" t="s">
        <v>22624</v>
      </c>
      <c r="CN204" t="s">
        <v>22623</v>
      </c>
      <c r="CO204" t="s">
        <v>22623</v>
      </c>
    </row>
    <row r="205" spans="1:93">
      <c r="A205" t="s">
        <v>337</v>
      </c>
      <c r="B205">
        <v>3994404</v>
      </c>
      <c r="C205" t="s">
        <v>21899</v>
      </c>
      <c r="D205" t="s">
        <v>21661</v>
      </c>
      <c r="E205" t="s">
        <v>12716</v>
      </c>
      <c r="F205" t="s">
        <v>97</v>
      </c>
      <c r="G205" t="s">
        <v>98</v>
      </c>
      <c r="H205" t="s">
        <v>22625</v>
      </c>
      <c r="I205" t="s">
        <v>100</v>
      </c>
      <c r="J205">
        <v>103800</v>
      </c>
      <c r="K205">
        <v>103800</v>
      </c>
      <c r="L205">
        <v>103800</v>
      </c>
      <c r="M205">
        <v>173</v>
      </c>
      <c r="N205" t="s">
        <v>310</v>
      </c>
      <c r="O205">
        <v>0</v>
      </c>
      <c r="P205">
        <v>0</v>
      </c>
      <c r="R205">
        <v>0</v>
      </c>
      <c r="S205">
        <v>0</v>
      </c>
      <c r="U205" t="s">
        <v>102</v>
      </c>
      <c r="V205" t="s">
        <v>103</v>
      </c>
      <c r="W205" t="s">
        <v>104</v>
      </c>
      <c r="Y205" t="s">
        <v>12716</v>
      </c>
      <c r="Z205" t="s">
        <v>22626</v>
      </c>
      <c r="AA205" t="s">
        <v>21762</v>
      </c>
      <c r="AB205" t="s">
        <v>22626</v>
      </c>
      <c r="AC205" t="s">
        <v>109</v>
      </c>
      <c r="AD205" t="s">
        <v>102</v>
      </c>
      <c r="AE205" t="s">
        <v>109</v>
      </c>
      <c r="AF205" t="s">
        <v>102</v>
      </c>
      <c r="AG205" t="s">
        <v>24426</v>
      </c>
      <c r="AH205" t="s">
        <v>14400</v>
      </c>
      <c r="AI205" t="s">
        <v>14400</v>
      </c>
      <c r="AJ205" t="s">
        <v>22626</v>
      </c>
      <c r="AK205" t="s">
        <v>24427</v>
      </c>
      <c r="AL205" t="s">
        <v>102</v>
      </c>
      <c r="AM205" t="s">
        <v>317</v>
      </c>
      <c r="AN205" t="s">
        <v>317</v>
      </c>
      <c r="AS205" t="s">
        <v>318</v>
      </c>
      <c r="AT205" t="s">
        <v>118</v>
      </c>
      <c r="AU205" t="s">
        <v>102</v>
      </c>
      <c r="AV205" t="s">
        <v>119</v>
      </c>
      <c r="AZ205" t="s">
        <v>120</v>
      </c>
      <c r="BA205" t="s">
        <v>4153</v>
      </c>
      <c r="BB205" t="s">
        <v>320</v>
      </c>
      <c r="BC205" t="s">
        <v>122</v>
      </c>
      <c r="BD205" t="s">
        <v>123</v>
      </c>
      <c r="BE205" t="s">
        <v>124</v>
      </c>
      <c r="BF205" t="s">
        <v>12250</v>
      </c>
      <c r="BG205" t="s">
        <v>21667</v>
      </c>
      <c r="BH205" t="s">
        <v>127</v>
      </c>
      <c r="BI205" t="s">
        <v>22627</v>
      </c>
      <c r="BJ205" t="s">
        <v>22628</v>
      </c>
      <c r="BK205" t="s">
        <v>22629</v>
      </c>
      <c r="BL205" t="s">
        <v>12716</v>
      </c>
      <c r="BM205" t="s">
        <v>131</v>
      </c>
      <c r="BN205" t="s">
        <v>350</v>
      </c>
      <c r="BO205" t="s">
        <v>133</v>
      </c>
      <c r="BP205" t="s">
        <v>134</v>
      </c>
      <c r="BQ205" t="s">
        <v>455</v>
      </c>
      <c r="BS205" t="s">
        <v>22630</v>
      </c>
      <c r="BT205" t="s">
        <v>22631</v>
      </c>
      <c r="BU205" t="s">
        <v>138</v>
      </c>
      <c r="BV205" t="s">
        <v>22632</v>
      </c>
      <c r="BW205" t="s">
        <v>22633</v>
      </c>
      <c r="BX205" t="s">
        <v>22634</v>
      </c>
      <c r="BY205" t="s">
        <v>22631</v>
      </c>
      <c r="BZ205" t="s">
        <v>22632</v>
      </c>
      <c r="CA205" t="s">
        <v>22633</v>
      </c>
      <c r="CB205" t="s">
        <v>22635</v>
      </c>
      <c r="CC205" t="s">
        <v>22636</v>
      </c>
      <c r="CD205" t="s">
        <v>22637</v>
      </c>
      <c r="CE205" t="s">
        <v>22638</v>
      </c>
      <c r="CF205" t="s">
        <v>22639</v>
      </c>
      <c r="CH205" t="s">
        <v>22640</v>
      </c>
      <c r="CI205" t="s">
        <v>22639</v>
      </c>
      <c r="CJ205" t="s">
        <v>4153</v>
      </c>
      <c r="CK205" t="s">
        <v>320</v>
      </c>
      <c r="CL205" t="s">
        <v>22640</v>
      </c>
      <c r="CM205" t="s">
        <v>24428</v>
      </c>
      <c r="CN205" t="s">
        <v>22639</v>
      </c>
      <c r="CO205" t="s">
        <v>22639</v>
      </c>
    </row>
    <row r="206" spans="1:93" hidden="1">
      <c r="A206" t="s">
        <v>149</v>
      </c>
      <c r="B206">
        <v>399475</v>
      </c>
      <c r="C206" t="s">
        <v>8271</v>
      </c>
      <c r="D206" t="s">
        <v>21661</v>
      </c>
      <c r="E206" t="s">
        <v>22641</v>
      </c>
      <c r="F206" t="s">
        <v>643</v>
      </c>
      <c r="G206" t="s">
        <v>98</v>
      </c>
      <c r="H206" t="s">
        <v>22642</v>
      </c>
      <c r="I206" t="s">
        <v>100</v>
      </c>
      <c r="J206">
        <v>3672288</v>
      </c>
      <c r="K206">
        <v>4037559</v>
      </c>
      <c r="L206">
        <v>0</v>
      </c>
      <c r="M206">
        <v>0</v>
      </c>
      <c r="O206">
        <v>1643002</v>
      </c>
      <c r="P206">
        <v>1562</v>
      </c>
      <c r="Q206" t="s">
        <v>22643</v>
      </c>
      <c r="R206">
        <v>2029286</v>
      </c>
      <c r="S206">
        <v>1881</v>
      </c>
      <c r="T206" t="s">
        <v>14894</v>
      </c>
      <c r="U206" t="s">
        <v>102</v>
      </c>
      <c r="V206" t="s">
        <v>103</v>
      </c>
      <c r="W206" t="s">
        <v>155</v>
      </c>
      <c r="Y206" t="s">
        <v>12047</v>
      </c>
      <c r="Z206" t="s">
        <v>22644</v>
      </c>
      <c r="AA206" t="s">
        <v>22645</v>
      </c>
      <c r="AB206" t="s">
        <v>22644</v>
      </c>
      <c r="AC206" t="s">
        <v>22646</v>
      </c>
      <c r="AD206" t="s">
        <v>22644</v>
      </c>
      <c r="AE206" t="s">
        <v>21687</v>
      </c>
      <c r="AF206" t="s">
        <v>22644</v>
      </c>
      <c r="AG206" t="s">
        <v>102</v>
      </c>
      <c r="AJ206" t="s">
        <v>22644</v>
      </c>
      <c r="AK206" t="s">
        <v>102</v>
      </c>
      <c r="AL206" t="s">
        <v>22644</v>
      </c>
      <c r="AM206" t="s">
        <v>22647</v>
      </c>
      <c r="AN206" t="s">
        <v>22647</v>
      </c>
      <c r="AS206" t="s">
        <v>102</v>
      </c>
      <c r="AU206" t="s">
        <v>951</v>
      </c>
      <c r="AV206" t="s">
        <v>119</v>
      </c>
      <c r="AW206" t="s">
        <v>170</v>
      </c>
      <c r="AX206" t="s">
        <v>118</v>
      </c>
      <c r="AY206" t="s">
        <v>250</v>
      </c>
      <c r="AZ206" t="s">
        <v>120</v>
      </c>
      <c r="BA206" t="s">
        <v>4403</v>
      </c>
      <c r="BB206" t="s">
        <v>4404</v>
      </c>
      <c r="BC206" t="s">
        <v>174</v>
      </c>
      <c r="BD206" t="s">
        <v>4405</v>
      </c>
      <c r="BE206" t="s">
        <v>124</v>
      </c>
      <c r="BF206" t="s">
        <v>22648</v>
      </c>
      <c r="BG206" t="s">
        <v>21667</v>
      </c>
      <c r="BH206" t="s">
        <v>127</v>
      </c>
      <c r="BI206" t="s">
        <v>22649</v>
      </c>
      <c r="BJ206" t="s">
        <v>8284</v>
      </c>
      <c r="BK206" t="s">
        <v>22650</v>
      </c>
      <c r="BL206" t="s">
        <v>22641</v>
      </c>
      <c r="BM206" t="s">
        <v>1108</v>
      </c>
      <c r="BN206" t="s">
        <v>180</v>
      </c>
      <c r="BO206" t="s">
        <v>1109</v>
      </c>
      <c r="BP206" t="s">
        <v>1110</v>
      </c>
      <c r="BQ206" t="s">
        <v>1111</v>
      </c>
      <c r="BS206" t="s">
        <v>22651</v>
      </c>
      <c r="BT206" t="s">
        <v>17656</v>
      </c>
      <c r="BU206" t="s">
        <v>138</v>
      </c>
      <c r="BV206" t="s">
        <v>8290</v>
      </c>
      <c r="BW206" t="s">
        <v>8289</v>
      </c>
      <c r="BX206" t="s">
        <v>8288</v>
      </c>
      <c r="BY206" t="s">
        <v>22652</v>
      </c>
      <c r="BZ206" t="s">
        <v>22653</v>
      </c>
      <c r="CA206" t="s">
        <v>8289</v>
      </c>
      <c r="CB206" t="s">
        <v>22654</v>
      </c>
      <c r="CC206" t="s">
        <v>8292</v>
      </c>
      <c r="CD206" t="s">
        <v>8293</v>
      </c>
      <c r="CE206" t="s">
        <v>102</v>
      </c>
      <c r="CF206" t="s">
        <v>17660</v>
      </c>
      <c r="CH206" t="s">
        <v>8295</v>
      </c>
      <c r="CJ206" t="s">
        <v>4403</v>
      </c>
      <c r="CK206" t="s">
        <v>4404</v>
      </c>
      <c r="CL206" t="s">
        <v>8295</v>
      </c>
      <c r="CM206" t="s">
        <v>8296</v>
      </c>
      <c r="CN206" t="s">
        <v>8294</v>
      </c>
      <c r="CO206" t="s">
        <v>8294</v>
      </c>
    </row>
    <row r="207" spans="1:93">
      <c r="A207" t="s">
        <v>337</v>
      </c>
      <c r="B207">
        <v>3994834</v>
      </c>
      <c r="C207" t="s">
        <v>22655</v>
      </c>
      <c r="D207" t="s">
        <v>21661</v>
      </c>
      <c r="E207" t="s">
        <v>13964</v>
      </c>
      <c r="F207" t="s">
        <v>2044</v>
      </c>
      <c r="G207" t="s">
        <v>98</v>
      </c>
      <c r="H207" t="s">
        <v>22656</v>
      </c>
      <c r="I207" t="s">
        <v>100</v>
      </c>
      <c r="J207">
        <v>1231121</v>
      </c>
      <c r="K207">
        <v>1231121</v>
      </c>
      <c r="L207">
        <v>659529</v>
      </c>
      <c r="M207">
        <v>1201</v>
      </c>
      <c r="N207" t="s">
        <v>22657</v>
      </c>
      <c r="O207">
        <v>571592</v>
      </c>
      <c r="P207">
        <v>1201</v>
      </c>
      <c r="Q207" t="s">
        <v>22658</v>
      </c>
      <c r="R207">
        <v>0</v>
      </c>
      <c r="S207">
        <v>0</v>
      </c>
      <c r="U207" t="s">
        <v>102</v>
      </c>
      <c r="V207" t="s">
        <v>103</v>
      </c>
      <c r="W207" t="s">
        <v>155</v>
      </c>
      <c r="Y207" t="s">
        <v>6895</v>
      </c>
      <c r="Z207" t="s">
        <v>22659</v>
      </c>
      <c r="AA207" t="s">
        <v>19143</v>
      </c>
      <c r="AB207" t="s">
        <v>22659</v>
      </c>
      <c r="AC207" t="s">
        <v>21686</v>
      </c>
      <c r="AD207" t="s">
        <v>22659</v>
      </c>
      <c r="AE207" t="s">
        <v>21666</v>
      </c>
      <c r="AF207" t="s">
        <v>22659</v>
      </c>
      <c r="AG207" t="s">
        <v>102</v>
      </c>
      <c r="AH207" t="s">
        <v>13867</v>
      </c>
      <c r="AI207" t="s">
        <v>13867</v>
      </c>
      <c r="AJ207" t="s">
        <v>22659</v>
      </c>
      <c r="AK207" t="s">
        <v>2980</v>
      </c>
      <c r="AL207" t="s">
        <v>22660</v>
      </c>
      <c r="AM207" t="s">
        <v>22661</v>
      </c>
      <c r="AN207" t="s">
        <v>12863</v>
      </c>
      <c r="AP207" t="s">
        <v>169</v>
      </c>
      <c r="AQ207" t="s">
        <v>169</v>
      </c>
      <c r="AS207" t="s">
        <v>318</v>
      </c>
      <c r="AT207" t="s">
        <v>118</v>
      </c>
      <c r="AU207" t="s">
        <v>104</v>
      </c>
      <c r="AV207" t="s">
        <v>447</v>
      </c>
      <c r="AW207" t="s">
        <v>170</v>
      </c>
      <c r="AX207" t="s">
        <v>118</v>
      </c>
      <c r="AZ207" t="s">
        <v>120</v>
      </c>
      <c r="BA207" t="s">
        <v>121</v>
      </c>
      <c r="BB207" t="s">
        <v>121</v>
      </c>
      <c r="BC207" t="s">
        <v>122</v>
      </c>
      <c r="BD207" t="s">
        <v>123</v>
      </c>
      <c r="BE207" t="s">
        <v>124</v>
      </c>
      <c r="BF207" t="s">
        <v>12250</v>
      </c>
      <c r="BG207" t="s">
        <v>21667</v>
      </c>
      <c r="BH207" t="s">
        <v>127</v>
      </c>
      <c r="BI207" t="s">
        <v>22662</v>
      </c>
      <c r="BJ207" t="s">
        <v>22663</v>
      </c>
      <c r="BK207" t="s">
        <v>22664</v>
      </c>
      <c r="BL207" t="s">
        <v>13964</v>
      </c>
      <c r="BM207" t="s">
        <v>7005</v>
      </c>
      <c r="BN207" t="s">
        <v>350</v>
      </c>
      <c r="BO207" t="s">
        <v>7006</v>
      </c>
      <c r="BP207" t="s">
        <v>7007</v>
      </c>
      <c r="BQ207" t="s">
        <v>7008</v>
      </c>
      <c r="BS207" t="s">
        <v>22665</v>
      </c>
      <c r="BT207" t="s">
        <v>22666</v>
      </c>
      <c r="BU207" t="s">
        <v>138</v>
      </c>
      <c r="BV207" t="s">
        <v>22667</v>
      </c>
      <c r="BW207" t="s">
        <v>22668</v>
      </c>
      <c r="BX207" t="s">
        <v>22669</v>
      </c>
      <c r="BY207" t="s">
        <v>22666</v>
      </c>
      <c r="BZ207" t="s">
        <v>22667</v>
      </c>
      <c r="CA207" t="s">
        <v>22668</v>
      </c>
      <c r="CB207" t="s">
        <v>22666</v>
      </c>
      <c r="CC207" t="s">
        <v>22667</v>
      </c>
      <c r="CD207" t="s">
        <v>22668</v>
      </c>
      <c r="CE207" t="s">
        <v>2270</v>
      </c>
      <c r="CF207" t="s">
        <v>22655</v>
      </c>
      <c r="CH207" t="s">
        <v>22670</v>
      </c>
      <c r="CI207" t="s">
        <v>22655</v>
      </c>
      <c r="CJ207" t="s">
        <v>121</v>
      </c>
      <c r="CK207" t="s">
        <v>121</v>
      </c>
      <c r="CL207" t="s">
        <v>22670</v>
      </c>
      <c r="CN207" t="s">
        <v>22671</v>
      </c>
      <c r="CO207" t="s">
        <v>22671</v>
      </c>
    </row>
    <row r="208" spans="1:93" hidden="1">
      <c r="A208" t="s">
        <v>149</v>
      </c>
      <c r="B208">
        <v>3994892</v>
      </c>
      <c r="C208" t="s">
        <v>17661</v>
      </c>
      <c r="D208" t="s">
        <v>21661</v>
      </c>
      <c r="E208" t="s">
        <v>12696</v>
      </c>
      <c r="F208" t="s">
        <v>848</v>
      </c>
      <c r="G208" t="s">
        <v>98</v>
      </c>
      <c r="H208" t="s">
        <v>22672</v>
      </c>
      <c r="I208" t="s">
        <v>100</v>
      </c>
      <c r="J208">
        <v>545923</v>
      </c>
      <c r="K208">
        <v>644189</v>
      </c>
      <c r="L208">
        <v>0</v>
      </c>
      <c r="M208">
        <v>0</v>
      </c>
      <c r="O208">
        <v>0</v>
      </c>
      <c r="P208">
        <v>0</v>
      </c>
      <c r="R208">
        <v>545923</v>
      </c>
      <c r="S208">
        <v>285</v>
      </c>
      <c r="T208" t="s">
        <v>22673</v>
      </c>
      <c r="U208" t="s">
        <v>102</v>
      </c>
      <c r="V208" t="s">
        <v>103</v>
      </c>
      <c r="W208" t="s">
        <v>398</v>
      </c>
      <c r="Y208" t="s">
        <v>12023</v>
      </c>
      <c r="Z208" t="s">
        <v>22674</v>
      </c>
      <c r="AA208" t="s">
        <v>21664</v>
      </c>
      <c r="AB208" t="s">
        <v>22675</v>
      </c>
      <c r="AC208" t="s">
        <v>21762</v>
      </c>
      <c r="AD208" t="s">
        <v>22675</v>
      </c>
      <c r="AE208" t="s">
        <v>109</v>
      </c>
      <c r="AF208" t="s">
        <v>102</v>
      </c>
      <c r="AG208" t="s">
        <v>102</v>
      </c>
      <c r="AJ208" t="s">
        <v>22674</v>
      </c>
      <c r="AK208" t="s">
        <v>102</v>
      </c>
      <c r="AL208" t="s">
        <v>22674</v>
      </c>
      <c r="AM208" t="s">
        <v>22676</v>
      </c>
      <c r="AN208" t="s">
        <v>22676</v>
      </c>
      <c r="AS208" t="s">
        <v>102</v>
      </c>
      <c r="AU208" t="s">
        <v>102</v>
      </c>
      <c r="AV208" t="s">
        <v>119</v>
      </c>
      <c r="AY208" t="s">
        <v>250</v>
      </c>
      <c r="AZ208" t="s">
        <v>120</v>
      </c>
      <c r="BA208" t="s">
        <v>8307</v>
      </c>
      <c r="BB208" t="s">
        <v>1171</v>
      </c>
      <c r="BC208" t="s">
        <v>174</v>
      </c>
      <c r="BD208" t="s">
        <v>1172</v>
      </c>
      <c r="BE208" t="s">
        <v>124</v>
      </c>
      <c r="BF208" t="s">
        <v>12250</v>
      </c>
      <c r="BG208" t="s">
        <v>21667</v>
      </c>
      <c r="BH208" t="s">
        <v>127</v>
      </c>
      <c r="BI208" t="s">
        <v>22677</v>
      </c>
      <c r="BJ208" t="s">
        <v>8309</v>
      </c>
      <c r="BK208" t="s">
        <v>22678</v>
      </c>
      <c r="BL208" t="s">
        <v>12696</v>
      </c>
      <c r="BM208" t="s">
        <v>12557</v>
      </c>
      <c r="BN208" t="s">
        <v>180</v>
      </c>
      <c r="BO208" t="s">
        <v>12558</v>
      </c>
      <c r="BP208" t="s">
        <v>12559</v>
      </c>
      <c r="BQ208" t="s">
        <v>5560</v>
      </c>
      <c r="BS208" t="s">
        <v>22679</v>
      </c>
      <c r="BT208" t="s">
        <v>22680</v>
      </c>
      <c r="BU208" t="s">
        <v>138</v>
      </c>
      <c r="BV208" t="s">
        <v>8315</v>
      </c>
      <c r="BW208" t="s">
        <v>22681</v>
      </c>
      <c r="BX208" t="s">
        <v>8315</v>
      </c>
      <c r="BY208" t="s">
        <v>22680</v>
      </c>
      <c r="BZ208" t="s">
        <v>8315</v>
      </c>
      <c r="CA208" t="s">
        <v>8314</v>
      </c>
      <c r="CB208" t="s">
        <v>22682</v>
      </c>
      <c r="CC208" t="s">
        <v>8315</v>
      </c>
      <c r="CD208" t="s">
        <v>8314</v>
      </c>
      <c r="CE208" t="s">
        <v>8318</v>
      </c>
      <c r="CF208" t="s">
        <v>8322</v>
      </c>
      <c r="CH208" t="s">
        <v>8320</v>
      </c>
      <c r="CI208" t="s">
        <v>17676</v>
      </c>
      <c r="CJ208" t="s">
        <v>8307</v>
      </c>
      <c r="CK208" t="s">
        <v>1171</v>
      </c>
      <c r="CL208" t="s">
        <v>8320</v>
      </c>
      <c r="CM208" t="s">
        <v>8321</v>
      </c>
      <c r="CN208" t="s">
        <v>8322</v>
      </c>
      <c r="CO208" t="s">
        <v>8322</v>
      </c>
    </row>
    <row r="209" spans="1:93" hidden="1">
      <c r="A209" t="s">
        <v>93</v>
      </c>
      <c r="B209">
        <v>3997080</v>
      </c>
      <c r="C209" t="s">
        <v>17736</v>
      </c>
      <c r="D209" t="s">
        <v>21661</v>
      </c>
      <c r="E209" t="s">
        <v>17605</v>
      </c>
      <c r="F209" t="s">
        <v>152</v>
      </c>
      <c r="G209" t="s">
        <v>98</v>
      </c>
      <c r="H209" t="s">
        <v>26504</v>
      </c>
      <c r="I209" t="s">
        <v>100</v>
      </c>
      <c r="J209">
        <v>589297</v>
      </c>
      <c r="K209">
        <v>589297</v>
      </c>
      <c r="L209">
        <v>0</v>
      </c>
      <c r="M209">
        <v>0</v>
      </c>
      <c r="O209">
        <v>589297</v>
      </c>
      <c r="P209">
        <v>517</v>
      </c>
      <c r="Q209" t="s">
        <v>1495</v>
      </c>
      <c r="R209">
        <v>0</v>
      </c>
      <c r="S209">
        <v>0</v>
      </c>
      <c r="U209" t="s">
        <v>102</v>
      </c>
      <c r="V209" t="s">
        <v>103</v>
      </c>
      <c r="W209" t="s">
        <v>155</v>
      </c>
      <c r="Y209" t="s">
        <v>21790</v>
      </c>
      <c r="Z209" t="s">
        <v>26505</v>
      </c>
      <c r="AA209" t="s">
        <v>21870</v>
      </c>
      <c r="AB209" t="s">
        <v>26505</v>
      </c>
      <c r="AC209" t="s">
        <v>26506</v>
      </c>
      <c r="AD209" t="s">
        <v>26505</v>
      </c>
      <c r="AE209" t="s">
        <v>26507</v>
      </c>
      <c r="AF209" t="s">
        <v>26505</v>
      </c>
      <c r="AG209" t="s">
        <v>102</v>
      </c>
      <c r="AJ209" t="s">
        <v>26505</v>
      </c>
      <c r="AK209" t="s">
        <v>102</v>
      </c>
      <c r="AL209" t="s">
        <v>26505</v>
      </c>
      <c r="AM209" t="s">
        <v>5460</v>
      </c>
      <c r="AN209" t="s">
        <v>5460</v>
      </c>
      <c r="AS209" t="s">
        <v>102</v>
      </c>
      <c r="AU209" t="s">
        <v>155</v>
      </c>
      <c r="AV209" t="s">
        <v>447</v>
      </c>
      <c r="AW209" t="s">
        <v>170</v>
      </c>
      <c r="AX209" t="s">
        <v>118</v>
      </c>
      <c r="AZ209" t="s">
        <v>120</v>
      </c>
      <c r="BA209" t="s">
        <v>17740</v>
      </c>
      <c r="BB209" t="s">
        <v>345</v>
      </c>
      <c r="BC209" t="s">
        <v>122</v>
      </c>
      <c r="BD209" t="s">
        <v>346</v>
      </c>
      <c r="BE209" t="s">
        <v>124</v>
      </c>
      <c r="BF209" t="s">
        <v>12250</v>
      </c>
      <c r="BG209" t="s">
        <v>21667</v>
      </c>
      <c r="BH209" t="s">
        <v>127</v>
      </c>
      <c r="BI209" t="s">
        <v>26508</v>
      </c>
      <c r="BJ209" t="s">
        <v>17742</v>
      </c>
      <c r="BK209" t="s">
        <v>26509</v>
      </c>
      <c r="BL209" t="s">
        <v>17605</v>
      </c>
      <c r="BM209" t="s">
        <v>12226</v>
      </c>
      <c r="BN209" t="s">
        <v>350</v>
      </c>
      <c r="BO209" t="s">
        <v>12228</v>
      </c>
      <c r="BP209" t="s">
        <v>12229</v>
      </c>
      <c r="BQ209" t="s">
        <v>8623</v>
      </c>
      <c r="BS209" t="s">
        <v>26510</v>
      </c>
      <c r="BT209" t="s">
        <v>17745</v>
      </c>
      <c r="BU209" t="s">
        <v>138</v>
      </c>
      <c r="BV209" t="s">
        <v>17746</v>
      </c>
      <c r="BW209" t="s">
        <v>17747</v>
      </c>
      <c r="BX209" t="s">
        <v>17746</v>
      </c>
      <c r="BY209" t="s">
        <v>17748</v>
      </c>
      <c r="BZ209" t="s">
        <v>17746</v>
      </c>
      <c r="CA209" t="s">
        <v>17747</v>
      </c>
      <c r="CB209" t="s">
        <v>17748</v>
      </c>
      <c r="CC209" t="s">
        <v>17746</v>
      </c>
      <c r="CD209" t="s">
        <v>17747</v>
      </c>
      <c r="CE209" t="s">
        <v>1016</v>
      </c>
      <c r="CF209" t="s">
        <v>17752</v>
      </c>
      <c r="CH209" t="s">
        <v>17753</v>
      </c>
      <c r="CI209" t="s">
        <v>17754</v>
      </c>
      <c r="CJ209" t="s">
        <v>17740</v>
      </c>
      <c r="CK209" t="s">
        <v>345</v>
      </c>
      <c r="CL209" t="s">
        <v>17753</v>
      </c>
      <c r="CN209" t="s">
        <v>17755</v>
      </c>
      <c r="CO209" t="s">
        <v>17755</v>
      </c>
    </row>
    <row r="210" spans="1:93">
      <c r="A210" t="s">
        <v>337</v>
      </c>
      <c r="B210">
        <v>3997196</v>
      </c>
      <c r="C210" t="s">
        <v>22683</v>
      </c>
      <c r="D210" t="s">
        <v>21661</v>
      </c>
      <c r="E210" t="s">
        <v>12313</v>
      </c>
      <c r="F210" t="s">
        <v>152</v>
      </c>
      <c r="G210" t="s">
        <v>98</v>
      </c>
      <c r="H210" t="s">
        <v>22684</v>
      </c>
      <c r="I210" t="s">
        <v>100</v>
      </c>
      <c r="J210">
        <v>376020</v>
      </c>
      <c r="K210">
        <v>376020</v>
      </c>
      <c r="L210">
        <v>0</v>
      </c>
      <c r="M210">
        <v>0</v>
      </c>
      <c r="O210">
        <v>376020</v>
      </c>
      <c r="P210">
        <v>248</v>
      </c>
      <c r="Q210" t="s">
        <v>22685</v>
      </c>
      <c r="R210">
        <v>0</v>
      </c>
      <c r="S210">
        <v>0</v>
      </c>
      <c r="U210" t="s">
        <v>102</v>
      </c>
      <c r="V210" t="s">
        <v>103</v>
      </c>
      <c r="W210" t="s">
        <v>155</v>
      </c>
      <c r="Y210" t="s">
        <v>11889</v>
      </c>
      <c r="Z210" t="s">
        <v>22686</v>
      </c>
      <c r="AA210" t="s">
        <v>19143</v>
      </c>
      <c r="AB210" t="s">
        <v>22686</v>
      </c>
      <c r="AC210" t="s">
        <v>21762</v>
      </c>
      <c r="AD210" t="s">
        <v>22686</v>
      </c>
      <c r="AE210" t="s">
        <v>21710</v>
      </c>
      <c r="AF210" t="s">
        <v>22686</v>
      </c>
      <c r="AG210" t="s">
        <v>102</v>
      </c>
      <c r="AH210" t="s">
        <v>12330</v>
      </c>
      <c r="AI210" t="s">
        <v>12330</v>
      </c>
      <c r="AJ210" t="s">
        <v>22686</v>
      </c>
      <c r="AK210" t="s">
        <v>573</v>
      </c>
      <c r="AL210" t="s">
        <v>24429</v>
      </c>
      <c r="AM210" t="s">
        <v>1206</v>
      </c>
      <c r="AN210" t="s">
        <v>1206</v>
      </c>
      <c r="AS210" t="s">
        <v>102</v>
      </c>
      <c r="AU210" t="s">
        <v>155</v>
      </c>
      <c r="AV210" t="s">
        <v>119</v>
      </c>
      <c r="AW210" t="s">
        <v>1138</v>
      </c>
      <c r="AX210" t="s">
        <v>118</v>
      </c>
      <c r="AZ210" t="s">
        <v>120</v>
      </c>
      <c r="BA210" t="s">
        <v>22687</v>
      </c>
      <c r="BB210" t="s">
        <v>285</v>
      </c>
      <c r="BC210" t="s">
        <v>212</v>
      </c>
      <c r="BD210" t="s">
        <v>286</v>
      </c>
      <c r="BE210" t="s">
        <v>124</v>
      </c>
      <c r="BF210" t="s">
        <v>19143</v>
      </c>
      <c r="BG210" t="s">
        <v>22688</v>
      </c>
      <c r="BH210" t="s">
        <v>127</v>
      </c>
      <c r="BI210" t="s">
        <v>22689</v>
      </c>
      <c r="BJ210" t="s">
        <v>22690</v>
      </c>
      <c r="BK210" t="s">
        <v>22691</v>
      </c>
      <c r="BL210" t="s">
        <v>12313</v>
      </c>
      <c r="BM210" t="s">
        <v>3997</v>
      </c>
      <c r="BN210" t="s">
        <v>505</v>
      </c>
      <c r="BO210" t="s">
        <v>3998</v>
      </c>
      <c r="BP210" t="s">
        <v>3999</v>
      </c>
      <c r="BQ210" t="s">
        <v>3362</v>
      </c>
      <c r="BS210" t="s">
        <v>22692</v>
      </c>
      <c r="BT210" t="s">
        <v>22693</v>
      </c>
      <c r="BU210" t="s">
        <v>354</v>
      </c>
      <c r="BV210" t="s">
        <v>22694</v>
      </c>
      <c r="BW210" t="s">
        <v>22695</v>
      </c>
      <c r="BX210" t="s">
        <v>22696</v>
      </c>
      <c r="BY210" t="s">
        <v>22697</v>
      </c>
      <c r="BZ210" t="s">
        <v>22694</v>
      </c>
      <c r="CA210" t="s">
        <v>22695</v>
      </c>
      <c r="CB210" t="s">
        <v>22697</v>
      </c>
      <c r="CC210" t="s">
        <v>22694</v>
      </c>
      <c r="CD210" t="s">
        <v>22695</v>
      </c>
      <c r="CE210" t="s">
        <v>3474</v>
      </c>
      <c r="CF210" t="s">
        <v>22698</v>
      </c>
      <c r="CH210" t="s">
        <v>22699</v>
      </c>
      <c r="CI210" t="s">
        <v>22698</v>
      </c>
      <c r="CJ210" t="s">
        <v>22687</v>
      </c>
      <c r="CK210" t="s">
        <v>285</v>
      </c>
      <c r="CL210" t="s">
        <v>22699</v>
      </c>
      <c r="CN210" t="s">
        <v>22700</v>
      </c>
      <c r="CO210" t="s">
        <v>22700</v>
      </c>
    </row>
    <row r="211" spans="1:93">
      <c r="A211" t="s">
        <v>337</v>
      </c>
      <c r="B211">
        <v>3998514</v>
      </c>
      <c r="C211" t="s">
        <v>23557</v>
      </c>
      <c r="D211" t="s">
        <v>21661</v>
      </c>
      <c r="E211" t="s">
        <v>13245</v>
      </c>
      <c r="F211" t="s">
        <v>97</v>
      </c>
      <c r="G211" t="s">
        <v>98</v>
      </c>
      <c r="H211" t="s">
        <v>23558</v>
      </c>
      <c r="I211" t="s">
        <v>100</v>
      </c>
      <c r="J211">
        <v>629910</v>
      </c>
      <c r="K211">
        <v>629910</v>
      </c>
      <c r="L211">
        <v>629910</v>
      </c>
      <c r="M211">
        <v>900</v>
      </c>
      <c r="N211" t="s">
        <v>799</v>
      </c>
      <c r="O211">
        <v>0</v>
      </c>
      <c r="P211">
        <v>0</v>
      </c>
      <c r="R211">
        <v>0</v>
      </c>
      <c r="S211">
        <v>0</v>
      </c>
      <c r="U211" t="s">
        <v>102</v>
      </c>
      <c r="V211" t="s">
        <v>103</v>
      </c>
      <c r="W211" t="s">
        <v>155</v>
      </c>
      <c r="Y211" t="s">
        <v>12435</v>
      </c>
      <c r="Z211" t="s">
        <v>23559</v>
      </c>
      <c r="AA211" t="s">
        <v>12720</v>
      </c>
      <c r="AB211" t="s">
        <v>23559</v>
      </c>
      <c r="AC211" t="s">
        <v>22119</v>
      </c>
      <c r="AD211" t="s">
        <v>23559</v>
      </c>
      <c r="AE211" t="s">
        <v>21687</v>
      </c>
      <c r="AF211" t="s">
        <v>23559</v>
      </c>
      <c r="AG211" t="s">
        <v>102</v>
      </c>
      <c r="AH211" t="s">
        <v>13131</v>
      </c>
      <c r="AI211" t="s">
        <v>13131</v>
      </c>
      <c r="AJ211" t="s">
        <v>102</v>
      </c>
      <c r="AK211" t="s">
        <v>2555</v>
      </c>
      <c r="AL211" t="s">
        <v>22120</v>
      </c>
      <c r="AM211" t="s">
        <v>10612</v>
      </c>
      <c r="AN211" t="s">
        <v>10612</v>
      </c>
      <c r="AS211" t="s">
        <v>318</v>
      </c>
      <c r="AT211" t="s">
        <v>118</v>
      </c>
      <c r="AU211" t="s">
        <v>102</v>
      </c>
      <c r="AV211" t="s">
        <v>119</v>
      </c>
      <c r="AZ211" t="s">
        <v>120</v>
      </c>
      <c r="BA211" t="s">
        <v>12104</v>
      </c>
      <c r="BB211" t="s">
        <v>1208</v>
      </c>
      <c r="BC211" t="s">
        <v>174</v>
      </c>
      <c r="BD211" t="s">
        <v>1172</v>
      </c>
      <c r="BE211" t="s">
        <v>124</v>
      </c>
      <c r="BF211" t="s">
        <v>12250</v>
      </c>
      <c r="BG211" t="s">
        <v>21667</v>
      </c>
      <c r="BH211" t="s">
        <v>127</v>
      </c>
      <c r="BI211" t="s">
        <v>23560</v>
      </c>
      <c r="BJ211" t="s">
        <v>23561</v>
      </c>
      <c r="BK211" t="s">
        <v>23562</v>
      </c>
      <c r="BL211" t="s">
        <v>13245</v>
      </c>
      <c r="BM211" t="s">
        <v>7512</v>
      </c>
      <c r="BN211" t="s">
        <v>180</v>
      </c>
      <c r="BO211" t="s">
        <v>7513</v>
      </c>
      <c r="BP211" t="s">
        <v>7514</v>
      </c>
      <c r="BQ211" t="s">
        <v>7515</v>
      </c>
      <c r="BS211" t="s">
        <v>23563</v>
      </c>
      <c r="BT211" t="s">
        <v>23564</v>
      </c>
      <c r="BU211" t="s">
        <v>138</v>
      </c>
      <c r="BV211" t="s">
        <v>23565</v>
      </c>
      <c r="BW211" t="s">
        <v>23566</v>
      </c>
      <c r="BX211" t="s">
        <v>23565</v>
      </c>
      <c r="BY211" t="s">
        <v>23564</v>
      </c>
      <c r="BZ211" t="s">
        <v>23565</v>
      </c>
      <c r="CA211" t="s">
        <v>23566</v>
      </c>
      <c r="CB211" t="s">
        <v>23564</v>
      </c>
      <c r="CC211" t="s">
        <v>23565</v>
      </c>
      <c r="CD211" t="s">
        <v>23566</v>
      </c>
      <c r="CE211" t="s">
        <v>20469</v>
      </c>
      <c r="CF211" t="s">
        <v>23567</v>
      </c>
      <c r="CH211" t="s">
        <v>23568</v>
      </c>
      <c r="CI211" t="s">
        <v>23569</v>
      </c>
      <c r="CJ211" t="s">
        <v>12104</v>
      </c>
      <c r="CK211" t="s">
        <v>1208</v>
      </c>
      <c r="CL211" t="s">
        <v>23568</v>
      </c>
      <c r="CN211" t="s">
        <v>23570</v>
      </c>
      <c r="CO211" t="s">
        <v>23570</v>
      </c>
    </row>
    <row r="212" spans="1:93">
      <c r="A212" t="s">
        <v>337</v>
      </c>
      <c r="B212">
        <v>3999434</v>
      </c>
      <c r="C212" t="s">
        <v>22701</v>
      </c>
      <c r="D212" t="s">
        <v>21661</v>
      </c>
      <c r="E212" t="s">
        <v>12859</v>
      </c>
      <c r="F212" t="s">
        <v>152</v>
      </c>
      <c r="G212" t="s">
        <v>98</v>
      </c>
      <c r="H212" t="s">
        <v>22702</v>
      </c>
      <c r="I212" t="s">
        <v>100</v>
      </c>
      <c r="J212">
        <v>595003</v>
      </c>
      <c r="K212">
        <v>595003</v>
      </c>
      <c r="L212">
        <v>0</v>
      </c>
      <c r="M212">
        <v>0</v>
      </c>
      <c r="O212">
        <v>595003</v>
      </c>
      <c r="P212">
        <v>700</v>
      </c>
      <c r="Q212" t="s">
        <v>2105</v>
      </c>
      <c r="R212">
        <v>0</v>
      </c>
      <c r="S212">
        <v>0</v>
      </c>
      <c r="U212" t="s">
        <v>102</v>
      </c>
      <c r="V212" t="s">
        <v>103</v>
      </c>
      <c r="W212" t="s">
        <v>398</v>
      </c>
      <c r="Y212" t="s">
        <v>12859</v>
      </c>
      <c r="Z212" t="s">
        <v>22703</v>
      </c>
      <c r="AA212" t="s">
        <v>22704</v>
      </c>
      <c r="AB212" t="s">
        <v>22703</v>
      </c>
      <c r="AC212" t="s">
        <v>22705</v>
      </c>
      <c r="AD212" t="s">
        <v>22706</v>
      </c>
      <c r="AE212" t="s">
        <v>109</v>
      </c>
      <c r="AF212" t="s">
        <v>102</v>
      </c>
      <c r="AG212" t="s">
        <v>102</v>
      </c>
      <c r="AH212" t="s">
        <v>14623</v>
      </c>
      <c r="AI212" t="s">
        <v>14623</v>
      </c>
      <c r="AJ212" t="s">
        <v>22703</v>
      </c>
      <c r="AK212" t="s">
        <v>22703</v>
      </c>
      <c r="AL212" t="s">
        <v>102</v>
      </c>
      <c r="AM212" t="s">
        <v>22707</v>
      </c>
      <c r="AN212" t="s">
        <v>22707</v>
      </c>
      <c r="AS212" t="s">
        <v>102</v>
      </c>
      <c r="AU212" t="s">
        <v>102</v>
      </c>
      <c r="AV212" t="s">
        <v>119</v>
      </c>
      <c r="AW212" t="s">
        <v>170</v>
      </c>
      <c r="AX212" t="s">
        <v>118</v>
      </c>
      <c r="AZ212" t="s">
        <v>120</v>
      </c>
      <c r="BA212" t="s">
        <v>555</v>
      </c>
      <c r="BB212" t="s">
        <v>556</v>
      </c>
      <c r="BC212" t="s">
        <v>122</v>
      </c>
      <c r="BD212" t="s">
        <v>557</v>
      </c>
      <c r="BE212" t="s">
        <v>124</v>
      </c>
      <c r="BF212" t="s">
        <v>12250</v>
      </c>
      <c r="BG212" t="s">
        <v>21667</v>
      </c>
      <c r="BH212" t="s">
        <v>127</v>
      </c>
      <c r="BI212" t="s">
        <v>22708</v>
      </c>
      <c r="BJ212" t="s">
        <v>22709</v>
      </c>
      <c r="BK212" t="s">
        <v>22710</v>
      </c>
      <c r="BL212" t="s">
        <v>12859</v>
      </c>
      <c r="BM212" t="s">
        <v>563</v>
      </c>
      <c r="BN212" t="s">
        <v>180</v>
      </c>
      <c r="BO212" t="s">
        <v>564</v>
      </c>
      <c r="BP212" t="s">
        <v>565</v>
      </c>
      <c r="BQ212" t="s">
        <v>563</v>
      </c>
      <c r="BS212" t="s">
        <v>22711</v>
      </c>
      <c r="BT212" t="s">
        <v>22712</v>
      </c>
      <c r="BU212" t="s">
        <v>354</v>
      </c>
      <c r="BV212" t="s">
        <v>22713</v>
      </c>
      <c r="BW212" t="s">
        <v>22714</v>
      </c>
      <c r="BX212" t="s">
        <v>22715</v>
      </c>
      <c r="BY212" t="s">
        <v>22716</v>
      </c>
      <c r="BZ212" t="s">
        <v>22717</v>
      </c>
      <c r="CA212" t="s">
        <v>22718</v>
      </c>
      <c r="CB212" t="s">
        <v>22719</v>
      </c>
      <c r="CC212" t="s">
        <v>22715</v>
      </c>
      <c r="CD212" t="s">
        <v>22720</v>
      </c>
      <c r="CE212" t="s">
        <v>1594</v>
      </c>
      <c r="CF212" t="s">
        <v>22721</v>
      </c>
      <c r="CH212" t="s">
        <v>2447</v>
      </c>
      <c r="CI212" t="s">
        <v>22722</v>
      </c>
      <c r="CJ212" t="s">
        <v>555</v>
      </c>
      <c r="CK212" t="s">
        <v>556</v>
      </c>
      <c r="CL212" t="s">
        <v>2447</v>
      </c>
      <c r="CN212" t="s">
        <v>22723</v>
      </c>
      <c r="CO212" t="s">
        <v>22723</v>
      </c>
    </row>
    <row r="213" spans="1:93" hidden="1">
      <c r="A213" t="s">
        <v>149</v>
      </c>
      <c r="B213">
        <v>3999496</v>
      </c>
      <c r="C213" t="s">
        <v>8465</v>
      </c>
      <c r="D213" t="s">
        <v>21661</v>
      </c>
      <c r="E213" t="s">
        <v>23689</v>
      </c>
      <c r="F213" t="s">
        <v>2044</v>
      </c>
      <c r="G213" t="s">
        <v>98</v>
      </c>
      <c r="H213" t="s">
        <v>23855</v>
      </c>
      <c r="I213" t="s">
        <v>100</v>
      </c>
      <c r="J213">
        <v>614439</v>
      </c>
      <c r="K213">
        <v>614439</v>
      </c>
      <c r="L213">
        <v>224795</v>
      </c>
      <c r="M213">
        <v>492</v>
      </c>
      <c r="N213" t="s">
        <v>17843</v>
      </c>
      <c r="O213">
        <v>389644</v>
      </c>
      <c r="P213">
        <v>492</v>
      </c>
      <c r="Q213" t="s">
        <v>13887</v>
      </c>
      <c r="R213">
        <v>0</v>
      </c>
      <c r="S213">
        <v>0</v>
      </c>
      <c r="U213" t="s">
        <v>102</v>
      </c>
      <c r="V213" t="s">
        <v>103</v>
      </c>
      <c r="W213" t="s">
        <v>155</v>
      </c>
      <c r="Y213" t="s">
        <v>21805</v>
      </c>
      <c r="Z213" t="s">
        <v>23856</v>
      </c>
      <c r="AA213" t="s">
        <v>21664</v>
      </c>
      <c r="AB213" t="s">
        <v>23856</v>
      </c>
      <c r="AC213" t="s">
        <v>21762</v>
      </c>
      <c r="AD213" t="s">
        <v>23856</v>
      </c>
      <c r="AE213" t="s">
        <v>21710</v>
      </c>
      <c r="AF213" t="s">
        <v>23856</v>
      </c>
      <c r="AG213" t="s">
        <v>102</v>
      </c>
      <c r="AJ213" t="s">
        <v>102</v>
      </c>
      <c r="AK213" t="s">
        <v>102</v>
      </c>
      <c r="AL213" t="s">
        <v>102</v>
      </c>
      <c r="AM213" t="s">
        <v>23857</v>
      </c>
      <c r="AN213" t="s">
        <v>23858</v>
      </c>
      <c r="AQ213" t="s">
        <v>169</v>
      </c>
      <c r="AR213" t="s">
        <v>169</v>
      </c>
      <c r="AS213" t="s">
        <v>318</v>
      </c>
      <c r="AT213" t="s">
        <v>118</v>
      </c>
      <c r="AU213" t="s">
        <v>155</v>
      </c>
      <c r="AV213" t="s">
        <v>447</v>
      </c>
      <c r="AW213" t="s">
        <v>170</v>
      </c>
      <c r="AX213" t="s">
        <v>118</v>
      </c>
      <c r="AZ213" t="s">
        <v>120</v>
      </c>
      <c r="BA213" t="s">
        <v>4644</v>
      </c>
      <c r="BB213" t="s">
        <v>320</v>
      </c>
      <c r="BC213" t="s">
        <v>122</v>
      </c>
      <c r="BD213" t="s">
        <v>123</v>
      </c>
      <c r="BE213" t="s">
        <v>124</v>
      </c>
      <c r="BF213" t="s">
        <v>12250</v>
      </c>
      <c r="BG213" t="s">
        <v>21667</v>
      </c>
      <c r="BH213" t="s">
        <v>127</v>
      </c>
      <c r="BI213" t="s">
        <v>23859</v>
      </c>
      <c r="BJ213" t="s">
        <v>8475</v>
      </c>
      <c r="BK213" t="s">
        <v>23860</v>
      </c>
      <c r="BL213" t="s">
        <v>23689</v>
      </c>
      <c r="BM213" t="s">
        <v>18467</v>
      </c>
      <c r="BN213" t="s">
        <v>350</v>
      </c>
      <c r="BO213" t="s">
        <v>18468</v>
      </c>
      <c r="BP213" t="s">
        <v>18469</v>
      </c>
      <c r="BQ213" t="s">
        <v>261</v>
      </c>
      <c r="BS213" t="s">
        <v>23861</v>
      </c>
      <c r="BT213" t="s">
        <v>8478</v>
      </c>
      <c r="BU213" t="s">
        <v>354</v>
      </c>
      <c r="BV213" t="s">
        <v>8479</v>
      </c>
      <c r="BW213" t="s">
        <v>8480</v>
      </c>
      <c r="BX213" t="s">
        <v>8481</v>
      </c>
      <c r="BY213" t="s">
        <v>8478</v>
      </c>
      <c r="BZ213" t="s">
        <v>8479</v>
      </c>
      <c r="CA213" t="s">
        <v>8480</v>
      </c>
      <c r="CB213" t="s">
        <v>23862</v>
      </c>
      <c r="CC213" t="s">
        <v>23863</v>
      </c>
      <c r="CD213" t="s">
        <v>23864</v>
      </c>
      <c r="CE213" t="s">
        <v>102</v>
      </c>
      <c r="CF213" t="s">
        <v>8482</v>
      </c>
      <c r="CH213" t="s">
        <v>4655</v>
      </c>
      <c r="CJ213" t="s">
        <v>4644</v>
      </c>
      <c r="CK213" t="s">
        <v>320</v>
      </c>
      <c r="CL213" t="s">
        <v>4655</v>
      </c>
      <c r="CN213" t="s">
        <v>8482</v>
      </c>
      <c r="CO213" t="s">
        <v>8482</v>
      </c>
    </row>
    <row r="214" spans="1:93" hidden="1">
      <c r="A214" t="s">
        <v>149</v>
      </c>
      <c r="B214">
        <v>3999846</v>
      </c>
      <c r="C214" t="s">
        <v>8501</v>
      </c>
      <c r="D214" t="s">
        <v>21661</v>
      </c>
      <c r="E214" t="s">
        <v>25301</v>
      </c>
      <c r="F214" t="s">
        <v>97</v>
      </c>
      <c r="G214" t="s">
        <v>98</v>
      </c>
      <c r="H214" t="s">
        <v>26179</v>
      </c>
      <c r="I214" t="s">
        <v>100</v>
      </c>
      <c r="J214">
        <v>452250</v>
      </c>
      <c r="K214">
        <v>452250</v>
      </c>
      <c r="L214">
        <v>452250</v>
      </c>
      <c r="M214">
        <v>603</v>
      </c>
      <c r="N214" t="s">
        <v>101</v>
      </c>
      <c r="O214">
        <v>0</v>
      </c>
      <c r="P214">
        <v>0</v>
      </c>
      <c r="R214">
        <v>0</v>
      </c>
      <c r="S214">
        <v>0</v>
      </c>
      <c r="U214" t="s">
        <v>102</v>
      </c>
      <c r="V214" t="s">
        <v>103</v>
      </c>
      <c r="W214" t="s">
        <v>104</v>
      </c>
      <c r="Y214" t="s">
        <v>26180</v>
      </c>
      <c r="Z214" t="s">
        <v>26181</v>
      </c>
      <c r="AA214" t="s">
        <v>21710</v>
      </c>
      <c r="AB214" t="s">
        <v>26181</v>
      </c>
      <c r="AC214" t="s">
        <v>109</v>
      </c>
      <c r="AD214" t="s">
        <v>102</v>
      </c>
      <c r="AE214" t="s">
        <v>109</v>
      </c>
      <c r="AF214" t="s">
        <v>102</v>
      </c>
      <c r="AG214" t="s">
        <v>102</v>
      </c>
      <c r="AJ214" t="s">
        <v>102</v>
      </c>
      <c r="AK214" t="s">
        <v>102</v>
      </c>
      <c r="AL214" t="s">
        <v>102</v>
      </c>
      <c r="AM214" t="s">
        <v>116</v>
      </c>
      <c r="AN214" t="s">
        <v>950</v>
      </c>
      <c r="AO214" t="s">
        <v>102</v>
      </c>
      <c r="AP214" t="s">
        <v>102</v>
      </c>
      <c r="AQ214" t="s">
        <v>102</v>
      </c>
      <c r="AR214" t="s">
        <v>102</v>
      </c>
      <c r="AS214" t="s">
        <v>117</v>
      </c>
      <c r="AT214" t="s">
        <v>118</v>
      </c>
      <c r="AU214" t="s">
        <v>102</v>
      </c>
      <c r="AV214" t="s">
        <v>119</v>
      </c>
      <c r="AZ214" t="s">
        <v>120</v>
      </c>
      <c r="BA214" t="s">
        <v>8509</v>
      </c>
      <c r="BB214" t="s">
        <v>410</v>
      </c>
      <c r="BC214" t="s">
        <v>212</v>
      </c>
      <c r="BD214" t="s">
        <v>410</v>
      </c>
      <c r="BE214" t="s">
        <v>124</v>
      </c>
      <c r="BF214" t="s">
        <v>21857</v>
      </c>
      <c r="BG214" t="s">
        <v>21667</v>
      </c>
      <c r="BH214" t="s">
        <v>127</v>
      </c>
      <c r="BI214" t="s">
        <v>26182</v>
      </c>
      <c r="BJ214" t="s">
        <v>8511</v>
      </c>
      <c r="BK214" t="s">
        <v>26183</v>
      </c>
      <c r="BL214" t="s">
        <v>25301</v>
      </c>
      <c r="BM214" t="s">
        <v>866</v>
      </c>
      <c r="BN214" t="s">
        <v>132</v>
      </c>
      <c r="BO214" t="s">
        <v>867</v>
      </c>
      <c r="BP214" t="s">
        <v>868</v>
      </c>
      <c r="BQ214" t="s">
        <v>1702</v>
      </c>
      <c r="BS214" t="s">
        <v>26184</v>
      </c>
      <c r="BT214" t="s">
        <v>17864</v>
      </c>
      <c r="BU214" t="s">
        <v>138</v>
      </c>
      <c r="BV214" t="s">
        <v>26185</v>
      </c>
      <c r="BW214" t="s">
        <v>8516</v>
      </c>
      <c r="BX214" t="s">
        <v>8517</v>
      </c>
      <c r="BY214" t="s">
        <v>17864</v>
      </c>
      <c r="BZ214" t="s">
        <v>26185</v>
      </c>
      <c r="CA214" t="s">
        <v>8516</v>
      </c>
      <c r="CB214" t="s">
        <v>26186</v>
      </c>
      <c r="CC214" t="s">
        <v>26187</v>
      </c>
      <c r="CD214" t="s">
        <v>8516</v>
      </c>
      <c r="CE214" t="s">
        <v>3968</v>
      </c>
      <c r="CF214" t="s">
        <v>8518</v>
      </c>
      <c r="CH214" t="s">
        <v>8519</v>
      </c>
      <c r="CI214" t="s">
        <v>17870</v>
      </c>
      <c r="CJ214" t="s">
        <v>8509</v>
      </c>
      <c r="CK214" t="s">
        <v>410</v>
      </c>
      <c r="CL214" t="s">
        <v>8519</v>
      </c>
      <c r="CM214" t="s">
        <v>8520</v>
      </c>
      <c r="CN214" t="s">
        <v>8518</v>
      </c>
      <c r="CO214" t="s">
        <v>8518</v>
      </c>
    </row>
    <row r="215" spans="1:93" hidden="1">
      <c r="A215" t="s">
        <v>149</v>
      </c>
      <c r="B215">
        <v>4002148</v>
      </c>
      <c r="C215" t="s">
        <v>8549</v>
      </c>
      <c r="D215" t="s">
        <v>21661</v>
      </c>
      <c r="E215" t="s">
        <v>22724</v>
      </c>
      <c r="F215" t="s">
        <v>675</v>
      </c>
      <c r="G215" t="s">
        <v>98</v>
      </c>
      <c r="H215" t="s">
        <v>22725</v>
      </c>
      <c r="I215" t="s">
        <v>100</v>
      </c>
      <c r="J215">
        <v>992909</v>
      </c>
      <c r="K215">
        <v>992909</v>
      </c>
      <c r="L215">
        <v>338052</v>
      </c>
      <c r="M215">
        <v>483</v>
      </c>
      <c r="N215" t="s">
        <v>799</v>
      </c>
      <c r="O215">
        <v>654857</v>
      </c>
      <c r="P215">
        <v>453</v>
      </c>
      <c r="Q215" t="s">
        <v>22726</v>
      </c>
      <c r="R215">
        <v>0</v>
      </c>
      <c r="S215">
        <v>0</v>
      </c>
      <c r="U215" t="s">
        <v>102</v>
      </c>
      <c r="V215" t="s">
        <v>103</v>
      </c>
      <c r="W215" t="s">
        <v>801</v>
      </c>
      <c r="Y215" t="s">
        <v>22727</v>
      </c>
      <c r="Z215" t="s">
        <v>22728</v>
      </c>
      <c r="AA215" t="s">
        <v>22729</v>
      </c>
      <c r="AB215" t="s">
        <v>22730</v>
      </c>
      <c r="AC215" t="s">
        <v>22731</v>
      </c>
      <c r="AD215" t="s">
        <v>22732</v>
      </c>
      <c r="AE215" t="s">
        <v>21742</v>
      </c>
      <c r="AF215" t="s">
        <v>22732</v>
      </c>
      <c r="AG215" t="s">
        <v>102</v>
      </c>
      <c r="AJ215" t="s">
        <v>22732</v>
      </c>
      <c r="AK215" t="s">
        <v>102</v>
      </c>
      <c r="AL215" t="s">
        <v>22732</v>
      </c>
      <c r="AM215" t="s">
        <v>22733</v>
      </c>
      <c r="AN215" t="s">
        <v>22733</v>
      </c>
      <c r="AS215" t="s">
        <v>207</v>
      </c>
      <c r="AT215" t="s">
        <v>118</v>
      </c>
      <c r="AU215" t="s">
        <v>655</v>
      </c>
      <c r="AV215" t="s">
        <v>119</v>
      </c>
      <c r="AW215" t="s">
        <v>170</v>
      </c>
      <c r="AX215" t="s">
        <v>118</v>
      </c>
      <c r="AZ215" t="s">
        <v>120</v>
      </c>
      <c r="BA215" t="s">
        <v>1036</v>
      </c>
      <c r="BB215" t="s">
        <v>173</v>
      </c>
      <c r="BC215" t="s">
        <v>174</v>
      </c>
      <c r="BD215" t="s">
        <v>173</v>
      </c>
      <c r="BE215" t="s">
        <v>124</v>
      </c>
      <c r="BF215" t="s">
        <v>21790</v>
      </c>
      <c r="BG215" t="s">
        <v>21667</v>
      </c>
      <c r="BH215" t="s">
        <v>127</v>
      </c>
      <c r="BI215" t="s">
        <v>22734</v>
      </c>
      <c r="BJ215" t="s">
        <v>8564</v>
      </c>
      <c r="BK215" t="s">
        <v>22735</v>
      </c>
      <c r="BL215" t="s">
        <v>22724</v>
      </c>
      <c r="BM215" t="s">
        <v>12557</v>
      </c>
      <c r="BN215" t="s">
        <v>180</v>
      </c>
      <c r="BO215" t="s">
        <v>12558</v>
      </c>
      <c r="BP215" t="s">
        <v>12559</v>
      </c>
      <c r="BQ215" t="s">
        <v>183</v>
      </c>
      <c r="BS215" t="s">
        <v>22736</v>
      </c>
      <c r="BT215" t="s">
        <v>17951</v>
      </c>
      <c r="BU215" t="s">
        <v>138</v>
      </c>
      <c r="BV215" t="s">
        <v>17952</v>
      </c>
      <c r="BW215" t="s">
        <v>17953</v>
      </c>
      <c r="BX215" t="s">
        <v>8568</v>
      </c>
      <c r="BY215" t="s">
        <v>17951</v>
      </c>
      <c r="BZ215" t="s">
        <v>17952</v>
      </c>
      <c r="CA215" t="s">
        <v>22737</v>
      </c>
      <c r="CB215" t="s">
        <v>22738</v>
      </c>
      <c r="CC215" t="s">
        <v>22739</v>
      </c>
      <c r="CD215" t="s">
        <v>22740</v>
      </c>
      <c r="CE215" t="s">
        <v>102</v>
      </c>
      <c r="CF215" t="s">
        <v>17956</v>
      </c>
      <c r="CH215" t="s">
        <v>8571</v>
      </c>
      <c r="CI215" t="s">
        <v>17956</v>
      </c>
      <c r="CJ215" t="s">
        <v>1036</v>
      </c>
      <c r="CK215" t="s">
        <v>173</v>
      </c>
      <c r="CL215" t="s">
        <v>8571</v>
      </c>
      <c r="CM215" t="s">
        <v>8572</v>
      </c>
      <c r="CN215" t="s">
        <v>8570</v>
      </c>
      <c r="CO215" t="s">
        <v>8570</v>
      </c>
    </row>
    <row r="216" spans="1:93">
      <c r="A216" t="s">
        <v>337</v>
      </c>
      <c r="B216">
        <v>4041890</v>
      </c>
      <c r="C216" t="s">
        <v>17994</v>
      </c>
      <c r="D216" t="s">
        <v>21661</v>
      </c>
      <c r="E216" t="s">
        <v>22741</v>
      </c>
      <c r="F216" t="s">
        <v>193</v>
      </c>
      <c r="G216" t="s">
        <v>98</v>
      </c>
      <c r="H216" t="s">
        <v>22742</v>
      </c>
      <c r="I216" t="s">
        <v>100</v>
      </c>
      <c r="J216">
        <v>3250816</v>
      </c>
      <c r="K216">
        <v>3691945</v>
      </c>
      <c r="L216">
        <v>800100</v>
      </c>
      <c r="M216">
        <v>889</v>
      </c>
      <c r="N216" t="s">
        <v>2451</v>
      </c>
      <c r="O216">
        <v>0</v>
      </c>
      <c r="P216">
        <v>0</v>
      </c>
      <c r="R216">
        <v>2450716</v>
      </c>
      <c r="S216">
        <v>1137</v>
      </c>
      <c r="T216" t="s">
        <v>21961</v>
      </c>
      <c r="U216" t="s">
        <v>102</v>
      </c>
      <c r="V216" t="s">
        <v>679</v>
      </c>
      <c r="W216" t="s">
        <v>801</v>
      </c>
      <c r="X216" t="s">
        <v>21962</v>
      </c>
      <c r="Y216" t="s">
        <v>21963</v>
      </c>
      <c r="Z216" t="s">
        <v>22743</v>
      </c>
      <c r="AA216" t="s">
        <v>21965</v>
      </c>
      <c r="AB216" t="s">
        <v>22743</v>
      </c>
      <c r="AC216" t="s">
        <v>21966</v>
      </c>
      <c r="AD216" t="s">
        <v>22744</v>
      </c>
      <c r="AE216" t="s">
        <v>21968</v>
      </c>
      <c r="AF216" t="s">
        <v>22744</v>
      </c>
      <c r="AG216" t="s">
        <v>102</v>
      </c>
      <c r="AH216" t="s">
        <v>22571</v>
      </c>
      <c r="AI216" t="s">
        <v>22571</v>
      </c>
      <c r="AJ216" t="s">
        <v>22744</v>
      </c>
      <c r="AK216" t="s">
        <v>102</v>
      </c>
      <c r="AL216" t="s">
        <v>22744</v>
      </c>
      <c r="AM216" t="s">
        <v>21969</v>
      </c>
      <c r="AN216" t="s">
        <v>21969</v>
      </c>
      <c r="AS216" t="s">
        <v>207</v>
      </c>
      <c r="AT216" t="s">
        <v>118</v>
      </c>
      <c r="AU216" t="s">
        <v>102</v>
      </c>
      <c r="AV216" t="s">
        <v>119</v>
      </c>
      <c r="AY216" t="s">
        <v>250</v>
      </c>
      <c r="AZ216" t="s">
        <v>120</v>
      </c>
      <c r="BA216" t="s">
        <v>1036</v>
      </c>
      <c r="BB216" t="s">
        <v>173</v>
      </c>
      <c r="BC216" t="s">
        <v>174</v>
      </c>
      <c r="BD216" t="s">
        <v>173</v>
      </c>
      <c r="BE216" t="s">
        <v>124</v>
      </c>
      <c r="BF216" t="s">
        <v>12250</v>
      </c>
      <c r="BG216" t="s">
        <v>21667</v>
      </c>
      <c r="BH216" t="s">
        <v>127</v>
      </c>
      <c r="BI216" t="s">
        <v>22745</v>
      </c>
      <c r="BJ216" t="s">
        <v>18000</v>
      </c>
      <c r="BK216" t="s">
        <v>22746</v>
      </c>
      <c r="BL216" t="s">
        <v>22741</v>
      </c>
      <c r="BM216" t="s">
        <v>8447</v>
      </c>
      <c r="BN216" t="s">
        <v>180</v>
      </c>
      <c r="BO216" t="s">
        <v>8448</v>
      </c>
      <c r="BP216" t="s">
        <v>8449</v>
      </c>
      <c r="BQ216" t="s">
        <v>8450</v>
      </c>
      <c r="BS216" t="s">
        <v>22747</v>
      </c>
      <c r="BT216" t="s">
        <v>22748</v>
      </c>
      <c r="BU216" t="s">
        <v>16620</v>
      </c>
      <c r="BV216" t="s">
        <v>19353</v>
      </c>
      <c r="BW216" t="s">
        <v>22749</v>
      </c>
      <c r="BX216" t="s">
        <v>18004</v>
      </c>
      <c r="BY216" t="s">
        <v>18005</v>
      </c>
      <c r="BZ216" t="s">
        <v>18004</v>
      </c>
      <c r="CA216" t="s">
        <v>18006</v>
      </c>
      <c r="CB216" t="s">
        <v>22750</v>
      </c>
      <c r="CC216" t="s">
        <v>22751</v>
      </c>
      <c r="CD216" t="s">
        <v>22752</v>
      </c>
      <c r="CE216" t="s">
        <v>8526</v>
      </c>
      <c r="CF216" t="s">
        <v>18007</v>
      </c>
      <c r="CH216" t="s">
        <v>18008</v>
      </c>
      <c r="CI216" t="s">
        <v>18009</v>
      </c>
      <c r="CJ216" t="s">
        <v>1036</v>
      </c>
      <c r="CK216" t="s">
        <v>173</v>
      </c>
      <c r="CL216" t="s">
        <v>18008</v>
      </c>
      <c r="CN216" t="s">
        <v>18010</v>
      </c>
      <c r="CO216" t="s">
        <v>18010</v>
      </c>
    </row>
    <row r="217" spans="1:93" hidden="1">
      <c r="A217" t="s">
        <v>149</v>
      </c>
      <c r="B217">
        <v>4050265</v>
      </c>
      <c r="C217" t="s">
        <v>8635</v>
      </c>
      <c r="D217" t="s">
        <v>21661</v>
      </c>
      <c r="E217" t="s">
        <v>25914</v>
      </c>
      <c r="F217" t="s">
        <v>152</v>
      </c>
      <c r="G217" t="s">
        <v>98</v>
      </c>
      <c r="H217" t="s">
        <v>26511</v>
      </c>
      <c r="I217" t="s">
        <v>100</v>
      </c>
      <c r="J217">
        <v>413965</v>
      </c>
      <c r="K217">
        <v>413965</v>
      </c>
      <c r="L217">
        <v>0</v>
      </c>
      <c r="M217">
        <v>0</v>
      </c>
      <c r="O217">
        <v>413965</v>
      </c>
      <c r="P217">
        <v>460</v>
      </c>
      <c r="Q217" t="s">
        <v>2451</v>
      </c>
      <c r="R217">
        <v>0</v>
      </c>
      <c r="S217">
        <v>0</v>
      </c>
      <c r="U217" t="s">
        <v>102</v>
      </c>
      <c r="V217" t="s">
        <v>103</v>
      </c>
      <c r="W217" t="s">
        <v>104</v>
      </c>
      <c r="Y217" t="s">
        <v>22526</v>
      </c>
      <c r="Z217" t="s">
        <v>26512</v>
      </c>
      <c r="AA217" t="s">
        <v>21687</v>
      </c>
      <c r="AB217" t="s">
        <v>26512</v>
      </c>
      <c r="AC217" t="s">
        <v>109</v>
      </c>
      <c r="AD217" t="s">
        <v>102</v>
      </c>
      <c r="AE217" t="s">
        <v>109</v>
      </c>
      <c r="AF217" t="s">
        <v>102</v>
      </c>
      <c r="AG217" t="s">
        <v>102</v>
      </c>
      <c r="AJ217" t="s">
        <v>102</v>
      </c>
      <c r="AK217" t="s">
        <v>102</v>
      </c>
      <c r="AL217" t="s">
        <v>102</v>
      </c>
      <c r="AM217" t="s">
        <v>5552</v>
      </c>
      <c r="AN217" t="s">
        <v>5552</v>
      </c>
      <c r="AS217" t="s">
        <v>102</v>
      </c>
      <c r="AU217" t="s">
        <v>102</v>
      </c>
      <c r="AV217" t="s">
        <v>447</v>
      </c>
      <c r="AW217" t="s">
        <v>170</v>
      </c>
      <c r="AX217" t="s">
        <v>118</v>
      </c>
      <c r="AZ217" t="s">
        <v>8636</v>
      </c>
      <c r="BA217" t="s">
        <v>8637</v>
      </c>
      <c r="BB217" t="s">
        <v>730</v>
      </c>
      <c r="BC217" t="s">
        <v>622</v>
      </c>
      <c r="BD217" t="s">
        <v>730</v>
      </c>
      <c r="BE217" t="s">
        <v>124</v>
      </c>
      <c r="BF217" t="s">
        <v>12250</v>
      </c>
      <c r="BG217" t="s">
        <v>21667</v>
      </c>
      <c r="BH217" t="s">
        <v>127</v>
      </c>
      <c r="BI217" t="s">
        <v>26513</v>
      </c>
      <c r="BJ217" t="s">
        <v>8638</v>
      </c>
      <c r="BK217" t="s">
        <v>26514</v>
      </c>
      <c r="BL217" t="s">
        <v>25914</v>
      </c>
      <c r="BM217" t="s">
        <v>22240</v>
      </c>
      <c r="BN217" t="s">
        <v>350</v>
      </c>
      <c r="BO217" t="s">
        <v>22241</v>
      </c>
      <c r="BP217" t="s">
        <v>22242</v>
      </c>
      <c r="BQ217" t="s">
        <v>2331</v>
      </c>
      <c r="BS217" t="s">
        <v>26515</v>
      </c>
      <c r="BT217" t="s">
        <v>26516</v>
      </c>
      <c r="BU217" t="s">
        <v>354</v>
      </c>
      <c r="BV217" t="s">
        <v>26517</v>
      </c>
      <c r="BW217" t="s">
        <v>26518</v>
      </c>
      <c r="BX217" t="s">
        <v>8642</v>
      </c>
      <c r="BY217" t="s">
        <v>8643</v>
      </c>
      <c r="BZ217" t="s">
        <v>26519</v>
      </c>
      <c r="CA217" t="s">
        <v>8645</v>
      </c>
      <c r="CB217" t="s">
        <v>8643</v>
      </c>
      <c r="CC217" t="s">
        <v>26519</v>
      </c>
      <c r="CD217" t="s">
        <v>8645</v>
      </c>
      <c r="CE217" t="s">
        <v>8646</v>
      </c>
      <c r="CF217" t="s">
        <v>8647</v>
      </c>
      <c r="CH217" t="s">
        <v>8648</v>
      </c>
      <c r="CI217" t="s">
        <v>26520</v>
      </c>
      <c r="CJ217" t="s">
        <v>8637</v>
      </c>
      <c r="CK217" t="s">
        <v>730</v>
      </c>
      <c r="CL217" t="s">
        <v>8648</v>
      </c>
      <c r="CN217" t="s">
        <v>8647</v>
      </c>
      <c r="CO217" t="s">
        <v>8647</v>
      </c>
    </row>
    <row r="218" spans="1:93">
      <c r="A218" t="s">
        <v>337</v>
      </c>
      <c r="B218">
        <v>4054921</v>
      </c>
      <c r="C218" t="s">
        <v>24430</v>
      </c>
      <c r="D218" t="s">
        <v>21661</v>
      </c>
      <c r="E218" t="s">
        <v>21784</v>
      </c>
      <c r="F218" t="s">
        <v>848</v>
      </c>
      <c r="G218" t="s">
        <v>98</v>
      </c>
      <c r="H218" t="s">
        <v>24431</v>
      </c>
      <c r="I218" t="s">
        <v>100</v>
      </c>
      <c r="J218">
        <v>451548</v>
      </c>
      <c r="K218">
        <v>532827</v>
      </c>
      <c r="L218">
        <v>0</v>
      </c>
      <c r="M218">
        <v>0</v>
      </c>
      <c r="O218">
        <v>0</v>
      </c>
      <c r="P218">
        <v>0</v>
      </c>
      <c r="R218">
        <v>451548</v>
      </c>
      <c r="S218">
        <v>444</v>
      </c>
      <c r="T218" t="s">
        <v>3924</v>
      </c>
      <c r="U218" t="s">
        <v>102</v>
      </c>
      <c r="V218" t="s">
        <v>103</v>
      </c>
      <c r="W218" t="s">
        <v>104</v>
      </c>
      <c r="Y218" t="s">
        <v>23505</v>
      </c>
      <c r="Z218" t="s">
        <v>24432</v>
      </c>
      <c r="AA218" t="s">
        <v>21828</v>
      </c>
      <c r="AB218" t="s">
        <v>24432</v>
      </c>
      <c r="AC218" t="s">
        <v>109</v>
      </c>
      <c r="AD218" t="s">
        <v>102</v>
      </c>
      <c r="AE218" t="s">
        <v>109</v>
      </c>
      <c r="AF218" t="s">
        <v>102</v>
      </c>
      <c r="AG218" t="s">
        <v>24433</v>
      </c>
      <c r="AH218" t="s">
        <v>14400</v>
      </c>
      <c r="AI218" t="s">
        <v>14400</v>
      </c>
      <c r="AJ218" t="s">
        <v>24432</v>
      </c>
      <c r="AK218" t="s">
        <v>24434</v>
      </c>
      <c r="AL218" t="s">
        <v>102</v>
      </c>
      <c r="AM218" t="s">
        <v>3213</v>
      </c>
      <c r="AN218" t="s">
        <v>3213</v>
      </c>
      <c r="AS218" t="s">
        <v>102</v>
      </c>
      <c r="AU218" t="s">
        <v>102</v>
      </c>
      <c r="AV218" t="s">
        <v>119</v>
      </c>
      <c r="AY218" t="s">
        <v>250</v>
      </c>
      <c r="AZ218" t="s">
        <v>120</v>
      </c>
      <c r="BA218" t="s">
        <v>284</v>
      </c>
      <c r="BB218" t="s">
        <v>285</v>
      </c>
      <c r="BC218" t="s">
        <v>212</v>
      </c>
      <c r="BD218" t="s">
        <v>286</v>
      </c>
      <c r="BE218" t="s">
        <v>124</v>
      </c>
      <c r="BF218" t="s">
        <v>21784</v>
      </c>
      <c r="BG218" t="s">
        <v>24435</v>
      </c>
      <c r="BH218" t="s">
        <v>127</v>
      </c>
      <c r="BI218" t="s">
        <v>24436</v>
      </c>
      <c r="BJ218" t="s">
        <v>24437</v>
      </c>
      <c r="BK218" t="s">
        <v>24438</v>
      </c>
      <c r="BL218" t="s">
        <v>21784</v>
      </c>
      <c r="BM218" t="s">
        <v>4955</v>
      </c>
      <c r="BN218" t="s">
        <v>132</v>
      </c>
      <c r="BO218" t="s">
        <v>4956</v>
      </c>
      <c r="BP218" t="s">
        <v>4957</v>
      </c>
      <c r="BQ218" t="s">
        <v>1702</v>
      </c>
      <c r="BS218" t="s">
        <v>24439</v>
      </c>
      <c r="BT218" t="s">
        <v>24440</v>
      </c>
      <c r="BU218" t="s">
        <v>138</v>
      </c>
      <c r="BV218" t="s">
        <v>24441</v>
      </c>
      <c r="BW218" t="s">
        <v>24442</v>
      </c>
      <c r="BX218" t="s">
        <v>24443</v>
      </c>
      <c r="BY218" t="s">
        <v>24444</v>
      </c>
      <c r="BZ218" t="s">
        <v>24441</v>
      </c>
      <c r="CA218" t="s">
        <v>24442</v>
      </c>
      <c r="CB218" t="s">
        <v>24444</v>
      </c>
      <c r="CC218" t="s">
        <v>24441</v>
      </c>
      <c r="CD218" t="s">
        <v>24442</v>
      </c>
      <c r="CE218" t="s">
        <v>102</v>
      </c>
      <c r="CF218" t="s">
        <v>24445</v>
      </c>
      <c r="CH218" t="s">
        <v>24446</v>
      </c>
      <c r="CI218" t="s">
        <v>24445</v>
      </c>
      <c r="CJ218" t="s">
        <v>284</v>
      </c>
      <c r="CK218" t="s">
        <v>285</v>
      </c>
      <c r="CL218" t="s">
        <v>24446</v>
      </c>
      <c r="CM218" t="s">
        <v>24447</v>
      </c>
      <c r="CN218" t="s">
        <v>24448</v>
      </c>
      <c r="CO218" t="s">
        <v>24448</v>
      </c>
    </row>
    <row r="219" spans="1:93" hidden="1">
      <c r="A219" t="s">
        <v>93</v>
      </c>
      <c r="B219">
        <v>4082390</v>
      </c>
      <c r="C219" t="s">
        <v>18043</v>
      </c>
      <c r="D219" t="s">
        <v>21661</v>
      </c>
      <c r="E219" t="s">
        <v>23815</v>
      </c>
      <c r="F219" t="s">
        <v>2044</v>
      </c>
      <c r="G219" t="s">
        <v>98</v>
      </c>
      <c r="H219" t="s">
        <v>25236</v>
      </c>
      <c r="I219" t="s">
        <v>100</v>
      </c>
      <c r="J219">
        <v>1156995</v>
      </c>
      <c r="K219">
        <v>1156995</v>
      </c>
      <c r="L219">
        <v>321124</v>
      </c>
      <c r="M219">
        <v>486</v>
      </c>
      <c r="N219" t="s">
        <v>25237</v>
      </c>
      <c r="O219">
        <v>835871</v>
      </c>
      <c r="P219">
        <v>486</v>
      </c>
      <c r="Q219" t="s">
        <v>25238</v>
      </c>
      <c r="R219">
        <v>0</v>
      </c>
      <c r="S219">
        <v>0</v>
      </c>
      <c r="U219" t="s">
        <v>102</v>
      </c>
      <c r="V219" t="s">
        <v>103</v>
      </c>
      <c r="W219" t="s">
        <v>155</v>
      </c>
      <c r="Y219" t="s">
        <v>23815</v>
      </c>
      <c r="Z219" t="s">
        <v>25239</v>
      </c>
      <c r="AA219" t="s">
        <v>25240</v>
      </c>
      <c r="AB219" t="s">
        <v>25239</v>
      </c>
      <c r="AC219" t="s">
        <v>22312</v>
      </c>
      <c r="AD219" t="s">
        <v>25239</v>
      </c>
      <c r="AE219" t="s">
        <v>22072</v>
      </c>
      <c r="AF219" t="s">
        <v>25239</v>
      </c>
      <c r="AG219" t="s">
        <v>102</v>
      </c>
      <c r="AJ219" t="s">
        <v>25239</v>
      </c>
      <c r="AK219" t="s">
        <v>102</v>
      </c>
      <c r="AL219" t="s">
        <v>25239</v>
      </c>
      <c r="AM219" t="s">
        <v>25241</v>
      </c>
      <c r="AN219" t="s">
        <v>25242</v>
      </c>
      <c r="AQ219" t="s">
        <v>169</v>
      </c>
      <c r="AS219" t="s">
        <v>117</v>
      </c>
      <c r="AT219" t="s">
        <v>118</v>
      </c>
      <c r="AU219" t="s">
        <v>155</v>
      </c>
      <c r="AV219" t="s">
        <v>447</v>
      </c>
      <c r="AW219" t="s">
        <v>170</v>
      </c>
      <c r="AX219" t="s">
        <v>118</v>
      </c>
      <c r="AZ219" t="s">
        <v>120</v>
      </c>
      <c r="BA219" t="s">
        <v>4216</v>
      </c>
      <c r="BB219" t="s">
        <v>556</v>
      </c>
      <c r="BC219" t="s">
        <v>122</v>
      </c>
      <c r="BD219" t="s">
        <v>557</v>
      </c>
      <c r="BE219" t="s">
        <v>124</v>
      </c>
      <c r="BF219" t="s">
        <v>12250</v>
      </c>
      <c r="BG219" t="s">
        <v>21667</v>
      </c>
      <c r="BH219" t="s">
        <v>127</v>
      </c>
      <c r="BI219" t="s">
        <v>25243</v>
      </c>
      <c r="BJ219" t="s">
        <v>18054</v>
      </c>
      <c r="BK219" t="s">
        <v>25244</v>
      </c>
      <c r="BL219" t="s">
        <v>23815</v>
      </c>
      <c r="BM219" t="s">
        <v>1071</v>
      </c>
      <c r="BN219" t="s">
        <v>350</v>
      </c>
      <c r="BO219" t="s">
        <v>1072</v>
      </c>
      <c r="BP219" t="s">
        <v>1073</v>
      </c>
      <c r="BQ219" t="s">
        <v>1074</v>
      </c>
      <c r="BS219" t="s">
        <v>25245</v>
      </c>
      <c r="BT219" t="s">
        <v>18057</v>
      </c>
      <c r="BU219" t="s">
        <v>138</v>
      </c>
      <c r="BV219" t="s">
        <v>25246</v>
      </c>
      <c r="BW219" t="s">
        <v>18059</v>
      </c>
      <c r="BX219" t="s">
        <v>18060</v>
      </c>
      <c r="BY219" t="s">
        <v>18061</v>
      </c>
      <c r="BZ219" t="s">
        <v>25247</v>
      </c>
      <c r="CA219" t="s">
        <v>18059</v>
      </c>
      <c r="CB219" t="s">
        <v>18061</v>
      </c>
      <c r="CC219" t="s">
        <v>25247</v>
      </c>
      <c r="CD219" t="s">
        <v>18059</v>
      </c>
      <c r="CE219" t="s">
        <v>18063</v>
      </c>
      <c r="CF219" t="s">
        <v>18064</v>
      </c>
      <c r="CH219" t="s">
        <v>18065</v>
      </c>
      <c r="CI219" t="s">
        <v>18066</v>
      </c>
      <c r="CJ219" t="s">
        <v>4216</v>
      </c>
      <c r="CK219" t="s">
        <v>556</v>
      </c>
      <c r="CL219" t="s">
        <v>18065</v>
      </c>
      <c r="CM219" t="s">
        <v>18067</v>
      </c>
      <c r="CN219" t="s">
        <v>18068</v>
      </c>
      <c r="CO219" t="s">
        <v>18068</v>
      </c>
    </row>
    <row r="220" spans="1:93" hidden="1">
      <c r="A220" t="s">
        <v>93</v>
      </c>
      <c r="B220">
        <v>4091040</v>
      </c>
      <c r="C220" t="s">
        <v>18069</v>
      </c>
      <c r="D220" t="s">
        <v>21661</v>
      </c>
      <c r="E220" t="s">
        <v>12313</v>
      </c>
      <c r="F220" t="s">
        <v>152</v>
      </c>
      <c r="G220" t="s">
        <v>98</v>
      </c>
      <c r="H220" t="s">
        <v>22753</v>
      </c>
      <c r="I220" t="s">
        <v>100</v>
      </c>
      <c r="J220">
        <v>436451</v>
      </c>
      <c r="K220">
        <v>436451</v>
      </c>
      <c r="L220">
        <v>0</v>
      </c>
      <c r="M220">
        <v>0</v>
      </c>
      <c r="O220">
        <v>436451</v>
      </c>
      <c r="P220">
        <v>606</v>
      </c>
      <c r="Q220" t="s">
        <v>995</v>
      </c>
      <c r="R220">
        <v>0</v>
      </c>
      <c r="S220">
        <v>0</v>
      </c>
      <c r="U220" t="s">
        <v>102</v>
      </c>
      <c r="V220" t="s">
        <v>103</v>
      </c>
      <c r="W220" t="s">
        <v>398</v>
      </c>
      <c r="Y220" t="s">
        <v>12250</v>
      </c>
      <c r="Z220" t="s">
        <v>22754</v>
      </c>
      <c r="AA220" t="s">
        <v>21664</v>
      </c>
      <c r="AB220" t="s">
        <v>22755</v>
      </c>
      <c r="AC220" t="s">
        <v>21665</v>
      </c>
      <c r="AD220" t="s">
        <v>22755</v>
      </c>
      <c r="AE220" t="s">
        <v>109</v>
      </c>
      <c r="AF220" t="s">
        <v>102</v>
      </c>
      <c r="AG220" t="s">
        <v>102</v>
      </c>
      <c r="AH220" t="s">
        <v>12330</v>
      </c>
      <c r="AI220" t="s">
        <v>12330</v>
      </c>
      <c r="AJ220" t="s">
        <v>22754</v>
      </c>
      <c r="AK220" t="s">
        <v>5007</v>
      </c>
      <c r="AL220" t="s">
        <v>24449</v>
      </c>
      <c r="AM220" t="s">
        <v>22756</v>
      </c>
      <c r="AN220" t="s">
        <v>22756</v>
      </c>
      <c r="AS220" t="s">
        <v>102</v>
      </c>
      <c r="AU220" t="s">
        <v>102</v>
      </c>
      <c r="AV220" t="s">
        <v>447</v>
      </c>
      <c r="AW220" t="s">
        <v>170</v>
      </c>
      <c r="AX220" t="s">
        <v>118</v>
      </c>
      <c r="AZ220" t="s">
        <v>120</v>
      </c>
      <c r="BA220" t="s">
        <v>18075</v>
      </c>
      <c r="BB220" t="s">
        <v>173</v>
      </c>
      <c r="BC220" t="s">
        <v>174</v>
      </c>
      <c r="BD220" t="s">
        <v>173</v>
      </c>
      <c r="BE220" t="s">
        <v>124</v>
      </c>
      <c r="BF220" t="s">
        <v>12250</v>
      </c>
      <c r="BG220" t="s">
        <v>21667</v>
      </c>
      <c r="BH220" t="s">
        <v>127</v>
      </c>
      <c r="BI220" t="s">
        <v>22757</v>
      </c>
      <c r="BJ220" t="s">
        <v>18077</v>
      </c>
      <c r="BK220" t="s">
        <v>22758</v>
      </c>
      <c r="BL220" t="s">
        <v>12313</v>
      </c>
      <c r="BM220" t="s">
        <v>9823</v>
      </c>
      <c r="BN220" t="s">
        <v>180</v>
      </c>
      <c r="BO220" t="s">
        <v>9824</v>
      </c>
      <c r="BP220" t="s">
        <v>9825</v>
      </c>
      <c r="BQ220" t="s">
        <v>1176</v>
      </c>
      <c r="BS220" t="s">
        <v>22759</v>
      </c>
      <c r="BT220" t="s">
        <v>18084</v>
      </c>
      <c r="BU220" t="s">
        <v>138</v>
      </c>
      <c r="BV220" t="s">
        <v>18081</v>
      </c>
      <c r="BW220" t="s">
        <v>18082</v>
      </c>
      <c r="BX220" t="s">
        <v>18083</v>
      </c>
      <c r="BY220" t="s">
        <v>22760</v>
      </c>
      <c r="BZ220" t="s">
        <v>18081</v>
      </c>
      <c r="CA220" t="s">
        <v>22761</v>
      </c>
      <c r="CB220" t="s">
        <v>22760</v>
      </c>
      <c r="CC220" t="s">
        <v>18081</v>
      </c>
      <c r="CD220" t="s">
        <v>22761</v>
      </c>
      <c r="CE220" t="s">
        <v>18088</v>
      </c>
      <c r="CF220" t="s">
        <v>22762</v>
      </c>
      <c r="CH220" t="s">
        <v>18090</v>
      </c>
      <c r="CI220" t="s">
        <v>22762</v>
      </c>
      <c r="CJ220" t="s">
        <v>18075</v>
      </c>
      <c r="CK220" t="s">
        <v>173</v>
      </c>
      <c r="CL220" t="s">
        <v>18090</v>
      </c>
      <c r="CN220" t="s">
        <v>18089</v>
      </c>
      <c r="CO220" t="s">
        <v>18089</v>
      </c>
    </row>
    <row r="221" spans="1:93" hidden="1">
      <c r="A221" t="s">
        <v>149</v>
      </c>
      <c r="B221">
        <v>4105283</v>
      </c>
      <c r="C221" t="s">
        <v>8677</v>
      </c>
      <c r="D221" t="s">
        <v>21661</v>
      </c>
      <c r="E221" t="s">
        <v>23865</v>
      </c>
      <c r="F221" t="s">
        <v>675</v>
      </c>
      <c r="G221" t="s">
        <v>98</v>
      </c>
      <c r="H221" t="s">
        <v>23866</v>
      </c>
      <c r="I221" t="s">
        <v>100</v>
      </c>
      <c r="J221">
        <v>2730651</v>
      </c>
      <c r="K221">
        <v>2730651</v>
      </c>
      <c r="L221">
        <v>778719</v>
      </c>
      <c r="M221">
        <v>1157</v>
      </c>
      <c r="N221" t="s">
        <v>23867</v>
      </c>
      <c r="O221">
        <v>1951932</v>
      </c>
      <c r="P221">
        <v>1014</v>
      </c>
      <c r="Q221" t="s">
        <v>23868</v>
      </c>
      <c r="R221">
        <v>0</v>
      </c>
      <c r="S221">
        <v>0</v>
      </c>
      <c r="U221" t="s">
        <v>102</v>
      </c>
      <c r="V221" t="s">
        <v>103</v>
      </c>
      <c r="W221" t="s">
        <v>155</v>
      </c>
      <c r="Y221" t="s">
        <v>12250</v>
      </c>
      <c r="Z221" t="s">
        <v>23869</v>
      </c>
      <c r="AA221" t="s">
        <v>21664</v>
      </c>
      <c r="AB221" t="s">
        <v>23869</v>
      </c>
      <c r="AC221" t="s">
        <v>22931</v>
      </c>
      <c r="AD221" t="s">
        <v>23869</v>
      </c>
      <c r="AE221" t="s">
        <v>21710</v>
      </c>
      <c r="AF221" t="s">
        <v>23869</v>
      </c>
      <c r="AG221" t="s">
        <v>102</v>
      </c>
      <c r="AJ221" t="s">
        <v>23869</v>
      </c>
      <c r="AK221" t="s">
        <v>102</v>
      </c>
      <c r="AL221" t="s">
        <v>23869</v>
      </c>
      <c r="AM221" t="s">
        <v>23870</v>
      </c>
      <c r="AN221" t="s">
        <v>23870</v>
      </c>
      <c r="AS221" t="s">
        <v>207</v>
      </c>
      <c r="AT221" t="s">
        <v>118</v>
      </c>
      <c r="AU221" t="s">
        <v>248</v>
      </c>
      <c r="AV221" t="s">
        <v>119</v>
      </c>
      <c r="AW221" t="s">
        <v>1138</v>
      </c>
      <c r="AX221" t="s">
        <v>118</v>
      </c>
      <c r="AZ221" t="s">
        <v>120</v>
      </c>
      <c r="BA221" t="s">
        <v>555</v>
      </c>
      <c r="BB221" t="s">
        <v>556</v>
      </c>
      <c r="BC221" t="s">
        <v>122</v>
      </c>
      <c r="BD221" t="s">
        <v>557</v>
      </c>
      <c r="BE221" t="s">
        <v>124</v>
      </c>
      <c r="BF221" t="s">
        <v>23871</v>
      </c>
      <c r="BG221" t="s">
        <v>21667</v>
      </c>
      <c r="BH221" t="s">
        <v>127</v>
      </c>
      <c r="BI221" t="s">
        <v>23872</v>
      </c>
      <c r="BJ221" t="s">
        <v>8691</v>
      </c>
      <c r="BK221" t="s">
        <v>23873</v>
      </c>
      <c r="BL221" t="s">
        <v>23865</v>
      </c>
      <c r="BM221" t="s">
        <v>1142</v>
      </c>
      <c r="BN221" t="s">
        <v>505</v>
      </c>
      <c r="BO221" t="s">
        <v>1143</v>
      </c>
      <c r="BP221" t="s">
        <v>1144</v>
      </c>
      <c r="BQ221" t="s">
        <v>566</v>
      </c>
      <c r="BS221" t="s">
        <v>23874</v>
      </c>
      <c r="BT221" t="s">
        <v>1146</v>
      </c>
      <c r="BU221" t="s">
        <v>138</v>
      </c>
      <c r="BV221" t="s">
        <v>1147</v>
      </c>
      <c r="BW221" t="s">
        <v>1148</v>
      </c>
      <c r="BX221" t="s">
        <v>8694</v>
      </c>
      <c r="BY221" t="s">
        <v>1146</v>
      </c>
      <c r="BZ221" t="s">
        <v>23875</v>
      </c>
      <c r="CA221" t="s">
        <v>1148</v>
      </c>
      <c r="CB221" t="s">
        <v>1146</v>
      </c>
      <c r="CC221" t="s">
        <v>23875</v>
      </c>
      <c r="CD221" t="s">
        <v>1148</v>
      </c>
      <c r="CE221" t="s">
        <v>102</v>
      </c>
      <c r="CF221" t="s">
        <v>18121</v>
      </c>
      <c r="CH221" t="s">
        <v>8699</v>
      </c>
      <c r="CJ221" t="s">
        <v>555</v>
      </c>
      <c r="CK221" t="s">
        <v>556</v>
      </c>
      <c r="CL221" t="s">
        <v>8699</v>
      </c>
      <c r="CM221" t="s">
        <v>1155</v>
      </c>
      <c r="CN221" t="s">
        <v>8698</v>
      </c>
      <c r="CO221" t="s">
        <v>8698</v>
      </c>
    </row>
    <row r="222" spans="1:93" hidden="1">
      <c r="A222" t="s">
        <v>149</v>
      </c>
      <c r="B222">
        <v>411876</v>
      </c>
      <c r="C222" t="s">
        <v>8700</v>
      </c>
      <c r="D222" t="s">
        <v>21661</v>
      </c>
      <c r="E222" t="s">
        <v>21214</v>
      </c>
      <c r="F222" t="s">
        <v>848</v>
      </c>
      <c r="G222" t="s">
        <v>98</v>
      </c>
      <c r="H222" t="s">
        <v>23876</v>
      </c>
      <c r="I222" t="s">
        <v>100</v>
      </c>
      <c r="J222">
        <v>469229</v>
      </c>
      <c r="K222">
        <v>553690</v>
      </c>
      <c r="L222">
        <v>0</v>
      </c>
      <c r="M222">
        <v>0</v>
      </c>
      <c r="O222">
        <v>0</v>
      </c>
      <c r="P222">
        <v>0</v>
      </c>
      <c r="R222">
        <v>469229</v>
      </c>
      <c r="S222">
        <v>208</v>
      </c>
      <c r="T222" t="s">
        <v>13724</v>
      </c>
      <c r="U222" t="s">
        <v>102</v>
      </c>
      <c r="V222" t="s">
        <v>103</v>
      </c>
      <c r="W222" t="s">
        <v>155</v>
      </c>
      <c r="Y222" t="s">
        <v>22526</v>
      </c>
      <c r="Z222" t="s">
        <v>23877</v>
      </c>
      <c r="AA222" t="s">
        <v>22459</v>
      </c>
      <c r="AB222" t="s">
        <v>23877</v>
      </c>
      <c r="AC222" t="s">
        <v>21828</v>
      </c>
      <c r="AD222" t="s">
        <v>23877</v>
      </c>
      <c r="AE222" t="s">
        <v>21821</v>
      </c>
      <c r="AF222" t="s">
        <v>23877</v>
      </c>
      <c r="AG222" t="s">
        <v>102</v>
      </c>
      <c r="AJ222" t="s">
        <v>102</v>
      </c>
      <c r="AK222" t="s">
        <v>102</v>
      </c>
      <c r="AL222" t="s">
        <v>102</v>
      </c>
      <c r="AM222" t="s">
        <v>23878</v>
      </c>
      <c r="AN222" t="s">
        <v>23878</v>
      </c>
      <c r="AS222" t="s">
        <v>102</v>
      </c>
      <c r="AU222" t="s">
        <v>102</v>
      </c>
      <c r="AV222" t="s">
        <v>119</v>
      </c>
      <c r="AY222" t="s">
        <v>250</v>
      </c>
      <c r="AZ222" t="s">
        <v>2565</v>
      </c>
      <c r="BA222" t="s">
        <v>920</v>
      </c>
      <c r="BB222" t="s">
        <v>211</v>
      </c>
      <c r="BC222" t="s">
        <v>212</v>
      </c>
      <c r="BD222" t="s">
        <v>213</v>
      </c>
      <c r="BE222" t="s">
        <v>124</v>
      </c>
      <c r="BF222" t="s">
        <v>19143</v>
      </c>
      <c r="BG222" t="s">
        <v>21806</v>
      </c>
      <c r="BH222" t="s">
        <v>127</v>
      </c>
      <c r="BI222" t="s">
        <v>23879</v>
      </c>
      <c r="BJ222" t="s">
        <v>8710</v>
      </c>
      <c r="BK222" t="s">
        <v>23880</v>
      </c>
      <c r="BL222" t="s">
        <v>21214</v>
      </c>
      <c r="BM222" t="s">
        <v>7108</v>
      </c>
      <c r="BN222" t="s">
        <v>180</v>
      </c>
      <c r="BO222" t="s">
        <v>7109</v>
      </c>
      <c r="BP222" t="s">
        <v>2151</v>
      </c>
      <c r="BQ222" t="s">
        <v>2151</v>
      </c>
      <c r="BS222" t="s">
        <v>23881</v>
      </c>
      <c r="BT222" t="s">
        <v>18133</v>
      </c>
      <c r="BU222" t="s">
        <v>138</v>
      </c>
      <c r="BV222" t="s">
        <v>18134</v>
      </c>
      <c r="BW222" t="s">
        <v>18135</v>
      </c>
      <c r="BX222" t="s">
        <v>8716</v>
      </c>
      <c r="BY222" t="s">
        <v>18133</v>
      </c>
      <c r="BZ222" t="s">
        <v>18134</v>
      </c>
      <c r="CA222" t="s">
        <v>18135</v>
      </c>
      <c r="CB222" t="s">
        <v>18133</v>
      </c>
      <c r="CC222" t="s">
        <v>18134</v>
      </c>
      <c r="CD222" t="s">
        <v>18135</v>
      </c>
      <c r="CE222" t="s">
        <v>102</v>
      </c>
      <c r="CF222" t="s">
        <v>8717</v>
      </c>
      <c r="CH222" t="s">
        <v>5392</v>
      </c>
      <c r="CJ222" t="s">
        <v>920</v>
      </c>
      <c r="CK222" t="s">
        <v>211</v>
      </c>
      <c r="CL222" t="s">
        <v>5392</v>
      </c>
      <c r="CM222" t="s">
        <v>8718</v>
      </c>
      <c r="CN222" t="s">
        <v>8717</v>
      </c>
      <c r="CO222" t="s">
        <v>8717</v>
      </c>
    </row>
    <row r="223" spans="1:93" hidden="1">
      <c r="A223" t="s">
        <v>495</v>
      </c>
      <c r="B223">
        <v>41269</v>
      </c>
      <c r="C223" t="s">
        <v>8719</v>
      </c>
      <c r="D223" t="s">
        <v>21661</v>
      </c>
      <c r="E223" t="s">
        <v>18690</v>
      </c>
      <c r="F223" t="s">
        <v>152</v>
      </c>
      <c r="G223" t="s">
        <v>98</v>
      </c>
      <c r="H223" t="s">
        <v>25896</v>
      </c>
      <c r="I223" t="s">
        <v>100</v>
      </c>
      <c r="J223">
        <v>797756</v>
      </c>
      <c r="K223">
        <v>797756</v>
      </c>
      <c r="L223">
        <v>0</v>
      </c>
      <c r="M223">
        <v>0</v>
      </c>
      <c r="O223">
        <v>797756</v>
      </c>
      <c r="P223">
        <v>967</v>
      </c>
      <c r="Q223" t="s">
        <v>3811</v>
      </c>
      <c r="R223">
        <v>0</v>
      </c>
      <c r="S223">
        <v>0</v>
      </c>
      <c r="U223" t="s">
        <v>102</v>
      </c>
      <c r="V223" t="s">
        <v>103</v>
      </c>
      <c r="W223" t="s">
        <v>104</v>
      </c>
      <c r="Y223" t="s">
        <v>22526</v>
      </c>
      <c r="Z223" t="s">
        <v>25897</v>
      </c>
      <c r="AA223" t="s">
        <v>22904</v>
      </c>
      <c r="AB223" t="s">
        <v>25897</v>
      </c>
      <c r="AC223" t="s">
        <v>109</v>
      </c>
      <c r="AD223" t="s">
        <v>102</v>
      </c>
      <c r="AE223" t="s">
        <v>109</v>
      </c>
      <c r="AF223" t="s">
        <v>102</v>
      </c>
      <c r="AG223" t="s">
        <v>102</v>
      </c>
      <c r="AJ223" t="s">
        <v>102</v>
      </c>
      <c r="AK223" t="s">
        <v>102</v>
      </c>
      <c r="AL223" t="s">
        <v>102</v>
      </c>
      <c r="AM223" t="s">
        <v>25898</v>
      </c>
      <c r="AN223" t="s">
        <v>25899</v>
      </c>
      <c r="AP223" t="s">
        <v>169</v>
      </c>
      <c r="AR223" t="s">
        <v>169</v>
      </c>
      <c r="AS223" t="s">
        <v>102</v>
      </c>
      <c r="AU223" t="s">
        <v>155</v>
      </c>
      <c r="AV223" t="s">
        <v>119</v>
      </c>
      <c r="AW223" t="s">
        <v>170</v>
      </c>
      <c r="AX223" t="s">
        <v>118</v>
      </c>
      <c r="AZ223" t="s">
        <v>120</v>
      </c>
      <c r="BA223" t="s">
        <v>729</v>
      </c>
      <c r="BB223" t="s">
        <v>730</v>
      </c>
      <c r="BC223" t="s">
        <v>622</v>
      </c>
      <c r="BD223" t="s">
        <v>730</v>
      </c>
      <c r="BE223" t="s">
        <v>124</v>
      </c>
      <c r="BF223" t="s">
        <v>12250</v>
      </c>
      <c r="BG223" t="s">
        <v>21667</v>
      </c>
      <c r="BH223" t="s">
        <v>127</v>
      </c>
      <c r="BI223" t="s">
        <v>25900</v>
      </c>
      <c r="BJ223" t="s">
        <v>8729</v>
      </c>
      <c r="BK223" t="s">
        <v>25901</v>
      </c>
      <c r="BL223" t="s">
        <v>18690</v>
      </c>
      <c r="BM223" t="s">
        <v>734</v>
      </c>
      <c r="BN223" t="s">
        <v>350</v>
      </c>
      <c r="BO223" t="s">
        <v>735</v>
      </c>
      <c r="BP223" t="s">
        <v>736</v>
      </c>
      <c r="BQ223" t="s">
        <v>737</v>
      </c>
      <c r="BS223" t="s">
        <v>25902</v>
      </c>
      <c r="BT223" t="s">
        <v>25903</v>
      </c>
      <c r="BU223" t="s">
        <v>138</v>
      </c>
      <c r="BV223" t="s">
        <v>8733</v>
      </c>
      <c r="BW223" t="s">
        <v>8734</v>
      </c>
      <c r="BX223" t="s">
        <v>8735</v>
      </c>
      <c r="BY223" t="s">
        <v>25903</v>
      </c>
      <c r="BZ223" t="s">
        <v>8733</v>
      </c>
      <c r="CA223" t="s">
        <v>8734</v>
      </c>
      <c r="CB223" t="s">
        <v>25903</v>
      </c>
      <c r="CC223" t="s">
        <v>8733</v>
      </c>
      <c r="CD223" t="s">
        <v>8734</v>
      </c>
      <c r="CE223" t="s">
        <v>3223</v>
      </c>
      <c r="CF223" t="s">
        <v>18147</v>
      </c>
      <c r="CH223" t="s">
        <v>8740</v>
      </c>
      <c r="CI223" t="s">
        <v>18148</v>
      </c>
      <c r="CJ223" t="s">
        <v>729</v>
      </c>
      <c r="CK223" t="s">
        <v>2273</v>
      </c>
      <c r="CL223" t="s">
        <v>8740</v>
      </c>
      <c r="CM223" t="s">
        <v>8741</v>
      </c>
      <c r="CN223" t="s">
        <v>8739</v>
      </c>
      <c r="CO223" t="s">
        <v>8739</v>
      </c>
    </row>
    <row r="224" spans="1:93">
      <c r="A224" t="s">
        <v>337</v>
      </c>
      <c r="B224">
        <v>4129415</v>
      </c>
      <c r="C224" t="s">
        <v>18149</v>
      </c>
      <c r="D224" t="s">
        <v>21661</v>
      </c>
      <c r="E224" t="s">
        <v>15933</v>
      </c>
      <c r="F224" t="s">
        <v>848</v>
      </c>
      <c r="G224" t="s">
        <v>98</v>
      </c>
      <c r="H224" t="s">
        <v>26188</v>
      </c>
      <c r="I224" t="s">
        <v>100</v>
      </c>
      <c r="J224">
        <v>358492</v>
      </c>
      <c r="K224">
        <v>423021</v>
      </c>
      <c r="L224">
        <v>0</v>
      </c>
      <c r="M224">
        <v>0</v>
      </c>
      <c r="O224">
        <v>0</v>
      </c>
      <c r="P224">
        <v>0</v>
      </c>
      <c r="R224">
        <v>358492</v>
      </c>
      <c r="S224">
        <v>235</v>
      </c>
      <c r="T224" t="s">
        <v>3791</v>
      </c>
      <c r="U224" t="s">
        <v>102</v>
      </c>
      <c r="V224" t="s">
        <v>103</v>
      </c>
      <c r="W224" t="s">
        <v>155</v>
      </c>
      <c r="Y224" t="s">
        <v>22571</v>
      </c>
      <c r="Z224" t="s">
        <v>26189</v>
      </c>
      <c r="AA224" t="s">
        <v>24450</v>
      </c>
      <c r="AB224" t="s">
        <v>26189</v>
      </c>
      <c r="AC224" t="s">
        <v>22312</v>
      </c>
      <c r="AD224" t="s">
        <v>26189</v>
      </c>
      <c r="AE224" t="s">
        <v>21874</v>
      </c>
      <c r="AF224" t="s">
        <v>26189</v>
      </c>
      <c r="AG224" t="s">
        <v>102</v>
      </c>
      <c r="AJ224" t="s">
        <v>26189</v>
      </c>
      <c r="AK224" t="s">
        <v>102</v>
      </c>
      <c r="AL224" t="s">
        <v>26189</v>
      </c>
      <c r="AM224" t="s">
        <v>17879</v>
      </c>
      <c r="AN224" t="s">
        <v>17879</v>
      </c>
      <c r="AS224" t="s">
        <v>102</v>
      </c>
      <c r="AU224" t="s">
        <v>102</v>
      </c>
      <c r="AV224" t="s">
        <v>119</v>
      </c>
      <c r="AY224" t="s">
        <v>250</v>
      </c>
      <c r="AZ224" t="s">
        <v>120</v>
      </c>
      <c r="BA224" t="s">
        <v>18154</v>
      </c>
      <c r="BB224" t="s">
        <v>1171</v>
      </c>
      <c r="BC224" t="s">
        <v>174</v>
      </c>
      <c r="BD224" t="s">
        <v>1172</v>
      </c>
      <c r="BE224" t="s">
        <v>124</v>
      </c>
      <c r="BF224" t="s">
        <v>12250</v>
      </c>
      <c r="BG224" t="s">
        <v>21667</v>
      </c>
      <c r="BH224" t="s">
        <v>127</v>
      </c>
      <c r="BI224" t="s">
        <v>26190</v>
      </c>
      <c r="BJ224" t="s">
        <v>18157</v>
      </c>
      <c r="BK224" t="s">
        <v>26191</v>
      </c>
      <c r="BL224" t="s">
        <v>15933</v>
      </c>
      <c r="BM224" t="s">
        <v>5557</v>
      </c>
      <c r="BN224" t="s">
        <v>505</v>
      </c>
      <c r="BO224" t="s">
        <v>5558</v>
      </c>
      <c r="BP224" t="s">
        <v>5559</v>
      </c>
      <c r="BQ224" t="s">
        <v>5560</v>
      </c>
      <c r="BS224" t="s">
        <v>26192</v>
      </c>
      <c r="BT224" t="s">
        <v>20933</v>
      </c>
      <c r="BU224" t="s">
        <v>354</v>
      </c>
      <c r="BV224" t="s">
        <v>18161</v>
      </c>
      <c r="BW224" t="s">
        <v>20934</v>
      </c>
      <c r="BX224" t="s">
        <v>18161</v>
      </c>
      <c r="BY224" t="s">
        <v>18163</v>
      </c>
      <c r="BZ224" t="s">
        <v>18161</v>
      </c>
      <c r="CA224" t="s">
        <v>18162</v>
      </c>
      <c r="CB224" t="s">
        <v>18163</v>
      </c>
      <c r="CC224" t="s">
        <v>18161</v>
      </c>
      <c r="CD224" t="s">
        <v>18162</v>
      </c>
      <c r="CE224" t="s">
        <v>18164</v>
      </c>
      <c r="CF224" t="s">
        <v>18165</v>
      </c>
      <c r="CH224" t="s">
        <v>18166</v>
      </c>
      <c r="CI224" t="s">
        <v>18165</v>
      </c>
      <c r="CJ224" t="s">
        <v>18154</v>
      </c>
      <c r="CK224" t="s">
        <v>1171</v>
      </c>
      <c r="CL224" t="s">
        <v>18166</v>
      </c>
      <c r="CN224" t="s">
        <v>14774</v>
      </c>
      <c r="CO224" t="s">
        <v>18167</v>
      </c>
    </row>
    <row r="225" spans="1:93" hidden="1">
      <c r="A225" t="s">
        <v>93</v>
      </c>
      <c r="B225">
        <v>414020</v>
      </c>
      <c r="C225" t="s">
        <v>18168</v>
      </c>
      <c r="D225" t="s">
        <v>21661</v>
      </c>
      <c r="E225" t="s">
        <v>12313</v>
      </c>
      <c r="F225" t="s">
        <v>152</v>
      </c>
      <c r="G225" t="s">
        <v>98</v>
      </c>
      <c r="H225" t="s">
        <v>22763</v>
      </c>
      <c r="I225" t="s">
        <v>100</v>
      </c>
      <c r="J225">
        <v>1440285</v>
      </c>
      <c r="K225">
        <v>1440285</v>
      </c>
      <c r="L225">
        <v>0</v>
      </c>
      <c r="M225">
        <v>0</v>
      </c>
      <c r="O225">
        <v>1440285</v>
      </c>
      <c r="P225">
        <v>900</v>
      </c>
      <c r="Q225" t="s">
        <v>678</v>
      </c>
      <c r="R225">
        <v>0</v>
      </c>
      <c r="S225">
        <v>0</v>
      </c>
      <c r="U225" t="s">
        <v>102</v>
      </c>
      <c r="V225" t="s">
        <v>103</v>
      </c>
      <c r="W225" t="s">
        <v>155</v>
      </c>
      <c r="Y225" t="s">
        <v>12250</v>
      </c>
      <c r="Z225" t="s">
        <v>22764</v>
      </c>
      <c r="AA225" t="s">
        <v>21664</v>
      </c>
      <c r="AB225" t="s">
        <v>22764</v>
      </c>
      <c r="AC225" t="s">
        <v>21665</v>
      </c>
      <c r="AD225" t="s">
        <v>22764</v>
      </c>
      <c r="AE225" t="s">
        <v>21666</v>
      </c>
      <c r="AF225" t="s">
        <v>22764</v>
      </c>
      <c r="AG225" t="s">
        <v>102</v>
      </c>
      <c r="AJ225" t="s">
        <v>22764</v>
      </c>
      <c r="AK225" t="s">
        <v>102</v>
      </c>
      <c r="AL225" t="s">
        <v>22764</v>
      </c>
      <c r="AM225" t="s">
        <v>22765</v>
      </c>
      <c r="AN225" t="s">
        <v>22765</v>
      </c>
      <c r="AS225" t="s">
        <v>102</v>
      </c>
      <c r="AU225" t="s">
        <v>104</v>
      </c>
      <c r="AV225" t="s">
        <v>447</v>
      </c>
      <c r="AW225" t="s">
        <v>170</v>
      </c>
      <c r="AX225" t="s">
        <v>118</v>
      </c>
      <c r="AZ225" t="s">
        <v>171</v>
      </c>
      <c r="BA225" t="s">
        <v>18175</v>
      </c>
      <c r="BB225" t="s">
        <v>376</v>
      </c>
      <c r="BC225" t="s">
        <v>174</v>
      </c>
      <c r="BD225" t="s">
        <v>376</v>
      </c>
      <c r="BE225" t="s">
        <v>124</v>
      </c>
      <c r="BF225" t="s">
        <v>12250</v>
      </c>
      <c r="BG225" t="s">
        <v>21667</v>
      </c>
      <c r="BH225" t="s">
        <v>127</v>
      </c>
      <c r="BI225" t="s">
        <v>22766</v>
      </c>
      <c r="BJ225" t="s">
        <v>18177</v>
      </c>
      <c r="BK225" t="s">
        <v>22767</v>
      </c>
      <c r="BL225" t="s">
        <v>12313</v>
      </c>
      <c r="BM225" t="s">
        <v>6926</v>
      </c>
      <c r="BN225" t="s">
        <v>180</v>
      </c>
      <c r="BO225" t="s">
        <v>6927</v>
      </c>
      <c r="BP225" t="s">
        <v>6928</v>
      </c>
      <c r="BQ225" t="s">
        <v>1858</v>
      </c>
      <c r="BS225" t="s">
        <v>22768</v>
      </c>
      <c r="BT225" t="s">
        <v>22769</v>
      </c>
      <c r="BV225" t="s">
        <v>18181</v>
      </c>
      <c r="BW225" t="s">
        <v>18182</v>
      </c>
      <c r="BX225" t="s">
        <v>18181</v>
      </c>
      <c r="BY225" t="s">
        <v>22769</v>
      </c>
      <c r="BZ225" t="s">
        <v>18181</v>
      </c>
      <c r="CA225" t="s">
        <v>18182</v>
      </c>
      <c r="CB225" t="s">
        <v>22769</v>
      </c>
      <c r="CC225" t="s">
        <v>18181</v>
      </c>
      <c r="CD225" t="s">
        <v>18182</v>
      </c>
      <c r="CE225" t="s">
        <v>18183</v>
      </c>
      <c r="CF225" t="s">
        <v>18184</v>
      </c>
      <c r="CH225" t="s">
        <v>18185</v>
      </c>
      <c r="CI225" t="s">
        <v>18184</v>
      </c>
      <c r="CJ225" t="s">
        <v>18175</v>
      </c>
      <c r="CK225" t="s">
        <v>376</v>
      </c>
      <c r="CL225" t="s">
        <v>18185</v>
      </c>
      <c r="CM225" t="s">
        <v>18186</v>
      </c>
      <c r="CN225" t="s">
        <v>18184</v>
      </c>
      <c r="CO225" t="s">
        <v>18184</v>
      </c>
    </row>
    <row r="226" spans="1:93" hidden="1">
      <c r="A226" t="s">
        <v>149</v>
      </c>
      <c r="B226">
        <v>4156856</v>
      </c>
      <c r="C226" t="s">
        <v>8764</v>
      </c>
      <c r="D226" t="s">
        <v>21661</v>
      </c>
      <c r="E226" t="s">
        <v>22101</v>
      </c>
      <c r="F226" t="s">
        <v>2163</v>
      </c>
      <c r="G226" t="s">
        <v>98</v>
      </c>
      <c r="H226" t="s">
        <v>23882</v>
      </c>
      <c r="I226" t="s">
        <v>100</v>
      </c>
      <c r="J226">
        <v>284834</v>
      </c>
      <c r="K226">
        <v>298849</v>
      </c>
      <c r="L226">
        <v>50482</v>
      </c>
      <c r="M226">
        <v>101</v>
      </c>
      <c r="N226" t="s">
        <v>364</v>
      </c>
      <c r="O226">
        <v>156493</v>
      </c>
      <c r="P226">
        <v>101</v>
      </c>
      <c r="Q226" t="s">
        <v>18189</v>
      </c>
      <c r="R226">
        <v>77859</v>
      </c>
      <c r="S226">
        <v>135</v>
      </c>
      <c r="T226" t="s">
        <v>5670</v>
      </c>
      <c r="U226" t="s">
        <v>102</v>
      </c>
      <c r="V226" t="s">
        <v>679</v>
      </c>
      <c r="W226" t="s">
        <v>155</v>
      </c>
      <c r="X226" t="s">
        <v>12250</v>
      </c>
      <c r="Y226" t="s">
        <v>21770</v>
      </c>
      <c r="Z226" t="s">
        <v>23883</v>
      </c>
      <c r="AA226" t="s">
        <v>23847</v>
      </c>
      <c r="AB226" t="s">
        <v>23883</v>
      </c>
      <c r="AC226" t="s">
        <v>22089</v>
      </c>
      <c r="AD226" t="s">
        <v>23883</v>
      </c>
      <c r="AE226" t="s">
        <v>21742</v>
      </c>
      <c r="AF226" t="s">
        <v>23883</v>
      </c>
      <c r="AG226" t="s">
        <v>102</v>
      </c>
      <c r="AJ226" t="s">
        <v>23883</v>
      </c>
      <c r="AK226" t="s">
        <v>102</v>
      </c>
      <c r="AL226" t="s">
        <v>23883</v>
      </c>
      <c r="AM226" t="s">
        <v>23884</v>
      </c>
      <c r="AN226" t="s">
        <v>23885</v>
      </c>
      <c r="AR226" t="s">
        <v>169</v>
      </c>
      <c r="AS226" t="s">
        <v>247</v>
      </c>
      <c r="AT226" t="s">
        <v>118</v>
      </c>
      <c r="AU226" t="s">
        <v>3536</v>
      </c>
      <c r="AV226" t="s">
        <v>119</v>
      </c>
      <c r="AW226" t="s">
        <v>1138</v>
      </c>
      <c r="AX226" t="s">
        <v>118</v>
      </c>
      <c r="AY226" t="s">
        <v>250</v>
      </c>
      <c r="AZ226" t="s">
        <v>1664</v>
      </c>
      <c r="BA226" t="s">
        <v>448</v>
      </c>
      <c r="BB226" t="s">
        <v>449</v>
      </c>
      <c r="BC226" t="s">
        <v>122</v>
      </c>
      <c r="BD226" t="s">
        <v>450</v>
      </c>
      <c r="BE226" t="s">
        <v>124</v>
      </c>
      <c r="BF226" t="s">
        <v>12250</v>
      </c>
      <c r="BG226" t="s">
        <v>21667</v>
      </c>
      <c r="BH226" t="s">
        <v>127</v>
      </c>
      <c r="BI226" t="s">
        <v>23886</v>
      </c>
      <c r="BJ226" t="s">
        <v>8774</v>
      </c>
      <c r="BK226" t="s">
        <v>23887</v>
      </c>
      <c r="BL226" t="s">
        <v>22101</v>
      </c>
      <c r="BM226" t="s">
        <v>3267</v>
      </c>
      <c r="BN226" t="s">
        <v>350</v>
      </c>
      <c r="BO226" t="s">
        <v>3268</v>
      </c>
      <c r="BP226" t="s">
        <v>3269</v>
      </c>
      <c r="BQ226" t="s">
        <v>135</v>
      </c>
      <c r="BS226" t="s">
        <v>23888</v>
      </c>
      <c r="BT226" t="s">
        <v>5680</v>
      </c>
      <c r="BU226" t="s">
        <v>354</v>
      </c>
      <c r="BV226" t="s">
        <v>5681</v>
      </c>
      <c r="BW226" t="s">
        <v>5682</v>
      </c>
      <c r="BX226" t="s">
        <v>8015</v>
      </c>
      <c r="BY226" t="s">
        <v>18203</v>
      </c>
      <c r="BZ226" t="s">
        <v>23853</v>
      </c>
      <c r="CA226" t="s">
        <v>8019</v>
      </c>
      <c r="CB226" t="s">
        <v>23854</v>
      </c>
      <c r="CC226" t="s">
        <v>8018</v>
      </c>
      <c r="CD226" t="s">
        <v>8019</v>
      </c>
      <c r="CE226" t="s">
        <v>102</v>
      </c>
      <c r="CF226" t="s">
        <v>18205</v>
      </c>
      <c r="CH226" t="s">
        <v>8000</v>
      </c>
      <c r="CJ226" t="s">
        <v>448</v>
      </c>
      <c r="CK226" t="s">
        <v>449</v>
      </c>
      <c r="CL226" t="s">
        <v>8000</v>
      </c>
      <c r="CM226" t="s">
        <v>5687</v>
      </c>
      <c r="CN226" t="s">
        <v>8781</v>
      </c>
      <c r="CO226" t="s">
        <v>8781</v>
      </c>
    </row>
    <row r="227" spans="1:93" hidden="1">
      <c r="A227" t="s">
        <v>149</v>
      </c>
      <c r="B227">
        <v>416793</v>
      </c>
      <c r="C227" t="s">
        <v>8870</v>
      </c>
      <c r="D227" t="s">
        <v>21661</v>
      </c>
      <c r="E227" t="s">
        <v>22770</v>
      </c>
      <c r="F227" t="s">
        <v>2673</v>
      </c>
      <c r="G227" t="s">
        <v>98</v>
      </c>
      <c r="H227" t="s">
        <v>22771</v>
      </c>
      <c r="I227" t="s">
        <v>100</v>
      </c>
      <c r="J227">
        <v>1132798</v>
      </c>
      <c r="K227">
        <v>1132798</v>
      </c>
      <c r="L227">
        <v>867424</v>
      </c>
      <c r="M227">
        <v>1024</v>
      </c>
      <c r="N227" t="s">
        <v>22772</v>
      </c>
      <c r="O227">
        <v>265374</v>
      </c>
      <c r="P227">
        <v>435</v>
      </c>
      <c r="Q227" t="s">
        <v>22773</v>
      </c>
      <c r="R227">
        <v>0</v>
      </c>
      <c r="S227">
        <v>0</v>
      </c>
      <c r="U227" t="s">
        <v>102</v>
      </c>
      <c r="V227" t="s">
        <v>679</v>
      </c>
      <c r="W227" t="s">
        <v>104</v>
      </c>
      <c r="X227" t="s">
        <v>22774</v>
      </c>
      <c r="Y227" t="s">
        <v>22775</v>
      </c>
      <c r="Z227" t="s">
        <v>22776</v>
      </c>
      <c r="AA227" t="s">
        <v>22777</v>
      </c>
      <c r="AB227" t="s">
        <v>22778</v>
      </c>
      <c r="AC227" t="s">
        <v>109</v>
      </c>
      <c r="AD227" t="s">
        <v>102</v>
      </c>
      <c r="AE227" t="s">
        <v>109</v>
      </c>
      <c r="AF227" t="s">
        <v>102</v>
      </c>
      <c r="AG227" t="s">
        <v>25248</v>
      </c>
      <c r="AH227" t="s">
        <v>24272</v>
      </c>
      <c r="AI227" t="s">
        <v>24272</v>
      </c>
      <c r="AJ227" t="s">
        <v>24451</v>
      </c>
      <c r="AK227" t="s">
        <v>25249</v>
      </c>
      <c r="AL227" t="s">
        <v>25250</v>
      </c>
      <c r="AM227" t="s">
        <v>22779</v>
      </c>
      <c r="AN227" t="s">
        <v>22779</v>
      </c>
      <c r="AS227" t="s">
        <v>318</v>
      </c>
      <c r="AT227" t="s">
        <v>250</v>
      </c>
      <c r="AU227" t="s">
        <v>1103</v>
      </c>
      <c r="AV227" t="s">
        <v>119</v>
      </c>
      <c r="AX227" t="s">
        <v>250</v>
      </c>
      <c r="AZ227" t="s">
        <v>171</v>
      </c>
      <c r="BA227" t="s">
        <v>4403</v>
      </c>
      <c r="BB227" t="s">
        <v>4404</v>
      </c>
      <c r="BC227" t="s">
        <v>174</v>
      </c>
      <c r="BD227" t="s">
        <v>4405</v>
      </c>
      <c r="BE227" t="s">
        <v>124</v>
      </c>
      <c r="BF227" t="s">
        <v>22780</v>
      </c>
      <c r="BG227" t="s">
        <v>21667</v>
      </c>
      <c r="BH227" t="s">
        <v>127</v>
      </c>
      <c r="BI227" t="s">
        <v>22781</v>
      </c>
      <c r="BJ227" t="s">
        <v>8880</v>
      </c>
      <c r="BK227" t="s">
        <v>22782</v>
      </c>
      <c r="BL227" t="s">
        <v>22770</v>
      </c>
      <c r="BM227" t="s">
        <v>1108</v>
      </c>
      <c r="BN227" t="s">
        <v>180</v>
      </c>
      <c r="BO227" t="s">
        <v>1109</v>
      </c>
      <c r="BP227" t="s">
        <v>1110</v>
      </c>
      <c r="BQ227" t="s">
        <v>1111</v>
      </c>
      <c r="BS227" t="s">
        <v>22783</v>
      </c>
      <c r="BT227" t="s">
        <v>8883</v>
      </c>
      <c r="BU227" t="s">
        <v>354</v>
      </c>
      <c r="BV227" t="s">
        <v>8884</v>
      </c>
      <c r="BW227" t="s">
        <v>18283</v>
      </c>
      <c r="BX227" t="s">
        <v>8884</v>
      </c>
      <c r="BY227" t="s">
        <v>8883</v>
      </c>
      <c r="BZ227" t="s">
        <v>8884</v>
      </c>
      <c r="CA227" t="s">
        <v>18283</v>
      </c>
      <c r="CB227" t="s">
        <v>22784</v>
      </c>
      <c r="CC227" t="s">
        <v>8890</v>
      </c>
      <c r="CD227" t="s">
        <v>8891</v>
      </c>
      <c r="CE227" t="s">
        <v>102</v>
      </c>
      <c r="CF227" t="s">
        <v>18284</v>
      </c>
      <c r="CH227" t="s">
        <v>8893</v>
      </c>
      <c r="CJ227" t="s">
        <v>4403</v>
      </c>
      <c r="CK227" t="s">
        <v>4404</v>
      </c>
      <c r="CL227" t="s">
        <v>8893</v>
      </c>
      <c r="CM227" t="s">
        <v>25251</v>
      </c>
      <c r="CN227" t="s">
        <v>8892</v>
      </c>
      <c r="CO227" t="s">
        <v>8892</v>
      </c>
    </row>
    <row r="228" spans="1:93" hidden="1">
      <c r="A228" t="s">
        <v>149</v>
      </c>
      <c r="B228">
        <v>42625</v>
      </c>
      <c r="C228" t="s">
        <v>8921</v>
      </c>
      <c r="D228" t="s">
        <v>21661</v>
      </c>
      <c r="E228" t="s">
        <v>11889</v>
      </c>
      <c r="F228" t="s">
        <v>152</v>
      </c>
      <c r="G228" t="s">
        <v>98</v>
      </c>
      <c r="H228" t="s">
        <v>24452</v>
      </c>
      <c r="I228" t="s">
        <v>100</v>
      </c>
      <c r="J228">
        <v>1713333</v>
      </c>
      <c r="K228">
        <v>1713333</v>
      </c>
      <c r="L228">
        <v>0</v>
      </c>
      <c r="M228">
        <v>0</v>
      </c>
      <c r="O228">
        <v>1713333</v>
      </c>
      <c r="P228">
        <v>892</v>
      </c>
      <c r="Q228" t="s">
        <v>24453</v>
      </c>
      <c r="R228">
        <v>0</v>
      </c>
      <c r="S228">
        <v>0</v>
      </c>
      <c r="U228" t="s">
        <v>102</v>
      </c>
      <c r="V228" t="s">
        <v>103</v>
      </c>
      <c r="W228" t="s">
        <v>155</v>
      </c>
      <c r="Y228" t="s">
        <v>11960</v>
      </c>
      <c r="Z228" t="s">
        <v>24454</v>
      </c>
      <c r="AA228" t="s">
        <v>21983</v>
      </c>
      <c r="AB228" t="s">
        <v>24454</v>
      </c>
      <c r="AC228" t="s">
        <v>22119</v>
      </c>
      <c r="AD228" t="s">
        <v>24454</v>
      </c>
      <c r="AE228" t="s">
        <v>21687</v>
      </c>
      <c r="AF228" t="s">
        <v>24454</v>
      </c>
      <c r="AG228" t="s">
        <v>102</v>
      </c>
      <c r="AJ228" t="s">
        <v>102</v>
      </c>
      <c r="AK228" t="s">
        <v>102</v>
      </c>
      <c r="AL228" t="s">
        <v>102</v>
      </c>
      <c r="AM228" t="s">
        <v>24455</v>
      </c>
      <c r="AN228" t="s">
        <v>24456</v>
      </c>
      <c r="AR228" t="s">
        <v>24457</v>
      </c>
      <c r="AS228" t="s">
        <v>102</v>
      </c>
      <c r="AU228" t="s">
        <v>155</v>
      </c>
      <c r="AV228" t="s">
        <v>119</v>
      </c>
      <c r="AW228" t="s">
        <v>170</v>
      </c>
      <c r="AX228" t="s">
        <v>118</v>
      </c>
      <c r="AZ228" t="s">
        <v>120</v>
      </c>
      <c r="BA228" t="s">
        <v>8930</v>
      </c>
      <c r="BB228" t="s">
        <v>2800</v>
      </c>
      <c r="BC228" t="s">
        <v>122</v>
      </c>
      <c r="BD228" t="s">
        <v>346</v>
      </c>
      <c r="BE228" t="s">
        <v>124</v>
      </c>
      <c r="BF228" t="s">
        <v>12250</v>
      </c>
      <c r="BG228" t="s">
        <v>21667</v>
      </c>
      <c r="BH228" t="s">
        <v>127</v>
      </c>
      <c r="BI228" t="s">
        <v>24458</v>
      </c>
      <c r="BJ228" t="s">
        <v>8932</v>
      </c>
      <c r="BK228" t="s">
        <v>24459</v>
      </c>
      <c r="BL228" t="s">
        <v>11889</v>
      </c>
      <c r="BM228" t="s">
        <v>12934</v>
      </c>
      <c r="BN228" t="s">
        <v>350</v>
      </c>
      <c r="BO228" t="s">
        <v>12935</v>
      </c>
      <c r="BP228" t="s">
        <v>12936</v>
      </c>
      <c r="BQ228" t="s">
        <v>328</v>
      </c>
      <c r="BS228" t="s">
        <v>24460</v>
      </c>
      <c r="BT228" t="s">
        <v>24461</v>
      </c>
      <c r="BU228" t="s">
        <v>138</v>
      </c>
      <c r="BV228" t="s">
        <v>24462</v>
      </c>
      <c r="BW228" t="s">
        <v>24463</v>
      </c>
      <c r="BX228" t="s">
        <v>8938</v>
      </c>
      <c r="BY228" t="s">
        <v>24461</v>
      </c>
      <c r="BZ228" t="s">
        <v>18312</v>
      </c>
      <c r="CA228" t="s">
        <v>24463</v>
      </c>
      <c r="CB228" t="s">
        <v>24464</v>
      </c>
      <c r="CC228" t="s">
        <v>18315</v>
      </c>
      <c r="CD228" t="s">
        <v>18316</v>
      </c>
      <c r="CE228" t="s">
        <v>102</v>
      </c>
      <c r="CF228" t="s">
        <v>8939</v>
      </c>
      <c r="CH228" t="s">
        <v>8940</v>
      </c>
      <c r="CJ228" t="s">
        <v>8930</v>
      </c>
      <c r="CK228" t="s">
        <v>2800</v>
      </c>
      <c r="CL228" t="s">
        <v>8940</v>
      </c>
      <c r="CM228" t="s">
        <v>8941</v>
      </c>
      <c r="CN228" t="s">
        <v>8939</v>
      </c>
      <c r="CO228" t="s">
        <v>8939</v>
      </c>
    </row>
    <row r="229" spans="1:93" hidden="1">
      <c r="A229" t="s">
        <v>149</v>
      </c>
      <c r="B229">
        <v>437634</v>
      </c>
      <c r="C229" t="s">
        <v>8946</v>
      </c>
      <c r="D229" t="s">
        <v>21661</v>
      </c>
      <c r="E229" t="s">
        <v>23517</v>
      </c>
      <c r="F229" t="s">
        <v>152</v>
      </c>
      <c r="G229" t="s">
        <v>98</v>
      </c>
      <c r="H229" t="s">
        <v>23571</v>
      </c>
      <c r="I229" t="s">
        <v>100</v>
      </c>
      <c r="J229">
        <v>1000288</v>
      </c>
      <c r="K229">
        <v>1000288</v>
      </c>
      <c r="L229">
        <v>0</v>
      </c>
      <c r="M229">
        <v>0</v>
      </c>
      <c r="O229">
        <v>1000288</v>
      </c>
      <c r="P229">
        <v>2405</v>
      </c>
      <c r="Q229" t="s">
        <v>23572</v>
      </c>
      <c r="R229">
        <v>0</v>
      </c>
      <c r="S229">
        <v>0</v>
      </c>
      <c r="U229" t="s">
        <v>102</v>
      </c>
      <c r="V229" t="s">
        <v>103</v>
      </c>
      <c r="W229" t="s">
        <v>104</v>
      </c>
      <c r="Y229" t="s">
        <v>12047</v>
      </c>
      <c r="Z229" t="s">
        <v>23573</v>
      </c>
      <c r="AA229" t="s">
        <v>22704</v>
      </c>
      <c r="AB229" t="s">
        <v>23574</v>
      </c>
      <c r="AC229" t="s">
        <v>109</v>
      </c>
      <c r="AD229" t="s">
        <v>102</v>
      </c>
      <c r="AE229" t="s">
        <v>109</v>
      </c>
      <c r="AF229" t="s">
        <v>102</v>
      </c>
      <c r="AG229" t="s">
        <v>102</v>
      </c>
      <c r="AJ229" t="s">
        <v>23573</v>
      </c>
      <c r="AK229" t="s">
        <v>102</v>
      </c>
      <c r="AL229" t="s">
        <v>23573</v>
      </c>
      <c r="AM229" t="s">
        <v>23575</v>
      </c>
      <c r="AN229" t="s">
        <v>23576</v>
      </c>
      <c r="AR229" t="s">
        <v>169</v>
      </c>
      <c r="AS229" t="s">
        <v>102</v>
      </c>
      <c r="AU229" t="s">
        <v>155</v>
      </c>
      <c r="AV229" t="s">
        <v>119</v>
      </c>
      <c r="AX229" t="s">
        <v>250</v>
      </c>
      <c r="AZ229" t="s">
        <v>120</v>
      </c>
      <c r="BA229" t="s">
        <v>3714</v>
      </c>
      <c r="BB229" t="s">
        <v>730</v>
      </c>
      <c r="BC229" t="s">
        <v>622</v>
      </c>
      <c r="BD229" t="s">
        <v>730</v>
      </c>
      <c r="BE229" t="s">
        <v>124</v>
      </c>
      <c r="BF229" t="s">
        <v>12250</v>
      </c>
      <c r="BG229" t="s">
        <v>21667</v>
      </c>
      <c r="BH229" t="s">
        <v>127</v>
      </c>
      <c r="BI229" t="s">
        <v>23577</v>
      </c>
      <c r="BJ229" t="s">
        <v>8956</v>
      </c>
      <c r="BK229" t="s">
        <v>23578</v>
      </c>
      <c r="BL229" t="s">
        <v>23517</v>
      </c>
      <c r="BM229" t="s">
        <v>3606</v>
      </c>
      <c r="BN229" t="s">
        <v>350</v>
      </c>
      <c r="BO229" t="s">
        <v>3607</v>
      </c>
      <c r="BP229" t="s">
        <v>3608</v>
      </c>
      <c r="BQ229" t="s">
        <v>2569</v>
      </c>
      <c r="BS229" t="s">
        <v>23579</v>
      </c>
      <c r="BT229" t="s">
        <v>8959</v>
      </c>
      <c r="BU229" t="s">
        <v>138</v>
      </c>
      <c r="BV229" t="s">
        <v>3607</v>
      </c>
      <c r="BW229" t="s">
        <v>23580</v>
      </c>
      <c r="BX229" t="s">
        <v>8962</v>
      </c>
      <c r="BY229" t="s">
        <v>8959</v>
      </c>
      <c r="BZ229" t="s">
        <v>23581</v>
      </c>
      <c r="CA229" t="s">
        <v>23580</v>
      </c>
      <c r="CB229" t="s">
        <v>8959</v>
      </c>
      <c r="CC229" t="s">
        <v>23581</v>
      </c>
      <c r="CD229" t="s">
        <v>23580</v>
      </c>
      <c r="CE229" t="s">
        <v>8963</v>
      </c>
      <c r="CF229" t="s">
        <v>8964</v>
      </c>
      <c r="CH229" t="s">
        <v>8965</v>
      </c>
      <c r="CI229" t="s">
        <v>8964</v>
      </c>
      <c r="CJ229" t="s">
        <v>3714</v>
      </c>
      <c r="CK229" t="s">
        <v>730</v>
      </c>
      <c r="CL229" t="s">
        <v>8965</v>
      </c>
      <c r="CM229" t="s">
        <v>8966</v>
      </c>
      <c r="CN229" t="s">
        <v>8964</v>
      </c>
      <c r="CO229" t="s">
        <v>8964</v>
      </c>
    </row>
    <row r="230" spans="1:93" hidden="1">
      <c r="A230" t="s">
        <v>149</v>
      </c>
      <c r="B230">
        <v>440751</v>
      </c>
      <c r="C230" t="s">
        <v>8967</v>
      </c>
      <c r="D230" t="s">
        <v>21661</v>
      </c>
      <c r="E230" t="s">
        <v>22785</v>
      </c>
      <c r="F230" t="s">
        <v>643</v>
      </c>
      <c r="G230" t="s">
        <v>98</v>
      </c>
      <c r="H230" t="s">
        <v>22786</v>
      </c>
      <c r="I230" t="s">
        <v>100</v>
      </c>
      <c r="J230">
        <v>1450859</v>
      </c>
      <c r="K230">
        <v>1571174</v>
      </c>
      <c r="L230">
        <v>0</v>
      </c>
      <c r="M230">
        <v>0</v>
      </c>
      <c r="O230">
        <v>782444</v>
      </c>
      <c r="P230">
        <v>576</v>
      </c>
      <c r="Q230" t="s">
        <v>22787</v>
      </c>
      <c r="R230">
        <v>668415</v>
      </c>
      <c r="S230">
        <v>387</v>
      </c>
      <c r="T230" t="s">
        <v>2909</v>
      </c>
      <c r="U230" t="s">
        <v>102</v>
      </c>
      <c r="V230" t="s">
        <v>103</v>
      </c>
      <c r="W230" t="s">
        <v>155</v>
      </c>
      <c r="Y230" t="s">
        <v>12047</v>
      </c>
      <c r="Z230" t="s">
        <v>22788</v>
      </c>
      <c r="AA230" t="s">
        <v>21826</v>
      </c>
      <c r="AB230" t="s">
        <v>22788</v>
      </c>
      <c r="AC230" t="s">
        <v>22646</v>
      </c>
      <c r="AD230" t="s">
        <v>22788</v>
      </c>
      <c r="AE230" t="s">
        <v>21687</v>
      </c>
      <c r="AF230" t="s">
        <v>22788</v>
      </c>
      <c r="AG230" t="s">
        <v>102</v>
      </c>
      <c r="AJ230" t="s">
        <v>22788</v>
      </c>
      <c r="AK230" t="s">
        <v>102</v>
      </c>
      <c r="AL230" t="s">
        <v>22788</v>
      </c>
      <c r="AM230" t="s">
        <v>22789</v>
      </c>
      <c r="AN230" t="s">
        <v>22789</v>
      </c>
      <c r="AS230" t="s">
        <v>102</v>
      </c>
      <c r="AU230" t="s">
        <v>951</v>
      </c>
      <c r="AV230" t="s">
        <v>249</v>
      </c>
      <c r="AW230" t="s">
        <v>1138</v>
      </c>
      <c r="AX230" t="s">
        <v>2203</v>
      </c>
      <c r="AY230" t="s">
        <v>250</v>
      </c>
      <c r="AZ230" t="s">
        <v>120</v>
      </c>
      <c r="BA230" t="s">
        <v>8978</v>
      </c>
      <c r="BB230" t="s">
        <v>5879</v>
      </c>
      <c r="BC230" t="s">
        <v>174</v>
      </c>
      <c r="BD230" t="s">
        <v>4405</v>
      </c>
      <c r="BE230" t="s">
        <v>124</v>
      </c>
      <c r="BF230" t="s">
        <v>22790</v>
      </c>
      <c r="BG230" t="s">
        <v>21667</v>
      </c>
      <c r="BH230" t="s">
        <v>127</v>
      </c>
      <c r="BI230" t="s">
        <v>22791</v>
      </c>
      <c r="BJ230" t="s">
        <v>8980</v>
      </c>
      <c r="BK230" t="s">
        <v>22792</v>
      </c>
      <c r="BL230" t="s">
        <v>22785</v>
      </c>
      <c r="BM230" t="s">
        <v>1108</v>
      </c>
      <c r="BN230" t="s">
        <v>180</v>
      </c>
      <c r="BO230" t="s">
        <v>1109</v>
      </c>
      <c r="BP230" t="s">
        <v>1110</v>
      </c>
      <c r="BQ230" t="s">
        <v>1111</v>
      </c>
      <c r="BS230" t="s">
        <v>22793</v>
      </c>
      <c r="BT230" t="s">
        <v>8983</v>
      </c>
      <c r="BU230" t="s">
        <v>138</v>
      </c>
      <c r="BV230" t="s">
        <v>8984</v>
      </c>
      <c r="BW230" t="s">
        <v>8985</v>
      </c>
      <c r="BX230" t="s">
        <v>8984</v>
      </c>
      <c r="BY230" t="s">
        <v>8983</v>
      </c>
      <c r="BZ230" t="s">
        <v>8984</v>
      </c>
      <c r="CA230" t="s">
        <v>8985</v>
      </c>
      <c r="CB230" t="s">
        <v>8983</v>
      </c>
      <c r="CC230" t="s">
        <v>8984</v>
      </c>
      <c r="CD230" t="s">
        <v>8985</v>
      </c>
      <c r="CE230" t="s">
        <v>102</v>
      </c>
      <c r="CF230" t="s">
        <v>18349</v>
      </c>
      <c r="CH230" t="s">
        <v>8989</v>
      </c>
      <c r="CJ230" t="s">
        <v>8978</v>
      </c>
      <c r="CK230" t="s">
        <v>5879</v>
      </c>
      <c r="CL230" t="s">
        <v>8989</v>
      </c>
      <c r="CM230" t="s">
        <v>8990</v>
      </c>
      <c r="CN230" t="s">
        <v>8991</v>
      </c>
      <c r="CO230" t="s">
        <v>8988</v>
      </c>
    </row>
    <row r="231" spans="1:93">
      <c r="A231" t="s">
        <v>337</v>
      </c>
      <c r="B231">
        <v>454513</v>
      </c>
      <c r="C231" t="s">
        <v>24465</v>
      </c>
      <c r="D231" t="s">
        <v>21661</v>
      </c>
      <c r="E231" t="s">
        <v>21214</v>
      </c>
      <c r="F231" t="s">
        <v>97</v>
      </c>
      <c r="G231" t="s">
        <v>98</v>
      </c>
      <c r="H231" t="s">
        <v>24466</v>
      </c>
      <c r="I231" t="s">
        <v>100</v>
      </c>
      <c r="J231">
        <v>189000</v>
      </c>
      <c r="K231">
        <v>189000</v>
      </c>
      <c r="L231">
        <v>189000</v>
      </c>
      <c r="M231">
        <v>315</v>
      </c>
      <c r="N231" t="s">
        <v>310</v>
      </c>
      <c r="O231">
        <v>0</v>
      </c>
      <c r="P231">
        <v>0</v>
      </c>
      <c r="R231">
        <v>0</v>
      </c>
      <c r="S231">
        <v>0</v>
      </c>
      <c r="U231" t="s">
        <v>102</v>
      </c>
      <c r="V231" t="s">
        <v>103</v>
      </c>
      <c r="W231" t="s">
        <v>104</v>
      </c>
      <c r="Y231" t="s">
        <v>11933</v>
      </c>
      <c r="Z231" t="s">
        <v>10730</v>
      </c>
      <c r="AA231" t="s">
        <v>12047</v>
      </c>
      <c r="AB231" t="s">
        <v>10730</v>
      </c>
      <c r="AC231" t="s">
        <v>109</v>
      </c>
      <c r="AD231" t="s">
        <v>102</v>
      </c>
      <c r="AE231" t="s">
        <v>109</v>
      </c>
      <c r="AF231" t="s">
        <v>102</v>
      </c>
      <c r="AG231" t="s">
        <v>102</v>
      </c>
      <c r="AH231" t="s">
        <v>24156</v>
      </c>
      <c r="AI231" t="s">
        <v>24156</v>
      </c>
      <c r="AJ231" t="s">
        <v>9643</v>
      </c>
      <c r="AK231" t="s">
        <v>24467</v>
      </c>
      <c r="AL231" t="s">
        <v>26521</v>
      </c>
      <c r="AM231" t="s">
        <v>116</v>
      </c>
      <c r="AN231" t="s">
        <v>116</v>
      </c>
      <c r="AS231" t="s">
        <v>318</v>
      </c>
      <c r="AT231" t="s">
        <v>250</v>
      </c>
      <c r="AU231" t="s">
        <v>102</v>
      </c>
      <c r="AV231" t="s">
        <v>119</v>
      </c>
      <c r="AZ231" t="s">
        <v>120</v>
      </c>
      <c r="BA231" t="s">
        <v>2127</v>
      </c>
      <c r="BB231" t="s">
        <v>621</v>
      </c>
      <c r="BC231" t="s">
        <v>622</v>
      </c>
      <c r="BD231" t="s">
        <v>976</v>
      </c>
      <c r="BE231" t="s">
        <v>124</v>
      </c>
      <c r="BF231" t="s">
        <v>12250</v>
      </c>
      <c r="BG231" t="s">
        <v>21667</v>
      </c>
      <c r="BH231" t="s">
        <v>127</v>
      </c>
      <c r="BI231" t="s">
        <v>24468</v>
      </c>
      <c r="BJ231" t="s">
        <v>24469</v>
      </c>
      <c r="BK231" t="s">
        <v>24470</v>
      </c>
      <c r="BL231" t="s">
        <v>21214</v>
      </c>
      <c r="BM231" t="s">
        <v>13638</v>
      </c>
      <c r="BN231" t="s">
        <v>505</v>
      </c>
      <c r="BO231" t="s">
        <v>13639</v>
      </c>
      <c r="BP231" t="s">
        <v>13640</v>
      </c>
      <c r="BQ231" t="s">
        <v>2847</v>
      </c>
      <c r="BS231" t="s">
        <v>24471</v>
      </c>
      <c r="BT231" t="s">
        <v>24472</v>
      </c>
      <c r="BU231" t="s">
        <v>598</v>
      </c>
      <c r="BV231" t="s">
        <v>24473</v>
      </c>
      <c r="BW231" t="s">
        <v>24474</v>
      </c>
      <c r="BX231" t="s">
        <v>24475</v>
      </c>
      <c r="BY231" t="s">
        <v>24476</v>
      </c>
      <c r="BZ231" t="s">
        <v>24475</v>
      </c>
      <c r="CA231" t="s">
        <v>24477</v>
      </c>
      <c r="CB231" t="s">
        <v>24472</v>
      </c>
      <c r="CC231" t="s">
        <v>24473</v>
      </c>
      <c r="CD231" t="s">
        <v>24474</v>
      </c>
      <c r="CE231" t="s">
        <v>5768</v>
      </c>
      <c r="CF231" t="s">
        <v>24478</v>
      </c>
      <c r="CH231" t="s">
        <v>6953</v>
      </c>
      <c r="CI231" t="s">
        <v>24479</v>
      </c>
      <c r="CJ231" t="s">
        <v>2127</v>
      </c>
      <c r="CK231" t="s">
        <v>621</v>
      </c>
      <c r="CL231" t="s">
        <v>6953</v>
      </c>
      <c r="CN231" t="s">
        <v>24480</v>
      </c>
      <c r="CO231" t="s">
        <v>24480</v>
      </c>
    </row>
    <row r="232" spans="1:93">
      <c r="A232" t="s">
        <v>337</v>
      </c>
      <c r="B232">
        <v>463877</v>
      </c>
      <c r="C232" t="s">
        <v>18377</v>
      </c>
      <c r="D232" t="s">
        <v>21661</v>
      </c>
      <c r="E232" t="s">
        <v>23582</v>
      </c>
      <c r="F232" t="s">
        <v>643</v>
      </c>
      <c r="G232" t="s">
        <v>98</v>
      </c>
      <c r="H232" t="s">
        <v>23583</v>
      </c>
      <c r="I232" t="s">
        <v>100</v>
      </c>
      <c r="J232">
        <v>311014</v>
      </c>
      <c r="K232">
        <v>311014</v>
      </c>
      <c r="L232">
        <v>0</v>
      </c>
      <c r="M232">
        <v>0</v>
      </c>
      <c r="O232">
        <v>311014</v>
      </c>
      <c r="P232">
        <v>162</v>
      </c>
      <c r="Q232" t="s">
        <v>14021</v>
      </c>
      <c r="R232">
        <v>0</v>
      </c>
      <c r="S232">
        <v>162</v>
      </c>
      <c r="T232" t="s">
        <v>102</v>
      </c>
      <c r="U232" t="s">
        <v>102</v>
      </c>
      <c r="V232" t="s">
        <v>275</v>
      </c>
      <c r="X232" t="s">
        <v>23584</v>
      </c>
      <c r="Y232" t="s">
        <v>109</v>
      </c>
      <c r="Z232" t="s">
        <v>102</v>
      </c>
      <c r="AA232" t="s">
        <v>109</v>
      </c>
      <c r="AB232" t="s">
        <v>102</v>
      </c>
      <c r="AC232" t="s">
        <v>109</v>
      </c>
      <c r="AD232" t="s">
        <v>102</v>
      </c>
      <c r="AE232" t="s">
        <v>109</v>
      </c>
      <c r="AF232" t="s">
        <v>102</v>
      </c>
      <c r="AG232" t="s">
        <v>23585</v>
      </c>
      <c r="AH232" t="s">
        <v>16421</v>
      </c>
      <c r="AI232" t="s">
        <v>16421</v>
      </c>
      <c r="AJ232" t="s">
        <v>23586</v>
      </c>
      <c r="AK232" t="s">
        <v>23587</v>
      </c>
      <c r="AL232" t="s">
        <v>102</v>
      </c>
      <c r="AM232" t="s">
        <v>23588</v>
      </c>
      <c r="AN232" t="s">
        <v>23588</v>
      </c>
      <c r="AS232" t="s">
        <v>102</v>
      </c>
      <c r="AU232" t="s">
        <v>655</v>
      </c>
      <c r="AV232" t="s">
        <v>119</v>
      </c>
      <c r="AW232" t="s">
        <v>170</v>
      </c>
      <c r="AX232" t="s">
        <v>118</v>
      </c>
      <c r="AY232" t="s">
        <v>250</v>
      </c>
      <c r="AZ232" t="s">
        <v>209</v>
      </c>
      <c r="BA232" t="s">
        <v>623</v>
      </c>
      <c r="BB232" t="s">
        <v>621</v>
      </c>
      <c r="BC232" t="s">
        <v>622</v>
      </c>
      <c r="BD232" t="s">
        <v>623</v>
      </c>
      <c r="BE232" t="s">
        <v>124</v>
      </c>
      <c r="BF232" t="s">
        <v>23589</v>
      </c>
      <c r="BG232" t="s">
        <v>23590</v>
      </c>
      <c r="BH232" t="s">
        <v>23591</v>
      </c>
      <c r="BI232" t="s">
        <v>23592</v>
      </c>
      <c r="BJ232" t="s">
        <v>18379</v>
      </c>
      <c r="BK232" t="s">
        <v>22794</v>
      </c>
      <c r="BL232" t="s">
        <v>23582</v>
      </c>
      <c r="BM232" t="s">
        <v>2284</v>
      </c>
      <c r="BN232" t="s">
        <v>132</v>
      </c>
      <c r="BO232" t="s">
        <v>2285</v>
      </c>
      <c r="BP232" t="s">
        <v>2286</v>
      </c>
      <c r="BQ232" t="s">
        <v>1342</v>
      </c>
      <c r="BS232" t="s">
        <v>23593</v>
      </c>
      <c r="BT232" t="s">
        <v>18382</v>
      </c>
      <c r="BU232" t="s">
        <v>138</v>
      </c>
      <c r="BV232" t="s">
        <v>18383</v>
      </c>
      <c r="BW232" t="s">
        <v>18384</v>
      </c>
      <c r="BX232" t="s">
        <v>18385</v>
      </c>
      <c r="BY232" t="s">
        <v>18382</v>
      </c>
      <c r="BZ232" t="s">
        <v>18383</v>
      </c>
      <c r="CA232" t="s">
        <v>18384</v>
      </c>
      <c r="CB232" t="s">
        <v>18382</v>
      </c>
      <c r="CC232" t="s">
        <v>18383</v>
      </c>
      <c r="CD232" t="s">
        <v>18384</v>
      </c>
      <c r="CE232" t="s">
        <v>9607</v>
      </c>
      <c r="CF232" t="s">
        <v>18386</v>
      </c>
      <c r="CH232" t="s">
        <v>7250</v>
      </c>
      <c r="CI232" t="s">
        <v>18386</v>
      </c>
      <c r="CJ232" t="s">
        <v>623</v>
      </c>
      <c r="CK232" t="s">
        <v>621</v>
      </c>
      <c r="CL232" t="s">
        <v>7250</v>
      </c>
      <c r="CM232" t="s">
        <v>18387</v>
      </c>
      <c r="CN232" t="s">
        <v>18388</v>
      </c>
      <c r="CO232" t="s">
        <v>18388</v>
      </c>
    </row>
    <row r="233" spans="1:93" hidden="1">
      <c r="A233" t="s">
        <v>149</v>
      </c>
      <c r="B233">
        <v>47745</v>
      </c>
      <c r="C233" t="s">
        <v>8992</v>
      </c>
      <c r="D233" t="s">
        <v>21661</v>
      </c>
      <c r="E233" t="s">
        <v>23889</v>
      </c>
      <c r="F233" t="s">
        <v>97</v>
      </c>
      <c r="G233" t="s">
        <v>98</v>
      </c>
      <c r="H233" t="s">
        <v>23890</v>
      </c>
      <c r="I233" t="s">
        <v>100</v>
      </c>
      <c r="J233">
        <v>1039920</v>
      </c>
      <c r="K233">
        <v>1039920</v>
      </c>
      <c r="L233">
        <v>1039920</v>
      </c>
      <c r="M233">
        <v>1600</v>
      </c>
      <c r="N233" t="s">
        <v>1122</v>
      </c>
      <c r="O233">
        <v>0</v>
      </c>
      <c r="P233">
        <v>0</v>
      </c>
      <c r="R233">
        <v>0</v>
      </c>
      <c r="S233">
        <v>0</v>
      </c>
      <c r="U233" t="s">
        <v>102</v>
      </c>
      <c r="V233" t="s">
        <v>103</v>
      </c>
      <c r="W233" t="s">
        <v>104</v>
      </c>
      <c r="Y233" t="s">
        <v>22840</v>
      </c>
      <c r="Z233" t="s">
        <v>23891</v>
      </c>
      <c r="AA233" t="s">
        <v>22103</v>
      </c>
      <c r="AB233" t="s">
        <v>23892</v>
      </c>
      <c r="AC233" t="s">
        <v>109</v>
      </c>
      <c r="AD233" t="s">
        <v>102</v>
      </c>
      <c r="AE233" t="s">
        <v>109</v>
      </c>
      <c r="AF233" t="s">
        <v>102</v>
      </c>
      <c r="AG233" t="s">
        <v>102</v>
      </c>
      <c r="AJ233" t="s">
        <v>102</v>
      </c>
      <c r="AK233" t="s">
        <v>102</v>
      </c>
      <c r="AL233" t="s">
        <v>102</v>
      </c>
      <c r="AM233" t="s">
        <v>5355</v>
      </c>
      <c r="AN233" t="s">
        <v>5355</v>
      </c>
      <c r="AS233" t="s">
        <v>318</v>
      </c>
      <c r="AT233" t="s">
        <v>118</v>
      </c>
      <c r="AU233" t="s">
        <v>102</v>
      </c>
      <c r="AV233" t="s">
        <v>119</v>
      </c>
      <c r="AZ233" t="s">
        <v>120</v>
      </c>
      <c r="BA233" t="s">
        <v>2204</v>
      </c>
      <c r="BB233" t="s">
        <v>121</v>
      </c>
      <c r="BC233" t="s">
        <v>122</v>
      </c>
      <c r="BD233" t="s">
        <v>123</v>
      </c>
      <c r="BE233" t="s">
        <v>124</v>
      </c>
      <c r="BF233" t="s">
        <v>12250</v>
      </c>
      <c r="BG233" t="s">
        <v>21667</v>
      </c>
      <c r="BH233" t="s">
        <v>127</v>
      </c>
      <c r="BI233" t="s">
        <v>23893</v>
      </c>
      <c r="BJ233" t="s">
        <v>9001</v>
      </c>
      <c r="BK233" t="s">
        <v>23894</v>
      </c>
      <c r="BL233" t="s">
        <v>23889</v>
      </c>
      <c r="BM233" t="s">
        <v>8788</v>
      </c>
      <c r="BN233" t="s">
        <v>350</v>
      </c>
      <c r="BO233" t="s">
        <v>8789</v>
      </c>
      <c r="BP233" t="s">
        <v>8790</v>
      </c>
      <c r="BQ233" t="s">
        <v>1006</v>
      </c>
      <c r="BS233" t="s">
        <v>23895</v>
      </c>
      <c r="BT233" t="s">
        <v>9004</v>
      </c>
      <c r="BU233" t="s">
        <v>138</v>
      </c>
      <c r="BV233" t="s">
        <v>9005</v>
      </c>
      <c r="BW233" t="s">
        <v>9006</v>
      </c>
      <c r="BX233" t="s">
        <v>9007</v>
      </c>
      <c r="BY233" t="s">
        <v>9004</v>
      </c>
      <c r="BZ233" t="s">
        <v>9007</v>
      </c>
      <c r="CA233" t="s">
        <v>9006</v>
      </c>
      <c r="CB233" t="s">
        <v>18416</v>
      </c>
      <c r="CC233" t="s">
        <v>9009</v>
      </c>
      <c r="CD233" t="s">
        <v>9010</v>
      </c>
      <c r="CE233" t="s">
        <v>102</v>
      </c>
      <c r="CF233" t="s">
        <v>9011</v>
      </c>
      <c r="CH233" t="s">
        <v>5311</v>
      </c>
      <c r="CJ233" t="s">
        <v>2204</v>
      </c>
      <c r="CK233" t="s">
        <v>121</v>
      </c>
      <c r="CL233" t="s">
        <v>5311</v>
      </c>
      <c r="CN233" t="s">
        <v>9011</v>
      </c>
      <c r="CO233" t="s">
        <v>9011</v>
      </c>
    </row>
    <row r="234" spans="1:93">
      <c r="A234" t="s">
        <v>337</v>
      </c>
      <c r="B234">
        <v>5000918</v>
      </c>
      <c r="C234" t="s">
        <v>18438</v>
      </c>
      <c r="D234" t="s">
        <v>21661</v>
      </c>
      <c r="E234" t="s">
        <v>18439</v>
      </c>
      <c r="F234" t="s">
        <v>97</v>
      </c>
      <c r="G234" t="s">
        <v>98</v>
      </c>
      <c r="H234" t="s">
        <v>22795</v>
      </c>
      <c r="I234" t="s">
        <v>100</v>
      </c>
      <c r="J234">
        <v>1294802</v>
      </c>
      <c r="K234">
        <v>1294802</v>
      </c>
      <c r="L234">
        <v>1294802</v>
      </c>
      <c r="M234">
        <v>1423</v>
      </c>
      <c r="N234" t="s">
        <v>1798</v>
      </c>
      <c r="O234">
        <v>0</v>
      </c>
      <c r="P234">
        <v>0</v>
      </c>
      <c r="R234">
        <v>0</v>
      </c>
      <c r="S234">
        <v>0</v>
      </c>
      <c r="U234" t="s">
        <v>102</v>
      </c>
      <c r="V234" t="s">
        <v>103</v>
      </c>
      <c r="W234" t="s">
        <v>104</v>
      </c>
      <c r="Y234" t="s">
        <v>12082</v>
      </c>
      <c r="Z234" t="s">
        <v>22796</v>
      </c>
      <c r="AA234" t="s">
        <v>22177</v>
      </c>
      <c r="AB234" t="s">
        <v>22796</v>
      </c>
      <c r="AC234" t="s">
        <v>109</v>
      </c>
      <c r="AD234" t="s">
        <v>102</v>
      </c>
      <c r="AE234" t="s">
        <v>109</v>
      </c>
      <c r="AF234" t="s">
        <v>102</v>
      </c>
      <c r="AG234" t="s">
        <v>102</v>
      </c>
      <c r="AJ234" t="s">
        <v>22796</v>
      </c>
      <c r="AK234" t="s">
        <v>102</v>
      </c>
      <c r="AL234" t="s">
        <v>22796</v>
      </c>
      <c r="AM234" t="s">
        <v>18443</v>
      </c>
      <c r="AN234" t="s">
        <v>18443</v>
      </c>
      <c r="AS234" t="s">
        <v>117</v>
      </c>
      <c r="AT234" t="s">
        <v>118</v>
      </c>
      <c r="AU234" t="s">
        <v>102</v>
      </c>
      <c r="AV234" t="s">
        <v>119</v>
      </c>
      <c r="AZ234" t="s">
        <v>120</v>
      </c>
      <c r="BA234" t="s">
        <v>2127</v>
      </c>
      <c r="BB234" t="s">
        <v>621</v>
      </c>
      <c r="BC234" t="s">
        <v>622</v>
      </c>
      <c r="BD234" t="s">
        <v>976</v>
      </c>
      <c r="BE234" t="s">
        <v>124</v>
      </c>
      <c r="BF234" t="s">
        <v>19143</v>
      </c>
      <c r="BG234" t="s">
        <v>21667</v>
      </c>
      <c r="BH234" t="s">
        <v>127</v>
      </c>
      <c r="BI234" t="s">
        <v>22797</v>
      </c>
      <c r="BJ234" t="s">
        <v>18445</v>
      </c>
      <c r="BK234" t="s">
        <v>22798</v>
      </c>
      <c r="BL234" t="s">
        <v>18439</v>
      </c>
      <c r="BM234" t="s">
        <v>13638</v>
      </c>
      <c r="BN234" t="s">
        <v>132</v>
      </c>
      <c r="BO234" t="s">
        <v>13639</v>
      </c>
      <c r="BP234" t="s">
        <v>13640</v>
      </c>
      <c r="BQ234" t="s">
        <v>2847</v>
      </c>
      <c r="BS234" t="s">
        <v>22799</v>
      </c>
      <c r="BT234" t="s">
        <v>18448</v>
      </c>
      <c r="BU234" t="s">
        <v>598</v>
      </c>
      <c r="BV234" t="s">
        <v>18449</v>
      </c>
      <c r="BW234" t="s">
        <v>22800</v>
      </c>
      <c r="BX234" t="s">
        <v>18451</v>
      </c>
      <c r="BY234" t="s">
        <v>18452</v>
      </c>
      <c r="BZ234" t="s">
        <v>18453</v>
      </c>
      <c r="CA234" t="s">
        <v>18454</v>
      </c>
      <c r="CB234" t="s">
        <v>18455</v>
      </c>
      <c r="CC234" t="s">
        <v>22801</v>
      </c>
      <c r="CD234" t="s">
        <v>18454</v>
      </c>
      <c r="CE234" t="s">
        <v>18457</v>
      </c>
      <c r="CF234" t="s">
        <v>18458</v>
      </c>
      <c r="CH234" t="s">
        <v>18459</v>
      </c>
      <c r="CI234" t="s">
        <v>18460</v>
      </c>
      <c r="CJ234" t="s">
        <v>2127</v>
      </c>
      <c r="CK234" t="s">
        <v>621</v>
      </c>
      <c r="CL234" t="s">
        <v>18459</v>
      </c>
      <c r="CM234" t="s">
        <v>18461</v>
      </c>
      <c r="CN234" t="s">
        <v>18462</v>
      </c>
      <c r="CO234" t="s">
        <v>18463</v>
      </c>
    </row>
    <row r="235" spans="1:93" hidden="1">
      <c r="A235" t="s">
        <v>495</v>
      </c>
      <c r="B235">
        <v>5002430</v>
      </c>
      <c r="C235" t="s">
        <v>24481</v>
      </c>
      <c r="D235" t="s">
        <v>21661</v>
      </c>
      <c r="E235" t="s">
        <v>21962</v>
      </c>
      <c r="F235" t="s">
        <v>97</v>
      </c>
      <c r="G235" t="s">
        <v>98</v>
      </c>
      <c r="H235" t="s">
        <v>24482</v>
      </c>
      <c r="I235" t="s">
        <v>100</v>
      </c>
      <c r="J235">
        <v>0</v>
      </c>
      <c r="K235">
        <v>0</v>
      </c>
      <c r="L235">
        <v>0</v>
      </c>
      <c r="M235">
        <v>1572</v>
      </c>
      <c r="N235" t="s">
        <v>102</v>
      </c>
      <c r="O235">
        <v>0</v>
      </c>
      <c r="P235">
        <v>0</v>
      </c>
      <c r="R235">
        <v>0</v>
      </c>
      <c r="S235">
        <v>0</v>
      </c>
      <c r="U235" t="s">
        <v>102</v>
      </c>
      <c r="V235" t="s">
        <v>275</v>
      </c>
      <c r="X235" t="s">
        <v>12047</v>
      </c>
      <c r="Y235" t="s">
        <v>109</v>
      </c>
      <c r="Z235" t="s">
        <v>102</v>
      </c>
      <c r="AA235" t="s">
        <v>109</v>
      </c>
      <c r="AB235" t="s">
        <v>102</v>
      </c>
      <c r="AC235" t="s">
        <v>109</v>
      </c>
      <c r="AD235" t="s">
        <v>102</v>
      </c>
      <c r="AE235" t="s">
        <v>109</v>
      </c>
      <c r="AF235" t="s">
        <v>102</v>
      </c>
      <c r="AG235" t="s">
        <v>102</v>
      </c>
      <c r="AJ235" t="s">
        <v>102</v>
      </c>
      <c r="AK235" t="s">
        <v>102</v>
      </c>
      <c r="AL235" t="s">
        <v>102</v>
      </c>
      <c r="AM235" t="s">
        <v>115</v>
      </c>
      <c r="AN235" t="s">
        <v>2202</v>
      </c>
      <c r="AO235" t="s">
        <v>102</v>
      </c>
      <c r="AP235" t="s">
        <v>102</v>
      </c>
      <c r="AQ235" t="s">
        <v>102</v>
      </c>
      <c r="AR235" t="s">
        <v>102</v>
      </c>
      <c r="AS235" t="s">
        <v>318</v>
      </c>
      <c r="AT235" t="s">
        <v>118</v>
      </c>
      <c r="AU235" t="s">
        <v>102</v>
      </c>
      <c r="AV235" t="s">
        <v>119</v>
      </c>
      <c r="AZ235" t="s">
        <v>120</v>
      </c>
      <c r="BA235" t="s">
        <v>2327</v>
      </c>
      <c r="BB235" t="s">
        <v>730</v>
      </c>
      <c r="BC235" t="s">
        <v>622</v>
      </c>
      <c r="BD235" t="s">
        <v>730</v>
      </c>
      <c r="BE235" t="s">
        <v>124</v>
      </c>
      <c r="BF235" t="s">
        <v>12250</v>
      </c>
      <c r="BG235" t="s">
        <v>21667</v>
      </c>
      <c r="BH235" t="s">
        <v>127</v>
      </c>
      <c r="BI235" t="s">
        <v>24483</v>
      </c>
      <c r="BJ235" t="s">
        <v>24484</v>
      </c>
      <c r="BK235" t="s">
        <v>24485</v>
      </c>
      <c r="BL235" t="s">
        <v>21962</v>
      </c>
      <c r="BM235" t="s">
        <v>2262</v>
      </c>
      <c r="BN235" t="s">
        <v>180</v>
      </c>
      <c r="BO235" t="s">
        <v>2263</v>
      </c>
      <c r="BP235" t="s">
        <v>2264</v>
      </c>
      <c r="BQ235" t="s">
        <v>2569</v>
      </c>
      <c r="BS235" t="s">
        <v>24486</v>
      </c>
      <c r="BT235" t="s">
        <v>24487</v>
      </c>
      <c r="BU235" t="s">
        <v>138</v>
      </c>
      <c r="BV235" t="s">
        <v>2263</v>
      </c>
      <c r="BW235" t="s">
        <v>24488</v>
      </c>
      <c r="BX235" t="s">
        <v>24116</v>
      </c>
      <c r="BY235" t="s">
        <v>24489</v>
      </c>
      <c r="BZ235" t="s">
        <v>24490</v>
      </c>
      <c r="CA235" t="s">
        <v>24488</v>
      </c>
      <c r="CB235" t="s">
        <v>24489</v>
      </c>
      <c r="CC235" t="s">
        <v>24490</v>
      </c>
      <c r="CD235" t="s">
        <v>24488</v>
      </c>
      <c r="CE235" t="s">
        <v>24119</v>
      </c>
      <c r="CF235" t="s">
        <v>24120</v>
      </c>
      <c r="CH235" t="s">
        <v>24491</v>
      </c>
      <c r="CI235" t="s">
        <v>24121</v>
      </c>
      <c r="CJ235" t="s">
        <v>2327</v>
      </c>
      <c r="CK235" t="s">
        <v>730</v>
      </c>
      <c r="CL235" t="s">
        <v>24491</v>
      </c>
      <c r="CN235" t="s">
        <v>24120</v>
      </c>
      <c r="CO235" t="s">
        <v>24120</v>
      </c>
    </row>
    <row r="236" spans="1:93">
      <c r="A236" t="s">
        <v>337</v>
      </c>
      <c r="B236">
        <v>5007603</v>
      </c>
      <c r="C236" t="s">
        <v>22802</v>
      </c>
      <c r="D236" t="s">
        <v>21661</v>
      </c>
      <c r="E236" t="s">
        <v>15489</v>
      </c>
      <c r="F236" t="s">
        <v>848</v>
      </c>
      <c r="G236" t="s">
        <v>98</v>
      </c>
      <c r="H236" t="s">
        <v>22803</v>
      </c>
      <c r="I236" t="s">
        <v>100</v>
      </c>
      <c r="J236">
        <v>600071</v>
      </c>
      <c r="K236">
        <v>708084</v>
      </c>
      <c r="L236">
        <v>0</v>
      </c>
      <c r="M236">
        <v>0</v>
      </c>
      <c r="O236">
        <v>0</v>
      </c>
      <c r="P236">
        <v>0</v>
      </c>
      <c r="R236">
        <v>600071</v>
      </c>
      <c r="S236">
        <v>600</v>
      </c>
      <c r="T236" t="s">
        <v>5042</v>
      </c>
      <c r="U236" t="s">
        <v>102</v>
      </c>
      <c r="V236" t="s">
        <v>103</v>
      </c>
      <c r="W236" t="s">
        <v>155</v>
      </c>
      <c r="Y236" t="s">
        <v>15489</v>
      </c>
      <c r="Z236" t="s">
        <v>22804</v>
      </c>
      <c r="AA236" t="s">
        <v>21664</v>
      </c>
      <c r="AB236" t="s">
        <v>22804</v>
      </c>
      <c r="AC236" t="s">
        <v>21665</v>
      </c>
      <c r="AD236" t="s">
        <v>22804</v>
      </c>
      <c r="AE236" t="s">
        <v>21687</v>
      </c>
      <c r="AF236" t="s">
        <v>22804</v>
      </c>
      <c r="AG236" t="s">
        <v>102</v>
      </c>
      <c r="AH236" t="s">
        <v>14026</v>
      </c>
      <c r="AI236" t="s">
        <v>14026</v>
      </c>
      <c r="AJ236" t="s">
        <v>22804</v>
      </c>
      <c r="AK236" t="s">
        <v>22804</v>
      </c>
      <c r="AL236" t="s">
        <v>102</v>
      </c>
      <c r="AM236" t="s">
        <v>9482</v>
      </c>
      <c r="AN236" t="s">
        <v>9482</v>
      </c>
      <c r="AS236" t="s">
        <v>102</v>
      </c>
      <c r="AU236" t="s">
        <v>102</v>
      </c>
      <c r="AV236" t="s">
        <v>119</v>
      </c>
      <c r="AY236" t="s">
        <v>250</v>
      </c>
      <c r="AZ236" t="s">
        <v>120</v>
      </c>
      <c r="BA236" t="s">
        <v>22805</v>
      </c>
      <c r="BB236" t="s">
        <v>252</v>
      </c>
      <c r="BC236" t="s">
        <v>122</v>
      </c>
      <c r="BD236" t="s">
        <v>253</v>
      </c>
      <c r="BE236" t="s">
        <v>124</v>
      </c>
      <c r="BF236" t="s">
        <v>12250</v>
      </c>
      <c r="BG236" t="s">
        <v>21667</v>
      </c>
      <c r="BH236" t="s">
        <v>127</v>
      </c>
      <c r="BI236" t="s">
        <v>22806</v>
      </c>
      <c r="BJ236" t="s">
        <v>22807</v>
      </c>
      <c r="BK236" t="s">
        <v>22808</v>
      </c>
      <c r="BL236" t="s">
        <v>15489</v>
      </c>
      <c r="BM236" t="s">
        <v>12453</v>
      </c>
      <c r="BN236" t="s">
        <v>350</v>
      </c>
      <c r="BO236" t="s">
        <v>12454</v>
      </c>
      <c r="BP236" t="s">
        <v>12455</v>
      </c>
      <c r="BQ236" t="s">
        <v>22809</v>
      </c>
      <c r="BS236" t="s">
        <v>22810</v>
      </c>
      <c r="BT236" t="s">
        <v>22811</v>
      </c>
      <c r="BU236" t="s">
        <v>138</v>
      </c>
      <c r="BV236" t="s">
        <v>22812</v>
      </c>
      <c r="BW236" t="s">
        <v>22813</v>
      </c>
      <c r="BX236" t="s">
        <v>22814</v>
      </c>
      <c r="BY236" t="s">
        <v>22811</v>
      </c>
      <c r="BZ236" t="s">
        <v>22812</v>
      </c>
      <c r="CA236" t="s">
        <v>22813</v>
      </c>
      <c r="CB236" t="s">
        <v>22811</v>
      </c>
      <c r="CC236" t="s">
        <v>22812</v>
      </c>
      <c r="CD236" t="s">
        <v>22813</v>
      </c>
      <c r="CE236" t="s">
        <v>19361</v>
      </c>
      <c r="CF236" t="s">
        <v>22815</v>
      </c>
      <c r="CH236" t="s">
        <v>22816</v>
      </c>
      <c r="CI236" t="s">
        <v>22815</v>
      </c>
      <c r="CJ236" t="s">
        <v>22805</v>
      </c>
      <c r="CK236" t="s">
        <v>252</v>
      </c>
      <c r="CL236" t="s">
        <v>252</v>
      </c>
      <c r="CN236" t="s">
        <v>22805</v>
      </c>
      <c r="CO236" t="s">
        <v>22817</v>
      </c>
    </row>
    <row r="237" spans="1:93" hidden="1">
      <c r="A237" t="s">
        <v>149</v>
      </c>
      <c r="B237">
        <v>5014840</v>
      </c>
      <c r="C237" t="s">
        <v>18628</v>
      </c>
      <c r="D237" t="s">
        <v>21661</v>
      </c>
      <c r="E237" t="s">
        <v>14400</v>
      </c>
      <c r="F237" t="s">
        <v>675</v>
      </c>
      <c r="G237" t="s">
        <v>98</v>
      </c>
      <c r="H237" t="s">
        <v>24492</v>
      </c>
      <c r="I237" t="s">
        <v>100</v>
      </c>
      <c r="J237">
        <v>696125</v>
      </c>
      <c r="K237">
        <v>696125</v>
      </c>
      <c r="L237">
        <v>521975</v>
      </c>
      <c r="M237">
        <v>567</v>
      </c>
      <c r="N237" t="s">
        <v>18630</v>
      </c>
      <c r="O237">
        <v>174150</v>
      </c>
      <c r="P237">
        <v>215</v>
      </c>
      <c r="Q237" t="s">
        <v>6750</v>
      </c>
      <c r="R237">
        <v>0</v>
      </c>
      <c r="S237">
        <v>0</v>
      </c>
      <c r="U237" t="s">
        <v>102</v>
      </c>
      <c r="V237" t="s">
        <v>103</v>
      </c>
      <c r="W237" t="s">
        <v>104</v>
      </c>
      <c r="Y237" t="s">
        <v>22188</v>
      </c>
      <c r="Z237" t="s">
        <v>24493</v>
      </c>
      <c r="AA237" t="s">
        <v>22190</v>
      </c>
      <c r="AB237" t="s">
        <v>24494</v>
      </c>
      <c r="AC237" t="s">
        <v>109</v>
      </c>
      <c r="AD237" t="s">
        <v>102</v>
      </c>
      <c r="AE237" t="s">
        <v>109</v>
      </c>
      <c r="AF237" t="s">
        <v>102</v>
      </c>
      <c r="AG237" t="s">
        <v>102</v>
      </c>
      <c r="AJ237" t="s">
        <v>102</v>
      </c>
      <c r="AK237" t="s">
        <v>102</v>
      </c>
      <c r="AL237" t="s">
        <v>102</v>
      </c>
      <c r="AM237" t="s">
        <v>24495</v>
      </c>
      <c r="AN237" t="s">
        <v>24495</v>
      </c>
      <c r="AS237" t="s">
        <v>247</v>
      </c>
      <c r="AT237" t="s">
        <v>118</v>
      </c>
      <c r="AU237" t="s">
        <v>1103</v>
      </c>
      <c r="AV237" t="s">
        <v>119</v>
      </c>
      <c r="AW237" t="s">
        <v>170</v>
      </c>
      <c r="AX237" t="s">
        <v>118</v>
      </c>
      <c r="AZ237" t="s">
        <v>120</v>
      </c>
      <c r="BA237" t="s">
        <v>4951</v>
      </c>
      <c r="BB237" t="s">
        <v>410</v>
      </c>
      <c r="BC237" t="s">
        <v>212</v>
      </c>
      <c r="BD237" t="s">
        <v>410</v>
      </c>
      <c r="BE237" t="s">
        <v>124</v>
      </c>
      <c r="BF237" t="s">
        <v>12250</v>
      </c>
      <c r="BG237" t="s">
        <v>21667</v>
      </c>
      <c r="BH237" t="s">
        <v>127</v>
      </c>
      <c r="BI237" t="s">
        <v>24496</v>
      </c>
      <c r="BJ237" t="s">
        <v>9332</v>
      </c>
      <c r="BK237" t="s">
        <v>24497</v>
      </c>
      <c r="BL237" t="s">
        <v>14400</v>
      </c>
      <c r="BM237" t="s">
        <v>866</v>
      </c>
      <c r="BN237" t="s">
        <v>132</v>
      </c>
      <c r="BO237" t="s">
        <v>867</v>
      </c>
      <c r="BP237" t="s">
        <v>868</v>
      </c>
      <c r="BQ237" t="s">
        <v>9337</v>
      </c>
      <c r="BS237" t="s">
        <v>24498</v>
      </c>
      <c r="BT237" t="s">
        <v>18641</v>
      </c>
      <c r="BU237" t="s">
        <v>138</v>
      </c>
      <c r="BV237" t="s">
        <v>9342</v>
      </c>
      <c r="BW237" t="s">
        <v>18642</v>
      </c>
      <c r="BX237" t="s">
        <v>9342</v>
      </c>
      <c r="BY237" t="s">
        <v>24499</v>
      </c>
      <c r="BZ237" t="s">
        <v>9342</v>
      </c>
      <c r="CA237" t="s">
        <v>18642</v>
      </c>
      <c r="CB237" t="s">
        <v>24500</v>
      </c>
      <c r="CC237" t="s">
        <v>18644</v>
      </c>
      <c r="CD237" t="s">
        <v>18642</v>
      </c>
      <c r="CE237" t="s">
        <v>102</v>
      </c>
      <c r="CF237" t="s">
        <v>9349</v>
      </c>
      <c r="CH237" t="s">
        <v>9348</v>
      </c>
      <c r="CI237" t="s">
        <v>9349</v>
      </c>
      <c r="CJ237" t="s">
        <v>4951</v>
      </c>
      <c r="CK237" t="s">
        <v>410</v>
      </c>
      <c r="CL237" t="s">
        <v>9348</v>
      </c>
      <c r="CM237" t="s">
        <v>4205</v>
      </c>
      <c r="CN237" t="s">
        <v>9349</v>
      </c>
      <c r="CO237" t="s">
        <v>9349</v>
      </c>
    </row>
    <row r="238" spans="1:93" hidden="1">
      <c r="A238" t="s">
        <v>149</v>
      </c>
      <c r="B238">
        <v>5014914</v>
      </c>
      <c r="C238" t="s">
        <v>9369</v>
      </c>
      <c r="D238" t="s">
        <v>21661</v>
      </c>
      <c r="E238" t="s">
        <v>25252</v>
      </c>
      <c r="F238" t="s">
        <v>97</v>
      </c>
      <c r="G238" t="s">
        <v>98</v>
      </c>
      <c r="H238" t="s">
        <v>25253</v>
      </c>
      <c r="I238" t="s">
        <v>100</v>
      </c>
      <c r="J238">
        <v>554090</v>
      </c>
      <c r="K238">
        <v>554090</v>
      </c>
      <c r="L238">
        <v>554090</v>
      </c>
      <c r="M238">
        <v>692</v>
      </c>
      <c r="N238" t="s">
        <v>25254</v>
      </c>
      <c r="O238">
        <v>0</v>
      </c>
      <c r="P238">
        <v>0</v>
      </c>
      <c r="R238">
        <v>0</v>
      </c>
      <c r="S238">
        <v>0</v>
      </c>
      <c r="U238" t="s">
        <v>102</v>
      </c>
      <c r="V238" t="s">
        <v>275</v>
      </c>
      <c r="X238" t="s">
        <v>25255</v>
      </c>
      <c r="Y238" t="s">
        <v>109</v>
      </c>
      <c r="Z238" t="s">
        <v>102</v>
      </c>
      <c r="AA238" t="s">
        <v>109</v>
      </c>
      <c r="AB238" t="s">
        <v>102</v>
      </c>
      <c r="AC238" t="s">
        <v>109</v>
      </c>
      <c r="AD238" t="s">
        <v>102</v>
      </c>
      <c r="AE238" t="s">
        <v>109</v>
      </c>
      <c r="AF238" t="s">
        <v>102</v>
      </c>
      <c r="AG238" t="s">
        <v>25904</v>
      </c>
      <c r="AH238" t="s">
        <v>25905</v>
      </c>
      <c r="AI238" t="s">
        <v>25905</v>
      </c>
      <c r="AJ238" t="s">
        <v>25256</v>
      </c>
      <c r="AK238" t="s">
        <v>25906</v>
      </c>
      <c r="AL238" t="s">
        <v>102</v>
      </c>
      <c r="AM238" t="s">
        <v>25257</v>
      </c>
      <c r="AN238" t="s">
        <v>25258</v>
      </c>
      <c r="AO238" t="s">
        <v>102</v>
      </c>
      <c r="AP238" t="s">
        <v>102</v>
      </c>
      <c r="AQ238" t="s">
        <v>102</v>
      </c>
      <c r="AR238" t="s">
        <v>2760</v>
      </c>
      <c r="AS238" t="s">
        <v>318</v>
      </c>
      <c r="AT238" t="s">
        <v>250</v>
      </c>
      <c r="AU238" t="s">
        <v>102</v>
      </c>
      <c r="AV238" t="s">
        <v>119</v>
      </c>
      <c r="AZ238" t="s">
        <v>120</v>
      </c>
      <c r="BA238" t="s">
        <v>5071</v>
      </c>
      <c r="BB238" t="s">
        <v>730</v>
      </c>
      <c r="BC238" t="s">
        <v>622</v>
      </c>
      <c r="BD238" t="s">
        <v>730</v>
      </c>
      <c r="BE238" t="s">
        <v>124</v>
      </c>
      <c r="BF238" t="s">
        <v>25259</v>
      </c>
      <c r="BG238" t="s">
        <v>25260</v>
      </c>
      <c r="BH238" t="s">
        <v>127</v>
      </c>
      <c r="BI238" t="s">
        <v>25261</v>
      </c>
      <c r="BJ238" t="s">
        <v>9377</v>
      </c>
      <c r="BK238" t="s">
        <v>25262</v>
      </c>
      <c r="BL238" t="s">
        <v>25252</v>
      </c>
      <c r="BM238" t="s">
        <v>3606</v>
      </c>
      <c r="BN238" t="s">
        <v>350</v>
      </c>
      <c r="BO238" t="s">
        <v>3607</v>
      </c>
      <c r="BP238" t="s">
        <v>3608</v>
      </c>
      <c r="BQ238" t="s">
        <v>2525</v>
      </c>
      <c r="BS238" t="s">
        <v>25263</v>
      </c>
      <c r="BT238" t="s">
        <v>9380</v>
      </c>
      <c r="BU238" t="s">
        <v>1282</v>
      </c>
      <c r="BV238" t="s">
        <v>9381</v>
      </c>
      <c r="BW238" t="s">
        <v>9382</v>
      </c>
      <c r="BX238" t="s">
        <v>9383</v>
      </c>
      <c r="BY238" t="s">
        <v>9380</v>
      </c>
      <c r="BZ238" t="s">
        <v>25264</v>
      </c>
      <c r="CA238" t="s">
        <v>9382</v>
      </c>
      <c r="CB238" t="s">
        <v>9380</v>
      </c>
      <c r="CC238" t="s">
        <v>25264</v>
      </c>
      <c r="CD238" t="s">
        <v>9382</v>
      </c>
      <c r="CE238" t="s">
        <v>102</v>
      </c>
      <c r="CF238" t="s">
        <v>9384</v>
      </c>
      <c r="CH238" t="s">
        <v>9385</v>
      </c>
      <c r="CJ238" t="s">
        <v>5071</v>
      </c>
      <c r="CK238" t="s">
        <v>730</v>
      </c>
      <c r="CL238" t="s">
        <v>9385</v>
      </c>
      <c r="CM238" t="s">
        <v>9386</v>
      </c>
      <c r="CN238" t="s">
        <v>9384</v>
      </c>
      <c r="CO238" t="s">
        <v>9384</v>
      </c>
    </row>
    <row r="239" spans="1:93" hidden="1">
      <c r="A239" t="s">
        <v>149</v>
      </c>
      <c r="B239">
        <v>5014915</v>
      </c>
      <c r="C239" t="s">
        <v>9387</v>
      </c>
      <c r="D239" t="s">
        <v>21661</v>
      </c>
      <c r="E239" t="s">
        <v>25914</v>
      </c>
      <c r="F239" t="s">
        <v>848</v>
      </c>
      <c r="G239" t="s">
        <v>98</v>
      </c>
      <c r="H239" t="s">
        <v>26193</v>
      </c>
      <c r="I239" t="s">
        <v>100</v>
      </c>
      <c r="J239">
        <v>344113</v>
      </c>
      <c r="K239">
        <v>406053</v>
      </c>
      <c r="L239">
        <v>0</v>
      </c>
      <c r="M239">
        <v>0</v>
      </c>
      <c r="O239">
        <v>0</v>
      </c>
      <c r="P239">
        <v>0</v>
      </c>
      <c r="R239">
        <v>344113</v>
      </c>
      <c r="S239">
        <v>203</v>
      </c>
      <c r="T239" t="s">
        <v>2007</v>
      </c>
      <c r="U239" t="s">
        <v>102</v>
      </c>
      <c r="V239" t="s">
        <v>275</v>
      </c>
      <c r="X239" t="s">
        <v>26117</v>
      </c>
      <c r="Y239" t="s">
        <v>109</v>
      </c>
      <c r="Z239" t="s">
        <v>102</v>
      </c>
      <c r="AA239" t="s">
        <v>109</v>
      </c>
      <c r="AB239" t="s">
        <v>102</v>
      </c>
      <c r="AC239" t="s">
        <v>109</v>
      </c>
      <c r="AD239" t="s">
        <v>102</v>
      </c>
      <c r="AE239" t="s">
        <v>109</v>
      </c>
      <c r="AF239" t="s">
        <v>102</v>
      </c>
      <c r="AG239" t="s">
        <v>102</v>
      </c>
      <c r="AJ239" t="s">
        <v>26194</v>
      </c>
      <c r="AK239" t="s">
        <v>102</v>
      </c>
      <c r="AL239" t="s">
        <v>26194</v>
      </c>
      <c r="AM239" t="s">
        <v>9445</v>
      </c>
      <c r="AN239" t="s">
        <v>26195</v>
      </c>
      <c r="AR239" t="s">
        <v>169</v>
      </c>
      <c r="AS239" t="s">
        <v>102</v>
      </c>
      <c r="AU239" t="s">
        <v>102</v>
      </c>
      <c r="AV239" t="s">
        <v>119</v>
      </c>
      <c r="AY239" t="s">
        <v>250</v>
      </c>
      <c r="AZ239" t="s">
        <v>120</v>
      </c>
      <c r="BA239" t="s">
        <v>1729</v>
      </c>
      <c r="BB239" t="s">
        <v>730</v>
      </c>
      <c r="BC239" t="s">
        <v>622</v>
      </c>
      <c r="BD239" t="s">
        <v>730</v>
      </c>
      <c r="BE239" t="s">
        <v>124</v>
      </c>
      <c r="BF239" t="s">
        <v>20476</v>
      </c>
      <c r="BG239" t="s">
        <v>21667</v>
      </c>
      <c r="BH239" t="s">
        <v>127</v>
      </c>
      <c r="BI239" t="s">
        <v>26196</v>
      </c>
      <c r="BJ239" t="s">
        <v>9396</v>
      </c>
      <c r="BK239" t="s">
        <v>26197</v>
      </c>
      <c r="BL239" t="s">
        <v>25914</v>
      </c>
      <c r="BM239" t="s">
        <v>3606</v>
      </c>
      <c r="BN239" t="s">
        <v>350</v>
      </c>
      <c r="BO239" t="s">
        <v>3607</v>
      </c>
      <c r="BP239" t="s">
        <v>3608</v>
      </c>
      <c r="BQ239" t="s">
        <v>2525</v>
      </c>
      <c r="BS239" t="s">
        <v>26198</v>
      </c>
      <c r="BT239" t="s">
        <v>18680</v>
      </c>
      <c r="BU239" t="s">
        <v>354</v>
      </c>
      <c r="BV239" t="s">
        <v>9402</v>
      </c>
      <c r="BW239" t="s">
        <v>18681</v>
      </c>
      <c r="BX239" t="s">
        <v>9402</v>
      </c>
      <c r="BY239" t="s">
        <v>18680</v>
      </c>
      <c r="BZ239" t="s">
        <v>9402</v>
      </c>
      <c r="CA239" t="s">
        <v>18681</v>
      </c>
      <c r="CB239" t="s">
        <v>18680</v>
      </c>
      <c r="CC239" t="s">
        <v>9402</v>
      </c>
      <c r="CD239" t="s">
        <v>18681</v>
      </c>
      <c r="CE239" t="s">
        <v>102</v>
      </c>
      <c r="CF239" t="s">
        <v>9405</v>
      </c>
      <c r="CH239" t="s">
        <v>1743</v>
      </c>
      <c r="CJ239" t="s">
        <v>1729</v>
      </c>
      <c r="CK239" t="s">
        <v>730</v>
      </c>
      <c r="CL239" t="s">
        <v>9406</v>
      </c>
      <c r="CN239" t="s">
        <v>9405</v>
      </c>
      <c r="CO239" t="s">
        <v>9405</v>
      </c>
    </row>
    <row r="240" spans="1:93">
      <c r="A240" t="s">
        <v>337</v>
      </c>
      <c r="B240">
        <v>5015074</v>
      </c>
      <c r="C240" t="s">
        <v>24501</v>
      </c>
      <c r="D240" t="s">
        <v>21661</v>
      </c>
      <c r="E240" t="s">
        <v>11889</v>
      </c>
      <c r="F240" t="s">
        <v>97</v>
      </c>
      <c r="G240" t="s">
        <v>98</v>
      </c>
      <c r="H240" t="s">
        <v>24502</v>
      </c>
      <c r="I240" t="s">
        <v>100</v>
      </c>
      <c r="J240">
        <v>65700</v>
      </c>
      <c r="K240">
        <v>65700</v>
      </c>
      <c r="L240">
        <v>65700</v>
      </c>
      <c r="M240">
        <v>438</v>
      </c>
      <c r="N240" t="s">
        <v>24049</v>
      </c>
      <c r="O240">
        <v>0</v>
      </c>
      <c r="P240">
        <v>0</v>
      </c>
      <c r="R240">
        <v>0</v>
      </c>
      <c r="S240">
        <v>0</v>
      </c>
      <c r="U240" t="s">
        <v>102</v>
      </c>
      <c r="V240" t="s">
        <v>275</v>
      </c>
      <c r="X240" t="s">
        <v>21857</v>
      </c>
      <c r="Y240" t="s">
        <v>109</v>
      </c>
      <c r="Z240" t="s">
        <v>102</v>
      </c>
      <c r="AA240" t="s">
        <v>109</v>
      </c>
      <c r="AB240" t="s">
        <v>102</v>
      </c>
      <c r="AC240" t="s">
        <v>109</v>
      </c>
      <c r="AD240" t="s">
        <v>102</v>
      </c>
      <c r="AE240" t="s">
        <v>109</v>
      </c>
      <c r="AF240" t="s">
        <v>102</v>
      </c>
      <c r="AG240" t="s">
        <v>102</v>
      </c>
      <c r="AJ240" t="s">
        <v>25265</v>
      </c>
      <c r="AK240" t="s">
        <v>102</v>
      </c>
      <c r="AL240" t="s">
        <v>25265</v>
      </c>
      <c r="AM240" t="s">
        <v>24053</v>
      </c>
      <c r="AN240" t="s">
        <v>24054</v>
      </c>
      <c r="AO240" t="s">
        <v>102</v>
      </c>
      <c r="AP240" t="s">
        <v>102</v>
      </c>
      <c r="AQ240" t="s">
        <v>102</v>
      </c>
      <c r="AR240" t="s">
        <v>102</v>
      </c>
      <c r="AS240" t="s">
        <v>318</v>
      </c>
      <c r="AT240" t="s">
        <v>118</v>
      </c>
      <c r="AU240" t="s">
        <v>102</v>
      </c>
      <c r="AV240" t="s">
        <v>119</v>
      </c>
      <c r="AZ240" t="s">
        <v>120</v>
      </c>
      <c r="BA240" t="s">
        <v>6305</v>
      </c>
      <c r="BB240" t="s">
        <v>730</v>
      </c>
      <c r="BC240" t="s">
        <v>622</v>
      </c>
      <c r="BD240" t="s">
        <v>730</v>
      </c>
      <c r="BE240" t="s">
        <v>124</v>
      </c>
      <c r="BF240" t="s">
        <v>12250</v>
      </c>
      <c r="BG240" t="s">
        <v>21667</v>
      </c>
      <c r="BH240" t="s">
        <v>127</v>
      </c>
      <c r="BI240" t="s">
        <v>24503</v>
      </c>
      <c r="BJ240" t="s">
        <v>24504</v>
      </c>
      <c r="BK240" t="s">
        <v>24505</v>
      </c>
      <c r="BL240" t="s">
        <v>11889</v>
      </c>
      <c r="BM240" t="s">
        <v>5197</v>
      </c>
      <c r="BN240" t="s">
        <v>180</v>
      </c>
      <c r="BO240" t="s">
        <v>5198</v>
      </c>
      <c r="BP240" t="s">
        <v>5199</v>
      </c>
      <c r="BQ240" t="s">
        <v>5199</v>
      </c>
      <c r="BS240" t="s">
        <v>24506</v>
      </c>
      <c r="BT240" t="s">
        <v>24507</v>
      </c>
      <c r="BU240" t="s">
        <v>138</v>
      </c>
      <c r="BV240" t="s">
        <v>15969</v>
      </c>
      <c r="BW240" t="s">
        <v>24508</v>
      </c>
      <c r="BX240" t="s">
        <v>24509</v>
      </c>
      <c r="BY240" t="s">
        <v>24507</v>
      </c>
      <c r="BZ240" t="s">
        <v>24509</v>
      </c>
      <c r="CA240" t="s">
        <v>24510</v>
      </c>
      <c r="CB240" t="s">
        <v>24511</v>
      </c>
      <c r="CC240" t="s">
        <v>24509</v>
      </c>
      <c r="CD240" t="s">
        <v>24512</v>
      </c>
      <c r="CE240" t="s">
        <v>24513</v>
      </c>
      <c r="CF240" t="s">
        <v>24514</v>
      </c>
      <c r="CH240" t="s">
        <v>24515</v>
      </c>
      <c r="CI240" t="s">
        <v>24514</v>
      </c>
      <c r="CJ240" t="s">
        <v>6305</v>
      </c>
      <c r="CK240" t="s">
        <v>730</v>
      </c>
      <c r="CL240" t="s">
        <v>24515</v>
      </c>
      <c r="CN240" t="s">
        <v>24516</v>
      </c>
      <c r="CO240" t="s">
        <v>24516</v>
      </c>
    </row>
    <row r="241" spans="1:93" hidden="1">
      <c r="A241" t="s">
        <v>149</v>
      </c>
      <c r="B241">
        <v>5015734</v>
      </c>
      <c r="C241" t="s">
        <v>9475</v>
      </c>
      <c r="D241" t="s">
        <v>21661</v>
      </c>
      <c r="E241" t="s">
        <v>12250</v>
      </c>
      <c r="F241" t="s">
        <v>1746</v>
      </c>
      <c r="G241" t="s">
        <v>98</v>
      </c>
      <c r="H241" t="s">
        <v>24517</v>
      </c>
      <c r="I241" t="s">
        <v>100</v>
      </c>
      <c r="J241">
        <v>480522</v>
      </c>
      <c r="K241">
        <v>531164</v>
      </c>
      <c r="L241">
        <v>66393</v>
      </c>
      <c r="M241">
        <v>166</v>
      </c>
      <c r="N241" t="s">
        <v>6051</v>
      </c>
      <c r="O241">
        <v>132787</v>
      </c>
      <c r="P241">
        <v>166</v>
      </c>
      <c r="Q241" t="s">
        <v>1297</v>
      </c>
      <c r="R241">
        <v>281342</v>
      </c>
      <c r="S241">
        <v>166</v>
      </c>
      <c r="T241" t="s">
        <v>2007</v>
      </c>
      <c r="U241" t="s">
        <v>102</v>
      </c>
      <c r="V241" t="s">
        <v>103</v>
      </c>
      <c r="W241" t="s">
        <v>155</v>
      </c>
      <c r="Y241" t="s">
        <v>12250</v>
      </c>
      <c r="Z241" t="s">
        <v>24518</v>
      </c>
      <c r="AA241" t="s">
        <v>19143</v>
      </c>
      <c r="AB241" t="s">
        <v>24518</v>
      </c>
      <c r="AC241" t="s">
        <v>21762</v>
      </c>
      <c r="AD241" t="s">
        <v>24518</v>
      </c>
      <c r="AE241" t="s">
        <v>22904</v>
      </c>
      <c r="AF241" t="s">
        <v>24518</v>
      </c>
      <c r="AG241" t="s">
        <v>102</v>
      </c>
      <c r="AH241" t="s">
        <v>18690</v>
      </c>
      <c r="AI241" t="s">
        <v>18690</v>
      </c>
      <c r="AJ241" t="s">
        <v>24518</v>
      </c>
      <c r="AK241" t="s">
        <v>26199</v>
      </c>
      <c r="AL241" t="s">
        <v>104</v>
      </c>
      <c r="AM241" t="s">
        <v>2307</v>
      </c>
      <c r="AN241" t="s">
        <v>2307</v>
      </c>
      <c r="AS241" t="s">
        <v>117</v>
      </c>
      <c r="AT241" t="s">
        <v>250</v>
      </c>
      <c r="AU241" t="s">
        <v>155</v>
      </c>
      <c r="AV241" t="s">
        <v>119</v>
      </c>
      <c r="AX241" t="s">
        <v>250</v>
      </c>
      <c r="AY241" t="s">
        <v>250</v>
      </c>
      <c r="AZ241" t="s">
        <v>1242</v>
      </c>
      <c r="BA241" t="s">
        <v>9483</v>
      </c>
      <c r="BB241" t="s">
        <v>621</v>
      </c>
      <c r="BC241" t="s">
        <v>622</v>
      </c>
      <c r="BD241" t="s">
        <v>976</v>
      </c>
      <c r="BE241" t="s">
        <v>124</v>
      </c>
      <c r="BF241" t="s">
        <v>12250</v>
      </c>
      <c r="BG241" t="s">
        <v>21667</v>
      </c>
      <c r="BH241" t="s">
        <v>127</v>
      </c>
      <c r="BI241" t="s">
        <v>24519</v>
      </c>
      <c r="BJ241" t="s">
        <v>9485</v>
      </c>
      <c r="BK241" t="s">
        <v>24520</v>
      </c>
      <c r="BL241" t="s">
        <v>12250</v>
      </c>
      <c r="BM241" t="s">
        <v>981</v>
      </c>
      <c r="BN241" t="s">
        <v>132</v>
      </c>
      <c r="BO241" t="s">
        <v>982</v>
      </c>
      <c r="BP241" t="s">
        <v>983</v>
      </c>
      <c r="BQ241" t="s">
        <v>984</v>
      </c>
      <c r="BS241" t="s">
        <v>24521</v>
      </c>
      <c r="BT241" t="s">
        <v>9488</v>
      </c>
      <c r="BV241" t="s">
        <v>24522</v>
      </c>
      <c r="BW241" t="s">
        <v>18724</v>
      </c>
      <c r="BX241" t="s">
        <v>9491</v>
      </c>
      <c r="BY241" t="s">
        <v>9488</v>
      </c>
      <c r="BZ241" t="s">
        <v>9489</v>
      </c>
      <c r="CA241" t="s">
        <v>18724</v>
      </c>
      <c r="CB241" t="s">
        <v>9492</v>
      </c>
      <c r="CC241" t="s">
        <v>24523</v>
      </c>
      <c r="CD241" t="s">
        <v>9494</v>
      </c>
      <c r="CE241" t="s">
        <v>102</v>
      </c>
      <c r="CF241" t="s">
        <v>18726</v>
      </c>
      <c r="CH241" t="s">
        <v>9496</v>
      </c>
      <c r="CJ241" t="s">
        <v>9483</v>
      </c>
      <c r="CK241" t="s">
        <v>621</v>
      </c>
      <c r="CL241" t="s">
        <v>9496</v>
      </c>
      <c r="CN241" t="s">
        <v>9495</v>
      </c>
      <c r="CO241" t="s">
        <v>9495</v>
      </c>
    </row>
    <row r="242" spans="1:93" hidden="1">
      <c r="A242" t="s">
        <v>149</v>
      </c>
      <c r="B242">
        <v>5016141</v>
      </c>
      <c r="C242" t="s">
        <v>9565</v>
      </c>
      <c r="D242" t="s">
        <v>21661</v>
      </c>
      <c r="E242" t="s">
        <v>13486</v>
      </c>
      <c r="F242" t="s">
        <v>97</v>
      </c>
      <c r="G242" t="s">
        <v>98</v>
      </c>
      <c r="H242" t="s">
        <v>22818</v>
      </c>
      <c r="I242" t="s">
        <v>100</v>
      </c>
      <c r="J242">
        <v>510300</v>
      </c>
      <c r="K242">
        <v>510300</v>
      </c>
      <c r="L242">
        <v>510300</v>
      </c>
      <c r="M242">
        <v>1701</v>
      </c>
      <c r="N242" t="s">
        <v>3205</v>
      </c>
      <c r="O242">
        <v>0</v>
      </c>
      <c r="P242">
        <v>0</v>
      </c>
      <c r="R242">
        <v>0</v>
      </c>
      <c r="S242">
        <v>0</v>
      </c>
      <c r="U242" t="s">
        <v>102</v>
      </c>
      <c r="V242" t="s">
        <v>275</v>
      </c>
      <c r="X242" t="s">
        <v>19143</v>
      </c>
      <c r="Y242" t="s">
        <v>109</v>
      </c>
      <c r="Z242" t="s">
        <v>102</v>
      </c>
      <c r="AA242" t="s">
        <v>109</v>
      </c>
      <c r="AB242" t="s">
        <v>102</v>
      </c>
      <c r="AC242" t="s">
        <v>109</v>
      </c>
      <c r="AD242" t="s">
        <v>102</v>
      </c>
      <c r="AE242" t="s">
        <v>109</v>
      </c>
      <c r="AF242" t="s">
        <v>102</v>
      </c>
      <c r="AG242" t="s">
        <v>102</v>
      </c>
      <c r="AJ242" t="s">
        <v>102</v>
      </c>
      <c r="AK242" t="s">
        <v>102</v>
      </c>
      <c r="AL242" t="s">
        <v>102</v>
      </c>
      <c r="AM242" t="s">
        <v>3213</v>
      </c>
      <c r="AN242" t="s">
        <v>3213</v>
      </c>
      <c r="AS242" t="s">
        <v>318</v>
      </c>
      <c r="AT242" t="s">
        <v>118</v>
      </c>
      <c r="AU242" t="s">
        <v>102</v>
      </c>
      <c r="AV242" t="s">
        <v>119</v>
      </c>
      <c r="AZ242" t="s">
        <v>1964</v>
      </c>
      <c r="BA242" t="s">
        <v>623</v>
      </c>
      <c r="BB242" t="s">
        <v>621</v>
      </c>
      <c r="BC242" t="s">
        <v>622</v>
      </c>
      <c r="BD242" t="s">
        <v>623</v>
      </c>
      <c r="BE242" t="s">
        <v>124</v>
      </c>
      <c r="BF242" t="s">
        <v>12250</v>
      </c>
      <c r="BG242" t="s">
        <v>21667</v>
      </c>
      <c r="BH242" t="s">
        <v>127</v>
      </c>
      <c r="BI242" t="s">
        <v>22819</v>
      </c>
      <c r="BJ242" t="s">
        <v>9569</v>
      </c>
      <c r="BK242" t="s">
        <v>22820</v>
      </c>
      <c r="BL242" t="s">
        <v>13486</v>
      </c>
      <c r="BM242" t="s">
        <v>629</v>
      </c>
      <c r="BN242" t="s">
        <v>132</v>
      </c>
      <c r="BO242" t="s">
        <v>630</v>
      </c>
      <c r="BP242" t="s">
        <v>631</v>
      </c>
      <c r="BQ242" t="s">
        <v>1279</v>
      </c>
      <c r="BS242" t="s">
        <v>22821</v>
      </c>
      <c r="BT242" t="s">
        <v>22822</v>
      </c>
      <c r="BU242" t="s">
        <v>138</v>
      </c>
      <c r="BV242" t="s">
        <v>9575</v>
      </c>
      <c r="BW242" t="s">
        <v>18786</v>
      </c>
      <c r="BX242" t="s">
        <v>9575</v>
      </c>
      <c r="BY242" t="s">
        <v>22822</v>
      </c>
      <c r="BZ242" t="s">
        <v>9575</v>
      </c>
      <c r="CA242" t="s">
        <v>18786</v>
      </c>
      <c r="CB242" t="s">
        <v>22822</v>
      </c>
      <c r="CC242" t="s">
        <v>9575</v>
      </c>
      <c r="CD242" t="s">
        <v>18786</v>
      </c>
      <c r="CE242" t="s">
        <v>102</v>
      </c>
      <c r="CF242" t="s">
        <v>9576</v>
      </c>
      <c r="CH242" t="s">
        <v>9577</v>
      </c>
      <c r="CJ242" t="s">
        <v>623</v>
      </c>
      <c r="CK242" t="s">
        <v>621</v>
      </c>
      <c r="CL242" t="s">
        <v>9577</v>
      </c>
      <c r="CN242" t="s">
        <v>9576</v>
      </c>
      <c r="CO242" t="s">
        <v>9578</v>
      </c>
    </row>
    <row r="243" spans="1:93" hidden="1">
      <c r="A243" t="s">
        <v>93</v>
      </c>
      <c r="B243">
        <v>5016190</v>
      </c>
      <c r="C243" t="s">
        <v>18801</v>
      </c>
      <c r="D243" t="s">
        <v>21661</v>
      </c>
      <c r="E243" t="s">
        <v>23517</v>
      </c>
      <c r="F243" t="s">
        <v>97</v>
      </c>
      <c r="G243" t="s">
        <v>98</v>
      </c>
      <c r="H243" t="s">
        <v>23896</v>
      </c>
      <c r="I243" t="s">
        <v>100</v>
      </c>
      <c r="J243">
        <v>260040</v>
      </c>
      <c r="K243">
        <v>260040</v>
      </c>
      <c r="L243">
        <v>260040</v>
      </c>
      <c r="M243">
        <v>400</v>
      </c>
      <c r="N243" t="s">
        <v>1122</v>
      </c>
      <c r="O243">
        <v>0</v>
      </c>
      <c r="P243">
        <v>0</v>
      </c>
      <c r="R243">
        <v>0</v>
      </c>
      <c r="S243">
        <v>0</v>
      </c>
      <c r="U243" t="s">
        <v>102</v>
      </c>
      <c r="V243" t="s">
        <v>103</v>
      </c>
      <c r="W243" t="s">
        <v>104</v>
      </c>
      <c r="Y243" t="s">
        <v>23517</v>
      </c>
      <c r="Z243" t="s">
        <v>23897</v>
      </c>
      <c r="AA243" t="s">
        <v>23898</v>
      </c>
      <c r="AB243" t="s">
        <v>23899</v>
      </c>
      <c r="AC243" t="s">
        <v>109</v>
      </c>
      <c r="AD243" t="s">
        <v>102</v>
      </c>
      <c r="AE243" t="s">
        <v>109</v>
      </c>
      <c r="AF243" t="s">
        <v>102</v>
      </c>
      <c r="AG243" t="s">
        <v>102</v>
      </c>
      <c r="AH243" t="s">
        <v>23889</v>
      </c>
      <c r="AI243" t="s">
        <v>23889</v>
      </c>
      <c r="AJ243" t="s">
        <v>23897</v>
      </c>
      <c r="AK243" t="s">
        <v>23897</v>
      </c>
      <c r="AL243" t="s">
        <v>102</v>
      </c>
      <c r="AM243" t="s">
        <v>6322</v>
      </c>
      <c r="AN243" t="s">
        <v>167</v>
      </c>
      <c r="AR243" t="s">
        <v>169</v>
      </c>
      <c r="AS243" t="s">
        <v>318</v>
      </c>
      <c r="AT243" t="s">
        <v>118</v>
      </c>
      <c r="AU243" t="s">
        <v>102</v>
      </c>
      <c r="AV243" t="s">
        <v>119</v>
      </c>
      <c r="AZ243" t="s">
        <v>120</v>
      </c>
      <c r="BA243" t="s">
        <v>3854</v>
      </c>
      <c r="BB243" t="s">
        <v>449</v>
      </c>
      <c r="BC243" t="s">
        <v>122</v>
      </c>
      <c r="BD243" t="s">
        <v>450</v>
      </c>
      <c r="BE243" t="s">
        <v>124</v>
      </c>
      <c r="BF243" t="s">
        <v>12250</v>
      </c>
      <c r="BG243" t="s">
        <v>21667</v>
      </c>
      <c r="BH243" t="s">
        <v>127</v>
      </c>
      <c r="BI243" t="s">
        <v>23900</v>
      </c>
      <c r="BJ243" t="s">
        <v>18808</v>
      </c>
      <c r="BK243" t="s">
        <v>23901</v>
      </c>
      <c r="BL243" t="s">
        <v>23517</v>
      </c>
      <c r="BM243" t="s">
        <v>131</v>
      </c>
      <c r="BN243" t="s">
        <v>350</v>
      </c>
      <c r="BO243" t="s">
        <v>133</v>
      </c>
      <c r="BP243" t="s">
        <v>134</v>
      </c>
      <c r="BQ243" t="s">
        <v>455</v>
      </c>
      <c r="BS243" t="s">
        <v>23902</v>
      </c>
      <c r="BT243" t="s">
        <v>18811</v>
      </c>
      <c r="BU243" t="s">
        <v>138</v>
      </c>
      <c r="BV243" t="s">
        <v>18812</v>
      </c>
      <c r="BW243" t="s">
        <v>18813</v>
      </c>
      <c r="BX243" t="s">
        <v>18814</v>
      </c>
      <c r="BY243" t="s">
        <v>18811</v>
      </c>
      <c r="BZ243" t="s">
        <v>18812</v>
      </c>
      <c r="CA243" t="s">
        <v>18813</v>
      </c>
      <c r="CB243" t="s">
        <v>18811</v>
      </c>
      <c r="CC243" t="s">
        <v>18812</v>
      </c>
      <c r="CD243" t="s">
        <v>18813</v>
      </c>
      <c r="CE243" t="s">
        <v>18818</v>
      </c>
      <c r="CF243" t="s">
        <v>18819</v>
      </c>
      <c r="CH243" t="s">
        <v>7472</v>
      </c>
      <c r="CI243" t="s">
        <v>18819</v>
      </c>
      <c r="CJ243" t="s">
        <v>3854</v>
      </c>
      <c r="CK243" t="s">
        <v>449</v>
      </c>
      <c r="CL243" t="s">
        <v>7472</v>
      </c>
      <c r="CN243" t="s">
        <v>18820</v>
      </c>
      <c r="CO243" t="s">
        <v>18820</v>
      </c>
    </row>
    <row r="244" spans="1:93" hidden="1">
      <c r="A244" t="s">
        <v>149</v>
      </c>
      <c r="B244">
        <v>5016213</v>
      </c>
      <c r="C244" t="s">
        <v>9611</v>
      </c>
      <c r="D244" t="s">
        <v>21661</v>
      </c>
      <c r="E244" t="s">
        <v>22101</v>
      </c>
      <c r="F244" t="s">
        <v>675</v>
      </c>
      <c r="G244" t="s">
        <v>98</v>
      </c>
      <c r="H244" t="s">
        <v>23903</v>
      </c>
      <c r="I244" t="s">
        <v>100</v>
      </c>
      <c r="J244">
        <v>747000</v>
      </c>
      <c r="K244">
        <v>747000</v>
      </c>
      <c r="L244">
        <v>171000</v>
      </c>
      <c r="M244">
        <v>375</v>
      </c>
      <c r="N244" t="s">
        <v>23904</v>
      </c>
      <c r="O244">
        <v>576000</v>
      </c>
      <c r="P244">
        <v>240</v>
      </c>
      <c r="Q244" t="s">
        <v>4372</v>
      </c>
      <c r="R244">
        <v>0</v>
      </c>
      <c r="S244">
        <v>0</v>
      </c>
      <c r="U244" t="s">
        <v>102</v>
      </c>
      <c r="V244" t="s">
        <v>103</v>
      </c>
      <c r="W244" t="s">
        <v>155</v>
      </c>
      <c r="Y244" t="s">
        <v>12250</v>
      </c>
      <c r="Z244" t="s">
        <v>23905</v>
      </c>
      <c r="AA244" t="s">
        <v>21664</v>
      </c>
      <c r="AB244" t="s">
        <v>23906</v>
      </c>
      <c r="AC244" t="s">
        <v>21665</v>
      </c>
      <c r="AD244" t="s">
        <v>23906</v>
      </c>
      <c r="AE244" t="s">
        <v>21710</v>
      </c>
      <c r="AF244" t="s">
        <v>23906</v>
      </c>
      <c r="AG244" t="s">
        <v>102</v>
      </c>
      <c r="AJ244" t="s">
        <v>23905</v>
      </c>
      <c r="AK244" t="s">
        <v>102</v>
      </c>
      <c r="AL244" t="s">
        <v>23905</v>
      </c>
      <c r="AM244" t="s">
        <v>18829</v>
      </c>
      <c r="AN244" t="s">
        <v>18829</v>
      </c>
      <c r="AS244" t="s">
        <v>207</v>
      </c>
      <c r="AT244" t="s">
        <v>118</v>
      </c>
      <c r="AU244" t="s">
        <v>3536</v>
      </c>
      <c r="AV244" t="s">
        <v>249</v>
      </c>
      <c r="AW244" t="s">
        <v>170</v>
      </c>
      <c r="AX244" t="s">
        <v>118</v>
      </c>
      <c r="AZ244" t="s">
        <v>120</v>
      </c>
      <c r="BA244" t="s">
        <v>9082</v>
      </c>
      <c r="BB244" t="s">
        <v>1244</v>
      </c>
      <c r="BC244" t="s">
        <v>122</v>
      </c>
      <c r="BD244" t="s">
        <v>1244</v>
      </c>
      <c r="BE244" t="s">
        <v>124</v>
      </c>
      <c r="BF244" t="s">
        <v>12250</v>
      </c>
      <c r="BG244" t="s">
        <v>21667</v>
      </c>
      <c r="BH244" t="s">
        <v>127</v>
      </c>
      <c r="BI244" t="s">
        <v>23907</v>
      </c>
      <c r="BJ244" t="s">
        <v>9625</v>
      </c>
      <c r="BK244" t="s">
        <v>23908</v>
      </c>
      <c r="BL244" t="s">
        <v>22101</v>
      </c>
      <c r="BM244" t="s">
        <v>3267</v>
      </c>
      <c r="BN244" t="s">
        <v>350</v>
      </c>
      <c r="BO244" t="s">
        <v>3268</v>
      </c>
      <c r="BP244" t="s">
        <v>3269</v>
      </c>
      <c r="BQ244" t="s">
        <v>261</v>
      </c>
      <c r="BS244" t="s">
        <v>23909</v>
      </c>
      <c r="BT244" t="s">
        <v>23910</v>
      </c>
      <c r="BU244" t="s">
        <v>354</v>
      </c>
      <c r="BV244" t="s">
        <v>23911</v>
      </c>
      <c r="BW244" t="s">
        <v>23912</v>
      </c>
      <c r="BX244" t="s">
        <v>9632</v>
      </c>
      <c r="BY244" t="s">
        <v>18833</v>
      </c>
      <c r="BZ244" t="s">
        <v>18834</v>
      </c>
      <c r="CA244" t="s">
        <v>18835</v>
      </c>
      <c r="CB244" t="s">
        <v>23913</v>
      </c>
      <c r="CC244" t="s">
        <v>9632</v>
      </c>
      <c r="CD244" t="s">
        <v>23914</v>
      </c>
      <c r="CE244" t="s">
        <v>9634</v>
      </c>
      <c r="CF244" t="s">
        <v>18839</v>
      </c>
      <c r="CH244" t="s">
        <v>9636</v>
      </c>
      <c r="CI244" t="s">
        <v>18840</v>
      </c>
      <c r="CJ244" t="s">
        <v>9082</v>
      </c>
      <c r="CK244" t="s">
        <v>1244</v>
      </c>
      <c r="CL244" t="s">
        <v>9636</v>
      </c>
      <c r="CM244" t="s">
        <v>9637</v>
      </c>
      <c r="CN244" t="s">
        <v>9635</v>
      </c>
      <c r="CO244" t="s">
        <v>9635</v>
      </c>
    </row>
    <row r="245" spans="1:93" hidden="1">
      <c r="A245" t="s">
        <v>93</v>
      </c>
      <c r="B245">
        <v>5016478</v>
      </c>
      <c r="C245" t="s">
        <v>18883</v>
      </c>
      <c r="D245" t="s">
        <v>21661</v>
      </c>
      <c r="E245" t="s">
        <v>15054</v>
      </c>
      <c r="F245" t="s">
        <v>848</v>
      </c>
      <c r="G245" t="s">
        <v>98</v>
      </c>
      <c r="H245" t="s">
        <v>22823</v>
      </c>
      <c r="I245" t="s">
        <v>100</v>
      </c>
      <c r="J245">
        <v>402414</v>
      </c>
      <c r="K245">
        <v>474849</v>
      </c>
      <c r="L245">
        <v>0</v>
      </c>
      <c r="M245">
        <v>0</v>
      </c>
      <c r="O245">
        <v>0</v>
      </c>
      <c r="P245">
        <v>0</v>
      </c>
      <c r="R245">
        <v>402414</v>
      </c>
      <c r="S245">
        <v>125</v>
      </c>
      <c r="T245" t="s">
        <v>22824</v>
      </c>
      <c r="U245" t="s">
        <v>102</v>
      </c>
      <c r="V245" t="s">
        <v>103</v>
      </c>
      <c r="W245" t="s">
        <v>155</v>
      </c>
      <c r="Y245" t="s">
        <v>12250</v>
      </c>
      <c r="Z245" t="s">
        <v>26200</v>
      </c>
      <c r="AA245" t="s">
        <v>21664</v>
      </c>
      <c r="AB245" t="s">
        <v>26200</v>
      </c>
      <c r="AC245" t="s">
        <v>21665</v>
      </c>
      <c r="AD245" t="s">
        <v>26200</v>
      </c>
      <c r="AE245" t="s">
        <v>21687</v>
      </c>
      <c r="AF245" t="s">
        <v>26200</v>
      </c>
      <c r="AG245" t="s">
        <v>102</v>
      </c>
      <c r="AJ245" t="s">
        <v>26200</v>
      </c>
      <c r="AK245" t="s">
        <v>102</v>
      </c>
      <c r="AL245" t="s">
        <v>26200</v>
      </c>
      <c r="AM245" t="s">
        <v>22825</v>
      </c>
      <c r="AN245" t="s">
        <v>22825</v>
      </c>
      <c r="AS245" t="s">
        <v>102</v>
      </c>
      <c r="AU245" t="s">
        <v>102</v>
      </c>
      <c r="AV245" t="s">
        <v>119</v>
      </c>
      <c r="AY245" t="s">
        <v>250</v>
      </c>
      <c r="AZ245" t="s">
        <v>1964</v>
      </c>
      <c r="BA245" t="s">
        <v>375</v>
      </c>
      <c r="BB245" t="s">
        <v>376</v>
      </c>
      <c r="BC245" t="s">
        <v>174</v>
      </c>
      <c r="BD245" t="s">
        <v>376</v>
      </c>
      <c r="BE245" t="s">
        <v>124</v>
      </c>
      <c r="BF245" t="s">
        <v>12250</v>
      </c>
      <c r="BG245" t="s">
        <v>21667</v>
      </c>
      <c r="BH245" t="s">
        <v>127</v>
      </c>
      <c r="BI245" t="s">
        <v>22826</v>
      </c>
      <c r="BJ245" t="s">
        <v>18891</v>
      </c>
      <c r="BK245" t="s">
        <v>22827</v>
      </c>
      <c r="BL245" t="s">
        <v>15054</v>
      </c>
      <c r="BM245" t="s">
        <v>22828</v>
      </c>
      <c r="BN245" t="s">
        <v>180</v>
      </c>
      <c r="BO245" t="s">
        <v>22829</v>
      </c>
      <c r="BP245" t="s">
        <v>22830</v>
      </c>
      <c r="BQ245" t="s">
        <v>1834</v>
      </c>
      <c r="BS245" t="s">
        <v>22831</v>
      </c>
      <c r="BT245" t="s">
        <v>22832</v>
      </c>
      <c r="BU245" t="s">
        <v>138</v>
      </c>
      <c r="BV245" t="s">
        <v>22833</v>
      </c>
      <c r="BW245" t="s">
        <v>18896</v>
      </c>
      <c r="BX245" t="s">
        <v>18897</v>
      </c>
      <c r="BY245" t="s">
        <v>22832</v>
      </c>
      <c r="BZ245" t="s">
        <v>22833</v>
      </c>
      <c r="CA245" t="s">
        <v>18896</v>
      </c>
      <c r="CB245" t="s">
        <v>22832</v>
      </c>
      <c r="CC245" t="s">
        <v>22833</v>
      </c>
      <c r="CD245" t="s">
        <v>18896</v>
      </c>
      <c r="CE245" t="s">
        <v>6401</v>
      </c>
      <c r="CF245" t="s">
        <v>18898</v>
      </c>
      <c r="CH245" t="s">
        <v>10260</v>
      </c>
      <c r="CI245" t="s">
        <v>18898</v>
      </c>
      <c r="CJ245" t="s">
        <v>375</v>
      </c>
      <c r="CK245" t="s">
        <v>376</v>
      </c>
      <c r="CL245" t="s">
        <v>10260</v>
      </c>
      <c r="CM245" t="s">
        <v>18899</v>
      </c>
      <c r="CN245" t="s">
        <v>18898</v>
      </c>
      <c r="CO245" t="s">
        <v>18898</v>
      </c>
    </row>
    <row r="246" spans="1:93" hidden="1">
      <c r="A246" t="s">
        <v>149</v>
      </c>
      <c r="B246">
        <v>5016602</v>
      </c>
      <c r="C246" t="s">
        <v>18900</v>
      </c>
      <c r="D246" t="s">
        <v>21661</v>
      </c>
      <c r="E246" t="s">
        <v>6615</v>
      </c>
      <c r="F246" t="s">
        <v>675</v>
      </c>
      <c r="G246" t="s">
        <v>98</v>
      </c>
      <c r="H246" t="s">
        <v>22834</v>
      </c>
      <c r="I246" t="s">
        <v>100</v>
      </c>
      <c r="J246">
        <v>2100465</v>
      </c>
      <c r="K246">
        <v>2100465</v>
      </c>
      <c r="L246">
        <v>623160</v>
      </c>
      <c r="M246">
        <v>1154</v>
      </c>
      <c r="N246" t="s">
        <v>2322</v>
      </c>
      <c r="O246">
        <v>1477305</v>
      </c>
      <c r="P246">
        <v>1154</v>
      </c>
      <c r="Q246" t="s">
        <v>13016</v>
      </c>
      <c r="R246">
        <v>0</v>
      </c>
      <c r="S246">
        <v>0</v>
      </c>
      <c r="U246" t="s">
        <v>102</v>
      </c>
      <c r="V246" t="s">
        <v>275</v>
      </c>
      <c r="X246" t="s">
        <v>11889</v>
      </c>
      <c r="Y246" t="s">
        <v>109</v>
      </c>
      <c r="Z246" t="s">
        <v>102</v>
      </c>
      <c r="AA246" t="s">
        <v>109</v>
      </c>
      <c r="AB246" t="s">
        <v>102</v>
      </c>
      <c r="AC246" t="s">
        <v>109</v>
      </c>
      <c r="AD246" t="s">
        <v>102</v>
      </c>
      <c r="AE246" t="s">
        <v>109</v>
      </c>
      <c r="AF246" t="s">
        <v>102</v>
      </c>
      <c r="AG246" t="s">
        <v>102</v>
      </c>
      <c r="AJ246" t="s">
        <v>24524</v>
      </c>
      <c r="AK246" t="s">
        <v>102</v>
      </c>
      <c r="AL246" t="s">
        <v>24524</v>
      </c>
      <c r="AM246" t="s">
        <v>13021</v>
      </c>
      <c r="AN246" t="s">
        <v>13022</v>
      </c>
      <c r="AO246" t="s">
        <v>343</v>
      </c>
      <c r="AP246" t="s">
        <v>169</v>
      </c>
      <c r="AR246" t="s">
        <v>169</v>
      </c>
      <c r="AS246" t="s">
        <v>247</v>
      </c>
      <c r="AT246" t="s">
        <v>118</v>
      </c>
      <c r="AU246" t="s">
        <v>655</v>
      </c>
      <c r="AV246" t="s">
        <v>119</v>
      </c>
      <c r="AW246" t="s">
        <v>170</v>
      </c>
      <c r="AX246" t="s">
        <v>118</v>
      </c>
      <c r="AZ246" t="s">
        <v>120</v>
      </c>
      <c r="BA246" t="s">
        <v>2056</v>
      </c>
      <c r="BB246" t="s">
        <v>320</v>
      </c>
      <c r="BC246" t="s">
        <v>122</v>
      </c>
      <c r="BD246" t="s">
        <v>123</v>
      </c>
      <c r="BE246" t="s">
        <v>124</v>
      </c>
      <c r="BF246" t="s">
        <v>12250</v>
      </c>
      <c r="BG246" t="s">
        <v>21667</v>
      </c>
      <c r="BH246" t="s">
        <v>127</v>
      </c>
      <c r="BI246" t="s">
        <v>22835</v>
      </c>
      <c r="BJ246" t="s">
        <v>9723</v>
      </c>
      <c r="BK246" t="s">
        <v>22836</v>
      </c>
      <c r="BL246" t="s">
        <v>6615</v>
      </c>
      <c r="BM246" t="s">
        <v>8788</v>
      </c>
      <c r="BN246" t="s">
        <v>350</v>
      </c>
      <c r="BO246" t="s">
        <v>8789</v>
      </c>
      <c r="BP246" t="s">
        <v>8790</v>
      </c>
      <c r="BQ246" t="s">
        <v>1006</v>
      </c>
      <c r="BS246" t="s">
        <v>22837</v>
      </c>
      <c r="BT246" t="s">
        <v>2061</v>
      </c>
      <c r="BU246" t="s">
        <v>354</v>
      </c>
      <c r="BV246" t="s">
        <v>2062</v>
      </c>
      <c r="BW246" t="s">
        <v>2063</v>
      </c>
      <c r="BX246" t="s">
        <v>2062</v>
      </c>
      <c r="BY246" t="s">
        <v>9726</v>
      </c>
      <c r="BZ246" t="s">
        <v>22838</v>
      </c>
      <c r="CA246" t="s">
        <v>9728</v>
      </c>
      <c r="CB246" t="s">
        <v>9726</v>
      </c>
      <c r="CC246" t="s">
        <v>22838</v>
      </c>
      <c r="CD246" t="s">
        <v>9728</v>
      </c>
      <c r="CE246" t="s">
        <v>2069</v>
      </c>
      <c r="CF246" t="s">
        <v>2056</v>
      </c>
      <c r="CH246" t="s">
        <v>2071</v>
      </c>
      <c r="CI246" t="s">
        <v>18908</v>
      </c>
      <c r="CJ246" t="s">
        <v>2056</v>
      </c>
      <c r="CK246" t="s">
        <v>320</v>
      </c>
      <c r="CL246" t="s">
        <v>2071</v>
      </c>
      <c r="CM246" t="s">
        <v>2072</v>
      </c>
      <c r="CN246" t="s">
        <v>9729</v>
      </c>
      <c r="CO246" t="s">
        <v>9729</v>
      </c>
    </row>
    <row r="247" spans="1:93" hidden="1">
      <c r="A247" t="s">
        <v>149</v>
      </c>
      <c r="B247">
        <v>5016613</v>
      </c>
      <c r="C247" t="s">
        <v>9761</v>
      </c>
      <c r="D247" t="s">
        <v>21661</v>
      </c>
      <c r="E247" t="s">
        <v>11889</v>
      </c>
      <c r="F247" t="s">
        <v>848</v>
      </c>
      <c r="G247" t="s">
        <v>98</v>
      </c>
      <c r="H247" t="s">
        <v>25266</v>
      </c>
      <c r="I247" t="s">
        <v>100</v>
      </c>
      <c r="J247">
        <v>1159868</v>
      </c>
      <c r="K247">
        <v>1368644</v>
      </c>
      <c r="L247">
        <v>0</v>
      </c>
      <c r="M247">
        <v>0</v>
      </c>
      <c r="O247">
        <v>0</v>
      </c>
      <c r="P247">
        <v>0</v>
      </c>
      <c r="R247">
        <v>1159868</v>
      </c>
      <c r="S247">
        <v>792</v>
      </c>
      <c r="T247" t="s">
        <v>17398</v>
      </c>
      <c r="U247" t="s">
        <v>102</v>
      </c>
      <c r="V247" t="s">
        <v>103</v>
      </c>
      <c r="W247" t="s">
        <v>155</v>
      </c>
      <c r="Y247" t="s">
        <v>21857</v>
      </c>
      <c r="Z247" t="s">
        <v>25267</v>
      </c>
      <c r="AA247" t="s">
        <v>21826</v>
      </c>
      <c r="AB247" t="s">
        <v>25267</v>
      </c>
      <c r="AC247" t="s">
        <v>21828</v>
      </c>
      <c r="AD247" t="s">
        <v>25267</v>
      </c>
      <c r="AE247" t="s">
        <v>21821</v>
      </c>
      <c r="AF247" t="s">
        <v>25267</v>
      </c>
      <c r="AG247" t="s">
        <v>102</v>
      </c>
      <c r="AJ247" t="s">
        <v>25267</v>
      </c>
      <c r="AK247" t="s">
        <v>102</v>
      </c>
      <c r="AL247" t="s">
        <v>25267</v>
      </c>
      <c r="AM247" t="s">
        <v>4168</v>
      </c>
      <c r="AN247" t="s">
        <v>4168</v>
      </c>
      <c r="AS247" t="s">
        <v>102</v>
      </c>
      <c r="AU247" t="s">
        <v>102</v>
      </c>
      <c r="AV247" t="s">
        <v>119</v>
      </c>
      <c r="AY247" t="s">
        <v>250</v>
      </c>
      <c r="AZ247" t="s">
        <v>8521</v>
      </c>
      <c r="BA247" t="s">
        <v>284</v>
      </c>
      <c r="BB247" t="s">
        <v>285</v>
      </c>
      <c r="BC247" t="s">
        <v>212</v>
      </c>
      <c r="BD247" t="s">
        <v>286</v>
      </c>
      <c r="BE247" t="s">
        <v>124</v>
      </c>
      <c r="BF247" t="s">
        <v>11889</v>
      </c>
      <c r="BG247" t="s">
        <v>21667</v>
      </c>
      <c r="BH247" t="s">
        <v>127</v>
      </c>
      <c r="BI247" t="s">
        <v>25268</v>
      </c>
      <c r="BJ247" t="s">
        <v>9772</v>
      </c>
      <c r="BK247" t="s">
        <v>25269</v>
      </c>
      <c r="BL247" t="s">
        <v>11889</v>
      </c>
      <c r="BM247" t="s">
        <v>23823</v>
      </c>
      <c r="BN247" t="s">
        <v>132</v>
      </c>
      <c r="BO247" t="s">
        <v>23824</v>
      </c>
      <c r="BP247" t="s">
        <v>23825</v>
      </c>
      <c r="BQ247" t="s">
        <v>4765</v>
      </c>
      <c r="BS247" t="s">
        <v>25270</v>
      </c>
      <c r="BT247" t="s">
        <v>18931</v>
      </c>
      <c r="BU247" t="s">
        <v>296</v>
      </c>
      <c r="BV247" t="s">
        <v>18932</v>
      </c>
      <c r="BW247" t="s">
        <v>6877</v>
      </c>
      <c r="BY247" t="s">
        <v>25173</v>
      </c>
      <c r="BZ247" t="s">
        <v>18932</v>
      </c>
      <c r="CA247" t="s">
        <v>6877</v>
      </c>
      <c r="CB247" t="s">
        <v>25173</v>
      </c>
      <c r="CC247" t="s">
        <v>18932</v>
      </c>
      <c r="CD247" t="s">
        <v>6877</v>
      </c>
      <c r="CE247" t="s">
        <v>102</v>
      </c>
      <c r="CF247" t="s">
        <v>18934</v>
      </c>
      <c r="CH247" t="s">
        <v>6729</v>
      </c>
      <c r="CJ247" t="s">
        <v>284</v>
      </c>
      <c r="CK247" t="s">
        <v>285</v>
      </c>
      <c r="CL247" t="s">
        <v>6729</v>
      </c>
      <c r="CM247" t="s">
        <v>6886</v>
      </c>
      <c r="CN247" t="s">
        <v>9776</v>
      </c>
      <c r="CO247" t="s">
        <v>9775</v>
      </c>
    </row>
    <row r="248" spans="1:93" hidden="1">
      <c r="A248" t="s">
        <v>149</v>
      </c>
      <c r="B248">
        <v>5016893</v>
      </c>
      <c r="C248" t="s">
        <v>9787</v>
      </c>
      <c r="D248" t="s">
        <v>21661</v>
      </c>
      <c r="E248" t="s">
        <v>21962</v>
      </c>
      <c r="F248" t="s">
        <v>848</v>
      </c>
      <c r="G248" t="s">
        <v>98</v>
      </c>
      <c r="H248" t="s">
        <v>25271</v>
      </c>
      <c r="I248" t="s">
        <v>100</v>
      </c>
      <c r="J248">
        <v>292896</v>
      </c>
      <c r="K248">
        <v>345617</v>
      </c>
      <c r="L248">
        <v>0</v>
      </c>
      <c r="M248">
        <v>0</v>
      </c>
      <c r="O248">
        <v>0</v>
      </c>
      <c r="P248">
        <v>0</v>
      </c>
      <c r="R248">
        <v>292896</v>
      </c>
      <c r="S248">
        <v>200</v>
      </c>
      <c r="T248" t="s">
        <v>17398</v>
      </c>
      <c r="U248" t="s">
        <v>102</v>
      </c>
      <c r="V248" t="s">
        <v>103</v>
      </c>
      <c r="W248" t="s">
        <v>155</v>
      </c>
      <c r="Y248" t="s">
        <v>21857</v>
      </c>
      <c r="Z248" t="s">
        <v>25272</v>
      </c>
      <c r="AA248" t="s">
        <v>21826</v>
      </c>
      <c r="AB248" t="s">
        <v>25272</v>
      </c>
      <c r="AC248" t="s">
        <v>21828</v>
      </c>
      <c r="AD248" t="s">
        <v>25272</v>
      </c>
      <c r="AE248" t="s">
        <v>21821</v>
      </c>
      <c r="AF248" t="s">
        <v>25272</v>
      </c>
      <c r="AG248" t="s">
        <v>102</v>
      </c>
      <c r="AJ248" t="s">
        <v>25272</v>
      </c>
      <c r="AK248" t="s">
        <v>102</v>
      </c>
      <c r="AL248" t="s">
        <v>25272</v>
      </c>
      <c r="AM248" t="s">
        <v>4168</v>
      </c>
      <c r="AN248" t="s">
        <v>4168</v>
      </c>
      <c r="AS248" t="s">
        <v>102</v>
      </c>
      <c r="AU248" t="s">
        <v>102</v>
      </c>
      <c r="AV248" t="s">
        <v>119</v>
      </c>
      <c r="AY248" t="s">
        <v>250</v>
      </c>
      <c r="AZ248" t="s">
        <v>120</v>
      </c>
      <c r="BA248" t="s">
        <v>284</v>
      </c>
      <c r="BB248" t="s">
        <v>285</v>
      </c>
      <c r="BC248" t="s">
        <v>212</v>
      </c>
      <c r="BD248" t="s">
        <v>286</v>
      </c>
      <c r="BE248" t="s">
        <v>124</v>
      </c>
      <c r="BF248" t="s">
        <v>11889</v>
      </c>
      <c r="BG248" t="s">
        <v>21667</v>
      </c>
      <c r="BH248" t="s">
        <v>127</v>
      </c>
      <c r="BI248" t="s">
        <v>25273</v>
      </c>
      <c r="BJ248" t="s">
        <v>9801</v>
      </c>
      <c r="BK248" t="s">
        <v>25274</v>
      </c>
      <c r="BL248" t="s">
        <v>21962</v>
      </c>
      <c r="BM248" t="s">
        <v>23823</v>
      </c>
      <c r="BN248" t="s">
        <v>132</v>
      </c>
      <c r="BO248" t="s">
        <v>23824</v>
      </c>
      <c r="BP248" t="s">
        <v>23825</v>
      </c>
      <c r="BQ248" t="s">
        <v>293</v>
      </c>
      <c r="BS248" t="s">
        <v>25275</v>
      </c>
      <c r="BT248" t="s">
        <v>18931</v>
      </c>
      <c r="BU248" t="s">
        <v>296</v>
      </c>
      <c r="BV248" t="s">
        <v>18932</v>
      </c>
      <c r="BW248" t="s">
        <v>6877</v>
      </c>
      <c r="BX248" t="s">
        <v>6876</v>
      </c>
      <c r="BY248" t="s">
        <v>18931</v>
      </c>
      <c r="BZ248" t="s">
        <v>18932</v>
      </c>
      <c r="CA248" t="s">
        <v>6877</v>
      </c>
      <c r="CB248" t="s">
        <v>18931</v>
      </c>
      <c r="CC248" t="s">
        <v>18932</v>
      </c>
      <c r="CD248" t="s">
        <v>6877</v>
      </c>
      <c r="CE248" t="s">
        <v>102</v>
      </c>
      <c r="CF248" t="s">
        <v>9809</v>
      </c>
      <c r="CH248" t="s">
        <v>6711</v>
      </c>
      <c r="CJ248" t="s">
        <v>284</v>
      </c>
      <c r="CK248" t="s">
        <v>285</v>
      </c>
      <c r="CL248" t="s">
        <v>6711</v>
      </c>
      <c r="CM248" t="s">
        <v>6886</v>
      </c>
      <c r="CN248" t="s">
        <v>9810</v>
      </c>
      <c r="CO248" t="s">
        <v>9809</v>
      </c>
    </row>
    <row r="249" spans="1:93" hidden="1">
      <c r="A249" t="s">
        <v>149</v>
      </c>
      <c r="B249">
        <v>5016913</v>
      </c>
      <c r="C249" t="s">
        <v>9811</v>
      </c>
      <c r="D249" t="s">
        <v>21661</v>
      </c>
      <c r="E249" t="s">
        <v>17021</v>
      </c>
      <c r="F249" t="s">
        <v>152</v>
      </c>
      <c r="G249" t="s">
        <v>98</v>
      </c>
      <c r="H249" t="s">
        <v>22839</v>
      </c>
      <c r="I249" t="s">
        <v>100</v>
      </c>
      <c r="J249">
        <v>352369</v>
      </c>
      <c r="K249">
        <v>352369</v>
      </c>
      <c r="L249">
        <v>0</v>
      </c>
      <c r="M249">
        <v>0</v>
      </c>
      <c r="O249">
        <v>352369</v>
      </c>
      <c r="P249">
        <v>243</v>
      </c>
      <c r="Q249" t="s">
        <v>15787</v>
      </c>
      <c r="R249">
        <v>0</v>
      </c>
      <c r="S249">
        <v>0</v>
      </c>
      <c r="U249" t="s">
        <v>102</v>
      </c>
      <c r="V249" t="s">
        <v>103</v>
      </c>
      <c r="W249" t="s">
        <v>155</v>
      </c>
      <c r="Y249" t="s">
        <v>22840</v>
      </c>
      <c r="Z249" t="s">
        <v>22841</v>
      </c>
      <c r="AA249" t="s">
        <v>21788</v>
      </c>
      <c r="AB249" t="s">
        <v>22841</v>
      </c>
      <c r="AC249" t="s">
        <v>22842</v>
      </c>
      <c r="AD249" t="s">
        <v>22841</v>
      </c>
      <c r="AE249" t="s">
        <v>21687</v>
      </c>
      <c r="AF249" t="s">
        <v>22841</v>
      </c>
      <c r="AG249" t="s">
        <v>102</v>
      </c>
      <c r="AJ249" t="s">
        <v>102</v>
      </c>
      <c r="AK249" t="s">
        <v>102</v>
      </c>
      <c r="AL249" t="s">
        <v>102</v>
      </c>
      <c r="AM249" t="s">
        <v>22843</v>
      </c>
      <c r="AN249" t="s">
        <v>22843</v>
      </c>
      <c r="AS249" t="s">
        <v>102</v>
      </c>
      <c r="AU249" t="s">
        <v>155</v>
      </c>
      <c r="AV249" t="s">
        <v>447</v>
      </c>
      <c r="AW249" t="s">
        <v>1138</v>
      </c>
      <c r="AX249" t="s">
        <v>118</v>
      </c>
      <c r="AZ249" t="s">
        <v>120</v>
      </c>
      <c r="BA249" t="s">
        <v>18963</v>
      </c>
      <c r="BB249" t="s">
        <v>173</v>
      </c>
      <c r="BC249" t="s">
        <v>174</v>
      </c>
      <c r="BD249" t="s">
        <v>173</v>
      </c>
      <c r="BE249" t="s">
        <v>124</v>
      </c>
      <c r="BF249" t="s">
        <v>12250</v>
      </c>
      <c r="BG249" t="s">
        <v>21667</v>
      </c>
      <c r="BH249" t="s">
        <v>127</v>
      </c>
      <c r="BI249" t="s">
        <v>22844</v>
      </c>
      <c r="BJ249" t="s">
        <v>9821</v>
      </c>
      <c r="BK249" t="s">
        <v>22845</v>
      </c>
      <c r="BL249" t="s">
        <v>17021</v>
      </c>
      <c r="BM249" t="s">
        <v>12557</v>
      </c>
      <c r="BN249" t="s">
        <v>180</v>
      </c>
      <c r="BO249" t="s">
        <v>12558</v>
      </c>
      <c r="BP249" t="s">
        <v>12559</v>
      </c>
      <c r="BQ249" t="s">
        <v>1176</v>
      </c>
      <c r="BS249" t="s">
        <v>22846</v>
      </c>
      <c r="BT249" t="s">
        <v>9827</v>
      </c>
      <c r="BU249" t="s">
        <v>138</v>
      </c>
      <c r="BV249" t="s">
        <v>9828</v>
      </c>
      <c r="BW249" t="s">
        <v>22847</v>
      </c>
      <c r="BX249" t="s">
        <v>9830</v>
      </c>
      <c r="BY249" t="s">
        <v>9827</v>
      </c>
      <c r="BZ249" t="s">
        <v>9828</v>
      </c>
      <c r="CA249" t="s">
        <v>22847</v>
      </c>
      <c r="CB249" t="s">
        <v>18969</v>
      </c>
      <c r="CC249" t="s">
        <v>9828</v>
      </c>
      <c r="CD249" t="s">
        <v>18968</v>
      </c>
      <c r="CE249" t="s">
        <v>9831</v>
      </c>
      <c r="CF249" t="s">
        <v>18970</v>
      </c>
      <c r="CH249" t="s">
        <v>9833</v>
      </c>
      <c r="CI249" t="s">
        <v>18970</v>
      </c>
      <c r="CJ249" t="s">
        <v>18963</v>
      </c>
      <c r="CK249" t="s">
        <v>173</v>
      </c>
      <c r="CL249" t="s">
        <v>9833</v>
      </c>
      <c r="CN249" t="s">
        <v>9834</v>
      </c>
      <c r="CO249" t="s">
        <v>9834</v>
      </c>
    </row>
    <row r="250" spans="1:93" hidden="1">
      <c r="A250" t="s">
        <v>149</v>
      </c>
      <c r="B250">
        <v>5017215</v>
      </c>
      <c r="C250" t="s">
        <v>9921</v>
      </c>
      <c r="D250" t="s">
        <v>21661</v>
      </c>
      <c r="E250" t="s">
        <v>21214</v>
      </c>
      <c r="F250" t="s">
        <v>848</v>
      </c>
      <c r="G250" t="s">
        <v>98</v>
      </c>
      <c r="H250" t="s">
        <v>23915</v>
      </c>
      <c r="I250" t="s">
        <v>100</v>
      </c>
      <c r="J250">
        <v>300036</v>
      </c>
      <c r="K250">
        <v>354042</v>
      </c>
      <c r="L250">
        <v>0</v>
      </c>
      <c r="M250">
        <v>0</v>
      </c>
      <c r="O250">
        <v>0</v>
      </c>
      <c r="P250">
        <v>0</v>
      </c>
      <c r="R250">
        <v>300036</v>
      </c>
      <c r="S250">
        <v>133</v>
      </c>
      <c r="T250" t="s">
        <v>13724</v>
      </c>
      <c r="U250" t="s">
        <v>102</v>
      </c>
      <c r="V250" t="s">
        <v>103</v>
      </c>
      <c r="W250" t="s">
        <v>155</v>
      </c>
      <c r="Y250" t="s">
        <v>22526</v>
      </c>
      <c r="Z250" t="s">
        <v>23916</v>
      </c>
      <c r="AA250" t="s">
        <v>22459</v>
      </c>
      <c r="AB250" t="s">
        <v>23916</v>
      </c>
      <c r="AC250" t="s">
        <v>21828</v>
      </c>
      <c r="AD250" t="s">
        <v>23916</v>
      </c>
      <c r="AE250" t="s">
        <v>21821</v>
      </c>
      <c r="AF250" t="s">
        <v>23916</v>
      </c>
      <c r="AG250" t="s">
        <v>102</v>
      </c>
      <c r="AJ250" t="s">
        <v>102</v>
      </c>
      <c r="AK250" t="s">
        <v>102</v>
      </c>
      <c r="AL250" t="s">
        <v>102</v>
      </c>
      <c r="AM250" t="s">
        <v>23878</v>
      </c>
      <c r="AN250" t="s">
        <v>23878</v>
      </c>
      <c r="AS250" t="s">
        <v>102</v>
      </c>
      <c r="AU250" t="s">
        <v>102</v>
      </c>
      <c r="AV250" t="s">
        <v>119</v>
      </c>
      <c r="AX250" t="s">
        <v>118</v>
      </c>
      <c r="AY250" t="s">
        <v>250</v>
      </c>
      <c r="AZ250" t="s">
        <v>1242</v>
      </c>
      <c r="BA250" t="s">
        <v>920</v>
      </c>
      <c r="BB250" t="s">
        <v>211</v>
      </c>
      <c r="BC250" t="s">
        <v>212</v>
      </c>
      <c r="BD250" t="s">
        <v>213</v>
      </c>
      <c r="BE250" t="s">
        <v>124</v>
      </c>
      <c r="BF250" t="s">
        <v>19143</v>
      </c>
      <c r="BG250" t="s">
        <v>21806</v>
      </c>
      <c r="BH250" t="s">
        <v>127</v>
      </c>
      <c r="BI250" t="s">
        <v>23917</v>
      </c>
      <c r="BJ250" t="s">
        <v>9929</v>
      </c>
      <c r="BK250" t="s">
        <v>23918</v>
      </c>
      <c r="BL250" t="s">
        <v>21214</v>
      </c>
      <c r="BM250" t="s">
        <v>7108</v>
      </c>
      <c r="BN250" t="s">
        <v>180</v>
      </c>
      <c r="BO250" t="s">
        <v>7109</v>
      </c>
      <c r="BP250" t="s">
        <v>2151</v>
      </c>
      <c r="BQ250" t="s">
        <v>2151</v>
      </c>
      <c r="BS250" t="s">
        <v>23919</v>
      </c>
      <c r="BT250" t="s">
        <v>19024</v>
      </c>
      <c r="BU250" t="s">
        <v>138</v>
      </c>
      <c r="BV250" t="s">
        <v>19025</v>
      </c>
      <c r="BW250" t="s">
        <v>19026</v>
      </c>
      <c r="BX250" t="s">
        <v>9935</v>
      </c>
      <c r="BY250" t="s">
        <v>19024</v>
      </c>
      <c r="BZ250" t="s">
        <v>19025</v>
      </c>
      <c r="CA250" t="s">
        <v>19026</v>
      </c>
      <c r="CB250" t="s">
        <v>19024</v>
      </c>
      <c r="CC250" t="s">
        <v>19025</v>
      </c>
      <c r="CD250" t="s">
        <v>19026</v>
      </c>
      <c r="CE250" t="s">
        <v>9936</v>
      </c>
      <c r="CF250" t="s">
        <v>19027</v>
      </c>
      <c r="CH250" t="s">
        <v>9938</v>
      </c>
      <c r="CI250" t="s">
        <v>9937</v>
      </c>
      <c r="CJ250" t="s">
        <v>920</v>
      </c>
      <c r="CK250" t="s">
        <v>211</v>
      </c>
      <c r="CL250" t="s">
        <v>9938</v>
      </c>
      <c r="CM250" t="s">
        <v>8718</v>
      </c>
      <c r="CN250" t="s">
        <v>9937</v>
      </c>
      <c r="CO250" t="s">
        <v>9937</v>
      </c>
    </row>
    <row r="251" spans="1:93" hidden="1">
      <c r="A251" t="s">
        <v>149</v>
      </c>
      <c r="B251">
        <v>5017447</v>
      </c>
      <c r="C251" t="s">
        <v>9972</v>
      </c>
      <c r="D251" t="s">
        <v>21661</v>
      </c>
      <c r="E251" t="s">
        <v>14455</v>
      </c>
      <c r="F251" t="s">
        <v>848</v>
      </c>
      <c r="G251" t="s">
        <v>98</v>
      </c>
      <c r="H251" t="s">
        <v>22848</v>
      </c>
      <c r="I251" t="s">
        <v>100</v>
      </c>
      <c r="J251">
        <v>772843</v>
      </c>
      <c r="K251">
        <v>911955</v>
      </c>
      <c r="L251">
        <v>0</v>
      </c>
      <c r="M251">
        <v>0</v>
      </c>
      <c r="O251">
        <v>0</v>
      </c>
      <c r="P251">
        <v>0</v>
      </c>
      <c r="R251">
        <v>772843</v>
      </c>
      <c r="S251">
        <v>380</v>
      </c>
      <c r="T251" t="s">
        <v>1399</v>
      </c>
      <c r="U251" t="s">
        <v>102</v>
      </c>
      <c r="V251" t="s">
        <v>103</v>
      </c>
      <c r="W251" t="s">
        <v>155</v>
      </c>
      <c r="Y251" t="s">
        <v>12250</v>
      </c>
      <c r="Z251" t="s">
        <v>22849</v>
      </c>
      <c r="AA251" t="s">
        <v>12720</v>
      </c>
      <c r="AB251" t="s">
        <v>22849</v>
      </c>
      <c r="AC251" t="s">
        <v>21686</v>
      </c>
      <c r="AD251" t="s">
        <v>22849</v>
      </c>
      <c r="AE251" t="s">
        <v>21687</v>
      </c>
      <c r="AF251" t="s">
        <v>22849</v>
      </c>
      <c r="AG251" t="s">
        <v>102</v>
      </c>
      <c r="AJ251" t="s">
        <v>22849</v>
      </c>
      <c r="AK251" t="s">
        <v>102</v>
      </c>
      <c r="AL251" t="s">
        <v>22849</v>
      </c>
      <c r="AM251" t="s">
        <v>2307</v>
      </c>
      <c r="AN251" t="s">
        <v>2307</v>
      </c>
      <c r="AS251" t="s">
        <v>102</v>
      </c>
      <c r="AU251" t="s">
        <v>102</v>
      </c>
      <c r="AV251" t="s">
        <v>119</v>
      </c>
      <c r="AY251" t="s">
        <v>250</v>
      </c>
      <c r="AZ251" t="s">
        <v>120</v>
      </c>
      <c r="BA251" t="s">
        <v>375</v>
      </c>
      <c r="BB251" t="s">
        <v>376</v>
      </c>
      <c r="BC251" t="s">
        <v>174</v>
      </c>
      <c r="BD251" t="s">
        <v>376</v>
      </c>
      <c r="BE251" t="s">
        <v>124</v>
      </c>
      <c r="BF251" t="s">
        <v>21790</v>
      </c>
      <c r="BG251" t="s">
        <v>21667</v>
      </c>
      <c r="BH251" t="s">
        <v>127</v>
      </c>
      <c r="BI251" t="s">
        <v>22850</v>
      </c>
      <c r="BJ251" t="s">
        <v>9981</v>
      </c>
      <c r="BK251" t="s">
        <v>22851</v>
      </c>
      <c r="BL251" t="s">
        <v>14455</v>
      </c>
      <c r="BM251" t="s">
        <v>1917</v>
      </c>
      <c r="BN251" t="s">
        <v>180</v>
      </c>
      <c r="BO251" t="s">
        <v>1918</v>
      </c>
      <c r="BP251" t="s">
        <v>1919</v>
      </c>
      <c r="BQ251" t="s">
        <v>1858</v>
      </c>
      <c r="BS251" t="s">
        <v>22852</v>
      </c>
      <c r="BT251" t="s">
        <v>1510</v>
      </c>
      <c r="BU251" t="s">
        <v>354</v>
      </c>
      <c r="BV251" t="s">
        <v>1511</v>
      </c>
      <c r="BW251" t="s">
        <v>1512</v>
      </c>
      <c r="BX251" t="s">
        <v>1511</v>
      </c>
      <c r="BY251" t="s">
        <v>1510</v>
      </c>
      <c r="BZ251" t="s">
        <v>1511</v>
      </c>
      <c r="CA251" t="s">
        <v>1512</v>
      </c>
      <c r="CB251" t="s">
        <v>1510</v>
      </c>
      <c r="CC251" t="s">
        <v>1511</v>
      </c>
      <c r="CD251" t="s">
        <v>1512</v>
      </c>
      <c r="CE251" t="s">
        <v>3968</v>
      </c>
      <c r="CF251" t="s">
        <v>1492</v>
      </c>
      <c r="CH251" t="s">
        <v>9988</v>
      </c>
      <c r="CI251" t="s">
        <v>9987</v>
      </c>
      <c r="CJ251" t="s">
        <v>375</v>
      </c>
      <c r="CK251" t="s">
        <v>376</v>
      </c>
      <c r="CL251" t="s">
        <v>9988</v>
      </c>
      <c r="CM251" t="s">
        <v>1516</v>
      </c>
      <c r="CN251" t="s">
        <v>9987</v>
      </c>
      <c r="CO251" t="s">
        <v>9989</v>
      </c>
    </row>
    <row r="252" spans="1:93" hidden="1">
      <c r="A252" t="s">
        <v>149</v>
      </c>
      <c r="B252">
        <v>5017529</v>
      </c>
      <c r="C252" t="s">
        <v>9990</v>
      </c>
      <c r="D252" t="s">
        <v>21661</v>
      </c>
      <c r="E252" t="s">
        <v>12728</v>
      </c>
      <c r="F252" t="s">
        <v>152</v>
      </c>
      <c r="G252" t="s">
        <v>98</v>
      </c>
      <c r="H252" t="s">
        <v>22853</v>
      </c>
      <c r="I252" t="s">
        <v>100</v>
      </c>
      <c r="J252">
        <v>245675</v>
      </c>
      <c r="K252">
        <v>245675</v>
      </c>
      <c r="L252">
        <v>0</v>
      </c>
      <c r="M252">
        <v>0</v>
      </c>
      <c r="O252">
        <v>245675</v>
      </c>
      <c r="P252">
        <v>170</v>
      </c>
      <c r="Q252" t="s">
        <v>22854</v>
      </c>
      <c r="R252">
        <v>0</v>
      </c>
      <c r="S252">
        <v>0</v>
      </c>
      <c r="U252" t="s">
        <v>102</v>
      </c>
      <c r="V252" t="s">
        <v>103</v>
      </c>
      <c r="W252" t="s">
        <v>104</v>
      </c>
      <c r="Y252" t="s">
        <v>22571</v>
      </c>
      <c r="Z252" t="s">
        <v>22855</v>
      </c>
      <c r="AA252" t="s">
        <v>21686</v>
      </c>
      <c r="AB252" t="s">
        <v>22855</v>
      </c>
      <c r="AC252" t="s">
        <v>109</v>
      </c>
      <c r="AD252" t="s">
        <v>102</v>
      </c>
      <c r="AE252" t="s">
        <v>109</v>
      </c>
      <c r="AF252" t="s">
        <v>102</v>
      </c>
      <c r="AG252" t="s">
        <v>102</v>
      </c>
      <c r="AJ252" t="s">
        <v>22855</v>
      </c>
      <c r="AK252" t="s">
        <v>102</v>
      </c>
      <c r="AL252" t="s">
        <v>22855</v>
      </c>
      <c r="AM252" t="s">
        <v>22856</v>
      </c>
      <c r="AN252" t="s">
        <v>22856</v>
      </c>
      <c r="AS252" t="s">
        <v>102</v>
      </c>
      <c r="AU252" t="s">
        <v>155</v>
      </c>
      <c r="AV252" t="s">
        <v>119</v>
      </c>
      <c r="AW252" t="s">
        <v>170</v>
      </c>
      <c r="AX252" t="s">
        <v>118</v>
      </c>
      <c r="AZ252" t="s">
        <v>598</v>
      </c>
      <c r="BA252" t="s">
        <v>6594</v>
      </c>
      <c r="BB252" t="s">
        <v>6595</v>
      </c>
      <c r="BC252" t="s">
        <v>174</v>
      </c>
      <c r="BD252" t="s">
        <v>4405</v>
      </c>
      <c r="BE252" t="s">
        <v>124</v>
      </c>
      <c r="BF252" t="s">
        <v>12250</v>
      </c>
      <c r="BG252" t="s">
        <v>21667</v>
      </c>
      <c r="BH252" t="s">
        <v>127</v>
      </c>
      <c r="BI252" t="s">
        <v>22857</v>
      </c>
      <c r="BJ252" t="s">
        <v>10007</v>
      </c>
      <c r="BK252" t="s">
        <v>22858</v>
      </c>
      <c r="BL252" t="s">
        <v>12728</v>
      </c>
      <c r="BM252" t="s">
        <v>1108</v>
      </c>
      <c r="BN252" t="s">
        <v>180</v>
      </c>
      <c r="BO252" t="s">
        <v>1109</v>
      </c>
      <c r="BP252" t="s">
        <v>1110</v>
      </c>
      <c r="BQ252" t="s">
        <v>4413</v>
      </c>
      <c r="BS252" t="s">
        <v>22859</v>
      </c>
      <c r="BT252" t="s">
        <v>10010</v>
      </c>
      <c r="BU252" t="s">
        <v>354</v>
      </c>
      <c r="BV252" t="s">
        <v>10011</v>
      </c>
      <c r="BW252" t="s">
        <v>10012</v>
      </c>
      <c r="BX252" t="s">
        <v>10011</v>
      </c>
      <c r="BY252" t="s">
        <v>10010</v>
      </c>
      <c r="BZ252" t="s">
        <v>10011</v>
      </c>
      <c r="CA252" t="s">
        <v>10012</v>
      </c>
      <c r="CB252" t="s">
        <v>10010</v>
      </c>
      <c r="CC252" t="s">
        <v>10011</v>
      </c>
      <c r="CD252" t="s">
        <v>10012</v>
      </c>
      <c r="CE252" t="s">
        <v>10017</v>
      </c>
      <c r="CF252" t="s">
        <v>10018</v>
      </c>
      <c r="CH252" t="s">
        <v>10019</v>
      </c>
      <c r="CI252" t="s">
        <v>10018</v>
      </c>
      <c r="CJ252" t="s">
        <v>6594</v>
      </c>
      <c r="CK252" t="s">
        <v>6595</v>
      </c>
      <c r="CL252" t="s">
        <v>10019</v>
      </c>
      <c r="CN252" t="s">
        <v>10018</v>
      </c>
      <c r="CO252" t="s">
        <v>10018</v>
      </c>
    </row>
    <row r="253" spans="1:93" hidden="1">
      <c r="A253" t="s">
        <v>149</v>
      </c>
      <c r="B253">
        <v>5017780</v>
      </c>
      <c r="C253" t="s">
        <v>10193</v>
      </c>
      <c r="D253" t="s">
        <v>21661</v>
      </c>
      <c r="E253" t="s">
        <v>22027</v>
      </c>
      <c r="F253" t="s">
        <v>848</v>
      </c>
      <c r="G253" t="s">
        <v>98</v>
      </c>
      <c r="H253" t="s">
        <v>26522</v>
      </c>
      <c r="I253" t="s">
        <v>100</v>
      </c>
      <c r="J253">
        <v>295422</v>
      </c>
      <c r="K253">
        <v>348598</v>
      </c>
      <c r="L253">
        <v>0</v>
      </c>
      <c r="M253">
        <v>0</v>
      </c>
      <c r="O253">
        <v>0</v>
      </c>
      <c r="P253">
        <v>0</v>
      </c>
      <c r="R253">
        <v>295422</v>
      </c>
      <c r="S253">
        <v>166</v>
      </c>
      <c r="T253" t="s">
        <v>4042</v>
      </c>
      <c r="U253" t="s">
        <v>102</v>
      </c>
      <c r="V253" t="s">
        <v>103</v>
      </c>
      <c r="W253" t="s">
        <v>155</v>
      </c>
      <c r="Y253" t="s">
        <v>12435</v>
      </c>
      <c r="Z253" t="s">
        <v>26523</v>
      </c>
      <c r="AA253" t="s">
        <v>21826</v>
      </c>
      <c r="AB253" t="s">
        <v>26523</v>
      </c>
      <c r="AC253" t="s">
        <v>21892</v>
      </c>
      <c r="AD253" t="s">
        <v>26523</v>
      </c>
      <c r="AE253" t="s">
        <v>21821</v>
      </c>
      <c r="AF253" t="s">
        <v>26523</v>
      </c>
      <c r="AG253" t="s">
        <v>102</v>
      </c>
      <c r="AJ253" t="s">
        <v>102</v>
      </c>
      <c r="AK253" t="s">
        <v>102</v>
      </c>
      <c r="AL253" t="s">
        <v>102</v>
      </c>
      <c r="AM253" t="s">
        <v>3645</v>
      </c>
      <c r="AN253" t="s">
        <v>3645</v>
      </c>
      <c r="AS253" t="s">
        <v>102</v>
      </c>
      <c r="AU253" t="s">
        <v>102</v>
      </c>
      <c r="AV253" t="s">
        <v>119</v>
      </c>
      <c r="AY253" t="s">
        <v>250</v>
      </c>
      <c r="AZ253" t="s">
        <v>120</v>
      </c>
      <c r="BA253" t="s">
        <v>10200</v>
      </c>
      <c r="BB253" t="s">
        <v>410</v>
      </c>
      <c r="BC253" t="s">
        <v>212</v>
      </c>
      <c r="BD253" t="s">
        <v>410</v>
      </c>
      <c r="BE253" t="s">
        <v>124</v>
      </c>
      <c r="BF253" t="s">
        <v>21805</v>
      </c>
      <c r="BG253" t="s">
        <v>21806</v>
      </c>
      <c r="BH253" t="s">
        <v>127</v>
      </c>
      <c r="BI253" t="s">
        <v>26524</v>
      </c>
      <c r="BJ253" t="s">
        <v>10202</v>
      </c>
      <c r="BK253" t="s">
        <v>26525</v>
      </c>
      <c r="BL253" t="s">
        <v>22027</v>
      </c>
      <c r="BM253" t="s">
        <v>7108</v>
      </c>
      <c r="BN253" t="s">
        <v>180</v>
      </c>
      <c r="BO253" t="s">
        <v>7109</v>
      </c>
      <c r="BP253" t="s">
        <v>2151</v>
      </c>
      <c r="BQ253" t="s">
        <v>899</v>
      </c>
      <c r="BS253" t="s">
        <v>26526</v>
      </c>
      <c r="BT253" t="s">
        <v>10205</v>
      </c>
      <c r="BU253" t="s">
        <v>138</v>
      </c>
      <c r="BV253" t="s">
        <v>10206</v>
      </c>
      <c r="BW253" t="s">
        <v>10207</v>
      </c>
      <c r="BX253" t="s">
        <v>10206</v>
      </c>
      <c r="BY253" t="s">
        <v>26527</v>
      </c>
      <c r="BZ253" t="s">
        <v>10206</v>
      </c>
      <c r="CA253" t="s">
        <v>10209</v>
      </c>
      <c r="CB253" t="s">
        <v>26527</v>
      </c>
      <c r="CC253" t="s">
        <v>10206</v>
      </c>
      <c r="CD253" t="s">
        <v>10209</v>
      </c>
      <c r="CE253" t="s">
        <v>3968</v>
      </c>
      <c r="CF253" t="s">
        <v>10210</v>
      </c>
      <c r="CH253" t="s">
        <v>10211</v>
      </c>
      <c r="CI253" t="s">
        <v>10210</v>
      </c>
      <c r="CJ253" t="s">
        <v>10200</v>
      </c>
      <c r="CK253" t="s">
        <v>10076</v>
      </c>
      <c r="CL253" t="s">
        <v>10211</v>
      </c>
      <c r="CM253" t="s">
        <v>10212</v>
      </c>
      <c r="CN253" t="s">
        <v>10210</v>
      </c>
      <c r="CO253" t="s">
        <v>10210</v>
      </c>
    </row>
    <row r="254" spans="1:93" hidden="1">
      <c r="A254" t="s">
        <v>149</v>
      </c>
      <c r="B254">
        <v>5017818</v>
      </c>
      <c r="C254" t="s">
        <v>10261</v>
      </c>
      <c r="D254" t="s">
        <v>21661</v>
      </c>
      <c r="E254" t="s">
        <v>25276</v>
      </c>
      <c r="F254" t="s">
        <v>848</v>
      </c>
      <c r="G254" t="s">
        <v>98</v>
      </c>
      <c r="H254" t="s">
        <v>25277</v>
      </c>
      <c r="I254" t="s">
        <v>100</v>
      </c>
      <c r="J254">
        <v>1640218</v>
      </c>
      <c r="K254">
        <v>1935458</v>
      </c>
      <c r="L254">
        <v>0</v>
      </c>
      <c r="M254">
        <v>0</v>
      </c>
      <c r="O254">
        <v>0</v>
      </c>
      <c r="P254">
        <v>0</v>
      </c>
      <c r="R254">
        <v>1640218</v>
      </c>
      <c r="S254">
        <v>1120</v>
      </c>
      <c r="T254" t="s">
        <v>17398</v>
      </c>
      <c r="U254" t="s">
        <v>102</v>
      </c>
      <c r="V254" t="s">
        <v>103</v>
      </c>
      <c r="W254" t="s">
        <v>155</v>
      </c>
      <c r="Y254" t="s">
        <v>25278</v>
      </c>
      <c r="Z254" t="s">
        <v>25279</v>
      </c>
      <c r="AA254" t="s">
        <v>25280</v>
      </c>
      <c r="AB254" t="s">
        <v>25279</v>
      </c>
      <c r="AC254" t="s">
        <v>25281</v>
      </c>
      <c r="AD254" t="s">
        <v>25279</v>
      </c>
      <c r="AE254" t="s">
        <v>21821</v>
      </c>
      <c r="AF254" t="s">
        <v>25279</v>
      </c>
      <c r="AG254" t="s">
        <v>102</v>
      </c>
      <c r="AJ254" t="s">
        <v>25282</v>
      </c>
      <c r="AK254" t="s">
        <v>102</v>
      </c>
      <c r="AL254" t="s">
        <v>25282</v>
      </c>
      <c r="AM254" t="s">
        <v>4168</v>
      </c>
      <c r="AN254" t="s">
        <v>4168</v>
      </c>
      <c r="AS254" t="s">
        <v>102</v>
      </c>
      <c r="AU254" t="s">
        <v>102</v>
      </c>
      <c r="AV254" t="s">
        <v>119</v>
      </c>
      <c r="AY254" t="s">
        <v>250</v>
      </c>
      <c r="AZ254" t="s">
        <v>8521</v>
      </c>
      <c r="BA254" t="s">
        <v>284</v>
      </c>
      <c r="BB254" t="s">
        <v>285</v>
      </c>
      <c r="BC254" t="s">
        <v>212</v>
      </c>
      <c r="BD254" t="s">
        <v>286</v>
      </c>
      <c r="BE254" t="s">
        <v>124</v>
      </c>
      <c r="BF254" t="s">
        <v>11979</v>
      </c>
      <c r="BG254" t="s">
        <v>21667</v>
      </c>
      <c r="BH254" t="s">
        <v>127</v>
      </c>
      <c r="BI254" t="s">
        <v>25283</v>
      </c>
      <c r="BJ254" t="s">
        <v>10271</v>
      </c>
      <c r="BK254" t="s">
        <v>25284</v>
      </c>
      <c r="BL254" t="s">
        <v>25276</v>
      </c>
      <c r="BM254" t="s">
        <v>23823</v>
      </c>
      <c r="BN254" t="s">
        <v>132</v>
      </c>
      <c r="BO254" t="s">
        <v>23824</v>
      </c>
      <c r="BP254" t="s">
        <v>23825</v>
      </c>
      <c r="BQ254" t="s">
        <v>3362</v>
      </c>
      <c r="BS254" t="s">
        <v>25285</v>
      </c>
      <c r="BT254" t="s">
        <v>18931</v>
      </c>
      <c r="BU254" t="s">
        <v>296</v>
      </c>
      <c r="BV254" t="s">
        <v>18932</v>
      </c>
      <c r="BW254" t="s">
        <v>6877</v>
      </c>
      <c r="BX254" t="s">
        <v>6876</v>
      </c>
      <c r="BY254" t="s">
        <v>25286</v>
      </c>
      <c r="BZ254" t="s">
        <v>18932</v>
      </c>
      <c r="CA254" t="s">
        <v>6877</v>
      </c>
      <c r="CB254" t="s">
        <v>25286</v>
      </c>
      <c r="CC254" t="s">
        <v>18932</v>
      </c>
      <c r="CD254" t="s">
        <v>6877</v>
      </c>
      <c r="CE254" t="s">
        <v>102</v>
      </c>
      <c r="CF254" t="s">
        <v>9809</v>
      </c>
      <c r="CH254" t="s">
        <v>6711</v>
      </c>
      <c r="CJ254" t="s">
        <v>284</v>
      </c>
      <c r="CK254" t="s">
        <v>285</v>
      </c>
      <c r="CL254" t="s">
        <v>6711</v>
      </c>
      <c r="CM254" t="s">
        <v>6886</v>
      </c>
      <c r="CN254" t="s">
        <v>9810</v>
      </c>
      <c r="CO254" t="s">
        <v>9809</v>
      </c>
    </row>
    <row r="255" spans="1:93" hidden="1">
      <c r="A255" t="s">
        <v>93</v>
      </c>
      <c r="B255">
        <v>5017849</v>
      </c>
      <c r="C255" t="s">
        <v>19218</v>
      </c>
      <c r="D255" t="s">
        <v>21661</v>
      </c>
      <c r="E255" t="s">
        <v>20476</v>
      </c>
      <c r="F255" t="s">
        <v>152</v>
      </c>
      <c r="G255" t="s">
        <v>98</v>
      </c>
      <c r="H255" t="s">
        <v>26528</v>
      </c>
      <c r="I255" t="s">
        <v>100</v>
      </c>
      <c r="J255">
        <v>727932</v>
      </c>
      <c r="K255">
        <v>727932</v>
      </c>
      <c r="L255">
        <v>0</v>
      </c>
      <c r="M255">
        <v>0</v>
      </c>
      <c r="O255">
        <v>727932</v>
      </c>
      <c r="P255">
        <v>455</v>
      </c>
      <c r="Q255" t="s">
        <v>678</v>
      </c>
      <c r="R255">
        <v>0</v>
      </c>
      <c r="S255">
        <v>0</v>
      </c>
      <c r="U255" t="s">
        <v>102</v>
      </c>
      <c r="V255" t="s">
        <v>103</v>
      </c>
      <c r="W255" t="s">
        <v>398</v>
      </c>
      <c r="Y255" t="s">
        <v>22840</v>
      </c>
      <c r="Z255" t="s">
        <v>26529</v>
      </c>
      <c r="AA255" t="s">
        <v>26530</v>
      </c>
      <c r="AB255" t="s">
        <v>26531</v>
      </c>
      <c r="AC255" t="s">
        <v>22072</v>
      </c>
      <c r="AD255" t="s">
        <v>26531</v>
      </c>
      <c r="AE255" t="s">
        <v>109</v>
      </c>
      <c r="AF255" t="s">
        <v>102</v>
      </c>
      <c r="AG255" t="s">
        <v>102</v>
      </c>
      <c r="AJ255" t="s">
        <v>102</v>
      </c>
      <c r="AK255" t="s">
        <v>102</v>
      </c>
      <c r="AL255" t="s">
        <v>102</v>
      </c>
      <c r="AM255" t="s">
        <v>17462</v>
      </c>
      <c r="AN255" t="s">
        <v>17462</v>
      </c>
      <c r="AS255" t="s">
        <v>102</v>
      </c>
      <c r="AU255" t="s">
        <v>155</v>
      </c>
      <c r="AV255" t="s">
        <v>119</v>
      </c>
      <c r="AW255" t="s">
        <v>170</v>
      </c>
      <c r="AX255" t="s">
        <v>118</v>
      </c>
      <c r="AZ255" t="s">
        <v>120</v>
      </c>
      <c r="BA255" t="s">
        <v>7324</v>
      </c>
      <c r="BB255" t="s">
        <v>556</v>
      </c>
      <c r="BC255" t="s">
        <v>122</v>
      </c>
      <c r="BD255" t="s">
        <v>557</v>
      </c>
      <c r="BE255" t="s">
        <v>124</v>
      </c>
      <c r="BF255" t="s">
        <v>23046</v>
      </c>
      <c r="BG255" t="s">
        <v>26532</v>
      </c>
      <c r="BH255" t="s">
        <v>127</v>
      </c>
      <c r="BI255" t="s">
        <v>26533</v>
      </c>
      <c r="BJ255" t="s">
        <v>19232</v>
      </c>
      <c r="BK255" t="s">
        <v>26534</v>
      </c>
      <c r="BL255" t="s">
        <v>20476</v>
      </c>
      <c r="BM255" t="s">
        <v>1071</v>
      </c>
      <c r="BN255" t="s">
        <v>350</v>
      </c>
      <c r="BO255" t="s">
        <v>1072</v>
      </c>
      <c r="BP255" t="s">
        <v>1073</v>
      </c>
      <c r="BQ255" t="s">
        <v>566</v>
      </c>
      <c r="BS255" t="s">
        <v>26535</v>
      </c>
      <c r="BT255" t="s">
        <v>26536</v>
      </c>
      <c r="BV255" t="s">
        <v>16852</v>
      </c>
      <c r="BW255" t="s">
        <v>7331</v>
      </c>
      <c r="BX255" t="s">
        <v>16852</v>
      </c>
      <c r="BY255" t="s">
        <v>26537</v>
      </c>
      <c r="BZ255" t="s">
        <v>26538</v>
      </c>
      <c r="CA255" t="s">
        <v>7331</v>
      </c>
      <c r="CB255" t="s">
        <v>26537</v>
      </c>
      <c r="CC255" t="s">
        <v>26538</v>
      </c>
      <c r="CD255" t="s">
        <v>7331</v>
      </c>
      <c r="CE255" t="s">
        <v>19241</v>
      </c>
      <c r="CF255" t="s">
        <v>19242</v>
      </c>
      <c r="CH255" t="s">
        <v>7334</v>
      </c>
      <c r="CI255" t="s">
        <v>19243</v>
      </c>
      <c r="CJ255" t="s">
        <v>7324</v>
      </c>
      <c r="CK255" t="s">
        <v>556</v>
      </c>
      <c r="CL255" t="s">
        <v>7334</v>
      </c>
      <c r="CM255" t="s">
        <v>19244</v>
      </c>
      <c r="CN255" t="s">
        <v>19242</v>
      </c>
      <c r="CO255" t="s">
        <v>19242</v>
      </c>
    </row>
    <row r="256" spans="1:93" hidden="1">
      <c r="A256" t="s">
        <v>93</v>
      </c>
      <c r="B256">
        <v>5017918</v>
      </c>
      <c r="C256" t="s">
        <v>25708</v>
      </c>
      <c r="D256" t="s">
        <v>21661</v>
      </c>
      <c r="E256" t="s">
        <v>25697</v>
      </c>
      <c r="F256" t="s">
        <v>8024</v>
      </c>
      <c r="G256" t="s">
        <v>98</v>
      </c>
      <c r="H256" t="s">
        <v>25907</v>
      </c>
      <c r="I256" t="s">
        <v>100</v>
      </c>
      <c r="J256">
        <v>346129</v>
      </c>
      <c r="K256">
        <v>374709</v>
      </c>
      <c r="L256">
        <v>0</v>
      </c>
      <c r="M256">
        <v>0</v>
      </c>
      <c r="O256">
        <v>187350</v>
      </c>
      <c r="P256">
        <v>250</v>
      </c>
      <c r="Q256" t="s">
        <v>18419</v>
      </c>
      <c r="R256">
        <v>158779</v>
      </c>
      <c r="S256">
        <v>250</v>
      </c>
      <c r="T256" t="s">
        <v>12956</v>
      </c>
      <c r="U256" t="s">
        <v>102</v>
      </c>
      <c r="V256" t="s">
        <v>103</v>
      </c>
      <c r="W256" t="s">
        <v>104</v>
      </c>
      <c r="Y256" t="s">
        <v>25711</v>
      </c>
      <c r="Z256" t="s">
        <v>25908</v>
      </c>
      <c r="AA256" t="s">
        <v>21874</v>
      </c>
      <c r="AB256" t="s">
        <v>25908</v>
      </c>
      <c r="AC256" t="s">
        <v>109</v>
      </c>
      <c r="AD256" t="s">
        <v>102</v>
      </c>
      <c r="AE256" t="s">
        <v>109</v>
      </c>
      <c r="AF256" t="s">
        <v>102</v>
      </c>
      <c r="AG256" t="s">
        <v>102</v>
      </c>
      <c r="AJ256" t="s">
        <v>102</v>
      </c>
      <c r="AK256" t="s">
        <v>102</v>
      </c>
      <c r="AL256" t="s">
        <v>102</v>
      </c>
      <c r="AM256" t="s">
        <v>25909</v>
      </c>
      <c r="AN256" t="s">
        <v>25909</v>
      </c>
      <c r="AS256" t="s">
        <v>102</v>
      </c>
      <c r="AU256" t="s">
        <v>1758</v>
      </c>
      <c r="AV256" t="s">
        <v>119</v>
      </c>
      <c r="AX256" t="s">
        <v>250</v>
      </c>
      <c r="AY256" t="s">
        <v>250</v>
      </c>
      <c r="AZ256" t="s">
        <v>120</v>
      </c>
      <c r="BA256" t="s">
        <v>1552</v>
      </c>
      <c r="BB256" t="s">
        <v>410</v>
      </c>
      <c r="BC256" t="s">
        <v>212</v>
      </c>
      <c r="BD256" t="s">
        <v>410</v>
      </c>
      <c r="BE256" t="s">
        <v>124</v>
      </c>
      <c r="BF256" t="s">
        <v>13662</v>
      </c>
      <c r="BG256" t="s">
        <v>21667</v>
      </c>
      <c r="BH256" t="s">
        <v>127</v>
      </c>
      <c r="BI256" t="s">
        <v>25910</v>
      </c>
      <c r="BJ256" t="s">
        <v>19275</v>
      </c>
      <c r="BK256" t="s">
        <v>25911</v>
      </c>
      <c r="BL256" t="s">
        <v>25697</v>
      </c>
      <c r="BM256" t="s">
        <v>866</v>
      </c>
      <c r="BN256" t="s">
        <v>132</v>
      </c>
      <c r="BO256" t="s">
        <v>867</v>
      </c>
      <c r="BP256" t="s">
        <v>868</v>
      </c>
      <c r="BQ256" t="s">
        <v>222</v>
      </c>
      <c r="BS256" t="s">
        <v>25912</v>
      </c>
      <c r="BT256" t="s">
        <v>25717</v>
      </c>
      <c r="BU256" t="s">
        <v>354</v>
      </c>
      <c r="BV256" t="s">
        <v>19823</v>
      </c>
      <c r="BW256" t="s">
        <v>1559</v>
      </c>
      <c r="BX256" t="s">
        <v>1560</v>
      </c>
      <c r="BY256" t="s">
        <v>19278</v>
      </c>
      <c r="BZ256" t="s">
        <v>12812</v>
      </c>
      <c r="CA256" t="s">
        <v>1559</v>
      </c>
      <c r="CB256" t="s">
        <v>25718</v>
      </c>
      <c r="CC256" t="s">
        <v>1562</v>
      </c>
      <c r="CD256" t="s">
        <v>1559</v>
      </c>
      <c r="CE256" t="s">
        <v>102</v>
      </c>
      <c r="CF256" t="s">
        <v>1564</v>
      </c>
      <c r="CH256" t="s">
        <v>1565</v>
      </c>
      <c r="CJ256" t="s">
        <v>1552</v>
      </c>
      <c r="CK256" t="s">
        <v>410</v>
      </c>
      <c r="CL256" t="s">
        <v>1565</v>
      </c>
      <c r="CM256" t="s">
        <v>1566</v>
      </c>
      <c r="CN256" t="s">
        <v>1564</v>
      </c>
      <c r="CO256" t="s">
        <v>1564</v>
      </c>
    </row>
    <row r="257" spans="1:93" hidden="1">
      <c r="A257" t="s">
        <v>93</v>
      </c>
      <c r="B257">
        <v>5017985</v>
      </c>
      <c r="C257" t="s">
        <v>9747</v>
      </c>
      <c r="D257" t="s">
        <v>21661</v>
      </c>
      <c r="E257" t="s">
        <v>16558</v>
      </c>
      <c r="F257" t="s">
        <v>848</v>
      </c>
      <c r="G257" t="s">
        <v>98</v>
      </c>
      <c r="H257" t="s">
        <v>23920</v>
      </c>
      <c r="I257" t="s">
        <v>100</v>
      </c>
      <c r="J257">
        <v>565960</v>
      </c>
      <c r="K257">
        <v>667833</v>
      </c>
      <c r="L257">
        <v>0</v>
      </c>
      <c r="M257">
        <v>0</v>
      </c>
      <c r="O257">
        <v>0</v>
      </c>
      <c r="P257">
        <v>0</v>
      </c>
      <c r="R257">
        <v>565960</v>
      </c>
      <c r="S257">
        <v>210</v>
      </c>
      <c r="T257" t="s">
        <v>23921</v>
      </c>
      <c r="U257" t="s">
        <v>102</v>
      </c>
      <c r="V257" t="s">
        <v>275</v>
      </c>
      <c r="X257" t="s">
        <v>19303</v>
      </c>
      <c r="Y257" t="s">
        <v>109</v>
      </c>
      <c r="Z257" t="s">
        <v>102</v>
      </c>
      <c r="AA257" t="s">
        <v>109</v>
      </c>
      <c r="AB257" t="s">
        <v>102</v>
      </c>
      <c r="AC257" t="s">
        <v>109</v>
      </c>
      <c r="AD257" t="s">
        <v>102</v>
      </c>
      <c r="AE257" t="s">
        <v>109</v>
      </c>
      <c r="AF257" t="s">
        <v>102</v>
      </c>
      <c r="AG257" t="s">
        <v>102</v>
      </c>
      <c r="AJ257" t="s">
        <v>102</v>
      </c>
      <c r="AK257" t="s">
        <v>102</v>
      </c>
      <c r="AL257" t="s">
        <v>102</v>
      </c>
      <c r="AM257" t="s">
        <v>3238</v>
      </c>
      <c r="AN257" t="s">
        <v>3238</v>
      </c>
      <c r="AS257" t="s">
        <v>102</v>
      </c>
      <c r="AU257" t="s">
        <v>102</v>
      </c>
      <c r="AV257" t="s">
        <v>119</v>
      </c>
      <c r="AY257" t="s">
        <v>250</v>
      </c>
      <c r="AZ257" t="s">
        <v>120</v>
      </c>
      <c r="BA257" t="s">
        <v>284</v>
      </c>
      <c r="BB257" t="s">
        <v>285</v>
      </c>
      <c r="BC257" t="s">
        <v>212</v>
      </c>
      <c r="BD257" t="s">
        <v>286</v>
      </c>
      <c r="BE257" t="s">
        <v>124</v>
      </c>
      <c r="BF257" t="s">
        <v>21962</v>
      </c>
      <c r="BG257" t="s">
        <v>21667</v>
      </c>
      <c r="BH257" t="s">
        <v>127</v>
      </c>
      <c r="BI257" t="s">
        <v>23922</v>
      </c>
      <c r="BJ257" t="s">
        <v>19305</v>
      </c>
      <c r="BK257" t="s">
        <v>23923</v>
      </c>
      <c r="BL257" t="s">
        <v>16558</v>
      </c>
      <c r="BM257" t="s">
        <v>3997</v>
      </c>
      <c r="BN257" t="s">
        <v>505</v>
      </c>
      <c r="BO257" t="s">
        <v>3998</v>
      </c>
      <c r="BP257" t="s">
        <v>3999</v>
      </c>
      <c r="BQ257" t="s">
        <v>3362</v>
      </c>
      <c r="BS257" t="s">
        <v>23924</v>
      </c>
      <c r="BT257" t="s">
        <v>23925</v>
      </c>
      <c r="BU257" t="s">
        <v>138</v>
      </c>
      <c r="BV257" t="s">
        <v>19309</v>
      </c>
      <c r="BW257" t="s">
        <v>19310</v>
      </c>
      <c r="BX257" t="s">
        <v>19309</v>
      </c>
      <c r="BY257" t="s">
        <v>23926</v>
      </c>
      <c r="BZ257" t="s">
        <v>19309</v>
      </c>
      <c r="CA257" t="s">
        <v>19310</v>
      </c>
      <c r="CB257" t="s">
        <v>23926</v>
      </c>
      <c r="CC257" t="s">
        <v>19309</v>
      </c>
      <c r="CD257" t="s">
        <v>19310</v>
      </c>
      <c r="CE257" t="s">
        <v>4937</v>
      </c>
      <c r="CF257" t="s">
        <v>19314</v>
      </c>
      <c r="CH257" t="s">
        <v>19315</v>
      </c>
      <c r="CI257" t="s">
        <v>19316</v>
      </c>
      <c r="CJ257" t="s">
        <v>284</v>
      </c>
      <c r="CK257" t="s">
        <v>285</v>
      </c>
      <c r="CL257" t="s">
        <v>19317</v>
      </c>
      <c r="CN257" t="s">
        <v>19318</v>
      </c>
      <c r="CO257" t="s">
        <v>19319</v>
      </c>
    </row>
    <row r="258" spans="1:93">
      <c r="A258" t="s">
        <v>337</v>
      </c>
      <c r="B258">
        <v>5017986</v>
      </c>
      <c r="C258" t="s">
        <v>26201</v>
      </c>
      <c r="D258" t="s">
        <v>21661</v>
      </c>
      <c r="E258" t="s">
        <v>24940</v>
      </c>
      <c r="F258" t="s">
        <v>97</v>
      </c>
      <c r="G258" t="s">
        <v>98</v>
      </c>
      <c r="H258" t="s">
        <v>26202</v>
      </c>
      <c r="I258" t="s">
        <v>100</v>
      </c>
      <c r="J258">
        <v>162000</v>
      </c>
      <c r="K258">
        <v>162000</v>
      </c>
      <c r="L258">
        <v>162000</v>
      </c>
      <c r="M258">
        <v>216</v>
      </c>
      <c r="N258" t="s">
        <v>101</v>
      </c>
      <c r="O258">
        <v>0</v>
      </c>
      <c r="P258">
        <v>0</v>
      </c>
      <c r="R258">
        <v>0</v>
      </c>
      <c r="S258">
        <v>0</v>
      </c>
      <c r="U258" t="s">
        <v>102</v>
      </c>
      <c r="V258" t="s">
        <v>103</v>
      </c>
      <c r="W258" t="s">
        <v>104</v>
      </c>
      <c r="Y258" t="s">
        <v>24940</v>
      </c>
      <c r="Z258" t="s">
        <v>26203</v>
      </c>
      <c r="AA258" t="s">
        <v>22904</v>
      </c>
      <c r="AB258" t="s">
        <v>26204</v>
      </c>
      <c r="AC258" t="s">
        <v>109</v>
      </c>
      <c r="AD258" t="s">
        <v>102</v>
      </c>
      <c r="AE258" t="s">
        <v>109</v>
      </c>
      <c r="AF258" t="s">
        <v>102</v>
      </c>
      <c r="AG258" t="s">
        <v>102</v>
      </c>
      <c r="AH258" t="s">
        <v>18690</v>
      </c>
      <c r="AI258" t="s">
        <v>18690</v>
      </c>
      <c r="AJ258" t="s">
        <v>26203</v>
      </c>
      <c r="AK258" t="s">
        <v>26205</v>
      </c>
      <c r="AL258" t="s">
        <v>26206</v>
      </c>
      <c r="AM258" t="s">
        <v>116</v>
      </c>
      <c r="AN258" t="s">
        <v>950</v>
      </c>
      <c r="AO258" t="s">
        <v>102</v>
      </c>
      <c r="AP258" t="s">
        <v>102</v>
      </c>
      <c r="AQ258" t="s">
        <v>102</v>
      </c>
      <c r="AR258" t="s">
        <v>102</v>
      </c>
      <c r="AS258" t="s">
        <v>117</v>
      </c>
      <c r="AT258" t="s">
        <v>118</v>
      </c>
      <c r="AU258" t="s">
        <v>102</v>
      </c>
      <c r="AV258" t="s">
        <v>119</v>
      </c>
      <c r="AZ258" t="s">
        <v>1242</v>
      </c>
      <c r="BA258" t="s">
        <v>623</v>
      </c>
      <c r="BB258" t="s">
        <v>621</v>
      </c>
      <c r="BC258" t="s">
        <v>622</v>
      </c>
      <c r="BD258" t="s">
        <v>623</v>
      </c>
      <c r="BE258" t="s">
        <v>124</v>
      </c>
      <c r="BF258" t="s">
        <v>12250</v>
      </c>
      <c r="BG258" t="s">
        <v>21667</v>
      </c>
      <c r="BH258" t="s">
        <v>127</v>
      </c>
      <c r="BI258" t="s">
        <v>26207</v>
      </c>
      <c r="BJ258" t="s">
        <v>26208</v>
      </c>
      <c r="BK258" t="s">
        <v>26209</v>
      </c>
      <c r="BL258" t="s">
        <v>24940</v>
      </c>
      <c r="BM258" t="s">
        <v>1670</v>
      </c>
      <c r="BN258" t="s">
        <v>132</v>
      </c>
      <c r="BO258" t="s">
        <v>1671</v>
      </c>
      <c r="BP258" t="s">
        <v>1672</v>
      </c>
      <c r="BQ258" t="s">
        <v>507</v>
      </c>
      <c r="BS258" t="s">
        <v>26210</v>
      </c>
      <c r="BT258" t="s">
        <v>26211</v>
      </c>
      <c r="BU258" t="s">
        <v>138</v>
      </c>
      <c r="BV258" t="s">
        <v>26212</v>
      </c>
      <c r="BW258" t="s">
        <v>26213</v>
      </c>
      <c r="BX258" t="s">
        <v>26214</v>
      </c>
      <c r="BY258" t="s">
        <v>26211</v>
      </c>
      <c r="BZ258" t="s">
        <v>26212</v>
      </c>
      <c r="CA258" t="s">
        <v>26213</v>
      </c>
      <c r="CB258" t="s">
        <v>26211</v>
      </c>
      <c r="CC258" t="s">
        <v>26212</v>
      </c>
      <c r="CD258" t="s">
        <v>26213</v>
      </c>
      <c r="CE258" t="s">
        <v>14971</v>
      </c>
      <c r="CF258" t="s">
        <v>26215</v>
      </c>
      <c r="CH258" t="s">
        <v>26216</v>
      </c>
      <c r="CJ258" t="s">
        <v>623</v>
      </c>
      <c r="CK258" t="s">
        <v>621</v>
      </c>
      <c r="CL258" t="s">
        <v>26216</v>
      </c>
      <c r="CN258" t="s">
        <v>26217</v>
      </c>
      <c r="CO258" t="s">
        <v>26217</v>
      </c>
    </row>
    <row r="259" spans="1:93" hidden="1">
      <c r="A259" t="s">
        <v>93</v>
      </c>
      <c r="B259">
        <v>5018035</v>
      </c>
      <c r="C259" t="s">
        <v>19339</v>
      </c>
      <c r="D259" t="s">
        <v>21661</v>
      </c>
      <c r="E259" t="s">
        <v>22860</v>
      </c>
      <c r="F259" t="s">
        <v>193</v>
      </c>
      <c r="G259" t="s">
        <v>98</v>
      </c>
      <c r="H259" t="s">
        <v>22861</v>
      </c>
      <c r="I259" t="s">
        <v>100</v>
      </c>
      <c r="J259">
        <v>898769</v>
      </c>
      <c r="K259">
        <v>1026041</v>
      </c>
      <c r="L259">
        <v>191700</v>
      </c>
      <c r="M259">
        <v>213</v>
      </c>
      <c r="N259" t="s">
        <v>2451</v>
      </c>
      <c r="O259">
        <v>0</v>
      </c>
      <c r="P259">
        <v>0</v>
      </c>
      <c r="R259">
        <v>707069</v>
      </c>
      <c r="S259">
        <v>311</v>
      </c>
      <c r="T259" t="s">
        <v>21961</v>
      </c>
      <c r="U259" t="s">
        <v>102</v>
      </c>
      <c r="V259" t="s">
        <v>679</v>
      </c>
      <c r="W259" t="s">
        <v>801</v>
      </c>
      <c r="X259" t="s">
        <v>21962</v>
      </c>
      <c r="Y259" t="s">
        <v>21963</v>
      </c>
      <c r="Z259" t="s">
        <v>22862</v>
      </c>
      <c r="AA259" t="s">
        <v>21965</v>
      </c>
      <c r="AB259" t="s">
        <v>22862</v>
      </c>
      <c r="AC259" t="s">
        <v>21966</v>
      </c>
      <c r="AD259" t="s">
        <v>22863</v>
      </c>
      <c r="AE259" t="s">
        <v>21968</v>
      </c>
      <c r="AF259" t="s">
        <v>22863</v>
      </c>
      <c r="AG259" t="s">
        <v>102</v>
      </c>
      <c r="AJ259" t="s">
        <v>22863</v>
      </c>
      <c r="AK259" t="s">
        <v>102</v>
      </c>
      <c r="AL259" t="s">
        <v>22863</v>
      </c>
      <c r="AM259" t="s">
        <v>21969</v>
      </c>
      <c r="AN259" t="s">
        <v>21969</v>
      </c>
      <c r="AS259" t="s">
        <v>207</v>
      </c>
      <c r="AT259" t="s">
        <v>118</v>
      </c>
      <c r="AU259" t="s">
        <v>102</v>
      </c>
      <c r="AV259" t="s">
        <v>119</v>
      </c>
      <c r="AY259" t="s">
        <v>250</v>
      </c>
      <c r="AZ259" t="s">
        <v>120</v>
      </c>
      <c r="BA259" t="s">
        <v>13207</v>
      </c>
      <c r="BB259" t="s">
        <v>376</v>
      </c>
      <c r="BC259" t="s">
        <v>174</v>
      </c>
      <c r="BD259" t="s">
        <v>376</v>
      </c>
      <c r="BE259" t="s">
        <v>124</v>
      </c>
      <c r="BF259" t="s">
        <v>12250</v>
      </c>
      <c r="BG259" t="s">
        <v>21667</v>
      </c>
      <c r="BH259" t="s">
        <v>127</v>
      </c>
      <c r="BI259" t="s">
        <v>22864</v>
      </c>
      <c r="BJ259" t="s">
        <v>19349</v>
      </c>
      <c r="BK259" t="s">
        <v>22865</v>
      </c>
      <c r="BL259" t="s">
        <v>22860</v>
      </c>
      <c r="BM259" t="s">
        <v>6926</v>
      </c>
      <c r="BN259" t="s">
        <v>180</v>
      </c>
      <c r="BO259" t="s">
        <v>6927</v>
      </c>
      <c r="BP259" t="s">
        <v>6928</v>
      </c>
      <c r="BQ259" t="s">
        <v>1858</v>
      </c>
      <c r="BS259" t="s">
        <v>22866</v>
      </c>
      <c r="BT259" t="s">
        <v>22867</v>
      </c>
      <c r="BU259" t="s">
        <v>598</v>
      </c>
      <c r="BV259" t="s">
        <v>22868</v>
      </c>
      <c r="BW259" t="s">
        <v>22869</v>
      </c>
      <c r="BX259" t="s">
        <v>19355</v>
      </c>
      <c r="BY259" t="s">
        <v>19356</v>
      </c>
      <c r="BZ259" t="s">
        <v>22870</v>
      </c>
      <c r="CA259" t="s">
        <v>19357</v>
      </c>
      <c r="CB259" t="s">
        <v>19358</v>
      </c>
      <c r="CC259" t="s">
        <v>19359</v>
      </c>
      <c r="CD259" t="s">
        <v>19360</v>
      </c>
      <c r="CE259" t="s">
        <v>19361</v>
      </c>
      <c r="CF259" t="s">
        <v>19362</v>
      </c>
      <c r="CH259" t="s">
        <v>19363</v>
      </c>
      <c r="CI259" t="s">
        <v>19362</v>
      </c>
      <c r="CJ259" t="s">
        <v>13207</v>
      </c>
      <c r="CK259" t="s">
        <v>376</v>
      </c>
      <c r="CL259" t="s">
        <v>19363</v>
      </c>
      <c r="CN259" t="s">
        <v>19362</v>
      </c>
      <c r="CO259" t="s">
        <v>19362</v>
      </c>
    </row>
    <row r="260" spans="1:93" hidden="1">
      <c r="A260" t="s">
        <v>495</v>
      </c>
      <c r="B260">
        <v>5018164</v>
      </c>
      <c r="C260" t="s">
        <v>10552</v>
      </c>
      <c r="D260" t="s">
        <v>21661</v>
      </c>
      <c r="E260" t="s">
        <v>25719</v>
      </c>
      <c r="F260" t="s">
        <v>848</v>
      </c>
      <c r="G260" t="s">
        <v>98</v>
      </c>
      <c r="H260" t="s">
        <v>25913</v>
      </c>
      <c r="I260" t="s">
        <v>100</v>
      </c>
      <c r="J260">
        <v>286260</v>
      </c>
      <c r="K260">
        <v>337787</v>
      </c>
      <c r="L260">
        <v>0</v>
      </c>
      <c r="M260">
        <v>0</v>
      </c>
      <c r="O260">
        <v>0</v>
      </c>
      <c r="P260">
        <v>0</v>
      </c>
      <c r="R260">
        <v>286260</v>
      </c>
      <c r="S260">
        <v>135</v>
      </c>
      <c r="T260" t="s">
        <v>20217</v>
      </c>
      <c r="U260" t="s">
        <v>102</v>
      </c>
      <c r="V260" t="s">
        <v>103</v>
      </c>
      <c r="W260" t="s">
        <v>155</v>
      </c>
      <c r="Y260" t="s">
        <v>25914</v>
      </c>
      <c r="Z260" t="s">
        <v>25915</v>
      </c>
      <c r="AA260" t="s">
        <v>21826</v>
      </c>
      <c r="AB260" t="s">
        <v>25915</v>
      </c>
      <c r="AC260" t="s">
        <v>21828</v>
      </c>
      <c r="AD260" t="s">
        <v>25915</v>
      </c>
      <c r="AE260" t="s">
        <v>21821</v>
      </c>
      <c r="AF260" t="s">
        <v>25915</v>
      </c>
      <c r="AG260" t="s">
        <v>102</v>
      </c>
      <c r="AJ260" t="s">
        <v>25915</v>
      </c>
      <c r="AK260" t="s">
        <v>102</v>
      </c>
      <c r="AL260" t="s">
        <v>25915</v>
      </c>
      <c r="AM260" t="s">
        <v>25916</v>
      </c>
      <c r="AN260" t="s">
        <v>25916</v>
      </c>
      <c r="AS260" t="s">
        <v>102</v>
      </c>
      <c r="AU260" t="s">
        <v>102</v>
      </c>
      <c r="AV260" t="s">
        <v>119</v>
      </c>
      <c r="AY260" t="s">
        <v>250</v>
      </c>
      <c r="AZ260" t="s">
        <v>120</v>
      </c>
      <c r="BA260" t="s">
        <v>6389</v>
      </c>
      <c r="BB260" t="s">
        <v>6390</v>
      </c>
      <c r="BC260" t="s">
        <v>212</v>
      </c>
      <c r="BD260" t="s">
        <v>286</v>
      </c>
      <c r="BE260" t="s">
        <v>124</v>
      </c>
      <c r="BF260" t="s">
        <v>13662</v>
      </c>
      <c r="BG260" t="s">
        <v>25917</v>
      </c>
      <c r="BH260" t="s">
        <v>127</v>
      </c>
      <c r="BI260" t="s">
        <v>25918</v>
      </c>
      <c r="BJ260" t="s">
        <v>10563</v>
      </c>
      <c r="BK260" t="s">
        <v>25919</v>
      </c>
      <c r="BL260" t="s">
        <v>25719</v>
      </c>
      <c r="BM260" t="s">
        <v>23823</v>
      </c>
      <c r="BN260" t="s">
        <v>132</v>
      </c>
      <c r="BO260" t="s">
        <v>23824</v>
      </c>
      <c r="BP260" t="s">
        <v>23825</v>
      </c>
      <c r="BQ260" t="s">
        <v>737</v>
      </c>
      <c r="BS260" t="s">
        <v>25920</v>
      </c>
      <c r="BT260" t="s">
        <v>10566</v>
      </c>
      <c r="BU260" t="s">
        <v>138</v>
      </c>
      <c r="BV260" t="s">
        <v>10567</v>
      </c>
      <c r="BW260" t="s">
        <v>10568</v>
      </c>
      <c r="BX260" t="s">
        <v>10567</v>
      </c>
      <c r="BY260" t="s">
        <v>10566</v>
      </c>
      <c r="BZ260" t="s">
        <v>10567</v>
      </c>
      <c r="CA260" t="s">
        <v>10568</v>
      </c>
      <c r="CB260" t="s">
        <v>10566</v>
      </c>
      <c r="CC260" t="s">
        <v>10567</v>
      </c>
      <c r="CD260" t="s">
        <v>10568</v>
      </c>
      <c r="CE260" t="s">
        <v>7248</v>
      </c>
      <c r="CF260" t="s">
        <v>19467</v>
      </c>
      <c r="CH260" t="s">
        <v>25921</v>
      </c>
      <c r="CI260" t="s">
        <v>19468</v>
      </c>
      <c r="CJ260" t="s">
        <v>6389</v>
      </c>
      <c r="CK260" t="s">
        <v>6390</v>
      </c>
      <c r="CL260" t="s">
        <v>25921</v>
      </c>
      <c r="CN260" t="s">
        <v>10569</v>
      </c>
      <c r="CO260" t="s">
        <v>10570</v>
      </c>
    </row>
    <row r="261" spans="1:93">
      <c r="A261" t="s">
        <v>337</v>
      </c>
      <c r="B261">
        <v>5018211</v>
      </c>
      <c r="C261" t="s">
        <v>19517</v>
      </c>
      <c r="D261" t="s">
        <v>21661</v>
      </c>
      <c r="E261" t="s">
        <v>12217</v>
      </c>
      <c r="F261" t="s">
        <v>152</v>
      </c>
      <c r="G261" t="s">
        <v>98</v>
      </c>
      <c r="H261" t="s">
        <v>22871</v>
      </c>
      <c r="I261" t="s">
        <v>100</v>
      </c>
      <c r="J261">
        <v>735149</v>
      </c>
      <c r="K261">
        <v>735149</v>
      </c>
      <c r="L261">
        <v>0</v>
      </c>
      <c r="M261">
        <v>0</v>
      </c>
      <c r="O261">
        <v>735149</v>
      </c>
      <c r="P261">
        <v>459</v>
      </c>
      <c r="Q261" t="s">
        <v>22872</v>
      </c>
      <c r="R261">
        <v>0</v>
      </c>
      <c r="S261">
        <v>0</v>
      </c>
      <c r="U261" t="s">
        <v>102</v>
      </c>
      <c r="V261" t="s">
        <v>103</v>
      </c>
      <c r="W261" t="s">
        <v>155</v>
      </c>
      <c r="Y261" t="s">
        <v>12720</v>
      </c>
      <c r="Z261" t="s">
        <v>22873</v>
      </c>
      <c r="AA261" t="s">
        <v>21686</v>
      </c>
      <c r="AB261" t="s">
        <v>22873</v>
      </c>
      <c r="AC261" t="s">
        <v>22177</v>
      </c>
      <c r="AD261" t="s">
        <v>22873</v>
      </c>
      <c r="AE261" t="s">
        <v>21687</v>
      </c>
      <c r="AF261" t="s">
        <v>22873</v>
      </c>
      <c r="AG261" t="s">
        <v>102</v>
      </c>
      <c r="AH261" t="s">
        <v>14597</v>
      </c>
      <c r="AI261" t="s">
        <v>14597</v>
      </c>
      <c r="AJ261" t="s">
        <v>102</v>
      </c>
      <c r="AK261" t="s">
        <v>5007</v>
      </c>
      <c r="AL261" t="s">
        <v>21885</v>
      </c>
      <c r="AM261" t="s">
        <v>22874</v>
      </c>
      <c r="AN261" t="s">
        <v>22874</v>
      </c>
      <c r="AS261" t="s">
        <v>102</v>
      </c>
      <c r="AU261" t="s">
        <v>104</v>
      </c>
      <c r="AV261" t="s">
        <v>447</v>
      </c>
      <c r="AW261" t="s">
        <v>170</v>
      </c>
      <c r="AX261" t="s">
        <v>118</v>
      </c>
      <c r="AZ261" t="s">
        <v>1964</v>
      </c>
      <c r="BA261" t="s">
        <v>19523</v>
      </c>
      <c r="BB261" t="s">
        <v>376</v>
      </c>
      <c r="BC261" t="s">
        <v>174</v>
      </c>
      <c r="BD261" t="s">
        <v>376</v>
      </c>
      <c r="BE261" t="s">
        <v>124</v>
      </c>
      <c r="BF261" t="s">
        <v>12250</v>
      </c>
      <c r="BG261" t="s">
        <v>21667</v>
      </c>
      <c r="BH261" t="s">
        <v>127</v>
      </c>
      <c r="BI261" t="s">
        <v>22875</v>
      </c>
      <c r="BJ261" t="s">
        <v>19525</v>
      </c>
      <c r="BK261" t="s">
        <v>22876</v>
      </c>
      <c r="BL261" t="s">
        <v>12217</v>
      </c>
      <c r="BM261" t="s">
        <v>13780</v>
      </c>
      <c r="BN261" t="s">
        <v>505</v>
      </c>
      <c r="BO261" t="s">
        <v>13781</v>
      </c>
      <c r="BP261" t="s">
        <v>13782</v>
      </c>
      <c r="BQ261" t="s">
        <v>13783</v>
      </c>
      <c r="BS261" t="s">
        <v>22877</v>
      </c>
      <c r="BT261" t="s">
        <v>22878</v>
      </c>
      <c r="BU261" t="s">
        <v>138</v>
      </c>
      <c r="BV261" t="s">
        <v>19529</v>
      </c>
      <c r="BW261" t="s">
        <v>19530</v>
      </c>
      <c r="BX261" t="s">
        <v>19531</v>
      </c>
      <c r="BY261" t="s">
        <v>22879</v>
      </c>
      <c r="BZ261" t="s">
        <v>19529</v>
      </c>
      <c r="CA261" t="s">
        <v>19530</v>
      </c>
      <c r="CB261" t="s">
        <v>22879</v>
      </c>
      <c r="CC261" t="s">
        <v>19529</v>
      </c>
      <c r="CD261" t="s">
        <v>19530</v>
      </c>
      <c r="CE261" t="s">
        <v>25287</v>
      </c>
      <c r="CF261" t="s">
        <v>19534</v>
      </c>
      <c r="CH261" t="s">
        <v>19535</v>
      </c>
      <c r="CI261" t="s">
        <v>19536</v>
      </c>
      <c r="CJ261" t="s">
        <v>19523</v>
      </c>
      <c r="CK261" t="s">
        <v>376</v>
      </c>
      <c r="CL261" t="s">
        <v>19535</v>
      </c>
      <c r="CN261" t="s">
        <v>19537</v>
      </c>
      <c r="CO261" t="s">
        <v>19537</v>
      </c>
    </row>
    <row r="262" spans="1:93" hidden="1">
      <c r="A262" t="s">
        <v>93</v>
      </c>
      <c r="B262">
        <v>5018241</v>
      </c>
      <c r="C262" t="s">
        <v>19572</v>
      </c>
      <c r="D262" t="s">
        <v>21661</v>
      </c>
      <c r="E262" t="s">
        <v>13244</v>
      </c>
      <c r="F262" t="s">
        <v>848</v>
      </c>
      <c r="G262" t="s">
        <v>98</v>
      </c>
      <c r="H262" t="s">
        <v>22880</v>
      </c>
      <c r="I262" t="s">
        <v>100</v>
      </c>
      <c r="J262">
        <v>534389</v>
      </c>
      <c r="K262">
        <v>630579</v>
      </c>
      <c r="L262">
        <v>0</v>
      </c>
      <c r="M262">
        <v>0</v>
      </c>
      <c r="O262">
        <v>0</v>
      </c>
      <c r="P262">
        <v>0</v>
      </c>
      <c r="R262">
        <v>534389</v>
      </c>
      <c r="S262">
        <v>356</v>
      </c>
      <c r="T262" t="s">
        <v>15175</v>
      </c>
      <c r="U262" t="s">
        <v>102</v>
      </c>
      <c r="V262" t="s">
        <v>103</v>
      </c>
      <c r="W262" t="s">
        <v>155</v>
      </c>
      <c r="Y262" t="s">
        <v>16162</v>
      </c>
      <c r="Z262" t="s">
        <v>22881</v>
      </c>
      <c r="AA262" t="s">
        <v>22882</v>
      </c>
      <c r="AB262" t="s">
        <v>22881</v>
      </c>
      <c r="AC262" t="s">
        <v>22883</v>
      </c>
      <c r="AD262" t="s">
        <v>22881</v>
      </c>
      <c r="AE262" t="s">
        <v>22884</v>
      </c>
      <c r="AF262" t="s">
        <v>22881</v>
      </c>
      <c r="AG262" t="s">
        <v>102</v>
      </c>
      <c r="AJ262" t="s">
        <v>22881</v>
      </c>
      <c r="AK262" t="s">
        <v>102</v>
      </c>
      <c r="AL262" t="s">
        <v>22881</v>
      </c>
      <c r="AM262" t="s">
        <v>22885</v>
      </c>
      <c r="AN262" t="s">
        <v>22885</v>
      </c>
      <c r="AS262" t="s">
        <v>102</v>
      </c>
      <c r="AU262" t="s">
        <v>102</v>
      </c>
      <c r="AV262" t="s">
        <v>119</v>
      </c>
      <c r="AY262" t="s">
        <v>208</v>
      </c>
      <c r="AZ262" t="s">
        <v>120</v>
      </c>
      <c r="BA262" t="s">
        <v>19577</v>
      </c>
      <c r="BB262" t="s">
        <v>376</v>
      </c>
      <c r="BC262" t="s">
        <v>174</v>
      </c>
      <c r="BD262" t="s">
        <v>376</v>
      </c>
      <c r="BE262" t="s">
        <v>124</v>
      </c>
      <c r="BF262" t="s">
        <v>12250</v>
      </c>
      <c r="BG262" t="s">
        <v>21667</v>
      </c>
      <c r="BH262" t="s">
        <v>127</v>
      </c>
      <c r="BI262" t="s">
        <v>22886</v>
      </c>
      <c r="BJ262" t="s">
        <v>19579</v>
      </c>
      <c r="BK262" t="s">
        <v>22887</v>
      </c>
      <c r="BL262" t="s">
        <v>13244</v>
      </c>
      <c r="BM262" t="s">
        <v>13780</v>
      </c>
      <c r="BN262" t="s">
        <v>180</v>
      </c>
      <c r="BO262" t="s">
        <v>13781</v>
      </c>
      <c r="BP262" t="s">
        <v>13782</v>
      </c>
      <c r="BQ262" t="s">
        <v>13783</v>
      </c>
      <c r="BS262" t="s">
        <v>22888</v>
      </c>
      <c r="BT262" t="s">
        <v>19582</v>
      </c>
      <c r="BU262" t="s">
        <v>354</v>
      </c>
      <c r="BV262" t="s">
        <v>19583</v>
      </c>
      <c r="BW262" t="s">
        <v>22889</v>
      </c>
      <c r="BX262" t="s">
        <v>19583</v>
      </c>
      <c r="BY262" t="s">
        <v>19582</v>
      </c>
      <c r="BZ262" t="s">
        <v>19583</v>
      </c>
      <c r="CA262" t="s">
        <v>22889</v>
      </c>
      <c r="CB262" t="s">
        <v>19582</v>
      </c>
      <c r="CC262" t="s">
        <v>19583</v>
      </c>
      <c r="CD262" t="s">
        <v>22889</v>
      </c>
      <c r="CE262" t="s">
        <v>2555</v>
      </c>
      <c r="CF262" t="s">
        <v>22890</v>
      </c>
      <c r="CH262" t="s">
        <v>19590</v>
      </c>
      <c r="CI262" t="s">
        <v>22891</v>
      </c>
      <c r="CJ262" t="s">
        <v>19577</v>
      </c>
      <c r="CK262" t="s">
        <v>376</v>
      </c>
      <c r="CL262" t="s">
        <v>19590</v>
      </c>
      <c r="CN262" t="s">
        <v>19589</v>
      </c>
      <c r="CO262" t="s">
        <v>19589</v>
      </c>
    </row>
    <row r="263" spans="1:93" hidden="1">
      <c r="A263" t="s">
        <v>93</v>
      </c>
      <c r="B263">
        <v>5018247</v>
      </c>
      <c r="C263" t="s">
        <v>22892</v>
      </c>
      <c r="D263" t="s">
        <v>21661</v>
      </c>
      <c r="E263" t="s">
        <v>13486</v>
      </c>
      <c r="F263" t="s">
        <v>152</v>
      </c>
      <c r="G263" t="s">
        <v>98</v>
      </c>
      <c r="H263" t="s">
        <v>22893</v>
      </c>
      <c r="I263" t="s">
        <v>100</v>
      </c>
      <c r="J263">
        <v>918527</v>
      </c>
      <c r="K263">
        <v>918527</v>
      </c>
      <c r="L263">
        <v>0</v>
      </c>
      <c r="M263">
        <v>0</v>
      </c>
      <c r="O263">
        <v>918527</v>
      </c>
      <c r="P263">
        <v>638</v>
      </c>
      <c r="Q263" t="s">
        <v>7692</v>
      </c>
      <c r="R263">
        <v>0</v>
      </c>
      <c r="S263">
        <v>0</v>
      </c>
      <c r="U263" t="s">
        <v>102</v>
      </c>
      <c r="V263" t="s">
        <v>103</v>
      </c>
      <c r="W263" t="s">
        <v>155</v>
      </c>
      <c r="Y263" t="s">
        <v>21857</v>
      </c>
      <c r="Z263" t="s">
        <v>22894</v>
      </c>
      <c r="AA263" t="s">
        <v>21826</v>
      </c>
      <c r="AB263" t="s">
        <v>22894</v>
      </c>
      <c r="AC263" t="s">
        <v>21828</v>
      </c>
      <c r="AD263" t="s">
        <v>22894</v>
      </c>
      <c r="AE263" t="s">
        <v>21687</v>
      </c>
      <c r="AF263" t="s">
        <v>22894</v>
      </c>
      <c r="AG263" t="s">
        <v>102</v>
      </c>
      <c r="AH263" t="s">
        <v>22101</v>
      </c>
      <c r="AI263" t="s">
        <v>22101</v>
      </c>
      <c r="AJ263" t="s">
        <v>22894</v>
      </c>
      <c r="AK263" t="s">
        <v>9607</v>
      </c>
      <c r="AL263" t="s">
        <v>25288</v>
      </c>
      <c r="AM263" t="s">
        <v>22895</v>
      </c>
      <c r="AN263" t="s">
        <v>22895</v>
      </c>
      <c r="AS263" t="s">
        <v>102</v>
      </c>
      <c r="AU263" t="s">
        <v>104</v>
      </c>
      <c r="AV263" t="s">
        <v>447</v>
      </c>
      <c r="AW263" t="s">
        <v>170</v>
      </c>
      <c r="AX263" t="s">
        <v>118</v>
      </c>
      <c r="AZ263" t="s">
        <v>1964</v>
      </c>
      <c r="BA263" t="s">
        <v>19597</v>
      </c>
      <c r="BB263" t="s">
        <v>19598</v>
      </c>
      <c r="BC263" t="s">
        <v>174</v>
      </c>
      <c r="BD263" t="s">
        <v>376</v>
      </c>
      <c r="BE263" t="s">
        <v>124</v>
      </c>
      <c r="BF263" t="s">
        <v>12250</v>
      </c>
      <c r="BG263" t="s">
        <v>21667</v>
      </c>
      <c r="BH263" t="s">
        <v>127</v>
      </c>
      <c r="BI263" t="s">
        <v>22896</v>
      </c>
      <c r="BJ263" t="s">
        <v>19600</v>
      </c>
      <c r="BK263" t="s">
        <v>22897</v>
      </c>
      <c r="BL263" t="s">
        <v>13486</v>
      </c>
      <c r="BM263" t="s">
        <v>13780</v>
      </c>
      <c r="BN263" t="s">
        <v>180</v>
      </c>
      <c r="BO263" t="s">
        <v>13781</v>
      </c>
      <c r="BP263" t="s">
        <v>13782</v>
      </c>
      <c r="BQ263" t="s">
        <v>13783</v>
      </c>
      <c r="BS263" t="s">
        <v>22898</v>
      </c>
      <c r="BT263" t="s">
        <v>22899</v>
      </c>
      <c r="BU263" t="s">
        <v>598</v>
      </c>
      <c r="BV263" t="s">
        <v>22900</v>
      </c>
      <c r="BW263" t="s">
        <v>19605</v>
      </c>
      <c r="BX263" t="s">
        <v>19606</v>
      </c>
      <c r="BY263" t="s">
        <v>22899</v>
      </c>
      <c r="BZ263" t="s">
        <v>22900</v>
      </c>
      <c r="CA263" t="s">
        <v>19605</v>
      </c>
      <c r="CB263" t="s">
        <v>22899</v>
      </c>
      <c r="CC263" t="s">
        <v>22900</v>
      </c>
      <c r="CD263" t="s">
        <v>19605</v>
      </c>
      <c r="CE263" t="s">
        <v>2555</v>
      </c>
      <c r="CF263" t="s">
        <v>19607</v>
      </c>
      <c r="CH263" t="s">
        <v>19608</v>
      </c>
      <c r="CI263" t="s">
        <v>19609</v>
      </c>
      <c r="CJ263" t="s">
        <v>19597</v>
      </c>
      <c r="CK263" t="s">
        <v>19598</v>
      </c>
      <c r="CL263" t="s">
        <v>19608</v>
      </c>
      <c r="CN263" t="s">
        <v>19607</v>
      </c>
      <c r="CO263" t="s">
        <v>19607</v>
      </c>
    </row>
    <row r="264" spans="1:93" hidden="1">
      <c r="A264" t="s">
        <v>93</v>
      </c>
      <c r="B264">
        <v>5018337</v>
      </c>
      <c r="C264" t="s">
        <v>19626</v>
      </c>
      <c r="D264" t="s">
        <v>21661</v>
      </c>
      <c r="E264" t="s">
        <v>12313</v>
      </c>
      <c r="F264" t="s">
        <v>152</v>
      </c>
      <c r="G264" t="s">
        <v>98</v>
      </c>
      <c r="H264" t="s">
        <v>22901</v>
      </c>
      <c r="I264" t="s">
        <v>100</v>
      </c>
      <c r="J264">
        <v>1000314</v>
      </c>
      <c r="K264">
        <v>1000314</v>
      </c>
      <c r="L264">
        <v>0</v>
      </c>
      <c r="M264">
        <v>0</v>
      </c>
      <c r="O264">
        <v>1000314</v>
      </c>
      <c r="P264">
        <v>510</v>
      </c>
      <c r="Q264" t="s">
        <v>22902</v>
      </c>
      <c r="R264">
        <v>0</v>
      </c>
      <c r="S264">
        <v>0</v>
      </c>
      <c r="U264" t="s">
        <v>102</v>
      </c>
      <c r="V264" t="s">
        <v>103</v>
      </c>
      <c r="W264" t="s">
        <v>155</v>
      </c>
      <c r="Y264" t="s">
        <v>19143</v>
      </c>
      <c r="Z264" t="s">
        <v>22903</v>
      </c>
      <c r="AA264" t="s">
        <v>21762</v>
      </c>
      <c r="AB264" t="s">
        <v>22903</v>
      </c>
      <c r="AC264" t="s">
        <v>22904</v>
      </c>
      <c r="AD264" t="s">
        <v>22903</v>
      </c>
      <c r="AE264" t="s">
        <v>21874</v>
      </c>
      <c r="AF264" t="s">
        <v>22903</v>
      </c>
      <c r="AG264" t="s">
        <v>102</v>
      </c>
      <c r="AJ264" t="s">
        <v>102</v>
      </c>
      <c r="AK264" t="s">
        <v>102</v>
      </c>
      <c r="AL264" t="s">
        <v>102</v>
      </c>
      <c r="AM264" t="s">
        <v>22905</v>
      </c>
      <c r="AN264" t="s">
        <v>22905</v>
      </c>
      <c r="AS264" t="s">
        <v>102</v>
      </c>
      <c r="AU264" t="s">
        <v>155</v>
      </c>
      <c r="AV264" t="s">
        <v>119</v>
      </c>
      <c r="AW264" t="s">
        <v>1138</v>
      </c>
      <c r="AX264" t="s">
        <v>118</v>
      </c>
      <c r="AZ264" t="s">
        <v>1964</v>
      </c>
      <c r="BA264" t="s">
        <v>7718</v>
      </c>
      <c r="BB264" t="s">
        <v>211</v>
      </c>
      <c r="BC264" t="s">
        <v>212</v>
      </c>
      <c r="BD264" t="s">
        <v>213</v>
      </c>
      <c r="BE264" t="s">
        <v>124</v>
      </c>
      <c r="BF264" t="s">
        <v>21805</v>
      </c>
      <c r="BG264" t="s">
        <v>21806</v>
      </c>
      <c r="BH264" t="s">
        <v>127</v>
      </c>
      <c r="BI264" t="s">
        <v>22906</v>
      </c>
      <c r="BJ264" t="s">
        <v>19631</v>
      </c>
      <c r="BK264" t="s">
        <v>22907</v>
      </c>
      <c r="BL264" t="s">
        <v>12313</v>
      </c>
      <c r="BM264" t="s">
        <v>19633</v>
      </c>
      <c r="BN264" t="s">
        <v>180</v>
      </c>
      <c r="BO264" t="s">
        <v>19634</v>
      </c>
      <c r="BP264" t="s">
        <v>19635</v>
      </c>
      <c r="BQ264" t="s">
        <v>2463</v>
      </c>
      <c r="BS264" t="s">
        <v>22908</v>
      </c>
      <c r="BT264" t="s">
        <v>22909</v>
      </c>
      <c r="BU264" t="s">
        <v>138</v>
      </c>
      <c r="BV264" t="s">
        <v>22910</v>
      </c>
      <c r="BW264" t="s">
        <v>19642</v>
      </c>
      <c r="BX264" t="s">
        <v>19639</v>
      </c>
      <c r="BY264" t="s">
        <v>22909</v>
      </c>
      <c r="BZ264" t="s">
        <v>19639</v>
      </c>
      <c r="CA264" t="s">
        <v>22911</v>
      </c>
      <c r="CB264" t="s">
        <v>22912</v>
      </c>
      <c r="CC264" t="s">
        <v>22913</v>
      </c>
      <c r="CD264" t="s">
        <v>22914</v>
      </c>
      <c r="CE264" t="s">
        <v>9458</v>
      </c>
      <c r="CF264" t="s">
        <v>19643</v>
      </c>
      <c r="CH264" t="s">
        <v>19644</v>
      </c>
      <c r="CI264" t="s">
        <v>19645</v>
      </c>
      <c r="CJ264" t="s">
        <v>7718</v>
      </c>
      <c r="CK264" t="s">
        <v>211</v>
      </c>
      <c r="CL264" t="s">
        <v>19644</v>
      </c>
      <c r="CM264" t="s">
        <v>25289</v>
      </c>
      <c r="CN264" t="s">
        <v>19643</v>
      </c>
      <c r="CO264" t="s">
        <v>19643</v>
      </c>
    </row>
    <row r="265" spans="1:93" hidden="1">
      <c r="A265" t="s">
        <v>93</v>
      </c>
      <c r="B265">
        <v>5018349</v>
      </c>
      <c r="C265" t="s">
        <v>19650</v>
      </c>
      <c r="D265" t="s">
        <v>21661</v>
      </c>
      <c r="E265" t="s">
        <v>14825</v>
      </c>
      <c r="F265" t="s">
        <v>97</v>
      </c>
      <c r="G265" t="s">
        <v>676</v>
      </c>
      <c r="H265" t="s">
        <v>22915</v>
      </c>
      <c r="I265" t="s">
        <v>100</v>
      </c>
      <c r="J265">
        <v>1203888</v>
      </c>
      <c r="K265">
        <v>1203888</v>
      </c>
      <c r="L265">
        <v>1203888</v>
      </c>
      <c r="M265">
        <v>1400</v>
      </c>
      <c r="N265" t="s">
        <v>12443</v>
      </c>
      <c r="O265">
        <v>0</v>
      </c>
      <c r="P265">
        <v>0</v>
      </c>
      <c r="R265">
        <v>0</v>
      </c>
      <c r="S265">
        <v>0</v>
      </c>
      <c r="U265" t="s">
        <v>102</v>
      </c>
      <c r="V265" t="s">
        <v>103</v>
      </c>
      <c r="W265" t="s">
        <v>104</v>
      </c>
      <c r="Y265" t="s">
        <v>14825</v>
      </c>
      <c r="Z265" t="s">
        <v>22916</v>
      </c>
      <c r="AA265" t="s">
        <v>22917</v>
      </c>
      <c r="AB265" t="s">
        <v>22916</v>
      </c>
      <c r="AC265" t="s">
        <v>109</v>
      </c>
      <c r="AD265" t="s">
        <v>102</v>
      </c>
      <c r="AE265" t="s">
        <v>109</v>
      </c>
      <c r="AF265" t="s">
        <v>102</v>
      </c>
      <c r="AG265" t="s">
        <v>22918</v>
      </c>
      <c r="AH265" t="s">
        <v>17302</v>
      </c>
      <c r="AI265" t="s">
        <v>17302</v>
      </c>
      <c r="AJ265" t="s">
        <v>22916</v>
      </c>
      <c r="AK265" t="s">
        <v>22919</v>
      </c>
      <c r="AL265" t="s">
        <v>102</v>
      </c>
      <c r="AM265" t="s">
        <v>22920</v>
      </c>
      <c r="AN265" t="s">
        <v>22920</v>
      </c>
      <c r="AS265" t="s">
        <v>318</v>
      </c>
      <c r="AT265" t="s">
        <v>250</v>
      </c>
      <c r="AU265" t="s">
        <v>102</v>
      </c>
      <c r="AV265" t="s">
        <v>119</v>
      </c>
      <c r="AZ265" t="s">
        <v>1964</v>
      </c>
      <c r="BA265" t="s">
        <v>623</v>
      </c>
      <c r="BB265" t="s">
        <v>621</v>
      </c>
      <c r="BC265" t="s">
        <v>622</v>
      </c>
      <c r="BD265" t="s">
        <v>623</v>
      </c>
      <c r="BE265" t="s">
        <v>124</v>
      </c>
      <c r="BF265" t="s">
        <v>12602</v>
      </c>
      <c r="BG265" t="s">
        <v>21667</v>
      </c>
      <c r="BH265" t="s">
        <v>127</v>
      </c>
      <c r="BI265" t="s">
        <v>22921</v>
      </c>
      <c r="BJ265" t="s">
        <v>19656</v>
      </c>
      <c r="BK265" t="s">
        <v>22922</v>
      </c>
      <c r="BL265" t="s">
        <v>14825</v>
      </c>
      <c r="BM265" t="s">
        <v>1670</v>
      </c>
      <c r="BN265" t="s">
        <v>132</v>
      </c>
      <c r="BO265" t="s">
        <v>1671</v>
      </c>
      <c r="BP265" t="s">
        <v>1672</v>
      </c>
      <c r="BQ265" t="s">
        <v>507</v>
      </c>
      <c r="BS265" t="s">
        <v>22923</v>
      </c>
      <c r="BT265" t="s">
        <v>22924</v>
      </c>
      <c r="BU265" t="s">
        <v>569</v>
      </c>
      <c r="BV265" t="s">
        <v>22925</v>
      </c>
      <c r="BW265" t="s">
        <v>22926</v>
      </c>
      <c r="BX265" t="s">
        <v>14698</v>
      </c>
      <c r="BY265" t="s">
        <v>22927</v>
      </c>
      <c r="BZ265" t="s">
        <v>19660</v>
      </c>
      <c r="CA265" t="s">
        <v>22928</v>
      </c>
      <c r="CB265" t="s">
        <v>19662</v>
      </c>
      <c r="CC265" t="s">
        <v>14698</v>
      </c>
      <c r="CD265" t="s">
        <v>14695</v>
      </c>
      <c r="CE265" t="s">
        <v>19663</v>
      </c>
      <c r="CF265" t="s">
        <v>22929</v>
      </c>
      <c r="CH265" t="s">
        <v>14703</v>
      </c>
      <c r="CI265" t="s">
        <v>22929</v>
      </c>
      <c r="CJ265" t="s">
        <v>623</v>
      </c>
      <c r="CK265" t="s">
        <v>621</v>
      </c>
      <c r="CL265" t="s">
        <v>14703</v>
      </c>
      <c r="CM265" t="s">
        <v>19665</v>
      </c>
      <c r="CN265" t="s">
        <v>19664</v>
      </c>
      <c r="CO265" t="s">
        <v>19664</v>
      </c>
    </row>
    <row r="266" spans="1:93" hidden="1">
      <c r="A266" t="s">
        <v>93</v>
      </c>
      <c r="B266">
        <v>5018430</v>
      </c>
      <c r="C266" t="s">
        <v>19740</v>
      </c>
      <c r="D266" t="s">
        <v>21661</v>
      </c>
      <c r="E266" t="s">
        <v>13131</v>
      </c>
      <c r="F266" t="s">
        <v>848</v>
      </c>
      <c r="G266" t="s">
        <v>98</v>
      </c>
      <c r="H266" t="s">
        <v>25290</v>
      </c>
      <c r="I266" t="s">
        <v>100</v>
      </c>
      <c r="J266">
        <v>450053</v>
      </c>
      <c r="K266">
        <v>531063</v>
      </c>
      <c r="L266">
        <v>0</v>
      </c>
      <c r="M266">
        <v>0</v>
      </c>
      <c r="O266">
        <v>0</v>
      </c>
      <c r="P266">
        <v>0</v>
      </c>
      <c r="R266">
        <v>450053</v>
      </c>
      <c r="S266">
        <v>447</v>
      </c>
      <c r="T266" t="s">
        <v>19742</v>
      </c>
      <c r="U266" t="s">
        <v>102</v>
      </c>
      <c r="V266" t="s">
        <v>103</v>
      </c>
      <c r="W266" t="s">
        <v>155</v>
      </c>
      <c r="Y266" t="s">
        <v>21857</v>
      </c>
      <c r="Z266" t="s">
        <v>25291</v>
      </c>
      <c r="AA266" t="s">
        <v>21826</v>
      </c>
      <c r="AB266" t="s">
        <v>25291</v>
      </c>
      <c r="AC266" t="s">
        <v>21892</v>
      </c>
      <c r="AD266" t="s">
        <v>25291</v>
      </c>
      <c r="AE266" t="s">
        <v>22387</v>
      </c>
      <c r="AF266" t="s">
        <v>25291</v>
      </c>
      <c r="AG266" t="s">
        <v>102</v>
      </c>
      <c r="AJ266" t="s">
        <v>25291</v>
      </c>
      <c r="AK266" t="s">
        <v>102</v>
      </c>
      <c r="AL266" t="s">
        <v>25291</v>
      </c>
      <c r="AM266" t="s">
        <v>19748</v>
      </c>
      <c r="AN266" t="s">
        <v>19748</v>
      </c>
      <c r="AS266" t="s">
        <v>102</v>
      </c>
      <c r="AU266" t="s">
        <v>102</v>
      </c>
      <c r="AV266" t="s">
        <v>119</v>
      </c>
      <c r="AY266" t="s">
        <v>250</v>
      </c>
      <c r="AZ266" t="s">
        <v>120</v>
      </c>
      <c r="BA266" t="s">
        <v>1759</v>
      </c>
      <c r="BB266" t="s">
        <v>410</v>
      </c>
      <c r="BC266" t="s">
        <v>212</v>
      </c>
      <c r="BD266" t="s">
        <v>410</v>
      </c>
      <c r="BE266" t="s">
        <v>124</v>
      </c>
      <c r="BF266" t="s">
        <v>12250</v>
      </c>
      <c r="BG266" t="s">
        <v>21667</v>
      </c>
      <c r="BH266" t="s">
        <v>127</v>
      </c>
      <c r="BI266" t="s">
        <v>25292</v>
      </c>
      <c r="BJ266" t="s">
        <v>19750</v>
      </c>
      <c r="BK266" t="s">
        <v>25293</v>
      </c>
      <c r="BL266" t="s">
        <v>13131</v>
      </c>
      <c r="BM266" t="s">
        <v>896</v>
      </c>
      <c r="BN266" t="s">
        <v>132</v>
      </c>
      <c r="BO266" t="s">
        <v>897</v>
      </c>
      <c r="BP266" t="s">
        <v>898</v>
      </c>
      <c r="BQ266" t="s">
        <v>899</v>
      </c>
      <c r="BS266" t="s">
        <v>25294</v>
      </c>
      <c r="BT266" t="s">
        <v>25295</v>
      </c>
      <c r="BU266" t="s">
        <v>138</v>
      </c>
      <c r="BV266" t="s">
        <v>19754</v>
      </c>
      <c r="BW266" t="s">
        <v>19755</v>
      </c>
      <c r="BX266" t="s">
        <v>19754</v>
      </c>
      <c r="BY266" t="s">
        <v>25296</v>
      </c>
      <c r="BZ266" t="s">
        <v>19754</v>
      </c>
      <c r="CA266" t="s">
        <v>19755</v>
      </c>
      <c r="CB266" t="s">
        <v>25296</v>
      </c>
      <c r="CC266" t="s">
        <v>19754</v>
      </c>
      <c r="CD266" t="s">
        <v>19755</v>
      </c>
      <c r="CE266" t="s">
        <v>5007</v>
      </c>
      <c r="CF266" t="s">
        <v>19758</v>
      </c>
      <c r="CH266" t="s">
        <v>19759</v>
      </c>
      <c r="CI266" t="s">
        <v>19758</v>
      </c>
      <c r="CJ266" t="s">
        <v>1759</v>
      </c>
      <c r="CK266" t="s">
        <v>10076</v>
      </c>
      <c r="CL266" t="s">
        <v>19759</v>
      </c>
      <c r="CN266" t="s">
        <v>19760</v>
      </c>
      <c r="CO266" t="s">
        <v>19760</v>
      </c>
    </row>
    <row r="267" spans="1:93" hidden="1">
      <c r="A267" t="s">
        <v>93</v>
      </c>
      <c r="B267">
        <v>5018445</v>
      </c>
      <c r="C267" t="s">
        <v>23927</v>
      </c>
      <c r="D267" t="s">
        <v>21661</v>
      </c>
      <c r="E267" t="s">
        <v>14161</v>
      </c>
      <c r="F267" t="s">
        <v>152</v>
      </c>
      <c r="G267" t="s">
        <v>98</v>
      </c>
      <c r="H267" t="s">
        <v>23928</v>
      </c>
      <c r="I267" t="s">
        <v>100</v>
      </c>
      <c r="J267">
        <v>310182</v>
      </c>
      <c r="K267">
        <v>310182</v>
      </c>
      <c r="L267">
        <v>0</v>
      </c>
      <c r="M267">
        <v>0</v>
      </c>
      <c r="O267">
        <v>310182</v>
      </c>
      <c r="P267">
        <v>435</v>
      </c>
      <c r="Q267" t="s">
        <v>23929</v>
      </c>
      <c r="R267">
        <v>0</v>
      </c>
      <c r="S267">
        <v>0</v>
      </c>
      <c r="U267" t="s">
        <v>102</v>
      </c>
      <c r="V267" t="s">
        <v>275</v>
      </c>
      <c r="X267" t="s">
        <v>21962</v>
      </c>
      <c r="Y267" t="s">
        <v>109</v>
      </c>
      <c r="Z267" t="s">
        <v>102</v>
      </c>
      <c r="AA267" t="s">
        <v>109</v>
      </c>
      <c r="AB267" t="s">
        <v>102</v>
      </c>
      <c r="AC267" t="s">
        <v>109</v>
      </c>
      <c r="AD267" t="s">
        <v>102</v>
      </c>
      <c r="AE267" t="s">
        <v>109</v>
      </c>
      <c r="AF267" t="s">
        <v>102</v>
      </c>
      <c r="AG267" t="s">
        <v>25922</v>
      </c>
      <c r="AH267" t="s">
        <v>21857</v>
      </c>
      <c r="AI267" t="s">
        <v>21857</v>
      </c>
      <c r="AJ267" t="s">
        <v>24525</v>
      </c>
      <c r="AK267" t="s">
        <v>25923</v>
      </c>
      <c r="AL267" t="s">
        <v>102</v>
      </c>
      <c r="AM267" t="s">
        <v>1962</v>
      </c>
      <c r="AN267" t="s">
        <v>1963</v>
      </c>
      <c r="AR267" t="s">
        <v>169</v>
      </c>
      <c r="AS267" t="s">
        <v>102</v>
      </c>
      <c r="AU267" t="s">
        <v>104</v>
      </c>
      <c r="AV267" t="s">
        <v>447</v>
      </c>
      <c r="AW267" t="s">
        <v>170</v>
      </c>
      <c r="AX267" t="s">
        <v>118</v>
      </c>
      <c r="AZ267" t="s">
        <v>1964</v>
      </c>
      <c r="BA267" t="s">
        <v>448</v>
      </c>
      <c r="BB267" t="s">
        <v>449</v>
      </c>
      <c r="BC267" t="s">
        <v>122</v>
      </c>
      <c r="BD267" t="s">
        <v>450</v>
      </c>
      <c r="BE267" t="s">
        <v>124</v>
      </c>
      <c r="BF267" t="s">
        <v>12250</v>
      </c>
      <c r="BG267" t="s">
        <v>21667</v>
      </c>
      <c r="BH267" t="s">
        <v>127</v>
      </c>
      <c r="BI267" t="s">
        <v>23930</v>
      </c>
      <c r="BJ267" t="s">
        <v>19797</v>
      </c>
      <c r="BK267" t="s">
        <v>23931</v>
      </c>
      <c r="BL267" t="s">
        <v>14161</v>
      </c>
      <c r="BM267" t="s">
        <v>131</v>
      </c>
      <c r="BN267" t="s">
        <v>350</v>
      </c>
      <c r="BO267" t="s">
        <v>133</v>
      </c>
      <c r="BP267" t="s">
        <v>134</v>
      </c>
      <c r="BQ267" t="s">
        <v>455</v>
      </c>
      <c r="BS267" t="s">
        <v>23932</v>
      </c>
      <c r="BT267" t="s">
        <v>23933</v>
      </c>
      <c r="BU267" t="s">
        <v>138</v>
      </c>
      <c r="BV267" t="s">
        <v>19801</v>
      </c>
      <c r="BW267" t="s">
        <v>19805</v>
      </c>
      <c r="BX267" t="s">
        <v>19801</v>
      </c>
      <c r="BY267" t="s">
        <v>23933</v>
      </c>
      <c r="BZ267" t="s">
        <v>19801</v>
      </c>
      <c r="CA267" t="s">
        <v>19805</v>
      </c>
      <c r="CB267" t="s">
        <v>23934</v>
      </c>
      <c r="CC267" t="s">
        <v>19801</v>
      </c>
      <c r="CD267" t="s">
        <v>23935</v>
      </c>
      <c r="CE267" t="s">
        <v>3805</v>
      </c>
      <c r="CF267" t="s">
        <v>19806</v>
      </c>
      <c r="CH267" t="s">
        <v>8000</v>
      </c>
      <c r="CI267" t="s">
        <v>19806</v>
      </c>
      <c r="CJ267" t="s">
        <v>448</v>
      </c>
      <c r="CK267" t="s">
        <v>449</v>
      </c>
      <c r="CL267" t="s">
        <v>8000</v>
      </c>
      <c r="CM267" t="s">
        <v>1979</v>
      </c>
      <c r="CN267" t="s">
        <v>19806</v>
      </c>
      <c r="CO267" t="s">
        <v>19808</v>
      </c>
    </row>
    <row r="268" spans="1:93" hidden="1">
      <c r="A268" t="s">
        <v>93</v>
      </c>
      <c r="B268">
        <v>5018473</v>
      </c>
      <c r="C268" t="s">
        <v>19846</v>
      </c>
      <c r="D268" t="s">
        <v>21661</v>
      </c>
      <c r="E268" t="s">
        <v>12393</v>
      </c>
      <c r="F268" t="s">
        <v>2163</v>
      </c>
      <c r="G268" t="s">
        <v>98</v>
      </c>
      <c r="H268" t="s">
        <v>23936</v>
      </c>
      <c r="I268" t="s">
        <v>100</v>
      </c>
      <c r="J268">
        <v>1622333</v>
      </c>
      <c r="K268">
        <v>1738576</v>
      </c>
      <c r="L268">
        <v>135000</v>
      </c>
      <c r="M268">
        <v>225</v>
      </c>
      <c r="N268" t="s">
        <v>310</v>
      </c>
      <c r="O268">
        <v>841538</v>
      </c>
      <c r="P268">
        <v>615</v>
      </c>
      <c r="Q268" t="s">
        <v>23937</v>
      </c>
      <c r="R268">
        <v>645795</v>
      </c>
      <c r="S268">
        <v>508</v>
      </c>
      <c r="T268" t="s">
        <v>850</v>
      </c>
      <c r="U268" t="s">
        <v>102</v>
      </c>
      <c r="V268" t="s">
        <v>103</v>
      </c>
      <c r="W268" t="s">
        <v>155</v>
      </c>
      <c r="Y268" t="s">
        <v>12250</v>
      </c>
      <c r="Z268" t="s">
        <v>23938</v>
      </c>
      <c r="AA268" t="s">
        <v>22930</v>
      </c>
      <c r="AB268" t="s">
        <v>23938</v>
      </c>
      <c r="AC268" t="s">
        <v>22931</v>
      </c>
      <c r="AD268" t="s">
        <v>23938</v>
      </c>
      <c r="AE268" t="s">
        <v>21710</v>
      </c>
      <c r="AF268" t="s">
        <v>23938</v>
      </c>
      <c r="AG268" t="s">
        <v>102</v>
      </c>
      <c r="AJ268" t="s">
        <v>24526</v>
      </c>
      <c r="AK268" t="s">
        <v>102</v>
      </c>
      <c r="AL268" t="s">
        <v>24526</v>
      </c>
      <c r="AM268" t="s">
        <v>23939</v>
      </c>
      <c r="AN268" t="s">
        <v>23939</v>
      </c>
      <c r="AS268" t="s">
        <v>247</v>
      </c>
      <c r="AT268" t="s">
        <v>118</v>
      </c>
      <c r="AU268" t="s">
        <v>951</v>
      </c>
      <c r="AV268" t="s">
        <v>249</v>
      </c>
      <c r="AW268" t="s">
        <v>170</v>
      </c>
      <c r="AX268" t="s">
        <v>118</v>
      </c>
      <c r="AY268" t="s">
        <v>250</v>
      </c>
      <c r="AZ268" t="s">
        <v>120</v>
      </c>
      <c r="BA268" t="s">
        <v>19865</v>
      </c>
      <c r="BB268" t="s">
        <v>376</v>
      </c>
      <c r="BC268" t="s">
        <v>174</v>
      </c>
      <c r="BD268" t="s">
        <v>376</v>
      </c>
      <c r="BE268" t="s">
        <v>124</v>
      </c>
      <c r="BF268" t="s">
        <v>12250</v>
      </c>
      <c r="BG268" t="s">
        <v>21667</v>
      </c>
      <c r="BH268" t="s">
        <v>127</v>
      </c>
      <c r="BI268" t="s">
        <v>23940</v>
      </c>
      <c r="BJ268" t="s">
        <v>19868</v>
      </c>
      <c r="BK268" t="s">
        <v>23941</v>
      </c>
      <c r="BL268" t="s">
        <v>12393</v>
      </c>
      <c r="BM268" t="s">
        <v>13780</v>
      </c>
      <c r="BN268" t="s">
        <v>350</v>
      </c>
      <c r="BO268" t="s">
        <v>13781</v>
      </c>
      <c r="BP268" t="s">
        <v>13782</v>
      </c>
      <c r="BQ268" t="s">
        <v>13783</v>
      </c>
      <c r="BS268" t="s">
        <v>23942</v>
      </c>
      <c r="BT268" t="s">
        <v>23943</v>
      </c>
      <c r="BU268" t="s">
        <v>354</v>
      </c>
      <c r="BV268" t="s">
        <v>22932</v>
      </c>
      <c r="BW268" t="s">
        <v>22933</v>
      </c>
      <c r="BX268" t="s">
        <v>19877</v>
      </c>
      <c r="BY268" t="s">
        <v>23943</v>
      </c>
      <c r="BZ268" t="s">
        <v>22932</v>
      </c>
      <c r="CA268" t="s">
        <v>22933</v>
      </c>
      <c r="CB268" t="s">
        <v>23943</v>
      </c>
      <c r="CC268" t="s">
        <v>22932</v>
      </c>
      <c r="CD268" t="s">
        <v>22933</v>
      </c>
      <c r="CE268" t="s">
        <v>6370</v>
      </c>
      <c r="CF268" t="s">
        <v>19881</v>
      </c>
      <c r="CH268" t="s">
        <v>19882</v>
      </c>
      <c r="CI268" t="s">
        <v>19883</v>
      </c>
      <c r="CJ268" t="s">
        <v>19865</v>
      </c>
      <c r="CK268" t="s">
        <v>376</v>
      </c>
      <c r="CL268" t="s">
        <v>19882</v>
      </c>
      <c r="CN268" t="s">
        <v>19881</v>
      </c>
      <c r="CO268" t="s">
        <v>19881</v>
      </c>
    </row>
    <row r="269" spans="1:93" hidden="1">
      <c r="A269" t="s">
        <v>93</v>
      </c>
      <c r="B269">
        <v>5018487</v>
      </c>
      <c r="C269" t="s">
        <v>10750</v>
      </c>
      <c r="D269" t="s">
        <v>21661</v>
      </c>
      <c r="E269" t="s">
        <v>12250</v>
      </c>
      <c r="F269" t="s">
        <v>152</v>
      </c>
      <c r="G269" t="s">
        <v>98</v>
      </c>
      <c r="H269" t="s">
        <v>25924</v>
      </c>
      <c r="I269" t="s">
        <v>100</v>
      </c>
      <c r="J269">
        <v>498193</v>
      </c>
      <c r="K269">
        <v>498193</v>
      </c>
      <c r="L269">
        <v>0</v>
      </c>
      <c r="M269">
        <v>0</v>
      </c>
      <c r="O269">
        <v>498193</v>
      </c>
      <c r="P269">
        <v>566</v>
      </c>
      <c r="Q269" t="s">
        <v>12942</v>
      </c>
      <c r="R269">
        <v>0</v>
      </c>
      <c r="S269">
        <v>0</v>
      </c>
      <c r="U269" t="s">
        <v>102</v>
      </c>
      <c r="V269" t="s">
        <v>103</v>
      </c>
      <c r="W269" t="s">
        <v>398</v>
      </c>
      <c r="Y269" t="s">
        <v>21962</v>
      </c>
      <c r="Z269" t="s">
        <v>25925</v>
      </c>
      <c r="AA269" t="s">
        <v>21788</v>
      </c>
      <c r="AB269" t="s">
        <v>25926</v>
      </c>
      <c r="AC269" t="s">
        <v>22177</v>
      </c>
      <c r="AD269" t="s">
        <v>25926</v>
      </c>
      <c r="AE269" t="s">
        <v>109</v>
      </c>
      <c r="AF269" t="s">
        <v>102</v>
      </c>
      <c r="AG269" t="s">
        <v>102</v>
      </c>
      <c r="AJ269" t="s">
        <v>25925</v>
      </c>
      <c r="AK269" t="s">
        <v>102</v>
      </c>
      <c r="AL269" t="s">
        <v>25925</v>
      </c>
      <c r="AM269" t="s">
        <v>25927</v>
      </c>
      <c r="AN269" t="s">
        <v>25927</v>
      </c>
      <c r="AS269" t="s">
        <v>102</v>
      </c>
      <c r="AU269" t="s">
        <v>104</v>
      </c>
      <c r="AV269" t="s">
        <v>119</v>
      </c>
      <c r="AW269" t="s">
        <v>170</v>
      </c>
      <c r="AX269" t="s">
        <v>118</v>
      </c>
      <c r="AZ269" t="s">
        <v>120</v>
      </c>
      <c r="BA269" t="s">
        <v>920</v>
      </c>
      <c r="BB269" t="s">
        <v>211</v>
      </c>
      <c r="BC269" t="s">
        <v>212</v>
      </c>
      <c r="BD269" t="s">
        <v>213</v>
      </c>
      <c r="BE269" t="s">
        <v>124</v>
      </c>
      <c r="BF269" t="s">
        <v>19143</v>
      </c>
      <c r="BG269" t="s">
        <v>21806</v>
      </c>
      <c r="BH269" t="s">
        <v>127</v>
      </c>
      <c r="BI269" t="s">
        <v>25928</v>
      </c>
      <c r="BJ269" t="s">
        <v>10751</v>
      </c>
      <c r="BK269" t="s">
        <v>25929</v>
      </c>
      <c r="BL269" t="s">
        <v>12250</v>
      </c>
      <c r="BM269" t="s">
        <v>19633</v>
      </c>
      <c r="BN269" t="s">
        <v>180</v>
      </c>
      <c r="BO269" t="s">
        <v>19634</v>
      </c>
      <c r="BP269" t="s">
        <v>19635</v>
      </c>
      <c r="BQ269" t="s">
        <v>2463</v>
      </c>
      <c r="BS269" t="s">
        <v>25930</v>
      </c>
      <c r="BT269" t="s">
        <v>25931</v>
      </c>
      <c r="BU269" t="s">
        <v>138</v>
      </c>
      <c r="BV269" t="s">
        <v>10753</v>
      </c>
      <c r="BW269" t="s">
        <v>10754</v>
      </c>
      <c r="BX269" t="s">
        <v>10753</v>
      </c>
      <c r="BY269" t="s">
        <v>25779</v>
      </c>
      <c r="BZ269" t="s">
        <v>3978</v>
      </c>
      <c r="CA269" t="s">
        <v>3979</v>
      </c>
      <c r="CB269" t="s">
        <v>25780</v>
      </c>
      <c r="CC269" t="s">
        <v>25781</v>
      </c>
      <c r="CD269" t="s">
        <v>25782</v>
      </c>
      <c r="CE269" t="s">
        <v>1709</v>
      </c>
      <c r="CF269" t="s">
        <v>10755</v>
      </c>
      <c r="CH269" t="s">
        <v>3982</v>
      </c>
      <c r="CI269" t="s">
        <v>25932</v>
      </c>
      <c r="CJ269" t="s">
        <v>920</v>
      </c>
      <c r="CK269" t="s">
        <v>211</v>
      </c>
      <c r="CL269" t="s">
        <v>3982</v>
      </c>
      <c r="CM269" t="s">
        <v>3983</v>
      </c>
      <c r="CN269" t="s">
        <v>10756</v>
      </c>
      <c r="CO269" t="s">
        <v>10756</v>
      </c>
    </row>
    <row r="270" spans="1:93" hidden="1">
      <c r="A270" t="s">
        <v>93</v>
      </c>
      <c r="B270">
        <v>5018488</v>
      </c>
      <c r="C270" t="s">
        <v>19891</v>
      </c>
      <c r="D270" t="s">
        <v>21661</v>
      </c>
      <c r="E270" t="s">
        <v>21962</v>
      </c>
      <c r="F270" t="s">
        <v>643</v>
      </c>
      <c r="G270" t="s">
        <v>98</v>
      </c>
      <c r="H270" t="s">
        <v>26539</v>
      </c>
      <c r="I270" t="s">
        <v>100</v>
      </c>
      <c r="J270">
        <v>650614</v>
      </c>
      <c r="K270">
        <v>714000</v>
      </c>
      <c r="L270">
        <v>0</v>
      </c>
      <c r="M270">
        <v>0</v>
      </c>
      <c r="O270">
        <v>298470</v>
      </c>
      <c r="P270">
        <v>186</v>
      </c>
      <c r="Q270" t="s">
        <v>26540</v>
      </c>
      <c r="R270">
        <v>352144</v>
      </c>
      <c r="S270">
        <v>186</v>
      </c>
      <c r="T270" t="s">
        <v>25297</v>
      </c>
      <c r="U270" t="s">
        <v>102</v>
      </c>
      <c r="V270" t="s">
        <v>103</v>
      </c>
      <c r="W270" t="s">
        <v>155</v>
      </c>
      <c r="Y270" t="s">
        <v>11960</v>
      </c>
      <c r="Z270" t="s">
        <v>26541</v>
      </c>
      <c r="AA270" t="s">
        <v>19303</v>
      </c>
      <c r="AB270" t="s">
        <v>26541</v>
      </c>
      <c r="AC270" t="s">
        <v>22119</v>
      </c>
      <c r="AD270" t="s">
        <v>26541</v>
      </c>
      <c r="AE270" t="s">
        <v>21687</v>
      </c>
      <c r="AF270" t="s">
        <v>26541</v>
      </c>
      <c r="AG270" t="s">
        <v>102</v>
      </c>
      <c r="AJ270" t="s">
        <v>102</v>
      </c>
      <c r="AK270" t="s">
        <v>102</v>
      </c>
      <c r="AL270" t="s">
        <v>102</v>
      </c>
      <c r="AM270" t="s">
        <v>26542</v>
      </c>
      <c r="AN270" t="s">
        <v>26542</v>
      </c>
      <c r="AS270" t="s">
        <v>102</v>
      </c>
      <c r="AU270" t="s">
        <v>655</v>
      </c>
      <c r="AV270" t="s">
        <v>119</v>
      </c>
      <c r="AW270" t="s">
        <v>170</v>
      </c>
      <c r="AX270" t="s">
        <v>118</v>
      </c>
      <c r="AY270" t="s">
        <v>250</v>
      </c>
      <c r="AZ270" t="s">
        <v>120</v>
      </c>
      <c r="BA270" t="s">
        <v>19901</v>
      </c>
      <c r="BB270" t="s">
        <v>6390</v>
      </c>
      <c r="BC270" t="s">
        <v>212</v>
      </c>
      <c r="BD270" t="s">
        <v>286</v>
      </c>
      <c r="BE270" t="s">
        <v>124</v>
      </c>
      <c r="BF270" t="s">
        <v>26543</v>
      </c>
      <c r="BG270" t="s">
        <v>23025</v>
      </c>
      <c r="BH270" t="s">
        <v>127</v>
      </c>
      <c r="BI270" t="s">
        <v>26544</v>
      </c>
      <c r="BJ270" t="s">
        <v>19903</v>
      </c>
      <c r="BK270" t="s">
        <v>26545</v>
      </c>
      <c r="BL270" t="s">
        <v>21962</v>
      </c>
      <c r="BM270" t="s">
        <v>17684</v>
      </c>
      <c r="BN270" t="s">
        <v>26546</v>
      </c>
      <c r="BO270" t="s">
        <v>17685</v>
      </c>
      <c r="BP270" t="s">
        <v>17686</v>
      </c>
      <c r="BQ270" t="s">
        <v>17687</v>
      </c>
      <c r="BS270" t="s">
        <v>26547</v>
      </c>
      <c r="BT270" t="s">
        <v>25298</v>
      </c>
      <c r="BU270" t="s">
        <v>138</v>
      </c>
      <c r="BV270" t="s">
        <v>25299</v>
      </c>
      <c r="BW270" t="s">
        <v>19914</v>
      </c>
      <c r="BX270" t="s">
        <v>19909</v>
      </c>
      <c r="BY270" t="s">
        <v>19912</v>
      </c>
      <c r="BZ270" t="s">
        <v>19913</v>
      </c>
      <c r="CA270" t="s">
        <v>19914</v>
      </c>
      <c r="CB270" t="s">
        <v>19912</v>
      </c>
      <c r="CC270" t="s">
        <v>19913</v>
      </c>
      <c r="CD270" t="s">
        <v>19914</v>
      </c>
      <c r="CE270" t="s">
        <v>102</v>
      </c>
      <c r="CF270" t="s">
        <v>19915</v>
      </c>
      <c r="CH270" t="s">
        <v>19916</v>
      </c>
      <c r="CI270" t="s">
        <v>19917</v>
      </c>
      <c r="CJ270" t="s">
        <v>19901</v>
      </c>
      <c r="CK270" t="s">
        <v>6390</v>
      </c>
      <c r="CL270" t="s">
        <v>19916</v>
      </c>
      <c r="CN270" t="s">
        <v>19918</v>
      </c>
      <c r="CO270" t="s">
        <v>19918</v>
      </c>
    </row>
    <row r="271" spans="1:93" hidden="1">
      <c r="A271" t="s">
        <v>93</v>
      </c>
      <c r="B271">
        <v>5018499</v>
      </c>
      <c r="C271" t="s">
        <v>19919</v>
      </c>
      <c r="D271" t="s">
        <v>21661</v>
      </c>
      <c r="E271" t="s">
        <v>20504</v>
      </c>
      <c r="F271" t="s">
        <v>97</v>
      </c>
      <c r="G271" t="s">
        <v>98</v>
      </c>
      <c r="H271" t="s">
        <v>26218</v>
      </c>
      <c r="I271" t="s">
        <v>100</v>
      </c>
      <c r="J271">
        <v>438375</v>
      </c>
      <c r="K271">
        <v>438375</v>
      </c>
      <c r="L271">
        <v>438375</v>
      </c>
      <c r="M271">
        <v>835</v>
      </c>
      <c r="N271" t="s">
        <v>4107</v>
      </c>
      <c r="O271">
        <v>0</v>
      </c>
      <c r="P271">
        <v>0</v>
      </c>
      <c r="R271">
        <v>0</v>
      </c>
      <c r="S271">
        <v>0</v>
      </c>
      <c r="U271" t="s">
        <v>102</v>
      </c>
      <c r="V271" t="s">
        <v>103</v>
      </c>
      <c r="W271" t="s">
        <v>398</v>
      </c>
      <c r="Y271" t="s">
        <v>13662</v>
      </c>
      <c r="Z271" t="s">
        <v>26219</v>
      </c>
      <c r="AA271" t="s">
        <v>21686</v>
      </c>
      <c r="AB271" t="s">
        <v>26220</v>
      </c>
      <c r="AC271" t="s">
        <v>21687</v>
      </c>
      <c r="AD271" t="s">
        <v>26221</v>
      </c>
      <c r="AE271" t="s">
        <v>109</v>
      </c>
      <c r="AF271" t="s">
        <v>102</v>
      </c>
      <c r="AG271" t="s">
        <v>102</v>
      </c>
      <c r="AH271" t="s">
        <v>26402</v>
      </c>
      <c r="AI271" t="s">
        <v>26402</v>
      </c>
      <c r="AJ271" t="s">
        <v>26219</v>
      </c>
      <c r="AK271" t="s">
        <v>26548</v>
      </c>
      <c r="AL271" t="s">
        <v>26549</v>
      </c>
      <c r="AM271" t="s">
        <v>12067</v>
      </c>
      <c r="AN271" t="s">
        <v>12067</v>
      </c>
      <c r="AS271" t="s">
        <v>318</v>
      </c>
      <c r="AT271" t="s">
        <v>118</v>
      </c>
      <c r="AU271" t="s">
        <v>102</v>
      </c>
      <c r="AV271" t="s">
        <v>119</v>
      </c>
      <c r="AZ271" t="s">
        <v>120</v>
      </c>
      <c r="BA271" t="s">
        <v>8930</v>
      </c>
      <c r="BB271" t="s">
        <v>8930</v>
      </c>
      <c r="BC271" t="s">
        <v>122</v>
      </c>
      <c r="BD271" t="s">
        <v>346</v>
      </c>
      <c r="BE271" t="s">
        <v>124</v>
      </c>
      <c r="BF271" t="s">
        <v>12250</v>
      </c>
      <c r="BG271" t="s">
        <v>21667</v>
      </c>
      <c r="BH271" t="s">
        <v>127</v>
      </c>
      <c r="BI271" t="s">
        <v>26222</v>
      </c>
      <c r="BJ271" t="s">
        <v>19933</v>
      </c>
      <c r="BK271" t="s">
        <v>26223</v>
      </c>
      <c r="BL271" t="s">
        <v>20504</v>
      </c>
      <c r="BM271" t="s">
        <v>349</v>
      </c>
      <c r="BN271" t="s">
        <v>350</v>
      </c>
      <c r="BO271" t="s">
        <v>351</v>
      </c>
      <c r="BP271" t="s">
        <v>352</v>
      </c>
      <c r="BQ271" t="s">
        <v>6249</v>
      </c>
      <c r="BS271" t="s">
        <v>26224</v>
      </c>
      <c r="BT271" t="s">
        <v>26225</v>
      </c>
      <c r="BU271" t="s">
        <v>138</v>
      </c>
      <c r="BV271" t="s">
        <v>19937</v>
      </c>
      <c r="BW271" t="s">
        <v>19938</v>
      </c>
      <c r="BX271" t="s">
        <v>19939</v>
      </c>
      <c r="BY271" t="s">
        <v>26226</v>
      </c>
      <c r="BZ271" t="s">
        <v>26227</v>
      </c>
      <c r="CA271" t="s">
        <v>26228</v>
      </c>
      <c r="CB271" t="s">
        <v>26226</v>
      </c>
      <c r="CC271" t="s">
        <v>26227</v>
      </c>
      <c r="CD271" t="s">
        <v>26228</v>
      </c>
      <c r="CE271" t="s">
        <v>19943</v>
      </c>
      <c r="CF271" t="s">
        <v>19944</v>
      </c>
      <c r="CH271" t="s">
        <v>19945</v>
      </c>
      <c r="CI271" t="s">
        <v>19946</v>
      </c>
      <c r="CJ271" t="s">
        <v>8930</v>
      </c>
      <c r="CK271" t="s">
        <v>8930</v>
      </c>
      <c r="CL271" t="s">
        <v>19945</v>
      </c>
      <c r="CN271" t="s">
        <v>19947</v>
      </c>
      <c r="CO271" t="s">
        <v>19947</v>
      </c>
    </row>
    <row r="272" spans="1:93">
      <c r="A272" t="s">
        <v>337</v>
      </c>
      <c r="B272">
        <v>5018522</v>
      </c>
      <c r="C272" t="s">
        <v>25300</v>
      </c>
      <c r="D272" t="s">
        <v>21661</v>
      </c>
      <c r="E272" t="s">
        <v>24952</v>
      </c>
      <c r="F272" t="s">
        <v>97</v>
      </c>
      <c r="G272" t="s">
        <v>98</v>
      </c>
      <c r="H272" t="s">
        <v>25933</v>
      </c>
      <c r="I272" t="s">
        <v>100</v>
      </c>
      <c r="J272">
        <v>616800</v>
      </c>
      <c r="K272">
        <v>616800</v>
      </c>
      <c r="L272">
        <v>616800</v>
      </c>
      <c r="M272">
        <v>939</v>
      </c>
      <c r="N272" t="s">
        <v>11094</v>
      </c>
      <c r="O272">
        <v>0</v>
      </c>
      <c r="P272">
        <v>0</v>
      </c>
      <c r="R272">
        <v>0</v>
      </c>
      <c r="S272">
        <v>0</v>
      </c>
      <c r="U272" t="s">
        <v>102</v>
      </c>
      <c r="V272" t="s">
        <v>103</v>
      </c>
      <c r="W272" t="s">
        <v>104</v>
      </c>
      <c r="Y272" t="s">
        <v>21857</v>
      </c>
      <c r="Z272" t="s">
        <v>25934</v>
      </c>
      <c r="AA272" t="s">
        <v>11960</v>
      </c>
      <c r="AB272" t="s">
        <v>25934</v>
      </c>
      <c r="AC272" t="s">
        <v>109</v>
      </c>
      <c r="AD272" t="s">
        <v>102</v>
      </c>
      <c r="AE272" t="s">
        <v>109</v>
      </c>
      <c r="AF272" t="s">
        <v>102</v>
      </c>
      <c r="AG272" t="s">
        <v>102</v>
      </c>
      <c r="AH272" t="s">
        <v>25301</v>
      </c>
      <c r="AI272" t="s">
        <v>25301</v>
      </c>
      <c r="AJ272" t="s">
        <v>25934</v>
      </c>
      <c r="AK272" t="s">
        <v>25302</v>
      </c>
      <c r="AL272" t="s">
        <v>25935</v>
      </c>
      <c r="AM272" t="s">
        <v>25936</v>
      </c>
      <c r="AN272" t="s">
        <v>25937</v>
      </c>
      <c r="AO272" t="s">
        <v>102</v>
      </c>
      <c r="AP272" t="s">
        <v>102</v>
      </c>
      <c r="AQ272" t="s">
        <v>102</v>
      </c>
      <c r="AR272" t="s">
        <v>102</v>
      </c>
      <c r="AS272" t="s">
        <v>318</v>
      </c>
      <c r="AT272" t="s">
        <v>118</v>
      </c>
      <c r="AU272" t="s">
        <v>102</v>
      </c>
      <c r="AV272" t="s">
        <v>119</v>
      </c>
      <c r="AZ272" t="s">
        <v>209</v>
      </c>
      <c r="BA272" t="s">
        <v>1729</v>
      </c>
      <c r="BB272" t="s">
        <v>730</v>
      </c>
      <c r="BC272" t="s">
        <v>622</v>
      </c>
      <c r="BD272" t="s">
        <v>730</v>
      </c>
      <c r="BE272" t="s">
        <v>124</v>
      </c>
      <c r="BF272" t="s">
        <v>12250</v>
      </c>
      <c r="BG272" t="s">
        <v>21667</v>
      </c>
      <c r="BH272" t="s">
        <v>127</v>
      </c>
      <c r="BI272" t="s">
        <v>25938</v>
      </c>
      <c r="BJ272" t="s">
        <v>25303</v>
      </c>
      <c r="BK272" t="s">
        <v>25939</v>
      </c>
      <c r="BL272" t="s">
        <v>24952</v>
      </c>
      <c r="BM272" t="s">
        <v>3910</v>
      </c>
      <c r="BN272" t="s">
        <v>350</v>
      </c>
      <c r="BO272" t="s">
        <v>3911</v>
      </c>
      <c r="BP272" t="s">
        <v>3912</v>
      </c>
      <c r="BQ272" t="s">
        <v>7862</v>
      </c>
      <c r="BS272" t="s">
        <v>25940</v>
      </c>
      <c r="BT272" t="s">
        <v>25304</v>
      </c>
      <c r="BU272" t="s">
        <v>354</v>
      </c>
      <c r="BV272" t="s">
        <v>25305</v>
      </c>
      <c r="BW272" t="s">
        <v>25306</v>
      </c>
      <c r="BX272" t="s">
        <v>25307</v>
      </c>
      <c r="BY272" t="s">
        <v>25308</v>
      </c>
      <c r="BZ272" t="s">
        <v>25305</v>
      </c>
      <c r="CA272" t="s">
        <v>25306</v>
      </c>
      <c r="CB272" t="s">
        <v>25308</v>
      </c>
      <c r="CC272" t="s">
        <v>25305</v>
      </c>
      <c r="CD272" t="s">
        <v>25306</v>
      </c>
      <c r="CE272" t="s">
        <v>9607</v>
      </c>
      <c r="CF272" t="s">
        <v>25309</v>
      </c>
      <c r="CH272" t="s">
        <v>8648</v>
      </c>
      <c r="CI272" t="s">
        <v>25310</v>
      </c>
      <c r="CJ272" t="s">
        <v>1729</v>
      </c>
      <c r="CK272" t="s">
        <v>730</v>
      </c>
      <c r="CL272" t="s">
        <v>8648</v>
      </c>
      <c r="CN272" t="s">
        <v>25311</v>
      </c>
      <c r="CO272" t="s">
        <v>25311</v>
      </c>
    </row>
    <row r="273" spans="1:93" hidden="1">
      <c r="A273" t="s">
        <v>93</v>
      </c>
      <c r="B273">
        <v>5018578</v>
      </c>
      <c r="C273" t="s">
        <v>20037</v>
      </c>
      <c r="D273" t="s">
        <v>21661</v>
      </c>
      <c r="E273" t="s">
        <v>20844</v>
      </c>
      <c r="F273" t="s">
        <v>152</v>
      </c>
      <c r="G273" t="s">
        <v>98</v>
      </c>
      <c r="H273" t="s">
        <v>22934</v>
      </c>
      <c r="I273" t="s">
        <v>100</v>
      </c>
      <c r="J273">
        <v>168940</v>
      </c>
      <c r="K273">
        <v>168940</v>
      </c>
      <c r="L273">
        <v>0</v>
      </c>
      <c r="M273">
        <v>0</v>
      </c>
      <c r="O273">
        <v>168940</v>
      </c>
      <c r="P273">
        <v>99</v>
      </c>
      <c r="Q273" t="s">
        <v>22935</v>
      </c>
      <c r="R273">
        <v>0</v>
      </c>
      <c r="S273">
        <v>0</v>
      </c>
      <c r="U273" t="s">
        <v>102</v>
      </c>
      <c r="V273" t="s">
        <v>103</v>
      </c>
      <c r="W273" t="s">
        <v>155</v>
      </c>
      <c r="Y273" t="s">
        <v>12435</v>
      </c>
      <c r="Z273" t="s">
        <v>22936</v>
      </c>
      <c r="AA273" t="s">
        <v>22937</v>
      </c>
      <c r="AB273" t="s">
        <v>22936</v>
      </c>
      <c r="AC273" t="s">
        <v>21732</v>
      </c>
      <c r="AD273" t="s">
        <v>22936</v>
      </c>
      <c r="AE273" t="s">
        <v>21666</v>
      </c>
      <c r="AF273" t="s">
        <v>22936</v>
      </c>
      <c r="AG273" t="s">
        <v>102</v>
      </c>
      <c r="AJ273" t="s">
        <v>102</v>
      </c>
      <c r="AK273" t="s">
        <v>102</v>
      </c>
      <c r="AL273" t="s">
        <v>102</v>
      </c>
      <c r="AM273" t="s">
        <v>22938</v>
      </c>
      <c r="AN273" t="s">
        <v>22938</v>
      </c>
      <c r="AS273" t="s">
        <v>102</v>
      </c>
      <c r="AU273" t="s">
        <v>155</v>
      </c>
      <c r="AV273" t="s">
        <v>447</v>
      </c>
      <c r="AW273" t="s">
        <v>170</v>
      </c>
      <c r="AX273" t="s">
        <v>118</v>
      </c>
      <c r="AZ273" t="s">
        <v>120</v>
      </c>
      <c r="BA273" t="s">
        <v>3735</v>
      </c>
      <c r="BB273" t="s">
        <v>410</v>
      </c>
      <c r="BC273" t="s">
        <v>212</v>
      </c>
      <c r="BD273" t="s">
        <v>410</v>
      </c>
      <c r="BE273" t="s">
        <v>124</v>
      </c>
      <c r="BF273" t="s">
        <v>12250</v>
      </c>
      <c r="BG273" t="s">
        <v>21667</v>
      </c>
      <c r="BH273" t="s">
        <v>127</v>
      </c>
      <c r="BI273" t="s">
        <v>22939</v>
      </c>
      <c r="BJ273" t="s">
        <v>20052</v>
      </c>
      <c r="BK273" t="s">
        <v>22940</v>
      </c>
      <c r="BL273" t="s">
        <v>20844</v>
      </c>
      <c r="BM273" t="s">
        <v>896</v>
      </c>
      <c r="BN273" t="s">
        <v>132</v>
      </c>
      <c r="BO273" t="s">
        <v>897</v>
      </c>
      <c r="BP273" t="s">
        <v>898</v>
      </c>
      <c r="BQ273" t="s">
        <v>899</v>
      </c>
      <c r="BS273" t="s">
        <v>22941</v>
      </c>
      <c r="BT273" t="s">
        <v>20055</v>
      </c>
      <c r="BU273" t="s">
        <v>354</v>
      </c>
      <c r="BV273" t="s">
        <v>20056</v>
      </c>
      <c r="BW273" t="s">
        <v>22942</v>
      </c>
      <c r="BX273" t="s">
        <v>20056</v>
      </c>
      <c r="BY273" t="s">
        <v>22943</v>
      </c>
      <c r="BZ273" t="s">
        <v>20056</v>
      </c>
      <c r="CA273" t="s">
        <v>22942</v>
      </c>
      <c r="CB273" t="s">
        <v>22943</v>
      </c>
      <c r="CC273" t="s">
        <v>20056</v>
      </c>
      <c r="CD273" t="s">
        <v>22942</v>
      </c>
      <c r="CE273" t="s">
        <v>3968</v>
      </c>
      <c r="CF273" t="s">
        <v>20060</v>
      </c>
      <c r="CH273" t="s">
        <v>20061</v>
      </c>
      <c r="CI273" t="s">
        <v>20060</v>
      </c>
      <c r="CJ273" t="s">
        <v>3735</v>
      </c>
      <c r="CK273" t="s">
        <v>410</v>
      </c>
      <c r="CL273" t="s">
        <v>20061</v>
      </c>
      <c r="CN273" t="s">
        <v>20062</v>
      </c>
      <c r="CO273" t="s">
        <v>20062</v>
      </c>
    </row>
    <row r="274" spans="1:93">
      <c r="A274" t="s">
        <v>337</v>
      </c>
      <c r="B274">
        <v>5018591</v>
      </c>
      <c r="C274" t="s">
        <v>22944</v>
      </c>
      <c r="D274" t="s">
        <v>21661</v>
      </c>
      <c r="E274" t="s">
        <v>12680</v>
      </c>
      <c r="F274" t="s">
        <v>848</v>
      </c>
      <c r="G274" t="s">
        <v>98</v>
      </c>
      <c r="H274" t="s">
        <v>22945</v>
      </c>
      <c r="I274" t="s">
        <v>100</v>
      </c>
      <c r="J274">
        <v>216011</v>
      </c>
      <c r="K274">
        <v>254893</v>
      </c>
      <c r="L274">
        <v>0</v>
      </c>
      <c r="M274">
        <v>0</v>
      </c>
      <c r="O274">
        <v>0</v>
      </c>
      <c r="P274">
        <v>0</v>
      </c>
      <c r="R274">
        <v>216011</v>
      </c>
      <c r="S274">
        <v>120</v>
      </c>
      <c r="T274" t="s">
        <v>3005</v>
      </c>
      <c r="U274" t="s">
        <v>102</v>
      </c>
      <c r="V274" t="s">
        <v>103</v>
      </c>
      <c r="W274" t="s">
        <v>155</v>
      </c>
      <c r="Y274" t="s">
        <v>12680</v>
      </c>
      <c r="Z274" t="s">
        <v>25312</v>
      </c>
      <c r="AA274" t="s">
        <v>21664</v>
      </c>
      <c r="AB274" t="s">
        <v>25312</v>
      </c>
      <c r="AC274" t="s">
        <v>21665</v>
      </c>
      <c r="AD274" t="s">
        <v>25312</v>
      </c>
      <c r="AE274" t="s">
        <v>21710</v>
      </c>
      <c r="AF274" t="s">
        <v>25312</v>
      </c>
      <c r="AG274" t="s">
        <v>102</v>
      </c>
      <c r="AH274" t="s">
        <v>21768</v>
      </c>
      <c r="AI274" t="s">
        <v>21768</v>
      </c>
      <c r="AJ274" t="s">
        <v>25312</v>
      </c>
      <c r="AK274" t="s">
        <v>22946</v>
      </c>
      <c r="AL274" t="s">
        <v>25313</v>
      </c>
      <c r="AM274" t="s">
        <v>4786</v>
      </c>
      <c r="AN274" t="s">
        <v>4786</v>
      </c>
      <c r="AS274" t="s">
        <v>102</v>
      </c>
      <c r="AU274" t="s">
        <v>102</v>
      </c>
      <c r="AV274" t="s">
        <v>119</v>
      </c>
      <c r="AY274" t="s">
        <v>250</v>
      </c>
      <c r="AZ274" t="s">
        <v>120</v>
      </c>
      <c r="BA274" t="s">
        <v>3854</v>
      </c>
      <c r="BB274" t="s">
        <v>449</v>
      </c>
      <c r="BC274" t="s">
        <v>122</v>
      </c>
      <c r="BD274" t="s">
        <v>450</v>
      </c>
      <c r="BE274" t="s">
        <v>124</v>
      </c>
      <c r="BF274" t="s">
        <v>12250</v>
      </c>
      <c r="BG274" t="s">
        <v>21667</v>
      </c>
      <c r="BH274" t="s">
        <v>127</v>
      </c>
      <c r="BI274" t="s">
        <v>22947</v>
      </c>
      <c r="BJ274" t="s">
        <v>22948</v>
      </c>
      <c r="BK274" t="s">
        <v>22949</v>
      </c>
      <c r="BL274" t="s">
        <v>12680</v>
      </c>
      <c r="BM274" t="s">
        <v>131</v>
      </c>
      <c r="BN274" t="s">
        <v>505</v>
      </c>
      <c r="BO274" t="s">
        <v>133</v>
      </c>
      <c r="BP274" t="s">
        <v>134</v>
      </c>
      <c r="BQ274" t="s">
        <v>455</v>
      </c>
      <c r="BS274" t="s">
        <v>22950</v>
      </c>
      <c r="BT274" t="s">
        <v>4792</v>
      </c>
      <c r="BU274" t="s">
        <v>354</v>
      </c>
      <c r="BV274" t="s">
        <v>4793</v>
      </c>
      <c r="BW274" t="s">
        <v>4794</v>
      </c>
      <c r="BY274" t="s">
        <v>22951</v>
      </c>
      <c r="BZ274" t="s">
        <v>22952</v>
      </c>
      <c r="CA274" t="s">
        <v>22953</v>
      </c>
      <c r="CB274" t="s">
        <v>22954</v>
      </c>
      <c r="CC274" t="s">
        <v>22952</v>
      </c>
      <c r="CD274" t="s">
        <v>22955</v>
      </c>
      <c r="CE274" t="s">
        <v>102</v>
      </c>
      <c r="CF274" t="s">
        <v>22956</v>
      </c>
      <c r="CH274" t="s">
        <v>22957</v>
      </c>
      <c r="CJ274" t="s">
        <v>3854</v>
      </c>
      <c r="CK274" t="s">
        <v>449</v>
      </c>
      <c r="CL274" t="s">
        <v>22957</v>
      </c>
      <c r="CN274" t="s">
        <v>3854</v>
      </c>
      <c r="CO274" t="s">
        <v>22956</v>
      </c>
    </row>
    <row r="275" spans="1:93" hidden="1">
      <c r="A275" t="s">
        <v>93</v>
      </c>
      <c r="B275">
        <v>5018655</v>
      </c>
      <c r="C275" t="s">
        <v>20080</v>
      </c>
      <c r="D275" t="s">
        <v>21661</v>
      </c>
      <c r="E275" t="s">
        <v>14003</v>
      </c>
      <c r="F275" t="s">
        <v>152</v>
      </c>
      <c r="G275" t="s">
        <v>98</v>
      </c>
      <c r="H275" t="s">
        <v>22958</v>
      </c>
      <c r="I275" t="s">
        <v>100</v>
      </c>
      <c r="J275">
        <v>360045</v>
      </c>
      <c r="K275">
        <v>360045</v>
      </c>
      <c r="L275">
        <v>0</v>
      </c>
      <c r="M275">
        <v>0</v>
      </c>
      <c r="O275">
        <v>360045</v>
      </c>
      <c r="P275">
        <v>300</v>
      </c>
      <c r="Q275" t="s">
        <v>880</v>
      </c>
      <c r="R275">
        <v>0</v>
      </c>
      <c r="S275">
        <v>0</v>
      </c>
      <c r="U275" t="s">
        <v>102</v>
      </c>
      <c r="V275" t="s">
        <v>103</v>
      </c>
      <c r="W275" t="s">
        <v>398</v>
      </c>
      <c r="Y275" t="s">
        <v>15489</v>
      </c>
      <c r="Z275" t="s">
        <v>22959</v>
      </c>
      <c r="AA275" t="s">
        <v>22960</v>
      </c>
      <c r="AB275" t="s">
        <v>22961</v>
      </c>
      <c r="AC275" t="s">
        <v>22204</v>
      </c>
      <c r="AD275" t="s">
        <v>22961</v>
      </c>
      <c r="AE275" t="s">
        <v>109</v>
      </c>
      <c r="AF275" t="s">
        <v>102</v>
      </c>
      <c r="AG275" t="s">
        <v>102</v>
      </c>
      <c r="AJ275" t="s">
        <v>22959</v>
      </c>
      <c r="AK275" t="s">
        <v>102</v>
      </c>
      <c r="AL275" t="s">
        <v>22959</v>
      </c>
      <c r="AM275" t="s">
        <v>13347</v>
      </c>
      <c r="AN275" t="s">
        <v>13347</v>
      </c>
      <c r="AS275" t="s">
        <v>102</v>
      </c>
      <c r="AU275" t="s">
        <v>102</v>
      </c>
      <c r="AV275" t="s">
        <v>119</v>
      </c>
      <c r="AW275" t="s">
        <v>170</v>
      </c>
      <c r="AX275" t="s">
        <v>118</v>
      </c>
      <c r="AZ275" t="s">
        <v>120</v>
      </c>
      <c r="BA275" t="s">
        <v>2373</v>
      </c>
      <c r="BB275" t="s">
        <v>20088</v>
      </c>
      <c r="BC275" t="s">
        <v>122</v>
      </c>
      <c r="BD275" t="s">
        <v>557</v>
      </c>
      <c r="BE275" t="s">
        <v>124</v>
      </c>
      <c r="BF275" t="s">
        <v>12250</v>
      </c>
      <c r="BG275" t="s">
        <v>21667</v>
      </c>
      <c r="BH275" t="s">
        <v>127</v>
      </c>
      <c r="BI275" t="s">
        <v>22962</v>
      </c>
      <c r="BJ275" t="s">
        <v>20090</v>
      </c>
      <c r="BK275" t="s">
        <v>22963</v>
      </c>
      <c r="BL275" t="s">
        <v>14003</v>
      </c>
      <c r="BM275" t="s">
        <v>16526</v>
      </c>
      <c r="BN275" t="s">
        <v>350</v>
      </c>
      <c r="BO275" t="s">
        <v>16527</v>
      </c>
      <c r="BP275" t="s">
        <v>16528</v>
      </c>
      <c r="BQ275" t="s">
        <v>16529</v>
      </c>
      <c r="BS275" t="s">
        <v>22964</v>
      </c>
      <c r="BT275" t="s">
        <v>20093</v>
      </c>
      <c r="BU275" t="s">
        <v>354</v>
      </c>
      <c r="BV275" t="s">
        <v>20096</v>
      </c>
      <c r="BW275" t="s">
        <v>20095</v>
      </c>
      <c r="BX275" t="s">
        <v>20096</v>
      </c>
      <c r="BY275" t="s">
        <v>22965</v>
      </c>
      <c r="BZ275" t="s">
        <v>20096</v>
      </c>
      <c r="CA275" t="s">
        <v>20098</v>
      </c>
      <c r="CB275" t="s">
        <v>22966</v>
      </c>
      <c r="CC275" t="s">
        <v>20096</v>
      </c>
      <c r="CD275" t="s">
        <v>22967</v>
      </c>
      <c r="CE275" t="s">
        <v>11282</v>
      </c>
      <c r="CF275" t="s">
        <v>20101</v>
      </c>
      <c r="CH275" t="s">
        <v>20102</v>
      </c>
      <c r="CJ275" t="s">
        <v>2373</v>
      </c>
      <c r="CK275" t="s">
        <v>20088</v>
      </c>
      <c r="CL275" t="s">
        <v>20102</v>
      </c>
      <c r="CN275" t="s">
        <v>20103</v>
      </c>
      <c r="CO275" t="s">
        <v>20103</v>
      </c>
    </row>
    <row r="276" spans="1:93">
      <c r="A276" t="s">
        <v>337</v>
      </c>
      <c r="B276">
        <v>5018663</v>
      </c>
      <c r="C276" t="s">
        <v>22968</v>
      </c>
      <c r="D276" t="s">
        <v>21661</v>
      </c>
      <c r="E276" t="s">
        <v>12573</v>
      </c>
      <c r="F276" t="s">
        <v>152</v>
      </c>
      <c r="G276" t="s">
        <v>98</v>
      </c>
      <c r="H276" t="s">
        <v>22969</v>
      </c>
      <c r="I276" t="s">
        <v>100</v>
      </c>
      <c r="J276">
        <v>316738</v>
      </c>
      <c r="K276">
        <v>316738</v>
      </c>
      <c r="L276">
        <v>0</v>
      </c>
      <c r="M276">
        <v>0</v>
      </c>
      <c r="O276">
        <v>316738</v>
      </c>
      <c r="P276">
        <v>439</v>
      </c>
      <c r="Q276" t="s">
        <v>22970</v>
      </c>
      <c r="R276">
        <v>0</v>
      </c>
      <c r="S276">
        <v>0</v>
      </c>
      <c r="U276" t="s">
        <v>102</v>
      </c>
      <c r="V276" t="s">
        <v>103</v>
      </c>
      <c r="W276" t="s">
        <v>104</v>
      </c>
      <c r="Y276" t="s">
        <v>14825</v>
      </c>
      <c r="Z276" t="s">
        <v>22971</v>
      </c>
      <c r="AA276" t="s">
        <v>21846</v>
      </c>
      <c r="AB276" t="s">
        <v>22971</v>
      </c>
      <c r="AC276" t="s">
        <v>109</v>
      </c>
      <c r="AD276" t="s">
        <v>102</v>
      </c>
      <c r="AE276" t="s">
        <v>109</v>
      </c>
      <c r="AF276" t="s">
        <v>102</v>
      </c>
      <c r="AG276" t="s">
        <v>22972</v>
      </c>
      <c r="AH276" t="s">
        <v>22973</v>
      </c>
      <c r="AI276" t="s">
        <v>22973</v>
      </c>
      <c r="AJ276" t="s">
        <v>22971</v>
      </c>
      <c r="AK276" t="s">
        <v>22974</v>
      </c>
      <c r="AL276" t="s">
        <v>102</v>
      </c>
      <c r="AM276" t="s">
        <v>22975</v>
      </c>
      <c r="AN276" t="s">
        <v>22975</v>
      </c>
      <c r="AS276" t="s">
        <v>102</v>
      </c>
      <c r="AU276" t="s">
        <v>104</v>
      </c>
      <c r="AV276" t="s">
        <v>447</v>
      </c>
      <c r="AW276" t="s">
        <v>170</v>
      </c>
      <c r="AX276" t="s">
        <v>118</v>
      </c>
      <c r="AZ276" t="s">
        <v>120</v>
      </c>
      <c r="BA276" t="s">
        <v>22976</v>
      </c>
      <c r="BB276" t="s">
        <v>345</v>
      </c>
      <c r="BC276" t="s">
        <v>122</v>
      </c>
      <c r="BD276" t="s">
        <v>346</v>
      </c>
      <c r="BE276" t="s">
        <v>124</v>
      </c>
      <c r="BF276" t="s">
        <v>12330</v>
      </c>
      <c r="BG276" t="s">
        <v>21687</v>
      </c>
      <c r="BH276" t="s">
        <v>127</v>
      </c>
      <c r="BI276" t="s">
        <v>22977</v>
      </c>
      <c r="BJ276" t="s">
        <v>22978</v>
      </c>
      <c r="BK276" t="s">
        <v>22979</v>
      </c>
      <c r="BL276" t="s">
        <v>12573</v>
      </c>
      <c r="BM276" t="s">
        <v>12226</v>
      </c>
      <c r="BN276" t="s">
        <v>350</v>
      </c>
      <c r="BO276" t="s">
        <v>12228</v>
      </c>
      <c r="BP276" t="s">
        <v>12229</v>
      </c>
      <c r="BQ276" t="s">
        <v>8623</v>
      </c>
      <c r="BS276" t="s">
        <v>22980</v>
      </c>
      <c r="BT276" t="s">
        <v>22981</v>
      </c>
      <c r="BU276" t="s">
        <v>138</v>
      </c>
      <c r="BV276" t="s">
        <v>22982</v>
      </c>
      <c r="BW276" t="s">
        <v>22983</v>
      </c>
      <c r="BX276" t="s">
        <v>22984</v>
      </c>
      <c r="BY276" t="s">
        <v>22985</v>
      </c>
      <c r="BZ276" t="s">
        <v>22982</v>
      </c>
      <c r="CA276" t="s">
        <v>22983</v>
      </c>
      <c r="CB276" t="s">
        <v>22985</v>
      </c>
      <c r="CC276" t="s">
        <v>22982</v>
      </c>
      <c r="CD276" t="s">
        <v>22986</v>
      </c>
      <c r="CE276" t="s">
        <v>11377</v>
      </c>
      <c r="CF276" t="s">
        <v>22987</v>
      </c>
      <c r="CH276" t="s">
        <v>22988</v>
      </c>
      <c r="CI276" t="s">
        <v>22989</v>
      </c>
      <c r="CJ276" t="s">
        <v>22976</v>
      </c>
      <c r="CK276" t="s">
        <v>345</v>
      </c>
      <c r="CL276" t="s">
        <v>22988</v>
      </c>
      <c r="CM276" t="s">
        <v>22990</v>
      </c>
      <c r="CN276" t="s">
        <v>22991</v>
      </c>
      <c r="CO276" t="s">
        <v>22991</v>
      </c>
    </row>
    <row r="277" spans="1:93" hidden="1">
      <c r="A277" t="s">
        <v>93</v>
      </c>
      <c r="B277">
        <v>5018668</v>
      </c>
      <c r="C277" t="s">
        <v>20104</v>
      </c>
      <c r="D277" t="s">
        <v>21661</v>
      </c>
      <c r="E277" t="s">
        <v>21790</v>
      </c>
      <c r="F277" t="s">
        <v>848</v>
      </c>
      <c r="G277" t="s">
        <v>98</v>
      </c>
      <c r="H277" t="s">
        <v>25314</v>
      </c>
      <c r="I277" t="s">
        <v>100</v>
      </c>
      <c r="J277">
        <v>337332</v>
      </c>
      <c r="K277">
        <v>398052</v>
      </c>
      <c r="L277">
        <v>0</v>
      </c>
      <c r="M277">
        <v>0</v>
      </c>
      <c r="O277">
        <v>0</v>
      </c>
      <c r="P277">
        <v>0</v>
      </c>
      <c r="R277">
        <v>337332</v>
      </c>
      <c r="S277">
        <v>398</v>
      </c>
      <c r="T277" t="s">
        <v>19950</v>
      </c>
      <c r="U277" t="s">
        <v>102</v>
      </c>
      <c r="V277" t="s">
        <v>103</v>
      </c>
      <c r="W277" t="s">
        <v>104</v>
      </c>
      <c r="Y277" t="s">
        <v>21857</v>
      </c>
      <c r="Z277" t="s">
        <v>25315</v>
      </c>
      <c r="AA277" t="s">
        <v>21828</v>
      </c>
      <c r="AB277" t="s">
        <v>25315</v>
      </c>
      <c r="AC277" t="s">
        <v>109</v>
      </c>
      <c r="AD277" t="s">
        <v>102</v>
      </c>
      <c r="AE277" t="s">
        <v>109</v>
      </c>
      <c r="AF277" t="s">
        <v>102</v>
      </c>
      <c r="AG277" t="s">
        <v>102</v>
      </c>
      <c r="AJ277" t="s">
        <v>25315</v>
      </c>
      <c r="AK277" t="s">
        <v>102</v>
      </c>
      <c r="AL277" t="s">
        <v>25315</v>
      </c>
      <c r="AM277" t="s">
        <v>9481</v>
      </c>
      <c r="AN277" t="s">
        <v>9481</v>
      </c>
      <c r="AS277" t="s">
        <v>102</v>
      </c>
      <c r="AU277" t="s">
        <v>102</v>
      </c>
      <c r="AV277" t="s">
        <v>119</v>
      </c>
      <c r="AY277" t="s">
        <v>250</v>
      </c>
      <c r="AZ277" t="s">
        <v>120</v>
      </c>
      <c r="BA277" t="s">
        <v>20114</v>
      </c>
      <c r="BB277" t="s">
        <v>410</v>
      </c>
      <c r="BC277" t="s">
        <v>212</v>
      </c>
      <c r="BD277" t="s">
        <v>410</v>
      </c>
      <c r="BE277" t="s">
        <v>124</v>
      </c>
      <c r="BF277" t="s">
        <v>12250</v>
      </c>
      <c r="BG277" t="s">
        <v>21667</v>
      </c>
      <c r="BH277" t="s">
        <v>127</v>
      </c>
      <c r="BI277" t="s">
        <v>25316</v>
      </c>
      <c r="BJ277" t="s">
        <v>20116</v>
      </c>
      <c r="BK277" t="s">
        <v>25317</v>
      </c>
      <c r="BL277" t="s">
        <v>21790</v>
      </c>
      <c r="BM277" t="s">
        <v>4053</v>
      </c>
      <c r="BN277" t="s">
        <v>132</v>
      </c>
      <c r="BO277" t="s">
        <v>4054</v>
      </c>
      <c r="BP277" t="s">
        <v>4055</v>
      </c>
      <c r="BQ277" t="s">
        <v>4056</v>
      </c>
      <c r="BS277" t="s">
        <v>25318</v>
      </c>
      <c r="BT277" t="s">
        <v>25319</v>
      </c>
      <c r="BU277" t="s">
        <v>138</v>
      </c>
      <c r="BV277" t="s">
        <v>25320</v>
      </c>
      <c r="BW277" t="s">
        <v>20124</v>
      </c>
      <c r="BX277" t="s">
        <v>20120</v>
      </c>
      <c r="BY277" t="s">
        <v>25319</v>
      </c>
      <c r="BZ277" t="s">
        <v>20125</v>
      </c>
      <c r="CA277" t="s">
        <v>20124</v>
      </c>
      <c r="CB277" t="s">
        <v>25319</v>
      </c>
      <c r="CC277" t="s">
        <v>20125</v>
      </c>
      <c r="CD277" t="s">
        <v>20124</v>
      </c>
      <c r="CE277" t="s">
        <v>4062</v>
      </c>
      <c r="CF277" t="s">
        <v>20114</v>
      </c>
      <c r="CH277" t="s">
        <v>25321</v>
      </c>
      <c r="CI277" t="s">
        <v>20127</v>
      </c>
      <c r="CJ277" t="s">
        <v>20114</v>
      </c>
      <c r="CK277" t="s">
        <v>410</v>
      </c>
      <c r="CL277" t="s">
        <v>25321</v>
      </c>
      <c r="CN277" t="s">
        <v>20114</v>
      </c>
      <c r="CO277" t="s">
        <v>20128</v>
      </c>
    </row>
    <row r="278" spans="1:93" hidden="1">
      <c r="A278" t="s">
        <v>93</v>
      </c>
      <c r="B278">
        <v>5026233</v>
      </c>
      <c r="C278" t="s">
        <v>20170</v>
      </c>
      <c r="D278" t="s">
        <v>21661</v>
      </c>
      <c r="E278" t="s">
        <v>21768</v>
      </c>
      <c r="F278" t="s">
        <v>8024</v>
      </c>
      <c r="G278" t="s">
        <v>98</v>
      </c>
      <c r="H278" t="s">
        <v>22992</v>
      </c>
      <c r="I278" t="s">
        <v>100</v>
      </c>
      <c r="J278">
        <v>191304</v>
      </c>
      <c r="K278">
        <v>211312</v>
      </c>
      <c r="L278">
        <v>0</v>
      </c>
      <c r="M278">
        <v>0</v>
      </c>
      <c r="O278">
        <v>80150</v>
      </c>
      <c r="P278">
        <v>22</v>
      </c>
      <c r="Q278" t="s">
        <v>22993</v>
      </c>
      <c r="R278">
        <v>111154</v>
      </c>
      <c r="S278">
        <v>48</v>
      </c>
      <c r="T278" t="s">
        <v>22994</v>
      </c>
      <c r="U278" t="s">
        <v>102</v>
      </c>
      <c r="V278" t="s">
        <v>103</v>
      </c>
      <c r="W278" t="s">
        <v>155</v>
      </c>
      <c r="Y278" t="s">
        <v>12720</v>
      </c>
      <c r="Z278" t="s">
        <v>22995</v>
      </c>
      <c r="AA278" t="s">
        <v>21686</v>
      </c>
      <c r="AB278" t="s">
        <v>22995</v>
      </c>
      <c r="AC278" t="s">
        <v>22177</v>
      </c>
      <c r="AD278" t="s">
        <v>22995</v>
      </c>
      <c r="AE278" t="s">
        <v>21666</v>
      </c>
      <c r="AF278" t="s">
        <v>22995</v>
      </c>
      <c r="AG278" t="s">
        <v>102</v>
      </c>
      <c r="AJ278" t="s">
        <v>102</v>
      </c>
      <c r="AK278" t="s">
        <v>102</v>
      </c>
      <c r="AL278" t="s">
        <v>102</v>
      </c>
      <c r="AM278" t="s">
        <v>22996</v>
      </c>
      <c r="AN278" t="s">
        <v>22996</v>
      </c>
      <c r="AS278" t="s">
        <v>102</v>
      </c>
      <c r="AU278" t="s">
        <v>1384</v>
      </c>
      <c r="AV278" t="s">
        <v>119</v>
      </c>
      <c r="AX278" t="s">
        <v>250</v>
      </c>
      <c r="AY278" t="s">
        <v>250</v>
      </c>
      <c r="AZ278" t="s">
        <v>1242</v>
      </c>
      <c r="BA278" t="s">
        <v>623</v>
      </c>
      <c r="BB278" t="s">
        <v>621</v>
      </c>
      <c r="BC278" t="s">
        <v>622</v>
      </c>
      <c r="BD278" t="s">
        <v>623</v>
      </c>
      <c r="BE278" t="s">
        <v>124</v>
      </c>
      <c r="BF278" t="s">
        <v>12602</v>
      </c>
      <c r="BG278" t="s">
        <v>21667</v>
      </c>
      <c r="BH278" t="s">
        <v>127</v>
      </c>
      <c r="BI278" t="s">
        <v>22997</v>
      </c>
      <c r="BJ278" t="s">
        <v>20178</v>
      </c>
      <c r="BK278" t="s">
        <v>22998</v>
      </c>
      <c r="BL278" t="s">
        <v>21768</v>
      </c>
      <c r="BM278" t="s">
        <v>1670</v>
      </c>
      <c r="BN278" t="s">
        <v>132</v>
      </c>
      <c r="BO278" t="s">
        <v>1671</v>
      </c>
      <c r="BP278" t="s">
        <v>1672</v>
      </c>
      <c r="BQ278" t="s">
        <v>507</v>
      </c>
      <c r="BS278" t="s">
        <v>22999</v>
      </c>
      <c r="BT278" t="s">
        <v>23000</v>
      </c>
      <c r="BU278" t="s">
        <v>569</v>
      </c>
      <c r="BV278" t="s">
        <v>20181</v>
      </c>
      <c r="BW278" t="s">
        <v>12690</v>
      </c>
      <c r="BX278" t="s">
        <v>20181</v>
      </c>
      <c r="BY278" t="s">
        <v>23001</v>
      </c>
      <c r="BZ278" t="s">
        <v>23002</v>
      </c>
      <c r="CA278" t="s">
        <v>23003</v>
      </c>
      <c r="CB278" t="s">
        <v>23001</v>
      </c>
      <c r="CC278" t="s">
        <v>23002</v>
      </c>
      <c r="CD278" t="s">
        <v>23003</v>
      </c>
      <c r="CE278" t="s">
        <v>907</v>
      </c>
      <c r="CF278" t="s">
        <v>20182</v>
      </c>
      <c r="CH278" t="s">
        <v>1351</v>
      </c>
      <c r="CI278" t="s">
        <v>23004</v>
      </c>
      <c r="CJ278" t="s">
        <v>623</v>
      </c>
      <c r="CK278" t="s">
        <v>621</v>
      </c>
      <c r="CL278" t="s">
        <v>1351</v>
      </c>
      <c r="CM278" t="s">
        <v>1352</v>
      </c>
      <c r="CN278" t="s">
        <v>20183</v>
      </c>
      <c r="CO278" t="s">
        <v>20184</v>
      </c>
    </row>
    <row r="279" spans="1:93">
      <c r="A279" t="s">
        <v>337</v>
      </c>
      <c r="B279">
        <v>5031698</v>
      </c>
      <c r="C279" t="s">
        <v>24527</v>
      </c>
      <c r="D279" t="s">
        <v>21661</v>
      </c>
      <c r="E279" t="s">
        <v>14400</v>
      </c>
      <c r="F279" t="s">
        <v>97</v>
      </c>
      <c r="G279" t="s">
        <v>98</v>
      </c>
      <c r="H279" t="s">
        <v>24528</v>
      </c>
      <c r="I279" t="s">
        <v>100</v>
      </c>
      <c r="J279">
        <v>42750</v>
      </c>
      <c r="K279">
        <v>42750</v>
      </c>
      <c r="L279">
        <v>42750</v>
      </c>
      <c r="M279">
        <v>285</v>
      </c>
      <c r="N279" t="s">
        <v>24049</v>
      </c>
      <c r="O279">
        <v>0</v>
      </c>
      <c r="P279">
        <v>0</v>
      </c>
      <c r="R279">
        <v>0</v>
      </c>
      <c r="S279">
        <v>0</v>
      </c>
      <c r="U279" t="s">
        <v>102</v>
      </c>
      <c r="V279" t="s">
        <v>275</v>
      </c>
      <c r="X279" t="s">
        <v>12047</v>
      </c>
      <c r="Y279" t="s">
        <v>109</v>
      </c>
      <c r="Z279" t="s">
        <v>102</v>
      </c>
      <c r="AA279" t="s">
        <v>109</v>
      </c>
      <c r="AB279" t="s">
        <v>102</v>
      </c>
      <c r="AC279" t="s">
        <v>109</v>
      </c>
      <c r="AD279" t="s">
        <v>102</v>
      </c>
      <c r="AE279" t="s">
        <v>109</v>
      </c>
      <c r="AF279" t="s">
        <v>102</v>
      </c>
      <c r="AG279" t="s">
        <v>102</v>
      </c>
      <c r="AJ279" t="s">
        <v>26550</v>
      </c>
      <c r="AK279" t="s">
        <v>102</v>
      </c>
      <c r="AL279" t="s">
        <v>26550</v>
      </c>
      <c r="AM279" t="s">
        <v>24053</v>
      </c>
      <c r="AN279" t="s">
        <v>24054</v>
      </c>
      <c r="AO279" t="s">
        <v>102</v>
      </c>
      <c r="AP279" t="s">
        <v>102</v>
      </c>
      <c r="AQ279" t="s">
        <v>102</v>
      </c>
      <c r="AR279" t="s">
        <v>102</v>
      </c>
      <c r="AS279" t="s">
        <v>318</v>
      </c>
      <c r="AT279" t="s">
        <v>118</v>
      </c>
      <c r="AU279" t="s">
        <v>102</v>
      </c>
      <c r="AV279" t="s">
        <v>119</v>
      </c>
      <c r="AZ279" t="s">
        <v>120</v>
      </c>
      <c r="BA279" t="s">
        <v>5071</v>
      </c>
      <c r="BB279" t="s">
        <v>730</v>
      </c>
      <c r="BC279" t="s">
        <v>622</v>
      </c>
      <c r="BD279" t="s">
        <v>730</v>
      </c>
      <c r="BE279" t="s">
        <v>124</v>
      </c>
      <c r="BF279" t="s">
        <v>12250</v>
      </c>
      <c r="BG279" t="s">
        <v>21667</v>
      </c>
      <c r="BH279" t="s">
        <v>127</v>
      </c>
      <c r="BI279" t="s">
        <v>24529</v>
      </c>
      <c r="BJ279" t="s">
        <v>24530</v>
      </c>
      <c r="BK279" t="s">
        <v>24531</v>
      </c>
      <c r="BL279" t="s">
        <v>14400</v>
      </c>
      <c r="BM279" t="s">
        <v>24532</v>
      </c>
      <c r="BN279" t="s">
        <v>180</v>
      </c>
      <c r="BO279" t="s">
        <v>24533</v>
      </c>
      <c r="BP279" t="s">
        <v>24534</v>
      </c>
      <c r="BQ279" t="s">
        <v>6756</v>
      </c>
      <c r="BS279" t="s">
        <v>24535</v>
      </c>
      <c r="BT279" t="s">
        <v>24536</v>
      </c>
      <c r="BU279" t="s">
        <v>598</v>
      </c>
      <c r="BV279" t="s">
        <v>24220</v>
      </c>
      <c r="BW279" t="s">
        <v>24537</v>
      </c>
      <c r="BX279" t="s">
        <v>24538</v>
      </c>
      <c r="BY279" t="s">
        <v>24536</v>
      </c>
      <c r="BZ279" t="s">
        <v>24539</v>
      </c>
      <c r="CA279" t="s">
        <v>24537</v>
      </c>
      <c r="CB279" t="s">
        <v>24536</v>
      </c>
      <c r="CC279" t="s">
        <v>24539</v>
      </c>
      <c r="CD279" t="s">
        <v>24537</v>
      </c>
      <c r="CE279" t="s">
        <v>24540</v>
      </c>
      <c r="CF279" t="s">
        <v>24541</v>
      </c>
      <c r="CH279" t="s">
        <v>24542</v>
      </c>
      <c r="CI279" t="s">
        <v>24543</v>
      </c>
      <c r="CJ279" t="s">
        <v>5071</v>
      </c>
      <c r="CK279" t="s">
        <v>730</v>
      </c>
      <c r="CL279" t="s">
        <v>24542</v>
      </c>
      <c r="CN279" t="s">
        <v>24544</v>
      </c>
      <c r="CO279" t="s">
        <v>24544</v>
      </c>
    </row>
    <row r="280" spans="1:93" hidden="1">
      <c r="A280" t="s">
        <v>93</v>
      </c>
      <c r="B280">
        <v>5032729</v>
      </c>
      <c r="C280" t="s">
        <v>20199</v>
      </c>
      <c r="D280" t="s">
        <v>21661</v>
      </c>
      <c r="E280" t="s">
        <v>24156</v>
      </c>
      <c r="F280" t="s">
        <v>152</v>
      </c>
      <c r="G280" t="s">
        <v>98</v>
      </c>
      <c r="H280" t="s">
        <v>25941</v>
      </c>
      <c r="I280" t="s">
        <v>100</v>
      </c>
      <c r="J280">
        <v>147618</v>
      </c>
      <c r="K280">
        <v>147618</v>
      </c>
      <c r="L280">
        <v>0</v>
      </c>
      <c r="M280">
        <v>0</v>
      </c>
      <c r="O280">
        <v>147618</v>
      </c>
      <c r="P280">
        <v>369</v>
      </c>
      <c r="Q280" t="s">
        <v>6051</v>
      </c>
      <c r="R280">
        <v>0</v>
      </c>
      <c r="S280">
        <v>0</v>
      </c>
      <c r="U280" t="s">
        <v>102</v>
      </c>
      <c r="V280" t="s">
        <v>103</v>
      </c>
      <c r="W280" t="s">
        <v>104</v>
      </c>
      <c r="Y280" t="s">
        <v>11889</v>
      </c>
      <c r="Z280" t="s">
        <v>25942</v>
      </c>
      <c r="AA280" t="s">
        <v>23046</v>
      </c>
      <c r="AB280" t="s">
        <v>25942</v>
      </c>
      <c r="AC280" t="s">
        <v>109</v>
      </c>
      <c r="AD280" t="s">
        <v>102</v>
      </c>
      <c r="AE280" t="s">
        <v>109</v>
      </c>
      <c r="AF280" t="s">
        <v>102</v>
      </c>
      <c r="AG280" t="s">
        <v>102</v>
      </c>
      <c r="AJ280" t="s">
        <v>25942</v>
      </c>
      <c r="AK280" t="s">
        <v>102</v>
      </c>
      <c r="AL280" t="s">
        <v>25942</v>
      </c>
      <c r="AM280" t="s">
        <v>13347</v>
      </c>
      <c r="AN280" t="s">
        <v>13347</v>
      </c>
      <c r="AS280" t="s">
        <v>102</v>
      </c>
      <c r="AU280" t="s">
        <v>104</v>
      </c>
      <c r="AV280" t="s">
        <v>119</v>
      </c>
      <c r="AW280" t="s">
        <v>170</v>
      </c>
      <c r="AX280" t="s">
        <v>118</v>
      </c>
      <c r="AZ280" t="s">
        <v>120</v>
      </c>
      <c r="BA280" t="s">
        <v>409</v>
      </c>
      <c r="BB280" t="s">
        <v>410</v>
      </c>
      <c r="BC280" t="s">
        <v>212</v>
      </c>
      <c r="BD280" t="s">
        <v>410</v>
      </c>
      <c r="BE280" t="s">
        <v>124</v>
      </c>
      <c r="BF280" t="s">
        <v>21843</v>
      </c>
      <c r="BG280" t="s">
        <v>21667</v>
      </c>
      <c r="BH280" t="s">
        <v>127</v>
      </c>
      <c r="BI280" t="s">
        <v>25943</v>
      </c>
      <c r="BJ280" t="s">
        <v>20205</v>
      </c>
      <c r="BK280" t="s">
        <v>25944</v>
      </c>
      <c r="BL280" t="s">
        <v>24156</v>
      </c>
      <c r="BM280" t="s">
        <v>15911</v>
      </c>
      <c r="BN280" t="s">
        <v>132</v>
      </c>
      <c r="BO280" t="s">
        <v>15912</v>
      </c>
      <c r="BP280" t="s">
        <v>15913</v>
      </c>
      <c r="BQ280" t="s">
        <v>1702</v>
      </c>
      <c r="BS280" t="s">
        <v>25945</v>
      </c>
      <c r="BT280" t="s">
        <v>25946</v>
      </c>
      <c r="BU280" t="s">
        <v>598</v>
      </c>
      <c r="BV280" t="s">
        <v>20209</v>
      </c>
      <c r="BW280" t="s">
        <v>20212</v>
      </c>
      <c r="BX280" t="s">
        <v>20209</v>
      </c>
      <c r="BY280" t="s">
        <v>25946</v>
      </c>
      <c r="BZ280" t="s">
        <v>20209</v>
      </c>
      <c r="CA280" t="s">
        <v>20212</v>
      </c>
      <c r="CB280" t="s">
        <v>25946</v>
      </c>
      <c r="CC280" t="s">
        <v>20209</v>
      </c>
      <c r="CD280" t="s">
        <v>20212</v>
      </c>
      <c r="CE280" t="s">
        <v>6457</v>
      </c>
      <c r="CF280" t="s">
        <v>20215</v>
      </c>
      <c r="CH280" t="s">
        <v>20214</v>
      </c>
      <c r="CI280" t="s">
        <v>20215</v>
      </c>
      <c r="CJ280" t="s">
        <v>409</v>
      </c>
      <c r="CK280" t="s">
        <v>410</v>
      </c>
      <c r="CL280" t="s">
        <v>20214</v>
      </c>
      <c r="CN280" t="s">
        <v>20215</v>
      </c>
      <c r="CO280" t="s">
        <v>20215</v>
      </c>
    </row>
    <row r="281" spans="1:93" hidden="1">
      <c r="A281" t="s">
        <v>93</v>
      </c>
      <c r="B281">
        <v>5038577</v>
      </c>
      <c r="C281" t="s">
        <v>20271</v>
      </c>
      <c r="D281" t="s">
        <v>21661</v>
      </c>
      <c r="E281" t="s">
        <v>12086</v>
      </c>
      <c r="F281" t="s">
        <v>152</v>
      </c>
      <c r="G281" t="s">
        <v>98</v>
      </c>
      <c r="H281" t="s">
        <v>23005</v>
      </c>
      <c r="I281" t="s">
        <v>100</v>
      </c>
      <c r="J281">
        <v>105002</v>
      </c>
      <c r="K281">
        <v>105002</v>
      </c>
      <c r="L281">
        <v>0</v>
      </c>
      <c r="M281">
        <v>0</v>
      </c>
      <c r="O281">
        <v>105002</v>
      </c>
      <c r="P281">
        <v>135</v>
      </c>
      <c r="Q281" t="s">
        <v>23006</v>
      </c>
      <c r="R281">
        <v>0</v>
      </c>
      <c r="S281">
        <v>0</v>
      </c>
      <c r="U281" t="s">
        <v>102</v>
      </c>
      <c r="V281" t="s">
        <v>103</v>
      </c>
      <c r="W281" t="s">
        <v>398</v>
      </c>
      <c r="Y281" t="s">
        <v>12250</v>
      </c>
      <c r="Z281" t="s">
        <v>23007</v>
      </c>
      <c r="AA281" t="s">
        <v>22521</v>
      </c>
      <c r="AB281" t="s">
        <v>23008</v>
      </c>
      <c r="AC281" t="s">
        <v>22904</v>
      </c>
      <c r="AD281" t="s">
        <v>23009</v>
      </c>
      <c r="AE281" t="s">
        <v>109</v>
      </c>
      <c r="AF281" t="s">
        <v>102</v>
      </c>
      <c r="AG281" t="s">
        <v>102</v>
      </c>
      <c r="AJ281" t="s">
        <v>23007</v>
      </c>
      <c r="AK281" t="s">
        <v>102</v>
      </c>
      <c r="AL281" t="s">
        <v>23007</v>
      </c>
      <c r="AM281" t="s">
        <v>23010</v>
      </c>
      <c r="AN281" t="s">
        <v>23010</v>
      </c>
      <c r="AS281" t="s">
        <v>102</v>
      </c>
      <c r="AU281" t="s">
        <v>104</v>
      </c>
      <c r="AV281" t="s">
        <v>447</v>
      </c>
      <c r="AW281" t="s">
        <v>170</v>
      </c>
      <c r="AX281" t="s">
        <v>118</v>
      </c>
      <c r="AZ281" t="s">
        <v>120</v>
      </c>
      <c r="BA281" t="s">
        <v>12104</v>
      </c>
      <c r="BB281" t="s">
        <v>1208</v>
      </c>
      <c r="BC281" t="s">
        <v>174</v>
      </c>
      <c r="BD281" t="s">
        <v>1172</v>
      </c>
      <c r="BE281" t="s">
        <v>124</v>
      </c>
      <c r="BF281" t="s">
        <v>12250</v>
      </c>
      <c r="BG281" t="s">
        <v>21667</v>
      </c>
      <c r="BH281" t="s">
        <v>127</v>
      </c>
      <c r="BI281" t="s">
        <v>23011</v>
      </c>
      <c r="BJ281" t="s">
        <v>20281</v>
      </c>
      <c r="BK281" t="s">
        <v>23012</v>
      </c>
      <c r="BL281" t="s">
        <v>12086</v>
      </c>
      <c r="BM281" t="s">
        <v>1212</v>
      </c>
      <c r="BN281" t="s">
        <v>505</v>
      </c>
      <c r="BO281" t="s">
        <v>1213</v>
      </c>
      <c r="BP281" t="s">
        <v>1214</v>
      </c>
      <c r="BQ281" t="s">
        <v>7515</v>
      </c>
      <c r="BS281" t="s">
        <v>23013</v>
      </c>
      <c r="BT281" t="s">
        <v>20284</v>
      </c>
      <c r="BU281" t="s">
        <v>354</v>
      </c>
      <c r="BV281" t="s">
        <v>20285</v>
      </c>
      <c r="BW281" t="s">
        <v>20286</v>
      </c>
      <c r="BX281" t="s">
        <v>20285</v>
      </c>
      <c r="BY281" t="s">
        <v>20284</v>
      </c>
      <c r="BZ281" t="s">
        <v>20285</v>
      </c>
      <c r="CA281" t="s">
        <v>20286</v>
      </c>
      <c r="CB281" t="s">
        <v>20284</v>
      </c>
      <c r="CC281" t="s">
        <v>20285</v>
      </c>
      <c r="CD281" t="s">
        <v>20286</v>
      </c>
      <c r="CE281" t="s">
        <v>4425</v>
      </c>
      <c r="CF281" t="s">
        <v>20287</v>
      </c>
      <c r="CH281" t="s">
        <v>20288</v>
      </c>
      <c r="CI281" t="s">
        <v>20287</v>
      </c>
      <c r="CJ281" t="s">
        <v>12104</v>
      </c>
      <c r="CK281" t="s">
        <v>1208</v>
      </c>
      <c r="CL281" t="s">
        <v>20288</v>
      </c>
      <c r="CN281" t="s">
        <v>20289</v>
      </c>
      <c r="CO281" t="s">
        <v>20289</v>
      </c>
    </row>
    <row r="282" spans="1:93">
      <c r="A282" t="s">
        <v>337</v>
      </c>
      <c r="B282">
        <v>5039584</v>
      </c>
      <c r="C282" t="s">
        <v>24545</v>
      </c>
      <c r="D282" t="s">
        <v>21661</v>
      </c>
      <c r="E282" t="s">
        <v>12129</v>
      </c>
      <c r="F282" t="s">
        <v>97</v>
      </c>
      <c r="G282" t="s">
        <v>98</v>
      </c>
      <c r="H282" t="s">
        <v>24546</v>
      </c>
      <c r="I282" t="s">
        <v>100</v>
      </c>
      <c r="J282">
        <v>71250</v>
      </c>
      <c r="K282">
        <v>71250</v>
      </c>
      <c r="L282">
        <v>71250</v>
      </c>
      <c r="M282">
        <v>475</v>
      </c>
      <c r="N282" t="s">
        <v>24049</v>
      </c>
      <c r="O282">
        <v>0</v>
      </c>
      <c r="P282">
        <v>0</v>
      </c>
      <c r="R282">
        <v>0</v>
      </c>
      <c r="S282">
        <v>0</v>
      </c>
      <c r="U282" t="s">
        <v>102</v>
      </c>
      <c r="V282" t="s">
        <v>103</v>
      </c>
      <c r="W282" t="s">
        <v>104</v>
      </c>
      <c r="Y282" t="s">
        <v>12250</v>
      </c>
      <c r="Z282" t="s">
        <v>24547</v>
      </c>
      <c r="AA282" t="s">
        <v>19143</v>
      </c>
      <c r="AB282" t="s">
        <v>24548</v>
      </c>
      <c r="AC282" t="s">
        <v>109</v>
      </c>
      <c r="AD282" t="s">
        <v>102</v>
      </c>
      <c r="AE282" t="s">
        <v>109</v>
      </c>
      <c r="AF282" t="s">
        <v>102</v>
      </c>
      <c r="AG282" t="s">
        <v>102</v>
      </c>
      <c r="AH282" t="s">
        <v>25697</v>
      </c>
      <c r="AI282" t="s">
        <v>25697</v>
      </c>
      <c r="AJ282" t="s">
        <v>24547</v>
      </c>
      <c r="AK282" t="s">
        <v>2773</v>
      </c>
      <c r="AL282" t="s">
        <v>25947</v>
      </c>
      <c r="AM282" t="s">
        <v>24053</v>
      </c>
      <c r="AN282" t="s">
        <v>24054</v>
      </c>
      <c r="AO282" t="s">
        <v>102</v>
      </c>
      <c r="AP282" t="s">
        <v>102</v>
      </c>
      <c r="AQ282" t="s">
        <v>102</v>
      </c>
      <c r="AR282" t="s">
        <v>102</v>
      </c>
      <c r="AS282" t="s">
        <v>318</v>
      </c>
      <c r="AT282" t="s">
        <v>118</v>
      </c>
      <c r="AU282" t="s">
        <v>102</v>
      </c>
      <c r="AV282" t="s">
        <v>119</v>
      </c>
      <c r="AZ282" t="s">
        <v>209</v>
      </c>
      <c r="BA282" t="s">
        <v>3714</v>
      </c>
      <c r="BB282" t="s">
        <v>730</v>
      </c>
      <c r="BC282" t="s">
        <v>622</v>
      </c>
      <c r="BD282" t="s">
        <v>730</v>
      </c>
      <c r="BE282" t="s">
        <v>124</v>
      </c>
      <c r="BF282" t="s">
        <v>19143</v>
      </c>
      <c r="BG282" t="s">
        <v>21806</v>
      </c>
      <c r="BH282" t="s">
        <v>127</v>
      </c>
      <c r="BI282" t="s">
        <v>24549</v>
      </c>
      <c r="BJ282" t="s">
        <v>24550</v>
      </c>
      <c r="BK282" t="s">
        <v>24551</v>
      </c>
      <c r="BL282" t="s">
        <v>12129</v>
      </c>
      <c r="BM282" t="s">
        <v>3910</v>
      </c>
      <c r="BN282" t="s">
        <v>505</v>
      </c>
      <c r="BO282" t="s">
        <v>3911</v>
      </c>
      <c r="BP282" t="s">
        <v>3912</v>
      </c>
      <c r="BQ282" t="s">
        <v>7862</v>
      </c>
      <c r="BS282" t="s">
        <v>24552</v>
      </c>
      <c r="BT282" t="s">
        <v>24553</v>
      </c>
      <c r="BU282" t="s">
        <v>598</v>
      </c>
      <c r="BV282" t="s">
        <v>7926</v>
      </c>
      <c r="BW282" t="s">
        <v>24554</v>
      </c>
      <c r="BX282" t="s">
        <v>24555</v>
      </c>
      <c r="BY282" t="s">
        <v>24553</v>
      </c>
      <c r="BZ282" t="s">
        <v>24556</v>
      </c>
      <c r="CA282" t="s">
        <v>24554</v>
      </c>
      <c r="CB282" t="s">
        <v>24553</v>
      </c>
      <c r="CC282" t="s">
        <v>24556</v>
      </c>
      <c r="CD282" t="s">
        <v>24554</v>
      </c>
      <c r="CE282" t="s">
        <v>1594</v>
      </c>
      <c r="CF282" t="s">
        <v>24557</v>
      </c>
      <c r="CH282" t="s">
        <v>24558</v>
      </c>
      <c r="CI282" t="s">
        <v>24557</v>
      </c>
      <c r="CJ282" t="s">
        <v>3714</v>
      </c>
      <c r="CK282" t="s">
        <v>730</v>
      </c>
      <c r="CL282" t="s">
        <v>24558</v>
      </c>
      <c r="CN282" t="s">
        <v>24559</v>
      </c>
      <c r="CO282" t="s">
        <v>24559</v>
      </c>
    </row>
    <row r="283" spans="1:93" hidden="1">
      <c r="A283" t="s">
        <v>93</v>
      </c>
      <c r="B283">
        <v>5040879</v>
      </c>
      <c r="C283" t="s">
        <v>20328</v>
      </c>
      <c r="D283" t="s">
        <v>21661</v>
      </c>
      <c r="E283" t="s">
        <v>12123</v>
      </c>
      <c r="F283" t="s">
        <v>152</v>
      </c>
      <c r="G283" t="s">
        <v>98</v>
      </c>
      <c r="H283" t="s">
        <v>23014</v>
      </c>
      <c r="I283" t="s">
        <v>100</v>
      </c>
      <c r="J283">
        <v>390765</v>
      </c>
      <c r="K283">
        <v>390765</v>
      </c>
      <c r="L283">
        <v>0</v>
      </c>
      <c r="M283">
        <v>0</v>
      </c>
      <c r="O283">
        <v>390765</v>
      </c>
      <c r="P283">
        <v>323</v>
      </c>
      <c r="Q283" t="s">
        <v>23015</v>
      </c>
      <c r="R283">
        <v>0</v>
      </c>
      <c r="S283">
        <v>0</v>
      </c>
      <c r="U283" t="s">
        <v>102</v>
      </c>
      <c r="V283" t="s">
        <v>103</v>
      </c>
      <c r="W283" t="s">
        <v>155</v>
      </c>
      <c r="Y283" t="s">
        <v>12250</v>
      </c>
      <c r="Z283" t="s">
        <v>23016</v>
      </c>
      <c r="AA283" t="s">
        <v>21664</v>
      </c>
      <c r="AB283" t="s">
        <v>23016</v>
      </c>
      <c r="AC283" t="s">
        <v>21665</v>
      </c>
      <c r="AD283" t="s">
        <v>23016</v>
      </c>
      <c r="AE283" t="s">
        <v>21710</v>
      </c>
      <c r="AF283" t="s">
        <v>23016</v>
      </c>
      <c r="AG283" t="s">
        <v>102</v>
      </c>
      <c r="AH283" t="s">
        <v>12123</v>
      </c>
      <c r="AI283" t="s">
        <v>12123</v>
      </c>
      <c r="AJ283" t="s">
        <v>23016</v>
      </c>
      <c r="AK283" t="s">
        <v>9917</v>
      </c>
      <c r="AL283" t="s">
        <v>24560</v>
      </c>
      <c r="AM283" t="s">
        <v>23017</v>
      </c>
      <c r="AN283" t="s">
        <v>23017</v>
      </c>
      <c r="AS283" t="s">
        <v>102</v>
      </c>
      <c r="AU283" t="s">
        <v>104</v>
      </c>
      <c r="AV283" t="s">
        <v>447</v>
      </c>
      <c r="AW283" t="s">
        <v>170</v>
      </c>
      <c r="AX283" t="s">
        <v>118</v>
      </c>
      <c r="AZ283" t="s">
        <v>120</v>
      </c>
      <c r="BA283" t="s">
        <v>20336</v>
      </c>
      <c r="BB283" t="s">
        <v>1208</v>
      </c>
      <c r="BC283" t="s">
        <v>174</v>
      </c>
      <c r="BD283" t="s">
        <v>1172</v>
      </c>
      <c r="BE283" t="s">
        <v>124</v>
      </c>
      <c r="BF283" t="s">
        <v>12250</v>
      </c>
      <c r="BG283" t="s">
        <v>21667</v>
      </c>
      <c r="BH283" t="s">
        <v>127</v>
      </c>
      <c r="BI283" t="s">
        <v>23018</v>
      </c>
      <c r="BJ283" t="s">
        <v>20338</v>
      </c>
      <c r="BK283" t="s">
        <v>23019</v>
      </c>
      <c r="BL283" t="s">
        <v>12123</v>
      </c>
      <c r="BM283" t="s">
        <v>1212</v>
      </c>
      <c r="BN283" t="s">
        <v>180</v>
      </c>
      <c r="BO283" t="s">
        <v>1213</v>
      </c>
      <c r="BP283" t="s">
        <v>1214</v>
      </c>
      <c r="BQ283" t="s">
        <v>7515</v>
      </c>
      <c r="BS283" t="s">
        <v>23020</v>
      </c>
      <c r="BT283" t="s">
        <v>20341</v>
      </c>
      <c r="BU283" t="s">
        <v>354</v>
      </c>
      <c r="BV283" t="s">
        <v>20342</v>
      </c>
      <c r="BW283" t="s">
        <v>20343</v>
      </c>
      <c r="BX283" t="s">
        <v>20342</v>
      </c>
      <c r="BY283" t="s">
        <v>20341</v>
      </c>
      <c r="BZ283" t="s">
        <v>20342</v>
      </c>
      <c r="CA283" t="s">
        <v>20343</v>
      </c>
      <c r="CB283" t="s">
        <v>20341</v>
      </c>
      <c r="CC283" t="s">
        <v>20342</v>
      </c>
      <c r="CD283" t="s">
        <v>20343</v>
      </c>
      <c r="CE283" t="s">
        <v>6370</v>
      </c>
      <c r="CF283" t="s">
        <v>20328</v>
      </c>
      <c r="CH283" t="s">
        <v>20351</v>
      </c>
      <c r="CI283" t="s">
        <v>20328</v>
      </c>
      <c r="CJ283" t="s">
        <v>20336</v>
      </c>
      <c r="CK283" t="s">
        <v>1208</v>
      </c>
      <c r="CL283" t="s">
        <v>20351</v>
      </c>
      <c r="CN283" t="s">
        <v>20352</v>
      </c>
      <c r="CO283" t="s">
        <v>20352</v>
      </c>
    </row>
    <row r="284" spans="1:93" hidden="1">
      <c r="A284" t="s">
        <v>93</v>
      </c>
      <c r="B284">
        <v>5042511</v>
      </c>
      <c r="C284" t="s">
        <v>20353</v>
      </c>
      <c r="D284" t="s">
        <v>21661</v>
      </c>
      <c r="E284" t="s">
        <v>14161</v>
      </c>
      <c r="F284" t="s">
        <v>97</v>
      </c>
      <c r="G284" t="s">
        <v>98</v>
      </c>
      <c r="H284" t="s">
        <v>25948</v>
      </c>
      <c r="I284" t="s">
        <v>100</v>
      </c>
      <c r="J284">
        <v>684900</v>
      </c>
      <c r="K284">
        <v>684900</v>
      </c>
      <c r="L284">
        <v>684900</v>
      </c>
      <c r="M284">
        <v>761</v>
      </c>
      <c r="N284" t="s">
        <v>2451</v>
      </c>
      <c r="O284">
        <v>0</v>
      </c>
      <c r="P284">
        <v>0</v>
      </c>
      <c r="R284">
        <v>0</v>
      </c>
      <c r="S284">
        <v>0</v>
      </c>
      <c r="U284" t="s">
        <v>102</v>
      </c>
      <c r="V284" t="s">
        <v>275</v>
      </c>
      <c r="X284" t="s">
        <v>11889</v>
      </c>
      <c r="Y284" t="s">
        <v>109</v>
      </c>
      <c r="Z284" t="s">
        <v>102</v>
      </c>
      <c r="AA284" t="s">
        <v>109</v>
      </c>
      <c r="AB284" t="s">
        <v>102</v>
      </c>
      <c r="AC284" t="s">
        <v>109</v>
      </c>
      <c r="AD284" t="s">
        <v>102</v>
      </c>
      <c r="AE284" t="s">
        <v>109</v>
      </c>
      <c r="AF284" t="s">
        <v>102</v>
      </c>
      <c r="AG284" t="s">
        <v>102</v>
      </c>
      <c r="AJ284" t="s">
        <v>25949</v>
      </c>
      <c r="AK284" t="s">
        <v>102</v>
      </c>
      <c r="AL284" t="s">
        <v>25949</v>
      </c>
      <c r="AM284" t="s">
        <v>9111</v>
      </c>
      <c r="AN284" t="s">
        <v>9111</v>
      </c>
      <c r="AS284" t="s">
        <v>318</v>
      </c>
      <c r="AT284" t="s">
        <v>250</v>
      </c>
      <c r="AU284" t="s">
        <v>102</v>
      </c>
      <c r="AV284" t="s">
        <v>119</v>
      </c>
      <c r="AZ284" t="s">
        <v>120</v>
      </c>
      <c r="BA284" t="s">
        <v>9178</v>
      </c>
      <c r="BB284" t="s">
        <v>320</v>
      </c>
      <c r="BC284" t="s">
        <v>122</v>
      </c>
      <c r="BD284" t="s">
        <v>123</v>
      </c>
      <c r="BE284" t="s">
        <v>124</v>
      </c>
      <c r="BF284" t="s">
        <v>12250</v>
      </c>
      <c r="BG284" t="s">
        <v>21667</v>
      </c>
      <c r="BH284" t="s">
        <v>127</v>
      </c>
      <c r="BI284" t="s">
        <v>25950</v>
      </c>
      <c r="BJ284" t="s">
        <v>20360</v>
      </c>
      <c r="BK284" t="s">
        <v>25951</v>
      </c>
      <c r="BL284" t="s">
        <v>14161</v>
      </c>
      <c r="BM284" t="s">
        <v>7005</v>
      </c>
      <c r="BN284" t="s">
        <v>350</v>
      </c>
      <c r="BO284" t="s">
        <v>7006</v>
      </c>
      <c r="BP284" t="s">
        <v>7007</v>
      </c>
      <c r="BQ284" t="s">
        <v>7008</v>
      </c>
      <c r="BS284" t="s">
        <v>25952</v>
      </c>
      <c r="BT284" t="s">
        <v>20363</v>
      </c>
      <c r="BU284" t="s">
        <v>354</v>
      </c>
      <c r="BV284" t="s">
        <v>20364</v>
      </c>
      <c r="BW284" t="s">
        <v>25953</v>
      </c>
      <c r="BX284" t="s">
        <v>20366</v>
      </c>
      <c r="BY284" t="s">
        <v>25954</v>
      </c>
      <c r="BZ284" t="s">
        <v>25955</v>
      </c>
      <c r="CA284" t="s">
        <v>25956</v>
      </c>
      <c r="CB284" t="s">
        <v>25957</v>
      </c>
      <c r="CC284" t="s">
        <v>25958</v>
      </c>
      <c r="CD284" t="s">
        <v>25953</v>
      </c>
      <c r="CE284" t="s">
        <v>2555</v>
      </c>
      <c r="CF284" t="s">
        <v>20371</v>
      </c>
      <c r="CH284" t="s">
        <v>20372</v>
      </c>
      <c r="CI284" t="s">
        <v>20373</v>
      </c>
      <c r="CJ284" t="s">
        <v>9178</v>
      </c>
      <c r="CK284" t="s">
        <v>320</v>
      </c>
      <c r="CL284" t="s">
        <v>20372</v>
      </c>
      <c r="CN284" t="s">
        <v>20374</v>
      </c>
      <c r="CO284" t="s">
        <v>20374</v>
      </c>
    </row>
    <row r="285" spans="1:93" hidden="1">
      <c r="A285" t="s">
        <v>149</v>
      </c>
      <c r="B285">
        <v>504488</v>
      </c>
      <c r="C285" t="s">
        <v>10789</v>
      </c>
      <c r="D285" t="s">
        <v>21661</v>
      </c>
      <c r="E285" t="s">
        <v>23944</v>
      </c>
      <c r="F285" t="s">
        <v>848</v>
      </c>
      <c r="G285" t="s">
        <v>98</v>
      </c>
      <c r="H285" t="s">
        <v>23945</v>
      </c>
      <c r="I285" t="s">
        <v>100</v>
      </c>
      <c r="J285">
        <v>2112229</v>
      </c>
      <c r="K285">
        <v>2492430</v>
      </c>
      <c r="L285">
        <v>0</v>
      </c>
      <c r="M285">
        <v>0</v>
      </c>
      <c r="O285">
        <v>0</v>
      </c>
      <c r="P285">
        <v>0</v>
      </c>
      <c r="R285">
        <v>2112229</v>
      </c>
      <c r="S285">
        <v>1455</v>
      </c>
      <c r="T285" t="s">
        <v>23946</v>
      </c>
      <c r="U285" t="s">
        <v>102</v>
      </c>
      <c r="V285" t="s">
        <v>679</v>
      </c>
      <c r="W285" t="s">
        <v>155</v>
      </c>
      <c r="X285" t="s">
        <v>12250</v>
      </c>
      <c r="Y285" t="s">
        <v>23947</v>
      </c>
      <c r="Z285" t="s">
        <v>23948</v>
      </c>
      <c r="AA285" t="s">
        <v>23949</v>
      </c>
      <c r="AB285" t="s">
        <v>23948</v>
      </c>
      <c r="AC285" t="s">
        <v>23950</v>
      </c>
      <c r="AD285" t="s">
        <v>23948</v>
      </c>
      <c r="AE285" t="s">
        <v>23951</v>
      </c>
      <c r="AF285" t="s">
        <v>23948</v>
      </c>
      <c r="AG285" t="s">
        <v>102</v>
      </c>
      <c r="AJ285" t="s">
        <v>23948</v>
      </c>
      <c r="AK285" t="s">
        <v>102</v>
      </c>
      <c r="AL285" t="s">
        <v>23948</v>
      </c>
      <c r="AM285" t="s">
        <v>23952</v>
      </c>
      <c r="AN285" t="s">
        <v>23953</v>
      </c>
      <c r="AP285" t="s">
        <v>169</v>
      </c>
      <c r="AR285" t="s">
        <v>169</v>
      </c>
      <c r="AS285" t="s">
        <v>102</v>
      </c>
      <c r="AU285" t="s">
        <v>102</v>
      </c>
      <c r="AV285" t="s">
        <v>119</v>
      </c>
      <c r="AY285" t="s">
        <v>14957</v>
      </c>
      <c r="AZ285" t="s">
        <v>171</v>
      </c>
      <c r="BA285" t="s">
        <v>4216</v>
      </c>
      <c r="BB285" t="s">
        <v>556</v>
      </c>
      <c r="BC285" t="s">
        <v>122</v>
      </c>
      <c r="BD285" t="s">
        <v>557</v>
      </c>
      <c r="BE285" t="s">
        <v>124</v>
      </c>
      <c r="BF285" t="s">
        <v>23954</v>
      </c>
      <c r="BG285" t="s">
        <v>21667</v>
      </c>
      <c r="BH285" t="s">
        <v>23591</v>
      </c>
      <c r="BI285" t="s">
        <v>23955</v>
      </c>
      <c r="BJ285" t="s">
        <v>10801</v>
      </c>
      <c r="BK285" t="s">
        <v>23956</v>
      </c>
      <c r="BL285" t="s">
        <v>23944</v>
      </c>
      <c r="BM285" t="s">
        <v>12743</v>
      </c>
      <c r="BN285" t="s">
        <v>23957</v>
      </c>
      <c r="BO285" t="s">
        <v>12744</v>
      </c>
      <c r="BP285" t="s">
        <v>12745</v>
      </c>
      <c r="BQ285" t="s">
        <v>1075</v>
      </c>
      <c r="BS285" t="s">
        <v>23958</v>
      </c>
      <c r="BT285" t="s">
        <v>10804</v>
      </c>
      <c r="BU285" t="s">
        <v>138</v>
      </c>
      <c r="BV285" t="s">
        <v>23959</v>
      </c>
      <c r="BW285" t="s">
        <v>10806</v>
      </c>
      <c r="BX285" t="s">
        <v>10807</v>
      </c>
      <c r="BY285" t="s">
        <v>10804</v>
      </c>
      <c r="BZ285" t="s">
        <v>20433</v>
      </c>
      <c r="CA285" t="s">
        <v>10806</v>
      </c>
      <c r="CB285" t="s">
        <v>23960</v>
      </c>
      <c r="CC285" t="s">
        <v>23961</v>
      </c>
      <c r="CD285" t="s">
        <v>23962</v>
      </c>
      <c r="CE285" t="s">
        <v>102</v>
      </c>
      <c r="CF285" t="s">
        <v>20438</v>
      </c>
      <c r="CH285" t="s">
        <v>10809</v>
      </c>
      <c r="CJ285" t="s">
        <v>4216</v>
      </c>
      <c r="CK285" t="s">
        <v>556</v>
      </c>
      <c r="CL285" t="s">
        <v>10809</v>
      </c>
      <c r="CM285" t="s">
        <v>10810</v>
      </c>
      <c r="CN285" t="s">
        <v>10808</v>
      </c>
      <c r="CO285" t="s">
        <v>10808</v>
      </c>
    </row>
    <row r="286" spans="1:93" hidden="1">
      <c r="A286" t="s">
        <v>93</v>
      </c>
      <c r="B286">
        <v>5045836</v>
      </c>
      <c r="C286" t="s">
        <v>25959</v>
      </c>
      <c r="D286" t="s">
        <v>21661</v>
      </c>
      <c r="E286" t="s">
        <v>25301</v>
      </c>
      <c r="F286" t="s">
        <v>97</v>
      </c>
      <c r="G286" t="s">
        <v>98</v>
      </c>
      <c r="H286" t="s">
        <v>25960</v>
      </c>
      <c r="I286" t="s">
        <v>100</v>
      </c>
      <c r="J286">
        <v>27197</v>
      </c>
      <c r="K286">
        <v>27197</v>
      </c>
      <c r="L286">
        <v>27197</v>
      </c>
      <c r="M286">
        <v>68</v>
      </c>
      <c r="N286" t="s">
        <v>6051</v>
      </c>
      <c r="O286">
        <v>0</v>
      </c>
      <c r="P286">
        <v>0</v>
      </c>
      <c r="R286">
        <v>0</v>
      </c>
      <c r="S286">
        <v>0</v>
      </c>
      <c r="U286" t="s">
        <v>102</v>
      </c>
      <c r="V286" t="s">
        <v>275</v>
      </c>
      <c r="X286" t="s">
        <v>21857</v>
      </c>
      <c r="Y286" t="s">
        <v>109</v>
      </c>
      <c r="Z286" t="s">
        <v>102</v>
      </c>
      <c r="AA286" t="s">
        <v>109</v>
      </c>
      <c r="AB286" t="s">
        <v>102</v>
      </c>
      <c r="AC286" t="s">
        <v>109</v>
      </c>
      <c r="AD286" t="s">
        <v>102</v>
      </c>
      <c r="AE286" t="s">
        <v>109</v>
      </c>
      <c r="AF286" t="s">
        <v>102</v>
      </c>
      <c r="AG286" t="s">
        <v>102</v>
      </c>
      <c r="AH286" t="s">
        <v>25719</v>
      </c>
      <c r="AI286" t="s">
        <v>25719</v>
      </c>
      <c r="AJ286" t="s">
        <v>25961</v>
      </c>
      <c r="AK286" t="s">
        <v>25961</v>
      </c>
      <c r="AL286" t="s">
        <v>102</v>
      </c>
      <c r="AM286" t="s">
        <v>2307</v>
      </c>
      <c r="AN286" t="s">
        <v>2307</v>
      </c>
      <c r="AS286" t="s">
        <v>318</v>
      </c>
      <c r="AT286" t="s">
        <v>250</v>
      </c>
      <c r="AU286" t="s">
        <v>102</v>
      </c>
      <c r="AV286" t="s">
        <v>119</v>
      </c>
      <c r="AZ286" t="s">
        <v>120</v>
      </c>
      <c r="BA286" t="s">
        <v>2127</v>
      </c>
      <c r="BB286" t="s">
        <v>621</v>
      </c>
      <c r="BC286" t="s">
        <v>622</v>
      </c>
      <c r="BD286" t="s">
        <v>976</v>
      </c>
      <c r="BE286" t="s">
        <v>124</v>
      </c>
      <c r="BF286" t="s">
        <v>20476</v>
      </c>
      <c r="BG286" t="s">
        <v>21667</v>
      </c>
      <c r="BH286" t="s">
        <v>127</v>
      </c>
      <c r="BI286" t="s">
        <v>25962</v>
      </c>
      <c r="BJ286" t="s">
        <v>25963</v>
      </c>
      <c r="BK286" t="s">
        <v>25964</v>
      </c>
      <c r="BL286" t="s">
        <v>25301</v>
      </c>
      <c r="BM286" t="s">
        <v>25965</v>
      </c>
      <c r="BN286" t="s">
        <v>132</v>
      </c>
      <c r="BO286" t="s">
        <v>25966</v>
      </c>
      <c r="BP286" t="s">
        <v>25967</v>
      </c>
      <c r="BQ286" t="s">
        <v>25968</v>
      </c>
      <c r="BS286" t="s">
        <v>25969</v>
      </c>
      <c r="BT286" t="s">
        <v>25970</v>
      </c>
      <c r="BU286" t="s">
        <v>354</v>
      </c>
      <c r="BV286" t="s">
        <v>25971</v>
      </c>
      <c r="BW286" t="s">
        <v>25972</v>
      </c>
      <c r="BX286" t="s">
        <v>25971</v>
      </c>
      <c r="BY286" t="s">
        <v>25970</v>
      </c>
      <c r="BZ286" t="s">
        <v>25971</v>
      </c>
      <c r="CA286" t="s">
        <v>25972</v>
      </c>
      <c r="CB286" t="s">
        <v>25970</v>
      </c>
      <c r="CC286" t="s">
        <v>25971</v>
      </c>
      <c r="CD286" t="s">
        <v>25972</v>
      </c>
      <c r="CE286" t="s">
        <v>1538</v>
      </c>
      <c r="CF286" t="s">
        <v>25973</v>
      </c>
      <c r="CH286" t="s">
        <v>25974</v>
      </c>
      <c r="CI286" t="s">
        <v>25975</v>
      </c>
      <c r="CJ286" t="s">
        <v>2127</v>
      </c>
      <c r="CK286" t="s">
        <v>621</v>
      </c>
      <c r="CL286" t="s">
        <v>25974</v>
      </c>
      <c r="CN286" t="s">
        <v>25976</v>
      </c>
      <c r="CO286" t="s">
        <v>25976</v>
      </c>
    </row>
    <row r="287" spans="1:93" hidden="1">
      <c r="A287" t="s">
        <v>93</v>
      </c>
      <c r="B287">
        <v>5049594</v>
      </c>
      <c r="C287" t="s">
        <v>20492</v>
      </c>
      <c r="D287" t="s">
        <v>21661</v>
      </c>
      <c r="E287" t="s">
        <v>24952</v>
      </c>
      <c r="F287" t="s">
        <v>152</v>
      </c>
      <c r="G287" t="s">
        <v>98</v>
      </c>
      <c r="H287" t="s">
        <v>26229</v>
      </c>
      <c r="I287" t="s">
        <v>100</v>
      </c>
      <c r="J287">
        <v>298914</v>
      </c>
      <c r="K287">
        <v>298914</v>
      </c>
      <c r="L287">
        <v>0</v>
      </c>
      <c r="M287">
        <v>0</v>
      </c>
      <c r="O287">
        <v>298914</v>
      </c>
      <c r="P287">
        <v>238</v>
      </c>
      <c r="Q287" t="s">
        <v>26230</v>
      </c>
      <c r="R287">
        <v>0</v>
      </c>
      <c r="S287">
        <v>0</v>
      </c>
      <c r="U287" t="s">
        <v>102</v>
      </c>
      <c r="V287" t="s">
        <v>103</v>
      </c>
      <c r="W287" t="s">
        <v>155</v>
      </c>
      <c r="Y287" t="s">
        <v>12047</v>
      </c>
      <c r="Z287" t="s">
        <v>26231</v>
      </c>
      <c r="AA287" t="s">
        <v>19303</v>
      </c>
      <c r="AB287" t="s">
        <v>26231</v>
      </c>
      <c r="AC287" t="s">
        <v>22119</v>
      </c>
      <c r="AD287" t="s">
        <v>26231</v>
      </c>
      <c r="AE287" t="s">
        <v>21687</v>
      </c>
      <c r="AF287" t="s">
        <v>26231</v>
      </c>
      <c r="AG287" t="s">
        <v>102</v>
      </c>
      <c r="AJ287" t="s">
        <v>26231</v>
      </c>
      <c r="AK287" t="s">
        <v>102</v>
      </c>
      <c r="AL287" t="s">
        <v>26231</v>
      </c>
      <c r="AM287" t="s">
        <v>26232</v>
      </c>
      <c r="AN287" t="s">
        <v>26232</v>
      </c>
      <c r="AS287" t="s">
        <v>102</v>
      </c>
      <c r="AU287" t="s">
        <v>155</v>
      </c>
      <c r="AV287" t="s">
        <v>447</v>
      </c>
      <c r="AW287" t="s">
        <v>170</v>
      </c>
      <c r="AX287" t="s">
        <v>118</v>
      </c>
      <c r="AZ287" t="s">
        <v>120</v>
      </c>
      <c r="BA287" t="s">
        <v>20503</v>
      </c>
      <c r="BB287" t="s">
        <v>376</v>
      </c>
      <c r="BC287" t="s">
        <v>174</v>
      </c>
      <c r="BD287" t="s">
        <v>376</v>
      </c>
      <c r="BE287" t="s">
        <v>124</v>
      </c>
      <c r="BF287" t="s">
        <v>12250</v>
      </c>
      <c r="BG287" t="s">
        <v>21667</v>
      </c>
      <c r="BH287" t="s">
        <v>127</v>
      </c>
      <c r="BI287" t="s">
        <v>26233</v>
      </c>
      <c r="BJ287" t="s">
        <v>20506</v>
      </c>
      <c r="BK287" t="s">
        <v>26234</v>
      </c>
      <c r="BL287" t="s">
        <v>24952</v>
      </c>
      <c r="BM287" t="s">
        <v>13780</v>
      </c>
      <c r="BN287" t="s">
        <v>180</v>
      </c>
      <c r="BO287" t="s">
        <v>13781</v>
      </c>
      <c r="BP287" t="s">
        <v>13782</v>
      </c>
      <c r="BQ287" t="s">
        <v>13783</v>
      </c>
      <c r="BS287" t="s">
        <v>26235</v>
      </c>
      <c r="BT287" t="s">
        <v>20509</v>
      </c>
      <c r="BU287" t="s">
        <v>138</v>
      </c>
      <c r="BV287" t="s">
        <v>20512</v>
      </c>
      <c r="BW287" t="s">
        <v>26236</v>
      </c>
      <c r="BX287" t="s">
        <v>20512</v>
      </c>
      <c r="BY287" t="s">
        <v>26237</v>
      </c>
      <c r="BZ287" t="s">
        <v>20512</v>
      </c>
      <c r="CA287" t="s">
        <v>26236</v>
      </c>
      <c r="CB287" t="s">
        <v>26237</v>
      </c>
      <c r="CC287" t="s">
        <v>20512</v>
      </c>
      <c r="CD287" t="s">
        <v>26236</v>
      </c>
      <c r="CE287" t="s">
        <v>6370</v>
      </c>
      <c r="CF287" t="s">
        <v>20514</v>
      </c>
      <c r="CH287" t="s">
        <v>20515</v>
      </c>
      <c r="CI287" t="s">
        <v>20514</v>
      </c>
      <c r="CJ287" t="s">
        <v>20503</v>
      </c>
      <c r="CK287" t="s">
        <v>376</v>
      </c>
      <c r="CL287" t="s">
        <v>20515</v>
      </c>
      <c r="CN287" t="s">
        <v>20514</v>
      </c>
      <c r="CO287" t="s">
        <v>20514</v>
      </c>
    </row>
    <row r="288" spans="1:93" hidden="1">
      <c r="A288" t="s">
        <v>93</v>
      </c>
      <c r="B288">
        <v>5051627</v>
      </c>
      <c r="C288" t="s">
        <v>20516</v>
      </c>
      <c r="D288" t="s">
        <v>21661</v>
      </c>
      <c r="E288" t="s">
        <v>11889</v>
      </c>
      <c r="F288" t="s">
        <v>193</v>
      </c>
      <c r="G288" t="s">
        <v>98</v>
      </c>
      <c r="H288" t="s">
        <v>25322</v>
      </c>
      <c r="I288" t="s">
        <v>100</v>
      </c>
      <c r="J288">
        <v>67923</v>
      </c>
      <c r="K288">
        <v>78417</v>
      </c>
      <c r="L288">
        <v>9621</v>
      </c>
      <c r="M288">
        <v>13</v>
      </c>
      <c r="N288" t="s">
        <v>14598</v>
      </c>
      <c r="O288">
        <v>0</v>
      </c>
      <c r="P288">
        <v>0</v>
      </c>
      <c r="R288">
        <v>58302</v>
      </c>
      <c r="S288">
        <v>22</v>
      </c>
      <c r="T288" t="s">
        <v>12673</v>
      </c>
      <c r="U288" t="s">
        <v>102</v>
      </c>
      <c r="V288" t="s">
        <v>275</v>
      </c>
      <c r="X288" t="s">
        <v>23818</v>
      </c>
      <c r="Y288" t="s">
        <v>109</v>
      </c>
      <c r="Z288" t="s">
        <v>102</v>
      </c>
      <c r="AA288" t="s">
        <v>109</v>
      </c>
      <c r="AB288" t="s">
        <v>102</v>
      </c>
      <c r="AC288" t="s">
        <v>109</v>
      </c>
      <c r="AD288" t="s">
        <v>102</v>
      </c>
      <c r="AE288" t="s">
        <v>109</v>
      </c>
      <c r="AF288" t="s">
        <v>102</v>
      </c>
      <c r="AG288" t="s">
        <v>102</v>
      </c>
      <c r="AH288" t="s">
        <v>24272</v>
      </c>
      <c r="AI288" t="s">
        <v>24272</v>
      </c>
      <c r="AJ288" t="s">
        <v>102</v>
      </c>
      <c r="AK288" t="s">
        <v>25323</v>
      </c>
      <c r="AL288" t="s">
        <v>25324</v>
      </c>
      <c r="AM288" t="s">
        <v>25325</v>
      </c>
      <c r="AN288" t="s">
        <v>25325</v>
      </c>
      <c r="AS288" t="s">
        <v>207</v>
      </c>
      <c r="AT288" t="s">
        <v>250</v>
      </c>
      <c r="AU288" t="s">
        <v>102</v>
      </c>
      <c r="AV288" t="s">
        <v>119</v>
      </c>
      <c r="AY288" t="s">
        <v>250</v>
      </c>
      <c r="AZ288" t="s">
        <v>1242</v>
      </c>
      <c r="BA288" t="s">
        <v>2327</v>
      </c>
      <c r="BB288" t="s">
        <v>730</v>
      </c>
      <c r="BC288" t="s">
        <v>622</v>
      </c>
      <c r="BD288" t="s">
        <v>730</v>
      </c>
      <c r="BE288" t="s">
        <v>124</v>
      </c>
      <c r="BF288" t="s">
        <v>12250</v>
      </c>
      <c r="BG288" t="s">
        <v>21667</v>
      </c>
      <c r="BH288" t="s">
        <v>127</v>
      </c>
      <c r="BI288" t="s">
        <v>25326</v>
      </c>
      <c r="BJ288" t="s">
        <v>20524</v>
      </c>
      <c r="BK288" t="s">
        <v>25327</v>
      </c>
      <c r="BL288" t="s">
        <v>11889</v>
      </c>
      <c r="BM288" t="s">
        <v>22240</v>
      </c>
      <c r="BN288" t="s">
        <v>350</v>
      </c>
      <c r="BO288" t="s">
        <v>22241</v>
      </c>
      <c r="BP288" t="s">
        <v>22242</v>
      </c>
      <c r="BQ288" t="s">
        <v>2331</v>
      </c>
      <c r="BS288" t="s">
        <v>25328</v>
      </c>
      <c r="BT288" t="s">
        <v>25329</v>
      </c>
      <c r="BU288" t="s">
        <v>138</v>
      </c>
      <c r="BV288" t="s">
        <v>20530</v>
      </c>
      <c r="BW288" t="s">
        <v>20533</v>
      </c>
      <c r="BX288" t="s">
        <v>20530</v>
      </c>
      <c r="BY288" t="s">
        <v>20531</v>
      </c>
      <c r="BZ288" t="s">
        <v>25330</v>
      </c>
      <c r="CA288" t="s">
        <v>20533</v>
      </c>
      <c r="CB288" t="s">
        <v>20531</v>
      </c>
      <c r="CC288" t="s">
        <v>25331</v>
      </c>
      <c r="CD288" t="s">
        <v>20533</v>
      </c>
      <c r="CE288" t="s">
        <v>4937</v>
      </c>
      <c r="CF288" t="s">
        <v>20534</v>
      </c>
      <c r="CH288" t="s">
        <v>20535</v>
      </c>
      <c r="CI288" t="s">
        <v>20534</v>
      </c>
      <c r="CJ288" t="s">
        <v>2327</v>
      </c>
      <c r="CK288" t="s">
        <v>730</v>
      </c>
      <c r="CL288" t="s">
        <v>20535</v>
      </c>
      <c r="CN288" t="s">
        <v>20536</v>
      </c>
      <c r="CO288" t="s">
        <v>20536</v>
      </c>
    </row>
    <row r="289" spans="1:93" hidden="1">
      <c r="A289" t="s">
        <v>93</v>
      </c>
      <c r="B289">
        <v>5053374</v>
      </c>
      <c r="C289" t="s">
        <v>20551</v>
      </c>
      <c r="D289" t="s">
        <v>21661</v>
      </c>
      <c r="E289" t="s">
        <v>15141</v>
      </c>
      <c r="F289" t="s">
        <v>643</v>
      </c>
      <c r="G289" t="s">
        <v>98</v>
      </c>
      <c r="H289" t="s">
        <v>23021</v>
      </c>
      <c r="I289" t="s">
        <v>100</v>
      </c>
      <c r="J289">
        <v>1378278</v>
      </c>
      <c r="K289">
        <v>1475200</v>
      </c>
      <c r="L289">
        <v>0</v>
      </c>
      <c r="M289">
        <v>0</v>
      </c>
      <c r="O289">
        <v>839824</v>
      </c>
      <c r="P289">
        <v>567</v>
      </c>
      <c r="Q289" t="s">
        <v>23022</v>
      </c>
      <c r="R289">
        <v>538454</v>
      </c>
      <c r="S289">
        <v>359</v>
      </c>
      <c r="T289" t="s">
        <v>6441</v>
      </c>
      <c r="U289" t="s">
        <v>102</v>
      </c>
      <c r="V289" t="s">
        <v>103</v>
      </c>
      <c r="W289" t="s">
        <v>155</v>
      </c>
      <c r="Y289" t="s">
        <v>12047</v>
      </c>
      <c r="Z289" t="s">
        <v>23023</v>
      </c>
      <c r="AA289" t="s">
        <v>19303</v>
      </c>
      <c r="AB289" t="s">
        <v>23023</v>
      </c>
      <c r="AC289" t="s">
        <v>22177</v>
      </c>
      <c r="AD289" t="s">
        <v>23023</v>
      </c>
      <c r="AE289" t="s">
        <v>21687</v>
      </c>
      <c r="AF289" t="s">
        <v>23023</v>
      </c>
      <c r="AG289" t="s">
        <v>102</v>
      </c>
      <c r="AJ289" t="s">
        <v>23023</v>
      </c>
      <c r="AK289" t="s">
        <v>102</v>
      </c>
      <c r="AL289" t="s">
        <v>23023</v>
      </c>
      <c r="AM289" t="s">
        <v>23024</v>
      </c>
      <c r="AN289" t="s">
        <v>23024</v>
      </c>
      <c r="AS289" t="s">
        <v>102</v>
      </c>
      <c r="AU289" t="s">
        <v>655</v>
      </c>
      <c r="AV289" t="s">
        <v>119</v>
      </c>
      <c r="AW289" t="s">
        <v>170</v>
      </c>
      <c r="AX289" t="s">
        <v>118</v>
      </c>
      <c r="AY289" t="s">
        <v>250</v>
      </c>
      <c r="AZ289" t="s">
        <v>120</v>
      </c>
      <c r="BA289" t="s">
        <v>284</v>
      </c>
      <c r="BB289" t="s">
        <v>285</v>
      </c>
      <c r="BC289" t="s">
        <v>212</v>
      </c>
      <c r="BD289" t="s">
        <v>286</v>
      </c>
      <c r="BE289" t="s">
        <v>124</v>
      </c>
      <c r="BF289" t="s">
        <v>20476</v>
      </c>
      <c r="BG289" t="s">
        <v>23025</v>
      </c>
      <c r="BH289" t="s">
        <v>127</v>
      </c>
      <c r="BI289" t="s">
        <v>23026</v>
      </c>
      <c r="BJ289" t="s">
        <v>20568</v>
      </c>
      <c r="BK289" t="s">
        <v>23027</v>
      </c>
      <c r="BL289" t="s">
        <v>15141</v>
      </c>
      <c r="BM289" t="s">
        <v>17684</v>
      </c>
      <c r="BN289" t="s">
        <v>132</v>
      </c>
      <c r="BO289" t="s">
        <v>17685</v>
      </c>
      <c r="BP289" t="s">
        <v>17686</v>
      </c>
      <c r="BQ289" t="s">
        <v>17687</v>
      </c>
      <c r="BS289" t="s">
        <v>23028</v>
      </c>
      <c r="BT289" t="s">
        <v>23029</v>
      </c>
      <c r="BU289" t="s">
        <v>138</v>
      </c>
      <c r="BV289" t="s">
        <v>20572</v>
      </c>
      <c r="BW289" t="s">
        <v>20573</v>
      </c>
      <c r="BX289" t="s">
        <v>20572</v>
      </c>
      <c r="BY289" t="s">
        <v>20574</v>
      </c>
      <c r="BZ289" t="s">
        <v>20572</v>
      </c>
      <c r="CA289" t="s">
        <v>20573</v>
      </c>
      <c r="CB289" t="s">
        <v>23030</v>
      </c>
      <c r="CC289" t="s">
        <v>23031</v>
      </c>
      <c r="CD289" t="s">
        <v>23032</v>
      </c>
      <c r="CE289" t="s">
        <v>8526</v>
      </c>
      <c r="CF289" t="s">
        <v>20575</v>
      </c>
      <c r="CH289" t="s">
        <v>20576</v>
      </c>
      <c r="CI289" t="s">
        <v>20577</v>
      </c>
      <c r="CJ289" t="s">
        <v>284</v>
      </c>
      <c r="CK289" t="s">
        <v>285</v>
      </c>
      <c r="CL289" t="s">
        <v>20576</v>
      </c>
      <c r="CN289" t="s">
        <v>20578</v>
      </c>
      <c r="CO289" t="s">
        <v>20578</v>
      </c>
    </row>
    <row r="290" spans="1:93" hidden="1">
      <c r="A290" t="s">
        <v>93</v>
      </c>
      <c r="B290">
        <v>5054739</v>
      </c>
      <c r="C290" t="s">
        <v>20596</v>
      </c>
      <c r="D290" t="s">
        <v>21661</v>
      </c>
      <c r="E290" t="s">
        <v>14381</v>
      </c>
      <c r="F290" t="s">
        <v>152</v>
      </c>
      <c r="G290" t="s">
        <v>98</v>
      </c>
      <c r="H290" t="s">
        <v>23033</v>
      </c>
      <c r="I290" t="s">
        <v>100</v>
      </c>
      <c r="J290">
        <v>460037</v>
      </c>
      <c r="K290">
        <v>460037</v>
      </c>
      <c r="L290">
        <v>0</v>
      </c>
      <c r="M290">
        <v>0</v>
      </c>
      <c r="O290">
        <v>460037</v>
      </c>
      <c r="P290">
        <v>328</v>
      </c>
      <c r="Q290" t="s">
        <v>20986</v>
      </c>
      <c r="R290">
        <v>0</v>
      </c>
      <c r="S290">
        <v>0</v>
      </c>
      <c r="U290" t="s">
        <v>102</v>
      </c>
      <c r="V290" t="s">
        <v>103</v>
      </c>
      <c r="W290" t="s">
        <v>155</v>
      </c>
      <c r="Y290" t="s">
        <v>16162</v>
      </c>
      <c r="Z290" t="s">
        <v>23034</v>
      </c>
      <c r="AA290" t="s">
        <v>19143</v>
      </c>
      <c r="AB290" t="s">
        <v>23034</v>
      </c>
      <c r="AC290" t="s">
        <v>21762</v>
      </c>
      <c r="AD290" t="s">
        <v>23034</v>
      </c>
      <c r="AE290" t="s">
        <v>21710</v>
      </c>
      <c r="AF290" t="s">
        <v>23034</v>
      </c>
      <c r="AG290" t="s">
        <v>102</v>
      </c>
      <c r="AJ290" t="s">
        <v>23034</v>
      </c>
      <c r="AK290" t="s">
        <v>102</v>
      </c>
      <c r="AL290" t="s">
        <v>23034</v>
      </c>
      <c r="AM290" t="s">
        <v>23035</v>
      </c>
      <c r="AN290" t="s">
        <v>23035</v>
      </c>
      <c r="AS290" t="s">
        <v>102</v>
      </c>
      <c r="AU290" t="s">
        <v>104</v>
      </c>
      <c r="AV290" t="s">
        <v>447</v>
      </c>
      <c r="AW290" t="s">
        <v>170</v>
      </c>
      <c r="AX290" t="s">
        <v>118</v>
      </c>
      <c r="AZ290" t="s">
        <v>1964</v>
      </c>
      <c r="BA290" t="s">
        <v>19597</v>
      </c>
      <c r="BB290" t="s">
        <v>376</v>
      </c>
      <c r="BC290" t="s">
        <v>174</v>
      </c>
      <c r="BD290" t="s">
        <v>376</v>
      </c>
      <c r="BE290" t="s">
        <v>124</v>
      </c>
      <c r="BF290" t="s">
        <v>12250</v>
      </c>
      <c r="BG290" t="s">
        <v>21667</v>
      </c>
      <c r="BH290" t="s">
        <v>127</v>
      </c>
      <c r="BI290" t="s">
        <v>23036</v>
      </c>
      <c r="BJ290" t="s">
        <v>20609</v>
      </c>
      <c r="BK290" t="s">
        <v>23037</v>
      </c>
      <c r="BL290" t="s">
        <v>14381</v>
      </c>
      <c r="BM290" t="s">
        <v>13780</v>
      </c>
      <c r="BN290" t="s">
        <v>180</v>
      </c>
      <c r="BO290" t="s">
        <v>13781</v>
      </c>
      <c r="BP290" t="s">
        <v>13782</v>
      </c>
      <c r="BQ290" t="s">
        <v>13783</v>
      </c>
      <c r="BS290" t="s">
        <v>23038</v>
      </c>
      <c r="BT290" t="s">
        <v>20612</v>
      </c>
      <c r="BU290" t="s">
        <v>354</v>
      </c>
      <c r="BV290" t="s">
        <v>23039</v>
      </c>
      <c r="BW290" t="s">
        <v>20614</v>
      </c>
      <c r="BX290" t="s">
        <v>20615</v>
      </c>
      <c r="BY290" t="s">
        <v>20612</v>
      </c>
      <c r="BZ290" t="s">
        <v>23040</v>
      </c>
      <c r="CA290" t="s">
        <v>20614</v>
      </c>
      <c r="CB290" t="s">
        <v>20612</v>
      </c>
      <c r="CC290" t="s">
        <v>23040</v>
      </c>
      <c r="CD290" t="s">
        <v>20614</v>
      </c>
      <c r="CE290" t="s">
        <v>6370</v>
      </c>
      <c r="CF290" t="s">
        <v>20616</v>
      </c>
      <c r="CH290" t="s">
        <v>20617</v>
      </c>
      <c r="CI290" t="s">
        <v>20618</v>
      </c>
      <c r="CJ290" t="s">
        <v>19597</v>
      </c>
      <c r="CK290" t="s">
        <v>376</v>
      </c>
      <c r="CL290" t="s">
        <v>20617</v>
      </c>
      <c r="CN290" t="s">
        <v>20616</v>
      </c>
      <c r="CO290" t="s">
        <v>20616</v>
      </c>
    </row>
    <row r="291" spans="1:93" hidden="1">
      <c r="A291" t="s">
        <v>93</v>
      </c>
      <c r="B291">
        <v>5055085</v>
      </c>
      <c r="C291" t="s">
        <v>20619</v>
      </c>
      <c r="D291" t="s">
        <v>21661</v>
      </c>
      <c r="E291" t="s">
        <v>12327</v>
      </c>
      <c r="F291" t="s">
        <v>643</v>
      </c>
      <c r="G291" t="s">
        <v>98</v>
      </c>
      <c r="H291" t="s">
        <v>23596</v>
      </c>
      <c r="I291" t="s">
        <v>100</v>
      </c>
      <c r="J291">
        <v>770330</v>
      </c>
      <c r="K291">
        <v>852982</v>
      </c>
      <c r="L291">
        <v>0</v>
      </c>
      <c r="M291">
        <v>0</v>
      </c>
      <c r="O291">
        <v>311155</v>
      </c>
      <c r="P291">
        <v>200</v>
      </c>
      <c r="Q291" t="s">
        <v>23597</v>
      </c>
      <c r="R291">
        <v>459175</v>
      </c>
      <c r="S291">
        <v>258</v>
      </c>
      <c r="T291" t="s">
        <v>4042</v>
      </c>
      <c r="U291" t="s">
        <v>102</v>
      </c>
      <c r="V291" t="s">
        <v>103</v>
      </c>
      <c r="W291" t="s">
        <v>155</v>
      </c>
      <c r="Y291" t="s">
        <v>11979</v>
      </c>
      <c r="Z291" t="s">
        <v>23598</v>
      </c>
      <c r="AA291" t="s">
        <v>23599</v>
      </c>
      <c r="AB291" t="s">
        <v>23598</v>
      </c>
      <c r="AC291" t="s">
        <v>23600</v>
      </c>
      <c r="AD291" t="s">
        <v>23598</v>
      </c>
      <c r="AE291" t="s">
        <v>23601</v>
      </c>
      <c r="AF291" t="s">
        <v>23598</v>
      </c>
      <c r="AG291" t="s">
        <v>102</v>
      </c>
      <c r="AJ291" t="s">
        <v>23598</v>
      </c>
      <c r="AK291" t="s">
        <v>102</v>
      </c>
      <c r="AL291" t="s">
        <v>23598</v>
      </c>
      <c r="AM291" t="s">
        <v>23602</v>
      </c>
      <c r="AN291" t="s">
        <v>23602</v>
      </c>
      <c r="AS291" t="s">
        <v>102</v>
      </c>
      <c r="AU291" t="s">
        <v>655</v>
      </c>
      <c r="AV291" t="s">
        <v>249</v>
      </c>
      <c r="AW291" t="s">
        <v>170</v>
      </c>
      <c r="AX291" t="s">
        <v>118</v>
      </c>
      <c r="AY291" t="s">
        <v>208</v>
      </c>
      <c r="AZ291" t="s">
        <v>120</v>
      </c>
      <c r="BA291" t="s">
        <v>20625</v>
      </c>
      <c r="BB291" t="s">
        <v>376</v>
      </c>
      <c r="BC291" t="s">
        <v>174</v>
      </c>
      <c r="BD291" t="s">
        <v>376</v>
      </c>
      <c r="BE291" t="s">
        <v>124</v>
      </c>
      <c r="BF291" t="s">
        <v>12250</v>
      </c>
      <c r="BG291" t="s">
        <v>21667</v>
      </c>
      <c r="BH291" t="s">
        <v>127</v>
      </c>
      <c r="BI291" t="s">
        <v>23603</v>
      </c>
      <c r="BJ291" t="s">
        <v>20627</v>
      </c>
      <c r="BK291" t="s">
        <v>23604</v>
      </c>
      <c r="BL291" t="s">
        <v>12327</v>
      </c>
      <c r="BM291" t="s">
        <v>13780</v>
      </c>
      <c r="BN291" t="s">
        <v>180</v>
      </c>
      <c r="BO291" t="s">
        <v>13781</v>
      </c>
      <c r="BP291" t="s">
        <v>13782</v>
      </c>
      <c r="BQ291" t="s">
        <v>13783</v>
      </c>
      <c r="BS291" t="s">
        <v>23605</v>
      </c>
      <c r="BT291" t="s">
        <v>20630</v>
      </c>
      <c r="BU291" t="s">
        <v>354</v>
      </c>
      <c r="BV291" t="s">
        <v>23041</v>
      </c>
      <c r="BW291" t="s">
        <v>23042</v>
      </c>
      <c r="BX291" t="s">
        <v>20633</v>
      </c>
      <c r="BY291" t="s">
        <v>20630</v>
      </c>
      <c r="BZ291" t="s">
        <v>23041</v>
      </c>
      <c r="CA291" t="s">
        <v>23042</v>
      </c>
      <c r="CB291" t="s">
        <v>20630</v>
      </c>
      <c r="CC291" t="s">
        <v>23041</v>
      </c>
      <c r="CD291" t="s">
        <v>23042</v>
      </c>
      <c r="CE291" t="s">
        <v>6370</v>
      </c>
      <c r="CF291" t="s">
        <v>20634</v>
      </c>
      <c r="CH291" t="s">
        <v>20635</v>
      </c>
      <c r="CI291" t="s">
        <v>20634</v>
      </c>
      <c r="CJ291" t="s">
        <v>20625</v>
      </c>
      <c r="CK291" t="s">
        <v>376</v>
      </c>
      <c r="CL291" t="s">
        <v>20635</v>
      </c>
      <c r="CN291" t="s">
        <v>20634</v>
      </c>
      <c r="CO291" t="s">
        <v>20636</v>
      </c>
    </row>
    <row r="292" spans="1:93" hidden="1">
      <c r="A292" t="s">
        <v>93</v>
      </c>
      <c r="B292">
        <v>5059762</v>
      </c>
      <c r="C292" t="s">
        <v>23963</v>
      </c>
      <c r="D292" t="s">
        <v>21661</v>
      </c>
      <c r="E292" t="s">
        <v>23517</v>
      </c>
      <c r="F292" t="s">
        <v>97</v>
      </c>
      <c r="G292" t="s">
        <v>23964</v>
      </c>
      <c r="H292" t="s">
        <v>23965</v>
      </c>
      <c r="I292" t="s">
        <v>100</v>
      </c>
      <c r="J292">
        <v>26401</v>
      </c>
      <c r="K292">
        <v>26401</v>
      </c>
      <c r="L292">
        <v>26401</v>
      </c>
      <c r="M292">
        <v>33</v>
      </c>
      <c r="N292" t="s">
        <v>1297</v>
      </c>
      <c r="O292">
        <v>0</v>
      </c>
      <c r="P292">
        <v>0</v>
      </c>
      <c r="R292">
        <v>0</v>
      </c>
      <c r="S292">
        <v>0</v>
      </c>
      <c r="U292" t="s">
        <v>102</v>
      </c>
      <c r="V292" t="s">
        <v>275</v>
      </c>
      <c r="X292" t="s">
        <v>16558</v>
      </c>
      <c r="Y292" t="s">
        <v>109</v>
      </c>
      <c r="Z292" t="s">
        <v>102</v>
      </c>
      <c r="AA292" t="s">
        <v>109</v>
      </c>
      <c r="AB292" t="s">
        <v>102</v>
      </c>
      <c r="AC292" t="s">
        <v>109</v>
      </c>
      <c r="AD292" t="s">
        <v>102</v>
      </c>
      <c r="AE292" t="s">
        <v>109</v>
      </c>
      <c r="AF292" t="s">
        <v>102</v>
      </c>
      <c r="AG292" t="s">
        <v>102</v>
      </c>
      <c r="AJ292" t="s">
        <v>23966</v>
      </c>
      <c r="AK292" t="s">
        <v>102</v>
      </c>
      <c r="AL292" t="s">
        <v>23966</v>
      </c>
      <c r="AM292" t="s">
        <v>3677</v>
      </c>
      <c r="AN292" t="s">
        <v>3677</v>
      </c>
      <c r="AS292" t="s">
        <v>318</v>
      </c>
      <c r="AT292" t="s">
        <v>250</v>
      </c>
      <c r="AU292" t="s">
        <v>102</v>
      </c>
      <c r="AV292" t="s">
        <v>119</v>
      </c>
      <c r="AZ292" t="s">
        <v>209</v>
      </c>
      <c r="BA292" t="s">
        <v>2127</v>
      </c>
      <c r="BB292" t="s">
        <v>621</v>
      </c>
      <c r="BC292" t="s">
        <v>622</v>
      </c>
      <c r="BD292" t="s">
        <v>976</v>
      </c>
      <c r="BE292" t="s">
        <v>124</v>
      </c>
      <c r="BF292" t="s">
        <v>12602</v>
      </c>
      <c r="BG292" t="s">
        <v>22106</v>
      </c>
      <c r="BH292" t="s">
        <v>127</v>
      </c>
      <c r="BI292" t="s">
        <v>23967</v>
      </c>
      <c r="BJ292" t="s">
        <v>23968</v>
      </c>
      <c r="BK292" t="s">
        <v>23969</v>
      </c>
      <c r="BL292" t="s">
        <v>23517</v>
      </c>
      <c r="BM292" t="s">
        <v>505</v>
      </c>
      <c r="BN292" t="s">
        <v>505</v>
      </c>
      <c r="BO292" t="s">
        <v>225</v>
      </c>
      <c r="BP292" t="s">
        <v>506</v>
      </c>
      <c r="BQ292" t="s">
        <v>984</v>
      </c>
      <c r="BS292" t="s">
        <v>23970</v>
      </c>
      <c r="BT292" t="s">
        <v>3585</v>
      </c>
      <c r="BU292" t="s">
        <v>598</v>
      </c>
      <c r="BV292" t="s">
        <v>225</v>
      </c>
      <c r="BW292" t="s">
        <v>226</v>
      </c>
      <c r="BX292" t="s">
        <v>23971</v>
      </c>
      <c r="BY292" t="s">
        <v>23972</v>
      </c>
      <c r="BZ292" t="s">
        <v>23973</v>
      </c>
      <c r="CA292" t="s">
        <v>23974</v>
      </c>
      <c r="CB292" t="s">
        <v>23972</v>
      </c>
      <c r="CC292" t="s">
        <v>23973</v>
      </c>
      <c r="CD292" t="s">
        <v>23974</v>
      </c>
      <c r="CE292" t="s">
        <v>102</v>
      </c>
      <c r="CF292" t="s">
        <v>23975</v>
      </c>
      <c r="CH292" t="s">
        <v>19255</v>
      </c>
      <c r="CJ292" t="s">
        <v>2127</v>
      </c>
      <c r="CK292" t="s">
        <v>621</v>
      </c>
      <c r="CL292" t="s">
        <v>23976</v>
      </c>
      <c r="CN292" t="s">
        <v>23977</v>
      </c>
      <c r="CO292" t="s">
        <v>23978</v>
      </c>
    </row>
    <row r="293" spans="1:93">
      <c r="A293" t="s">
        <v>337</v>
      </c>
      <c r="B293">
        <v>5060863</v>
      </c>
      <c r="C293" t="s">
        <v>24561</v>
      </c>
      <c r="D293" t="s">
        <v>21661</v>
      </c>
      <c r="E293" t="s">
        <v>14161</v>
      </c>
      <c r="F293" t="s">
        <v>97</v>
      </c>
      <c r="G293" t="s">
        <v>98</v>
      </c>
      <c r="H293" t="s">
        <v>24562</v>
      </c>
      <c r="I293" t="s">
        <v>100</v>
      </c>
      <c r="J293">
        <v>696000</v>
      </c>
      <c r="K293">
        <v>696000</v>
      </c>
      <c r="L293">
        <v>696000</v>
      </c>
      <c r="M293">
        <v>1160</v>
      </c>
      <c r="N293" t="s">
        <v>310</v>
      </c>
      <c r="O293">
        <v>0</v>
      </c>
      <c r="P293">
        <v>0</v>
      </c>
      <c r="R293">
        <v>0</v>
      </c>
      <c r="S293">
        <v>0</v>
      </c>
      <c r="U293" t="s">
        <v>102</v>
      </c>
      <c r="V293" t="s">
        <v>103</v>
      </c>
      <c r="W293" t="s">
        <v>155</v>
      </c>
      <c r="Y293" t="s">
        <v>24156</v>
      </c>
      <c r="Z293" t="s">
        <v>24563</v>
      </c>
      <c r="AA293" t="s">
        <v>24156</v>
      </c>
      <c r="AB293" t="s">
        <v>24563</v>
      </c>
      <c r="AC293" t="s">
        <v>21857</v>
      </c>
      <c r="AD293" t="s">
        <v>24564</v>
      </c>
      <c r="AE293" t="s">
        <v>21826</v>
      </c>
      <c r="AF293" t="s">
        <v>24565</v>
      </c>
      <c r="AG293" t="s">
        <v>102</v>
      </c>
      <c r="AH293" t="s">
        <v>14400</v>
      </c>
      <c r="AI293" t="s">
        <v>14400</v>
      </c>
      <c r="AJ293" t="s">
        <v>24565</v>
      </c>
      <c r="AK293" t="s">
        <v>24566</v>
      </c>
      <c r="AL293" t="s">
        <v>24564</v>
      </c>
      <c r="AM293" t="s">
        <v>317</v>
      </c>
      <c r="AN293" t="s">
        <v>317</v>
      </c>
      <c r="AS293" t="s">
        <v>318</v>
      </c>
      <c r="AT293" t="s">
        <v>118</v>
      </c>
      <c r="AU293" t="s">
        <v>102</v>
      </c>
      <c r="AV293" t="s">
        <v>119</v>
      </c>
      <c r="AZ293" t="s">
        <v>120</v>
      </c>
      <c r="BA293" t="s">
        <v>8527</v>
      </c>
      <c r="BB293" t="s">
        <v>1244</v>
      </c>
      <c r="BC293" t="s">
        <v>122</v>
      </c>
      <c r="BD293" t="s">
        <v>1244</v>
      </c>
      <c r="BE293" t="s">
        <v>124</v>
      </c>
      <c r="BF293" t="s">
        <v>12250</v>
      </c>
      <c r="BG293" t="s">
        <v>21667</v>
      </c>
      <c r="BH293" t="s">
        <v>127</v>
      </c>
      <c r="BI293" t="s">
        <v>24567</v>
      </c>
      <c r="BJ293" t="s">
        <v>24568</v>
      </c>
      <c r="BK293" t="s">
        <v>24569</v>
      </c>
      <c r="BL293" t="s">
        <v>14161</v>
      </c>
      <c r="BM293" t="s">
        <v>19163</v>
      </c>
      <c r="BN293" t="s">
        <v>350</v>
      </c>
      <c r="BO293" t="s">
        <v>19164</v>
      </c>
      <c r="BP293" t="s">
        <v>19165</v>
      </c>
      <c r="BQ293" t="s">
        <v>10231</v>
      </c>
      <c r="BS293" t="s">
        <v>24570</v>
      </c>
      <c r="BT293" t="s">
        <v>24571</v>
      </c>
      <c r="BU293" t="s">
        <v>598</v>
      </c>
      <c r="BV293" t="s">
        <v>24572</v>
      </c>
      <c r="BW293" t="s">
        <v>24573</v>
      </c>
      <c r="BY293" t="s">
        <v>24571</v>
      </c>
      <c r="BZ293" t="s">
        <v>24572</v>
      </c>
      <c r="CA293" t="s">
        <v>24573</v>
      </c>
      <c r="CB293" t="s">
        <v>24571</v>
      </c>
      <c r="CC293" t="s">
        <v>24572</v>
      </c>
      <c r="CD293" t="s">
        <v>24573</v>
      </c>
      <c r="CE293" t="s">
        <v>102</v>
      </c>
      <c r="CF293" t="s">
        <v>24574</v>
      </c>
      <c r="CH293" t="s">
        <v>24575</v>
      </c>
      <c r="CJ293" t="s">
        <v>8527</v>
      </c>
      <c r="CK293" t="s">
        <v>1244</v>
      </c>
      <c r="CL293" t="s">
        <v>24575</v>
      </c>
      <c r="CN293" t="s">
        <v>24092</v>
      </c>
      <c r="CO293" t="s">
        <v>24092</v>
      </c>
    </row>
    <row r="294" spans="1:93">
      <c r="A294" t="s">
        <v>337</v>
      </c>
      <c r="B294">
        <v>5068092</v>
      </c>
      <c r="C294" t="s">
        <v>23043</v>
      </c>
      <c r="D294" t="s">
        <v>21661</v>
      </c>
      <c r="E294" t="s">
        <v>16421</v>
      </c>
      <c r="F294" t="s">
        <v>152</v>
      </c>
      <c r="G294" t="s">
        <v>98</v>
      </c>
      <c r="H294" t="s">
        <v>23044</v>
      </c>
      <c r="I294" t="s">
        <v>100</v>
      </c>
      <c r="J294">
        <v>539500</v>
      </c>
      <c r="K294">
        <v>539500</v>
      </c>
      <c r="L294">
        <v>0</v>
      </c>
      <c r="M294">
        <v>0</v>
      </c>
      <c r="O294">
        <v>539500</v>
      </c>
      <c r="P294">
        <v>500</v>
      </c>
      <c r="Q294" t="s">
        <v>14894</v>
      </c>
      <c r="R294">
        <v>0</v>
      </c>
      <c r="S294">
        <v>0</v>
      </c>
      <c r="U294" t="s">
        <v>102</v>
      </c>
      <c r="V294" t="s">
        <v>103</v>
      </c>
      <c r="W294" t="s">
        <v>155</v>
      </c>
      <c r="Y294" t="s">
        <v>16553</v>
      </c>
      <c r="Z294" t="s">
        <v>23045</v>
      </c>
      <c r="AA294" t="s">
        <v>23046</v>
      </c>
      <c r="AB294" t="s">
        <v>23045</v>
      </c>
      <c r="AC294" t="s">
        <v>23047</v>
      </c>
      <c r="AD294" t="s">
        <v>23045</v>
      </c>
      <c r="AE294" t="s">
        <v>22104</v>
      </c>
      <c r="AF294" t="s">
        <v>23045</v>
      </c>
      <c r="AG294" t="s">
        <v>102</v>
      </c>
      <c r="AH294" t="s">
        <v>16421</v>
      </c>
      <c r="AI294" t="s">
        <v>22571</v>
      </c>
      <c r="AJ294" t="s">
        <v>23045</v>
      </c>
      <c r="AK294" t="s">
        <v>23045</v>
      </c>
      <c r="AL294" t="s">
        <v>102</v>
      </c>
      <c r="AM294" t="s">
        <v>14899</v>
      </c>
      <c r="AN294" t="s">
        <v>14899</v>
      </c>
      <c r="AS294" t="s">
        <v>102</v>
      </c>
      <c r="AU294" t="s">
        <v>155</v>
      </c>
      <c r="AV294" t="s">
        <v>119</v>
      </c>
      <c r="AW294" t="s">
        <v>170</v>
      </c>
      <c r="AX294" t="s">
        <v>118</v>
      </c>
      <c r="AZ294" t="s">
        <v>120</v>
      </c>
      <c r="BA294" t="s">
        <v>23048</v>
      </c>
      <c r="BB294" t="s">
        <v>449</v>
      </c>
      <c r="BC294" t="s">
        <v>122</v>
      </c>
      <c r="BD294" t="s">
        <v>253</v>
      </c>
      <c r="BE294" t="s">
        <v>124</v>
      </c>
      <c r="BF294" t="s">
        <v>21784</v>
      </c>
      <c r="BG294" t="s">
        <v>21667</v>
      </c>
      <c r="BH294" t="s">
        <v>127</v>
      </c>
      <c r="BI294" t="s">
        <v>23049</v>
      </c>
      <c r="BJ294" t="s">
        <v>23050</v>
      </c>
      <c r="BK294" t="s">
        <v>23051</v>
      </c>
      <c r="BL294" t="s">
        <v>16421</v>
      </c>
      <c r="BM294" t="s">
        <v>3243</v>
      </c>
      <c r="BN294" t="s">
        <v>350</v>
      </c>
      <c r="BO294" t="s">
        <v>3244</v>
      </c>
      <c r="BP294" t="s">
        <v>3245</v>
      </c>
      <c r="BQ294" t="s">
        <v>1111</v>
      </c>
      <c r="BR294" t="s">
        <v>1111</v>
      </c>
      <c r="BS294" t="s">
        <v>23052</v>
      </c>
      <c r="BT294" t="s">
        <v>23053</v>
      </c>
      <c r="BU294" t="s">
        <v>354</v>
      </c>
      <c r="BV294" t="s">
        <v>23054</v>
      </c>
      <c r="BW294" t="s">
        <v>23055</v>
      </c>
      <c r="BX294" t="s">
        <v>23054</v>
      </c>
      <c r="BY294" t="s">
        <v>23053</v>
      </c>
      <c r="BZ294" t="s">
        <v>23054</v>
      </c>
      <c r="CA294" t="s">
        <v>23055</v>
      </c>
      <c r="CB294" t="s">
        <v>23053</v>
      </c>
      <c r="CC294" t="s">
        <v>23054</v>
      </c>
      <c r="CD294" t="s">
        <v>23055</v>
      </c>
      <c r="CE294" t="s">
        <v>1741</v>
      </c>
      <c r="CF294" t="s">
        <v>23056</v>
      </c>
      <c r="CH294" t="s">
        <v>23057</v>
      </c>
      <c r="CI294" t="s">
        <v>23056</v>
      </c>
      <c r="CJ294" t="s">
        <v>23048</v>
      </c>
      <c r="CK294" t="s">
        <v>449</v>
      </c>
      <c r="CL294" t="s">
        <v>23057</v>
      </c>
      <c r="CN294" t="s">
        <v>23056</v>
      </c>
      <c r="CO294" t="s">
        <v>23056</v>
      </c>
    </row>
    <row r="295" spans="1:93" hidden="1">
      <c r="A295" t="s">
        <v>93</v>
      </c>
      <c r="B295">
        <v>5068265</v>
      </c>
      <c r="C295" t="s">
        <v>20732</v>
      </c>
      <c r="D295" t="s">
        <v>21661</v>
      </c>
      <c r="E295" t="s">
        <v>12250</v>
      </c>
      <c r="F295" t="s">
        <v>152</v>
      </c>
      <c r="G295" t="s">
        <v>98</v>
      </c>
      <c r="H295" t="s">
        <v>24576</v>
      </c>
      <c r="I295" t="s">
        <v>100</v>
      </c>
      <c r="J295">
        <v>122850</v>
      </c>
      <c r="K295">
        <v>122850</v>
      </c>
      <c r="L295">
        <v>0</v>
      </c>
      <c r="M295">
        <v>0</v>
      </c>
      <c r="O295">
        <v>122850</v>
      </c>
      <c r="P295">
        <v>75</v>
      </c>
      <c r="Q295" t="s">
        <v>20733</v>
      </c>
      <c r="R295">
        <v>0</v>
      </c>
      <c r="S295">
        <v>0</v>
      </c>
      <c r="U295" t="s">
        <v>102</v>
      </c>
      <c r="V295" t="s">
        <v>103</v>
      </c>
      <c r="W295" t="s">
        <v>104</v>
      </c>
      <c r="Y295" t="s">
        <v>24577</v>
      </c>
      <c r="Z295" t="s">
        <v>8539</v>
      </c>
      <c r="AA295" t="s">
        <v>24578</v>
      </c>
      <c r="AB295" t="s">
        <v>8539</v>
      </c>
      <c r="AC295" t="s">
        <v>109</v>
      </c>
      <c r="AD295" t="s">
        <v>102</v>
      </c>
      <c r="AE295" t="s">
        <v>109</v>
      </c>
      <c r="AF295" t="s">
        <v>102</v>
      </c>
      <c r="AG295" t="s">
        <v>102</v>
      </c>
      <c r="AJ295" t="s">
        <v>102</v>
      </c>
      <c r="AK295" t="s">
        <v>102</v>
      </c>
      <c r="AL295" t="s">
        <v>102</v>
      </c>
      <c r="AM295" t="s">
        <v>4950</v>
      </c>
      <c r="AN295" t="s">
        <v>4950</v>
      </c>
      <c r="AS295" t="s">
        <v>102</v>
      </c>
      <c r="AU295" t="s">
        <v>102</v>
      </c>
      <c r="AV295" t="s">
        <v>119</v>
      </c>
      <c r="AW295" t="s">
        <v>1138</v>
      </c>
      <c r="AX295" t="s">
        <v>118</v>
      </c>
      <c r="AZ295" t="s">
        <v>209</v>
      </c>
      <c r="BA295" t="s">
        <v>1609</v>
      </c>
      <c r="BB295" t="s">
        <v>285</v>
      </c>
      <c r="BC295" t="s">
        <v>212</v>
      </c>
      <c r="BD295" t="s">
        <v>286</v>
      </c>
      <c r="BE295" t="s">
        <v>124</v>
      </c>
      <c r="BF295" t="s">
        <v>19143</v>
      </c>
      <c r="BG295" t="s">
        <v>21667</v>
      </c>
      <c r="BH295" t="s">
        <v>127</v>
      </c>
      <c r="BI295" t="s">
        <v>24579</v>
      </c>
      <c r="BJ295" t="s">
        <v>20736</v>
      </c>
      <c r="BK295" t="s">
        <v>24580</v>
      </c>
      <c r="BL295" t="s">
        <v>12250</v>
      </c>
      <c r="BM295" t="s">
        <v>3997</v>
      </c>
      <c r="BN295" t="s">
        <v>505</v>
      </c>
      <c r="BO295" t="s">
        <v>3998</v>
      </c>
      <c r="BP295" t="s">
        <v>3999</v>
      </c>
      <c r="BQ295" t="s">
        <v>3362</v>
      </c>
      <c r="BS295" t="s">
        <v>24581</v>
      </c>
      <c r="BT295" t="s">
        <v>19148</v>
      </c>
      <c r="BU295" t="s">
        <v>354</v>
      </c>
      <c r="BV295" t="s">
        <v>1618</v>
      </c>
      <c r="BW295" t="s">
        <v>1619</v>
      </c>
      <c r="BX295" t="s">
        <v>1618</v>
      </c>
      <c r="BY295" t="s">
        <v>19148</v>
      </c>
      <c r="BZ295" t="s">
        <v>1618</v>
      </c>
      <c r="CA295" t="s">
        <v>1619</v>
      </c>
      <c r="CB295" t="s">
        <v>19148</v>
      </c>
      <c r="CC295" t="s">
        <v>1618</v>
      </c>
      <c r="CD295" t="s">
        <v>1619</v>
      </c>
      <c r="CE295" t="s">
        <v>573</v>
      </c>
      <c r="CF295" t="s">
        <v>20740</v>
      </c>
      <c r="CH295" t="s">
        <v>20741</v>
      </c>
      <c r="CI295" t="s">
        <v>20740</v>
      </c>
      <c r="CJ295" t="s">
        <v>1609</v>
      </c>
      <c r="CK295" t="s">
        <v>285</v>
      </c>
      <c r="CL295" t="s">
        <v>20741</v>
      </c>
      <c r="CN295" t="s">
        <v>20742</v>
      </c>
      <c r="CO295" t="s">
        <v>20742</v>
      </c>
    </row>
    <row r="296" spans="1:93" hidden="1">
      <c r="A296" t="s">
        <v>149</v>
      </c>
      <c r="B296">
        <v>507090</v>
      </c>
      <c r="C296" t="s">
        <v>10811</v>
      </c>
      <c r="D296" t="s">
        <v>21661</v>
      </c>
      <c r="E296" t="s">
        <v>11889</v>
      </c>
      <c r="F296" t="s">
        <v>97</v>
      </c>
      <c r="G296" t="s">
        <v>98</v>
      </c>
      <c r="H296" t="s">
        <v>24582</v>
      </c>
      <c r="I296" t="s">
        <v>100</v>
      </c>
      <c r="J296">
        <v>1134163</v>
      </c>
      <c r="K296">
        <v>1134163</v>
      </c>
      <c r="L296">
        <v>1134163</v>
      </c>
      <c r="M296">
        <v>1745</v>
      </c>
      <c r="N296" t="s">
        <v>1122</v>
      </c>
      <c r="O296">
        <v>0</v>
      </c>
      <c r="P296">
        <v>0</v>
      </c>
      <c r="R296">
        <v>0</v>
      </c>
      <c r="S296">
        <v>0</v>
      </c>
      <c r="U296" t="s">
        <v>102</v>
      </c>
      <c r="V296" t="s">
        <v>103</v>
      </c>
      <c r="W296" t="s">
        <v>104</v>
      </c>
      <c r="Y296" t="s">
        <v>21664</v>
      </c>
      <c r="Z296" t="s">
        <v>24583</v>
      </c>
      <c r="AA296" t="s">
        <v>21762</v>
      </c>
      <c r="AB296" t="s">
        <v>24583</v>
      </c>
      <c r="AC296" t="s">
        <v>109</v>
      </c>
      <c r="AD296" t="s">
        <v>102</v>
      </c>
      <c r="AE296" t="s">
        <v>109</v>
      </c>
      <c r="AF296" t="s">
        <v>102</v>
      </c>
      <c r="AG296" t="s">
        <v>102</v>
      </c>
      <c r="AJ296" t="s">
        <v>102</v>
      </c>
      <c r="AK296" t="s">
        <v>102</v>
      </c>
      <c r="AL296" t="s">
        <v>102</v>
      </c>
      <c r="AM296" t="s">
        <v>5355</v>
      </c>
      <c r="AN296" t="s">
        <v>5356</v>
      </c>
      <c r="AR296" t="s">
        <v>169</v>
      </c>
      <c r="AS296" t="s">
        <v>318</v>
      </c>
      <c r="AT296" t="s">
        <v>118</v>
      </c>
      <c r="AU296" t="s">
        <v>102</v>
      </c>
      <c r="AV296" t="s">
        <v>119</v>
      </c>
      <c r="AZ296" t="s">
        <v>120</v>
      </c>
      <c r="BA296" t="s">
        <v>448</v>
      </c>
      <c r="BB296" t="s">
        <v>449</v>
      </c>
      <c r="BC296" t="s">
        <v>122</v>
      </c>
      <c r="BD296" t="s">
        <v>450</v>
      </c>
      <c r="BE296" t="s">
        <v>124</v>
      </c>
      <c r="BF296" t="s">
        <v>12250</v>
      </c>
      <c r="BG296" t="s">
        <v>21667</v>
      </c>
      <c r="BH296" t="s">
        <v>127</v>
      </c>
      <c r="BI296" t="s">
        <v>24584</v>
      </c>
      <c r="BJ296" t="s">
        <v>10817</v>
      </c>
      <c r="BK296" t="s">
        <v>24585</v>
      </c>
      <c r="BL296" t="s">
        <v>11889</v>
      </c>
      <c r="BM296" t="s">
        <v>3267</v>
      </c>
      <c r="BN296" t="s">
        <v>350</v>
      </c>
      <c r="BO296" t="s">
        <v>3268</v>
      </c>
      <c r="BP296" t="s">
        <v>3269</v>
      </c>
      <c r="BQ296" t="s">
        <v>135</v>
      </c>
      <c r="BS296" t="s">
        <v>24586</v>
      </c>
      <c r="BT296" t="s">
        <v>20803</v>
      </c>
      <c r="BU296" t="s">
        <v>138</v>
      </c>
      <c r="BV296" t="s">
        <v>24587</v>
      </c>
      <c r="BW296" t="s">
        <v>20805</v>
      </c>
      <c r="BX296" t="s">
        <v>10823</v>
      </c>
      <c r="BY296" t="s">
        <v>20803</v>
      </c>
      <c r="BZ296" t="s">
        <v>24587</v>
      </c>
      <c r="CA296" t="s">
        <v>20805</v>
      </c>
      <c r="CB296" t="s">
        <v>24588</v>
      </c>
      <c r="CC296" t="s">
        <v>24589</v>
      </c>
      <c r="CD296" t="s">
        <v>20805</v>
      </c>
      <c r="CE296" t="s">
        <v>102</v>
      </c>
      <c r="CF296" t="s">
        <v>20806</v>
      </c>
      <c r="CH296" t="s">
        <v>4512</v>
      </c>
      <c r="CJ296" t="s">
        <v>448</v>
      </c>
      <c r="CK296" t="s">
        <v>449</v>
      </c>
      <c r="CL296" t="s">
        <v>4512</v>
      </c>
      <c r="CM296" t="s">
        <v>10825</v>
      </c>
      <c r="CN296" t="s">
        <v>10824</v>
      </c>
      <c r="CO296" t="s">
        <v>10824</v>
      </c>
    </row>
    <row r="297" spans="1:93" hidden="1">
      <c r="A297" t="s">
        <v>149</v>
      </c>
      <c r="B297">
        <v>507154</v>
      </c>
      <c r="C297" t="s">
        <v>10826</v>
      </c>
      <c r="D297" t="s">
        <v>21661</v>
      </c>
      <c r="E297" t="s">
        <v>21768</v>
      </c>
      <c r="F297" t="s">
        <v>848</v>
      </c>
      <c r="G297" t="s">
        <v>98</v>
      </c>
      <c r="H297" t="s">
        <v>23058</v>
      </c>
      <c r="I297" t="s">
        <v>100</v>
      </c>
      <c r="J297">
        <v>1352353</v>
      </c>
      <c r="K297">
        <v>1595777</v>
      </c>
      <c r="L297">
        <v>0</v>
      </c>
      <c r="M297">
        <v>0</v>
      </c>
      <c r="O297">
        <v>0</v>
      </c>
      <c r="P297">
        <v>0</v>
      </c>
      <c r="R297">
        <v>1352353</v>
      </c>
      <c r="S297">
        <v>1127</v>
      </c>
      <c r="T297" t="s">
        <v>880</v>
      </c>
      <c r="U297" t="s">
        <v>102</v>
      </c>
      <c r="V297" t="s">
        <v>103</v>
      </c>
      <c r="W297" t="s">
        <v>398</v>
      </c>
      <c r="Y297" t="s">
        <v>11889</v>
      </c>
      <c r="Z297" t="s">
        <v>23059</v>
      </c>
      <c r="AA297" t="s">
        <v>21664</v>
      </c>
      <c r="AB297" t="s">
        <v>23059</v>
      </c>
      <c r="AC297" t="s">
        <v>21710</v>
      </c>
      <c r="AD297" t="s">
        <v>23060</v>
      </c>
      <c r="AE297" t="s">
        <v>109</v>
      </c>
      <c r="AF297" t="s">
        <v>102</v>
      </c>
      <c r="AG297" t="s">
        <v>102</v>
      </c>
      <c r="AJ297" t="s">
        <v>23059</v>
      </c>
      <c r="AK297" t="s">
        <v>102</v>
      </c>
      <c r="AL297" t="s">
        <v>23059</v>
      </c>
      <c r="AM297" t="s">
        <v>21712</v>
      </c>
      <c r="AN297" t="s">
        <v>14600</v>
      </c>
      <c r="AP297" t="s">
        <v>169</v>
      </c>
      <c r="AR297" t="s">
        <v>169</v>
      </c>
      <c r="AS297" t="s">
        <v>102</v>
      </c>
      <c r="AU297" t="s">
        <v>102</v>
      </c>
      <c r="AV297" t="s">
        <v>119</v>
      </c>
      <c r="AY297" t="s">
        <v>250</v>
      </c>
      <c r="AZ297" t="s">
        <v>120</v>
      </c>
      <c r="BA297" t="s">
        <v>448</v>
      </c>
      <c r="BB297" t="s">
        <v>449</v>
      </c>
      <c r="BC297" t="s">
        <v>122</v>
      </c>
      <c r="BD297" t="s">
        <v>450</v>
      </c>
      <c r="BE297" t="s">
        <v>124</v>
      </c>
      <c r="BF297" t="s">
        <v>12250</v>
      </c>
      <c r="BG297" t="s">
        <v>21667</v>
      </c>
      <c r="BH297" t="s">
        <v>127</v>
      </c>
      <c r="BI297" t="s">
        <v>23061</v>
      </c>
      <c r="BJ297" t="s">
        <v>10837</v>
      </c>
      <c r="BK297" t="s">
        <v>23062</v>
      </c>
      <c r="BL297" t="s">
        <v>21768</v>
      </c>
      <c r="BM297" t="s">
        <v>3267</v>
      </c>
      <c r="BN297" t="s">
        <v>350</v>
      </c>
      <c r="BO297" t="s">
        <v>3268</v>
      </c>
      <c r="BP297" t="s">
        <v>3269</v>
      </c>
      <c r="BQ297" t="s">
        <v>455</v>
      </c>
      <c r="BS297" t="s">
        <v>23063</v>
      </c>
      <c r="BT297" t="s">
        <v>20818</v>
      </c>
      <c r="BU297" t="s">
        <v>138</v>
      </c>
      <c r="BV297" t="s">
        <v>10843</v>
      </c>
      <c r="BW297" t="s">
        <v>23064</v>
      </c>
      <c r="BX297" t="s">
        <v>10843</v>
      </c>
      <c r="BY297" t="s">
        <v>20818</v>
      </c>
      <c r="BZ297" t="s">
        <v>10843</v>
      </c>
      <c r="CA297" t="s">
        <v>23064</v>
      </c>
      <c r="CB297" t="s">
        <v>23065</v>
      </c>
      <c r="CC297" t="s">
        <v>20822</v>
      </c>
      <c r="CD297" t="s">
        <v>20823</v>
      </c>
      <c r="CE297" t="s">
        <v>7998</v>
      </c>
      <c r="CF297" t="s">
        <v>10844</v>
      </c>
      <c r="CH297" t="s">
        <v>4512</v>
      </c>
      <c r="CI297" t="s">
        <v>20824</v>
      </c>
      <c r="CJ297" t="s">
        <v>448</v>
      </c>
      <c r="CK297" t="s">
        <v>449</v>
      </c>
      <c r="CL297" t="s">
        <v>4512</v>
      </c>
      <c r="CM297" t="s">
        <v>10846</v>
      </c>
      <c r="CN297" t="s">
        <v>10844</v>
      </c>
      <c r="CO297" t="s">
        <v>10845</v>
      </c>
    </row>
    <row r="298" spans="1:93">
      <c r="A298" t="s">
        <v>337</v>
      </c>
      <c r="B298">
        <v>5074217</v>
      </c>
      <c r="C298" t="s">
        <v>23066</v>
      </c>
      <c r="D298" t="s">
        <v>21661</v>
      </c>
      <c r="E298" t="s">
        <v>946</v>
      </c>
      <c r="F298" t="s">
        <v>152</v>
      </c>
      <c r="G298" t="s">
        <v>98</v>
      </c>
      <c r="H298" t="s">
        <v>23067</v>
      </c>
      <c r="I298" t="s">
        <v>100</v>
      </c>
      <c r="J298">
        <v>453254</v>
      </c>
      <c r="K298">
        <v>453254</v>
      </c>
      <c r="L298">
        <v>0</v>
      </c>
      <c r="M298">
        <v>0</v>
      </c>
      <c r="O298">
        <v>453254</v>
      </c>
      <c r="P298">
        <v>344</v>
      </c>
      <c r="Q298" t="s">
        <v>23068</v>
      </c>
      <c r="R298">
        <v>0</v>
      </c>
      <c r="S298">
        <v>0</v>
      </c>
      <c r="U298" t="s">
        <v>102</v>
      </c>
      <c r="V298" t="s">
        <v>103</v>
      </c>
      <c r="W298" t="s">
        <v>155</v>
      </c>
      <c r="Y298" t="s">
        <v>12250</v>
      </c>
      <c r="Z298" t="s">
        <v>23069</v>
      </c>
      <c r="AA298" t="s">
        <v>21664</v>
      </c>
      <c r="AB298" t="s">
        <v>23069</v>
      </c>
      <c r="AC298" t="s">
        <v>21665</v>
      </c>
      <c r="AD298" t="s">
        <v>23069</v>
      </c>
      <c r="AE298" t="s">
        <v>21710</v>
      </c>
      <c r="AF298" t="s">
        <v>23069</v>
      </c>
      <c r="AG298" t="s">
        <v>102</v>
      </c>
      <c r="AH298" t="s">
        <v>20426</v>
      </c>
      <c r="AI298" t="s">
        <v>20426</v>
      </c>
      <c r="AJ298" t="s">
        <v>23069</v>
      </c>
      <c r="AK298" t="s">
        <v>573</v>
      </c>
      <c r="AL298" t="s">
        <v>24590</v>
      </c>
      <c r="AM298" t="s">
        <v>23070</v>
      </c>
      <c r="AN298" t="s">
        <v>23070</v>
      </c>
      <c r="AS298" t="s">
        <v>102</v>
      </c>
      <c r="AU298" t="s">
        <v>102</v>
      </c>
      <c r="AV298" t="s">
        <v>447</v>
      </c>
      <c r="AW298" t="s">
        <v>170</v>
      </c>
      <c r="AX298" t="s">
        <v>118</v>
      </c>
      <c r="AZ298" t="s">
        <v>1964</v>
      </c>
      <c r="BA298" t="s">
        <v>19865</v>
      </c>
      <c r="BB298" t="s">
        <v>376</v>
      </c>
      <c r="BC298" t="s">
        <v>174</v>
      </c>
      <c r="BD298" t="s">
        <v>376</v>
      </c>
      <c r="BE298" t="s">
        <v>124</v>
      </c>
      <c r="BF298" t="s">
        <v>12250</v>
      </c>
      <c r="BG298" t="s">
        <v>21667</v>
      </c>
      <c r="BH298" t="s">
        <v>127</v>
      </c>
      <c r="BI298" t="s">
        <v>23071</v>
      </c>
      <c r="BJ298" t="s">
        <v>23072</v>
      </c>
      <c r="BK298" t="s">
        <v>23073</v>
      </c>
      <c r="BL298" t="s">
        <v>946</v>
      </c>
      <c r="BM298" t="s">
        <v>13780</v>
      </c>
      <c r="BN298" t="s">
        <v>505</v>
      </c>
      <c r="BO298" t="s">
        <v>13781</v>
      </c>
      <c r="BP298" t="s">
        <v>13782</v>
      </c>
      <c r="BQ298" t="s">
        <v>13783</v>
      </c>
      <c r="BS298" t="s">
        <v>23074</v>
      </c>
      <c r="BT298" t="s">
        <v>23075</v>
      </c>
      <c r="BU298" t="s">
        <v>138</v>
      </c>
      <c r="BV298" t="s">
        <v>23076</v>
      </c>
      <c r="BW298" t="s">
        <v>23077</v>
      </c>
      <c r="BX298" t="s">
        <v>23078</v>
      </c>
      <c r="BY298" t="s">
        <v>23075</v>
      </c>
      <c r="BZ298" t="s">
        <v>23076</v>
      </c>
      <c r="CA298" t="s">
        <v>23077</v>
      </c>
      <c r="CB298" t="s">
        <v>23075</v>
      </c>
      <c r="CC298" t="s">
        <v>23076</v>
      </c>
      <c r="CD298" t="s">
        <v>23077</v>
      </c>
      <c r="CE298" t="s">
        <v>6370</v>
      </c>
      <c r="CF298" t="s">
        <v>23079</v>
      </c>
      <c r="CH298" t="s">
        <v>19882</v>
      </c>
      <c r="CI298" t="s">
        <v>23079</v>
      </c>
      <c r="CJ298" t="s">
        <v>19865</v>
      </c>
      <c r="CK298" t="s">
        <v>376</v>
      </c>
      <c r="CL298" t="s">
        <v>19882</v>
      </c>
      <c r="CN298" t="s">
        <v>23079</v>
      </c>
      <c r="CO298" t="s">
        <v>23079</v>
      </c>
    </row>
    <row r="299" spans="1:93">
      <c r="A299" t="s">
        <v>337</v>
      </c>
      <c r="B299">
        <v>5074740</v>
      </c>
      <c r="C299" t="s">
        <v>25332</v>
      </c>
      <c r="D299" t="s">
        <v>21661</v>
      </c>
      <c r="E299" t="s">
        <v>15028</v>
      </c>
      <c r="F299" t="s">
        <v>848</v>
      </c>
      <c r="G299" t="s">
        <v>98</v>
      </c>
      <c r="H299" t="s">
        <v>25333</v>
      </c>
      <c r="I299" t="s">
        <v>100</v>
      </c>
      <c r="J299">
        <v>234465</v>
      </c>
      <c r="K299">
        <v>276669</v>
      </c>
      <c r="L299">
        <v>0</v>
      </c>
      <c r="M299">
        <v>0</v>
      </c>
      <c r="O299">
        <v>0</v>
      </c>
      <c r="P299">
        <v>0</v>
      </c>
      <c r="R299">
        <v>234465</v>
      </c>
      <c r="S299">
        <v>461</v>
      </c>
      <c r="T299" t="s">
        <v>196</v>
      </c>
      <c r="U299" t="s">
        <v>102</v>
      </c>
      <c r="V299" t="s">
        <v>103</v>
      </c>
      <c r="W299" t="s">
        <v>104</v>
      </c>
      <c r="Y299" t="s">
        <v>22459</v>
      </c>
      <c r="Z299" t="s">
        <v>25334</v>
      </c>
      <c r="AA299" t="s">
        <v>21828</v>
      </c>
      <c r="AB299" t="s">
        <v>25334</v>
      </c>
      <c r="AC299" t="s">
        <v>109</v>
      </c>
      <c r="AD299" t="s">
        <v>102</v>
      </c>
      <c r="AE299" t="s">
        <v>109</v>
      </c>
      <c r="AF299" t="s">
        <v>102</v>
      </c>
      <c r="AG299" t="s">
        <v>102</v>
      </c>
      <c r="AH299" t="s">
        <v>18964</v>
      </c>
      <c r="AI299" t="s">
        <v>18964</v>
      </c>
      <c r="AJ299" t="s">
        <v>102</v>
      </c>
      <c r="AK299" t="s">
        <v>13597</v>
      </c>
      <c r="AL299" t="s">
        <v>24990</v>
      </c>
      <c r="AM299" t="s">
        <v>20895</v>
      </c>
      <c r="AN299" t="s">
        <v>20895</v>
      </c>
      <c r="AS299" t="s">
        <v>102</v>
      </c>
      <c r="AU299" t="s">
        <v>102</v>
      </c>
      <c r="AV299" t="s">
        <v>119</v>
      </c>
      <c r="AY299" t="s">
        <v>250</v>
      </c>
      <c r="AZ299" t="s">
        <v>120</v>
      </c>
      <c r="BA299" t="s">
        <v>25335</v>
      </c>
      <c r="BB299" t="s">
        <v>376</v>
      </c>
      <c r="BC299" t="s">
        <v>174</v>
      </c>
      <c r="BD299" t="s">
        <v>376</v>
      </c>
      <c r="BE299" t="s">
        <v>124</v>
      </c>
      <c r="BF299" t="s">
        <v>12250</v>
      </c>
      <c r="BG299" t="s">
        <v>21667</v>
      </c>
      <c r="BH299" t="s">
        <v>127</v>
      </c>
      <c r="BI299" t="s">
        <v>25336</v>
      </c>
      <c r="BJ299" t="s">
        <v>25337</v>
      </c>
      <c r="BK299" t="s">
        <v>25338</v>
      </c>
      <c r="BL299" t="s">
        <v>15028</v>
      </c>
      <c r="BM299" t="s">
        <v>13780</v>
      </c>
      <c r="BN299" t="s">
        <v>180</v>
      </c>
      <c r="BO299" t="s">
        <v>13781</v>
      </c>
      <c r="BP299" t="s">
        <v>13782</v>
      </c>
      <c r="BQ299" t="s">
        <v>13783</v>
      </c>
      <c r="BS299" t="s">
        <v>25339</v>
      </c>
      <c r="BT299" t="s">
        <v>25340</v>
      </c>
      <c r="BU299" t="s">
        <v>138</v>
      </c>
      <c r="BV299" t="s">
        <v>25341</v>
      </c>
      <c r="BW299" t="s">
        <v>25342</v>
      </c>
      <c r="BX299" t="s">
        <v>25343</v>
      </c>
      <c r="BY299" t="s">
        <v>25344</v>
      </c>
      <c r="BZ299" t="s">
        <v>25341</v>
      </c>
      <c r="CA299" t="s">
        <v>25342</v>
      </c>
      <c r="CB299" t="s">
        <v>25344</v>
      </c>
      <c r="CC299" t="s">
        <v>25341</v>
      </c>
      <c r="CD299" t="s">
        <v>25342</v>
      </c>
      <c r="CE299" t="s">
        <v>102</v>
      </c>
      <c r="CF299" t="s">
        <v>25345</v>
      </c>
      <c r="CH299" t="s">
        <v>25346</v>
      </c>
      <c r="CI299" t="s">
        <v>25347</v>
      </c>
      <c r="CJ299" t="s">
        <v>25335</v>
      </c>
      <c r="CK299" t="s">
        <v>376</v>
      </c>
      <c r="CL299" t="s">
        <v>25346</v>
      </c>
      <c r="CN299" t="s">
        <v>25345</v>
      </c>
      <c r="CO299" t="s">
        <v>25345</v>
      </c>
    </row>
    <row r="300" spans="1:93">
      <c r="A300" t="s">
        <v>337</v>
      </c>
      <c r="B300">
        <v>5075344</v>
      </c>
      <c r="C300" t="s">
        <v>25348</v>
      </c>
      <c r="D300" t="s">
        <v>21661</v>
      </c>
      <c r="E300" t="s">
        <v>15028</v>
      </c>
      <c r="F300" t="s">
        <v>848</v>
      </c>
      <c r="G300" t="s">
        <v>98</v>
      </c>
      <c r="H300" t="s">
        <v>25349</v>
      </c>
      <c r="I300" t="s">
        <v>100</v>
      </c>
      <c r="J300">
        <v>225819</v>
      </c>
      <c r="K300">
        <v>266466</v>
      </c>
      <c r="L300">
        <v>0</v>
      </c>
      <c r="M300">
        <v>0</v>
      </c>
      <c r="O300">
        <v>0</v>
      </c>
      <c r="P300">
        <v>0</v>
      </c>
      <c r="R300">
        <v>225819</v>
      </c>
      <c r="S300">
        <v>444</v>
      </c>
      <c r="T300" t="s">
        <v>196</v>
      </c>
      <c r="U300" t="s">
        <v>102</v>
      </c>
      <c r="V300" t="s">
        <v>103</v>
      </c>
      <c r="W300" t="s">
        <v>104</v>
      </c>
      <c r="Y300" t="s">
        <v>22459</v>
      </c>
      <c r="Z300" t="s">
        <v>25350</v>
      </c>
      <c r="AA300" t="s">
        <v>21828</v>
      </c>
      <c r="AB300" t="s">
        <v>25350</v>
      </c>
      <c r="AC300" t="s">
        <v>109</v>
      </c>
      <c r="AD300" t="s">
        <v>102</v>
      </c>
      <c r="AE300" t="s">
        <v>109</v>
      </c>
      <c r="AF300" t="s">
        <v>102</v>
      </c>
      <c r="AG300" t="s">
        <v>102</v>
      </c>
      <c r="AJ300" t="s">
        <v>102</v>
      </c>
      <c r="AK300" t="s">
        <v>102</v>
      </c>
      <c r="AL300" t="s">
        <v>102</v>
      </c>
      <c r="AM300" t="s">
        <v>20895</v>
      </c>
      <c r="AN300" t="s">
        <v>20895</v>
      </c>
      <c r="AS300" t="s">
        <v>102</v>
      </c>
      <c r="AU300" t="s">
        <v>102</v>
      </c>
      <c r="AV300" t="s">
        <v>119</v>
      </c>
      <c r="AY300" t="s">
        <v>250</v>
      </c>
      <c r="AZ300" t="s">
        <v>120</v>
      </c>
      <c r="BA300" t="s">
        <v>19577</v>
      </c>
      <c r="BB300" t="s">
        <v>376</v>
      </c>
      <c r="BC300" t="s">
        <v>174</v>
      </c>
      <c r="BD300" t="s">
        <v>376</v>
      </c>
      <c r="BE300" t="s">
        <v>124</v>
      </c>
      <c r="BF300" t="s">
        <v>12250</v>
      </c>
      <c r="BG300" t="s">
        <v>21667</v>
      </c>
      <c r="BH300" t="s">
        <v>127</v>
      </c>
      <c r="BI300" t="s">
        <v>25351</v>
      </c>
      <c r="BJ300" t="s">
        <v>25352</v>
      </c>
      <c r="BK300" t="s">
        <v>25353</v>
      </c>
      <c r="BL300" t="s">
        <v>15028</v>
      </c>
      <c r="BM300" t="s">
        <v>13780</v>
      </c>
      <c r="BN300" t="s">
        <v>180</v>
      </c>
      <c r="BO300" t="s">
        <v>13781</v>
      </c>
      <c r="BP300" t="s">
        <v>13782</v>
      </c>
      <c r="BQ300" t="s">
        <v>13783</v>
      </c>
      <c r="BS300" t="s">
        <v>25354</v>
      </c>
      <c r="BT300" t="s">
        <v>25355</v>
      </c>
      <c r="BU300" t="s">
        <v>138</v>
      </c>
      <c r="BV300" t="s">
        <v>25356</v>
      </c>
      <c r="BW300" t="s">
        <v>25357</v>
      </c>
      <c r="BX300" t="s">
        <v>25356</v>
      </c>
      <c r="BY300" t="s">
        <v>25355</v>
      </c>
      <c r="BZ300" t="s">
        <v>25358</v>
      </c>
      <c r="CA300" t="s">
        <v>25357</v>
      </c>
      <c r="CB300" t="s">
        <v>25355</v>
      </c>
      <c r="CC300" t="s">
        <v>25358</v>
      </c>
      <c r="CD300" t="s">
        <v>25357</v>
      </c>
      <c r="CE300" t="s">
        <v>6370</v>
      </c>
      <c r="CF300" t="s">
        <v>25359</v>
      </c>
      <c r="CH300" t="s">
        <v>25018</v>
      </c>
      <c r="CI300" t="s">
        <v>25360</v>
      </c>
      <c r="CJ300" t="s">
        <v>19577</v>
      </c>
      <c r="CK300" t="s">
        <v>376</v>
      </c>
      <c r="CL300" t="s">
        <v>25018</v>
      </c>
      <c r="CN300" t="s">
        <v>25361</v>
      </c>
      <c r="CO300" t="s">
        <v>25361</v>
      </c>
    </row>
    <row r="301" spans="1:93">
      <c r="A301" t="s">
        <v>337</v>
      </c>
      <c r="B301">
        <v>5075423</v>
      </c>
      <c r="C301" t="s">
        <v>25977</v>
      </c>
      <c r="D301" t="s">
        <v>21661</v>
      </c>
      <c r="E301" t="s">
        <v>15028</v>
      </c>
      <c r="F301" t="s">
        <v>848</v>
      </c>
      <c r="G301" t="s">
        <v>98</v>
      </c>
      <c r="H301" t="s">
        <v>25978</v>
      </c>
      <c r="I301" t="s">
        <v>100</v>
      </c>
      <c r="J301">
        <v>278714</v>
      </c>
      <c r="K301">
        <v>328883</v>
      </c>
      <c r="L301">
        <v>0</v>
      </c>
      <c r="M301">
        <v>0</v>
      </c>
      <c r="O301">
        <v>0</v>
      </c>
      <c r="P301">
        <v>0</v>
      </c>
      <c r="R301">
        <v>278714</v>
      </c>
      <c r="S301">
        <v>548</v>
      </c>
      <c r="T301" t="s">
        <v>196</v>
      </c>
      <c r="U301" t="s">
        <v>102</v>
      </c>
      <c r="V301" t="s">
        <v>103</v>
      </c>
      <c r="W301" t="s">
        <v>104</v>
      </c>
      <c r="Y301" t="s">
        <v>22459</v>
      </c>
      <c r="Z301" t="s">
        <v>25979</v>
      </c>
      <c r="AA301" t="s">
        <v>21828</v>
      </c>
      <c r="AB301" t="s">
        <v>25979</v>
      </c>
      <c r="AC301" t="s">
        <v>109</v>
      </c>
      <c r="AD301" t="s">
        <v>102</v>
      </c>
      <c r="AE301" t="s">
        <v>109</v>
      </c>
      <c r="AF301" t="s">
        <v>102</v>
      </c>
      <c r="AG301" t="s">
        <v>102</v>
      </c>
      <c r="AH301" t="s">
        <v>18964</v>
      </c>
      <c r="AI301" t="s">
        <v>18964</v>
      </c>
      <c r="AJ301" t="s">
        <v>102</v>
      </c>
      <c r="AK301" t="s">
        <v>13597</v>
      </c>
      <c r="AL301" t="s">
        <v>24990</v>
      </c>
      <c r="AM301" t="s">
        <v>20895</v>
      </c>
      <c r="AN301" t="s">
        <v>20895</v>
      </c>
      <c r="AS301" t="s">
        <v>102</v>
      </c>
      <c r="AU301" t="s">
        <v>102</v>
      </c>
      <c r="AV301" t="s">
        <v>119</v>
      </c>
      <c r="AY301" t="s">
        <v>250</v>
      </c>
      <c r="AZ301" t="s">
        <v>120</v>
      </c>
      <c r="BA301" t="s">
        <v>17703</v>
      </c>
      <c r="BB301" t="s">
        <v>376</v>
      </c>
      <c r="BC301" t="s">
        <v>174</v>
      </c>
      <c r="BD301" t="s">
        <v>376</v>
      </c>
      <c r="BE301" t="s">
        <v>124</v>
      </c>
      <c r="BF301" t="s">
        <v>12250</v>
      </c>
      <c r="BG301" t="s">
        <v>21667</v>
      </c>
      <c r="BH301" t="s">
        <v>127</v>
      </c>
      <c r="BI301" t="s">
        <v>25980</v>
      </c>
      <c r="BJ301" t="s">
        <v>25981</v>
      </c>
      <c r="BK301" t="s">
        <v>25982</v>
      </c>
      <c r="BL301" t="s">
        <v>15028</v>
      </c>
      <c r="BM301" t="s">
        <v>13780</v>
      </c>
      <c r="BN301" t="s">
        <v>180</v>
      </c>
      <c r="BO301" t="s">
        <v>13781</v>
      </c>
      <c r="BP301" t="s">
        <v>13782</v>
      </c>
      <c r="BQ301" t="s">
        <v>13783</v>
      </c>
      <c r="BS301" t="s">
        <v>25983</v>
      </c>
      <c r="BT301" t="s">
        <v>25984</v>
      </c>
      <c r="BU301" t="s">
        <v>138</v>
      </c>
      <c r="BV301" t="s">
        <v>25985</v>
      </c>
      <c r="BW301" t="s">
        <v>25986</v>
      </c>
      <c r="BX301" t="s">
        <v>25987</v>
      </c>
      <c r="BY301" t="s">
        <v>25988</v>
      </c>
      <c r="BZ301" t="s">
        <v>25985</v>
      </c>
      <c r="CA301" t="s">
        <v>25986</v>
      </c>
      <c r="CB301" t="s">
        <v>25988</v>
      </c>
      <c r="CC301" t="s">
        <v>25985</v>
      </c>
      <c r="CD301" t="s">
        <v>25986</v>
      </c>
      <c r="CE301" t="s">
        <v>6370</v>
      </c>
      <c r="CF301" t="s">
        <v>25989</v>
      </c>
      <c r="CH301" t="s">
        <v>25990</v>
      </c>
      <c r="CI301" t="s">
        <v>25991</v>
      </c>
      <c r="CJ301" t="s">
        <v>17703</v>
      </c>
      <c r="CK301" t="s">
        <v>376</v>
      </c>
      <c r="CL301" t="s">
        <v>25990</v>
      </c>
      <c r="CN301" t="s">
        <v>25992</v>
      </c>
      <c r="CO301" t="s">
        <v>25992</v>
      </c>
    </row>
    <row r="302" spans="1:93">
      <c r="A302" t="s">
        <v>337</v>
      </c>
      <c r="B302">
        <v>5078653</v>
      </c>
      <c r="C302" t="s">
        <v>23080</v>
      </c>
      <c r="D302" t="s">
        <v>21661</v>
      </c>
      <c r="E302" t="s">
        <v>16372</v>
      </c>
      <c r="F302" t="s">
        <v>848</v>
      </c>
      <c r="G302" t="s">
        <v>98</v>
      </c>
      <c r="H302" t="s">
        <v>23081</v>
      </c>
      <c r="I302" t="s">
        <v>100</v>
      </c>
      <c r="J302">
        <v>225563</v>
      </c>
      <c r="K302">
        <v>266164</v>
      </c>
      <c r="L302">
        <v>0</v>
      </c>
      <c r="M302">
        <v>0</v>
      </c>
      <c r="O302">
        <v>0</v>
      </c>
      <c r="P302">
        <v>0</v>
      </c>
      <c r="R302">
        <v>225563</v>
      </c>
      <c r="S302">
        <v>242</v>
      </c>
      <c r="T302" t="s">
        <v>14881</v>
      </c>
      <c r="U302" t="s">
        <v>102</v>
      </c>
      <c r="V302" t="s">
        <v>103</v>
      </c>
      <c r="W302" t="s">
        <v>398</v>
      </c>
      <c r="Y302" t="s">
        <v>21664</v>
      </c>
      <c r="Z302" t="s">
        <v>23082</v>
      </c>
      <c r="AA302" t="s">
        <v>21665</v>
      </c>
      <c r="AB302" t="s">
        <v>23083</v>
      </c>
      <c r="AC302" t="s">
        <v>21710</v>
      </c>
      <c r="AD302" t="s">
        <v>23083</v>
      </c>
      <c r="AE302" t="s">
        <v>109</v>
      </c>
      <c r="AF302" t="s">
        <v>102</v>
      </c>
      <c r="AG302" t="s">
        <v>102</v>
      </c>
      <c r="AH302" t="s">
        <v>11930</v>
      </c>
      <c r="AI302" t="s">
        <v>11930</v>
      </c>
      <c r="AJ302" t="s">
        <v>102</v>
      </c>
      <c r="AK302" t="s">
        <v>573</v>
      </c>
      <c r="AL302" t="s">
        <v>22503</v>
      </c>
      <c r="AM302" t="s">
        <v>14887</v>
      </c>
      <c r="AN302" t="s">
        <v>14887</v>
      </c>
      <c r="AS302" t="s">
        <v>102</v>
      </c>
      <c r="AU302" t="s">
        <v>102</v>
      </c>
      <c r="AV302" t="s">
        <v>119</v>
      </c>
      <c r="AY302" t="s">
        <v>250</v>
      </c>
      <c r="AZ302" t="s">
        <v>120</v>
      </c>
      <c r="BA302" t="s">
        <v>7718</v>
      </c>
      <c r="BB302" t="s">
        <v>211</v>
      </c>
      <c r="BC302" t="s">
        <v>212</v>
      </c>
      <c r="BD302" t="s">
        <v>213</v>
      </c>
      <c r="BE302" t="s">
        <v>124</v>
      </c>
      <c r="BF302" t="s">
        <v>12250</v>
      </c>
      <c r="BG302" t="s">
        <v>21806</v>
      </c>
      <c r="BH302" t="s">
        <v>127</v>
      </c>
      <c r="BI302" t="s">
        <v>23084</v>
      </c>
      <c r="BJ302" t="s">
        <v>23085</v>
      </c>
      <c r="BK302" t="s">
        <v>23086</v>
      </c>
      <c r="BL302" t="s">
        <v>16372</v>
      </c>
      <c r="BM302" t="s">
        <v>14067</v>
      </c>
      <c r="BN302" t="s">
        <v>180</v>
      </c>
      <c r="BO302" t="s">
        <v>14068</v>
      </c>
      <c r="BP302" t="s">
        <v>14069</v>
      </c>
      <c r="BQ302" t="s">
        <v>21807</v>
      </c>
      <c r="BS302" t="s">
        <v>23087</v>
      </c>
      <c r="BT302" t="s">
        <v>23088</v>
      </c>
      <c r="BU302" t="s">
        <v>138</v>
      </c>
      <c r="BV302" t="s">
        <v>23089</v>
      </c>
      <c r="BW302" t="s">
        <v>23090</v>
      </c>
      <c r="BX302" t="s">
        <v>23091</v>
      </c>
      <c r="BY302" t="s">
        <v>23088</v>
      </c>
      <c r="BZ302" t="s">
        <v>23089</v>
      </c>
      <c r="CA302" t="s">
        <v>23090</v>
      </c>
      <c r="CB302" t="s">
        <v>23088</v>
      </c>
      <c r="CC302" t="s">
        <v>23089</v>
      </c>
      <c r="CD302" t="s">
        <v>23090</v>
      </c>
      <c r="CE302" t="s">
        <v>2270</v>
      </c>
      <c r="CF302" t="s">
        <v>23092</v>
      </c>
      <c r="CH302" t="s">
        <v>23093</v>
      </c>
      <c r="CI302" t="s">
        <v>23094</v>
      </c>
      <c r="CJ302" t="s">
        <v>7718</v>
      </c>
      <c r="CK302" t="s">
        <v>211</v>
      </c>
      <c r="CL302" t="s">
        <v>23093</v>
      </c>
      <c r="CN302" t="s">
        <v>23095</v>
      </c>
      <c r="CO302" t="s">
        <v>23095</v>
      </c>
    </row>
    <row r="303" spans="1:93">
      <c r="A303" t="s">
        <v>337</v>
      </c>
      <c r="B303">
        <v>5094121</v>
      </c>
      <c r="C303" t="s">
        <v>23096</v>
      </c>
      <c r="D303" t="s">
        <v>21661</v>
      </c>
      <c r="E303" t="s">
        <v>14351</v>
      </c>
      <c r="F303" t="s">
        <v>152</v>
      </c>
      <c r="G303" t="s">
        <v>98</v>
      </c>
      <c r="H303" t="s">
        <v>23097</v>
      </c>
      <c r="I303" t="s">
        <v>100</v>
      </c>
      <c r="J303">
        <v>143741</v>
      </c>
      <c r="K303">
        <v>143741</v>
      </c>
      <c r="L303">
        <v>0</v>
      </c>
      <c r="M303">
        <v>0</v>
      </c>
      <c r="O303">
        <v>143741</v>
      </c>
      <c r="P303">
        <v>115</v>
      </c>
      <c r="Q303" t="s">
        <v>1424</v>
      </c>
      <c r="R303">
        <v>0</v>
      </c>
      <c r="S303">
        <v>0</v>
      </c>
      <c r="U303" t="s">
        <v>102</v>
      </c>
      <c r="V303" t="s">
        <v>103</v>
      </c>
      <c r="W303" t="s">
        <v>398</v>
      </c>
      <c r="Y303" t="s">
        <v>14351</v>
      </c>
      <c r="Z303" t="s">
        <v>23098</v>
      </c>
      <c r="AA303" t="s">
        <v>12720</v>
      </c>
      <c r="AB303" t="s">
        <v>23099</v>
      </c>
      <c r="AC303" t="s">
        <v>21686</v>
      </c>
      <c r="AD303" t="s">
        <v>23100</v>
      </c>
      <c r="AE303" t="s">
        <v>109</v>
      </c>
      <c r="AF303" t="s">
        <v>102</v>
      </c>
      <c r="AG303" t="s">
        <v>102</v>
      </c>
      <c r="AH303" t="s">
        <v>6895</v>
      </c>
      <c r="AI303" t="s">
        <v>6895</v>
      </c>
      <c r="AJ303" t="s">
        <v>23098</v>
      </c>
      <c r="AK303" t="s">
        <v>5007</v>
      </c>
      <c r="AL303" t="s">
        <v>23101</v>
      </c>
      <c r="AM303" t="s">
        <v>23102</v>
      </c>
      <c r="AN303" t="s">
        <v>23102</v>
      </c>
      <c r="AS303" t="s">
        <v>102</v>
      </c>
      <c r="AU303" t="s">
        <v>102</v>
      </c>
      <c r="AV303" t="s">
        <v>119</v>
      </c>
      <c r="AW303" t="s">
        <v>1138</v>
      </c>
      <c r="AX303" t="s">
        <v>118</v>
      </c>
      <c r="AZ303" t="s">
        <v>120</v>
      </c>
      <c r="BA303" t="s">
        <v>7718</v>
      </c>
      <c r="BB303" t="s">
        <v>211</v>
      </c>
      <c r="BC303" t="s">
        <v>212</v>
      </c>
      <c r="BD303" t="s">
        <v>213</v>
      </c>
      <c r="BE303" t="s">
        <v>124</v>
      </c>
      <c r="BF303" t="s">
        <v>21805</v>
      </c>
      <c r="BG303" t="s">
        <v>23025</v>
      </c>
      <c r="BH303" t="s">
        <v>127</v>
      </c>
      <c r="BI303" t="s">
        <v>23103</v>
      </c>
      <c r="BJ303" t="s">
        <v>23104</v>
      </c>
      <c r="BK303" t="s">
        <v>23105</v>
      </c>
      <c r="BL303" t="s">
        <v>14351</v>
      </c>
      <c r="BM303" t="s">
        <v>14067</v>
      </c>
      <c r="BN303" t="s">
        <v>180</v>
      </c>
      <c r="BO303" t="s">
        <v>14068</v>
      </c>
      <c r="BP303" t="s">
        <v>14069</v>
      </c>
      <c r="BQ303" t="s">
        <v>21807</v>
      </c>
      <c r="BS303" t="s">
        <v>23106</v>
      </c>
      <c r="BT303" t="s">
        <v>23107</v>
      </c>
      <c r="BU303" t="s">
        <v>138</v>
      </c>
      <c r="BV303" t="s">
        <v>23108</v>
      </c>
      <c r="BW303" t="s">
        <v>23109</v>
      </c>
      <c r="BX303" t="s">
        <v>23108</v>
      </c>
      <c r="BY303" t="s">
        <v>23107</v>
      </c>
      <c r="BZ303" t="s">
        <v>23108</v>
      </c>
      <c r="CA303" t="s">
        <v>23109</v>
      </c>
      <c r="CB303" t="s">
        <v>23107</v>
      </c>
      <c r="CC303" t="s">
        <v>23108</v>
      </c>
      <c r="CD303" t="s">
        <v>23109</v>
      </c>
      <c r="CE303" t="s">
        <v>23110</v>
      </c>
      <c r="CF303" t="s">
        <v>23111</v>
      </c>
      <c r="CH303" t="s">
        <v>2189</v>
      </c>
      <c r="CI303" t="s">
        <v>23112</v>
      </c>
      <c r="CJ303" t="s">
        <v>7718</v>
      </c>
      <c r="CK303" t="s">
        <v>211</v>
      </c>
      <c r="CL303" t="s">
        <v>2189</v>
      </c>
      <c r="CN303" t="s">
        <v>23113</v>
      </c>
      <c r="CO303" t="s">
        <v>23113</v>
      </c>
    </row>
    <row r="304" spans="1:93">
      <c r="A304" t="s">
        <v>337</v>
      </c>
      <c r="B304">
        <v>5094396</v>
      </c>
      <c r="C304" t="s">
        <v>20843</v>
      </c>
      <c r="D304" t="s">
        <v>21661</v>
      </c>
      <c r="E304" t="s">
        <v>13772</v>
      </c>
      <c r="F304" t="s">
        <v>848</v>
      </c>
      <c r="G304" t="s">
        <v>98</v>
      </c>
      <c r="H304" t="s">
        <v>23114</v>
      </c>
      <c r="I304" t="s">
        <v>100</v>
      </c>
      <c r="J304">
        <v>264522</v>
      </c>
      <c r="K304">
        <v>312136</v>
      </c>
      <c r="L304">
        <v>0</v>
      </c>
      <c r="M304">
        <v>0</v>
      </c>
      <c r="O304">
        <v>0</v>
      </c>
      <c r="P304">
        <v>0</v>
      </c>
      <c r="R304">
        <v>264522</v>
      </c>
      <c r="S304">
        <v>102</v>
      </c>
      <c r="T304" t="s">
        <v>23115</v>
      </c>
      <c r="U304" t="s">
        <v>102</v>
      </c>
      <c r="V304" t="s">
        <v>103</v>
      </c>
      <c r="W304" t="s">
        <v>104</v>
      </c>
      <c r="Y304" t="s">
        <v>12145</v>
      </c>
      <c r="Z304" t="s">
        <v>23116</v>
      </c>
      <c r="AA304" t="s">
        <v>21857</v>
      </c>
      <c r="AB304" t="s">
        <v>23117</v>
      </c>
      <c r="AC304" t="s">
        <v>109</v>
      </c>
      <c r="AD304" t="s">
        <v>102</v>
      </c>
      <c r="AE304" t="s">
        <v>109</v>
      </c>
      <c r="AF304" t="s">
        <v>102</v>
      </c>
      <c r="AG304" t="s">
        <v>102</v>
      </c>
      <c r="AH304" t="s">
        <v>12145</v>
      </c>
      <c r="AI304" t="s">
        <v>20234</v>
      </c>
      <c r="AJ304" t="s">
        <v>25362</v>
      </c>
      <c r="AK304" t="s">
        <v>2980</v>
      </c>
      <c r="AL304" t="s">
        <v>25363</v>
      </c>
      <c r="AM304" t="s">
        <v>23118</v>
      </c>
      <c r="AN304" t="s">
        <v>23118</v>
      </c>
      <c r="AS304" t="s">
        <v>102</v>
      </c>
      <c r="AU304" t="s">
        <v>102</v>
      </c>
      <c r="AV304" t="s">
        <v>119</v>
      </c>
      <c r="AY304" t="s">
        <v>250</v>
      </c>
      <c r="AZ304" t="s">
        <v>120</v>
      </c>
      <c r="BA304" t="s">
        <v>2127</v>
      </c>
      <c r="BB304" t="s">
        <v>621</v>
      </c>
      <c r="BC304" t="s">
        <v>622</v>
      </c>
      <c r="BD304" t="s">
        <v>976</v>
      </c>
      <c r="BE304" t="s">
        <v>124</v>
      </c>
      <c r="BF304" t="s">
        <v>12250</v>
      </c>
      <c r="BG304" t="s">
        <v>21667</v>
      </c>
      <c r="BH304" t="s">
        <v>127</v>
      </c>
      <c r="BI304" t="s">
        <v>23119</v>
      </c>
      <c r="BJ304" t="s">
        <v>20846</v>
      </c>
      <c r="BK304" t="s">
        <v>23120</v>
      </c>
      <c r="BL304" t="s">
        <v>13772</v>
      </c>
      <c r="BM304" t="s">
        <v>13638</v>
      </c>
      <c r="BN304" t="s">
        <v>132</v>
      </c>
      <c r="BO304" t="s">
        <v>13639</v>
      </c>
      <c r="BP304" t="s">
        <v>13640</v>
      </c>
      <c r="BQ304" t="s">
        <v>2847</v>
      </c>
      <c r="BS304" t="s">
        <v>23121</v>
      </c>
      <c r="BT304" t="s">
        <v>23122</v>
      </c>
      <c r="BU304" t="s">
        <v>354</v>
      </c>
      <c r="BV304" t="s">
        <v>20850</v>
      </c>
      <c r="BW304" t="s">
        <v>20851</v>
      </c>
      <c r="BX304" t="s">
        <v>20852</v>
      </c>
      <c r="BY304" t="s">
        <v>23122</v>
      </c>
      <c r="BZ304" t="s">
        <v>20850</v>
      </c>
      <c r="CA304" t="s">
        <v>20851</v>
      </c>
      <c r="CB304" t="s">
        <v>23122</v>
      </c>
      <c r="CC304" t="s">
        <v>20850</v>
      </c>
      <c r="CD304" t="s">
        <v>20851</v>
      </c>
      <c r="CE304" t="s">
        <v>20854</v>
      </c>
      <c r="CF304" t="s">
        <v>20855</v>
      </c>
      <c r="CH304" t="s">
        <v>20856</v>
      </c>
      <c r="CI304" t="s">
        <v>20857</v>
      </c>
      <c r="CJ304" t="s">
        <v>2127</v>
      </c>
      <c r="CK304" t="s">
        <v>621</v>
      </c>
      <c r="CL304" t="s">
        <v>20856</v>
      </c>
      <c r="CN304" t="s">
        <v>20858</v>
      </c>
      <c r="CO304" t="s">
        <v>20858</v>
      </c>
    </row>
    <row r="305" spans="1:93">
      <c r="A305" t="s">
        <v>337</v>
      </c>
      <c r="B305">
        <v>5099788</v>
      </c>
      <c r="C305" t="s">
        <v>20874</v>
      </c>
      <c r="D305" t="s">
        <v>21661</v>
      </c>
      <c r="E305" t="s">
        <v>23606</v>
      </c>
      <c r="F305" t="s">
        <v>193</v>
      </c>
      <c r="G305" t="s">
        <v>98</v>
      </c>
      <c r="H305" t="s">
        <v>23607</v>
      </c>
      <c r="I305" t="s">
        <v>100</v>
      </c>
      <c r="J305">
        <v>194721</v>
      </c>
      <c r="K305">
        <v>194721</v>
      </c>
      <c r="L305">
        <v>194721</v>
      </c>
      <c r="M305">
        <v>214</v>
      </c>
      <c r="N305" t="s">
        <v>1798</v>
      </c>
      <c r="O305">
        <v>0</v>
      </c>
      <c r="P305">
        <v>0</v>
      </c>
      <c r="R305">
        <v>0</v>
      </c>
      <c r="S305">
        <v>60</v>
      </c>
      <c r="T305" t="s">
        <v>102</v>
      </c>
      <c r="U305" t="s">
        <v>102</v>
      </c>
      <c r="V305" t="s">
        <v>679</v>
      </c>
      <c r="W305" t="s">
        <v>104</v>
      </c>
      <c r="X305" t="s">
        <v>14059</v>
      </c>
      <c r="Y305" t="s">
        <v>23608</v>
      </c>
      <c r="Z305" t="s">
        <v>23609</v>
      </c>
      <c r="AA305" t="s">
        <v>22019</v>
      </c>
      <c r="AB305" t="s">
        <v>23609</v>
      </c>
      <c r="AC305" t="s">
        <v>109</v>
      </c>
      <c r="AD305" t="s">
        <v>102</v>
      </c>
      <c r="AE305" t="s">
        <v>109</v>
      </c>
      <c r="AF305" t="s">
        <v>102</v>
      </c>
      <c r="AG305" t="s">
        <v>102</v>
      </c>
      <c r="AJ305" t="s">
        <v>102</v>
      </c>
      <c r="AK305" t="s">
        <v>102</v>
      </c>
      <c r="AL305" t="s">
        <v>102</v>
      </c>
      <c r="AM305" t="s">
        <v>23610</v>
      </c>
      <c r="AN305" t="s">
        <v>23610</v>
      </c>
      <c r="AS305" t="s">
        <v>207</v>
      </c>
      <c r="AT305" t="s">
        <v>118</v>
      </c>
      <c r="AU305" t="s">
        <v>102</v>
      </c>
      <c r="AV305" t="s">
        <v>119</v>
      </c>
      <c r="AY305" t="s">
        <v>250</v>
      </c>
      <c r="AZ305" t="s">
        <v>120</v>
      </c>
      <c r="BA305" t="s">
        <v>2127</v>
      </c>
      <c r="BB305" t="s">
        <v>621</v>
      </c>
      <c r="BC305" t="s">
        <v>622</v>
      </c>
      <c r="BD305" t="s">
        <v>976</v>
      </c>
      <c r="BE305" t="s">
        <v>124</v>
      </c>
      <c r="BF305" t="s">
        <v>23611</v>
      </c>
      <c r="BG305" t="s">
        <v>23612</v>
      </c>
      <c r="BH305" t="s">
        <v>23591</v>
      </c>
      <c r="BI305" t="s">
        <v>23613</v>
      </c>
      <c r="BJ305" t="s">
        <v>20879</v>
      </c>
      <c r="BK305" t="s">
        <v>23614</v>
      </c>
      <c r="BL305" t="s">
        <v>23606</v>
      </c>
      <c r="BM305" t="s">
        <v>13638</v>
      </c>
      <c r="BN305" t="s">
        <v>132</v>
      </c>
      <c r="BO305" t="s">
        <v>13639</v>
      </c>
      <c r="BP305" t="s">
        <v>13640</v>
      </c>
      <c r="BQ305" t="s">
        <v>2847</v>
      </c>
      <c r="BS305" t="s">
        <v>23615</v>
      </c>
      <c r="BT305" t="s">
        <v>23616</v>
      </c>
      <c r="BU305" t="s">
        <v>598</v>
      </c>
      <c r="BV305" t="s">
        <v>23617</v>
      </c>
      <c r="BW305" t="s">
        <v>23618</v>
      </c>
      <c r="BX305" t="s">
        <v>20882</v>
      </c>
      <c r="BY305" t="s">
        <v>23619</v>
      </c>
      <c r="BZ305" t="s">
        <v>18453</v>
      </c>
      <c r="CA305" t="s">
        <v>23620</v>
      </c>
      <c r="CB305" t="s">
        <v>23621</v>
      </c>
      <c r="CC305" t="s">
        <v>23622</v>
      </c>
      <c r="CD305" t="s">
        <v>23620</v>
      </c>
      <c r="CE305" t="s">
        <v>18457</v>
      </c>
      <c r="CF305" t="s">
        <v>18458</v>
      </c>
      <c r="CH305" t="s">
        <v>18459</v>
      </c>
      <c r="CI305" t="s">
        <v>20886</v>
      </c>
      <c r="CJ305" t="s">
        <v>2127</v>
      </c>
      <c r="CK305" t="s">
        <v>621</v>
      </c>
      <c r="CL305" t="s">
        <v>20887</v>
      </c>
      <c r="CM305" t="s">
        <v>18461</v>
      </c>
      <c r="CN305" t="s">
        <v>20888</v>
      </c>
      <c r="CO305" t="s">
        <v>20889</v>
      </c>
    </row>
    <row r="306" spans="1:93" hidden="1">
      <c r="A306" t="s">
        <v>149</v>
      </c>
      <c r="B306">
        <v>5100324</v>
      </c>
      <c r="C306" t="s">
        <v>20890</v>
      </c>
      <c r="D306" t="s">
        <v>21661</v>
      </c>
      <c r="E306" t="s">
        <v>12043</v>
      </c>
      <c r="F306" t="s">
        <v>848</v>
      </c>
      <c r="G306" t="s">
        <v>98</v>
      </c>
      <c r="H306" t="s">
        <v>23123</v>
      </c>
      <c r="I306" t="s">
        <v>100</v>
      </c>
      <c r="J306">
        <v>294530</v>
      </c>
      <c r="K306">
        <v>347545</v>
      </c>
      <c r="L306">
        <v>0</v>
      </c>
      <c r="M306">
        <v>0</v>
      </c>
      <c r="O306">
        <v>0</v>
      </c>
      <c r="P306">
        <v>0</v>
      </c>
      <c r="R306">
        <v>294530</v>
      </c>
      <c r="S306">
        <v>139</v>
      </c>
      <c r="T306" t="s">
        <v>2166</v>
      </c>
      <c r="U306" t="s">
        <v>102</v>
      </c>
      <c r="V306" t="s">
        <v>103</v>
      </c>
      <c r="W306" t="s">
        <v>104</v>
      </c>
      <c r="Y306" t="s">
        <v>12043</v>
      </c>
      <c r="Z306" t="s">
        <v>23124</v>
      </c>
      <c r="AA306" t="s">
        <v>12250</v>
      </c>
      <c r="AB306" t="s">
        <v>23124</v>
      </c>
      <c r="AC306" t="s">
        <v>109</v>
      </c>
      <c r="AD306" t="s">
        <v>102</v>
      </c>
      <c r="AE306" t="s">
        <v>109</v>
      </c>
      <c r="AF306" t="s">
        <v>102</v>
      </c>
      <c r="AG306" t="s">
        <v>102</v>
      </c>
      <c r="AH306" t="s">
        <v>21260</v>
      </c>
      <c r="AI306" t="s">
        <v>21260</v>
      </c>
      <c r="AJ306" t="s">
        <v>24591</v>
      </c>
      <c r="AK306" t="s">
        <v>2980</v>
      </c>
      <c r="AL306" t="s">
        <v>24592</v>
      </c>
      <c r="AM306" t="s">
        <v>1785</v>
      </c>
      <c r="AN306" t="s">
        <v>1785</v>
      </c>
      <c r="AS306" t="s">
        <v>102</v>
      </c>
      <c r="AU306" t="s">
        <v>102</v>
      </c>
      <c r="AV306" t="s">
        <v>119</v>
      </c>
      <c r="AY306" t="s">
        <v>250</v>
      </c>
      <c r="AZ306" t="s">
        <v>120</v>
      </c>
      <c r="BA306" t="s">
        <v>1729</v>
      </c>
      <c r="BB306" t="s">
        <v>730</v>
      </c>
      <c r="BC306" t="s">
        <v>622</v>
      </c>
      <c r="BD306" t="s">
        <v>730</v>
      </c>
      <c r="BE306" t="s">
        <v>124</v>
      </c>
      <c r="BF306" t="s">
        <v>12250</v>
      </c>
      <c r="BG306" t="s">
        <v>21667</v>
      </c>
      <c r="BH306" t="s">
        <v>127</v>
      </c>
      <c r="BI306" t="s">
        <v>23125</v>
      </c>
      <c r="BJ306" t="s">
        <v>20897</v>
      </c>
      <c r="BK306" t="s">
        <v>20898</v>
      </c>
      <c r="BL306" t="s">
        <v>12043</v>
      </c>
      <c r="BM306" t="s">
        <v>3910</v>
      </c>
      <c r="BN306" t="s">
        <v>258</v>
      </c>
      <c r="BO306" t="s">
        <v>3911</v>
      </c>
      <c r="BP306" t="s">
        <v>3912</v>
      </c>
      <c r="BQ306" t="s">
        <v>7862</v>
      </c>
      <c r="BS306" t="s">
        <v>23126</v>
      </c>
      <c r="BT306" t="s">
        <v>23127</v>
      </c>
      <c r="BU306" t="s">
        <v>354</v>
      </c>
      <c r="BV306" t="s">
        <v>20901</v>
      </c>
      <c r="BW306" t="s">
        <v>20902</v>
      </c>
      <c r="BX306" t="s">
        <v>20903</v>
      </c>
      <c r="BY306" t="s">
        <v>20904</v>
      </c>
      <c r="BZ306" t="s">
        <v>17082</v>
      </c>
      <c r="CA306" t="s">
        <v>20905</v>
      </c>
      <c r="CB306" t="s">
        <v>20904</v>
      </c>
      <c r="CC306" t="s">
        <v>17082</v>
      </c>
      <c r="CD306" t="s">
        <v>20905</v>
      </c>
      <c r="CE306" t="s">
        <v>492</v>
      </c>
      <c r="CF306" t="s">
        <v>20906</v>
      </c>
      <c r="CH306" t="s">
        <v>6855</v>
      </c>
      <c r="CI306" t="s">
        <v>20907</v>
      </c>
      <c r="CJ306" t="s">
        <v>1729</v>
      </c>
      <c r="CK306" t="s">
        <v>730</v>
      </c>
      <c r="CL306" t="s">
        <v>6855</v>
      </c>
      <c r="CN306" t="s">
        <v>20908</v>
      </c>
      <c r="CO306" t="s">
        <v>20908</v>
      </c>
    </row>
    <row r="307" spans="1:93" hidden="1">
      <c r="A307" t="s">
        <v>495</v>
      </c>
      <c r="B307">
        <v>5103484</v>
      </c>
      <c r="C307" t="s">
        <v>20909</v>
      </c>
      <c r="D307" t="s">
        <v>21661</v>
      </c>
      <c r="E307" t="s">
        <v>14415</v>
      </c>
      <c r="F307" t="s">
        <v>848</v>
      </c>
      <c r="G307" t="s">
        <v>98</v>
      </c>
      <c r="H307" t="s">
        <v>23128</v>
      </c>
      <c r="I307" t="s">
        <v>100</v>
      </c>
      <c r="J307">
        <v>406759</v>
      </c>
      <c r="K307">
        <v>479976</v>
      </c>
      <c r="L307">
        <v>0</v>
      </c>
      <c r="M307">
        <v>0</v>
      </c>
      <c r="O307">
        <v>0</v>
      </c>
      <c r="P307">
        <v>0</v>
      </c>
      <c r="R307">
        <v>406759</v>
      </c>
      <c r="S307">
        <v>120</v>
      </c>
      <c r="T307" t="s">
        <v>9442</v>
      </c>
      <c r="U307" t="s">
        <v>102</v>
      </c>
      <c r="V307" t="s">
        <v>275</v>
      </c>
      <c r="X307" t="s">
        <v>14415</v>
      </c>
      <c r="Y307" t="s">
        <v>109</v>
      </c>
      <c r="Z307" t="s">
        <v>102</v>
      </c>
      <c r="AA307" t="s">
        <v>109</v>
      </c>
      <c r="AB307" t="s">
        <v>102</v>
      </c>
      <c r="AC307" t="s">
        <v>109</v>
      </c>
      <c r="AD307" t="s">
        <v>102</v>
      </c>
      <c r="AE307" t="s">
        <v>109</v>
      </c>
      <c r="AF307" t="s">
        <v>102</v>
      </c>
      <c r="AG307" t="s">
        <v>102</v>
      </c>
      <c r="AH307" t="s">
        <v>12430</v>
      </c>
      <c r="AI307" t="s">
        <v>12430</v>
      </c>
      <c r="AJ307" t="s">
        <v>23129</v>
      </c>
      <c r="AK307" t="s">
        <v>23130</v>
      </c>
      <c r="AL307" t="s">
        <v>23131</v>
      </c>
      <c r="AM307" t="s">
        <v>6263</v>
      </c>
      <c r="AN307" t="s">
        <v>6263</v>
      </c>
      <c r="AS307" t="s">
        <v>102</v>
      </c>
      <c r="AU307" t="s">
        <v>102</v>
      </c>
      <c r="AV307" t="s">
        <v>119</v>
      </c>
      <c r="AY307" t="s">
        <v>250</v>
      </c>
      <c r="AZ307" t="s">
        <v>20914</v>
      </c>
      <c r="BA307" t="s">
        <v>920</v>
      </c>
      <c r="BB307" t="s">
        <v>211</v>
      </c>
      <c r="BC307" t="s">
        <v>212</v>
      </c>
      <c r="BD307" t="s">
        <v>213</v>
      </c>
      <c r="BE307" t="s">
        <v>124</v>
      </c>
      <c r="BF307" t="s">
        <v>19143</v>
      </c>
      <c r="BG307" t="s">
        <v>21806</v>
      </c>
      <c r="BH307" t="s">
        <v>127</v>
      </c>
      <c r="BI307" t="s">
        <v>23132</v>
      </c>
      <c r="BJ307" t="s">
        <v>20916</v>
      </c>
      <c r="BK307" t="s">
        <v>20917</v>
      </c>
      <c r="BL307" t="s">
        <v>14415</v>
      </c>
      <c r="BM307" t="s">
        <v>1309</v>
      </c>
      <c r="BN307" t="s">
        <v>180</v>
      </c>
      <c r="BO307" t="s">
        <v>1310</v>
      </c>
      <c r="BP307" t="s">
        <v>1311</v>
      </c>
      <c r="BQ307" t="s">
        <v>1312</v>
      </c>
      <c r="BS307" t="s">
        <v>23133</v>
      </c>
      <c r="BT307" t="s">
        <v>23134</v>
      </c>
      <c r="BU307" t="s">
        <v>354</v>
      </c>
      <c r="BV307" t="s">
        <v>20922</v>
      </c>
      <c r="BW307" t="s">
        <v>20923</v>
      </c>
      <c r="BX307" t="s">
        <v>20922</v>
      </c>
      <c r="BY307" t="s">
        <v>23134</v>
      </c>
      <c r="BZ307" t="s">
        <v>20922</v>
      </c>
      <c r="CA307" t="s">
        <v>20923</v>
      </c>
      <c r="CB307" t="s">
        <v>23134</v>
      </c>
      <c r="CC307" t="s">
        <v>20922</v>
      </c>
      <c r="CD307" t="s">
        <v>20923</v>
      </c>
      <c r="CE307" t="s">
        <v>5007</v>
      </c>
      <c r="CF307" t="s">
        <v>20924</v>
      </c>
      <c r="CH307" t="s">
        <v>932</v>
      </c>
      <c r="CI307" t="s">
        <v>20924</v>
      </c>
      <c r="CJ307" t="s">
        <v>920</v>
      </c>
      <c r="CK307" t="s">
        <v>211</v>
      </c>
      <c r="CL307" t="s">
        <v>932</v>
      </c>
      <c r="CN307" t="s">
        <v>20925</v>
      </c>
      <c r="CO307" t="s">
        <v>20925</v>
      </c>
    </row>
    <row r="308" spans="1:93">
      <c r="A308" t="s">
        <v>337</v>
      </c>
      <c r="B308">
        <v>5104191</v>
      </c>
      <c r="C308" t="s">
        <v>23135</v>
      </c>
      <c r="D308" t="s">
        <v>21661</v>
      </c>
      <c r="E308" t="s">
        <v>14415</v>
      </c>
      <c r="F308" t="s">
        <v>643</v>
      </c>
      <c r="G308" t="s">
        <v>98</v>
      </c>
      <c r="H308" t="s">
        <v>23136</v>
      </c>
      <c r="I308" t="s">
        <v>100</v>
      </c>
      <c r="J308">
        <v>575072</v>
      </c>
      <c r="K308">
        <v>632752</v>
      </c>
      <c r="L308">
        <v>0</v>
      </c>
      <c r="M308">
        <v>0</v>
      </c>
      <c r="O308">
        <v>254625</v>
      </c>
      <c r="P308">
        <v>150</v>
      </c>
      <c r="Q308" t="s">
        <v>23137</v>
      </c>
      <c r="R308">
        <v>320447</v>
      </c>
      <c r="S308">
        <v>270</v>
      </c>
      <c r="T308" t="s">
        <v>23138</v>
      </c>
      <c r="U308" t="s">
        <v>102</v>
      </c>
      <c r="V308" t="s">
        <v>103</v>
      </c>
      <c r="W308" t="s">
        <v>155</v>
      </c>
      <c r="Y308" t="s">
        <v>12250</v>
      </c>
      <c r="Z308" t="s">
        <v>23139</v>
      </c>
      <c r="AA308" t="s">
        <v>21826</v>
      </c>
      <c r="AB308" t="s">
        <v>23139</v>
      </c>
      <c r="AC308" t="s">
        <v>21828</v>
      </c>
      <c r="AD308" t="s">
        <v>23139</v>
      </c>
      <c r="AE308" t="s">
        <v>21821</v>
      </c>
      <c r="AF308" t="s">
        <v>23139</v>
      </c>
      <c r="AG308" t="s">
        <v>102</v>
      </c>
      <c r="AH308" t="s">
        <v>17126</v>
      </c>
      <c r="AI308" t="s">
        <v>17126</v>
      </c>
      <c r="AJ308" t="s">
        <v>23139</v>
      </c>
      <c r="AK308" t="s">
        <v>5007</v>
      </c>
      <c r="AL308" t="s">
        <v>24593</v>
      </c>
      <c r="AM308" t="s">
        <v>23140</v>
      </c>
      <c r="AN308" t="s">
        <v>23140</v>
      </c>
      <c r="AS308" t="s">
        <v>102</v>
      </c>
      <c r="AU308" t="s">
        <v>655</v>
      </c>
      <c r="AV308" t="s">
        <v>249</v>
      </c>
      <c r="AW308" t="s">
        <v>170</v>
      </c>
      <c r="AX308" t="s">
        <v>118</v>
      </c>
      <c r="AY308" t="s">
        <v>250</v>
      </c>
      <c r="AZ308" t="s">
        <v>120</v>
      </c>
      <c r="BA308" t="s">
        <v>21830</v>
      </c>
      <c r="BB308" t="s">
        <v>1208</v>
      </c>
      <c r="BC308" t="s">
        <v>174</v>
      </c>
      <c r="BD308" t="s">
        <v>1172</v>
      </c>
      <c r="BE308" t="s">
        <v>124</v>
      </c>
      <c r="BF308" t="s">
        <v>12250</v>
      </c>
      <c r="BG308" t="s">
        <v>21667</v>
      </c>
      <c r="BH308" t="s">
        <v>127</v>
      </c>
      <c r="BI308" t="s">
        <v>23141</v>
      </c>
      <c r="BJ308" t="s">
        <v>23142</v>
      </c>
      <c r="BK308" t="s">
        <v>23143</v>
      </c>
      <c r="BL308" t="s">
        <v>14415</v>
      </c>
      <c r="BM308" t="s">
        <v>1212</v>
      </c>
      <c r="BN308" t="s">
        <v>180</v>
      </c>
      <c r="BO308" t="s">
        <v>1213</v>
      </c>
      <c r="BP308" t="s">
        <v>1214</v>
      </c>
      <c r="BQ308" t="s">
        <v>7515</v>
      </c>
      <c r="BS308" t="s">
        <v>23144</v>
      </c>
      <c r="BT308" t="s">
        <v>23145</v>
      </c>
      <c r="BU308" t="s">
        <v>354</v>
      </c>
      <c r="BV308" t="s">
        <v>23146</v>
      </c>
      <c r="BW308" t="s">
        <v>23147</v>
      </c>
      <c r="BX308" t="s">
        <v>23146</v>
      </c>
      <c r="BY308" t="s">
        <v>23148</v>
      </c>
      <c r="BZ308" t="s">
        <v>23146</v>
      </c>
      <c r="CA308" t="s">
        <v>23149</v>
      </c>
      <c r="CB308" t="s">
        <v>23148</v>
      </c>
      <c r="CC308" t="s">
        <v>23146</v>
      </c>
      <c r="CD308" t="s">
        <v>23149</v>
      </c>
      <c r="CE308" t="s">
        <v>1538</v>
      </c>
      <c r="CF308" t="s">
        <v>23150</v>
      </c>
      <c r="CH308" t="s">
        <v>23151</v>
      </c>
      <c r="CI308" t="s">
        <v>23152</v>
      </c>
      <c r="CJ308" t="s">
        <v>21830</v>
      </c>
      <c r="CK308" t="s">
        <v>1208</v>
      </c>
      <c r="CL308" t="s">
        <v>23151</v>
      </c>
      <c r="CN308" t="s">
        <v>23152</v>
      </c>
      <c r="CO308" t="s">
        <v>23152</v>
      </c>
    </row>
    <row r="309" spans="1:93">
      <c r="A309" t="s">
        <v>337</v>
      </c>
      <c r="B309">
        <v>5104349</v>
      </c>
      <c r="C309" t="s">
        <v>23153</v>
      </c>
      <c r="D309" t="s">
        <v>21661</v>
      </c>
      <c r="E309" t="s">
        <v>12859</v>
      </c>
      <c r="F309" t="s">
        <v>848</v>
      </c>
      <c r="G309" t="s">
        <v>98</v>
      </c>
      <c r="H309" t="s">
        <v>23154</v>
      </c>
      <c r="I309" t="s">
        <v>100</v>
      </c>
      <c r="J309">
        <v>356021</v>
      </c>
      <c r="K309">
        <v>420105</v>
      </c>
      <c r="L309">
        <v>0</v>
      </c>
      <c r="M309">
        <v>0</v>
      </c>
      <c r="O309">
        <v>0</v>
      </c>
      <c r="P309">
        <v>0</v>
      </c>
      <c r="R309">
        <v>356021</v>
      </c>
      <c r="S309">
        <v>350</v>
      </c>
      <c r="T309" t="s">
        <v>3924</v>
      </c>
      <c r="U309" t="s">
        <v>102</v>
      </c>
      <c r="V309" t="s">
        <v>103</v>
      </c>
      <c r="W309" t="s">
        <v>155</v>
      </c>
      <c r="Y309" t="s">
        <v>12250</v>
      </c>
      <c r="Z309" t="s">
        <v>23155</v>
      </c>
      <c r="AA309" t="s">
        <v>21664</v>
      </c>
      <c r="AB309" t="s">
        <v>23155</v>
      </c>
      <c r="AC309" t="s">
        <v>21665</v>
      </c>
      <c r="AD309" t="s">
        <v>23155</v>
      </c>
      <c r="AE309" t="s">
        <v>21687</v>
      </c>
      <c r="AF309" t="s">
        <v>23155</v>
      </c>
      <c r="AG309" t="s">
        <v>102</v>
      </c>
      <c r="AH309" t="s">
        <v>17302</v>
      </c>
      <c r="AI309" t="s">
        <v>17302</v>
      </c>
      <c r="AJ309" t="s">
        <v>23155</v>
      </c>
      <c r="AK309" t="s">
        <v>1221</v>
      </c>
      <c r="AL309" t="s">
        <v>24594</v>
      </c>
      <c r="AM309" t="s">
        <v>2353</v>
      </c>
      <c r="AN309" t="s">
        <v>2353</v>
      </c>
      <c r="AS309" t="s">
        <v>102</v>
      </c>
      <c r="AU309" t="s">
        <v>102</v>
      </c>
      <c r="AV309" t="s">
        <v>119</v>
      </c>
      <c r="AY309" t="s">
        <v>250</v>
      </c>
      <c r="AZ309" t="s">
        <v>120</v>
      </c>
      <c r="BA309" t="s">
        <v>375</v>
      </c>
      <c r="BB309" t="s">
        <v>376</v>
      </c>
      <c r="BC309" t="s">
        <v>174</v>
      </c>
      <c r="BD309" t="s">
        <v>376</v>
      </c>
      <c r="BE309" t="s">
        <v>124</v>
      </c>
      <c r="BF309" t="s">
        <v>12250</v>
      </c>
      <c r="BG309" t="s">
        <v>21667</v>
      </c>
      <c r="BH309" t="s">
        <v>127</v>
      </c>
      <c r="BI309" t="s">
        <v>23156</v>
      </c>
      <c r="BJ309" t="s">
        <v>23157</v>
      </c>
      <c r="BK309" t="s">
        <v>23158</v>
      </c>
      <c r="BL309" t="s">
        <v>12859</v>
      </c>
      <c r="BM309" t="s">
        <v>22828</v>
      </c>
      <c r="BN309" t="s">
        <v>180</v>
      </c>
      <c r="BO309" t="s">
        <v>22829</v>
      </c>
      <c r="BP309" t="s">
        <v>22830</v>
      </c>
      <c r="BQ309" t="s">
        <v>1834</v>
      </c>
      <c r="BS309" t="s">
        <v>23159</v>
      </c>
      <c r="BT309" t="s">
        <v>23160</v>
      </c>
      <c r="BU309" t="s">
        <v>138</v>
      </c>
      <c r="BV309" t="s">
        <v>23161</v>
      </c>
      <c r="BW309" t="s">
        <v>23162</v>
      </c>
      <c r="BX309" t="s">
        <v>23163</v>
      </c>
      <c r="BY309" t="s">
        <v>23160</v>
      </c>
      <c r="BZ309" t="s">
        <v>23161</v>
      </c>
      <c r="CA309" t="s">
        <v>23162</v>
      </c>
      <c r="CB309" t="s">
        <v>23160</v>
      </c>
      <c r="CC309" t="s">
        <v>23161</v>
      </c>
      <c r="CD309" t="s">
        <v>23162</v>
      </c>
      <c r="CE309" t="s">
        <v>102</v>
      </c>
      <c r="CF309" t="s">
        <v>23164</v>
      </c>
      <c r="CH309" t="s">
        <v>23165</v>
      </c>
      <c r="CJ309" t="s">
        <v>375</v>
      </c>
      <c r="CK309" t="s">
        <v>376</v>
      </c>
      <c r="CL309" t="s">
        <v>23165</v>
      </c>
      <c r="CN309" t="s">
        <v>23164</v>
      </c>
      <c r="CO309" t="s">
        <v>23166</v>
      </c>
    </row>
    <row r="310" spans="1:93">
      <c r="A310" t="s">
        <v>337</v>
      </c>
      <c r="B310">
        <v>5106830</v>
      </c>
      <c r="C310" t="s">
        <v>23167</v>
      </c>
      <c r="D310" t="s">
        <v>21661</v>
      </c>
      <c r="E310" t="s">
        <v>24595</v>
      </c>
      <c r="F310" t="s">
        <v>193</v>
      </c>
      <c r="G310" t="s">
        <v>98</v>
      </c>
      <c r="H310" t="s">
        <v>24596</v>
      </c>
      <c r="I310" t="s">
        <v>100</v>
      </c>
      <c r="J310">
        <v>222009</v>
      </c>
      <c r="K310">
        <v>254411</v>
      </c>
      <c r="L310">
        <v>42000</v>
      </c>
      <c r="M310">
        <v>50</v>
      </c>
      <c r="N310" t="s">
        <v>1872</v>
      </c>
      <c r="O310">
        <v>0</v>
      </c>
      <c r="P310">
        <v>0</v>
      </c>
      <c r="R310">
        <v>180009</v>
      </c>
      <c r="S310">
        <v>75</v>
      </c>
      <c r="T310" t="s">
        <v>4372</v>
      </c>
      <c r="U310" t="s">
        <v>102</v>
      </c>
      <c r="V310" t="s">
        <v>275</v>
      </c>
      <c r="X310" t="s">
        <v>24597</v>
      </c>
      <c r="Y310" t="s">
        <v>109</v>
      </c>
      <c r="Z310" t="s">
        <v>102</v>
      </c>
      <c r="AA310" t="s">
        <v>109</v>
      </c>
      <c r="AB310" t="s">
        <v>102</v>
      </c>
      <c r="AC310" t="s">
        <v>109</v>
      </c>
      <c r="AD310" t="s">
        <v>102</v>
      </c>
      <c r="AE310" t="s">
        <v>109</v>
      </c>
      <c r="AF310" t="s">
        <v>102</v>
      </c>
      <c r="AG310" t="s">
        <v>102</v>
      </c>
      <c r="AH310" t="s">
        <v>13131</v>
      </c>
      <c r="AI310" t="s">
        <v>13131</v>
      </c>
      <c r="AJ310" t="s">
        <v>24598</v>
      </c>
      <c r="AK310" t="s">
        <v>24599</v>
      </c>
      <c r="AL310" t="s">
        <v>24600</v>
      </c>
      <c r="AM310" t="s">
        <v>24601</v>
      </c>
      <c r="AN310" t="s">
        <v>24602</v>
      </c>
      <c r="AO310" t="s">
        <v>102</v>
      </c>
      <c r="AP310" t="s">
        <v>102</v>
      </c>
      <c r="AQ310" t="s">
        <v>102</v>
      </c>
      <c r="AR310" t="s">
        <v>102</v>
      </c>
      <c r="AS310" t="s">
        <v>318</v>
      </c>
      <c r="AT310" t="s">
        <v>118</v>
      </c>
      <c r="AU310" t="s">
        <v>102</v>
      </c>
      <c r="AV310" t="s">
        <v>119</v>
      </c>
      <c r="AY310" t="s">
        <v>250</v>
      </c>
      <c r="AZ310" t="s">
        <v>120</v>
      </c>
      <c r="BA310" t="s">
        <v>4889</v>
      </c>
      <c r="BB310" t="s">
        <v>730</v>
      </c>
      <c r="BC310" t="s">
        <v>622</v>
      </c>
      <c r="BD310" t="s">
        <v>730</v>
      </c>
      <c r="BE310" t="s">
        <v>124</v>
      </c>
      <c r="BF310" t="s">
        <v>12250</v>
      </c>
      <c r="BG310" t="s">
        <v>21667</v>
      </c>
      <c r="BH310" t="s">
        <v>127</v>
      </c>
      <c r="BI310" t="s">
        <v>24603</v>
      </c>
      <c r="BJ310" t="s">
        <v>23168</v>
      </c>
      <c r="BK310" t="s">
        <v>23169</v>
      </c>
      <c r="BL310" t="s">
        <v>24595</v>
      </c>
      <c r="BM310" t="s">
        <v>5197</v>
      </c>
      <c r="BN310" t="s">
        <v>696</v>
      </c>
      <c r="BO310" t="s">
        <v>5198</v>
      </c>
      <c r="BP310" t="s">
        <v>5199</v>
      </c>
      <c r="BQ310" t="s">
        <v>5199</v>
      </c>
      <c r="BS310" t="s">
        <v>24604</v>
      </c>
      <c r="BT310" t="s">
        <v>23170</v>
      </c>
      <c r="BU310" t="s">
        <v>138</v>
      </c>
      <c r="BV310" t="s">
        <v>23171</v>
      </c>
      <c r="BW310" t="s">
        <v>23172</v>
      </c>
      <c r="BX310" t="s">
        <v>23173</v>
      </c>
      <c r="BY310" t="s">
        <v>23174</v>
      </c>
      <c r="BZ310" t="s">
        <v>23173</v>
      </c>
      <c r="CA310" t="s">
        <v>23172</v>
      </c>
      <c r="CB310" t="s">
        <v>23174</v>
      </c>
      <c r="CC310" t="s">
        <v>23173</v>
      </c>
      <c r="CD310" t="s">
        <v>23172</v>
      </c>
      <c r="CE310" t="s">
        <v>23175</v>
      </c>
      <c r="CF310" t="s">
        <v>23176</v>
      </c>
      <c r="CH310" t="s">
        <v>6762</v>
      </c>
      <c r="CI310" t="s">
        <v>23177</v>
      </c>
      <c r="CJ310" t="s">
        <v>4889</v>
      </c>
      <c r="CK310" t="s">
        <v>730</v>
      </c>
      <c r="CL310" t="s">
        <v>6762</v>
      </c>
      <c r="CN310" t="s">
        <v>23178</v>
      </c>
      <c r="CO310" t="s">
        <v>23178</v>
      </c>
    </row>
    <row r="311" spans="1:93" hidden="1">
      <c r="A311" t="s">
        <v>93</v>
      </c>
      <c r="B311">
        <v>5107064</v>
      </c>
      <c r="C311" t="s">
        <v>24605</v>
      </c>
      <c r="D311" t="s">
        <v>21661</v>
      </c>
      <c r="E311" t="s">
        <v>25364</v>
      </c>
      <c r="F311" t="s">
        <v>848</v>
      </c>
      <c r="G311" t="s">
        <v>98</v>
      </c>
      <c r="H311" t="s">
        <v>25365</v>
      </c>
      <c r="I311" t="s">
        <v>100</v>
      </c>
      <c r="J311">
        <v>273064</v>
      </c>
      <c r="K311">
        <v>322216</v>
      </c>
      <c r="L311">
        <v>0</v>
      </c>
      <c r="M311">
        <v>0</v>
      </c>
      <c r="O311">
        <v>0</v>
      </c>
      <c r="P311">
        <v>0</v>
      </c>
      <c r="R311">
        <v>273064</v>
      </c>
      <c r="S311">
        <v>199</v>
      </c>
      <c r="T311" t="s">
        <v>25366</v>
      </c>
      <c r="U311" t="s">
        <v>102</v>
      </c>
      <c r="V311" t="s">
        <v>679</v>
      </c>
      <c r="W311" t="s">
        <v>155</v>
      </c>
      <c r="X311" t="s">
        <v>20476</v>
      </c>
      <c r="Y311" t="s">
        <v>25367</v>
      </c>
      <c r="Z311" t="s">
        <v>25368</v>
      </c>
      <c r="AA311" t="s">
        <v>25369</v>
      </c>
      <c r="AB311" t="s">
        <v>25368</v>
      </c>
      <c r="AC311" t="s">
        <v>25370</v>
      </c>
      <c r="AD311" t="s">
        <v>25368</v>
      </c>
      <c r="AE311" t="s">
        <v>23951</v>
      </c>
      <c r="AF311" t="s">
        <v>25368</v>
      </c>
      <c r="AG311" t="s">
        <v>102</v>
      </c>
      <c r="AJ311" t="s">
        <v>25368</v>
      </c>
      <c r="AK311" t="s">
        <v>102</v>
      </c>
      <c r="AL311" t="s">
        <v>25368</v>
      </c>
      <c r="AM311" t="s">
        <v>25371</v>
      </c>
      <c r="AN311" t="s">
        <v>25371</v>
      </c>
      <c r="AS311" t="s">
        <v>102</v>
      </c>
      <c r="AU311" t="s">
        <v>102</v>
      </c>
      <c r="AV311" t="s">
        <v>119</v>
      </c>
      <c r="AY311" t="s">
        <v>250</v>
      </c>
      <c r="AZ311" t="s">
        <v>120</v>
      </c>
      <c r="BA311" t="s">
        <v>18154</v>
      </c>
      <c r="BB311" t="s">
        <v>1171</v>
      </c>
      <c r="BC311" t="s">
        <v>174</v>
      </c>
      <c r="BD311" t="s">
        <v>1172</v>
      </c>
      <c r="BE311" t="s">
        <v>124</v>
      </c>
      <c r="BF311" t="s">
        <v>12250</v>
      </c>
      <c r="BG311" t="s">
        <v>21667</v>
      </c>
      <c r="BH311" t="s">
        <v>127</v>
      </c>
      <c r="BI311" t="s">
        <v>25372</v>
      </c>
      <c r="BJ311" t="s">
        <v>20930</v>
      </c>
      <c r="BK311" t="s">
        <v>25373</v>
      </c>
      <c r="BL311" t="s">
        <v>25364</v>
      </c>
      <c r="BM311" t="s">
        <v>5557</v>
      </c>
      <c r="BN311" t="s">
        <v>180</v>
      </c>
      <c r="BO311" t="s">
        <v>5558</v>
      </c>
      <c r="BP311" t="s">
        <v>5559</v>
      </c>
      <c r="BQ311" t="s">
        <v>5560</v>
      </c>
      <c r="BS311" t="s">
        <v>25374</v>
      </c>
      <c r="BT311" t="s">
        <v>25375</v>
      </c>
      <c r="BU311" t="s">
        <v>354</v>
      </c>
      <c r="BV311" t="s">
        <v>18161</v>
      </c>
      <c r="BW311" t="s">
        <v>24606</v>
      </c>
      <c r="BX311" t="s">
        <v>18161</v>
      </c>
      <c r="BY311" t="s">
        <v>25376</v>
      </c>
      <c r="BZ311" t="s">
        <v>18161</v>
      </c>
      <c r="CA311" t="s">
        <v>25377</v>
      </c>
      <c r="CB311" t="s">
        <v>25376</v>
      </c>
      <c r="CC311" t="s">
        <v>18161</v>
      </c>
      <c r="CD311" t="s">
        <v>25377</v>
      </c>
      <c r="CE311" t="s">
        <v>7523</v>
      </c>
      <c r="CF311" t="s">
        <v>20936</v>
      </c>
      <c r="CH311" t="s">
        <v>20937</v>
      </c>
      <c r="CI311" t="s">
        <v>20938</v>
      </c>
      <c r="CJ311" t="s">
        <v>18154</v>
      </c>
      <c r="CK311" t="s">
        <v>1171</v>
      </c>
      <c r="CL311" t="s">
        <v>20937</v>
      </c>
      <c r="CN311" t="s">
        <v>20938</v>
      </c>
      <c r="CO311" t="s">
        <v>20938</v>
      </c>
    </row>
    <row r="312" spans="1:93">
      <c r="A312" t="s">
        <v>337</v>
      </c>
      <c r="B312">
        <v>5107149</v>
      </c>
      <c r="C312" t="s">
        <v>23179</v>
      </c>
      <c r="D312" t="s">
        <v>21661</v>
      </c>
      <c r="E312" t="s">
        <v>21711</v>
      </c>
      <c r="F312" t="s">
        <v>643</v>
      </c>
      <c r="G312" t="s">
        <v>98</v>
      </c>
      <c r="H312" t="s">
        <v>23180</v>
      </c>
      <c r="I312" t="s">
        <v>100</v>
      </c>
      <c r="J312">
        <v>504938</v>
      </c>
      <c r="K312">
        <v>520235</v>
      </c>
      <c r="L312">
        <v>0</v>
      </c>
      <c r="M312">
        <v>0</v>
      </c>
      <c r="O312">
        <v>419952</v>
      </c>
      <c r="P312">
        <v>300</v>
      </c>
      <c r="Q312" t="s">
        <v>4289</v>
      </c>
      <c r="R312">
        <v>84986</v>
      </c>
      <c r="S312">
        <v>50</v>
      </c>
      <c r="T312" t="s">
        <v>1469</v>
      </c>
      <c r="U312" t="s">
        <v>102</v>
      </c>
      <c r="V312" t="s">
        <v>103</v>
      </c>
      <c r="W312" t="s">
        <v>155</v>
      </c>
      <c r="Y312" t="s">
        <v>21711</v>
      </c>
      <c r="Z312" t="s">
        <v>23181</v>
      </c>
      <c r="AA312" t="s">
        <v>12720</v>
      </c>
      <c r="AB312" t="s">
        <v>23181</v>
      </c>
      <c r="AC312" t="s">
        <v>21686</v>
      </c>
      <c r="AD312" t="s">
        <v>23181</v>
      </c>
      <c r="AE312" t="s">
        <v>21687</v>
      </c>
      <c r="AF312" t="s">
        <v>23181</v>
      </c>
      <c r="AG312" t="s">
        <v>102</v>
      </c>
      <c r="AH312" t="s">
        <v>12716</v>
      </c>
      <c r="AI312" t="s">
        <v>12716</v>
      </c>
      <c r="AJ312" t="s">
        <v>23181</v>
      </c>
      <c r="AK312" t="s">
        <v>9607</v>
      </c>
      <c r="AL312" t="s">
        <v>23182</v>
      </c>
      <c r="AM312" t="s">
        <v>23183</v>
      </c>
      <c r="AN312" t="s">
        <v>23183</v>
      </c>
      <c r="AS312" t="s">
        <v>102</v>
      </c>
      <c r="AU312" t="s">
        <v>655</v>
      </c>
      <c r="AV312" t="s">
        <v>119</v>
      </c>
      <c r="AW312" t="s">
        <v>170</v>
      </c>
      <c r="AX312" t="s">
        <v>118</v>
      </c>
      <c r="AY312" t="s">
        <v>250</v>
      </c>
      <c r="AZ312" t="s">
        <v>120</v>
      </c>
      <c r="BA312" t="s">
        <v>23184</v>
      </c>
      <c r="BB312" t="s">
        <v>252</v>
      </c>
      <c r="BC312" t="s">
        <v>122</v>
      </c>
      <c r="BD312" t="s">
        <v>253</v>
      </c>
      <c r="BE312" t="s">
        <v>124</v>
      </c>
      <c r="BF312" t="s">
        <v>21784</v>
      </c>
      <c r="BG312" t="s">
        <v>21667</v>
      </c>
      <c r="BH312" t="s">
        <v>127</v>
      </c>
      <c r="BI312" t="s">
        <v>23185</v>
      </c>
      <c r="BJ312" t="s">
        <v>23186</v>
      </c>
      <c r="BK312" t="s">
        <v>23187</v>
      </c>
      <c r="BL312" t="s">
        <v>21711</v>
      </c>
      <c r="BM312" t="s">
        <v>12453</v>
      </c>
      <c r="BN312" t="s">
        <v>505</v>
      </c>
      <c r="BO312" t="s">
        <v>12454</v>
      </c>
      <c r="BP312" t="s">
        <v>12455</v>
      </c>
      <c r="BQ312" t="s">
        <v>1111</v>
      </c>
      <c r="BR312" t="s">
        <v>1111</v>
      </c>
      <c r="BS312" t="s">
        <v>23188</v>
      </c>
      <c r="BT312" t="s">
        <v>23189</v>
      </c>
      <c r="BU312" t="s">
        <v>354</v>
      </c>
      <c r="BV312" t="s">
        <v>23190</v>
      </c>
      <c r="BW312" t="s">
        <v>23191</v>
      </c>
      <c r="BX312" t="s">
        <v>23190</v>
      </c>
      <c r="BY312" t="s">
        <v>23192</v>
      </c>
      <c r="BZ312" t="s">
        <v>23190</v>
      </c>
      <c r="CA312" t="s">
        <v>23193</v>
      </c>
      <c r="CB312" t="s">
        <v>23192</v>
      </c>
      <c r="CC312" t="s">
        <v>23190</v>
      </c>
      <c r="CD312" t="s">
        <v>23193</v>
      </c>
      <c r="CE312" t="s">
        <v>102</v>
      </c>
      <c r="CF312" t="s">
        <v>23194</v>
      </c>
      <c r="CH312" t="s">
        <v>23195</v>
      </c>
      <c r="CJ312" t="s">
        <v>23184</v>
      </c>
      <c r="CK312" t="s">
        <v>252</v>
      </c>
      <c r="CL312" t="s">
        <v>23195</v>
      </c>
      <c r="CN312" t="s">
        <v>23196</v>
      </c>
      <c r="CO312" t="s">
        <v>23196</v>
      </c>
    </row>
    <row r="313" spans="1:93">
      <c r="A313" t="s">
        <v>337</v>
      </c>
      <c r="B313">
        <v>5107387</v>
      </c>
      <c r="C313" t="s">
        <v>23197</v>
      </c>
      <c r="D313" t="s">
        <v>21661</v>
      </c>
      <c r="E313" t="s">
        <v>19723</v>
      </c>
      <c r="F313" t="s">
        <v>848</v>
      </c>
      <c r="G313" t="s">
        <v>98</v>
      </c>
      <c r="H313" t="s">
        <v>23198</v>
      </c>
      <c r="I313" t="s">
        <v>100</v>
      </c>
      <c r="J313">
        <v>381543</v>
      </c>
      <c r="K313">
        <v>450221</v>
      </c>
      <c r="L313">
        <v>0</v>
      </c>
      <c r="M313">
        <v>0</v>
      </c>
      <c r="O313">
        <v>0</v>
      </c>
      <c r="P313">
        <v>0</v>
      </c>
      <c r="R313">
        <v>381543</v>
      </c>
      <c r="S313">
        <v>350</v>
      </c>
      <c r="T313" t="s">
        <v>14424</v>
      </c>
      <c r="U313" t="s">
        <v>102</v>
      </c>
      <c r="V313" t="s">
        <v>103</v>
      </c>
      <c r="W313" t="s">
        <v>155</v>
      </c>
      <c r="Y313" t="s">
        <v>19723</v>
      </c>
      <c r="Z313" t="s">
        <v>23199</v>
      </c>
      <c r="AA313" t="s">
        <v>22188</v>
      </c>
      <c r="AB313" t="s">
        <v>23199</v>
      </c>
      <c r="AC313" t="s">
        <v>22190</v>
      </c>
      <c r="AD313" t="s">
        <v>23199</v>
      </c>
      <c r="AE313" t="s">
        <v>21872</v>
      </c>
      <c r="AF313" t="s">
        <v>23199</v>
      </c>
      <c r="AG313" t="s">
        <v>102</v>
      </c>
      <c r="AH313" t="s">
        <v>15141</v>
      </c>
      <c r="AI313" t="s">
        <v>15141</v>
      </c>
      <c r="AJ313" t="s">
        <v>23199</v>
      </c>
      <c r="AK313" t="s">
        <v>23200</v>
      </c>
      <c r="AL313" t="s">
        <v>23201</v>
      </c>
      <c r="AM313" t="s">
        <v>23202</v>
      </c>
      <c r="AN313" t="s">
        <v>23202</v>
      </c>
      <c r="AS313" t="s">
        <v>102</v>
      </c>
      <c r="AU313" t="s">
        <v>102</v>
      </c>
      <c r="AV313" t="s">
        <v>119</v>
      </c>
      <c r="AY313" t="s">
        <v>250</v>
      </c>
      <c r="AZ313" t="s">
        <v>120</v>
      </c>
      <c r="BA313" t="s">
        <v>3239</v>
      </c>
      <c r="BB313" t="s">
        <v>449</v>
      </c>
      <c r="BC313" t="s">
        <v>122</v>
      </c>
      <c r="BD313" t="s">
        <v>253</v>
      </c>
      <c r="BE313" t="s">
        <v>124</v>
      </c>
      <c r="BF313" t="s">
        <v>12250</v>
      </c>
      <c r="BG313" t="s">
        <v>21667</v>
      </c>
      <c r="BH313" t="s">
        <v>127</v>
      </c>
      <c r="BI313" t="s">
        <v>23203</v>
      </c>
      <c r="BJ313" t="s">
        <v>23204</v>
      </c>
      <c r="BK313" t="s">
        <v>23205</v>
      </c>
      <c r="BL313" t="s">
        <v>19723</v>
      </c>
      <c r="BM313" t="s">
        <v>3243</v>
      </c>
      <c r="BN313" t="s">
        <v>350</v>
      </c>
      <c r="BO313" t="s">
        <v>3244</v>
      </c>
      <c r="BP313" t="s">
        <v>3245</v>
      </c>
      <c r="BQ313" t="s">
        <v>1111</v>
      </c>
      <c r="BR313" t="s">
        <v>1111</v>
      </c>
      <c r="BS313" t="s">
        <v>23206</v>
      </c>
      <c r="BT313" t="s">
        <v>23207</v>
      </c>
      <c r="BU313" t="s">
        <v>354</v>
      </c>
      <c r="BV313" t="s">
        <v>23208</v>
      </c>
      <c r="BW313" t="s">
        <v>23209</v>
      </c>
      <c r="BX313" t="s">
        <v>23210</v>
      </c>
      <c r="BY313" t="s">
        <v>23207</v>
      </c>
      <c r="BZ313" t="s">
        <v>23208</v>
      </c>
      <c r="CA313" t="s">
        <v>23209</v>
      </c>
      <c r="CB313" t="s">
        <v>23207</v>
      </c>
      <c r="CC313" t="s">
        <v>23208</v>
      </c>
      <c r="CD313" t="s">
        <v>23209</v>
      </c>
      <c r="CE313" t="s">
        <v>102</v>
      </c>
      <c r="CF313" t="s">
        <v>23211</v>
      </c>
      <c r="CH313" t="s">
        <v>23212</v>
      </c>
      <c r="CJ313" t="s">
        <v>3239</v>
      </c>
      <c r="CK313" t="s">
        <v>449</v>
      </c>
      <c r="CL313" t="s">
        <v>23212</v>
      </c>
      <c r="CN313" t="s">
        <v>23211</v>
      </c>
      <c r="CO313" t="s">
        <v>23211</v>
      </c>
    </row>
    <row r="314" spans="1:93">
      <c r="A314" t="s">
        <v>337</v>
      </c>
      <c r="B314">
        <v>5110316</v>
      </c>
      <c r="C314" t="s">
        <v>23213</v>
      </c>
      <c r="D314" t="s">
        <v>21661</v>
      </c>
      <c r="E314" t="s">
        <v>12680</v>
      </c>
      <c r="F314" t="s">
        <v>848</v>
      </c>
      <c r="G314" t="s">
        <v>98</v>
      </c>
      <c r="H314" t="s">
        <v>23214</v>
      </c>
      <c r="I314" t="s">
        <v>100</v>
      </c>
      <c r="J314">
        <v>604058</v>
      </c>
      <c r="K314">
        <v>712788</v>
      </c>
      <c r="L314">
        <v>0</v>
      </c>
      <c r="M314">
        <v>0</v>
      </c>
      <c r="O314">
        <v>0</v>
      </c>
      <c r="P314">
        <v>0</v>
      </c>
      <c r="R314">
        <v>604058</v>
      </c>
      <c r="S314">
        <v>866</v>
      </c>
      <c r="T314" t="s">
        <v>23215</v>
      </c>
      <c r="U314" t="s">
        <v>102</v>
      </c>
      <c r="V314" t="s">
        <v>679</v>
      </c>
      <c r="W314" t="s">
        <v>155</v>
      </c>
      <c r="X314" t="s">
        <v>12680</v>
      </c>
      <c r="Y314" t="s">
        <v>23216</v>
      </c>
      <c r="Z314" t="s">
        <v>23217</v>
      </c>
      <c r="AA314" t="s">
        <v>21772</v>
      </c>
      <c r="AB314" t="s">
        <v>23217</v>
      </c>
      <c r="AC314" t="s">
        <v>21773</v>
      </c>
      <c r="AD314" t="s">
        <v>23217</v>
      </c>
      <c r="AE314" t="s">
        <v>21742</v>
      </c>
      <c r="AF314" t="s">
        <v>23217</v>
      </c>
      <c r="AG314" t="s">
        <v>102</v>
      </c>
      <c r="AH314" t="s">
        <v>12716</v>
      </c>
      <c r="AI314" t="s">
        <v>26402</v>
      </c>
      <c r="AJ314" t="s">
        <v>23217</v>
      </c>
      <c r="AK314" t="s">
        <v>26551</v>
      </c>
      <c r="AL314" t="s">
        <v>26552</v>
      </c>
      <c r="AM314" t="s">
        <v>23218</v>
      </c>
      <c r="AN314" t="s">
        <v>23218</v>
      </c>
      <c r="AS314" t="s">
        <v>102</v>
      </c>
      <c r="AU314" t="s">
        <v>102</v>
      </c>
      <c r="AV314" t="s">
        <v>119</v>
      </c>
      <c r="AY314" t="s">
        <v>250</v>
      </c>
      <c r="AZ314" t="s">
        <v>120</v>
      </c>
      <c r="BA314" t="s">
        <v>20016</v>
      </c>
      <c r="BB314" t="s">
        <v>252</v>
      </c>
      <c r="BC314" t="s">
        <v>122</v>
      </c>
      <c r="BD314" t="s">
        <v>253</v>
      </c>
      <c r="BE314" t="s">
        <v>124</v>
      </c>
      <c r="BF314" t="s">
        <v>12250</v>
      </c>
      <c r="BG314" t="s">
        <v>21667</v>
      </c>
      <c r="BH314" t="s">
        <v>127</v>
      </c>
      <c r="BI314" t="s">
        <v>23219</v>
      </c>
      <c r="BJ314" t="s">
        <v>23220</v>
      </c>
      <c r="BK314" t="s">
        <v>23221</v>
      </c>
      <c r="BL314" t="s">
        <v>12680</v>
      </c>
      <c r="BM314" t="s">
        <v>12453</v>
      </c>
      <c r="BN314" t="s">
        <v>350</v>
      </c>
      <c r="BO314" t="s">
        <v>12454</v>
      </c>
      <c r="BP314" t="s">
        <v>12455</v>
      </c>
      <c r="BQ314" t="s">
        <v>1111</v>
      </c>
      <c r="BR314" t="s">
        <v>1111</v>
      </c>
      <c r="BS314" t="s">
        <v>23222</v>
      </c>
      <c r="BT314" t="s">
        <v>23223</v>
      </c>
      <c r="BU314" t="s">
        <v>354</v>
      </c>
      <c r="BV314" t="s">
        <v>23224</v>
      </c>
      <c r="BW314" t="s">
        <v>23225</v>
      </c>
      <c r="BX314" t="s">
        <v>23224</v>
      </c>
      <c r="BY314" t="s">
        <v>23223</v>
      </c>
      <c r="BZ314" t="s">
        <v>23224</v>
      </c>
      <c r="CA314" t="s">
        <v>23225</v>
      </c>
      <c r="CB314" t="s">
        <v>23223</v>
      </c>
      <c r="CC314" t="s">
        <v>23224</v>
      </c>
      <c r="CD314" t="s">
        <v>23225</v>
      </c>
      <c r="CE314" t="s">
        <v>5471</v>
      </c>
      <c r="CF314" t="s">
        <v>23226</v>
      </c>
      <c r="CH314" t="s">
        <v>23227</v>
      </c>
      <c r="CI314" t="s">
        <v>23228</v>
      </c>
      <c r="CJ314" t="s">
        <v>20016</v>
      </c>
      <c r="CK314" t="s">
        <v>252</v>
      </c>
      <c r="CL314" t="s">
        <v>23227</v>
      </c>
      <c r="CN314" t="s">
        <v>23229</v>
      </c>
      <c r="CO314" t="s">
        <v>23229</v>
      </c>
    </row>
    <row r="315" spans="1:93">
      <c r="A315" t="s">
        <v>337</v>
      </c>
      <c r="B315">
        <v>5110972</v>
      </c>
      <c r="C315" t="s">
        <v>23230</v>
      </c>
      <c r="D315" t="s">
        <v>21661</v>
      </c>
      <c r="E315" t="s">
        <v>24156</v>
      </c>
      <c r="F315" t="s">
        <v>97</v>
      </c>
      <c r="G315" t="s">
        <v>98</v>
      </c>
      <c r="H315" t="s">
        <v>24607</v>
      </c>
      <c r="I315" t="s">
        <v>100</v>
      </c>
      <c r="J315">
        <v>523800</v>
      </c>
      <c r="K315">
        <v>523800</v>
      </c>
      <c r="L315">
        <v>523800</v>
      </c>
      <c r="M315">
        <v>582</v>
      </c>
      <c r="N315" t="s">
        <v>2451</v>
      </c>
      <c r="O315">
        <v>0</v>
      </c>
      <c r="P315">
        <v>0</v>
      </c>
      <c r="R315">
        <v>0</v>
      </c>
      <c r="S315">
        <v>0</v>
      </c>
      <c r="U315" t="s">
        <v>102</v>
      </c>
      <c r="V315" t="s">
        <v>103</v>
      </c>
      <c r="W315" t="s">
        <v>104</v>
      </c>
      <c r="Y315" t="s">
        <v>11933</v>
      </c>
      <c r="Z315" t="s">
        <v>24608</v>
      </c>
      <c r="AA315" t="s">
        <v>12047</v>
      </c>
      <c r="AB315" t="s">
        <v>24609</v>
      </c>
      <c r="AC315" t="s">
        <v>109</v>
      </c>
      <c r="AD315" t="s">
        <v>102</v>
      </c>
      <c r="AE315" t="s">
        <v>109</v>
      </c>
      <c r="AF315" t="s">
        <v>102</v>
      </c>
      <c r="AG315" t="s">
        <v>102</v>
      </c>
      <c r="AH315" t="s">
        <v>24940</v>
      </c>
      <c r="AI315" t="s">
        <v>24940</v>
      </c>
      <c r="AJ315" t="s">
        <v>26553</v>
      </c>
      <c r="AK315" t="s">
        <v>25378</v>
      </c>
      <c r="AL315" t="s">
        <v>26554</v>
      </c>
      <c r="AM315" t="s">
        <v>554</v>
      </c>
      <c r="AN315" t="s">
        <v>24610</v>
      </c>
      <c r="AO315" t="s">
        <v>102</v>
      </c>
      <c r="AP315" t="s">
        <v>102</v>
      </c>
      <c r="AQ315" t="s">
        <v>102</v>
      </c>
      <c r="AR315" t="s">
        <v>102</v>
      </c>
      <c r="AS315" t="s">
        <v>117</v>
      </c>
      <c r="AT315" t="s">
        <v>118</v>
      </c>
      <c r="AU315" t="s">
        <v>102</v>
      </c>
      <c r="AV315" t="s">
        <v>119</v>
      </c>
      <c r="AZ315" t="s">
        <v>1964</v>
      </c>
      <c r="BA315" t="s">
        <v>623</v>
      </c>
      <c r="BB315" t="s">
        <v>621</v>
      </c>
      <c r="BC315" t="s">
        <v>622</v>
      </c>
      <c r="BD315" t="s">
        <v>623</v>
      </c>
      <c r="BE315" t="s">
        <v>124</v>
      </c>
      <c r="BF315" t="s">
        <v>16558</v>
      </c>
      <c r="BG315" t="s">
        <v>24611</v>
      </c>
      <c r="BH315" t="s">
        <v>127</v>
      </c>
      <c r="BI315" t="s">
        <v>24612</v>
      </c>
      <c r="BJ315" t="s">
        <v>23232</v>
      </c>
      <c r="BK315" t="s">
        <v>23233</v>
      </c>
      <c r="BL315" t="s">
        <v>24156</v>
      </c>
      <c r="BM315" t="s">
        <v>23234</v>
      </c>
      <c r="BN315" t="s">
        <v>505</v>
      </c>
      <c r="BO315" t="s">
        <v>23235</v>
      </c>
      <c r="BP315" t="s">
        <v>23236</v>
      </c>
      <c r="BQ315" t="s">
        <v>7488</v>
      </c>
      <c r="BS315" t="s">
        <v>24613</v>
      </c>
      <c r="BT315" t="s">
        <v>23237</v>
      </c>
      <c r="BU315" t="s">
        <v>138</v>
      </c>
      <c r="BV315" t="s">
        <v>23238</v>
      </c>
      <c r="BW315" t="s">
        <v>11471</v>
      </c>
      <c r="BX315" t="s">
        <v>23239</v>
      </c>
      <c r="BY315" t="s">
        <v>23240</v>
      </c>
      <c r="BZ315" t="s">
        <v>24614</v>
      </c>
      <c r="CA315" t="s">
        <v>11471</v>
      </c>
      <c r="CB315" t="s">
        <v>24615</v>
      </c>
      <c r="CC315" t="s">
        <v>24614</v>
      </c>
      <c r="CD315" t="s">
        <v>24616</v>
      </c>
      <c r="CE315" t="s">
        <v>23241</v>
      </c>
      <c r="CF315" t="s">
        <v>23242</v>
      </c>
      <c r="CH315" t="s">
        <v>23243</v>
      </c>
      <c r="CI315" t="s">
        <v>23242</v>
      </c>
      <c r="CJ315" t="s">
        <v>623</v>
      </c>
      <c r="CK315" t="s">
        <v>621</v>
      </c>
      <c r="CL315" t="s">
        <v>23243</v>
      </c>
      <c r="CN315" t="s">
        <v>23242</v>
      </c>
      <c r="CO315" t="s">
        <v>23242</v>
      </c>
    </row>
    <row r="316" spans="1:93">
      <c r="A316" t="s">
        <v>337</v>
      </c>
      <c r="B316">
        <v>5111313</v>
      </c>
      <c r="C316" t="s">
        <v>23244</v>
      </c>
      <c r="D316" t="s">
        <v>21661</v>
      </c>
      <c r="E316" t="s">
        <v>16844</v>
      </c>
      <c r="F316" t="s">
        <v>97</v>
      </c>
      <c r="G316" t="s">
        <v>98</v>
      </c>
      <c r="H316" t="s">
        <v>23245</v>
      </c>
      <c r="I316" t="s">
        <v>100</v>
      </c>
      <c r="J316">
        <v>0</v>
      </c>
      <c r="K316">
        <v>0</v>
      </c>
      <c r="L316">
        <v>0</v>
      </c>
      <c r="M316">
        <v>6000</v>
      </c>
      <c r="N316" t="s">
        <v>102</v>
      </c>
      <c r="O316">
        <v>0</v>
      </c>
      <c r="P316">
        <v>0</v>
      </c>
      <c r="R316">
        <v>0</v>
      </c>
      <c r="S316">
        <v>0</v>
      </c>
      <c r="U316" t="s">
        <v>102</v>
      </c>
      <c r="V316" t="s">
        <v>275</v>
      </c>
      <c r="X316" t="s">
        <v>16844</v>
      </c>
      <c r="Y316" t="s">
        <v>109</v>
      </c>
      <c r="Z316" t="s">
        <v>102</v>
      </c>
      <c r="AA316" t="s">
        <v>109</v>
      </c>
      <c r="AB316" t="s">
        <v>102</v>
      </c>
      <c r="AC316" t="s">
        <v>109</v>
      </c>
      <c r="AD316" t="s">
        <v>102</v>
      </c>
      <c r="AE316" t="s">
        <v>109</v>
      </c>
      <c r="AF316" t="s">
        <v>102</v>
      </c>
      <c r="AG316" t="s">
        <v>102</v>
      </c>
      <c r="AJ316" t="s">
        <v>102</v>
      </c>
      <c r="AK316" t="s">
        <v>102</v>
      </c>
      <c r="AL316" t="s">
        <v>102</v>
      </c>
      <c r="AM316" t="s">
        <v>115</v>
      </c>
      <c r="AN316" t="s">
        <v>115</v>
      </c>
      <c r="AS316" t="s">
        <v>318</v>
      </c>
      <c r="AT316" t="s">
        <v>250</v>
      </c>
      <c r="AU316" t="s">
        <v>102</v>
      </c>
      <c r="AV316" t="s">
        <v>119</v>
      </c>
      <c r="AZ316" t="s">
        <v>120</v>
      </c>
      <c r="BA316" t="s">
        <v>2327</v>
      </c>
      <c r="BB316" t="s">
        <v>730</v>
      </c>
      <c r="BC316" t="s">
        <v>622</v>
      </c>
      <c r="BD316" t="s">
        <v>730</v>
      </c>
      <c r="BE316" t="s">
        <v>124</v>
      </c>
      <c r="BF316" t="s">
        <v>18155</v>
      </c>
      <c r="BG316" t="s">
        <v>21687</v>
      </c>
      <c r="BH316" t="s">
        <v>127</v>
      </c>
      <c r="BI316" t="s">
        <v>23246</v>
      </c>
      <c r="BJ316" t="s">
        <v>23247</v>
      </c>
      <c r="BK316" t="s">
        <v>23248</v>
      </c>
      <c r="BL316" t="s">
        <v>16844</v>
      </c>
      <c r="BM316" t="s">
        <v>505</v>
      </c>
      <c r="BN316" t="s">
        <v>505</v>
      </c>
      <c r="BO316" t="s">
        <v>225</v>
      </c>
      <c r="BP316" t="s">
        <v>506</v>
      </c>
      <c r="BQ316" t="s">
        <v>224</v>
      </c>
      <c r="BS316" t="s">
        <v>23249</v>
      </c>
      <c r="BT316" t="s">
        <v>23250</v>
      </c>
      <c r="BV316" t="s">
        <v>23251</v>
      </c>
      <c r="BW316" t="s">
        <v>23252</v>
      </c>
      <c r="BY316" t="s">
        <v>23253</v>
      </c>
      <c r="BZ316" t="s">
        <v>23251</v>
      </c>
      <c r="CA316" t="s">
        <v>23254</v>
      </c>
      <c r="CB316" t="s">
        <v>23253</v>
      </c>
      <c r="CC316" t="s">
        <v>23251</v>
      </c>
      <c r="CD316" t="s">
        <v>23254</v>
      </c>
      <c r="CE316" t="s">
        <v>102</v>
      </c>
      <c r="CF316" t="s">
        <v>2327</v>
      </c>
      <c r="CH316" t="s">
        <v>19062</v>
      </c>
      <c r="CJ316" t="s">
        <v>2327</v>
      </c>
      <c r="CK316" t="s">
        <v>730</v>
      </c>
      <c r="CL316" t="s">
        <v>19062</v>
      </c>
      <c r="CN316" t="s">
        <v>2327</v>
      </c>
      <c r="CO316" t="s">
        <v>2327</v>
      </c>
    </row>
    <row r="317" spans="1:93">
      <c r="A317" t="s">
        <v>337</v>
      </c>
      <c r="B317">
        <v>5111427</v>
      </c>
      <c r="C317" t="s">
        <v>26238</v>
      </c>
      <c r="D317" t="s">
        <v>21661</v>
      </c>
      <c r="E317" t="s">
        <v>26239</v>
      </c>
      <c r="F317" t="s">
        <v>97</v>
      </c>
      <c r="G317" t="s">
        <v>98</v>
      </c>
      <c r="H317" t="s">
        <v>26240</v>
      </c>
      <c r="I317" t="s">
        <v>100</v>
      </c>
      <c r="J317">
        <v>66755</v>
      </c>
      <c r="K317">
        <v>66755</v>
      </c>
      <c r="L317">
        <v>66755</v>
      </c>
      <c r="M317">
        <v>93</v>
      </c>
      <c r="N317" t="s">
        <v>26241</v>
      </c>
      <c r="O317">
        <v>0</v>
      </c>
      <c r="P317">
        <v>0</v>
      </c>
      <c r="R317">
        <v>0</v>
      </c>
      <c r="S317">
        <v>0</v>
      </c>
      <c r="U317" t="s">
        <v>102</v>
      </c>
      <c r="V317" t="s">
        <v>103</v>
      </c>
      <c r="W317" t="s">
        <v>104</v>
      </c>
      <c r="Y317" t="s">
        <v>16553</v>
      </c>
      <c r="Z317" t="s">
        <v>26242</v>
      </c>
      <c r="AA317" t="s">
        <v>22188</v>
      </c>
      <c r="AB317" t="s">
        <v>26242</v>
      </c>
      <c r="AC317" t="s">
        <v>109</v>
      </c>
      <c r="AD317" t="s">
        <v>102</v>
      </c>
      <c r="AE317" t="s">
        <v>109</v>
      </c>
      <c r="AF317" t="s">
        <v>102</v>
      </c>
      <c r="AG317" t="s">
        <v>102</v>
      </c>
      <c r="AJ317" t="s">
        <v>26242</v>
      </c>
      <c r="AK317" t="s">
        <v>102</v>
      </c>
      <c r="AL317" t="s">
        <v>26242</v>
      </c>
      <c r="AM317" t="s">
        <v>26243</v>
      </c>
      <c r="AN317" t="s">
        <v>26244</v>
      </c>
      <c r="AO317" t="s">
        <v>102</v>
      </c>
      <c r="AP317" t="s">
        <v>102</v>
      </c>
      <c r="AQ317" t="s">
        <v>102</v>
      </c>
      <c r="AR317" t="s">
        <v>102</v>
      </c>
      <c r="AS317" t="s">
        <v>318</v>
      </c>
      <c r="AT317" t="s">
        <v>118</v>
      </c>
      <c r="AU317" t="s">
        <v>102</v>
      </c>
      <c r="AV317" t="s">
        <v>119</v>
      </c>
      <c r="AZ317" t="s">
        <v>10399</v>
      </c>
      <c r="BA317" t="s">
        <v>26245</v>
      </c>
      <c r="BB317" t="s">
        <v>730</v>
      </c>
      <c r="BC317" t="s">
        <v>622</v>
      </c>
      <c r="BD317" t="s">
        <v>730</v>
      </c>
      <c r="BE317" t="s">
        <v>124</v>
      </c>
      <c r="BF317" t="s">
        <v>12250</v>
      </c>
      <c r="BG317" t="s">
        <v>21667</v>
      </c>
      <c r="BH317" t="s">
        <v>127</v>
      </c>
      <c r="BI317" t="s">
        <v>26246</v>
      </c>
      <c r="BJ317" t="s">
        <v>26247</v>
      </c>
      <c r="BK317" t="s">
        <v>26248</v>
      </c>
      <c r="BL317" t="s">
        <v>26239</v>
      </c>
      <c r="BM317" t="s">
        <v>5197</v>
      </c>
      <c r="BN317" t="s">
        <v>350</v>
      </c>
      <c r="BO317" t="s">
        <v>5198</v>
      </c>
      <c r="BP317" t="s">
        <v>5199</v>
      </c>
      <c r="BQ317" t="s">
        <v>5199</v>
      </c>
      <c r="BS317" t="s">
        <v>26249</v>
      </c>
      <c r="BT317" t="s">
        <v>26250</v>
      </c>
      <c r="BU317" t="s">
        <v>598</v>
      </c>
      <c r="BV317" t="s">
        <v>15969</v>
      </c>
      <c r="BW317" t="s">
        <v>26251</v>
      </c>
      <c r="BX317" t="s">
        <v>26252</v>
      </c>
      <c r="BY317" t="s">
        <v>26253</v>
      </c>
      <c r="BZ317" t="s">
        <v>26252</v>
      </c>
      <c r="CA317" t="s">
        <v>26254</v>
      </c>
      <c r="CB317" t="s">
        <v>26255</v>
      </c>
      <c r="CC317" t="s">
        <v>26252</v>
      </c>
      <c r="CD317" t="s">
        <v>26251</v>
      </c>
      <c r="CE317" t="s">
        <v>334</v>
      </c>
      <c r="CF317" t="s">
        <v>26256</v>
      </c>
      <c r="CH317" t="s">
        <v>26257</v>
      </c>
      <c r="CI317" t="s">
        <v>26256</v>
      </c>
      <c r="CJ317" t="s">
        <v>26245</v>
      </c>
      <c r="CK317" t="s">
        <v>730</v>
      </c>
      <c r="CL317" t="s">
        <v>26257</v>
      </c>
      <c r="CN317" t="s">
        <v>26258</v>
      </c>
      <c r="CO317" t="s">
        <v>26258</v>
      </c>
    </row>
    <row r="318" spans="1:93">
      <c r="A318" t="s">
        <v>337</v>
      </c>
      <c r="B318">
        <v>5111791</v>
      </c>
      <c r="C318" t="s">
        <v>25993</v>
      </c>
      <c r="D318" t="s">
        <v>21661</v>
      </c>
      <c r="E318" t="s">
        <v>11889</v>
      </c>
      <c r="F318" t="s">
        <v>97</v>
      </c>
      <c r="G318" t="s">
        <v>98</v>
      </c>
      <c r="H318" t="s">
        <v>25994</v>
      </c>
      <c r="I318" t="s">
        <v>100</v>
      </c>
      <c r="J318">
        <v>41003</v>
      </c>
      <c r="K318">
        <v>41003</v>
      </c>
      <c r="L318">
        <v>41003</v>
      </c>
      <c r="M318">
        <v>82</v>
      </c>
      <c r="N318" t="s">
        <v>364</v>
      </c>
      <c r="O318">
        <v>0</v>
      </c>
      <c r="P318">
        <v>0</v>
      </c>
      <c r="R318">
        <v>0</v>
      </c>
      <c r="S318">
        <v>0</v>
      </c>
      <c r="U318" t="s">
        <v>102</v>
      </c>
      <c r="V318" t="s">
        <v>275</v>
      </c>
      <c r="X318" t="s">
        <v>18964</v>
      </c>
      <c r="Y318" t="s">
        <v>109</v>
      </c>
      <c r="Z318" t="s">
        <v>102</v>
      </c>
      <c r="AA318" t="s">
        <v>109</v>
      </c>
      <c r="AB318" t="s">
        <v>102</v>
      </c>
      <c r="AC318" t="s">
        <v>109</v>
      </c>
      <c r="AD318" t="s">
        <v>102</v>
      </c>
      <c r="AE318" t="s">
        <v>109</v>
      </c>
      <c r="AF318" t="s">
        <v>102</v>
      </c>
      <c r="AG318" t="s">
        <v>102</v>
      </c>
      <c r="AJ318" t="s">
        <v>26555</v>
      </c>
      <c r="AK318" t="s">
        <v>102</v>
      </c>
      <c r="AL318" t="s">
        <v>26555</v>
      </c>
      <c r="AM318" t="s">
        <v>1785</v>
      </c>
      <c r="AN318" t="s">
        <v>25818</v>
      </c>
      <c r="AO318" t="s">
        <v>102</v>
      </c>
      <c r="AP318" t="s">
        <v>102</v>
      </c>
      <c r="AQ318" t="s">
        <v>102</v>
      </c>
      <c r="AR318" t="s">
        <v>102</v>
      </c>
      <c r="AS318" t="s">
        <v>318</v>
      </c>
      <c r="AT318" t="s">
        <v>250</v>
      </c>
      <c r="AU318" t="s">
        <v>102</v>
      </c>
      <c r="AV318" t="s">
        <v>119</v>
      </c>
      <c r="AZ318" t="s">
        <v>120</v>
      </c>
      <c r="BA318" t="s">
        <v>4889</v>
      </c>
      <c r="BB318" t="s">
        <v>730</v>
      </c>
      <c r="BC318" t="s">
        <v>622</v>
      </c>
      <c r="BD318" t="s">
        <v>730</v>
      </c>
      <c r="BE318" t="s">
        <v>124</v>
      </c>
      <c r="BF318" t="s">
        <v>12250</v>
      </c>
      <c r="BG318" t="s">
        <v>21667</v>
      </c>
      <c r="BH318" t="s">
        <v>127</v>
      </c>
      <c r="BI318" t="s">
        <v>25995</v>
      </c>
      <c r="BJ318" t="s">
        <v>25996</v>
      </c>
      <c r="BK318" t="s">
        <v>25997</v>
      </c>
      <c r="BL318" t="s">
        <v>11889</v>
      </c>
      <c r="BM318" t="s">
        <v>5197</v>
      </c>
      <c r="BN318" t="s">
        <v>350</v>
      </c>
      <c r="BO318" t="s">
        <v>5198</v>
      </c>
      <c r="BP318" t="s">
        <v>5199</v>
      </c>
      <c r="BQ318" t="s">
        <v>5199</v>
      </c>
      <c r="BS318" t="s">
        <v>25998</v>
      </c>
      <c r="BT318" t="s">
        <v>25999</v>
      </c>
      <c r="BU318" t="s">
        <v>138</v>
      </c>
      <c r="BV318" t="s">
        <v>15969</v>
      </c>
      <c r="BW318" t="s">
        <v>26000</v>
      </c>
      <c r="BX318" t="s">
        <v>26001</v>
      </c>
      <c r="BY318" t="s">
        <v>26002</v>
      </c>
      <c r="BZ318" t="s">
        <v>26001</v>
      </c>
      <c r="CA318" t="s">
        <v>26000</v>
      </c>
      <c r="CB318" t="s">
        <v>26002</v>
      </c>
      <c r="CC318" t="s">
        <v>26001</v>
      </c>
      <c r="CD318" t="s">
        <v>26000</v>
      </c>
      <c r="CE318" t="s">
        <v>102</v>
      </c>
      <c r="CF318" t="s">
        <v>26003</v>
      </c>
      <c r="CH318" t="s">
        <v>4903</v>
      </c>
      <c r="CJ318" t="s">
        <v>4889</v>
      </c>
      <c r="CK318" t="s">
        <v>730</v>
      </c>
      <c r="CL318" t="s">
        <v>4903</v>
      </c>
      <c r="CN318" t="s">
        <v>26004</v>
      </c>
      <c r="CO318" t="s">
        <v>26005</v>
      </c>
    </row>
    <row r="319" spans="1:93">
      <c r="A319" t="s">
        <v>337</v>
      </c>
      <c r="B319">
        <v>5111929</v>
      </c>
      <c r="C319" t="s">
        <v>23255</v>
      </c>
      <c r="D319" t="s">
        <v>21661</v>
      </c>
      <c r="E319" t="s">
        <v>14003</v>
      </c>
      <c r="F319" t="s">
        <v>848</v>
      </c>
      <c r="G319" t="s">
        <v>98</v>
      </c>
      <c r="H319" t="s">
        <v>23256</v>
      </c>
      <c r="I319" t="s">
        <v>100</v>
      </c>
      <c r="J319">
        <v>457650</v>
      </c>
      <c r="K319">
        <v>540027</v>
      </c>
      <c r="L319">
        <v>0</v>
      </c>
      <c r="M319">
        <v>0</v>
      </c>
      <c r="O319">
        <v>0</v>
      </c>
      <c r="P319">
        <v>0</v>
      </c>
      <c r="R319">
        <v>457650</v>
      </c>
      <c r="S319">
        <v>225</v>
      </c>
      <c r="T319" t="s">
        <v>1399</v>
      </c>
      <c r="U319" t="s">
        <v>102</v>
      </c>
      <c r="V319" t="s">
        <v>103</v>
      </c>
      <c r="W319" t="s">
        <v>104</v>
      </c>
      <c r="Y319" t="s">
        <v>12931</v>
      </c>
      <c r="Z319" t="s">
        <v>23257</v>
      </c>
      <c r="AA319" t="s">
        <v>12047</v>
      </c>
      <c r="AB319" t="s">
        <v>23257</v>
      </c>
      <c r="AC319" t="s">
        <v>109</v>
      </c>
      <c r="AD319" t="s">
        <v>102</v>
      </c>
      <c r="AE319" t="s">
        <v>109</v>
      </c>
      <c r="AF319" t="s">
        <v>102</v>
      </c>
      <c r="AG319" t="s">
        <v>102</v>
      </c>
      <c r="AH319" t="s">
        <v>16235</v>
      </c>
      <c r="AI319" t="s">
        <v>16235</v>
      </c>
      <c r="AJ319" t="s">
        <v>26556</v>
      </c>
      <c r="AK319" t="s">
        <v>23257</v>
      </c>
      <c r="AL319" t="s">
        <v>23257</v>
      </c>
      <c r="AM319" t="s">
        <v>317</v>
      </c>
      <c r="AN319" t="s">
        <v>317</v>
      </c>
      <c r="AS319" t="s">
        <v>102</v>
      </c>
      <c r="AU319" t="s">
        <v>102</v>
      </c>
      <c r="AV319" t="s">
        <v>119</v>
      </c>
      <c r="AY319" t="s">
        <v>250</v>
      </c>
      <c r="AZ319" t="s">
        <v>1964</v>
      </c>
      <c r="BA319" t="s">
        <v>23258</v>
      </c>
      <c r="BB319" t="s">
        <v>1208</v>
      </c>
      <c r="BC319" t="s">
        <v>174</v>
      </c>
      <c r="BD319" t="s">
        <v>1172</v>
      </c>
      <c r="BE319" t="s">
        <v>124</v>
      </c>
      <c r="BF319" t="s">
        <v>12250</v>
      </c>
      <c r="BG319" t="s">
        <v>21667</v>
      </c>
      <c r="BH319" t="s">
        <v>127</v>
      </c>
      <c r="BI319" t="s">
        <v>23259</v>
      </c>
      <c r="BJ319" t="s">
        <v>23260</v>
      </c>
      <c r="BK319" t="s">
        <v>23261</v>
      </c>
      <c r="BL319" t="s">
        <v>14003</v>
      </c>
      <c r="BM319" t="s">
        <v>1212</v>
      </c>
      <c r="BN319" t="s">
        <v>180</v>
      </c>
      <c r="BO319" t="s">
        <v>1213</v>
      </c>
      <c r="BP319" t="s">
        <v>1214</v>
      </c>
      <c r="BQ319" t="s">
        <v>7515</v>
      </c>
      <c r="BS319" t="s">
        <v>23262</v>
      </c>
      <c r="BT319" t="s">
        <v>23263</v>
      </c>
      <c r="BU319" t="s">
        <v>138</v>
      </c>
      <c r="BV319" t="s">
        <v>23264</v>
      </c>
      <c r="BW319" t="s">
        <v>23265</v>
      </c>
      <c r="BX319" t="s">
        <v>23264</v>
      </c>
      <c r="BY319" t="s">
        <v>23263</v>
      </c>
      <c r="BZ319" t="s">
        <v>23264</v>
      </c>
      <c r="CA319" t="s">
        <v>23265</v>
      </c>
      <c r="CB319" t="s">
        <v>23263</v>
      </c>
      <c r="CC319" t="s">
        <v>23264</v>
      </c>
      <c r="CD319" t="s">
        <v>23265</v>
      </c>
      <c r="CE319" t="s">
        <v>10371</v>
      </c>
      <c r="CF319" t="s">
        <v>23266</v>
      </c>
      <c r="CH319" t="s">
        <v>23267</v>
      </c>
      <c r="CJ319" t="s">
        <v>23258</v>
      </c>
      <c r="CK319" t="s">
        <v>1208</v>
      </c>
      <c r="CL319" t="s">
        <v>23267</v>
      </c>
      <c r="CN319" t="s">
        <v>23268</v>
      </c>
      <c r="CO319" t="s">
        <v>23268</v>
      </c>
    </row>
    <row r="320" spans="1:93">
      <c r="A320" t="s">
        <v>337</v>
      </c>
      <c r="B320">
        <v>5112032</v>
      </c>
      <c r="C320" t="s">
        <v>23269</v>
      </c>
      <c r="D320" t="s">
        <v>21661</v>
      </c>
      <c r="E320" t="s">
        <v>23270</v>
      </c>
      <c r="F320" t="s">
        <v>2163</v>
      </c>
      <c r="G320" t="s">
        <v>98</v>
      </c>
      <c r="H320" t="s">
        <v>23271</v>
      </c>
      <c r="I320" t="s">
        <v>100</v>
      </c>
      <c r="J320">
        <v>651440</v>
      </c>
      <c r="K320">
        <v>700876</v>
      </c>
      <c r="L320">
        <v>68040</v>
      </c>
      <c r="M320">
        <v>84</v>
      </c>
      <c r="N320" t="s">
        <v>6750</v>
      </c>
      <c r="O320">
        <v>308755</v>
      </c>
      <c r="P320">
        <v>221</v>
      </c>
      <c r="Q320" t="s">
        <v>23272</v>
      </c>
      <c r="R320">
        <v>274645</v>
      </c>
      <c r="S320">
        <v>270</v>
      </c>
      <c r="T320" t="s">
        <v>3924</v>
      </c>
      <c r="U320" t="s">
        <v>102</v>
      </c>
      <c r="V320" t="s">
        <v>679</v>
      </c>
      <c r="W320" t="s">
        <v>155</v>
      </c>
      <c r="X320" t="s">
        <v>14040</v>
      </c>
      <c r="Y320" t="s">
        <v>23273</v>
      </c>
      <c r="Z320" t="s">
        <v>23274</v>
      </c>
      <c r="AA320" t="s">
        <v>21772</v>
      </c>
      <c r="AB320" t="s">
        <v>23274</v>
      </c>
      <c r="AC320" t="s">
        <v>21773</v>
      </c>
      <c r="AD320" t="s">
        <v>23274</v>
      </c>
      <c r="AE320" t="s">
        <v>21742</v>
      </c>
      <c r="AF320" t="s">
        <v>23274</v>
      </c>
      <c r="AG320" t="s">
        <v>102</v>
      </c>
      <c r="AH320" t="s">
        <v>12330</v>
      </c>
      <c r="AI320" t="s">
        <v>12330</v>
      </c>
      <c r="AJ320" t="s">
        <v>23275</v>
      </c>
      <c r="AK320" t="s">
        <v>23276</v>
      </c>
      <c r="AL320" t="s">
        <v>23277</v>
      </c>
      <c r="AM320" t="s">
        <v>23278</v>
      </c>
      <c r="AN320" t="s">
        <v>23278</v>
      </c>
      <c r="AS320" t="s">
        <v>247</v>
      </c>
      <c r="AT320" t="s">
        <v>118</v>
      </c>
      <c r="AU320" t="s">
        <v>655</v>
      </c>
      <c r="AV320" t="s">
        <v>119</v>
      </c>
      <c r="AW320" t="s">
        <v>170</v>
      </c>
      <c r="AX320" t="s">
        <v>118</v>
      </c>
      <c r="AY320" t="s">
        <v>250</v>
      </c>
      <c r="AZ320" t="s">
        <v>120</v>
      </c>
      <c r="BA320" t="s">
        <v>251</v>
      </c>
      <c r="BB320" t="s">
        <v>252</v>
      </c>
      <c r="BC320" t="s">
        <v>122</v>
      </c>
      <c r="BD320" t="s">
        <v>253</v>
      </c>
      <c r="BE320" t="s">
        <v>124</v>
      </c>
      <c r="BF320" t="s">
        <v>12250</v>
      </c>
      <c r="BG320" t="s">
        <v>21667</v>
      </c>
      <c r="BH320" t="s">
        <v>127</v>
      </c>
      <c r="BI320" t="s">
        <v>23279</v>
      </c>
      <c r="BJ320" t="s">
        <v>23280</v>
      </c>
      <c r="BK320" t="s">
        <v>23281</v>
      </c>
      <c r="BL320" t="s">
        <v>23270</v>
      </c>
      <c r="BM320" t="s">
        <v>12453</v>
      </c>
      <c r="BN320" t="s">
        <v>696</v>
      </c>
      <c r="BO320" t="s">
        <v>12454</v>
      </c>
      <c r="BP320" t="s">
        <v>12455</v>
      </c>
      <c r="BQ320" t="s">
        <v>1111</v>
      </c>
      <c r="BR320" t="s">
        <v>1111</v>
      </c>
      <c r="BS320" t="s">
        <v>23282</v>
      </c>
      <c r="BT320" t="s">
        <v>23283</v>
      </c>
      <c r="BU320" t="s">
        <v>138</v>
      </c>
      <c r="BV320" t="s">
        <v>23284</v>
      </c>
      <c r="BW320" t="s">
        <v>23285</v>
      </c>
      <c r="BX320" t="s">
        <v>23284</v>
      </c>
      <c r="BY320" t="s">
        <v>23286</v>
      </c>
      <c r="BZ320" t="s">
        <v>23284</v>
      </c>
      <c r="CA320" t="s">
        <v>23285</v>
      </c>
      <c r="CB320" t="s">
        <v>23286</v>
      </c>
      <c r="CC320" t="s">
        <v>23284</v>
      </c>
      <c r="CD320" t="s">
        <v>23285</v>
      </c>
      <c r="CE320" t="s">
        <v>18818</v>
      </c>
      <c r="CF320" t="s">
        <v>23287</v>
      </c>
      <c r="CH320" t="s">
        <v>23288</v>
      </c>
      <c r="CI320" t="s">
        <v>23289</v>
      </c>
      <c r="CJ320" t="s">
        <v>251</v>
      </c>
      <c r="CK320" t="s">
        <v>252</v>
      </c>
      <c r="CL320" t="s">
        <v>23288</v>
      </c>
      <c r="CN320" t="s">
        <v>23289</v>
      </c>
      <c r="CO320" t="s">
        <v>23289</v>
      </c>
    </row>
    <row r="321" spans="1:93">
      <c r="A321" t="s">
        <v>337</v>
      </c>
      <c r="B321">
        <v>5115455</v>
      </c>
      <c r="C321" t="s">
        <v>24617</v>
      </c>
      <c r="D321" t="s">
        <v>21661</v>
      </c>
      <c r="E321" t="s">
        <v>21768</v>
      </c>
      <c r="F321" t="s">
        <v>152</v>
      </c>
      <c r="G321" t="s">
        <v>98</v>
      </c>
      <c r="H321" t="s">
        <v>24618</v>
      </c>
      <c r="I321" t="s">
        <v>100</v>
      </c>
      <c r="J321">
        <v>308700</v>
      </c>
      <c r="K321">
        <v>308700</v>
      </c>
      <c r="L321">
        <v>0</v>
      </c>
      <c r="M321">
        <v>0</v>
      </c>
      <c r="O321">
        <v>308700</v>
      </c>
      <c r="P321">
        <v>386</v>
      </c>
      <c r="Q321" t="s">
        <v>1297</v>
      </c>
      <c r="R321">
        <v>0</v>
      </c>
      <c r="S321">
        <v>0</v>
      </c>
      <c r="U321" t="s">
        <v>102</v>
      </c>
      <c r="V321" t="s">
        <v>103</v>
      </c>
      <c r="W321" t="s">
        <v>155</v>
      </c>
      <c r="Y321" t="s">
        <v>23642</v>
      </c>
      <c r="Z321" t="s">
        <v>24619</v>
      </c>
      <c r="AA321" t="s">
        <v>23644</v>
      </c>
      <c r="AB321" t="s">
        <v>24619</v>
      </c>
      <c r="AC321" t="s">
        <v>24620</v>
      </c>
      <c r="AD321" t="s">
        <v>24619</v>
      </c>
      <c r="AE321" t="s">
        <v>21687</v>
      </c>
      <c r="AF321" t="s">
        <v>24619</v>
      </c>
      <c r="AG321" t="s">
        <v>102</v>
      </c>
      <c r="AH321" t="s">
        <v>11889</v>
      </c>
      <c r="AI321" t="s">
        <v>11889</v>
      </c>
      <c r="AJ321" t="s">
        <v>24619</v>
      </c>
      <c r="AK321" t="s">
        <v>5007</v>
      </c>
      <c r="AL321" t="s">
        <v>24621</v>
      </c>
      <c r="AM321" t="s">
        <v>24622</v>
      </c>
      <c r="AN321" t="s">
        <v>24622</v>
      </c>
      <c r="AS321" t="s">
        <v>102</v>
      </c>
      <c r="AU321" t="s">
        <v>104</v>
      </c>
      <c r="AV321" t="s">
        <v>447</v>
      </c>
      <c r="AW321" t="s">
        <v>170</v>
      </c>
      <c r="AX321" t="s">
        <v>118</v>
      </c>
      <c r="AZ321" t="s">
        <v>1964</v>
      </c>
      <c r="BA321" t="s">
        <v>24623</v>
      </c>
      <c r="BB321" t="s">
        <v>19598</v>
      </c>
      <c r="BC321" t="s">
        <v>174</v>
      </c>
      <c r="BD321" t="s">
        <v>376</v>
      </c>
      <c r="BE321" t="s">
        <v>124</v>
      </c>
      <c r="BF321" t="s">
        <v>12250</v>
      </c>
      <c r="BG321" t="s">
        <v>21667</v>
      </c>
      <c r="BH321" t="s">
        <v>127</v>
      </c>
      <c r="BI321" t="s">
        <v>24624</v>
      </c>
      <c r="BJ321" t="s">
        <v>24625</v>
      </c>
      <c r="BK321" t="s">
        <v>24626</v>
      </c>
      <c r="BL321" t="s">
        <v>21768</v>
      </c>
      <c r="BM321" t="s">
        <v>13780</v>
      </c>
      <c r="BN321" t="s">
        <v>180</v>
      </c>
      <c r="BO321" t="s">
        <v>13781</v>
      </c>
      <c r="BP321" t="s">
        <v>13782</v>
      </c>
      <c r="BQ321" t="s">
        <v>13783</v>
      </c>
      <c r="BS321" t="s">
        <v>24627</v>
      </c>
      <c r="BT321" t="s">
        <v>24628</v>
      </c>
      <c r="BU321" t="s">
        <v>138</v>
      </c>
      <c r="BV321" t="s">
        <v>24629</v>
      </c>
      <c r="BW321" t="s">
        <v>24630</v>
      </c>
      <c r="BX321" t="s">
        <v>24631</v>
      </c>
      <c r="BY321" t="s">
        <v>24628</v>
      </c>
      <c r="BZ321" t="s">
        <v>24629</v>
      </c>
      <c r="CA321" t="s">
        <v>24630</v>
      </c>
      <c r="CB321" t="s">
        <v>24628</v>
      </c>
      <c r="CC321" t="s">
        <v>24629</v>
      </c>
      <c r="CD321" t="s">
        <v>24630</v>
      </c>
      <c r="CE321" t="s">
        <v>24632</v>
      </c>
      <c r="CF321" t="s">
        <v>24633</v>
      </c>
      <c r="CH321" t="s">
        <v>24634</v>
      </c>
      <c r="CI321" t="s">
        <v>24633</v>
      </c>
      <c r="CJ321" t="s">
        <v>24623</v>
      </c>
      <c r="CK321" t="s">
        <v>19598</v>
      </c>
      <c r="CL321" t="s">
        <v>24634</v>
      </c>
      <c r="CN321" t="s">
        <v>24633</v>
      </c>
      <c r="CO321" t="s">
        <v>24633</v>
      </c>
    </row>
    <row r="322" spans="1:93">
      <c r="A322" t="s">
        <v>337</v>
      </c>
      <c r="B322">
        <v>5116712</v>
      </c>
      <c r="C322" t="s">
        <v>24635</v>
      </c>
      <c r="D322" t="s">
        <v>21661</v>
      </c>
      <c r="E322" t="s">
        <v>24636</v>
      </c>
      <c r="F322" t="s">
        <v>152</v>
      </c>
      <c r="G322" t="s">
        <v>98</v>
      </c>
      <c r="H322" t="s">
        <v>24637</v>
      </c>
      <c r="I322" t="s">
        <v>100</v>
      </c>
      <c r="J322">
        <v>327089</v>
      </c>
      <c r="K322">
        <v>327089</v>
      </c>
      <c r="L322">
        <v>0</v>
      </c>
      <c r="M322">
        <v>0</v>
      </c>
      <c r="O322">
        <v>327089</v>
      </c>
      <c r="P322">
        <v>245</v>
      </c>
      <c r="Q322" t="s">
        <v>24638</v>
      </c>
      <c r="R322">
        <v>0</v>
      </c>
      <c r="S322">
        <v>0</v>
      </c>
      <c r="U322" t="s">
        <v>102</v>
      </c>
      <c r="V322" t="s">
        <v>103</v>
      </c>
      <c r="W322" t="s">
        <v>155</v>
      </c>
      <c r="Y322" t="s">
        <v>24639</v>
      </c>
      <c r="Z322" t="s">
        <v>24640</v>
      </c>
      <c r="AA322" t="s">
        <v>24641</v>
      </c>
      <c r="AB322" t="s">
        <v>24640</v>
      </c>
      <c r="AC322" t="s">
        <v>24642</v>
      </c>
      <c r="AD322" t="s">
        <v>24640</v>
      </c>
      <c r="AE322" t="s">
        <v>24643</v>
      </c>
      <c r="AF322" t="s">
        <v>24640</v>
      </c>
      <c r="AG322" t="s">
        <v>102</v>
      </c>
      <c r="AH322" t="s">
        <v>17605</v>
      </c>
      <c r="AI322" t="s">
        <v>17605</v>
      </c>
      <c r="AJ322" t="s">
        <v>24640</v>
      </c>
      <c r="AK322" t="s">
        <v>1221</v>
      </c>
      <c r="AL322" t="s">
        <v>26557</v>
      </c>
      <c r="AM322" t="s">
        <v>24644</v>
      </c>
      <c r="AN322" t="s">
        <v>24644</v>
      </c>
      <c r="AS322" t="s">
        <v>102</v>
      </c>
      <c r="AU322" t="s">
        <v>104</v>
      </c>
      <c r="AV322" t="s">
        <v>447</v>
      </c>
      <c r="AW322" t="s">
        <v>170</v>
      </c>
      <c r="AX322" t="s">
        <v>118</v>
      </c>
      <c r="AZ322" t="s">
        <v>1964</v>
      </c>
      <c r="BA322" t="s">
        <v>24645</v>
      </c>
      <c r="BB322" t="s">
        <v>376</v>
      </c>
      <c r="BC322" t="s">
        <v>174</v>
      </c>
      <c r="BD322" t="s">
        <v>376</v>
      </c>
      <c r="BE322" t="s">
        <v>124</v>
      </c>
      <c r="BF322" t="s">
        <v>12250</v>
      </c>
      <c r="BG322" t="s">
        <v>21667</v>
      </c>
      <c r="BH322" t="s">
        <v>127</v>
      </c>
      <c r="BI322" t="s">
        <v>24646</v>
      </c>
      <c r="BJ322" t="s">
        <v>24647</v>
      </c>
      <c r="BK322" t="s">
        <v>24648</v>
      </c>
      <c r="BL322" t="s">
        <v>24636</v>
      </c>
      <c r="BM322" t="s">
        <v>13780</v>
      </c>
      <c r="BN322" t="s">
        <v>180</v>
      </c>
      <c r="BO322" t="s">
        <v>13781</v>
      </c>
      <c r="BP322" t="s">
        <v>13782</v>
      </c>
      <c r="BQ322" t="s">
        <v>13783</v>
      </c>
      <c r="BS322" t="s">
        <v>24649</v>
      </c>
      <c r="BT322" t="s">
        <v>24650</v>
      </c>
      <c r="BU322" t="s">
        <v>138</v>
      </c>
      <c r="BV322" t="s">
        <v>24651</v>
      </c>
      <c r="BW322" t="s">
        <v>24652</v>
      </c>
      <c r="BX322" t="s">
        <v>24651</v>
      </c>
      <c r="BY322" t="s">
        <v>24653</v>
      </c>
      <c r="BZ322" t="s">
        <v>24651</v>
      </c>
      <c r="CA322" t="s">
        <v>24652</v>
      </c>
      <c r="CB322" t="s">
        <v>24653</v>
      </c>
      <c r="CC322" t="s">
        <v>24651</v>
      </c>
      <c r="CD322" t="s">
        <v>24652</v>
      </c>
      <c r="CE322" t="s">
        <v>102</v>
      </c>
      <c r="CF322" t="s">
        <v>24654</v>
      </c>
      <c r="CH322" t="s">
        <v>24655</v>
      </c>
      <c r="CI322" t="s">
        <v>24656</v>
      </c>
      <c r="CJ322" t="s">
        <v>24645</v>
      </c>
      <c r="CK322" t="s">
        <v>376</v>
      </c>
      <c r="CL322" t="s">
        <v>24655</v>
      </c>
      <c r="CN322" t="s">
        <v>24654</v>
      </c>
      <c r="CO322" t="s">
        <v>24654</v>
      </c>
    </row>
    <row r="323" spans="1:93">
      <c r="A323" t="s">
        <v>337</v>
      </c>
      <c r="B323">
        <v>5118624</v>
      </c>
      <c r="C323" t="s">
        <v>25379</v>
      </c>
      <c r="D323" t="s">
        <v>21661</v>
      </c>
      <c r="E323" t="s">
        <v>21784</v>
      </c>
      <c r="F323" t="s">
        <v>152</v>
      </c>
      <c r="G323" t="s">
        <v>98</v>
      </c>
      <c r="H323" t="s">
        <v>25380</v>
      </c>
      <c r="I323" t="s">
        <v>100</v>
      </c>
      <c r="J323">
        <v>597839</v>
      </c>
      <c r="K323">
        <v>597839</v>
      </c>
      <c r="L323">
        <v>0</v>
      </c>
      <c r="M323">
        <v>0</v>
      </c>
      <c r="O323">
        <v>597839</v>
      </c>
      <c r="P323">
        <v>404</v>
      </c>
      <c r="Q323" t="s">
        <v>25381</v>
      </c>
      <c r="R323">
        <v>0</v>
      </c>
      <c r="S323">
        <v>0</v>
      </c>
      <c r="U323" t="s">
        <v>102</v>
      </c>
      <c r="V323" t="s">
        <v>103</v>
      </c>
      <c r="W323" t="s">
        <v>155</v>
      </c>
      <c r="Y323" t="s">
        <v>15028</v>
      </c>
      <c r="Z323" t="s">
        <v>25382</v>
      </c>
      <c r="AA323" t="s">
        <v>21731</v>
      </c>
      <c r="AB323" t="s">
        <v>25382</v>
      </c>
      <c r="AC323" t="s">
        <v>21732</v>
      </c>
      <c r="AD323" t="s">
        <v>25382</v>
      </c>
      <c r="AE323" t="s">
        <v>21666</v>
      </c>
      <c r="AF323" t="s">
        <v>25382</v>
      </c>
      <c r="AG323" t="s">
        <v>102</v>
      </c>
      <c r="AH323" t="s">
        <v>24940</v>
      </c>
      <c r="AI323" t="s">
        <v>24940</v>
      </c>
      <c r="AJ323" t="s">
        <v>25382</v>
      </c>
      <c r="AK323" t="s">
        <v>25383</v>
      </c>
      <c r="AL323" t="s">
        <v>25384</v>
      </c>
      <c r="AM323" t="s">
        <v>25385</v>
      </c>
      <c r="AN323" t="s">
        <v>25385</v>
      </c>
      <c r="AS323" t="s">
        <v>102</v>
      </c>
      <c r="AU323" t="s">
        <v>155</v>
      </c>
      <c r="AV323" t="s">
        <v>447</v>
      </c>
      <c r="AW323" t="s">
        <v>170</v>
      </c>
      <c r="AX323" t="s">
        <v>118</v>
      </c>
      <c r="AZ323" t="s">
        <v>120</v>
      </c>
      <c r="BA323" t="s">
        <v>920</v>
      </c>
      <c r="BB323" t="s">
        <v>211</v>
      </c>
      <c r="BC323" t="s">
        <v>212</v>
      </c>
      <c r="BD323" t="s">
        <v>213</v>
      </c>
      <c r="BE323" t="s">
        <v>124</v>
      </c>
      <c r="BF323" t="s">
        <v>13662</v>
      </c>
      <c r="BG323" t="s">
        <v>23025</v>
      </c>
      <c r="BH323" t="s">
        <v>127</v>
      </c>
      <c r="BI323" t="s">
        <v>25386</v>
      </c>
      <c r="BJ323" t="s">
        <v>25387</v>
      </c>
      <c r="BK323" t="s">
        <v>25388</v>
      </c>
      <c r="BL323" t="s">
        <v>21784</v>
      </c>
      <c r="BM323" t="s">
        <v>1309</v>
      </c>
      <c r="BN323" t="s">
        <v>180</v>
      </c>
      <c r="BO323" t="s">
        <v>1310</v>
      </c>
      <c r="BP323" t="s">
        <v>1311</v>
      </c>
      <c r="BQ323" t="s">
        <v>1312</v>
      </c>
      <c r="BS323" t="s">
        <v>25389</v>
      </c>
      <c r="BT323" t="s">
        <v>25390</v>
      </c>
      <c r="BU323" t="s">
        <v>354</v>
      </c>
      <c r="BV323" t="s">
        <v>25391</v>
      </c>
      <c r="BW323" t="s">
        <v>25392</v>
      </c>
      <c r="BX323" t="s">
        <v>25393</v>
      </c>
      <c r="BY323" t="s">
        <v>1591</v>
      </c>
      <c r="BZ323" t="s">
        <v>25393</v>
      </c>
      <c r="CA323" t="s">
        <v>25392</v>
      </c>
      <c r="CB323" t="s">
        <v>25394</v>
      </c>
      <c r="CC323" t="s">
        <v>25395</v>
      </c>
      <c r="CD323" t="s">
        <v>25392</v>
      </c>
      <c r="CE323" t="s">
        <v>2405</v>
      </c>
      <c r="CF323" t="s">
        <v>25396</v>
      </c>
      <c r="CH323" t="s">
        <v>25397</v>
      </c>
      <c r="CI323" t="s">
        <v>25398</v>
      </c>
      <c r="CJ323" t="s">
        <v>920</v>
      </c>
      <c r="CK323" t="s">
        <v>211</v>
      </c>
      <c r="CL323" t="s">
        <v>25397</v>
      </c>
      <c r="CN323" t="s">
        <v>25399</v>
      </c>
      <c r="CO323" t="s">
        <v>25399</v>
      </c>
    </row>
    <row r="324" spans="1:93">
      <c r="A324" t="s">
        <v>337</v>
      </c>
      <c r="B324">
        <v>5128331</v>
      </c>
      <c r="C324" t="s">
        <v>13257</v>
      </c>
      <c r="D324" t="s">
        <v>21661</v>
      </c>
      <c r="E324" t="s">
        <v>23505</v>
      </c>
      <c r="F324" t="s">
        <v>152</v>
      </c>
      <c r="G324" t="s">
        <v>98</v>
      </c>
      <c r="H324" t="s">
        <v>23623</v>
      </c>
      <c r="I324" t="s">
        <v>100</v>
      </c>
      <c r="J324">
        <v>230400</v>
      </c>
      <c r="K324">
        <v>230400</v>
      </c>
      <c r="L324">
        <v>0</v>
      </c>
      <c r="M324">
        <v>0</v>
      </c>
      <c r="O324">
        <v>230400</v>
      </c>
      <c r="P324">
        <v>320</v>
      </c>
      <c r="Q324" t="s">
        <v>995</v>
      </c>
      <c r="R324">
        <v>0</v>
      </c>
      <c r="S324">
        <v>0</v>
      </c>
      <c r="U324" t="s">
        <v>102</v>
      </c>
      <c r="V324" t="s">
        <v>103</v>
      </c>
      <c r="W324" t="s">
        <v>155</v>
      </c>
      <c r="Y324" t="s">
        <v>21962</v>
      </c>
      <c r="Z324" t="s">
        <v>23624</v>
      </c>
      <c r="AA324" t="s">
        <v>23371</v>
      </c>
      <c r="AB324" t="s">
        <v>23624</v>
      </c>
      <c r="AC324" t="s">
        <v>23372</v>
      </c>
      <c r="AD324" t="s">
        <v>23624</v>
      </c>
      <c r="AE324" t="s">
        <v>21687</v>
      </c>
      <c r="AF324" t="s">
        <v>23624</v>
      </c>
      <c r="AG324" t="s">
        <v>102</v>
      </c>
      <c r="AH324" t="s">
        <v>23517</v>
      </c>
      <c r="AI324" t="s">
        <v>23517</v>
      </c>
      <c r="AJ324" t="s">
        <v>23624</v>
      </c>
      <c r="AK324" t="s">
        <v>5007</v>
      </c>
      <c r="AL324" t="s">
        <v>2623</v>
      </c>
      <c r="AM324" t="s">
        <v>317</v>
      </c>
      <c r="AN324" t="s">
        <v>317</v>
      </c>
      <c r="AS324" t="s">
        <v>102</v>
      </c>
      <c r="AU324" t="s">
        <v>104</v>
      </c>
      <c r="AV324" t="s">
        <v>447</v>
      </c>
      <c r="AW324" t="s">
        <v>170</v>
      </c>
      <c r="AX324" t="s">
        <v>118</v>
      </c>
      <c r="AZ324" t="s">
        <v>120</v>
      </c>
      <c r="BA324" t="s">
        <v>23625</v>
      </c>
      <c r="BB324" t="s">
        <v>376</v>
      </c>
      <c r="BC324" t="s">
        <v>174</v>
      </c>
      <c r="BD324" t="s">
        <v>376</v>
      </c>
      <c r="BE324" t="s">
        <v>124</v>
      </c>
      <c r="BF324" t="s">
        <v>12250</v>
      </c>
      <c r="BG324" t="s">
        <v>21667</v>
      </c>
      <c r="BH324" t="s">
        <v>127</v>
      </c>
      <c r="BI324" t="s">
        <v>23626</v>
      </c>
      <c r="BJ324" t="s">
        <v>23627</v>
      </c>
      <c r="BK324" t="s">
        <v>23628</v>
      </c>
      <c r="BL324" t="s">
        <v>23505</v>
      </c>
      <c r="BM324" t="s">
        <v>22828</v>
      </c>
      <c r="BN324" t="s">
        <v>180</v>
      </c>
      <c r="BO324" t="s">
        <v>22829</v>
      </c>
      <c r="BP324" t="s">
        <v>22830</v>
      </c>
      <c r="BQ324" t="s">
        <v>1834</v>
      </c>
      <c r="BS324" t="s">
        <v>23629</v>
      </c>
      <c r="BT324" t="s">
        <v>23630</v>
      </c>
      <c r="BU324" t="s">
        <v>354</v>
      </c>
      <c r="BV324" t="s">
        <v>23631</v>
      </c>
      <c r="BW324" t="s">
        <v>23632</v>
      </c>
      <c r="BX324" t="s">
        <v>23633</v>
      </c>
      <c r="BY324" t="s">
        <v>23634</v>
      </c>
      <c r="BZ324" t="s">
        <v>23631</v>
      </c>
      <c r="CA324" t="s">
        <v>23632</v>
      </c>
      <c r="CB324" t="s">
        <v>23634</v>
      </c>
      <c r="CC324" t="s">
        <v>23631</v>
      </c>
      <c r="CD324" t="s">
        <v>23632</v>
      </c>
      <c r="CE324" t="s">
        <v>6370</v>
      </c>
      <c r="CF324" t="s">
        <v>23635</v>
      </c>
      <c r="CH324" t="s">
        <v>23636</v>
      </c>
      <c r="CI324" t="s">
        <v>23637</v>
      </c>
      <c r="CJ324" t="s">
        <v>23638</v>
      </c>
      <c r="CK324" t="s">
        <v>376</v>
      </c>
      <c r="CL324" t="s">
        <v>23636</v>
      </c>
      <c r="CN324" t="s">
        <v>23637</v>
      </c>
      <c r="CO324" t="s">
        <v>23639</v>
      </c>
    </row>
    <row r="325" spans="1:93">
      <c r="A325" t="s">
        <v>337</v>
      </c>
      <c r="B325">
        <v>5128949</v>
      </c>
      <c r="C325" t="s">
        <v>23290</v>
      </c>
      <c r="D325" t="s">
        <v>21661</v>
      </c>
      <c r="E325" t="s">
        <v>14400</v>
      </c>
      <c r="F325" t="s">
        <v>97</v>
      </c>
      <c r="G325" t="s">
        <v>98</v>
      </c>
      <c r="H325" t="s">
        <v>24657</v>
      </c>
      <c r="I325" t="s">
        <v>100</v>
      </c>
      <c r="J325">
        <v>22500</v>
      </c>
      <c r="K325">
        <v>22500</v>
      </c>
      <c r="L325">
        <v>22500</v>
      </c>
      <c r="M325">
        <v>150</v>
      </c>
      <c r="N325" t="s">
        <v>24049</v>
      </c>
      <c r="O325">
        <v>0</v>
      </c>
      <c r="P325">
        <v>0</v>
      </c>
      <c r="R325">
        <v>0</v>
      </c>
      <c r="S325">
        <v>0</v>
      </c>
      <c r="U325" t="s">
        <v>102</v>
      </c>
      <c r="V325" t="s">
        <v>275</v>
      </c>
      <c r="X325" t="s">
        <v>15195</v>
      </c>
      <c r="Y325" t="s">
        <v>109</v>
      </c>
      <c r="Z325" t="s">
        <v>102</v>
      </c>
      <c r="AA325" t="s">
        <v>109</v>
      </c>
      <c r="AB325" t="s">
        <v>102</v>
      </c>
      <c r="AC325" t="s">
        <v>109</v>
      </c>
      <c r="AD325" t="s">
        <v>102</v>
      </c>
      <c r="AE325" t="s">
        <v>109</v>
      </c>
      <c r="AF325" t="s">
        <v>102</v>
      </c>
      <c r="AG325" t="s">
        <v>102</v>
      </c>
      <c r="AH325" t="s">
        <v>22973</v>
      </c>
      <c r="AI325" t="s">
        <v>22973</v>
      </c>
      <c r="AJ325" t="s">
        <v>24658</v>
      </c>
      <c r="AK325" t="s">
        <v>25400</v>
      </c>
      <c r="AL325" t="s">
        <v>25401</v>
      </c>
      <c r="AM325" t="s">
        <v>24053</v>
      </c>
      <c r="AN325" t="s">
        <v>24054</v>
      </c>
      <c r="AO325" t="s">
        <v>102</v>
      </c>
      <c r="AP325" t="s">
        <v>102</v>
      </c>
      <c r="AQ325" t="s">
        <v>102</v>
      </c>
      <c r="AR325" t="s">
        <v>102</v>
      </c>
      <c r="AS325" t="s">
        <v>318</v>
      </c>
      <c r="AT325" t="s">
        <v>118</v>
      </c>
      <c r="AU325" t="s">
        <v>102</v>
      </c>
      <c r="AV325" t="s">
        <v>119</v>
      </c>
      <c r="AZ325" t="s">
        <v>120</v>
      </c>
      <c r="BA325" t="s">
        <v>1729</v>
      </c>
      <c r="BB325" t="s">
        <v>730</v>
      </c>
      <c r="BC325" t="s">
        <v>622</v>
      </c>
      <c r="BD325" t="s">
        <v>730</v>
      </c>
      <c r="BE325" t="s">
        <v>124</v>
      </c>
      <c r="BF325" t="s">
        <v>12250</v>
      </c>
      <c r="BG325" t="s">
        <v>21667</v>
      </c>
      <c r="BH325" t="s">
        <v>127</v>
      </c>
      <c r="BI325" t="s">
        <v>24659</v>
      </c>
      <c r="BJ325" t="s">
        <v>23291</v>
      </c>
      <c r="BK325" t="s">
        <v>23292</v>
      </c>
      <c r="BL325" t="s">
        <v>14400</v>
      </c>
      <c r="BM325" t="s">
        <v>3910</v>
      </c>
      <c r="BN325" t="s">
        <v>180</v>
      </c>
      <c r="BO325" t="s">
        <v>3911</v>
      </c>
      <c r="BP325" t="s">
        <v>3912</v>
      </c>
      <c r="BQ325" t="s">
        <v>7862</v>
      </c>
      <c r="BS325" t="s">
        <v>24660</v>
      </c>
      <c r="BT325" t="s">
        <v>23293</v>
      </c>
      <c r="BU325" t="s">
        <v>598</v>
      </c>
      <c r="BV325" t="s">
        <v>8960</v>
      </c>
      <c r="BW325" t="s">
        <v>24661</v>
      </c>
      <c r="BY325" t="s">
        <v>23293</v>
      </c>
      <c r="BZ325" t="s">
        <v>8960</v>
      </c>
      <c r="CA325" t="s">
        <v>24662</v>
      </c>
      <c r="CB325" t="s">
        <v>23293</v>
      </c>
      <c r="CC325" t="s">
        <v>8960</v>
      </c>
      <c r="CD325" t="s">
        <v>24662</v>
      </c>
      <c r="CE325" t="s">
        <v>102</v>
      </c>
      <c r="CF325" t="s">
        <v>23294</v>
      </c>
      <c r="CH325" t="s">
        <v>1743</v>
      </c>
      <c r="CJ325" t="s">
        <v>1729</v>
      </c>
      <c r="CK325" t="s">
        <v>730</v>
      </c>
      <c r="CL325" t="s">
        <v>4103</v>
      </c>
      <c r="CN325" t="s">
        <v>23295</v>
      </c>
      <c r="CO325" t="s">
        <v>23296</v>
      </c>
    </row>
    <row r="326" spans="1:93">
      <c r="A326" t="s">
        <v>337</v>
      </c>
      <c r="B326">
        <v>5129696</v>
      </c>
      <c r="C326" t="s">
        <v>23297</v>
      </c>
      <c r="D326" t="s">
        <v>21661</v>
      </c>
      <c r="E326" t="s">
        <v>15195</v>
      </c>
      <c r="F326" t="s">
        <v>152</v>
      </c>
      <c r="G326" t="s">
        <v>98</v>
      </c>
      <c r="H326" t="s">
        <v>23298</v>
      </c>
      <c r="I326" t="s">
        <v>100</v>
      </c>
      <c r="J326">
        <v>1080072</v>
      </c>
      <c r="K326">
        <v>1080072</v>
      </c>
      <c r="L326">
        <v>0</v>
      </c>
      <c r="M326">
        <v>0</v>
      </c>
      <c r="O326">
        <v>1080072</v>
      </c>
      <c r="P326">
        <v>720</v>
      </c>
      <c r="Q326" t="s">
        <v>6441</v>
      </c>
      <c r="R326">
        <v>0</v>
      </c>
      <c r="S326">
        <v>0</v>
      </c>
      <c r="U326" t="s">
        <v>102</v>
      </c>
      <c r="V326" t="s">
        <v>103</v>
      </c>
      <c r="W326" t="s">
        <v>104</v>
      </c>
      <c r="Y326" t="s">
        <v>13662</v>
      </c>
      <c r="Z326" t="s">
        <v>23299</v>
      </c>
      <c r="AA326" t="s">
        <v>21872</v>
      </c>
      <c r="AB326" t="s">
        <v>23299</v>
      </c>
      <c r="AC326" t="s">
        <v>109</v>
      </c>
      <c r="AD326" t="s">
        <v>102</v>
      </c>
      <c r="AE326" t="s">
        <v>109</v>
      </c>
      <c r="AF326" t="s">
        <v>102</v>
      </c>
      <c r="AG326" t="s">
        <v>102</v>
      </c>
      <c r="AH326" t="s">
        <v>13386</v>
      </c>
      <c r="AI326" t="s">
        <v>13386</v>
      </c>
      <c r="AJ326" t="s">
        <v>23299</v>
      </c>
      <c r="AK326" t="s">
        <v>23299</v>
      </c>
      <c r="AL326" t="s">
        <v>102</v>
      </c>
      <c r="AM326" t="s">
        <v>23300</v>
      </c>
      <c r="AN326" t="s">
        <v>23300</v>
      </c>
      <c r="AS326" t="s">
        <v>102</v>
      </c>
      <c r="AU326" t="s">
        <v>155</v>
      </c>
      <c r="AV326" t="s">
        <v>447</v>
      </c>
      <c r="AW326" t="s">
        <v>170</v>
      </c>
      <c r="AX326" t="s">
        <v>118</v>
      </c>
      <c r="AZ326" t="s">
        <v>120</v>
      </c>
      <c r="BA326" t="s">
        <v>23301</v>
      </c>
      <c r="BB326" t="s">
        <v>730</v>
      </c>
      <c r="BC326" t="s">
        <v>622</v>
      </c>
      <c r="BD326" t="s">
        <v>730</v>
      </c>
      <c r="BE326" t="s">
        <v>124</v>
      </c>
      <c r="BF326" t="s">
        <v>12250</v>
      </c>
      <c r="BG326" t="s">
        <v>21667</v>
      </c>
      <c r="BH326" t="s">
        <v>127</v>
      </c>
      <c r="BI326" t="s">
        <v>23302</v>
      </c>
      <c r="BJ326" t="s">
        <v>23303</v>
      </c>
      <c r="BK326" t="s">
        <v>23304</v>
      </c>
      <c r="BL326" t="s">
        <v>15195</v>
      </c>
      <c r="BM326" t="s">
        <v>2262</v>
      </c>
      <c r="BN326" t="s">
        <v>350</v>
      </c>
      <c r="BO326" t="s">
        <v>2263</v>
      </c>
      <c r="BP326" t="s">
        <v>2264</v>
      </c>
      <c r="BQ326" t="s">
        <v>2331</v>
      </c>
      <c r="BS326" t="s">
        <v>23305</v>
      </c>
      <c r="BT326" t="s">
        <v>23306</v>
      </c>
      <c r="BU326" t="s">
        <v>138</v>
      </c>
      <c r="BV326" t="s">
        <v>23307</v>
      </c>
      <c r="BW326" t="s">
        <v>23308</v>
      </c>
      <c r="BX326" t="s">
        <v>23307</v>
      </c>
      <c r="BY326" t="s">
        <v>23306</v>
      </c>
      <c r="BZ326" t="s">
        <v>23307</v>
      </c>
      <c r="CA326" t="s">
        <v>23308</v>
      </c>
      <c r="CB326" t="s">
        <v>23306</v>
      </c>
      <c r="CC326" t="s">
        <v>23307</v>
      </c>
      <c r="CD326" t="s">
        <v>23308</v>
      </c>
      <c r="CE326" t="s">
        <v>23309</v>
      </c>
      <c r="CF326" t="s">
        <v>23310</v>
      </c>
      <c r="CH326" t="s">
        <v>23311</v>
      </c>
      <c r="CI326" t="s">
        <v>23312</v>
      </c>
      <c r="CJ326" t="s">
        <v>23301</v>
      </c>
      <c r="CK326" t="s">
        <v>730</v>
      </c>
      <c r="CL326" t="s">
        <v>23311</v>
      </c>
      <c r="CN326" t="s">
        <v>23313</v>
      </c>
      <c r="CO326" t="s">
        <v>23313</v>
      </c>
    </row>
    <row r="327" spans="1:93">
      <c r="A327" t="s">
        <v>337</v>
      </c>
      <c r="B327">
        <v>5133264</v>
      </c>
      <c r="C327" t="s">
        <v>24663</v>
      </c>
      <c r="D327" t="s">
        <v>21661</v>
      </c>
      <c r="E327" t="s">
        <v>22245</v>
      </c>
      <c r="F327" t="s">
        <v>152</v>
      </c>
      <c r="G327" t="s">
        <v>98</v>
      </c>
      <c r="H327" t="s">
        <v>24664</v>
      </c>
      <c r="I327" t="s">
        <v>100</v>
      </c>
      <c r="J327">
        <v>163870</v>
      </c>
      <c r="K327">
        <v>163870</v>
      </c>
      <c r="L327">
        <v>0</v>
      </c>
      <c r="M327">
        <v>0</v>
      </c>
      <c r="O327">
        <v>163870</v>
      </c>
      <c r="P327">
        <v>149</v>
      </c>
      <c r="Q327" t="s">
        <v>466</v>
      </c>
      <c r="R327">
        <v>0</v>
      </c>
      <c r="S327">
        <v>0</v>
      </c>
      <c r="U327" t="s">
        <v>102</v>
      </c>
      <c r="V327" t="s">
        <v>103</v>
      </c>
      <c r="W327" t="s">
        <v>155</v>
      </c>
      <c r="Y327" t="s">
        <v>16553</v>
      </c>
      <c r="Z327" t="s">
        <v>24665</v>
      </c>
      <c r="AA327" t="s">
        <v>21983</v>
      </c>
      <c r="AB327" t="s">
        <v>24665</v>
      </c>
      <c r="AC327" t="s">
        <v>22119</v>
      </c>
      <c r="AD327" t="s">
        <v>24665</v>
      </c>
      <c r="AE327" t="s">
        <v>21687</v>
      </c>
      <c r="AF327" t="s">
        <v>24665</v>
      </c>
      <c r="AG327" t="s">
        <v>102</v>
      </c>
      <c r="AH327" t="s">
        <v>23642</v>
      </c>
      <c r="AI327" t="s">
        <v>23642</v>
      </c>
      <c r="AJ327" t="s">
        <v>24665</v>
      </c>
      <c r="AK327" t="s">
        <v>25402</v>
      </c>
      <c r="AL327" t="s">
        <v>22489</v>
      </c>
      <c r="AM327" t="s">
        <v>21951</v>
      </c>
      <c r="AN327" t="s">
        <v>21951</v>
      </c>
      <c r="AS327" t="s">
        <v>102</v>
      </c>
      <c r="AU327" t="s">
        <v>155</v>
      </c>
      <c r="AV327" t="s">
        <v>447</v>
      </c>
      <c r="AW327" t="s">
        <v>1138</v>
      </c>
      <c r="AX327" t="s">
        <v>118</v>
      </c>
      <c r="AZ327" t="s">
        <v>120</v>
      </c>
      <c r="BA327" t="s">
        <v>24666</v>
      </c>
      <c r="BB327" t="s">
        <v>320</v>
      </c>
      <c r="BC327" t="s">
        <v>122</v>
      </c>
      <c r="BD327" t="s">
        <v>123</v>
      </c>
      <c r="BE327" t="s">
        <v>124</v>
      </c>
      <c r="BF327" t="s">
        <v>12250</v>
      </c>
      <c r="BG327" t="s">
        <v>21667</v>
      </c>
      <c r="BH327" t="s">
        <v>127</v>
      </c>
      <c r="BI327" t="s">
        <v>24667</v>
      </c>
      <c r="BJ327" t="s">
        <v>24668</v>
      </c>
      <c r="BK327" t="s">
        <v>24669</v>
      </c>
      <c r="BL327" t="s">
        <v>22245</v>
      </c>
      <c r="BM327" t="s">
        <v>349</v>
      </c>
      <c r="BN327" t="s">
        <v>350</v>
      </c>
      <c r="BO327" t="s">
        <v>351</v>
      </c>
      <c r="BP327" t="s">
        <v>352</v>
      </c>
      <c r="BQ327" t="s">
        <v>6249</v>
      </c>
      <c r="BS327" t="s">
        <v>24670</v>
      </c>
      <c r="BT327" t="s">
        <v>24671</v>
      </c>
      <c r="BU327" t="s">
        <v>354</v>
      </c>
      <c r="BV327" t="s">
        <v>24672</v>
      </c>
      <c r="BW327" t="s">
        <v>24673</v>
      </c>
      <c r="BX327" t="s">
        <v>24672</v>
      </c>
      <c r="BY327" t="s">
        <v>24674</v>
      </c>
      <c r="BZ327" t="s">
        <v>24675</v>
      </c>
      <c r="CA327" t="s">
        <v>24676</v>
      </c>
      <c r="CB327" t="s">
        <v>24674</v>
      </c>
      <c r="CC327" t="s">
        <v>24675</v>
      </c>
      <c r="CD327" t="s">
        <v>24676</v>
      </c>
      <c r="CE327" t="s">
        <v>12171</v>
      </c>
      <c r="CF327" t="s">
        <v>24663</v>
      </c>
      <c r="CH327" t="s">
        <v>24677</v>
      </c>
      <c r="CI327" t="s">
        <v>24678</v>
      </c>
      <c r="CJ327" t="s">
        <v>24666</v>
      </c>
      <c r="CK327" t="s">
        <v>320</v>
      </c>
      <c r="CL327" t="s">
        <v>24677</v>
      </c>
      <c r="CN327" t="s">
        <v>24679</v>
      </c>
      <c r="CO327" t="s">
        <v>24679</v>
      </c>
    </row>
    <row r="328" spans="1:93">
      <c r="A328" t="s">
        <v>337</v>
      </c>
      <c r="B328">
        <v>5136033</v>
      </c>
      <c r="C328" t="s">
        <v>26558</v>
      </c>
      <c r="D328" t="s">
        <v>21661</v>
      </c>
      <c r="E328" t="s">
        <v>12752</v>
      </c>
      <c r="F328" t="s">
        <v>848</v>
      </c>
      <c r="G328" t="s">
        <v>98</v>
      </c>
      <c r="H328" t="s">
        <v>26559</v>
      </c>
      <c r="I328" t="s">
        <v>100</v>
      </c>
      <c r="J328">
        <v>273675</v>
      </c>
      <c r="K328">
        <v>322937</v>
      </c>
      <c r="L328">
        <v>0</v>
      </c>
      <c r="M328">
        <v>0</v>
      </c>
      <c r="O328">
        <v>0</v>
      </c>
      <c r="P328">
        <v>0</v>
      </c>
      <c r="R328">
        <v>273675</v>
      </c>
      <c r="S328">
        <v>230</v>
      </c>
      <c r="T328" t="s">
        <v>9994</v>
      </c>
      <c r="U328" t="s">
        <v>102</v>
      </c>
      <c r="V328" t="s">
        <v>103</v>
      </c>
      <c r="W328" t="s">
        <v>398</v>
      </c>
      <c r="Y328" t="s">
        <v>21857</v>
      </c>
      <c r="Z328" t="s">
        <v>26560</v>
      </c>
      <c r="AA328" t="s">
        <v>21892</v>
      </c>
      <c r="AB328" t="s">
        <v>26561</v>
      </c>
      <c r="AC328" t="s">
        <v>21821</v>
      </c>
      <c r="AD328" t="s">
        <v>26562</v>
      </c>
      <c r="AE328" t="s">
        <v>109</v>
      </c>
      <c r="AF328" t="s">
        <v>102</v>
      </c>
      <c r="AG328" t="s">
        <v>102</v>
      </c>
      <c r="AJ328" t="s">
        <v>26560</v>
      </c>
      <c r="AK328" t="s">
        <v>102</v>
      </c>
      <c r="AL328" t="s">
        <v>26560</v>
      </c>
      <c r="AM328" t="s">
        <v>3510</v>
      </c>
      <c r="AN328" t="s">
        <v>3510</v>
      </c>
      <c r="AS328" t="s">
        <v>102</v>
      </c>
      <c r="AU328" t="s">
        <v>102</v>
      </c>
      <c r="AV328" t="s">
        <v>119</v>
      </c>
      <c r="AY328" t="s">
        <v>250</v>
      </c>
      <c r="AZ328" t="s">
        <v>209</v>
      </c>
      <c r="BA328" t="s">
        <v>409</v>
      </c>
      <c r="BB328" t="s">
        <v>410</v>
      </c>
      <c r="BC328" t="s">
        <v>212</v>
      </c>
      <c r="BD328" t="s">
        <v>410</v>
      </c>
      <c r="BE328" t="s">
        <v>124</v>
      </c>
      <c r="BF328" t="s">
        <v>19143</v>
      </c>
      <c r="BG328" t="s">
        <v>21806</v>
      </c>
      <c r="BH328" t="s">
        <v>127</v>
      </c>
      <c r="BI328" t="s">
        <v>26563</v>
      </c>
      <c r="BJ328" t="s">
        <v>26564</v>
      </c>
      <c r="BK328" t="s">
        <v>26565</v>
      </c>
      <c r="BL328" t="s">
        <v>12752</v>
      </c>
      <c r="BM328" t="s">
        <v>4053</v>
      </c>
      <c r="BN328" t="s">
        <v>132</v>
      </c>
      <c r="BO328" t="s">
        <v>4054</v>
      </c>
      <c r="BP328" t="s">
        <v>4055</v>
      </c>
      <c r="BQ328" t="s">
        <v>4056</v>
      </c>
      <c r="BS328" t="s">
        <v>26566</v>
      </c>
      <c r="BT328" t="s">
        <v>26567</v>
      </c>
      <c r="BU328" t="s">
        <v>138</v>
      </c>
      <c r="BV328" t="s">
        <v>26568</v>
      </c>
      <c r="BW328" t="s">
        <v>26569</v>
      </c>
      <c r="BX328" t="s">
        <v>26570</v>
      </c>
      <c r="BY328" t="s">
        <v>26571</v>
      </c>
      <c r="BZ328" t="s">
        <v>26572</v>
      </c>
      <c r="CA328" t="s">
        <v>26573</v>
      </c>
      <c r="CB328" t="s">
        <v>26574</v>
      </c>
      <c r="CC328" t="s">
        <v>26572</v>
      </c>
      <c r="CD328" t="s">
        <v>26575</v>
      </c>
      <c r="CE328" t="s">
        <v>102</v>
      </c>
      <c r="CF328" t="s">
        <v>26576</v>
      </c>
      <c r="CH328" t="s">
        <v>3707</v>
      </c>
      <c r="CI328" t="s">
        <v>26576</v>
      </c>
      <c r="CJ328" t="s">
        <v>409</v>
      </c>
      <c r="CK328" t="s">
        <v>410</v>
      </c>
      <c r="CL328" t="s">
        <v>3707</v>
      </c>
      <c r="CN328" t="s">
        <v>26577</v>
      </c>
      <c r="CO328" t="s">
        <v>26577</v>
      </c>
    </row>
    <row r="329" spans="1:93">
      <c r="A329" t="s">
        <v>337</v>
      </c>
      <c r="B329">
        <v>5136172</v>
      </c>
      <c r="C329" t="s">
        <v>23640</v>
      </c>
      <c r="D329" t="s">
        <v>21661</v>
      </c>
      <c r="E329" t="s">
        <v>13131</v>
      </c>
      <c r="F329" t="s">
        <v>848</v>
      </c>
      <c r="G329" t="s">
        <v>98</v>
      </c>
      <c r="H329" t="s">
        <v>23641</v>
      </c>
      <c r="I329" t="s">
        <v>100</v>
      </c>
      <c r="J329">
        <v>457742</v>
      </c>
      <c r="K329">
        <v>540136</v>
      </c>
      <c r="L329">
        <v>0</v>
      </c>
      <c r="M329">
        <v>0</v>
      </c>
      <c r="O329">
        <v>0</v>
      </c>
      <c r="P329">
        <v>0</v>
      </c>
      <c r="R329">
        <v>457742</v>
      </c>
      <c r="S329">
        <v>450</v>
      </c>
      <c r="T329" t="s">
        <v>3924</v>
      </c>
      <c r="U329" t="s">
        <v>102</v>
      </c>
      <c r="V329" t="s">
        <v>103</v>
      </c>
      <c r="W329" t="s">
        <v>155</v>
      </c>
      <c r="Y329" t="s">
        <v>23642</v>
      </c>
      <c r="Z329" t="s">
        <v>23643</v>
      </c>
      <c r="AA329" t="s">
        <v>23644</v>
      </c>
      <c r="AB329" t="s">
        <v>23643</v>
      </c>
      <c r="AC329" t="s">
        <v>23372</v>
      </c>
      <c r="AD329" t="s">
        <v>23643</v>
      </c>
      <c r="AE329" t="s">
        <v>22204</v>
      </c>
      <c r="AF329" t="s">
        <v>23643</v>
      </c>
      <c r="AG329" t="s">
        <v>102</v>
      </c>
      <c r="AH329" t="s">
        <v>23517</v>
      </c>
      <c r="AI329" t="s">
        <v>23517</v>
      </c>
      <c r="AJ329" t="s">
        <v>23643</v>
      </c>
      <c r="AK329" t="s">
        <v>13597</v>
      </c>
      <c r="AL329" t="s">
        <v>24680</v>
      </c>
      <c r="AM329" t="s">
        <v>2353</v>
      </c>
      <c r="AN329" t="s">
        <v>2353</v>
      </c>
      <c r="AS329" t="s">
        <v>102</v>
      </c>
      <c r="AU329" t="s">
        <v>102</v>
      </c>
      <c r="AV329" t="s">
        <v>119</v>
      </c>
      <c r="AY329" t="s">
        <v>250</v>
      </c>
      <c r="AZ329" t="s">
        <v>120</v>
      </c>
      <c r="BA329" t="s">
        <v>23645</v>
      </c>
      <c r="BB329" t="s">
        <v>173</v>
      </c>
      <c r="BC329" t="s">
        <v>174</v>
      </c>
      <c r="BD329" t="s">
        <v>173</v>
      </c>
      <c r="BE329" t="s">
        <v>124</v>
      </c>
      <c r="BF329" t="s">
        <v>12250</v>
      </c>
      <c r="BG329" t="s">
        <v>21667</v>
      </c>
      <c r="BH329" t="s">
        <v>127</v>
      </c>
      <c r="BI329" t="s">
        <v>23646</v>
      </c>
      <c r="BJ329" t="s">
        <v>23647</v>
      </c>
      <c r="BK329" t="s">
        <v>23648</v>
      </c>
      <c r="BL329" t="s">
        <v>13131</v>
      </c>
      <c r="BM329" t="s">
        <v>9823</v>
      </c>
      <c r="BN329" t="s">
        <v>180</v>
      </c>
      <c r="BO329" t="s">
        <v>9824</v>
      </c>
      <c r="BP329" t="s">
        <v>9825</v>
      </c>
      <c r="BQ329" t="s">
        <v>1176</v>
      </c>
      <c r="BS329" t="s">
        <v>23649</v>
      </c>
      <c r="BT329" t="s">
        <v>23650</v>
      </c>
      <c r="BU329" t="s">
        <v>138</v>
      </c>
      <c r="BV329" t="s">
        <v>23651</v>
      </c>
      <c r="BW329" t="s">
        <v>23652</v>
      </c>
      <c r="BX329" t="s">
        <v>23653</v>
      </c>
      <c r="BY329" t="s">
        <v>23650</v>
      </c>
      <c r="BZ329" t="s">
        <v>23651</v>
      </c>
      <c r="CA329" t="s">
        <v>23652</v>
      </c>
      <c r="CB329" t="s">
        <v>23650</v>
      </c>
      <c r="CC329" t="s">
        <v>23651</v>
      </c>
      <c r="CD329" t="s">
        <v>23652</v>
      </c>
      <c r="CE329" t="s">
        <v>2819</v>
      </c>
      <c r="CF329" t="s">
        <v>23654</v>
      </c>
      <c r="CH329" t="s">
        <v>23655</v>
      </c>
      <c r="CI329" t="s">
        <v>23654</v>
      </c>
      <c r="CJ329" t="s">
        <v>23645</v>
      </c>
      <c r="CK329" t="s">
        <v>173</v>
      </c>
      <c r="CL329" t="s">
        <v>23655</v>
      </c>
      <c r="CN329" t="s">
        <v>23645</v>
      </c>
      <c r="CO329" t="s">
        <v>23645</v>
      </c>
    </row>
    <row r="330" spans="1:93">
      <c r="A330" t="s">
        <v>337</v>
      </c>
      <c r="B330">
        <v>5137343</v>
      </c>
      <c r="C330" t="s">
        <v>24681</v>
      </c>
      <c r="D330" t="s">
        <v>21661</v>
      </c>
      <c r="E330" t="s">
        <v>24682</v>
      </c>
      <c r="F330" t="s">
        <v>193</v>
      </c>
      <c r="G330" t="s">
        <v>98</v>
      </c>
      <c r="H330" t="s">
        <v>24683</v>
      </c>
      <c r="I330" t="s">
        <v>100</v>
      </c>
      <c r="J330">
        <v>360122</v>
      </c>
      <c r="K330">
        <v>415197</v>
      </c>
      <c r="L330">
        <v>54150</v>
      </c>
      <c r="M330">
        <v>361</v>
      </c>
      <c r="N330" t="s">
        <v>24049</v>
      </c>
      <c r="O330">
        <v>0</v>
      </c>
      <c r="P330">
        <v>0</v>
      </c>
      <c r="R330">
        <v>305972</v>
      </c>
      <c r="S330">
        <v>361</v>
      </c>
      <c r="T330" t="s">
        <v>19950</v>
      </c>
      <c r="U330" t="s">
        <v>102</v>
      </c>
      <c r="V330" t="s">
        <v>103</v>
      </c>
      <c r="W330" t="s">
        <v>104</v>
      </c>
      <c r="Y330" t="s">
        <v>24684</v>
      </c>
      <c r="Z330" t="s">
        <v>24685</v>
      </c>
      <c r="AA330" t="s">
        <v>24686</v>
      </c>
      <c r="AB330" t="s">
        <v>24687</v>
      </c>
      <c r="AC330" t="s">
        <v>109</v>
      </c>
      <c r="AD330" t="s">
        <v>102</v>
      </c>
      <c r="AE330" t="s">
        <v>109</v>
      </c>
      <c r="AF330" t="s">
        <v>102</v>
      </c>
      <c r="AG330" t="s">
        <v>102</v>
      </c>
      <c r="AH330" t="s">
        <v>26006</v>
      </c>
      <c r="AI330" t="s">
        <v>26006</v>
      </c>
      <c r="AJ330" t="s">
        <v>24685</v>
      </c>
      <c r="AK330" t="s">
        <v>26007</v>
      </c>
      <c r="AL330" t="s">
        <v>26008</v>
      </c>
      <c r="AM330" t="s">
        <v>24688</v>
      </c>
      <c r="AN330" t="s">
        <v>24689</v>
      </c>
      <c r="AO330" t="s">
        <v>102</v>
      </c>
      <c r="AP330" t="s">
        <v>102</v>
      </c>
      <c r="AQ330" t="s">
        <v>102</v>
      </c>
      <c r="AR330" t="s">
        <v>102</v>
      </c>
      <c r="AS330" t="s">
        <v>247</v>
      </c>
      <c r="AT330" t="s">
        <v>118</v>
      </c>
      <c r="AU330" t="s">
        <v>102</v>
      </c>
      <c r="AV330" t="s">
        <v>119</v>
      </c>
      <c r="AY330" t="s">
        <v>250</v>
      </c>
      <c r="AZ330" t="s">
        <v>120</v>
      </c>
      <c r="BA330" t="s">
        <v>1729</v>
      </c>
      <c r="BB330" t="s">
        <v>730</v>
      </c>
      <c r="BC330" t="s">
        <v>622</v>
      </c>
      <c r="BD330" t="s">
        <v>730</v>
      </c>
      <c r="BE330" t="s">
        <v>124</v>
      </c>
      <c r="BF330" t="s">
        <v>19143</v>
      </c>
      <c r="BG330" t="s">
        <v>21806</v>
      </c>
      <c r="BH330" t="s">
        <v>127</v>
      </c>
      <c r="BI330" t="s">
        <v>24690</v>
      </c>
      <c r="BJ330" t="s">
        <v>24691</v>
      </c>
      <c r="BK330" t="s">
        <v>24692</v>
      </c>
      <c r="BL330" t="s">
        <v>24682</v>
      </c>
      <c r="BM330" t="s">
        <v>3910</v>
      </c>
      <c r="BN330" t="s">
        <v>696</v>
      </c>
      <c r="BO330" t="s">
        <v>3911</v>
      </c>
      <c r="BP330" t="s">
        <v>3912</v>
      </c>
      <c r="BQ330" t="s">
        <v>7862</v>
      </c>
      <c r="BS330" t="s">
        <v>24693</v>
      </c>
      <c r="BT330" t="s">
        <v>24694</v>
      </c>
      <c r="BU330" t="s">
        <v>598</v>
      </c>
      <c r="BV330" t="s">
        <v>24695</v>
      </c>
      <c r="BW330" t="s">
        <v>24696</v>
      </c>
      <c r="BX330" t="s">
        <v>24697</v>
      </c>
      <c r="BY330" t="s">
        <v>24698</v>
      </c>
      <c r="BZ330" t="s">
        <v>24699</v>
      </c>
      <c r="CA330" t="s">
        <v>24700</v>
      </c>
      <c r="CB330" t="s">
        <v>24698</v>
      </c>
      <c r="CC330" t="s">
        <v>24699</v>
      </c>
      <c r="CD330" t="s">
        <v>24700</v>
      </c>
      <c r="CE330" t="s">
        <v>24701</v>
      </c>
      <c r="CF330" t="s">
        <v>24702</v>
      </c>
      <c r="CH330" t="s">
        <v>10421</v>
      </c>
      <c r="CI330" t="s">
        <v>24703</v>
      </c>
      <c r="CJ330" t="s">
        <v>1729</v>
      </c>
      <c r="CK330" t="s">
        <v>730</v>
      </c>
      <c r="CL330" t="s">
        <v>10421</v>
      </c>
      <c r="CN330" t="s">
        <v>24704</v>
      </c>
      <c r="CO330" t="s">
        <v>24704</v>
      </c>
    </row>
    <row r="331" spans="1:93">
      <c r="A331" t="s">
        <v>337</v>
      </c>
      <c r="B331">
        <v>5137855</v>
      </c>
      <c r="C331" t="s">
        <v>24705</v>
      </c>
      <c r="D331" t="s">
        <v>21661</v>
      </c>
      <c r="E331" t="s">
        <v>24706</v>
      </c>
      <c r="F331" t="s">
        <v>97</v>
      </c>
      <c r="G331" t="s">
        <v>98</v>
      </c>
      <c r="H331" t="s">
        <v>24707</v>
      </c>
      <c r="I331" t="s">
        <v>100</v>
      </c>
      <c r="J331">
        <v>373827</v>
      </c>
      <c r="K331">
        <v>373827</v>
      </c>
      <c r="L331">
        <v>747654</v>
      </c>
      <c r="M331">
        <v>1068</v>
      </c>
      <c r="N331" t="s">
        <v>799</v>
      </c>
      <c r="O331">
        <v>0</v>
      </c>
      <c r="P331">
        <v>0</v>
      </c>
      <c r="R331">
        <v>0</v>
      </c>
      <c r="S331">
        <v>0</v>
      </c>
      <c r="U331" t="s">
        <v>102</v>
      </c>
      <c r="V331" t="s">
        <v>103</v>
      </c>
      <c r="W331" t="s">
        <v>104</v>
      </c>
      <c r="Y331" t="s">
        <v>24708</v>
      </c>
      <c r="Z331" t="s">
        <v>24709</v>
      </c>
      <c r="AA331" t="s">
        <v>21664</v>
      </c>
      <c r="AB331" t="s">
        <v>24709</v>
      </c>
      <c r="AC331" t="s">
        <v>109</v>
      </c>
      <c r="AD331" t="s">
        <v>102</v>
      </c>
      <c r="AE331" t="s">
        <v>109</v>
      </c>
      <c r="AF331" t="s">
        <v>102</v>
      </c>
      <c r="AG331" t="s">
        <v>102</v>
      </c>
      <c r="AJ331" t="s">
        <v>102</v>
      </c>
      <c r="AK331" t="s">
        <v>102</v>
      </c>
      <c r="AL331" t="s">
        <v>102</v>
      </c>
      <c r="AM331" t="s">
        <v>3305</v>
      </c>
      <c r="AN331" t="s">
        <v>3305</v>
      </c>
      <c r="AS331" t="s">
        <v>318</v>
      </c>
      <c r="AT331" t="s">
        <v>118</v>
      </c>
      <c r="AU331" t="s">
        <v>102</v>
      </c>
      <c r="AV331" t="s">
        <v>119</v>
      </c>
      <c r="AZ331" t="s">
        <v>10399</v>
      </c>
      <c r="BA331" t="s">
        <v>15806</v>
      </c>
      <c r="BB331" t="s">
        <v>730</v>
      </c>
      <c r="BC331" t="s">
        <v>622</v>
      </c>
      <c r="BD331" t="s">
        <v>730</v>
      </c>
      <c r="BE331" t="s">
        <v>124</v>
      </c>
      <c r="BF331" t="s">
        <v>19143</v>
      </c>
      <c r="BG331" t="s">
        <v>21806</v>
      </c>
      <c r="BH331" t="s">
        <v>127</v>
      </c>
      <c r="BI331" t="s">
        <v>24710</v>
      </c>
      <c r="BJ331" t="s">
        <v>24711</v>
      </c>
      <c r="BK331" t="s">
        <v>24712</v>
      </c>
      <c r="BL331" t="s">
        <v>24706</v>
      </c>
      <c r="BM331" t="s">
        <v>2262</v>
      </c>
      <c r="BN331" t="s">
        <v>505</v>
      </c>
      <c r="BO331" t="s">
        <v>2263</v>
      </c>
      <c r="BP331" t="s">
        <v>2264</v>
      </c>
      <c r="BQ331" t="s">
        <v>5199</v>
      </c>
      <c r="BS331" t="s">
        <v>24713</v>
      </c>
      <c r="BT331" t="s">
        <v>24714</v>
      </c>
      <c r="BU331" t="s">
        <v>598</v>
      </c>
      <c r="BV331" t="s">
        <v>24715</v>
      </c>
      <c r="BW331" t="s">
        <v>24716</v>
      </c>
      <c r="BX331" t="s">
        <v>24715</v>
      </c>
      <c r="BY331" t="s">
        <v>24714</v>
      </c>
      <c r="BZ331" t="s">
        <v>24715</v>
      </c>
      <c r="CA331" t="s">
        <v>24716</v>
      </c>
      <c r="CB331" t="s">
        <v>24714</v>
      </c>
      <c r="CC331" t="s">
        <v>24715</v>
      </c>
      <c r="CD331" t="s">
        <v>24716</v>
      </c>
      <c r="CE331" t="s">
        <v>24717</v>
      </c>
      <c r="CF331" t="s">
        <v>24718</v>
      </c>
      <c r="CH331" t="s">
        <v>15821</v>
      </c>
      <c r="CI331" t="s">
        <v>24719</v>
      </c>
      <c r="CJ331" t="s">
        <v>15806</v>
      </c>
      <c r="CK331" t="s">
        <v>730</v>
      </c>
      <c r="CL331" t="s">
        <v>15821</v>
      </c>
      <c r="CN331" t="s">
        <v>24720</v>
      </c>
      <c r="CO331" t="s">
        <v>24720</v>
      </c>
    </row>
    <row r="332" spans="1:93">
      <c r="A332" t="s">
        <v>337</v>
      </c>
      <c r="B332">
        <v>5137966</v>
      </c>
      <c r="C332" t="s">
        <v>25403</v>
      </c>
      <c r="D332" t="s">
        <v>21661</v>
      </c>
      <c r="E332" t="s">
        <v>24156</v>
      </c>
      <c r="F332" t="s">
        <v>848</v>
      </c>
      <c r="G332" t="s">
        <v>98</v>
      </c>
      <c r="H332" t="s">
        <v>25404</v>
      </c>
      <c r="I332" t="s">
        <v>100</v>
      </c>
      <c r="J332">
        <v>189162</v>
      </c>
      <c r="K332">
        <v>223211</v>
      </c>
      <c r="L332">
        <v>0</v>
      </c>
      <c r="M332">
        <v>0</v>
      </c>
      <c r="O332">
        <v>0</v>
      </c>
      <c r="P332">
        <v>0</v>
      </c>
      <c r="R332">
        <v>189162</v>
      </c>
      <c r="S332">
        <v>186</v>
      </c>
      <c r="T332" t="s">
        <v>3924</v>
      </c>
      <c r="U332" t="s">
        <v>102</v>
      </c>
      <c r="V332" t="s">
        <v>103</v>
      </c>
      <c r="W332" t="s">
        <v>104</v>
      </c>
      <c r="Y332" t="s">
        <v>23756</v>
      </c>
      <c r="Z332" t="s">
        <v>25405</v>
      </c>
      <c r="AA332" t="s">
        <v>21828</v>
      </c>
      <c r="AB332" t="s">
        <v>25405</v>
      </c>
      <c r="AC332" t="s">
        <v>109</v>
      </c>
      <c r="AD332" t="s">
        <v>102</v>
      </c>
      <c r="AE332" t="s">
        <v>109</v>
      </c>
      <c r="AF332" t="s">
        <v>102</v>
      </c>
      <c r="AG332" t="s">
        <v>102</v>
      </c>
      <c r="AH332" t="s">
        <v>25301</v>
      </c>
      <c r="AI332" t="s">
        <v>25301</v>
      </c>
      <c r="AJ332" t="s">
        <v>25405</v>
      </c>
      <c r="AK332" t="s">
        <v>25406</v>
      </c>
      <c r="AL332" t="s">
        <v>25407</v>
      </c>
      <c r="AM332" t="s">
        <v>3213</v>
      </c>
      <c r="AN332" t="s">
        <v>3213</v>
      </c>
      <c r="AS332" t="s">
        <v>102</v>
      </c>
      <c r="AU332" t="s">
        <v>102</v>
      </c>
      <c r="AV332" t="s">
        <v>119</v>
      </c>
      <c r="AY332" t="s">
        <v>250</v>
      </c>
      <c r="AZ332" t="s">
        <v>120</v>
      </c>
      <c r="BA332" t="s">
        <v>25408</v>
      </c>
      <c r="BB332" t="s">
        <v>285</v>
      </c>
      <c r="BC332" t="s">
        <v>212</v>
      </c>
      <c r="BD332" t="s">
        <v>286</v>
      </c>
      <c r="BE332" t="s">
        <v>124</v>
      </c>
      <c r="BF332" t="s">
        <v>23756</v>
      </c>
      <c r="BG332" t="s">
        <v>25409</v>
      </c>
      <c r="BH332" t="s">
        <v>127</v>
      </c>
      <c r="BI332" t="s">
        <v>25410</v>
      </c>
      <c r="BJ332" t="s">
        <v>25411</v>
      </c>
      <c r="BK332" t="s">
        <v>25412</v>
      </c>
      <c r="BL332" t="s">
        <v>24156</v>
      </c>
      <c r="BM332" t="s">
        <v>4955</v>
      </c>
      <c r="BN332" t="s">
        <v>132</v>
      </c>
      <c r="BO332" t="s">
        <v>4956</v>
      </c>
      <c r="BP332" t="s">
        <v>4957</v>
      </c>
      <c r="BQ332" t="s">
        <v>1702</v>
      </c>
      <c r="BS332" t="s">
        <v>25413</v>
      </c>
      <c r="BT332" t="s">
        <v>25414</v>
      </c>
      <c r="BU332" t="s">
        <v>138</v>
      </c>
      <c r="BV332" t="s">
        <v>25415</v>
      </c>
      <c r="BW332" t="s">
        <v>25416</v>
      </c>
      <c r="BX332" t="s">
        <v>25415</v>
      </c>
      <c r="BY332" t="s">
        <v>25417</v>
      </c>
      <c r="BZ332" t="s">
        <v>25415</v>
      </c>
      <c r="CA332" t="s">
        <v>25416</v>
      </c>
      <c r="CB332" t="s">
        <v>25417</v>
      </c>
      <c r="CC332" t="s">
        <v>25415</v>
      </c>
      <c r="CD332" t="s">
        <v>25416</v>
      </c>
      <c r="CE332" t="s">
        <v>2270</v>
      </c>
      <c r="CF332" t="s">
        <v>25418</v>
      </c>
      <c r="CH332" t="s">
        <v>25419</v>
      </c>
      <c r="CI332" t="s">
        <v>25418</v>
      </c>
      <c r="CJ332" t="s">
        <v>25408</v>
      </c>
      <c r="CK332" t="s">
        <v>285</v>
      </c>
      <c r="CL332" t="s">
        <v>25419</v>
      </c>
      <c r="CN332" t="s">
        <v>25420</v>
      </c>
      <c r="CO332" t="s">
        <v>25421</v>
      </c>
    </row>
    <row r="333" spans="1:93">
      <c r="A333" t="s">
        <v>337</v>
      </c>
      <c r="B333">
        <v>5138020</v>
      </c>
      <c r="C333" t="s">
        <v>25422</v>
      </c>
      <c r="D333" t="s">
        <v>21661</v>
      </c>
      <c r="E333" t="s">
        <v>15028</v>
      </c>
      <c r="F333" t="s">
        <v>848</v>
      </c>
      <c r="G333" t="s">
        <v>98</v>
      </c>
      <c r="H333" t="s">
        <v>25423</v>
      </c>
      <c r="I333" t="s">
        <v>100</v>
      </c>
      <c r="J333">
        <v>246672</v>
      </c>
      <c r="K333">
        <v>291073</v>
      </c>
      <c r="L333">
        <v>0</v>
      </c>
      <c r="M333">
        <v>0</v>
      </c>
      <c r="O333">
        <v>0</v>
      </c>
      <c r="P333">
        <v>0</v>
      </c>
      <c r="R333">
        <v>246672</v>
      </c>
      <c r="S333">
        <v>485</v>
      </c>
      <c r="T333" t="s">
        <v>196</v>
      </c>
      <c r="U333" t="s">
        <v>102</v>
      </c>
      <c r="V333" t="s">
        <v>103</v>
      </c>
      <c r="W333" t="s">
        <v>104</v>
      </c>
      <c r="Y333" t="s">
        <v>22459</v>
      </c>
      <c r="Z333" t="s">
        <v>25424</v>
      </c>
      <c r="AA333" t="s">
        <v>21828</v>
      </c>
      <c r="AB333" t="s">
        <v>25424</v>
      </c>
      <c r="AC333" t="s">
        <v>109</v>
      </c>
      <c r="AD333" t="s">
        <v>102</v>
      </c>
      <c r="AE333" t="s">
        <v>109</v>
      </c>
      <c r="AF333" t="s">
        <v>102</v>
      </c>
      <c r="AG333" t="s">
        <v>102</v>
      </c>
      <c r="AH333" t="s">
        <v>25719</v>
      </c>
      <c r="AI333" t="s">
        <v>25719</v>
      </c>
      <c r="AJ333" t="s">
        <v>102</v>
      </c>
      <c r="AK333" t="s">
        <v>13597</v>
      </c>
      <c r="AL333" t="s">
        <v>24990</v>
      </c>
      <c r="AM333" t="s">
        <v>20895</v>
      </c>
      <c r="AN333" t="s">
        <v>20895</v>
      </c>
      <c r="AS333" t="s">
        <v>102</v>
      </c>
      <c r="AU333" t="s">
        <v>102</v>
      </c>
      <c r="AV333" t="s">
        <v>119</v>
      </c>
      <c r="AY333" t="s">
        <v>250</v>
      </c>
      <c r="AZ333" t="s">
        <v>120</v>
      </c>
      <c r="BA333" t="s">
        <v>16471</v>
      </c>
      <c r="BB333" t="s">
        <v>376</v>
      </c>
      <c r="BC333" t="s">
        <v>174</v>
      </c>
      <c r="BD333" t="s">
        <v>376</v>
      </c>
      <c r="BE333" t="s">
        <v>124</v>
      </c>
      <c r="BF333" t="s">
        <v>12250</v>
      </c>
      <c r="BG333" t="s">
        <v>21667</v>
      </c>
      <c r="BH333" t="s">
        <v>127</v>
      </c>
      <c r="BI333" t="s">
        <v>25425</v>
      </c>
      <c r="BJ333" t="s">
        <v>25426</v>
      </c>
      <c r="BK333" t="s">
        <v>25427</v>
      </c>
      <c r="BL333" t="s">
        <v>15028</v>
      </c>
      <c r="BM333" t="s">
        <v>13780</v>
      </c>
      <c r="BN333" t="s">
        <v>180</v>
      </c>
      <c r="BO333" t="s">
        <v>13781</v>
      </c>
      <c r="BP333" t="s">
        <v>13782</v>
      </c>
      <c r="BQ333" t="s">
        <v>13783</v>
      </c>
      <c r="BS333" t="s">
        <v>25428</v>
      </c>
      <c r="BT333" t="s">
        <v>25429</v>
      </c>
      <c r="BU333" t="s">
        <v>138</v>
      </c>
      <c r="BV333" t="s">
        <v>25430</v>
      </c>
      <c r="BW333" t="s">
        <v>25431</v>
      </c>
      <c r="BX333" t="s">
        <v>25430</v>
      </c>
      <c r="BY333" t="s">
        <v>25432</v>
      </c>
      <c r="BZ333" t="s">
        <v>25430</v>
      </c>
      <c r="CA333" t="s">
        <v>25431</v>
      </c>
      <c r="CB333" t="s">
        <v>25432</v>
      </c>
      <c r="CC333" t="s">
        <v>25430</v>
      </c>
      <c r="CD333" t="s">
        <v>25431</v>
      </c>
      <c r="CE333" t="s">
        <v>6370</v>
      </c>
      <c r="CF333" t="s">
        <v>25433</v>
      </c>
      <c r="CH333" t="s">
        <v>25434</v>
      </c>
      <c r="CI333" t="s">
        <v>25435</v>
      </c>
      <c r="CJ333" t="s">
        <v>16471</v>
      </c>
      <c r="CK333" t="s">
        <v>376</v>
      </c>
      <c r="CL333" t="s">
        <v>25434</v>
      </c>
      <c r="CN333" t="s">
        <v>25436</v>
      </c>
      <c r="CO333" t="s">
        <v>25437</v>
      </c>
    </row>
    <row r="334" spans="1:93">
      <c r="A334" t="s">
        <v>337</v>
      </c>
      <c r="B334">
        <v>5138364</v>
      </c>
      <c r="C334" t="s">
        <v>24721</v>
      </c>
      <c r="D334" t="s">
        <v>21661</v>
      </c>
      <c r="E334" t="s">
        <v>21784</v>
      </c>
      <c r="F334" t="s">
        <v>848</v>
      </c>
      <c r="G334" t="s">
        <v>98</v>
      </c>
      <c r="H334" t="s">
        <v>24722</v>
      </c>
      <c r="I334" t="s">
        <v>100</v>
      </c>
      <c r="J334">
        <v>645795</v>
      </c>
      <c r="K334">
        <v>762038</v>
      </c>
      <c r="L334">
        <v>0</v>
      </c>
      <c r="M334">
        <v>0</v>
      </c>
      <c r="O334">
        <v>0</v>
      </c>
      <c r="P334">
        <v>0</v>
      </c>
      <c r="R334">
        <v>645795</v>
      </c>
      <c r="S334">
        <v>635</v>
      </c>
      <c r="T334" t="s">
        <v>3924</v>
      </c>
      <c r="U334" t="s">
        <v>102</v>
      </c>
      <c r="V334" t="s">
        <v>103</v>
      </c>
      <c r="W334" t="s">
        <v>104</v>
      </c>
      <c r="Y334" t="s">
        <v>23505</v>
      </c>
      <c r="Z334" t="s">
        <v>24723</v>
      </c>
      <c r="AA334" t="s">
        <v>21828</v>
      </c>
      <c r="AB334" t="s">
        <v>24723</v>
      </c>
      <c r="AC334" t="s">
        <v>109</v>
      </c>
      <c r="AD334" t="s">
        <v>102</v>
      </c>
      <c r="AE334" t="s">
        <v>109</v>
      </c>
      <c r="AF334" t="s">
        <v>102</v>
      </c>
      <c r="AG334" t="s">
        <v>24724</v>
      </c>
      <c r="AH334" t="s">
        <v>18927</v>
      </c>
      <c r="AI334" t="s">
        <v>18927</v>
      </c>
      <c r="AJ334" t="s">
        <v>24723</v>
      </c>
      <c r="AK334" t="s">
        <v>24725</v>
      </c>
      <c r="AL334" t="s">
        <v>115</v>
      </c>
      <c r="AM334" t="s">
        <v>3213</v>
      </c>
      <c r="AN334" t="s">
        <v>3213</v>
      </c>
      <c r="AS334" t="s">
        <v>102</v>
      </c>
      <c r="AU334" t="s">
        <v>102</v>
      </c>
      <c r="AV334" t="s">
        <v>119</v>
      </c>
      <c r="AY334" t="s">
        <v>250</v>
      </c>
      <c r="AZ334" t="s">
        <v>1242</v>
      </c>
      <c r="BA334" t="s">
        <v>284</v>
      </c>
      <c r="BB334" t="s">
        <v>285</v>
      </c>
      <c r="BC334" t="s">
        <v>212</v>
      </c>
      <c r="BD334" t="s">
        <v>286</v>
      </c>
      <c r="BE334" t="s">
        <v>124</v>
      </c>
      <c r="BF334" t="s">
        <v>21784</v>
      </c>
      <c r="BG334" t="s">
        <v>24435</v>
      </c>
      <c r="BH334" t="s">
        <v>127</v>
      </c>
      <c r="BI334" t="s">
        <v>24726</v>
      </c>
      <c r="BJ334" t="s">
        <v>24727</v>
      </c>
      <c r="BK334" t="s">
        <v>24728</v>
      </c>
      <c r="BL334" t="s">
        <v>21784</v>
      </c>
      <c r="BM334" t="s">
        <v>4955</v>
      </c>
      <c r="BN334" t="s">
        <v>132</v>
      </c>
      <c r="BO334" t="s">
        <v>4956</v>
      </c>
      <c r="BP334" t="s">
        <v>4957</v>
      </c>
      <c r="BQ334" t="s">
        <v>1702</v>
      </c>
      <c r="BS334" t="s">
        <v>24729</v>
      </c>
      <c r="BT334" t="s">
        <v>24730</v>
      </c>
      <c r="BU334" t="s">
        <v>138</v>
      </c>
      <c r="BV334" t="s">
        <v>24731</v>
      </c>
      <c r="BW334" t="s">
        <v>24732</v>
      </c>
      <c r="BX334" t="s">
        <v>24733</v>
      </c>
      <c r="BY334" t="s">
        <v>24730</v>
      </c>
      <c r="BZ334" t="s">
        <v>24731</v>
      </c>
      <c r="CA334" t="s">
        <v>24732</v>
      </c>
      <c r="CB334" t="s">
        <v>24730</v>
      </c>
      <c r="CC334" t="s">
        <v>24731</v>
      </c>
      <c r="CD334" t="s">
        <v>24732</v>
      </c>
      <c r="CE334" t="s">
        <v>3841</v>
      </c>
      <c r="CF334" t="s">
        <v>24734</v>
      </c>
      <c r="CH334" t="s">
        <v>24735</v>
      </c>
      <c r="CI334" t="s">
        <v>24734</v>
      </c>
      <c r="CJ334" t="s">
        <v>284</v>
      </c>
      <c r="CK334" t="s">
        <v>285</v>
      </c>
      <c r="CL334" t="s">
        <v>24735</v>
      </c>
      <c r="CM334" t="s">
        <v>24447</v>
      </c>
      <c r="CN334" t="s">
        <v>24734</v>
      </c>
      <c r="CO334" t="s">
        <v>24734</v>
      </c>
    </row>
    <row r="335" spans="1:93">
      <c r="A335" t="s">
        <v>337</v>
      </c>
      <c r="B335">
        <v>5138547</v>
      </c>
      <c r="C335" t="s">
        <v>25438</v>
      </c>
      <c r="D335" t="s">
        <v>21661</v>
      </c>
      <c r="E335" t="s">
        <v>15028</v>
      </c>
      <c r="F335" t="s">
        <v>848</v>
      </c>
      <c r="G335" t="s">
        <v>98</v>
      </c>
      <c r="H335" t="s">
        <v>25439</v>
      </c>
      <c r="I335" t="s">
        <v>100</v>
      </c>
      <c r="J335">
        <v>492326</v>
      </c>
      <c r="K335">
        <v>580945</v>
      </c>
      <c r="L335">
        <v>0</v>
      </c>
      <c r="M335">
        <v>0</v>
      </c>
      <c r="O335">
        <v>0</v>
      </c>
      <c r="P335">
        <v>0</v>
      </c>
      <c r="R335">
        <v>492326</v>
      </c>
      <c r="S335">
        <v>968</v>
      </c>
      <c r="T335" t="s">
        <v>196</v>
      </c>
      <c r="U335" t="s">
        <v>102</v>
      </c>
      <c r="V335" t="s">
        <v>103</v>
      </c>
      <c r="W335" t="s">
        <v>104</v>
      </c>
      <c r="Y335" t="s">
        <v>22459</v>
      </c>
      <c r="Z335" t="s">
        <v>25440</v>
      </c>
      <c r="AA335" t="s">
        <v>21828</v>
      </c>
      <c r="AB335" t="s">
        <v>25440</v>
      </c>
      <c r="AC335" t="s">
        <v>109</v>
      </c>
      <c r="AD335" t="s">
        <v>102</v>
      </c>
      <c r="AE335" t="s">
        <v>109</v>
      </c>
      <c r="AF335" t="s">
        <v>102</v>
      </c>
      <c r="AG335" t="s">
        <v>102</v>
      </c>
      <c r="AJ335" t="s">
        <v>102</v>
      </c>
      <c r="AK335" t="s">
        <v>102</v>
      </c>
      <c r="AL335" t="s">
        <v>102</v>
      </c>
      <c r="AM335" t="s">
        <v>20895</v>
      </c>
      <c r="AN335" t="s">
        <v>20895</v>
      </c>
      <c r="AS335" t="s">
        <v>102</v>
      </c>
      <c r="AU335" t="s">
        <v>102</v>
      </c>
      <c r="AV335" t="s">
        <v>119</v>
      </c>
      <c r="AY335" t="s">
        <v>250</v>
      </c>
      <c r="AZ335" t="s">
        <v>120</v>
      </c>
      <c r="BA335" t="s">
        <v>13207</v>
      </c>
      <c r="BB335" t="s">
        <v>376</v>
      </c>
      <c r="BC335" t="s">
        <v>174</v>
      </c>
      <c r="BD335" t="s">
        <v>376</v>
      </c>
      <c r="BE335" t="s">
        <v>124</v>
      </c>
      <c r="BF335" t="s">
        <v>12250</v>
      </c>
      <c r="BG335" t="s">
        <v>21667</v>
      </c>
      <c r="BH335" t="s">
        <v>127</v>
      </c>
      <c r="BI335" t="s">
        <v>25441</v>
      </c>
      <c r="BJ335" t="s">
        <v>25442</v>
      </c>
      <c r="BK335" t="s">
        <v>25443</v>
      </c>
      <c r="BL335" t="s">
        <v>15028</v>
      </c>
      <c r="BM335" t="s">
        <v>13780</v>
      </c>
      <c r="BN335" t="s">
        <v>180</v>
      </c>
      <c r="BO335" t="s">
        <v>13781</v>
      </c>
      <c r="BP335" t="s">
        <v>13782</v>
      </c>
      <c r="BQ335" t="s">
        <v>13783</v>
      </c>
      <c r="BS335" t="s">
        <v>25444</v>
      </c>
      <c r="BT335" t="s">
        <v>25445</v>
      </c>
      <c r="BU335" t="s">
        <v>138</v>
      </c>
      <c r="BV335" t="s">
        <v>25446</v>
      </c>
      <c r="BW335" t="s">
        <v>25447</v>
      </c>
      <c r="BX335" t="s">
        <v>25446</v>
      </c>
      <c r="BY335" t="s">
        <v>25448</v>
      </c>
      <c r="BZ335" t="s">
        <v>25446</v>
      </c>
      <c r="CA335" t="s">
        <v>25447</v>
      </c>
      <c r="CB335" t="s">
        <v>25448</v>
      </c>
      <c r="CC335" t="s">
        <v>25446</v>
      </c>
      <c r="CD335" t="s">
        <v>25447</v>
      </c>
      <c r="CE335" t="s">
        <v>102</v>
      </c>
      <c r="CF335" t="s">
        <v>25449</v>
      </c>
      <c r="CH335" t="s">
        <v>25450</v>
      </c>
      <c r="CI335" t="s">
        <v>25451</v>
      </c>
      <c r="CJ335" t="s">
        <v>13207</v>
      </c>
      <c r="CK335" t="s">
        <v>376</v>
      </c>
      <c r="CL335" t="s">
        <v>25450</v>
      </c>
      <c r="CN335" t="s">
        <v>25449</v>
      </c>
      <c r="CO335" t="s">
        <v>25449</v>
      </c>
    </row>
    <row r="336" spans="1:93">
      <c r="A336" t="s">
        <v>337</v>
      </c>
      <c r="B336">
        <v>5138757</v>
      </c>
      <c r="C336" t="s">
        <v>25452</v>
      </c>
      <c r="D336" t="s">
        <v>21661</v>
      </c>
      <c r="E336" t="s">
        <v>15028</v>
      </c>
      <c r="F336" t="s">
        <v>848</v>
      </c>
      <c r="G336" t="s">
        <v>98</v>
      </c>
      <c r="H336" t="s">
        <v>25453</v>
      </c>
      <c r="I336" t="s">
        <v>100</v>
      </c>
      <c r="J336">
        <v>175468</v>
      </c>
      <c r="K336">
        <v>207052</v>
      </c>
      <c r="L336">
        <v>0</v>
      </c>
      <c r="M336">
        <v>0</v>
      </c>
      <c r="O336">
        <v>0</v>
      </c>
      <c r="P336">
        <v>0</v>
      </c>
      <c r="R336">
        <v>175468</v>
      </c>
      <c r="S336">
        <v>345</v>
      </c>
      <c r="T336" t="s">
        <v>196</v>
      </c>
      <c r="U336" t="s">
        <v>102</v>
      </c>
      <c r="V336" t="s">
        <v>103</v>
      </c>
      <c r="W336" t="s">
        <v>104</v>
      </c>
      <c r="Y336" t="s">
        <v>22459</v>
      </c>
      <c r="Z336" t="s">
        <v>25454</v>
      </c>
      <c r="AA336" t="s">
        <v>21828</v>
      </c>
      <c r="AB336" t="s">
        <v>25454</v>
      </c>
      <c r="AC336" t="s">
        <v>109</v>
      </c>
      <c r="AD336" t="s">
        <v>102</v>
      </c>
      <c r="AE336" t="s">
        <v>109</v>
      </c>
      <c r="AF336" t="s">
        <v>102</v>
      </c>
      <c r="AG336" t="s">
        <v>102</v>
      </c>
      <c r="AH336" t="s">
        <v>13662</v>
      </c>
      <c r="AI336" t="s">
        <v>13662</v>
      </c>
      <c r="AJ336" t="s">
        <v>102</v>
      </c>
      <c r="AK336" t="s">
        <v>13597</v>
      </c>
      <c r="AL336" t="s">
        <v>24990</v>
      </c>
      <c r="AM336" t="s">
        <v>20895</v>
      </c>
      <c r="AN336" t="s">
        <v>20895</v>
      </c>
      <c r="AS336" t="s">
        <v>102</v>
      </c>
      <c r="AU336" t="s">
        <v>102</v>
      </c>
      <c r="AV336" t="s">
        <v>119</v>
      </c>
      <c r="AY336" t="s">
        <v>250</v>
      </c>
      <c r="AZ336" t="s">
        <v>120</v>
      </c>
      <c r="BA336" t="s">
        <v>24991</v>
      </c>
      <c r="BB336" t="s">
        <v>376</v>
      </c>
      <c r="BC336" t="s">
        <v>174</v>
      </c>
      <c r="BD336" t="s">
        <v>376</v>
      </c>
      <c r="BE336" t="s">
        <v>124</v>
      </c>
      <c r="BF336" t="s">
        <v>12250</v>
      </c>
      <c r="BG336" t="s">
        <v>21667</v>
      </c>
      <c r="BH336" t="s">
        <v>127</v>
      </c>
      <c r="BI336" t="s">
        <v>25455</v>
      </c>
      <c r="BJ336" t="s">
        <v>25456</v>
      </c>
      <c r="BK336" t="s">
        <v>25457</v>
      </c>
      <c r="BL336" t="s">
        <v>15028</v>
      </c>
      <c r="BM336" t="s">
        <v>13780</v>
      </c>
      <c r="BN336" t="s">
        <v>180</v>
      </c>
      <c r="BO336" t="s">
        <v>13781</v>
      </c>
      <c r="BP336" t="s">
        <v>13782</v>
      </c>
      <c r="BQ336" t="s">
        <v>13783</v>
      </c>
      <c r="BS336" t="s">
        <v>25458</v>
      </c>
      <c r="BT336" t="s">
        <v>25459</v>
      </c>
      <c r="BU336" t="s">
        <v>138</v>
      </c>
      <c r="BV336" t="s">
        <v>25460</v>
      </c>
      <c r="BW336" t="s">
        <v>25461</v>
      </c>
      <c r="BX336" t="s">
        <v>25460</v>
      </c>
      <c r="BY336" t="s">
        <v>25462</v>
      </c>
      <c r="BZ336" t="s">
        <v>25460</v>
      </c>
      <c r="CA336" t="s">
        <v>25461</v>
      </c>
      <c r="CB336" t="s">
        <v>25462</v>
      </c>
      <c r="CC336" t="s">
        <v>25460</v>
      </c>
      <c r="CD336" t="s">
        <v>25461</v>
      </c>
      <c r="CE336" t="s">
        <v>102</v>
      </c>
      <c r="CF336" t="s">
        <v>25463</v>
      </c>
      <c r="CH336" t="s">
        <v>25464</v>
      </c>
      <c r="CI336" t="s">
        <v>25465</v>
      </c>
      <c r="CJ336" t="s">
        <v>24991</v>
      </c>
      <c r="CK336" t="s">
        <v>376</v>
      </c>
      <c r="CL336" t="s">
        <v>25464</v>
      </c>
      <c r="CN336" t="s">
        <v>25463</v>
      </c>
      <c r="CO336" t="s">
        <v>25463</v>
      </c>
    </row>
    <row r="337" spans="1:93">
      <c r="A337" t="s">
        <v>337</v>
      </c>
      <c r="B337">
        <v>5139010</v>
      </c>
      <c r="C337" t="s">
        <v>25466</v>
      </c>
      <c r="D337" t="s">
        <v>21661</v>
      </c>
      <c r="E337" t="s">
        <v>15028</v>
      </c>
      <c r="F337" t="s">
        <v>848</v>
      </c>
      <c r="G337" t="s">
        <v>98</v>
      </c>
      <c r="H337" t="s">
        <v>25467</v>
      </c>
      <c r="I337" t="s">
        <v>100</v>
      </c>
      <c r="J337">
        <v>172925</v>
      </c>
      <c r="K337">
        <v>204052</v>
      </c>
      <c r="L337">
        <v>0</v>
      </c>
      <c r="M337">
        <v>0</v>
      </c>
      <c r="O337">
        <v>0</v>
      </c>
      <c r="P337">
        <v>0</v>
      </c>
      <c r="R337">
        <v>172925</v>
      </c>
      <c r="S337">
        <v>340</v>
      </c>
      <c r="T337" t="s">
        <v>196</v>
      </c>
      <c r="U337" t="s">
        <v>102</v>
      </c>
      <c r="V337" t="s">
        <v>103</v>
      </c>
      <c r="W337" t="s">
        <v>104</v>
      </c>
      <c r="Y337" t="s">
        <v>22459</v>
      </c>
      <c r="Z337" t="s">
        <v>25468</v>
      </c>
      <c r="AA337" t="s">
        <v>21828</v>
      </c>
      <c r="AB337" t="s">
        <v>25468</v>
      </c>
      <c r="AC337" t="s">
        <v>109</v>
      </c>
      <c r="AD337" t="s">
        <v>102</v>
      </c>
      <c r="AE337" t="s">
        <v>109</v>
      </c>
      <c r="AF337" t="s">
        <v>102</v>
      </c>
      <c r="AG337" t="s">
        <v>102</v>
      </c>
      <c r="AH337" t="s">
        <v>26057</v>
      </c>
      <c r="AI337" t="s">
        <v>26057</v>
      </c>
      <c r="AJ337" t="s">
        <v>102</v>
      </c>
      <c r="AK337" t="s">
        <v>13597</v>
      </c>
      <c r="AL337" t="s">
        <v>24990</v>
      </c>
      <c r="AM337" t="s">
        <v>20895</v>
      </c>
      <c r="AN337" t="s">
        <v>20895</v>
      </c>
      <c r="AS337" t="s">
        <v>102</v>
      </c>
      <c r="AU337" t="s">
        <v>102</v>
      </c>
      <c r="AV337" t="s">
        <v>119</v>
      </c>
      <c r="AY337" t="s">
        <v>250</v>
      </c>
      <c r="AZ337" t="s">
        <v>120</v>
      </c>
      <c r="BA337" t="s">
        <v>19577</v>
      </c>
      <c r="BB337" t="s">
        <v>376</v>
      </c>
      <c r="BC337" t="s">
        <v>174</v>
      </c>
      <c r="BD337" t="s">
        <v>376</v>
      </c>
      <c r="BE337" t="s">
        <v>124</v>
      </c>
      <c r="BF337" t="s">
        <v>12250</v>
      </c>
      <c r="BG337" t="s">
        <v>21667</v>
      </c>
      <c r="BH337" t="s">
        <v>127</v>
      </c>
      <c r="BI337" t="s">
        <v>25469</v>
      </c>
      <c r="BJ337" t="s">
        <v>25470</v>
      </c>
      <c r="BK337" t="s">
        <v>25471</v>
      </c>
      <c r="BL337" t="s">
        <v>15028</v>
      </c>
      <c r="BM337" t="s">
        <v>13780</v>
      </c>
      <c r="BN337" t="s">
        <v>180</v>
      </c>
      <c r="BO337" t="s">
        <v>13781</v>
      </c>
      <c r="BP337" t="s">
        <v>13782</v>
      </c>
      <c r="BQ337" t="s">
        <v>13783</v>
      </c>
      <c r="BS337" t="s">
        <v>25472</v>
      </c>
      <c r="BT337" t="s">
        <v>25473</v>
      </c>
      <c r="BU337" t="s">
        <v>138</v>
      </c>
      <c r="BV337" t="s">
        <v>25474</v>
      </c>
      <c r="BW337" t="s">
        <v>25475</v>
      </c>
      <c r="BX337" t="s">
        <v>25476</v>
      </c>
      <c r="BY337" t="s">
        <v>25477</v>
      </c>
      <c r="BZ337" t="s">
        <v>25474</v>
      </c>
      <c r="CA337" t="s">
        <v>25475</v>
      </c>
      <c r="CB337" t="s">
        <v>25477</v>
      </c>
      <c r="CC337" t="s">
        <v>25474</v>
      </c>
      <c r="CD337" t="s">
        <v>25475</v>
      </c>
      <c r="CE337" t="s">
        <v>102</v>
      </c>
      <c r="CF337" t="s">
        <v>25478</v>
      </c>
      <c r="CH337" t="s">
        <v>25479</v>
      </c>
      <c r="CI337" t="s">
        <v>25480</v>
      </c>
      <c r="CJ337" t="s">
        <v>19577</v>
      </c>
      <c r="CK337" t="s">
        <v>376</v>
      </c>
      <c r="CL337" t="s">
        <v>25479</v>
      </c>
      <c r="CN337" t="s">
        <v>25478</v>
      </c>
      <c r="CO337" t="s">
        <v>25478</v>
      </c>
    </row>
    <row r="338" spans="1:93">
      <c r="A338" t="s">
        <v>337</v>
      </c>
      <c r="B338">
        <v>5139276</v>
      </c>
      <c r="C338" t="s">
        <v>25481</v>
      </c>
      <c r="D338" t="s">
        <v>21661</v>
      </c>
      <c r="E338" t="s">
        <v>24156</v>
      </c>
      <c r="F338" t="s">
        <v>848</v>
      </c>
      <c r="G338" t="s">
        <v>98</v>
      </c>
      <c r="H338" t="s">
        <v>25482</v>
      </c>
      <c r="I338" t="s">
        <v>100</v>
      </c>
      <c r="J338">
        <v>52884</v>
      </c>
      <c r="K338">
        <v>62403</v>
      </c>
      <c r="L338">
        <v>0</v>
      </c>
      <c r="M338">
        <v>0</v>
      </c>
      <c r="O338">
        <v>0</v>
      </c>
      <c r="P338">
        <v>0</v>
      </c>
      <c r="R338">
        <v>52884</v>
      </c>
      <c r="S338">
        <v>52</v>
      </c>
      <c r="T338" t="s">
        <v>3924</v>
      </c>
      <c r="U338" t="s">
        <v>102</v>
      </c>
      <c r="V338" t="s">
        <v>103</v>
      </c>
      <c r="W338" t="s">
        <v>104</v>
      </c>
      <c r="Y338" t="s">
        <v>23756</v>
      </c>
      <c r="Z338" t="s">
        <v>25483</v>
      </c>
      <c r="AA338" t="s">
        <v>21828</v>
      </c>
      <c r="AB338" t="s">
        <v>25483</v>
      </c>
      <c r="AC338" t="s">
        <v>109</v>
      </c>
      <c r="AD338" t="s">
        <v>102</v>
      </c>
      <c r="AE338" t="s">
        <v>109</v>
      </c>
      <c r="AF338" t="s">
        <v>102</v>
      </c>
      <c r="AG338" t="s">
        <v>102</v>
      </c>
      <c r="AH338" t="s">
        <v>25301</v>
      </c>
      <c r="AI338" t="s">
        <v>25301</v>
      </c>
      <c r="AJ338" t="s">
        <v>25483</v>
      </c>
      <c r="AK338" t="s">
        <v>25484</v>
      </c>
      <c r="AL338" t="s">
        <v>15308</v>
      </c>
      <c r="AM338" t="s">
        <v>3213</v>
      </c>
      <c r="AN338" t="s">
        <v>3213</v>
      </c>
      <c r="AS338" t="s">
        <v>102</v>
      </c>
      <c r="AU338" t="s">
        <v>102</v>
      </c>
      <c r="AV338" t="s">
        <v>119</v>
      </c>
      <c r="AY338" t="s">
        <v>250</v>
      </c>
      <c r="AZ338" t="s">
        <v>120</v>
      </c>
      <c r="BA338" t="s">
        <v>3358</v>
      </c>
      <c r="BB338" t="s">
        <v>285</v>
      </c>
      <c r="BC338" t="s">
        <v>212</v>
      </c>
      <c r="BD338" t="s">
        <v>286</v>
      </c>
      <c r="BE338" t="s">
        <v>124</v>
      </c>
      <c r="BF338" t="s">
        <v>17605</v>
      </c>
      <c r="BG338" t="s">
        <v>25409</v>
      </c>
      <c r="BH338" t="s">
        <v>127</v>
      </c>
      <c r="BI338" t="s">
        <v>25485</v>
      </c>
      <c r="BJ338" t="s">
        <v>25486</v>
      </c>
      <c r="BK338" t="s">
        <v>25487</v>
      </c>
      <c r="BL338" t="s">
        <v>24156</v>
      </c>
      <c r="BM338" t="s">
        <v>4955</v>
      </c>
      <c r="BN338" t="s">
        <v>132</v>
      </c>
      <c r="BO338" t="s">
        <v>4956</v>
      </c>
      <c r="BP338" t="s">
        <v>4957</v>
      </c>
      <c r="BQ338" t="s">
        <v>1702</v>
      </c>
      <c r="BS338" t="s">
        <v>25488</v>
      </c>
      <c r="BT338" t="s">
        <v>25489</v>
      </c>
      <c r="BU338" t="s">
        <v>138</v>
      </c>
      <c r="BV338" t="s">
        <v>25415</v>
      </c>
      <c r="BW338" t="s">
        <v>25490</v>
      </c>
      <c r="BX338" t="s">
        <v>25491</v>
      </c>
      <c r="BY338" t="s">
        <v>25417</v>
      </c>
      <c r="BZ338" t="s">
        <v>25415</v>
      </c>
      <c r="CA338" t="s">
        <v>25490</v>
      </c>
      <c r="CB338" t="s">
        <v>25417</v>
      </c>
      <c r="CC338" t="s">
        <v>25415</v>
      </c>
      <c r="CD338" t="s">
        <v>25490</v>
      </c>
      <c r="CE338" t="s">
        <v>3841</v>
      </c>
      <c r="CF338" t="s">
        <v>25492</v>
      </c>
      <c r="CH338" t="s">
        <v>25419</v>
      </c>
      <c r="CI338" t="s">
        <v>25493</v>
      </c>
      <c r="CJ338" t="s">
        <v>3358</v>
      </c>
      <c r="CK338" t="s">
        <v>285</v>
      </c>
      <c r="CL338" t="s">
        <v>25419</v>
      </c>
      <c r="CN338" t="s">
        <v>3358</v>
      </c>
      <c r="CO338" t="s">
        <v>3358</v>
      </c>
    </row>
    <row r="339" spans="1:93">
      <c r="A339" t="s">
        <v>337</v>
      </c>
      <c r="B339">
        <v>5139974</v>
      </c>
      <c r="C339" t="s">
        <v>24736</v>
      </c>
      <c r="D339" t="s">
        <v>21661</v>
      </c>
      <c r="E339" t="s">
        <v>21962</v>
      </c>
      <c r="F339" t="s">
        <v>97</v>
      </c>
      <c r="G339" t="s">
        <v>98</v>
      </c>
      <c r="H339" t="s">
        <v>24737</v>
      </c>
      <c r="I339" t="s">
        <v>100</v>
      </c>
      <c r="J339">
        <v>0</v>
      </c>
      <c r="K339">
        <v>0</v>
      </c>
      <c r="L339">
        <v>0</v>
      </c>
      <c r="M339">
        <v>115</v>
      </c>
      <c r="N339" t="s">
        <v>102</v>
      </c>
      <c r="O339">
        <v>0</v>
      </c>
      <c r="P339">
        <v>0</v>
      </c>
      <c r="R339">
        <v>0</v>
      </c>
      <c r="S339">
        <v>0</v>
      </c>
      <c r="U339" t="s">
        <v>102</v>
      </c>
      <c r="V339" t="s">
        <v>275</v>
      </c>
      <c r="X339" t="s">
        <v>12047</v>
      </c>
      <c r="Y339" t="s">
        <v>109</v>
      </c>
      <c r="Z339" t="s">
        <v>102</v>
      </c>
      <c r="AA339" t="s">
        <v>109</v>
      </c>
      <c r="AB339" t="s">
        <v>102</v>
      </c>
      <c r="AC339" t="s">
        <v>109</v>
      </c>
      <c r="AD339" t="s">
        <v>102</v>
      </c>
      <c r="AE339" t="s">
        <v>109</v>
      </c>
      <c r="AF339" t="s">
        <v>102</v>
      </c>
      <c r="AG339" t="s">
        <v>102</v>
      </c>
      <c r="AJ339" t="s">
        <v>102</v>
      </c>
      <c r="AK339" t="s">
        <v>102</v>
      </c>
      <c r="AL339" t="s">
        <v>102</v>
      </c>
      <c r="AM339" t="s">
        <v>115</v>
      </c>
      <c r="AN339" t="s">
        <v>2202</v>
      </c>
      <c r="AO339" t="s">
        <v>102</v>
      </c>
      <c r="AP339" t="s">
        <v>102</v>
      </c>
      <c r="AQ339" t="s">
        <v>102</v>
      </c>
      <c r="AR339" t="s">
        <v>102</v>
      </c>
      <c r="AS339" t="s">
        <v>318</v>
      </c>
      <c r="AT339" t="s">
        <v>118</v>
      </c>
      <c r="AU339" t="s">
        <v>102</v>
      </c>
      <c r="AV339" t="s">
        <v>119</v>
      </c>
      <c r="AZ339" t="s">
        <v>120</v>
      </c>
      <c r="BA339" t="s">
        <v>2327</v>
      </c>
      <c r="BB339" t="s">
        <v>730</v>
      </c>
      <c r="BC339" t="s">
        <v>622</v>
      </c>
      <c r="BD339" t="s">
        <v>730</v>
      </c>
      <c r="BE339" t="s">
        <v>124</v>
      </c>
      <c r="BF339" t="s">
        <v>12250</v>
      </c>
      <c r="BG339" t="s">
        <v>21667</v>
      </c>
      <c r="BH339" t="s">
        <v>127</v>
      </c>
      <c r="BI339" t="s">
        <v>24738</v>
      </c>
      <c r="BJ339" t="s">
        <v>24739</v>
      </c>
      <c r="BK339" t="s">
        <v>24740</v>
      </c>
      <c r="BL339" t="s">
        <v>21962</v>
      </c>
      <c r="BM339" t="s">
        <v>2262</v>
      </c>
      <c r="BN339" t="s">
        <v>505</v>
      </c>
      <c r="BO339" t="s">
        <v>2263</v>
      </c>
      <c r="BP339" t="s">
        <v>2264</v>
      </c>
      <c r="BQ339" t="s">
        <v>2569</v>
      </c>
      <c r="BS339" t="s">
        <v>24741</v>
      </c>
      <c r="BT339" t="s">
        <v>24742</v>
      </c>
      <c r="BU339" t="s">
        <v>138</v>
      </c>
      <c r="BV339" t="s">
        <v>2263</v>
      </c>
      <c r="BW339" t="s">
        <v>24311</v>
      </c>
      <c r="BX339" t="s">
        <v>24312</v>
      </c>
      <c r="BY339" t="s">
        <v>24743</v>
      </c>
      <c r="BZ339" t="s">
        <v>24313</v>
      </c>
      <c r="CA339" t="s">
        <v>24311</v>
      </c>
      <c r="CB339" t="s">
        <v>24743</v>
      </c>
      <c r="CC339" t="s">
        <v>24313</v>
      </c>
      <c r="CD339" t="s">
        <v>24311</v>
      </c>
      <c r="CE339" t="s">
        <v>24744</v>
      </c>
      <c r="CF339" t="s">
        <v>24315</v>
      </c>
      <c r="CH339" t="s">
        <v>24316</v>
      </c>
      <c r="CI339" t="s">
        <v>24745</v>
      </c>
      <c r="CJ339" t="s">
        <v>2327</v>
      </c>
      <c r="CK339" t="s">
        <v>730</v>
      </c>
      <c r="CL339" t="s">
        <v>24316</v>
      </c>
      <c r="CN339" t="s">
        <v>24315</v>
      </c>
      <c r="CO339" t="s">
        <v>24315</v>
      </c>
    </row>
    <row r="340" spans="1:93">
      <c r="A340" t="s">
        <v>337</v>
      </c>
      <c r="B340">
        <v>5140478</v>
      </c>
      <c r="C340" t="s">
        <v>26009</v>
      </c>
      <c r="D340" t="s">
        <v>21661</v>
      </c>
      <c r="E340" t="s">
        <v>25697</v>
      </c>
      <c r="F340" t="s">
        <v>152</v>
      </c>
      <c r="G340" t="s">
        <v>98</v>
      </c>
      <c r="H340" t="s">
        <v>26010</v>
      </c>
      <c r="I340" t="s">
        <v>100</v>
      </c>
      <c r="J340">
        <v>192003</v>
      </c>
      <c r="K340">
        <v>192003</v>
      </c>
      <c r="L340">
        <v>0</v>
      </c>
      <c r="M340">
        <v>0</v>
      </c>
      <c r="O340">
        <v>192003</v>
      </c>
      <c r="P340">
        <v>240</v>
      </c>
      <c r="Q340" t="s">
        <v>1297</v>
      </c>
      <c r="R340">
        <v>0</v>
      </c>
      <c r="S340">
        <v>0</v>
      </c>
      <c r="U340" t="s">
        <v>102</v>
      </c>
      <c r="V340" t="s">
        <v>103</v>
      </c>
      <c r="W340" t="s">
        <v>155</v>
      </c>
      <c r="Y340" t="s">
        <v>25719</v>
      </c>
      <c r="Z340" t="s">
        <v>26011</v>
      </c>
      <c r="AA340" t="s">
        <v>21826</v>
      </c>
      <c r="AB340" t="s">
        <v>26011</v>
      </c>
      <c r="AC340" t="s">
        <v>21828</v>
      </c>
      <c r="AD340" t="s">
        <v>26011</v>
      </c>
      <c r="AE340" t="s">
        <v>21687</v>
      </c>
      <c r="AF340" t="s">
        <v>26011</v>
      </c>
      <c r="AG340" t="s">
        <v>102</v>
      </c>
      <c r="AJ340" t="s">
        <v>26011</v>
      </c>
      <c r="AK340" t="s">
        <v>102</v>
      </c>
      <c r="AL340" t="s">
        <v>26011</v>
      </c>
      <c r="AM340" t="s">
        <v>26012</v>
      </c>
      <c r="AN340" t="s">
        <v>26012</v>
      </c>
      <c r="AS340" t="s">
        <v>102</v>
      </c>
      <c r="AU340" t="s">
        <v>104</v>
      </c>
      <c r="AV340" t="s">
        <v>447</v>
      </c>
      <c r="AW340" t="s">
        <v>170</v>
      </c>
      <c r="AX340" t="s">
        <v>118</v>
      </c>
      <c r="AZ340" t="s">
        <v>120</v>
      </c>
      <c r="BA340" t="s">
        <v>26013</v>
      </c>
      <c r="BB340" t="s">
        <v>376</v>
      </c>
      <c r="BC340" t="s">
        <v>174</v>
      </c>
      <c r="BD340" t="s">
        <v>376</v>
      </c>
      <c r="BE340" t="s">
        <v>124</v>
      </c>
      <c r="BF340" t="s">
        <v>25719</v>
      </c>
      <c r="BG340" t="s">
        <v>26014</v>
      </c>
      <c r="BH340" t="s">
        <v>127</v>
      </c>
      <c r="BI340" t="s">
        <v>26015</v>
      </c>
      <c r="BJ340" t="s">
        <v>26016</v>
      </c>
      <c r="BK340" t="s">
        <v>26017</v>
      </c>
      <c r="BL340" t="s">
        <v>25697</v>
      </c>
      <c r="BM340" t="s">
        <v>22828</v>
      </c>
      <c r="BN340" t="s">
        <v>180</v>
      </c>
      <c r="BO340" t="s">
        <v>22829</v>
      </c>
      <c r="BP340" t="s">
        <v>22830</v>
      </c>
      <c r="BQ340" t="s">
        <v>1834</v>
      </c>
      <c r="BS340" t="s">
        <v>26018</v>
      </c>
      <c r="BT340" t="s">
        <v>26019</v>
      </c>
      <c r="BU340" t="s">
        <v>138</v>
      </c>
      <c r="BV340" t="s">
        <v>26020</v>
      </c>
      <c r="BW340" t="s">
        <v>26021</v>
      </c>
      <c r="BX340" t="s">
        <v>26020</v>
      </c>
      <c r="BY340" t="s">
        <v>26019</v>
      </c>
      <c r="BZ340" t="s">
        <v>26020</v>
      </c>
      <c r="CA340" t="s">
        <v>26021</v>
      </c>
      <c r="CB340" t="s">
        <v>26019</v>
      </c>
      <c r="CC340" t="s">
        <v>26020</v>
      </c>
      <c r="CD340" t="s">
        <v>26021</v>
      </c>
      <c r="CE340" t="s">
        <v>2555</v>
      </c>
      <c r="CF340" t="s">
        <v>26022</v>
      </c>
      <c r="CH340" t="s">
        <v>26023</v>
      </c>
      <c r="CI340" t="s">
        <v>26024</v>
      </c>
      <c r="CJ340" t="s">
        <v>26013</v>
      </c>
      <c r="CK340" t="s">
        <v>376</v>
      </c>
      <c r="CL340" t="s">
        <v>26023</v>
      </c>
      <c r="CN340" t="s">
        <v>26022</v>
      </c>
      <c r="CO340" t="s">
        <v>26022</v>
      </c>
    </row>
    <row r="341" spans="1:93">
      <c r="A341" t="s">
        <v>337</v>
      </c>
      <c r="B341">
        <v>5142028</v>
      </c>
      <c r="C341" t="s">
        <v>24746</v>
      </c>
      <c r="D341" t="s">
        <v>21661</v>
      </c>
      <c r="E341" t="s">
        <v>23889</v>
      </c>
      <c r="F341" t="s">
        <v>643</v>
      </c>
      <c r="G341" t="s">
        <v>98</v>
      </c>
      <c r="H341" t="s">
        <v>24747</v>
      </c>
      <c r="I341" t="s">
        <v>100</v>
      </c>
      <c r="J341">
        <v>534405</v>
      </c>
      <c r="K341">
        <v>594845</v>
      </c>
      <c r="L341">
        <v>0</v>
      </c>
      <c r="M341">
        <v>0</v>
      </c>
      <c r="O341">
        <v>198627</v>
      </c>
      <c r="P341">
        <v>220</v>
      </c>
      <c r="Q341" t="s">
        <v>24748</v>
      </c>
      <c r="R341">
        <v>335778</v>
      </c>
      <c r="S341">
        <v>330</v>
      </c>
      <c r="T341" t="s">
        <v>24749</v>
      </c>
      <c r="U341" t="s">
        <v>102</v>
      </c>
      <c r="V341" t="s">
        <v>103</v>
      </c>
      <c r="W341" t="s">
        <v>155</v>
      </c>
      <c r="Y341" t="s">
        <v>23889</v>
      </c>
      <c r="Z341" t="s">
        <v>24750</v>
      </c>
      <c r="AA341" t="s">
        <v>21731</v>
      </c>
      <c r="AB341" t="s">
        <v>24750</v>
      </c>
      <c r="AC341" t="s">
        <v>21732</v>
      </c>
      <c r="AD341" t="s">
        <v>24750</v>
      </c>
      <c r="AE341" t="s">
        <v>21666</v>
      </c>
      <c r="AF341" t="s">
        <v>24750</v>
      </c>
      <c r="AG341" t="s">
        <v>102</v>
      </c>
      <c r="AH341" t="s">
        <v>23889</v>
      </c>
      <c r="AI341" t="s">
        <v>23889</v>
      </c>
      <c r="AJ341" t="s">
        <v>24750</v>
      </c>
      <c r="AK341" t="s">
        <v>24751</v>
      </c>
      <c r="AL341" t="s">
        <v>24752</v>
      </c>
      <c r="AM341" t="s">
        <v>24753</v>
      </c>
      <c r="AN341" t="s">
        <v>24753</v>
      </c>
      <c r="AS341" t="s">
        <v>102</v>
      </c>
      <c r="AU341" t="s">
        <v>102</v>
      </c>
      <c r="AV341" t="s">
        <v>119</v>
      </c>
      <c r="AW341" t="s">
        <v>170</v>
      </c>
      <c r="AX341" t="s">
        <v>118</v>
      </c>
      <c r="AY341" t="s">
        <v>250</v>
      </c>
      <c r="AZ341" t="s">
        <v>120</v>
      </c>
      <c r="BA341" t="s">
        <v>24754</v>
      </c>
      <c r="BB341" t="s">
        <v>410</v>
      </c>
      <c r="BC341" t="s">
        <v>212</v>
      </c>
      <c r="BD341" t="s">
        <v>410</v>
      </c>
      <c r="BE341" t="s">
        <v>124</v>
      </c>
      <c r="BF341" t="s">
        <v>12250</v>
      </c>
      <c r="BG341" t="s">
        <v>21667</v>
      </c>
      <c r="BH341" t="s">
        <v>127</v>
      </c>
      <c r="BI341" t="s">
        <v>24755</v>
      </c>
      <c r="BJ341" t="s">
        <v>24756</v>
      </c>
      <c r="BK341" t="s">
        <v>24757</v>
      </c>
      <c r="BL341" t="s">
        <v>23889</v>
      </c>
      <c r="BM341" t="s">
        <v>4053</v>
      </c>
      <c r="BN341" t="s">
        <v>132</v>
      </c>
      <c r="BO341" t="s">
        <v>4054</v>
      </c>
      <c r="BP341" t="s">
        <v>4055</v>
      </c>
      <c r="BQ341" t="s">
        <v>4056</v>
      </c>
      <c r="BS341" t="s">
        <v>24758</v>
      </c>
      <c r="BT341" t="s">
        <v>24759</v>
      </c>
      <c r="BU341" t="s">
        <v>354</v>
      </c>
      <c r="BV341" t="s">
        <v>24760</v>
      </c>
      <c r="BW341" t="s">
        <v>24761</v>
      </c>
      <c r="BX341" t="s">
        <v>24760</v>
      </c>
      <c r="BY341" t="s">
        <v>24762</v>
      </c>
      <c r="BZ341" t="s">
        <v>24763</v>
      </c>
      <c r="CA341" t="s">
        <v>24764</v>
      </c>
      <c r="CB341" t="s">
        <v>24762</v>
      </c>
      <c r="CC341" t="s">
        <v>24763</v>
      </c>
      <c r="CD341" t="s">
        <v>24764</v>
      </c>
      <c r="CE341" t="s">
        <v>19943</v>
      </c>
      <c r="CF341" t="s">
        <v>24765</v>
      </c>
      <c r="CH341" t="s">
        <v>24766</v>
      </c>
      <c r="CI341" t="s">
        <v>24765</v>
      </c>
      <c r="CJ341" t="s">
        <v>24754</v>
      </c>
      <c r="CK341" t="s">
        <v>410</v>
      </c>
      <c r="CL341" t="s">
        <v>24766</v>
      </c>
      <c r="CN341" t="s">
        <v>24767</v>
      </c>
      <c r="CO341" t="s">
        <v>24767</v>
      </c>
    </row>
    <row r="342" spans="1:93">
      <c r="A342" t="s">
        <v>337</v>
      </c>
      <c r="B342">
        <v>5142211</v>
      </c>
      <c r="C342" t="s">
        <v>24768</v>
      </c>
      <c r="D342" t="s">
        <v>21661</v>
      </c>
      <c r="E342" t="s">
        <v>17605</v>
      </c>
      <c r="F342" t="s">
        <v>152</v>
      </c>
      <c r="G342" t="s">
        <v>98</v>
      </c>
      <c r="H342" t="s">
        <v>24769</v>
      </c>
      <c r="I342" t="s">
        <v>100</v>
      </c>
      <c r="J342">
        <v>463016</v>
      </c>
      <c r="K342">
        <v>463016</v>
      </c>
      <c r="L342">
        <v>0</v>
      </c>
      <c r="M342">
        <v>0</v>
      </c>
      <c r="O342">
        <v>463016</v>
      </c>
      <c r="P342">
        <v>421</v>
      </c>
      <c r="Q342" t="s">
        <v>466</v>
      </c>
      <c r="R342">
        <v>0</v>
      </c>
      <c r="S342">
        <v>0</v>
      </c>
      <c r="U342" t="s">
        <v>102</v>
      </c>
      <c r="V342" t="s">
        <v>103</v>
      </c>
      <c r="W342" t="s">
        <v>155</v>
      </c>
      <c r="Y342" t="s">
        <v>22101</v>
      </c>
      <c r="Z342" t="s">
        <v>24770</v>
      </c>
      <c r="AA342" t="s">
        <v>21983</v>
      </c>
      <c r="AB342" t="s">
        <v>24770</v>
      </c>
      <c r="AC342" t="s">
        <v>22119</v>
      </c>
      <c r="AD342" t="s">
        <v>24770</v>
      </c>
      <c r="AE342" t="s">
        <v>21687</v>
      </c>
      <c r="AF342" t="s">
        <v>24770</v>
      </c>
      <c r="AG342" t="s">
        <v>102</v>
      </c>
      <c r="AH342" t="s">
        <v>23642</v>
      </c>
      <c r="AI342" t="s">
        <v>23642</v>
      </c>
      <c r="AJ342" t="s">
        <v>24770</v>
      </c>
      <c r="AK342" t="s">
        <v>25494</v>
      </c>
      <c r="AL342" t="s">
        <v>22994</v>
      </c>
      <c r="AM342" t="s">
        <v>21951</v>
      </c>
      <c r="AN342" t="s">
        <v>21951</v>
      </c>
      <c r="AS342" t="s">
        <v>102</v>
      </c>
      <c r="AU342" t="s">
        <v>155</v>
      </c>
      <c r="AV342" t="s">
        <v>447</v>
      </c>
      <c r="AW342" t="s">
        <v>170</v>
      </c>
      <c r="AX342" t="s">
        <v>118</v>
      </c>
      <c r="AZ342" t="s">
        <v>120</v>
      </c>
      <c r="BA342" t="s">
        <v>589</v>
      </c>
      <c r="BB342" t="s">
        <v>320</v>
      </c>
      <c r="BC342" t="s">
        <v>122</v>
      </c>
      <c r="BD342" t="s">
        <v>123</v>
      </c>
      <c r="BE342" t="s">
        <v>124</v>
      </c>
      <c r="BF342" t="s">
        <v>12250</v>
      </c>
      <c r="BG342" t="s">
        <v>21667</v>
      </c>
      <c r="BH342" t="s">
        <v>127</v>
      </c>
      <c r="BI342" t="s">
        <v>24771</v>
      </c>
      <c r="BJ342" t="s">
        <v>24772</v>
      </c>
      <c r="BK342" t="s">
        <v>24773</v>
      </c>
      <c r="BL342" t="s">
        <v>17605</v>
      </c>
      <c r="BM342" t="s">
        <v>349</v>
      </c>
      <c r="BN342" t="s">
        <v>350</v>
      </c>
      <c r="BO342" t="s">
        <v>351</v>
      </c>
      <c r="BP342" t="s">
        <v>352</v>
      </c>
      <c r="BQ342" t="s">
        <v>6249</v>
      </c>
      <c r="BS342" t="s">
        <v>24774</v>
      </c>
      <c r="BT342" t="s">
        <v>24775</v>
      </c>
      <c r="BU342" t="s">
        <v>354</v>
      </c>
      <c r="BV342" t="s">
        <v>24672</v>
      </c>
      <c r="BW342" t="s">
        <v>24776</v>
      </c>
      <c r="BX342" t="s">
        <v>24672</v>
      </c>
      <c r="BY342" t="s">
        <v>24674</v>
      </c>
      <c r="BZ342" t="s">
        <v>24777</v>
      </c>
      <c r="CA342" t="s">
        <v>24676</v>
      </c>
      <c r="CB342" t="s">
        <v>24674</v>
      </c>
      <c r="CC342" t="s">
        <v>24777</v>
      </c>
      <c r="CD342" t="s">
        <v>24676</v>
      </c>
      <c r="CE342" t="s">
        <v>19663</v>
      </c>
      <c r="CF342" t="s">
        <v>24778</v>
      </c>
      <c r="CH342" t="s">
        <v>24779</v>
      </c>
      <c r="CI342" t="s">
        <v>24768</v>
      </c>
      <c r="CJ342" t="s">
        <v>589</v>
      </c>
      <c r="CK342" t="s">
        <v>320</v>
      </c>
      <c r="CL342" t="s">
        <v>24779</v>
      </c>
      <c r="CN342" t="s">
        <v>24780</v>
      </c>
      <c r="CO342" t="s">
        <v>24780</v>
      </c>
    </row>
    <row r="343" spans="1:93">
      <c r="A343" t="s">
        <v>337</v>
      </c>
      <c r="B343">
        <v>5142361</v>
      </c>
      <c r="C343" t="s">
        <v>24781</v>
      </c>
      <c r="D343" t="s">
        <v>21661</v>
      </c>
      <c r="E343" t="s">
        <v>14400</v>
      </c>
      <c r="F343" t="s">
        <v>97</v>
      </c>
      <c r="G343" t="s">
        <v>98</v>
      </c>
      <c r="H343" t="s">
        <v>24782</v>
      </c>
      <c r="I343" t="s">
        <v>100</v>
      </c>
      <c r="J343">
        <v>20550</v>
      </c>
      <c r="K343">
        <v>20550</v>
      </c>
      <c r="L343">
        <v>20550</v>
      </c>
      <c r="M343">
        <v>137</v>
      </c>
      <c r="N343" t="s">
        <v>24049</v>
      </c>
      <c r="O343">
        <v>0</v>
      </c>
      <c r="P343">
        <v>0</v>
      </c>
      <c r="R343">
        <v>0</v>
      </c>
      <c r="S343">
        <v>0</v>
      </c>
      <c r="U343" t="s">
        <v>102</v>
      </c>
      <c r="V343" t="s">
        <v>103</v>
      </c>
      <c r="W343" t="s">
        <v>104</v>
      </c>
      <c r="Y343" t="s">
        <v>14623</v>
      </c>
      <c r="Z343" t="s">
        <v>24783</v>
      </c>
      <c r="AA343" t="s">
        <v>12047</v>
      </c>
      <c r="AB343" t="s">
        <v>24784</v>
      </c>
      <c r="AC343" t="s">
        <v>109</v>
      </c>
      <c r="AD343" t="s">
        <v>102</v>
      </c>
      <c r="AE343" t="s">
        <v>109</v>
      </c>
      <c r="AF343" t="s">
        <v>102</v>
      </c>
      <c r="AG343" t="s">
        <v>102</v>
      </c>
      <c r="AJ343" t="s">
        <v>26578</v>
      </c>
      <c r="AK343" t="s">
        <v>102</v>
      </c>
      <c r="AL343" t="s">
        <v>26578</v>
      </c>
      <c r="AM343" t="s">
        <v>24053</v>
      </c>
      <c r="AN343" t="s">
        <v>24054</v>
      </c>
      <c r="AO343" t="s">
        <v>102</v>
      </c>
      <c r="AP343" t="s">
        <v>102</v>
      </c>
      <c r="AQ343" t="s">
        <v>102</v>
      </c>
      <c r="AR343" t="s">
        <v>102</v>
      </c>
      <c r="AS343" t="s">
        <v>318</v>
      </c>
      <c r="AT343" t="s">
        <v>118</v>
      </c>
      <c r="AU343" t="s">
        <v>102</v>
      </c>
      <c r="AV343" t="s">
        <v>119</v>
      </c>
      <c r="AZ343" t="s">
        <v>120</v>
      </c>
      <c r="BA343" t="s">
        <v>2327</v>
      </c>
      <c r="BB343" t="s">
        <v>730</v>
      </c>
      <c r="BC343" t="s">
        <v>622</v>
      </c>
      <c r="BD343" t="s">
        <v>730</v>
      </c>
      <c r="BE343" t="s">
        <v>124</v>
      </c>
      <c r="BF343" t="s">
        <v>12250</v>
      </c>
      <c r="BG343" t="s">
        <v>21667</v>
      </c>
      <c r="BH343" t="s">
        <v>127</v>
      </c>
      <c r="BI343" t="s">
        <v>24785</v>
      </c>
      <c r="BJ343" t="s">
        <v>24786</v>
      </c>
      <c r="BK343" t="s">
        <v>24787</v>
      </c>
      <c r="BL343" t="s">
        <v>14400</v>
      </c>
      <c r="BM343" t="s">
        <v>24532</v>
      </c>
      <c r="BN343" t="s">
        <v>180</v>
      </c>
      <c r="BO343" t="s">
        <v>24533</v>
      </c>
      <c r="BP343" t="s">
        <v>24534</v>
      </c>
      <c r="BQ343" t="s">
        <v>6756</v>
      </c>
      <c r="BS343" t="s">
        <v>24788</v>
      </c>
      <c r="BT343" t="s">
        <v>24789</v>
      </c>
      <c r="BU343" t="s">
        <v>354</v>
      </c>
      <c r="BV343" t="s">
        <v>24790</v>
      </c>
      <c r="BW343" t="s">
        <v>24791</v>
      </c>
      <c r="BX343" t="s">
        <v>24790</v>
      </c>
      <c r="BY343" t="s">
        <v>24789</v>
      </c>
      <c r="BZ343" t="s">
        <v>24790</v>
      </c>
      <c r="CA343" t="s">
        <v>24791</v>
      </c>
      <c r="CB343" t="s">
        <v>24789</v>
      </c>
      <c r="CC343" t="s">
        <v>24790</v>
      </c>
      <c r="CD343" t="s">
        <v>24791</v>
      </c>
      <c r="CE343" t="s">
        <v>5581</v>
      </c>
      <c r="CF343" t="s">
        <v>24792</v>
      </c>
      <c r="CH343" t="s">
        <v>2342</v>
      </c>
      <c r="CI343" t="s">
        <v>24792</v>
      </c>
      <c r="CJ343" t="s">
        <v>2327</v>
      </c>
      <c r="CK343" t="s">
        <v>730</v>
      </c>
      <c r="CL343" t="s">
        <v>2342</v>
      </c>
      <c r="CN343" t="s">
        <v>24793</v>
      </c>
      <c r="CO343" t="s">
        <v>24794</v>
      </c>
    </row>
    <row r="344" spans="1:93">
      <c r="A344" t="s">
        <v>337</v>
      </c>
      <c r="B344">
        <v>5144029</v>
      </c>
      <c r="C344" t="s">
        <v>24795</v>
      </c>
      <c r="D344" t="s">
        <v>21661</v>
      </c>
      <c r="E344" t="s">
        <v>14400</v>
      </c>
      <c r="F344" t="s">
        <v>97</v>
      </c>
      <c r="G344" t="s">
        <v>98</v>
      </c>
      <c r="H344" t="s">
        <v>24796</v>
      </c>
      <c r="I344" t="s">
        <v>100</v>
      </c>
      <c r="J344">
        <v>0</v>
      </c>
      <c r="K344">
        <v>0</v>
      </c>
      <c r="L344">
        <v>0</v>
      </c>
      <c r="M344">
        <v>600</v>
      </c>
      <c r="N344" t="s">
        <v>102</v>
      </c>
      <c r="O344">
        <v>0</v>
      </c>
      <c r="P344">
        <v>0</v>
      </c>
      <c r="R344">
        <v>0</v>
      </c>
      <c r="S344">
        <v>0</v>
      </c>
      <c r="U344" t="s">
        <v>102</v>
      </c>
      <c r="V344" t="s">
        <v>275</v>
      </c>
      <c r="X344" t="s">
        <v>14400</v>
      </c>
      <c r="Y344" t="s">
        <v>109</v>
      </c>
      <c r="Z344" t="s">
        <v>102</v>
      </c>
      <c r="AA344" t="s">
        <v>109</v>
      </c>
      <c r="AB344" t="s">
        <v>102</v>
      </c>
      <c r="AC344" t="s">
        <v>109</v>
      </c>
      <c r="AD344" t="s">
        <v>102</v>
      </c>
      <c r="AE344" t="s">
        <v>109</v>
      </c>
      <c r="AF344" t="s">
        <v>102</v>
      </c>
      <c r="AG344" t="s">
        <v>102</v>
      </c>
      <c r="AJ344" t="s">
        <v>102</v>
      </c>
      <c r="AK344" t="s">
        <v>102</v>
      </c>
      <c r="AL344" t="s">
        <v>102</v>
      </c>
      <c r="AM344" t="s">
        <v>115</v>
      </c>
      <c r="AN344" t="s">
        <v>115</v>
      </c>
      <c r="AS344" t="s">
        <v>318</v>
      </c>
      <c r="AT344" t="s">
        <v>118</v>
      </c>
      <c r="AU344" t="s">
        <v>102</v>
      </c>
      <c r="AV344" t="s">
        <v>119</v>
      </c>
      <c r="AZ344" t="s">
        <v>24797</v>
      </c>
      <c r="BA344" t="s">
        <v>8527</v>
      </c>
      <c r="BB344" t="s">
        <v>1244</v>
      </c>
      <c r="BC344" t="s">
        <v>122</v>
      </c>
      <c r="BD344" t="s">
        <v>1244</v>
      </c>
      <c r="BE344" t="s">
        <v>124</v>
      </c>
      <c r="BF344" t="s">
        <v>12250</v>
      </c>
      <c r="BG344" t="s">
        <v>21667</v>
      </c>
      <c r="BH344" t="s">
        <v>127</v>
      </c>
      <c r="BI344" t="s">
        <v>24798</v>
      </c>
      <c r="BJ344" t="s">
        <v>24799</v>
      </c>
      <c r="BK344" t="s">
        <v>24800</v>
      </c>
      <c r="BL344" t="s">
        <v>14400</v>
      </c>
      <c r="BM344" t="s">
        <v>19163</v>
      </c>
      <c r="BN344" t="s">
        <v>350</v>
      </c>
      <c r="BO344" t="s">
        <v>19164</v>
      </c>
      <c r="BP344" t="s">
        <v>19165</v>
      </c>
      <c r="BQ344" t="s">
        <v>10231</v>
      </c>
      <c r="BS344" t="s">
        <v>24801</v>
      </c>
      <c r="BT344" t="s">
        <v>24802</v>
      </c>
      <c r="BU344" t="s">
        <v>138</v>
      </c>
      <c r="BV344" t="s">
        <v>225</v>
      </c>
      <c r="BW344" t="s">
        <v>24803</v>
      </c>
      <c r="BX344" t="s">
        <v>24572</v>
      </c>
      <c r="BY344" t="s">
        <v>24802</v>
      </c>
      <c r="BZ344" t="s">
        <v>24804</v>
      </c>
      <c r="CA344" t="s">
        <v>24803</v>
      </c>
      <c r="CB344" t="s">
        <v>24802</v>
      </c>
      <c r="CC344" t="s">
        <v>24804</v>
      </c>
      <c r="CD344" t="s">
        <v>24803</v>
      </c>
      <c r="CE344" t="s">
        <v>22343</v>
      </c>
      <c r="CF344" t="s">
        <v>24805</v>
      </c>
      <c r="CH344" t="s">
        <v>24575</v>
      </c>
      <c r="CI344" t="s">
        <v>24806</v>
      </c>
      <c r="CJ344" t="s">
        <v>8527</v>
      </c>
      <c r="CK344" t="s">
        <v>1244</v>
      </c>
      <c r="CL344" t="s">
        <v>24575</v>
      </c>
      <c r="CN344" t="s">
        <v>24807</v>
      </c>
      <c r="CO344" t="s">
        <v>24807</v>
      </c>
    </row>
    <row r="345" spans="1:93">
      <c r="A345" t="s">
        <v>337</v>
      </c>
      <c r="B345">
        <v>5144194</v>
      </c>
      <c r="C345" t="s">
        <v>24808</v>
      </c>
      <c r="D345" t="s">
        <v>21661</v>
      </c>
      <c r="E345" t="s">
        <v>14400</v>
      </c>
      <c r="F345" t="s">
        <v>97</v>
      </c>
      <c r="G345" t="s">
        <v>98</v>
      </c>
      <c r="H345" t="s">
        <v>24809</v>
      </c>
      <c r="I345" t="s">
        <v>100</v>
      </c>
      <c r="J345">
        <v>0</v>
      </c>
      <c r="K345">
        <v>0</v>
      </c>
      <c r="L345">
        <v>0</v>
      </c>
      <c r="M345">
        <v>230</v>
      </c>
      <c r="N345" t="s">
        <v>102</v>
      </c>
      <c r="O345">
        <v>0</v>
      </c>
      <c r="P345">
        <v>0</v>
      </c>
      <c r="R345">
        <v>0</v>
      </c>
      <c r="S345">
        <v>0</v>
      </c>
      <c r="U345" t="s">
        <v>102</v>
      </c>
      <c r="V345" t="s">
        <v>275</v>
      </c>
      <c r="X345" t="s">
        <v>14400</v>
      </c>
      <c r="Y345" t="s">
        <v>109</v>
      </c>
      <c r="Z345" t="s">
        <v>102</v>
      </c>
      <c r="AA345" t="s">
        <v>109</v>
      </c>
      <c r="AB345" t="s">
        <v>102</v>
      </c>
      <c r="AC345" t="s">
        <v>109</v>
      </c>
      <c r="AD345" t="s">
        <v>102</v>
      </c>
      <c r="AE345" t="s">
        <v>109</v>
      </c>
      <c r="AF345" t="s">
        <v>102</v>
      </c>
      <c r="AG345" t="s">
        <v>102</v>
      </c>
      <c r="AJ345" t="s">
        <v>102</v>
      </c>
      <c r="AK345" t="s">
        <v>102</v>
      </c>
      <c r="AL345" t="s">
        <v>102</v>
      </c>
      <c r="AM345" t="s">
        <v>115</v>
      </c>
      <c r="AN345" t="s">
        <v>115</v>
      </c>
      <c r="AS345" t="s">
        <v>318</v>
      </c>
      <c r="AT345" t="s">
        <v>118</v>
      </c>
      <c r="AU345" t="s">
        <v>102</v>
      </c>
      <c r="AV345" t="s">
        <v>119</v>
      </c>
      <c r="AZ345" t="s">
        <v>24797</v>
      </c>
      <c r="BA345" t="s">
        <v>8527</v>
      </c>
      <c r="BB345" t="s">
        <v>1244</v>
      </c>
      <c r="BC345" t="s">
        <v>122</v>
      </c>
      <c r="BD345" t="s">
        <v>1244</v>
      </c>
      <c r="BE345" t="s">
        <v>124</v>
      </c>
      <c r="BF345" t="s">
        <v>12250</v>
      </c>
      <c r="BG345" t="s">
        <v>21667</v>
      </c>
      <c r="BH345" t="s">
        <v>127</v>
      </c>
      <c r="BI345" t="s">
        <v>24810</v>
      </c>
      <c r="BJ345" t="s">
        <v>24811</v>
      </c>
      <c r="BK345" t="s">
        <v>24812</v>
      </c>
      <c r="BL345" t="s">
        <v>14400</v>
      </c>
      <c r="BM345" t="s">
        <v>19163</v>
      </c>
      <c r="BN345" t="s">
        <v>350</v>
      </c>
      <c r="BO345" t="s">
        <v>19164</v>
      </c>
      <c r="BP345" t="s">
        <v>19165</v>
      </c>
      <c r="BQ345" t="s">
        <v>10231</v>
      </c>
      <c r="BS345" t="s">
        <v>24813</v>
      </c>
      <c r="BT345" t="s">
        <v>24814</v>
      </c>
      <c r="BU345" t="s">
        <v>138</v>
      </c>
      <c r="BV345" t="s">
        <v>225</v>
      </c>
      <c r="BW345" t="s">
        <v>24815</v>
      </c>
      <c r="BX345" t="s">
        <v>24816</v>
      </c>
      <c r="BY345" t="s">
        <v>24814</v>
      </c>
      <c r="BZ345" t="s">
        <v>24817</v>
      </c>
      <c r="CA345" t="s">
        <v>24815</v>
      </c>
      <c r="CB345" t="s">
        <v>24814</v>
      </c>
      <c r="CC345" t="s">
        <v>24817</v>
      </c>
      <c r="CD345" t="s">
        <v>24815</v>
      </c>
      <c r="CE345" t="s">
        <v>24091</v>
      </c>
      <c r="CF345" t="s">
        <v>24818</v>
      </c>
      <c r="CH345" t="s">
        <v>24819</v>
      </c>
      <c r="CI345" t="s">
        <v>24820</v>
      </c>
      <c r="CJ345" t="s">
        <v>8527</v>
      </c>
      <c r="CK345" t="s">
        <v>1244</v>
      </c>
      <c r="CL345" t="s">
        <v>24819</v>
      </c>
      <c r="CN345" t="s">
        <v>24821</v>
      </c>
      <c r="CO345" t="s">
        <v>24821</v>
      </c>
    </row>
    <row r="346" spans="1:93">
      <c r="A346" t="s">
        <v>337</v>
      </c>
      <c r="B346">
        <v>5144548</v>
      </c>
      <c r="C346" t="s">
        <v>25495</v>
      </c>
      <c r="D346" t="s">
        <v>21661</v>
      </c>
      <c r="E346" t="s">
        <v>24156</v>
      </c>
      <c r="F346" t="s">
        <v>2044</v>
      </c>
      <c r="G346" t="s">
        <v>98</v>
      </c>
      <c r="H346" t="s">
        <v>25496</v>
      </c>
      <c r="I346" t="s">
        <v>100</v>
      </c>
      <c r="J346">
        <v>475177</v>
      </c>
      <c r="K346">
        <v>475177</v>
      </c>
      <c r="L346">
        <v>254559</v>
      </c>
      <c r="M346">
        <v>297</v>
      </c>
      <c r="N346" t="s">
        <v>16799</v>
      </c>
      <c r="O346">
        <v>220618</v>
      </c>
      <c r="P346">
        <v>297</v>
      </c>
      <c r="Q346" t="s">
        <v>25497</v>
      </c>
      <c r="R346">
        <v>0</v>
      </c>
      <c r="S346">
        <v>0</v>
      </c>
      <c r="U346" t="s">
        <v>102</v>
      </c>
      <c r="V346" t="s">
        <v>103</v>
      </c>
      <c r="W346" t="s">
        <v>104</v>
      </c>
      <c r="Y346" t="s">
        <v>24156</v>
      </c>
      <c r="Z346" t="s">
        <v>25498</v>
      </c>
      <c r="AA346" t="s">
        <v>22704</v>
      </c>
      <c r="AB346" t="s">
        <v>25498</v>
      </c>
      <c r="AC346" t="s">
        <v>109</v>
      </c>
      <c r="AD346" t="s">
        <v>102</v>
      </c>
      <c r="AE346" t="s">
        <v>109</v>
      </c>
      <c r="AF346" t="s">
        <v>102</v>
      </c>
      <c r="AG346" t="s">
        <v>102</v>
      </c>
      <c r="AJ346" t="s">
        <v>25498</v>
      </c>
      <c r="AK346" t="s">
        <v>102</v>
      </c>
      <c r="AL346" t="s">
        <v>25498</v>
      </c>
      <c r="AM346" t="s">
        <v>16091</v>
      </c>
      <c r="AN346" t="s">
        <v>16091</v>
      </c>
      <c r="AS346" t="s">
        <v>318</v>
      </c>
      <c r="AT346" t="s">
        <v>118</v>
      </c>
      <c r="AU346" t="s">
        <v>104</v>
      </c>
      <c r="AV346" t="s">
        <v>119</v>
      </c>
      <c r="AW346" t="s">
        <v>170</v>
      </c>
      <c r="AX346" t="s">
        <v>118</v>
      </c>
      <c r="AZ346" t="s">
        <v>120</v>
      </c>
      <c r="BA346" t="s">
        <v>25499</v>
      </c>
      <c r="BB346" t="s">
        <v>621</v>
      </c>
      <c r="BC346" t="s">
        <v>622</v>
      </c>
      <c r="BD346" t="s">
        <v>976</v>
      </c>
      <c r="BE346" t="s">
        <v>124</v>
      </c>
      <c r="BF346" t="s">
        <v>12250</v>
      </c>
      <c r="BG346" t="s">
        <v>21667</v>
      </c>
      <c r="BH346" t="s">
        <v>127</v>
      </c>
      <c r="BI346" t="s">
        <v>25500</v>
      </c>
      <c r="BJ346" t="s">
        <v>25501</v>
      </c>
      <c r="BK346" t="s">
        <v>25502</v>
      </c>
      <c r="BL346" t="s">
        <v>24156</v>
      </c>
      <c r="BM346" t="s">
        <v>13638</v>
      </c>
      <c r="BN346" t="s">
        <v>132</v>
      </c>
      <c r="BO346" t="s">
        <v>13639</v>
      </c>
      <c r="BP346" t="s">
        <v>13640</v>
      </c>
      <c r="BQ346" t="s">
        <v>2847</v>
      </c>
      <c r="BS346" t="s">
        <v>25503</v>
      </c>
      <c r="BT346" t="s">
        <v>25504</v>
      </c>
      <c r="BU346" t="s">
        <v>354</v>
      </c>
      <c r="BV346" t="s">
        <v>25505</v>
      </c>
      <c r="BW346" t="s">
        <v>25506</v>
      </c>
      <c r="BX346" t="s">
        <v>25507</v>
      </c>
      <c r="BY346" t="s">
        <v>25508</v>
      </c>
      <c r="BZ346" t="s">
        <v>25509</v>
      </c>
      <c r="CA346" t="s">
        <v>25510</v>
      </c>
      <c r="CB346" t="s">
        <v>25508</v>
      </c>
      <c r="CC346" t="s">
        <v>25509</v>
      </c>
      <c r="CD346" t="s">
        <v>25510</v>
      </c>
      <c r="CE346" t="s">
        <v>25511</v>
      </c>
      <c r="CF346" t="s">
        <v>25512</v>
      </c>
      <c r="CH346" t="s">
        <v>25513</v>
      </c>
      <c r="CI346" t="s">
        <v>25512</v>
      </c>
      <c r="CJ346" t="s">
        <v>25514</v>
      </c>
      <c r="CK346" t="s">
        <v>621</v>
      </c>
      <c r="CL346" t="s">
        <v>25513</v>
      </c>
      <c r="CN346" t="s">
        <v>25515</v>
      </c>
      <c r="CO346" t="s">
        <v>25516</v>
      </c>
    </row>
    <row r="347" spans="1:93">
      <c r="A347" t="s">
        <v>337</v>
      </c>
      <c r="B347">
        <v>5145433</v>
      </c>
      <c r="C347" t="s">
        <v>25517</v>
      </c>
      <c r="D347" t="s">
        <v>21661</v>
      </c>
      <c r="E347" t="s">
        <v>13208</v>
      </c>
      <c r="F347" t="s">
        <v>848</v>
      </c>
      <c r="G347" t="s">
        <v>98</v>
      </c>
      <c r="H347" t="s">
        <v>25518</v>
      </c>
      <c r="I347" t="s">
        <v>100</v>
      </c>
      <c r="J347">
        <v>198315</v>
      </c>
      <c r="K347">
        <v>234012</v>
      </c>
      <c r="L347">
        <v>0</v>
      </c>
      <c r="M347">
        <v>0</v>
      </c>
      <c r="O347">
        <v>0</v>
      </c>
      <c r="P347">
        <v>0</v>
      </c>
      <c r="R347">
        <v>198315</v>
      </c>
      <c r="S347">
        <v>195</v>
      </c>
      <c r="T347" t="s">
        <v>3924</v>
      </c>
      <c r="U347" t="s">
        <v>102</v>
      </c>
      <c r="V347" t="s">
        <v>103</v>
      </c>
      <c r="W347" t="s">
        <v>104</v>
      </c>
      <c r="Y347" t="s">
        <v>11889</v>
      </c>
      <c r="Z347" t="s">
        <v>25519</v>
      </c>
      <c r="AA347" t="s">
        <v>21828</v>
      </c>
      <c r="AB347" t="s">
        <v>25519</v>
      </c>
      <c r="AC347" t="s">
        <v>109</v>
      </c>
      <c r="AD347" t="s">
        <v>102</v>
      </c>
      <c r="AE347" t="s">
        <v>109</v>
      </c>
      <c r="AF347" t="s">
        <v>102</v>
      </c>
      <c r="AG347" t="s">
        <v>102</v>
      </c>
      <c r="AH347" t="s">
        <v>20476</v>
      </c>
      <c r="AI347" t="s">
        <v>20476</v>
      </c>
      <c r="AJ347" t="s">
        <v>25519</v>
      </c>
      <c r="AK347" t="s">
        <v>25520</v>
      </c>
      <c r="AL347" t="s">
        <v>25521</v>
      </c>
      <c r="AM347" t="s">
        <v>3213</v>
      </c>
      <c r="AN347" t="s">
        <v>3213</v>
      </c>
      <c r="AS347" t="s">
        <v>102</v>
      </c>
      <c r="AU347" t="s">
        <v>102</v>
      </c>
      <c r="AV347" t="s">
        <v>119</v>
      </c>
      <c r="AY347" t="s">
        <v>250</v>
      </c>
      <c r="AZ347" t="s">
        <v>120</v>
      </c>
      <c r="BA347" t="s">
        <v>3358</v>
      </c>
      <c r="BB347" t="s">
        <v>285</v>
      </c>
      <c r="BC347" t="s">
        <v>212</v>
      </c>
      <c r="BD347" t="s">
        <v>286</v>
      </c>
      <c r="BE347" t="s">
        <v>124</v>
      </c>
      <c r="BF347" t="s">
        <v>21805</v>
      </c>
      <c r="BG347" t="s">
        <v>21667</v>
      </c>
      <c r="BH347" t="s">
        <v>127</v>
      </c>
      <c r="BI347" t="s">
        <v>25522</v>
      </c>
      <c r="BJ347" t="s">
        <v>25523</v>
      </c>
      <c r="BK347" t="s">
        <v>25524</v>
      </c>
      <c r="BL347" t="s">
        <v>13208</v>
      </c>
      <c r="BM347" t="s">
        <v>17684</v>
      </c>
      <c r="BN347" t="s">
        <v>132</v>
      </c>
      <c r="BO347" t="s">
        <v>17685</v>
      </c>
      <c r="BP347" t="s">
        <v>17686</v>
      </c>
      <c r="BQ347" t="s">
        <v>17687</v>
      </c>
      <c r="BS347" t="s">
        <v>25525</v>
      </c>
      <c r="BT347" t="s">
        <v>25526</v>
      </c>
      <c r="BU347" t="s">
        <v>138</v>
      </c>
      <c r="BV347" t="s">
        <v>25527</v>
      </c>
      <c r="BW347" t="s">
        <v>25528</v>
      </c>
      <c r="BX347" t="s">
        <v>25529</v>
      </c>
      <c r="BY347" t="s">
        <v>25526</v>
      </c>
      <c r="BZ347" t="s">
        <v>25527</v>
      </c>
      <c r="CA347" t="s">
        <v>25528</v>
      </c>
      <c r="CB347" t="s">
        <v>25526</v>
      </c>
      <c r="CC347" t="s">
        <v>25527</v>
      </c>
      <c r="CD347" t="s">
        <v>25528</v>
      </c>
      <c r="CE347" t="s">
        <v>102</v>
      </c>
      <c r="CF347" t="s">
        <v>25530</v>
      </c>
      <c r="CH347" t="s">
        <v>25531</v>
      </c>
      <c r="CI347" t="s">
        <v>25532</v>
      </c>
      <c r="CJ347" t="s">
        <v>3358</v>
      </c>
      <c r="CK347" t="s">
        <v>285</v>
      </c>
      <c r="CL347" t="s">
        <v>25531</v>
      </c>
      <c r="CN347" t="s">
        <v>25533</v>
      </c>
      <c r="CO347" t="s">
        <v>25533</v>
      </c>
    </row>
    <row r="348" spans="1:93">
      <c r="A348" t="s">
        <v>337</v>
      </c>
      <c r="B348">
        <v>5145510</v>
      </c>
      <c r="C348" t="s">
        <v>24822</v>
      </c>
      <c r="D348" t="s">
        <v>21661</v>
      </c>
      <c r="E348" t="s">
        <v>13208</v>
      </c>
      <c r="F348" t="s">
        <v>152</v>
      </c>
      <c r="G348" t="s">
        <v>98</v>
      </c>
      <c r="H348" t="s">
        <v>24823</v>
      </c>
      <c r="I348" t="s">
        <v>100</v>
      </c>
      <c r="J348">
        <v>234006</v>
      </c>
      <c r="K348">
        <v>234006</v>
      </c>
      <c r="L348">
        <v>0</v>
      </c>
      <c r="M348">
        <v>0</v>
      </c>
      <c r="O348">
        <v>234006</v>
      </c>
      <c r="P348">
        <v>65</v>
      </c>
      <c r="Q348" t="s">
        <v>14754</v>
      </c>
      <c r="R348">
        <v>0</v>
      </c>
      <c r="S348">
        <v>0</v>
      </c>
      <c r="U348" t="s">
        <v>102</v>
      </c>
      <c r="V348" t="s">
        <v>103</v>
      </c>
      <c r="W348" t="s">
        <v>155</v>
      </c>
      <c r="Y348" t="s">
        <v>13208</v>
      </c>
      <c r="Z348" t="s">
        <v>24824</v>
      </c>
      <c r="AA348" t="s">
        <v>21664</v>
      </c>
      <c r="AB348" t="s">
        <v>24824</v>
      </c>
      <c r="AC348" t="s">
        <v>21665</v>
      </c>
      <c r="AD348" t="s">
        <v>24824</v>
      </c>
      <c r="AE348" t="s">
        <v>21710</v>
      </c>
      <c r="AF348" t="s">
        <v>24824</v>
      </c>
      <c r="AG348" t="s">
        <v>102</v>
      </c>
      <c r="AH348" t="s">
        <v>21962</v>
      </c>
      <c r="AI348" t="s">
        <v>21962</v>
      </c>
      <c r="AJ348" t="s">
        <v>24824</v>
      </c>
      <c r="AK348" t="s">
        <v>24824</v>
      </c>
      <c r="AL348" t="s">
        <v>102</v>
      </c>
      <c r="AM348" t="s">
        <v>24825</v>
      </c>
      <c r="AN348" t="s">
        <v>24825</v>
      </c>
      <c r="AS348" t="s">
        <v>102</v>
      </c>
      <c r="AU348" t="s">
        <v>1758</v>
      </c>
      <c r="AV348" t="s">
        <v>447</v>
      </c>
      <c r="AW348" t="s">
        <v>170</v>
      </c>
      <c r="AX348" t="s">
        <v>118</v>
      </c>
      <c r="AZ348" t="s">
        <v>120</v>
      </c>
      <c r="BA348" t="s">
        <v>9446</v>
      </c>
      <c r="BB348" t="s">
        <v>410</v>
      </c>
      <c r="BC348" t="s">
        <v>212</v>
      </c>
      <c r="BD348" t="s">
        <v>410</v>
      </c>
      <c r="BE348" t="s">
        <v>124</v>
      </c>
      <c r="BF348" t="s">
        <v>12250</v>
      </c>
      <c r="BG348" t="s">
        <v>21667</v>
      </c>
      <c r="BH348" t="s">
        <v>127</v>
      </c>
      <c r="BI348" t="s">
        <v>24826</v>
      </c>
      <c r="BJ348" t="s">
        <v>24827</v>
      </c>
      <c r="BK348" t="s">
        <v>24828</v>
      </c>
      <c r="BL348" t="s">
        <v>13208</v>
      </c>
      <c r="BM348" t="s">
        <v>896</v>
      </c>
      <c r="BN348" t="s">
        <v>180</v>
      </c>
      <c r="BO348" t="s">
        <v>897</v>
      </c>
      <c r="BP348" t="s">
        <v>898</v>
      </c>
      <c r="BQ348" t="s">
        <v>899</v>
      </c>
      <c r="BS348" t="s">
        <v>24829</v>
      </c>
      <c r="BT348" t="s">
        <v>24830</v>
      </c>
      <c r="BU348" t="s">
        <v>138</v>
      </c>
      <c r="BV348" t="s">
        <v>24831</v>
      </c>
      <c r="BW348" t="s">
        <v>24832</v>
      </c>
      <c r="BX348" t="s">
        <v>24833</v>
      </c>
      <c r="BY348" t="s">
        <v>24830</v>
      </c>
      <c r="BZ348" t="s">
        <v>24831</v>
      </c>
      <c r="CA348" t="s">
        <v>24832</v>
      </c>
      <c r="CB348" t="s">
        <v>24830</v>
      </c>
      <c r="CC348" t="s">
        <v>24831</v>
      </c>
      <c r="CD348" t="s">
        <v>24832</v>
      </c>
      <c r="CE348" t="s">
        <v>102</v>
      </c>
      <c r="CF348" t="s">
        <v>24834</v>
      </c>
      <c r="CH348" t="s">
        <v>24835</v>
      </c>
      <c r="CI348" t="s">
        <v>24834</v>
      </c>
      <c r="CJ348" t="s">
        <v>9446</v>
      </c>
      <c r="CK348" t="s">
        <v>410</v>
      </c>
      <c r="CL348" t="s">
        <v>24835</v>
      </c>
      <c r="CN348" t="s">
        <v>24836</v>
      </c>
      <c r="CO348" t="s">
        <v>24836</v>
      </c>
    </row>
    <row r="349" spans="1:93">
      <c r="A349" t="s">
        <v>337</v>
      </c>
      <c r="B349">
        <v>5145990</v>
      </c>
      <c r="C349" t="s">
        <v>25534</v>
      </c>
      <c r="D349" t="s">
        <v>21661</v>
      </c>
      <c r="E349" t="s">
        <v>12250</v>
      </c>
      <c r="F349" t="s">
        <v>2163</v>
      </c>
      <c r="G349" t="s">
        <v>98</v>
      </c>
      <c r="H349" t="s">
        <v>25535</v>
      </c>
      <c r="I349" t="s">
        <v>100</v>
      </c>
      <c r="J349">
        <v>649539</v>
      </c>
      <c r="K349">
        <v>712039</v>
      </c>
      <c r="L349">
        <v>67416</v>
      </c>
      <c r="M349">
        <v>87</v>
      </c>
      <c r="N349" t="s">
        <v>25185</v>
      </c>
      <c r="O349">
        <v>234900</v>
      </c>
      <c r="P349">
        <v>87</v>
      </c>
      <c r="Q349" t="s">
        <v>18374</v>
      </c>
      <c r="R349">
        <v>347223</v>
      </c>
      <c r="S349">
        <v>149</v>
      </c>
      <c r="T349" t="s">
        <v>14987</v>
      </c>
      <c r="U349" t="s">
        <v>102</v>
      </c>
      <c r="V349" t="s">
        <v>103</v>
      </c>
      <c r="W349" t="s">
        <v>155</v>
      </c>
      <c r="Y349" t="s">
        <v>12720</v>
      </c>
      <c r="Z349" t="s">
        <v>25536</v>
      </c>
      <c r="AA349" t="s">
        <v>21686</v>
      </c>
      <c r="AB349" t="s">
        <v>25536</v>
      </c>
      <c r="AC349" t="s">
        <v>22119</v>
      </c>
      <c r="AD349" t="s">
        <v>25536</v>
      </c>
      <c r="AE349" t="s">
        <v>21687</v>
      </c>
      <c r="AF349" t="s">
        <v>25536</v>
      </c>
      <c r="AG349" t="s">
        <v>102</v>
      </c>
      <c r="AJ349" t="s">
        <v>102</v>
      </c>
      <c r="AK349" t="s">
        <v>102</v>
      </c>
      <c r="AL349" t="s">
        <v>102</v>
      </c>
      <c r="AM349" t="s">
        <v>25537</v>
      </c>
      <c r="AN349" t="s">
        <v>25537</v>
      </c>
      <c r="AS349" t="s">
        <v>207</v>
      </c>
      <c r="AT349" t="s">
        <v>118</v>
      </c>
      <c r="AU349" t="s">
        <v>248</v>
      </c>
      <c r="AV349" t="s">
        <v>119</v>
      </c>
      <c r="AX349" t="s">
        <v>250</v>
      </c>
      <c r="AY349" t="s">
        <v>250</v>
      </c>
      <c r="AZ349" t="s">
        <v>1242</v>
      </c>
      <c r="BA349" t="s">
        <v>623</v>
      </c>
      <c r="BB349" t="s">
        <v>621</v>
      </c>
      <c r="BC349" t="s">
        <v>622</v>
      </c>
      <c r="BD349" t="s">
        <v>623</v>
      </c>
      <c r="BE349" t="s">
        <v>124</v>
      </c>
      <c r="BF349" t="s">
        <v>12250</v>
      </c>
      <c r="BG349" t="s">
        <v>21667</v>
      </c>
      <c r="BH349" t="s">
        <v>127</v>
      </c>
      <c r="BI349" t="s">
        <v>25538</v>
      </c>
      <c r="BJ349" t="s">
        <v>25539</v>
      </c>
      <c r="BK349" t="s">
        <v>25540</v>
      </c>
      <c r="BL349" t="s">
        <v>12250</v>
      </c>
      <c r="BM349" t="s">
        <v>1670</v>
      </c>
      <c r="BN349" t="s">
        <v>132</v>
      </c>
      <c r="BO349" t="s">
        <v>1671</v>
      </c>
      <c r="BP349" t="s">
        <v>1672</v>
      </c>
      <c r="BQ349" t="s">
        <v>507</v>
      </c>
      <c r="BS349" t="s">
        <v>25541</v>
      </c>
      <c r="BT349" t="s">
        <v>25191</v>
      </c>
      <c r="BU349" t="s">
        <v>138</v>
      </c>
      <c r="BV349" t="s">
        <v>25542</v>
      </c>
      <c r="BW349" t="s">
        <v>25543</v>
      </c>
      <c r="BX349" t="s">
        <v>25544</v>
      </c>
      <c r="BY349" t="s">
        <v>25191</v>
      </c>
      <c r="BZ349" t="s">
        <v>25544</v>
      </c>
      <c r="CA349" t="s">
        <v>1346</v>
      </c>
      <c r="CB349" t="s">
        <v>25545</v>
      </c>
      <c r="CC349" t="s">
        <v>25546</v>
      </c>
      <c r="CD349" t="s">
        <v>25547</v>
      </c>
      <c r="CE349" t="s">
        <v>25548</v>
      </c>
      <c r="CF349" t="s">
        <v>25549</v>
      </c>
      <c r="CH349" t="s">
        <v>3177</v>
      </c>
      <c r="CI349" t="s">
        <v>25549</v>
      </c>
      <c r="CJ349" t="s">
        <v>623</v>
      </c>
      <c r="CK349" t="s">
        <v>621</v>
      </c>
      <c r="CL349" t="s">
        <v>3177</v>
      </c>
      <c r="CN349" t="s">
        <v>25550</v>
      </c>
      <c r="CO349" t="s">
        <v>25550</v>
      </c>
    </row>
    <row r="350" spans="1:93">
      <c r="A350" t="s">
        <v>337</v>
      </c>
      <c r="B350">
        <v>5146020</v>
      </c>
      <c r="C350" t="s">
        <v>25551</v>
      </c>
      <c r="D350" t="s">
        <v>21661</v>
      </c>
      <c r="E350" t="s">
        <v>21962</v>
      </c>
      <c r="F350" t="s">
        <v>97</v>
      </c>
      <c r="G350" t="s">
        <v>98</v>
      </c>
      <c r="H350" t="s">
        <v>25552</v>
      </c>
      <c r="I350" t="s">
        <v>100</v>
      </c>
      <c r="J350">
        <v>102006</v>
      </c>
      <c r="K350">
        <v>102006</v>
      </c>
      <c r="L350">
        <v>102006</v>
      </c>
      <c r="M350">
        <v>120</v>
      </c>
      <c r="N350" t="s">
        <v>2105</v>
      </c>
      <c r="O350">
        <v>0</v>
      </c>
      <c r="P350">
        <v>0</v>
      </c>
      <c r="R350">
        <v>0</v>
      </c>
      <c r="S350">
        <v>0</v>
      </c>
      <c r="U350" t="s">
        <v>102</v>
      </c>
      <c r="V350" t="s">
        <v>103</v>
      </c>
      <c r="W350" t="s">
        <v>104</v>
      </c>
      <c r="Y350" t="s">
        <v>21962</v>
      </c>
      <c r="Z350" t="s">
        <v>25553</v>
      </c>
      <c r="AA350" t="s">
        <v>23371</v>
      </c>
      <c r="AB350" t="s">
        <v>25554</v>
      </c>
      <c r="AC350" t="s">
        <v>109</v>
      </c>
      <c r="AD350" t="s">
        <v>102</v>
      </c>
      <c r="AE350" t="s">
        <v>109</v>
      </c>
      <c r="AF350" t="s">
        <v>102</v>
      </c>
      <c r="AG350" t="s">
        <v>102</v>
      </c>
      <c r="AJ350" t="s">
        <v>25553</v>
      </c>
      <c r="AK350" t="s">
        <v>102</v>
      </c>
      <c r="AL350" t="s">
        <v>25553</v>
      </c>
      <c r="AM350" t="s">
        <v>21697</v>
      </c>
      <c r="AN350" t="s">
        <v>25555</v>
      </c>
      <c r="AO350" t="s">
        <v>102</v>
      </c>
      <c r="AP350" t="s">
        <v>102</v>
      </c>
      <c r="AQ350" t="s">
        <v>102</v>
      </c>
      <c r="AR350" t="s">
        <v>102</v>
      </c>
      <c r="AS350" t="s">
        <v>318</v>
      </c>
      <c r="AT350" t="s">
        <v>118</v>
      </c>
      <c r="AU350" t="s">
        <v>102</v>
      </c>
      <c r="AV350" t="s">
        <v>119</v>
      </c>
      <c r="AZ350" t="s">
        <v>120</v>
      </c>
      <c r="BA350" t="s">
        <v>2127</v>
      </c>
      <c r="BB350" t="s">
        <v>621</v>
      </c>
      <c r="BC350" t="s">
        <v>622</v>
      </c>
      <c r="BD350" t="s">
        <v>976</v>
      </c>
      <c r="BE350" t="s">
        <v>124</v>
      </c>
      <c r="BF350" t="s">
        <v>12250</v>
      </c>
      <c r="BG350" t="s">
        <v>21667</v>
      </c>
      <c r="BH350" t="s">
        <v>127</v>
      </c>
      <c r="BI350" t="s">
        <v>25556</v>
      </c>
      <c r="BJ350" t="s">
        <v>25557</v>
      </c>
      <c r="BK350" t="s">
        <v>25558</v>
      </c>
      <c r="BL350" t="s">
        <v>21962</v>
      </c>
      <c r="BM350" t="s">
        <v>25559</v>
      </c>
      <c r="BN350" t="s">
        <v>26025</v>
      </c>
      <c r="BO350" t="s">
        <v>25560</v>
      </c>
      <c r="BP350" t="s">
        <v>25561</v>
      </c>
      <c r="BQ350" t="s">
        <v>8262</v>
      </c>
      <c r="BS350" t="s">
        <v>25562</v>
      </c>
      <c r="BT350" t="s">
        <v>25563</v>
      </c>
      <c r="BU350" t="s">
        <v>138</v>
      </c>
      <c r="BV350" t="s">
        <v>25564</v>
      </c>
      <c r="BW350" t="s">
        <v>25565</v>
      </c>
      <c r="BX350" t="s">
        <v>25564</v>
      </c>
      <c r="BY350" t="s">
        <v>25563</v>
      </c>
      <c r="BZ350" t="s">
        <v>25564</v>
      </c>
      <c r="CA350" t="s">
        <v>25565</v>
      </c>
      <c r="CB350" t="s">
        <v>25563</v>
      </c>
      <c r="CC350" t="s">
        <v>25564</v>
      </c>
      <c r="CD350" t="s">
        <v>25565</v>
      </c>
      <c r="CE350" t="s">
        <v>102</v>
      </c>
      <c r="CF350" t="s">
        <v>25514</v>
      </c>
      <c r="CH350" t="s">
        <v>25566</v>
      </c>
      <c r="CJ350" t="s">
        <v>2127</v>
      </c>
      <c r="CK350" t="s">
        <v>621</v>
      </c>
      <c r="CL350" t="s">
        <v>25566</v>
      </c>
      <c r="CN350" t="s">
        <v>25514</v>
      </c>
      <c r="CO350" t="s">
        <v>25514</v>
      </c>
    </row>
    <row r="351" spans="1:93">
      <c r="A351" t="s">
        <v>337</v>
      </c>
      <c r="B351">
        <v>5146387</v>
      </c>
      <c r="C351" t="s">
        <v>26579</v>
      </c>
      <c r="D351" t="s">
        <v>21661</v>
      </c>
      <c r="E351" t="s">
        <v>21857</v>
      </c>
      <c r="F351" t="s">
        <v>97</v>
      </c>
      <c r="G351" t="s">
        <v>98</v>
      </c>
      <c r="H351" t="s">
        <v>26580</v>
      </c>
      <c r="I351" t="s">
        <v>100</v>
      </c>
      <c r="J351">
        <v>0</v>
      </c>
      <c r="K351">
        <v>0</v>
      </c>
      <c r="L351">
        <v>0</v>
      </c>
      <c r="M351">
        <v>525</v>
      </c>
      <c r="N351" t="s">
        <v>102</v>
      </c>
      <c r="O351">
        <v>0</v>
      </c>
      <c r="P351">
        <v>0</v>
      </c>
      <c r="R351">
        <v>0</v>
      </c>
      <c r="S351">
        <v>0</v>
      </c>
      <c r="U351" t="s">
        <v>102</v>
      </c>
      <c r="V351" t="s">
        <v>275</v>
      </c>
      <c r="X351" t="s">
        <v>21857</v>
      </c>
      <c r="Y351" t="s">
        <v>109</v>
      </c>
      <c r="Z351" t="s">
        <v>102</v>
      </c>
      <c r="AA351" t="s">
        <v>109</v>
      </c>
      <c r="AB351" t="s">
        <v>102</v>
      </c>
      <c r="AC351" t="s">
        <v>109</v>
      </c>
      <c r="AD351" t="s">
        <v>102</v>
      </c>
      <c r="AE351" t="s">
        <v>109</v>
      </c>
      <c r="AF351" t="s">
        <v>102</v>
      </c>
      <c r="AG351" t="s">
        <v>102</v>
      </c>
      <c r="AJ351" t="s">
        <v>102</v>
      </c>
      <c r="AK351" t="s">
        <v>102</v>
      </c>
      <c r="AL351" t="s">
        <v>102</v>
      </c>
      <c r="AM351" t="s">
        <v>115</v>
      </c>
      <c r="AN351" t="s">
        <v>115</v>
      </c>
      <c r="AS351" t="s">
        <v>117</v>
      </c>
      <c r="AT351" t="s">
        <v>118</v>
      </c>
      <c r="AU351" t="s">
        <v>102</v>
      </c>
      <c r="AV351" t="s">
        <v>119</v>
      </c>
      <c r="AZ351" t="s">
        <v>120</v>
      </c>
      <c r="BA351" t="s">
        <v>26581</v>
      </c>
      <c r="BB351" t="s">
        <v>211</v>
      </c>
      <c r="BC351" t="s">
        <v>212</v>
      </c>
      <c r="BD351" t="s">
        <v>213</v>
      </c>
      <c r="BE351" t="s">
        <v>124</v>
      </c>
      <c r="BF351" t="s">
        <v>24888</v>
      </c>
      <c r="BG351" t="s">
        <v>23025</v>
      </c>
      <c r="BH351" t="s">
        <v>127</v>
      </c>
      <c r="BI351" t="s">
        <v>26582</v>
      </c>
      <c r="BJ351" t="s">
        <v>26583</v>
      </c>
      <c r="BK351" t="s">
        <v>26584</v>
      </c>
      <c r="BL351" t="s">
        <v>21857</v>
      </c>
      <c r="BM351" t="s">
        <v>24891</v>
      </c>
      <c r="BN351" t="s">
        <v>180</v>
      </c>
      <c r="BO351" t="s">
        <v>24892</v>
      </c>
      <c r="BP351" t="s">
        <v>24893</v>
      </c>
      <c r="BQ351" t="s">
        <v>11947</v>
      </c>
      <c r="BS351" t="s">
        <v>26585</v>
      </c>
      <c r="BT351" t="s">
        <v>3585</v>
      </c>
      <c r="BV351" t="s">
        <v>225</v>
      </c>
      <c r="BW351" t="s">
        <v>8332</v>
      </c>
      <c r="BY351" t="s">
        <v>26586</v>
      </c>
      <c r="BZ351" t="s">
        <v>26587</v>
      </c>
      <c r="CA351" t="s">
        <v>26588</v>
      </c>
      <c r="CB351" t="s">
        <v>26586</v>
      </c>
      <c r="CC351" t="s">
        <v>26587</v>
      </c>
      <c r="CD351" t="s">
        <v>26588</v>
      </c>
      <c r="CE351" t="s">
        <v>102</v>
      </c>
      <c r="CF351" t="s">
        <v>26589</v>
      </c>
      <c r="CH351" t="s">
        <v>26590</v>
      </c>
      <c r="CJ351" t="s">
        <v>26581</v>
      </c>
      <c r="CK351" t="s">
        <v>211</v>
      </c>
      <c r="CL351" t="s">
        <v>26590</v>
      </c>
      <c r="CN351" t="s">
        <v>26581</v>
      </c>
      <c r="CO351" t="s">
        <v>26581</v>
      </c>
    </row>
    <row r="352" spans="1:93">
      <c r="A352" t="s">
        <v>337</v>
      </c>
      <c r="B352">
        <v>5147375</v>
      </c>
      <c r="C352" t="s">
        <v>26259</v>
      </c>
      <c r="D352" t="s">
        <v>21661</v>
      </c>
      <c r="E352" t="s">
        <v>13662</v>
      </c>
      <c r="F352" t="s">
        <v>97</v>
      </c>
      <c r="G352" t="s">
        <v>98</v>
      </c>
      <c r="H352" t="s">
        <v>26260</v>
      </c>
      <c r="I352" t="s">
        <v>100</v>
      </c>
      <c r="J352">
        <v>0</v>
      </c>
      <c r="K352">
        <v>0</v>
      </c>
      <c r="L352">
        <v>0</v>
      </c>
      <c r="M352">
        <v>123</v>
      </c>
      <c r="N352" t="s">
        <v>102</v>
      </c>
      <c r="O352">
        <v>0</v>
      </c>
      <c r="P352">
        <v>0</v>
      </c>
      <c r="R352">
        <v>0</v>
      </c>
      <c r="S352">
        <v>0</v>
      </c>
      <c r="U352" t="s">
        <v>102</v>
      </c>
      <c r="V352" t="s">
        <v>275</v>
      </c>
      <c r="X352" t="s">
        <v>12047</v>
      </c>
      <c r="Y352" t="s">
        <v>109</v>
      </c>
      <c r="Z352" t="s">
        <v>102</v>
      </c>
      <c r="AA352" t="s">
        <v>109</v>
      </c>
      <c r="AB352" t="s">
        <v>102</v>
      </c>
      <c r="AC352" t="s">
        <v>109</v>
      </c>
      <c r="AD352" t="s">
        <v>102</v>
      </c>
      <c r="AE352" t="s">
        <v>109</v>
      </c>
      <c r="AF352" t="s">
        <v>102</v>
      </c>
      <c r="AG352" t="s">
        <v>102</v>
      </c>
      <c r="AJ352" t="s">
        <v>102</v>
      </c>
      <c r="AK352" t="s">
        <v>102</v>
      </c>
      <c r="AL352" t="s">
        <v>102</v>
      </c>
      <c r="AM352" t="s">
        <v>115</v>
      </c>
      <c r="AN352" t="s">
        <v>115</v>
      </c>
      <c r="AS352" t="s">
        <v>6700</v>
      </c>
      <c r="AT352" t="s">
        <v>250</v>
      </c>
      <c r="AU352" t="s">
        <v>102</v>
      </c>
      <c r="AV352" t="s">
        <v>119</v>
      </c>
      <c r="AZ352" t="s">
        <v>120</v>
      </c>
      <c r="BA352" t="s">
        <v>26261</v>
      </c>
      <c r="BB352" t="s">
        <v>26261</v>
      </c>
      <c r="BC352" t="s">
        <v>26261</v>
      </c>
      <c r="BD352" t="s">
        <v>26261</v>
      </c>
      <c r="BE352" t="s">
        <v>124</v>
      </c>
      <c r="BF352" t="s">
        <v>12250</v>
      </c>
      <c r="BG352" t="s">
        <v>21667</v>
      </c>
      <c r="BH352" t="s">
        <v>127</v>
      </c>
      <c r="BI352" t="s">
        <v>26262</v>
      </c>
      <c r="BJ352" t="s">
        <v>26263</v>
      </c>
      <c r="BK352" t="s">
        <v>26264</v>
      </c>
      <c r="BL352" t="s">
        <v>13662</v>
      </c>
      <c r="BM352" t="s">
        <v>290</v>
      </c>
      <c r="BN352" t="s">
        <v>132</v>
      </c>
      <c r="BO352" t="s">
        <v>291</v>
      </c>
      <c r="BP352" t="s">
        <v>292</v>
      </c>
      <c r="BQ352" t="s">
        <v>4765</v>
      </c>
      <c r="BS352" t="s">
        <v>26265</v>
      </c>
      <c r="BT352" t="s">
        <v>224</v>
      </c>
      <c r="BU352" t="s">
        <v>598</v>
      </c>
      <c r="BV352" t="s">
        <v>225</v>
      </c>
      <c r="BW352" t="s">
        <v>226</v>
      </c>
      <c r="BY352" t="s">
        <v>26266</v>
      </c>
      <c r="BZ352" t="s">
        <v>26267</v>
      </c>
      <c r="CA352" t="s">
        <v>26268</v>
      </c>
      <c r="CB352" t="s">
        <v>26266</v>
      </c>
      <c r="CC352" t="s">
        <v>26267</v>
      </c>
      <c r="CD352" t="s">
        <v>26268</v>
      </c>
      <c r="CE352" t="s">
        <v>102</v>
      </c>
      <c r="CF352" t="s">
        <v>26269</v>
      </c>
      <c r="CH352" t="s">
        <v>26270</v>
      </c>
      <c r="CJ352" t="s">
        <v>26261</v>
      </c>
      <c r="CK352" t="s">
        <v>26261</v>
      </c>
      <c r="CL352" t="s">
        <v>26270</v>
      </c>
      <c r="CN352" t="s">
        <v>26261</v>
      </c>
      <c r="CO352" t="s">
        <v>26261</v>
      </c>
    </row>
    <row r="353" spans="1:93">
      <c r="A353" t="s">
        <v>337</v>
      </c>
      <c r="B353">
        <v>5147512</v>
      </c>
      <c r="C353" t="s">
        <v>25567</v>
      </c>
      <c r="D353" t="s">
        <v>21661</v>
      </c>
      <c r="E353" t="s">
        <v>24940</v>
      </c>
      <c r="F353" t="s">
        <v>97</v>
      </c>
      <c r="G353" t="s">
        <v>98</v>
      </c>
      <c r="H353" t="s">
        <v>25568</v>
      </c>
      <c r="I353" t="s">
        <v>100</v>
      </c>
      <c r="J353">
        <v>0</v>
      </c>
      <c r="K353">
        <v>0</v>
      </c>
      <c r="L353">
        <v>0</v>
      </c>
      <c r="M353">
        <v>100000</v>
      </c>
      <c r="N353" t="s">
        <v>102</v>
      </c>
      <c r="O353">
        <v>0</v>
      </c>
      <c r="P353">
        <v>0</v>
      </c>
      <c r="R353">
        <v>0</v>
      </c>
      <c r="S353">
        <v>0</v>
      </c>
      <c r="U353" t="s">
        <v>102</v>
      </c>
      <c r="V353" t="s">
        <v>275</v>
      </c>
      <c r="X353" t="s">
        <v>11960</v>
      </c>
      <c r="Y353" t="s">
        <v>109</v>
      </c>
      <c r="Z353" t="s">
        <v>102</v>
      </c>
      <c r="AA353" t="s">
        <v>109</v>
      </c>
      <c r="AB353" t="s">
        <v>102</v>
      </c>
      <c r="AC353" t="s">
        <v>109</v>
      </c>
      <c r="AD353" t="s">
        <v>102</v>
      </c>
      <c r="AE353" t="s">
        <v>109</v>
      </c>
      <c r="AF353" t="s">
        <v>102</v>
      </c>
      <c r="AG353" t="s">
        <v>102</v>
      </c>
      <c r="AJ353" t="s">
        <v>102</v>
      </c>
      <c r="AK353" t="s">
        <v>102</v>
      </c>
      <c r="AL353" t="s">
        <v>102</v>
      </c>
      <c r="AM353" t="s">
        <v>115</v>
      </c>
      <c r="AN353" t="s">
        <v>115</v>
      </c>
      <c r="AS353" t="s">
        <v>318</v>
      </c>
      <c r="AT353" t="s">
        <v>250</v>
      </c>
      <c r="AU353" t="s">
        <v>102</v>
      </c>
      <c r="AV353" t="s">
        <v>119</v>
      </c>
      <c r="AZ353" t="s">
        <v>120</v>
      </c>
      <c r="BA353" t="s">
        <v>623</v>
      </c>
      <c r="BB353" t="s">
        <v>621</v>
      </c>
      <c r="BC353" t="s">
        <v>622</v>
      </c>
      <c r="BD353" t="s">
        <v>623</v>
      </c>
      <c r="BE353" t="s">
        <v>124</v>
      </c>
      <c r="BF353" t="s">
        <v>12250</v>
      </c>
      <c r="BG353" t="s">
        <v>21667</v>
      </c>
      <c r="BH353" t="s">
        <v>127</v>
      </c>
      <c r="BI353" t="s">
        <v>25569</v>
      </c>
      <c r="BJ353" t="s">
        <v>25570</v>
      </c>
      <c r="BK353" t="s">
        <v>25571</v>
      </c>
      <c r="BL353" t="s">
        <v>24940</v>
      </c>
      <c r="BM353" t="s">
        <v>132</v>
      </c>
      <c r="BN353" t="s">
        <v>132</v>
      </c>
      <c r="BO353" t="s">
        <v>6400</v>
      </c>
      <c r="BP353" t="s">
        <v>25572</v>
      </c>
      <c r="BQ353" t="s">
        <v>25573</v>
      </c>
      <c r="BS353" t="s">
        <v>25574</v>
      </c>
      <c r="BT353" t="s">
        <v>25575</v>
      </c>
      <c r="BU353" t="s">
        <v>598</v>
      </c>
      <c r="BV353" t="s">
        <v>25576</v>
      </c>
      <c r="BW353" t="s">
        <v>10766</v>
      </c>
      <c r="BX353" t="s">
        <v>25577</v>
      </c>
      <c r="BY353" t="s">
        <v>25575</v>
      </c>
      <c r="BZ353" t="s">
        <v>25576</v>
      </c>
      <c r="CA353" t="s">
        <v>25578</v>
      </c>
      <c r="CB353" t="s">
        <v>25575</v>
      </c>
      <c r="CC353" t="s">
        <v>25576</v>
      </c>
      <c r="CD353" t="s">
        <v>25578</v>
      </c>
      <c r="CE353" t="s">
        <v>102</v>
      </c>
      <c r="CF353" t="s">
        <v>25579</v>
      </c>
      <c r="CH353" t="s">
        <v>25580</v>
      </c>
      <c r="CJ353" t="s">
        <v>623</v>
      </c>
      <c r="CK353" t="s">
        <v>621</v>
      </c>
      <c r="CL353" t="s">
        <v>25580</v>
      </c>
      <c r="CN353" t="s">
        <v>25581</v>
      </c>
      <c r="CO353" t="s">
        <v>25581</v>
      </c>
    </row>
    <row r="354" spans="1:93">
      <c r="A354" t="s">
        <v>337</v>
      </c>
      <c r="B354">
        <v>5149433</v>
      </c>
      <c r="C354" t="s">
        <v>26271</v>
      </c>
      <c r="D354" t="s">
        <v>21661</v>
      </c>
      <c r="E354" t="s">
        <v>26057</v>
      </c>
      <c r="F354" t="s">
        <v>97</v>
      </c>
      <c r="G354" t="s">
        <v>98</v>
      </c>
      <c r="H354" t="s">
        <v>26272</v>
      </c>
      <c r="I354" t="s">
        <v>100</v>
      </c>
      <c r="J354">
        <v>0</v>
      </c>
      <c r="K354">
        <v>0</v>
      </c>
      <c r="L354">
        <v>0</v>
      </c>
      <c r="M354">
        <v>486</v>
      </c>
      <c r="N354" t="s">
        <v>102</v>
      </c>
      <c r="O354">
        <v>0</v>
      </c>
      <c r="P354">
        <v>0</v>
      </c>
      <c r="R354">
        <v>0</v>
      </c>
      <c r="S354">
        <v>0</v>
      </c>
      <c r="U354" t="s">
        <v>102</v>
      </c>
      <c r="V354" t="s">
        <v>275</v>
      </c>
      <c r="X354" t="s">
        <v>11960</v>
      </c>
      <c r="Y354" t="s">
        <v>109</v>
      </c>
      <c r="Z354" t="s">
        <v>102</v>
      </c>
      <c r="AA354" t="s">
        <v>109</v>
      </c>
      <c r="AB354" t="s">
        <v>102</v>
      </c>
      <c r="AC354" t="s">
        <v>109</v>
      </c>
      <c r="AD354" t="s">
        <v>102</v>
      </c>
      <c r="AE354" t="s">
        <v>109</v>
      </c>
      <c r="AF354" t="s">
        <v>102</v>
      </c>
      <c r="AG354" t="s">
        <v>102</v>
      </c>
      <c r="AJ354" t="s">
        <v>102</v>
      </c>
      <c r="AK354" t="s">
        <v>102</v>
      </c>
      <c r="AL354" t="s">
        <v>102</v>
      </c>
      <c r="AM354" t="s">
        <v>115</v>
      </c>
      <c r="AN354" t="s">
        <v>115</v>
      </c>
      <c r="AS354" t="s">
        <v>318</v>
      </c>
      <c r="AT354" t="s">
        <v>250</v>
      </c>
      <c r="AU354" t="s">
        <v>102</v>
      </c>
      <c r="AV354" t="s">
        <v>119</v>
      </c>
      <c r="AZ354" t="s">
        <v>120</v>
      </c>
      <c r="BA354" t="s">
        <v>2204</v>
      </c>
      <c r="BB354" t="s">
        <v>121</v>
      </c>
      <c r="BC354" t="s">
        <v>122</v>
      </c>
      <c r="BD354" t="s">
        <v>123</v>
      </c>
      <c r="BE354" t="s">
        <v>124</v>
      </c>
      <c r="BF354" t="s">
        <v>12250</v>
      </c>
      <c r="BG354" t="s">
        <v>21667</v>
      </c>
      <c r="BH354" t="s">
        <v>127</v>
      </c>
      <c r="BI354" t="s">
        <v>26273</v>
      </c>
      <c r="BJ354" t="s">
        <v>26274</v>
      </c>
      <c r="BK354" t="s">
        <v>26275</v>
      </c>
      <c r="BL354" t="s">
        <v>26057</v>
      </c>
      <c r="BM354" t="s">
        <v>132</v>
      </c>
      <c r="BN354" t="s">
        <v>132</v>
      </c>
      <c r="BO354" t="s">
        <v>6400</v>
      </c>
      <c r="BP354" t="s">
        <v>25572</v>
      </c>
      <c r="BQ354" t="s">
        <v>25573</v>
      </c>
      <c r="BS354" t="s">
        <v>26276</v>
      </c>
      <c r="BT354" t="s">
        <v>26277</v>
      </c>
      <c r="BU354" t="s">
        <v>296</v>
      </c>
      <c r="BV354" t="s">
        <v>1997</v>
      </c>
      <c r="BW354" t="s">
        <v>226</v>
      </c>
      <c r="BY354" t="s">
        <v>25575</v>
      </c>
      <c r="BZ354" t="s">
        <v>25576</v>
      </c>
      <c r="CA354" t="s">
        <v>25578</v>
      </c>
      <c r="CB354" t="s">
        <v>25575</v>
      </c>
      <c r="CC354" t="s">
        <v>25576</v>
      </c>
      <c r="CD354" t="s">
        <v>25578</v>
      </c>
      <c r="CE354" t="s">
        <v>102</v>
      </c>
      <c r="CF354" t="s">
        <v>14774</v>
      </c>
      <c r="CH354" t="s">
        <v>5311</v>
      </c>
      <c r="CJ354" t="s">
        <v>2204</v>
      </c>
      <c r="CK354" t="s">
        <v>121</v>
      </c>
      <c r="CL354" t="s">
        <v>5311</v>
      </c>
      <c r="CN354" t="s">
        <v>26278</v>
      </c>
      <c r="CO354" t="s">
        <v>26278</v>
      </c>
    </row>
    <row r="355" spans="1:93">
      <c r="A355" t="s">
        <v>337</v>
      </c>
      <c r="B355">
        <v>5149560</v>
      </c>
      <c r="C355" t="s">
        <v>26279</v>
      </c>
      <c r="D355" t="s">
        <v>21661</v>
      </c>
      <c r="E355" t="s">
        <v>26057</v>
      </c>
      <c r="F355" t="s">
        <v>848</v>
      </c>
      <c r="G355" t="s">
        <v>98</v>
      </c>
      <c r="H355" t="s">
        <v>26280</v>
      </c>
      <c r="I355" t="s">
        <v>100</v>
      </c>
      <c r="J355">
        <v>0</v>
      </c>
      <c r="K355">
        <v>0</v>
      </c>
      <c r="L355">
        <v>0</v>
      </c>
      <c r="M355">
        <v>0</v>
      </c>
      <c r="O355">
        <v>0</v>
      </c>
      <c r="P355">
        <v>0</v>
      </c>
      <c r="R355">
        <v>0</v>
      </c>
      <c r="S355">
        <v>50</v>
      </c>
      <c r="T355" t="s">
        <v>102</v>
      </c>
      <c r="U355" t="s">
        <v>102</v>
      </c>
      <c r="V355" t="s">
        <v>275</v>
      </c>
      <c r="X355" t="s">
        <v>26057</v>
      </c>
      <c r="Y355" t="s">
        <v>109</v>
      </c>
      <c r="Z355" t="s">
        <v>102</v>
      </c>
      <c r="AA355" t="s">
        <v>109</v>
      </c>
      <c r="AB355" t="s">
        <v>102</v>
      </c>
      <c r="AC355" t="s">
        <v>109</v>
      </c>
      <c r="AD355" t="s">
        <v>102</v>
      </c>
      <c r="AE355" t="s">
        <v>109</v>
      </c>
      <c r="AF355" t="s">
        <v>102</v>
      </c>
      <c r="AG355" t="s">
        <v>102</v>
      </c>
      <c r="AJ355" t="s">
        <v>102</v>
      </c>
      <c r="AK355" t="s">
        <v>102</v>
      </c>
      <c r="AL355" t="s">
        <v>102</v>
      </c>
      <c r="AM355" t="s">
        <v>115</v>
      </c>
      <c r="AN355" t="s">
        <v>115</v>
      </c>
      <c r="AS355" t="s">
        <v>102</v>
      </c>
      <c r="AU355" t="s">
        <v>102</v>
      </c>
      <c r="AV355" t="s">
        <v>119</v>
      </c>
      <c r="AY355" t="s">
        <v>250</v>
      </c>
      <c r="AZ355" t="s">
        <v>598</v>
      </c>
      <c r="BA355" t="s">
        <v>26281</v>
      </c>
      <c r="BB355" t="s">
        <v>173</v>
      </c>
      <c r="BC355" t="s">
        <v>174</v>
      </c>
      <c r="BD355" t="s">
        <v>173</v>
      </c>
      <c r="BE355" t="s">
        <v>124</v>
      </c>
      <c r="BF355" t="s">
        <v>26057</v>
      </c>
      <c r="BG355" t="s">
        <v>26282</v>
      </c>
      <c r="BH355" t="s">
        <v>127</v>
      </c>
      <c r="BI355" t="s">
        <v>26283</v>
      </c>
      <c r="BJ355" t="s">
        <v>26284</v>
      </c>
      <c r="BK355" t="s">
        <v>26285</v>
      </c>
      <c r="BL355" t="s">
        <v>26057</v>
      </c>
      <c r="BM355" t="s">
        <v>180</v>
      </c>
      <c r="BN355" t="s">
        <v>180</v>
      </c>
      <c r="BO355" t="s">
        <v>8588</v>
      </c>
      <c r="BP355" t="s">
        <v>14336</v>
      </c>
      <c r="BQ355" t="s">
        <v>26286</v>
      </c>
      <c r="BS355" t="s">
        <v>26287</v>
      </c>
      <c r="BT355" t="s">
        <v>26286</v>
      </c>
      <c r="BU355" t="s">
        <v>598</v>
      </c>
      <c r="BV355" t="s">
        <v>26288</v>
      </c>
      <c r="BW355" t="s">
        <v>26289</v>
      </c>
      <c r="BX355" t="s">
        <v>26288</v>
      </c>
      <c r="BY355" t="s">
        <v>14342</v>
      </c>
      <c r="BZ355" t="s">
        <v>8588</v>
      </c>
      <c r="CA355" t="s">
        <v>14343</v>
      </c>
      <c r="CB355" t="s">
        <v>14342</v>
      </c>
      <c r="CC355" t="s">
        <v>8588</v>
      </c>
      <c r="CD355" t="s">
        <v>14343</v>
      </c>
      <c r="CE355" t="s">
        <v>102</v>
      </c>
      <c r="CF355" t="s">
        <v>26281</v>
      </c>
      <c r="CG355" t="s">
        <v>26281</v>
      </c>
      <c r="CH355" t="s">
        <v>26290</v>
      </c>
      <c r="CJ355" t="s">
        <v>26281</v>
      </c>
      <c r="CK355" t="s">
        <v>173</v>
      </c>
      <c r="CL355" t="s">
        <v>26290</v>
      </c>
      <c r="CN355" t="s">
        <v>26281</v>
      </c>
      <c r="CO355" t="s">
        <v>26281</v>
      </c>
    </row>
    <row r="356" spans="1:93">
      <c r="A356" t="s">
        <v>337</v>
      </c>
      <c r="B356">
        <v>5149645</v>
      </c>
      <c r="C356" t="s">
        <v>26291</v>
      </c>
      <c r="D356" t="s">
        <v>21661</v>
      </c>
      <c r="E356" t="s">
        <v>26057</v>
      </c>
      <c r="F356" t="s">
        <v>97</v>
      </c>
      <c r="G356" t="s">
        <v>98</v>
      </c>
      <c r="H356" t="s">
        <v>26292</v>
      </c>
      <c r="I356" t="s">
        <v>100</v>
      </c>
      <c r="J356">
        <v>0</v>
      </c>
      <c r="K356">
        <v>0</v>
      </c>
      <c r="L356">
        <v>0</v>
      </c>
      <c r="M356">
        <v>260</v>
      </c>
      <c r="N356" t="s">
        <v>102</v>
      </c>
      <c r="O356">
        <v>0</v>
      </c>
      <c r="P356">
        <v>0</v>
      </c>
      <c r="R356">
        <v>0</v>
      </c>
      <c r="S356">
        <v>0</v>
      </c>
      <c r="U356" t="s">
        <v>102</v>
      </c>
      <c r="V356" t="s">
        <v>275</v>
      </c>
      <c r="X356" t="s">
        <v>11960</v>
      </c>
      <c r="Y356" t="s">
        <v>109</v>
      </c>
      <c r="Z356" t="s">
        <v>102</v>
      </c>
      <c r="AA356" t="s">
        <v>109</v>
      </c>
      <c r="AB356" t="s">
        <v>102</v>
      </c>
      <c r="AC356" t="s">
        <v>109</v>
      </c>
      <c r="AD356" t="s">
        <v>102</v>
      </c>
      <c r="AE356" t="s">
        <v>109</v>
      </c>
      <c r="AF356" t="s">
        <v>102</v>
      </c>
      <c r="AG356" t="s">
        <v>102</v>
      </c>
      <c r="AJ356" t="s">
        <v>102</v>
      </c>
      <c r="AK356" t="s">
        <v>102</v>
      </c>
      <c r="AL356" t="s">
        <v>102</v>
      </c>
      <c r="AM356" t="s">
        <v>115</v>
      </c>
      <c r="AN356" t="s">
        <v>115</v>
      </c>
      <c r="AS356" t="s">
        <v>318</v>
      </c>
      <c r="AT356" t="s">
        <v>250</v>
      </c>
      <c r="AU356" t="s">
        <v>102</v>
      </c>
      <c r="AV356" t="s">
        <v>119</v>
      </c>
      <c r="AZ356" t="s">
        <v>120</v>
      </c>
      <c r="BA356" t="s">
        <v>121</v>
      </c>
      <c r="BB356" t="s">
        <v>121</v>
      </c>
      <c r="BC356" t="s">
        <v>122</v>
      </c>
      <c r="BD356" t="s">
        <v>123</v>
      </c>
      <c r="BE356" t="s">
        <v>124</v>
      </c>
      <c r="BF356" t="s">
        <v>12250</v>
      </c>
      <c r="BG356" t="s">
        <v>21667</v>
      </c>
      <c r="BH356" t="s">
        <v>127</v>
      </c>
      <c r="BI356" t="s">
        <v>26293</v>
      </c>
      <c r="BJ356" t="s">
        <v>26294</v>
      </c>
      <c r="BK356" t="s">
        <v>26295</v>
      </c>
      <c r="BL356" t="s">
        <v>26057</v>
      </c>
      <c r="BM356" t="s">
        <v>132</v>
      </c>
      <c r="BN356" t="s">
        <v>132</v>
      </c>
      <c r="BO356" t="s">
        <v>6400</v>
      </c>
      <c r="BP356" t="s">
        <v>25572</v>
      </c>
      <c r="BQ356" t="s">
        <v>25573</v>
      </c>
      <c r="BS356" t="s">
        <v>26296</v>
      </c>
      <c r="BT356" t="s">
        <v>26277</v>
      </c>
      <c r="BU356" t="s">
        <v>296</v>
      </c>
      <c r="BV356" t="s">
        <v>1997</v>
      </c>
      <c r="BW356" t="s">
        <v>226</v>
      </c>
      <c r="BY356" t="s">
        <v>25575</v>
      </c>
      <c r="BZ356" t="s">
        <v>25576</v>
      </c>
      <c r="CA356" t="s">
        <v>25578</v>
      </c>
      <c r="CB356" t="s">
        <v>25575</v>
      </c>
      <c r="CC356" t="s">
        <v>25576</v>
      </c>
      <c r="CD356" t="s">
        <v>25578</v>
      </c>
      <c r="CE356" t="s">
        <v>102</v>
      </c>
      <c r="CF356" t="s">
        <v>14774</v>
      </c>
      <c r="CH356" t="s">
        <v>26297</v>
      </c>
      <c r="CJ356" t="s">
        <v>121</v>
      </c>
      <c r="CK356" t="s">
        <v>121</v>
      </c>
      <c r="CL356" t="s">
        <v>26297</v>
      </c>
      <c r="CN356" t="s">
        <v>26298</v>
      </c>
      <c r="CO356" t="s">
        <v>26298</v>
      </c>
    </row>
    <row r="357" spans="1:93">
      <c r="A357" t="s">
        <v>337</v>
      </c>
      <c r="B357">
        <v>5149720</v>
      </c>
      <c r="C357" t="s">
        <v>26299</v>
      </c>
      <c r="D357" t="s">
        <v>21661</v>
      </c>
      <c r="E357" t="s">
        <v>26057</v>
      </c>
      <c r="F357" t="s">
        <v>97</v>
      </c>
      <c r="G357" t="s">
        <v>98</v>
      </c>
      <c r="H357" t="s">
        <v>26300</v>
      </c>
      <c r="I357" t="s">
        <v>100</v>
      </c>
      <c r="J357">
        <v>0</v>
      </c>
      <c r="K357">
        <v>0</v>
      </c>
      <c r="L357">
        <v>0</v>
      </c>
      <c r="M357">
        <v>198</v>
      </c>
      <c r="N357" t="s">
        <v>102</v>
      </c>
      <c r="O357">
        <v>0</v>
      </c>
      <c r="P357">
        <v>0</v>
      </c>
      <c r="R357">
        <v>0</v>
      </c>
      <c r="S357">
        <v>0</v>
      </c>
      <c r="U357" t="s">
        <v>102</v>
      </c>
      <c r="V357" t="s">
        <v>275</v>
      </c>
      <c r="X357" t="s">
        <v>11960</v>
      </c>
      <c r="Y357" t="s">
        <v>109</v>
      </c>
      <c r="Z357" t="s">
        <v>102</v>
      </c>
      <c r="AA357" t="s">
        <v>109</v>
      </c>
      <c r="AB357" t="s">
        <v>102</v>
      </c>
      <c r="AC357" t="s">
        <v>109</v>
      </c>
      <c r="AD357" t="s">
        <v>102</v>
      </c>
      <c r="AE357" t="s">
        <v>109</v>
      </c>
      <c r="AF357" t="s">
        <v>102</v>
      </c>
      <c r="AG357" t="s">
        <v>102</v>
      </c>
      <c r="AJ357" t="s">
        <v>102</v>
      </c>
      <c r="AK357" t="s">
        <v>102</v>
      </c>
      <c r="AL357" t="s">
        <v>102</v>
      </c>
      <c r="AM357" t="s">
        <v>115</v>
      </c>
      <c r="AN357" t="s">
        <v>115</v>
      </c>
      <c r="AS357" t="s">
        <v>318</v>
      </c>
      <c r="AT357" t="s">
        <v>250</v>
      </c>
      <c r="AU357" t="s">
        <v>102</v>
      </c>
      <c r="AV357" t="s">
        <v>119</v>
      </c>
      <c r="AZ357" t="s">
        <v>120</v>
      </c>
      <c r="BA357" t="s">
        <v>2204</v>
      </c>
      <c r="BB357" t="s">
        <v>121</v>
      </c>
      <c r="BC357" t="s">
        <v>122</v>
      </c>
      <c r="BD357" t="s">
        <v>123</v>
      </c>
      <c r="BE357" t="s">
        <v>124</v>
      </c>
      <c r="BF357" t="s">
        <v>12250</v>
      </c>
      <c r="BG357" t="s">
        <v>21667</v>
      </c>
      <c r="BH357" t="s">
        <v>127</v>
      </c>
      <c r="BI357" t="s">
        <v>26301</v>
      </c>
      <c r="BJ357" t="s">
        <v>26302</v>
      </c>
      <c r="BK357" t="s">
        <v>26303</v>
      </c>
      <c r="BL357" t="s">
        <v>26057</v>
      </c>
      <c r="BM357" t="s">
        <v>132</v>
      </c>
      <c r="BN357" t="s">
        <v>132</v>
      </c>
      <c r="BO357" t="s">
        <v>6400</v>
      </c>
      <c r="BP357" t="s">
        <v>25572</v>
      </c>
      <c r="BQ357" t="s">
        <v>25573</v>
      </c>
      <c r="BS357" t="s">
        <v>26304</v>
      </c>
      <c r="BT357" t="s">
        <v>26277</v>
      </c>
      <c r="BU357" t="s">
        <v>296</v>
      </c>
      <c r="BV357" t="s">
        <v>1997</v>
      </c>
      <c r="BW357" t="s">
        <v>226</v>
      </c>
      <c r="BY357" t="s">
        <v>25575</v>
      </c>
      <c r="BZ357" t="s">
        <v>25576</v>
      </c>
      <c r="CA357" t="s">
        <v>25578</v>
      </c>
      <c r="CB357" t="s">
        <v>25575</v>
      </c>
      <c r="CC357" t="s">
        <v>25576</v>
      </c>
      <c r="CD357" t="s">
        <v>25578</v>
      </c>
      <c r="CE357" t="s">
        <v>102</v>
      </c>
      <c r="CF357" t="s">
        <v>14774</v>
      </c>
      <c r="CH357" t="s">
        <v>26305</v>
      </c>
      <c r="CJ357" t="s">
        <v>2204</v>
      </c>
      <c r="CK357" t="s">
        <v>121</v>
      </c>
      <c r="CL357" t="s">
        <v>26305</v>
      </c>
      <c r="CN357" t="s">
        <v>26306</v>
      </c>
      <c r="CO357" t="s">
        <v>26306</v>
      </c>
    </row>
    <row r="358" spans="1:93">
      <c r="A358" t="s">
        <v>337</v>
      </c>
      <c r="B358">
        <v>5151019</v>
      </c>
      <c r="C358" t="s">
        <v>26591</v>
      </c>
      <c r="D358" t="s">
        <v>21661</v>
      </c>
      <c r="E358" t="s">
        <v>26592</v>
      </c>
      <c r="F358" t="s">
        <v>97</v>
      </c>
      <c r="G358" t="s">
        <v>98</v>
      </c>
      <c r="H358" t="s">
        <v>26593</v>
      </c>
      <c r="I358" t="s">
        <v>100</v>
      </c>
      <c r="J358">
        <v>142800</v>
      </c>
      <c r="K358">
        <v>142800</v>
      </c>
      <c r="L358">
        <v>142800</v>
      </c>
      <c r="M358">
        <v>238</v>
      </c>
      <c r="N358" t="s">
        <v>310</v>
      </c>
      <c r="O358">
        <v>0</v>
      </c>
      <c r="P358">
        <v>0</v>
      </c>
      <c r="R358">
        <v>0</v>
      </c>
      <c r="S358">
        <v>0</v>
      </c>
      <c r="U358" t="s">
        <v>102</v>
      </c>
      <c r="V358" t="s">
        <v>103</v>
      </c>
      <c r="W358" t="s">
        <v>104</v>
      </c>
      <c r="Y358" t="s">
        <v>22882</v>
      </c>
      <c r="Z358" t="s">
        <v>9118</v>
      </c>
      <c r="AA358" t="s">
        <v>21983</v>
      </c>
      <c r="AB358" t="s">
        <v>9118</v>
      </c>
      <c r="AC358" t="s">
        <v>109</v>
      </c>
      <c r="AD358" t="s">
        <v>102</v>
      </c>
      <c r="AE358" t="s">
        <v>109</v>
      </c>
      <c r="AF358" t="s">
        <v>102</v>
      </c>
      <c r="AG358" t="s">
        <v>102</v>
      </c>
      <c r="AJ358" t="s">
        <v>102</v>
      </c>
      <c r="AK358" t="s">
        <v>102</v>
      </c>
      <c r="AL358" t="s">
        <v>102</v>
      </c>
      <c r="AM358" t="s">
        <v>317</v>
      </c>
      <c r="AN358" t="s">
        <v>317</v>
      </c>
      <c r="AS358" t="s">
        <v>318</v>
      </c>
      <c r="AT358" t="s">
        <v>118</v>
      </c>
      <c r="AU358" t="s">
        <v>102</v>
      </c>
      <c r="AV358" t="s">
        <v>119</v>
      </c>
      <c r="AZ358" t="s">
        <v>120</v>
      </c>
      <c r="BA358" t="s">
        <v>2799</v>
      </c>
      <c r="BB358" t="s">
        <v>2800</v>
      </c>
      <c r="BC358" t="s">
        <v>122</v>
      </c>
      <c r="BD358" t="s">
        <v>346</v>
      </c>
      <c r="BE358" t="s">
        <v>124</v>
      </c>
      <c r="BF358" t="s">
        <v>12250</v>
      </c>
      <c r="BG358" t="s">
        <v>21667</v>
      </c>
      <c r="BH358" t="s">
        <v>127</v>
      </c>
      <c r="BI358" t="s">
        <v>26594</v>
      </c>
      <c r="BJ358" t="s">
        <v>26595</v>
      </c>
      <c r="BK358" t="s">
        <v>26596</v>
      </c>
      <c r="BL358" t="s">
        <v>26592</v>
      </c>
      <c r="BM358" t="s">
        <v>349</v>
      </c>
      <c r="BN358" t="s">
        <v>350</v>
      </c>
      <c r="BO358" t="s">
        <v>351</v>
      </c>
      <c r="BP358" t="s">
        <v>352</v>
      </c>
      <c r="BQ358" t="s">
        <v>6249</v>
      </c>
      <c r="BS358" t="s">
        <v>26597</v>
      </c>
      <c r="BT358" t="s">
        <v>26598</v>
      </c>
      <c r="BU358" t="s">
        <v>138</v>
      </c>
      <c r="BV358" t="s">
        <v>26599</v>
      </c>
      <c r="BW358" t="s">
        <v>26600</v>
      </c>
      <c r="BX358" t="s">
        <v>26599</v>
      </c>
      <c r="BY358" t="s">
        <v>26598</v>
      </c>
      <c r="BZ358" t="s">
        <v>26599</v>
      </c>
      <c r="CA358" t="s">
        <v>26601</v>
      </c>
      <c r="CB358" t="s">
        <v>26598</v>
      </c>
      <c r="CC358" t="s">
        <v>26599</v>
      </c>
      <c r="CD358" t="s">
        <v>26601</v>
      </c>
      <c r="CE358" t="s">
        <v>12171</v>
      </c>
      <c r="CF358" t="s">
        <v>21899</v>
      </c>
      <c r="CG358" t="s">
        <v>26602</v>
      </c>
      <c r="CH358" t="s">
        <v>26603</v>
      </c>
      <c r="CI358" t="s">
        <v>21899</v>
      </c>
      <c r="CJ358" t="s">
        <v>2799</v>
      </c>
      <c r="CK358" t="s">
        <v>2800</v>
      </c>
      <c r="CL358" t="s">
        <v>26603</v>
      </c>
      <c r="CN358" t="s">
        <v>26604</v>
      </c>
      <c r="CO358" t="s">
        <v>26591</v>
      </c>
    </row>
    <row r="359" spans="1:93" hidden="1">
      <c r="A359" t="s">
        <v>93</v>
      </c>
      <c r="B359">
        <v>516721</v>
      </c>
      <c r="C359" t="s">
        <v>20963</v>
      </c>
      <c r="D359" t="s">
        <v>21661</v>
      </c>
      <c r="E359" t="s">
        <v>19723</v>
      </c>
      <c r="F359" t="s">
        <v>97</v>
      </c>
      <c r="G359" t="s">
        <v>98</v>
      </c>
      <c r="H359" t="s">
        <v>23314</v>
      </c>
      <c r="I359" t="s">
        <v>100</v>
      </c>
      <c r="J359">
        <v>340137</v>
      </c>
      <c r="K359">
        <v>340137</v>
      </c>
      <c r="L359">
        <v>340137</v>
      </c>
      <c r="M359">
        <v>420</v>
      </c>
      <c r="N359" t="s">
        <v>6750</v>
      </c>
      <c r="O359">
        <v>0</v>
      </c>
      <c r="P359">
        <v>0</v>
      </c>
      <c r="R359">
        <v>0</v>
      </c>
      <c r="S359">
        <v>0</v>
      </c>
      <c r="U359" t="s">
        <v>102</v>
      </c>
      <c r="V359" t="s">
        <v>103</v>
      </c>
      <c r="W359" t="s">
        <v>104</v>
      </c>
      <c r="Y359" t="s">
        <v>12250</v>
      </c>
      <c r="Z359" t="s">
        <v>23315</v>
      </c>
      <c r="AA359" t="s">
        <v>21665</v>
      </c>
      <c r="AB359" t="s">
        <v>23315</v>
      </c>
      <c r="AC359" t="s">
        <v>109</v>
      </c>
      <c r="AD359" t="s">
        <v>102</v>
      </c>
      <c r="AE359" t="s">
        <v>109</v>
      </c>
      <c r="AF359" t="s">
        <v>102</v>
      </c>
      <c r="AG359" t="s">
        <v>102</v>
      </c>
      <c r="AJ359" t="s">
        <v>23315</v>
      </c>
      <c r="AK359" t="s">
        <v>102</v>
      </c>
      <c r="AL359" t="s">
        <v>23315</v>
      </c>
      <c r="AM359" t="s">
        <v>23316</v>
      </c>
      <c r="AN359" t="s">
        <v>23316</v>
      </c>
      <c r="AS359" t="s">
        <v>318</v>
      </c>
      <c r="AT359" t="s">
        <v>118</v>
      </c>
      <c r="AU359" t="s">
        <v>102</v>
      </c>
      <c r="AV359" t="s">
        <v>119</v>
      </c>
      <c r="AZ359" t="s">
        <v>1242</v>
      </c>
      <c r="BA359" t="s">
        <v>6280</v>
      </c>
      <c r="BB359" t="s">
        <v>621</v>
      </c>
      <c r="BC359" t="s">
        <v>622</v>
      </c>
      <c r="BD359" t="s">
        <v>976</v>
      </c>
      <c r="BE359" t="s">
        <v>124</v>
      </c>
      <c r="BF359" t="s">
        <v>12250</v>
      </c>
      <c r="BG359" t="s">
        <v>21667</v>
      </c>
      <c r="BH359" t="s">
        <v>127</v>
      </c>
      <c r="BI359" t="s">
        <v>23317</v>
      </c>
      <c r="BJ359" t="s">
        <v>20971</v>
      </c>
      <c r="BK359" t="s">
        <v>23318</v>
      </c>
      <c r="BL359" t="s">
        <v>19723</v>
      </c>
      <c r="BM359" t="s">
        <v>2284</v>
      </c>
      <c r="BN359" t="s">
        <v>132</v>
      </c>
      <c r="BO359" t="s">
        <v>2285</v>
      </c>
      <c r="BP359" t="s">
        <v>2286</v>
      </c>
      <c r="BQ359" t="s">
        <v>1342</v>
      </c>
      <c r="BS359" t="s">
        <v>23319</v>
      </c>
      <c r="BT359" t="s">
        <v>23320</v>
      </c>
      <c r="BU359" t="s">
        <v>138</v>
      </c>
      <c r="BV359" t="s">
        <v>23321</v>
      </c>
      <c r="BW359" t="s">
        <v>20976</v>
      </c>
      <c r="BX359" t="s">
        <v>20977</v>
      </c>
      <c r="BY359" t="s">
        <v>23320</v>
      </c>
      <c r="BZ359" t="s">
        <v>23321</v>
      </c>
      <c r="CA359" t="s">
        <v>20976</v>
      </c>
      <c r="CB359" t="s">
        <v>23322</v>
      </c>
      <c r="CC359" t="s">
        <v>20975</v>
      </c>
      <c r="CD359" t="s">
        <v>20976</v>
      </c>
      <c r="CE359" t="s">
        <v>8793</v>
      </c>
      <c r="CF359" t="s">
        <v>20980</v>
      </c>
      <c r="CH359" t="s">
        <v>20981</v>
      </c>
      <c r="CI359" t="s">
        <v>20983</v>
      </c>
      <c r="CJ359" t="s">
        <v>6280</v>
      </c>
      <c r="CK359" t="s">
        <v>621</v>
      </c>
      <c r="CL359" t="s">
        <v>20981</v>
      </c>
      <c r="CM359" t="s">
        <v>20982</v>
      </c>
      <c r="CN359" t="s">
        <v>20983</v>
      </c>
      <c r="CO359" t="s">
        <v>20983</v>
      </c>
    </row>
    <row r="360" spans="1:93" hidden="1">
      <c r="A360" t="s">
        <v>149</v>
      </c>
      <c r="B360">
        <v>5184</v>
      </c>
      <c r="C360" t="s">
        <v>10864</v>
      </c>
      <c r="D360" t="s">
        <v>21661</v>
      </c>
      <c r="E360" t="s">
        <v>12859</v>
      </c>
      <c r="F360" t="s">
        <v>1746</v>
      </c>
      <c r="G360" t="s">
        <v>98</v>
      </c>
      <c r="H360" t="s">
        <v>23656</v>
      </c>
      <c r="I360" t="s">
        <v>100</v>
      </c>
      <c r="J360">
        <v>2365160</v>
      </c>
      <c r="K360">
        <v>2536860</v>
      </c>
      <c r="L360">
        <v>740942</v>
      </c>
      <c r="M360">
        <v>660</v>
      </c>
      <c r="N360" t="s">
        <v>23657</v>
      </c>
      <c r="O360">
        <v>670327</v>
      </c>
      <c r="P360">
        <v>262</v>
      </c>
      <c r="Q360" t="s">
        <v>23658</v>
      </c>
      <c r="R360">
        <v>953891</v>
      </c>
      <c r="S360">
        <v>611</v>
      </c>
      <c r="T360" t="s">
        <v>23659</v>
      </c>
      <c r="U360" t="s">
        <v>102</v>
      </c>
      <c r="V360" t="s">
        <v>103</v>
      </c>
      <c r="W360" t="s">
        <v>155</v>
      </c>
      <c r="Y360" t="s">
        <v>23046</v>
      </c>
      <c r="Z360" t="s">
        <v>23660</v>
      </c>
      <c r="AA360" t="s">
        <v>22459</v>
      </c>
      <c r="AB360" t="s">
        <v>23660</v>
      </c>
      <c r="AC360" t="s">
        <v>21828</v>
      </c>
      <c r="AD360" t="s">
        <v>23660</v>
      </c>
      <c r="AE360" t="s">
        <v>21687</v>
      </c>
      <c r="AF360" t="s">
        <v>23660</v>
      </c>
      <c r="AG360" t="s">
        <v>102</v>
      </c>
      <c r="AJ360" t="s">
        <v>102</v>
      </c>
      <c r="AK360" t="s">
        <v>102</v>
      </c>
      <c r="AL360" t="s">
        <v>102</v>
      </c>
      <c r="AM360" t="s">
        <v>23661</v>
      </c>
      <c r="AN360" t="s">
        <v>23661</v>
      </c>
      <c r="AS360" t="s">
        <v>318</v>
      </c>
      <c r="AT360" t="s">
        <v>118</v>
      </c>
      <c r="AU360" t="s">
        <v>1384</v>
      </c>
      <c r="AV360" t="s">
        <v>119</v>
      </c>
      <c r="AW360" t="s">
        <v>170</v>
      </c>
      <c r="AX360" t="s">
        <v>118</v>
      </c>
      <c r="AY360" t="s">
        <v>250</v>
      </c>
      <c r="AZ360" t="s">
        <v>171</v>
      </c>
      <c r="BA360" t="s">
        <v>920</v>
      </c>
      <c r="BB360" t="s">
        <v>211</v>
      </c>
      <c r="BC360" t="s">
        <v>212</v>
      </c>
      <c r="BD360" t="s">
        <v>213</v>
      </c>
      <c r="BE360" t="s">
        <v>124</v>
      </c>
      <c r="BF360" t="s">
        <v>19143</v>
      </c>
      <c r="BG360" t="s">
        <v>21806</v>
      </c>
      <c r="BH360" t="s">
        <v>127</v>
      </c>
      <c r="BI360" t="s">
        <v>23662</v>
      </c>
      <c r="BJ360" t="s">
        <v>10882</v>
      </c>
      <c r="BK360" t="s">
        <v>23663</v>
      </c>
      <c r="BL360" t="s">
        <v>12859</v>
      </c>
      <c r="BM360" t="s">
        <v>7108</v>
      </c>
      <c r="BN360" t="s">
        <v>180</v>
      </c>
      <c r="BO360" t="s">
        <v>7109</v>
      </c>
      <c r="BP360" t="s">
        <v>2151</v>
      </c>
      <c r="BQ360" t="s">
        <v>2151</v>
      </c>
      <c r="BS360" t="s">
        <v>23664</v>
      </c>
      <c r="BT360" t="s">
        <v>10885</v>
      </c>
      <c r="BU360" t="s">
        <v>138</v>
      </c>
      <c r="BV360" t="s">
        <v>10886</v>
      </c>
      <c r="BW360" t="s">
        <v>10887</v>
      </c>
      <c r="BX360" t="s">
        <v>10886</v>
      </c>
      <c r="BY360" t="s">
        <v>10885</v>
      </c>
      <c r="BZ360" t="s">
        <v>10886</v>
      </c>
      <c r="CA360" t="s">
        <v>23665</v>
      </c>
      <c r="CB360" t="s">
        <v>23666</v>
      </c>
      <c r="CC360" t="s">
        <v>23667</v>
      </c>
      <c r="CD360" t="s">
        <v>23665</v>
      </c>
      <c r="CE360" t="s">
        <v>102</v>
      </c>
      <c r="CF360" t="s">
        <v>10890</v>
      </c>
      <c r="CH360" t="s">
        <v>10891</v>
      </c>
      <c r="CJ360" t="s">
        <v>920</v>
      </c>
      <c r="CK360" t="s">
        <v>211</v>
      </c>
      <c r="CL360" t="s">
        <v>10891</v>
      </c>
      <c r="CM360" t="s">
        <v>10892</v>
      </c>
      <c r="CN360" t="s">
        <v>10890</v>
      </c>
      <c r="CO360" t="s">
        <v>10890</v>
      </c>
    </row>
    <row r="361" spans="1:93" hidden="1">
      <c r="A361" t="s">
        <v>149</v>
      </c>
      <c r="B361">
        <v>532393</v>
      </c>
      <c r="C361" t="s">
        <v>10986</v>
      </c>
      <c r="D361" t="s">
        <v>21661</v>
      </c>
      <c r="E361" t="s">
        <v>13344</v>
      </c>
      <c r="F361" t="s">
        <v>2044</v>
      </c>
      <c r="G361" t="s">
        <v>98</v>
      </c>
      <c r="H361" t="s">
        <v>23323</v>
      </c>
      <c r="I361" t="s">
        <v>100</v>
      </c>
      <c r="J361">
        <v>999095</v>
      </c>
      <c r="K361">
        <v>999095</v>
      </c>
      <c r="L361">
        <v>147892</v>
      </c>
      <c r="M361">
        <v>225</v>
      </c>
      <c r="N361" t="s">
        <v>23324</v>
      </c>
      <c r="O361">
        <v>851203</v>
      </c>
      <c r="P361">
        <v>555</v>
      </c>
      <c r="Q361" t="s">
        <v>7050</v>
      </c>
      <c r="R361">
        <v>0</v>
      </c>
      <c r="S361">
        <v>0</v>
      </c>
      <c r="U361" t="s">
        <v>102</v>
      </c>
      <c r="V361" t="s">
        <v>103</v>
      </c>
      <c r="W361" t="s">
        <v>155</v>
      </c>
      <c r="Y361" t="s">
        <v>12250</v>
      </c>
      <c r="Z361" t="s">
        <v>23325</v>
      </c>
      <c r="AA361" t="s">
        <v>21664</v>
      </c>
      <c r="AB361" t="s">
        <v>23325</v>
      </c>
      <c r="AC361" t="s">
        <v>22521</v>
      </c>
      <c r="AD361" t="s">
        <v>23325</v>
      </c>
      <c r="AE361" t="s">
        <v>21710</v>
      </c>
      <c r="AF361" t="s">
        <v>23325</v>
      </c>
      <c r="AG361" t="s">
        <v>102</v>
      </c>
      <c r="AJ361" t="s">
        <v>23325</v>
      </c>
      <c r="AK361" t="s">
        <v>102</v>
      </c>
      <c r="AL361" t="s">
        <v>23325</v>
      </c>
      <c r="AM361" t="s">
        <v>23326</v>
      </c>
      <c r="AN361" t="s">
        <v>23327</v>
      </c>
      <c r="AQ361" t="s">
        <v>169</v>
      </c>
      <c r="AR361" t="s">
        <v>169</v>
      </c>
      <c r="AS361" t="s">
        <v>318</v>
      </c>
      <c r="AT361" t="s">
        <v>118</v>
      </c>
      <c r="AU361" t="s">
        <v>155</v>
      </c>
      <c r="AV361" t="s">
        <v>447</v>
      </c>
      <c r="AW361" t="s">
        <v>170</v>
      </c>
      <c r="AX361" t="s">
        <v>118</v>
      </c>
      <c r="AZ361" t="s">
        <v>120</v>
      </c>
      <c r="BA361" t="s">
        <v>10993</v>
      </c>
      <c r="BB361" t="s">
        <v>320</v>
      </c>
      <c r="BC361" t="s">
        <v>122</v>
      </c>
      <c r="BD361" t="s">
        <v>123</v>
      </c>
      <c r="BE361" t="s">
        <v>124</v>
      </c>
      <c r="BF361" t="s">
        <v>12250</v>
      </c>
      <c r="BG361" t="s">
        <v>21667</v>
      </c>
      <c r="BH361" t="s">
        <v>127</v>
      </c>
      <c r="BI361" t="s">
        <v>23328</v>
      </c>
      <c r="BJ361" t="s">
        <v>10995</v>
      </c>
      <c r="BK361" t="s">
        <v>23329</v>
      </c>
      <c r="BL361" t="s">
        <v>13344</v>
      </c>
      <c r="BM361" t="s">
        <v>18467</v>
      </c>
      <c r="BN361" t="s">
        <v>350</v>
      </c>
      <c r="BO361" t="s">
        <v>18468</v>
      </c>
      <c r="BP361" t="s">
        <v>18469</v>
      </c>
      <c r="BQ361" t="s">
        <v>261</v>
      </c>
      <c r="BS361" t="s">
        <v>23330</v>
      </c>
      <c r="BT361" t="s">
        <v>10998</v>
      </c>
      <c r="BU361" t="s">
        <v>354</v>
      </c>
      <c r="BV361" t="s">
        <v>10999</v>
      </c>
      <c r="BW361" t="s">
        <v>11000</v>
      </c>
      <c r="BX361" t="s">
        <v>11001</v>
      </c>
      <c r="BY361" t="s">
        <v>11002</v>
      </c>
      <c r="BZ361" t="s">
        <v>11001</v>
      </c>
      <c r="CA361" t="s">
        <v>11003</v>
      </c>
      <c r="CB361" t="s">
        <v>11002</v>
      </c>
      <c r="CC361" t="s">
        <v>11001</v>
      </c>
      <c r="CD361" t="s">
        <v>11003</v>
      </c>
      <c r="CE361" t="s">
        <v>11006</v>
      </c>
      <c r="CF361" t="s">
        <v>21069</v>
      </c>
      <c r="CH361" t="s">
        <v>11008</v>
      </c>
      <c r="CI361" t="s">
        <v>21070</v>
      </c>
      <c r="CJ361" t="s">
        <v>10993</v>
      </c>
      <c r="CK361" t="s">
        <v>320</v>
      </c>
      <c r="CL361" t="s">
        <v>11008</v>
      </c>
      <c r="CM361" t="s">
        <v>11009</v>
      </c>
      <c r="CN361" t="s">
        <v>11007</v>
      </c>
      <c r="CO361" t="s">
        <v>11007</v>
      </c>
    </row>
    <row r="362" spans="1:93">
      <c r="A362" t="s">
        <v>337</v>
      </c>
      <c r="B362">
        <v>55823</v>
      </c>
      <c r="C362" t="s">
        <v>23331</v>
      </c>
      <c r="D362" t="s">
        <v>21661</v>
      </c>
      <c r="E362" t="s">
        <v>13245</v>
      </c>
      <c r="F362" t="s">
        <v>97</v>
      </c>
      <c r="G362" t="s">
        <v>98</v>
      </c>
      <c r="H362" t="s">
        <v>23332</v>
      </c>
      <c r="I362" t="s">
        <v>100</v>
      </c>
      <c r="J362">
        <v>594215</v>
      </c>
      <c r="K362">
        <v>594215</v>
      </c>
      <c r="L362">
        <v>594215</v>
      </c>
      <c r="M362">
        <v>849</v>
      </c>
      <c r="N362" t="s">
        <v>799</v>
      </c>
      <c r="O362">
        <v>0</v>
      </c>
      <c r="P362">
        <v>0</v>
      </c>
      <c r="R362">
        <v>0</v>
      </c>
      <c r="S362">
        <v>0</v>
      </c>
      <c r="U362" t="s">
        <v>102</v>
      </c>
      <c r="V362" t="s">
        <v>103</v>
      </c>
      <c r="W362" t="s">
        <v>155</v>
      </c>
      <c r="Y362" t="s">
        <v>12435</v>
      </c>
      <c r="Z362" t="s">
        <v>23333</v>
      </c>
      <c r="AA362" t="s">
        <v>12720</v>
      </c>
      <c r="AB362" t="s">
        <v>23333</v>
      </c>
      <c r="AC362" t="s">
        <v>22119</v>
      </c>
      <c r="AD362" t="s">
        <v>23333</v>
      </c>
      <c r="AE362" t="s">
        <v>21687</v>
      </c>
      <c r="AF362" t="s">
        <v>23333</v>
      </c>
      <c r="AG362" t="s">
        <v>102</v>
      </c>
      <c r="AH362" t="s">
        <v>13386</v>
      </c>
      <c r="AI362" t="s">
        <v>13386</v>
      </c>
      <c r="AJ362" t="s">
        <v>102</v>
      </c>
      <c r="AK362" t="s">
        <v>2555</v>
      </c>
      <c r="AL362" t="s">
        <v>22120</v>
      </c>
      <c r="AM362" t="s">
        <v>10612</v>
      </c>
      <c r="AN362" t="s">
        <v>10612</v>
      </c>
      <c r="AS362" t="s">
        <v>318</v>
      </c>
      <c r="AT362" t="s">
        <v>118</v>
      </c>
      <c r="AU362" t="s">
        <v>102</v>
      </c>
      <c r="AV362" t="s">
        <v>119</v>
      </c>
      <c r="AZ362" t="s">
        <v>120</v>
      </c>
      <c r="BA362" t="s">
        <v>12104</v>
      </c>
      <c r="BB362" t="s">
        <v>1208</v>
      </c>
      <c r="BC362" t="s">
        <v>174</v>
      </c>
      <c r="BD362" t="s">
        <v>1172</v>
      </c>
      <c r="BE362" t="s">
        <v>124</v>
      </c>
      <c r="BF362" t="s">
        <v>12250</v>
      </c>
      <c r="BG362" t="s">
        <v>21667</v>
      </c>
      <c r="BH362" t="s">
        <v>127</v>
      </c>
      <c r="BI362" t="s">
        <v>23334</v>
      </c>
      <c r="BJ362" t="s">
        <v>23335</v>
      </c>
      <c r="BK362" t="s">
        <v>23336</v>
      </c>
      <c r="BL362" t="s">
        <v>13245</v>
      </c>
      <c r="BM362" t="s">
        <v>7512</v>
      </c>
      <c r="BN362" t="s">
        <v>180</v>
      </c>
      <c r="BO362" t="s">
        <v>7513</v>
      </c>
      <c r="BP362" t="s">
        <v>7514</v>
      </c>
      <c r="BQ362" t="s">
        <v>7515</v>
      </c>
      <c r="BS362" t="s">
        <v>23337</v>
      </c>
      <c r="BT362" t="s">
        <v>23338</v>
      </c>
      <c r="BU362" t="s">
        <v>138</v>
      </c>
      <c r="BV362" t="s">
        <v>23339</v>
      </c>
      <c r="BW362" t="s">
        <v>23340</v>
      </c>
      <c r="BX362" t="s">
        <v>23339</v>
      </c>
      <c r="BY362" t="s">
        <v>23338</v>
      </c>
      <c r="BZ362" t="s">
        <v>23339</v>
      </c>
      <c r="CA362" t="s">
        <v>23340</v>
      </c>
      <c r="CB362" t="s">
        <v>23338</v>
      </c>
      <c r="CC362" t="s">
        <v>23339</v>
      </c>
      <c r="CD362" t="s">
        <v>23340</v>
      </c>
      <c r="CE362" t="s">
        <v>18544</v>
      </c>
      <c r="CF362" t="s">
        <v>23341</v>
      </c>
      <c r="CH362" t="s">
        <v>23342</v>
      </c>
      <c r="CJ362" t="s">
        <v>12104</v>
      </c>
      <c r="CK362" t="s">
        <v>1208</v>
      </c>
      <c r="CL362" t="s">
        <v>23342</v>
      </c>
      <c r="CN362" t="s">
        <v>23343</v>
      </c>
      <c r="CO362" t="s">
        <v>23343</v>
      </c>
    </row>
    <row r="363" spans="1:93" hidden="1">
      <c r="A363" t="s">
        <v>149</v>
      </c>
      <c r="B363">
        <v>559045</v>
      </c>
      <c r="C363" t="s">
        <v>11124</v>
      </c>
      <c r="D363" t="s">
        <v>21661</v>
      </c>
      <c r="E363" t="s">
        <v>26307</v>
      </c>
      <c r="F363" t="s">
        <v>193</v>
      </c>
      <c r="G363" t="s">
        <v>98</v>
      </c>
      <c r="H363" t="s">
        <v>26308</v>
      </c>
      <c r="I363" t="s">
        <v>100</v>
      </c>
      <c r="J363">
        <v>1028968</v>
      </c>
      <c r="K363">
        <v>1104614</v>
      </c>
      <c r="L363">
        <v>608710</v>
      </c>
      <c r="M363">
        <v>627</v>
      </c>
      <c r="N363" t="s">
        <v>13650</v>
      </c>
      <c r="O363">
        <v>0</v>
      </c>
      <c r="P363">
        <v>0</v>
      </c>
      <c r="R363">
        <v>420258</v>
      </c>
      <c r="S363">
        <v>158</v>
      </c>
      <c r="T363" t="s">
        <v>13651</v>
      </c>
      <c r="U363" t="s">
        <v>102</v>
      </c>
      <c r="V363" t="s">
        <v>103</v>
      </c>
      <c r="W363" t="s">
        <v>155</v>
      </c>
      <c r="Y363" t="s">
        <v>21805</v>
      </c>
      <c r="Z363" t="s">
        <v>26309</v>
      </c>
      <c r="AA363" t="s">
        <v>21664</v>
      </c>
      <c r="AB363" t="s">
        <v>26309</v>
      </c>
      <c r="AC363" t="s">
        <v>21665</v>
      </c>
      <c r="AD363" t="s">
        <v>26309</v>
      </c>
      <c r="AE363" t="s">
        <v>21710</v>
      </c>
      <c r="AF363" t="s">
        <v>26309</v>
      </c>
      <c r="AG363" t="s">
        <v>102</v>
      </c>
      <c r="AJ363" t="s">
        <v>102</v>
      </c>
      <c r="AK363" t="s">
        <v>102</v>
      </c>
      <c r="AL363" t="s">
        <v>102</v>
      </c>
      <c r="AM363" t="s">
        <v>26310</v>
      </c>
      <c r="AN363" t="s">
        <v>26310</v>
      </c>
      <c r="AS363" t="s">
        <v>207</v>
      </c>
      <c r="AT363" t="s">
        <v>118</v>
      </c>
      <c r="AU363" t="s">
        <v>102</v>
      </c>
      <c r="AV363" t="s">
        <v>119</v>
      </c>
      <c r="AY363" t="s">
        <v>250</v>
      </c>
      <c r="AZ363" t="s">
        <v>120</v>
      </c>
      <c r="BA363" t="s">
        <v>4153</v>
      </c>
      <c r="BB363" t="s">
        <v>320</v>
      </c>
      <c r="BC363" t="s">
        <v>122</v>
      </c>
      <c r="BD363" t="s">
        <v>123</v>
      </c>
      <c r="BE363" t="s">
        <v>124</v>
      </c>
      <c r="BF363" t="s">
        <v>25846</v>
      </c>
      <c r="BG363" t="s">
        <v>25847</v>
      </c>
      <c r="BH363" t="s">
        <v>127</v>
      </c>
      <c r="BI363" t="s">
        <v>26311</v>
      </c>
      <c r="BJ363" t="s">
        <v>11133</v>
      </c>
      <c r="BK363" t="s">
        <v>26312</v>
      </c>
      <c r="BL363" t="s">
        <v>26307</v>
      </c>
      <c r="BM363" t="s">
        <v>3267</v>
      </c>
      <c r="BN363" t="s">
        <v>350</v>
      </c>
      <c r="BO363" t="s">
        <v>3268</v>
      </c>
      <c r="BP363" t="s">
        <v>3269</v>
      </c>
      <c r="BQ363" t="s">
        <v>135</v>
      </c>
      <c r="BS363" t="s">
        <v>26313</v>
      </c>
      <c r="BT363" t="s">
        <v>25851</v>
      </c>
      <c r="BU363" t="s">
        <v>296</v>
      </c>
      <c r="BV363" t="s">
        <v>25852</v>
      </c>
      <c r="BW363" t="s">
        <v>25853</v>
      </c>
      <c r="BX363" t="s">
        <v>11136</v>
      </c>
      <c r="BY363" t="s">
        <v>21127</v>
      </c>
      <c r="BZ363" t="s">
        <v>26314</v>
      </c>
      <c r="CA363" t="s">
        <v>25853</v>
      </c>
      <c r="CB363" t="s">
        <v>25851</v>
      </c>
      <c r="CC363" t="s">
        <v>25852</v>
      </c>
      <c r="CD363" t="s">
        <v>25853</v>
      </c>
      <c r="CE363" t="s">
        <v>102</v>
      </c>
      <c r="CF363" t="s">
        <v>11124</v>
      </c>
      <c r="CH363" t="s">
        <v>5161</v>
      </c>
      <c r="CJ363" t="s">
        <v>4153</v>
      </c>
      <c r="CK363" t="s">
        <v>320</v>
      </c>
      <c r="CL363" t="s">
        <v>5161</v>
      </c>
      <c r="CM363" t="s">
        <v>3178</v>
      </c>
      <c r="CN363" t="s">
        <v>11142</v>
      </c>
      <c r="CO363" t="s">
        <v>11142</v>
      </c>
    </row>
    <row r="364" spans="1:93" hidden="1">
      <c r="A364" t="s">
        <v>149</v>
      </c>
      <c r="B364">
        <v>562911</v>
      </c>
      <c r="C364" t="s">
        <v>11156</v>
      </c>
      <c r="D364" t="s">
        <v>21661</v>
      </c>
      <c r="E364" t="s">
        <v>13344</v>
      </c>
      <c r="F364" t="s">
        <v>193</v>
      </c>
      <c r="G364" t="s">
        <v>98</v>
      </c>
      <c r="H364" t="s">
        <v>23344</v>
      </c>
      <c r="I364" t="s">
        <v>100</v>
      </c>
      <c r="J364">
        <v>1792583</v>
      </c>
      <c r="K364">
        <v>2033893</v>
      </c>
      <c r="L364">
        <v>451972</v>
      </c>
      <c r="M364">
        <v>565</v>
      </c>
      <c r="N364" t="s">
        <v>1297</v>
      </c>
      <c r="O364">
        <v>0</v>
      </c>
      <c r="P364">
        <v>0</v>
      </c>
      <c r="R364">
        <v>1340611</v>
      </c>
      <c r="S364">
        <v>565</v>
      </c>
      <c r="T364" t="s">
        <v>11158</v>
      </c>
      <c r="U364" t="s">
        <v>102</v>
      </c>
      <c r="V364" t="s">
        <v>103</v>
      </c>
      <c r="W364" t="s">
        <v>155</v>
      </c>
      <c r="Y364" t="s">
        <v>21857</v>
      </c>
      <c r="Z364" t="s">
        <v>23345</v>
      </c>
      <c r="AA364" t="s">
        <v>21826</v>
      </c>
      <c r="AB364" t="s">
        <v>23345</v>
      </c>
      <c r="AC364" t="s">
        <v>21828</v>
      </c>
      <c r="AD364" t="s">
        <v>23345</v>
      </c>
      <c r="AE364" t="s">
        <v>21687</v>
      </c>
      <c r="AF364" t="s">
        <v>23345</v>
      </c>
      <c r="AG364" t="s">
        <v>26026</v>
      </c>
      <c r="AH364" t="s">
        <v>25697</v>
      </c>
      <c r="AI364" t="s">
        <v>25697</v>
      </c>
      <c r="AJ364" t="s">
        <v>23345</v>
      </c>
      <c r="AK364" t="s">
        <v>26027</v>
      </c>
      <c r="AL364" t="s">
        <v>102</v>
      </c>
      <c r="AM364" t="s">
        <v>23346</v>
      </c>
      <c r="AN364" t="s">
        <v>23346</v>
      </c>
      <c r="AS364" t="s">
        <v>247</v>
      </c>
      <c r="AT364" t="s">
        <v>118</v>
      </c>
      <c r="AU364" t="s">
        <v>102</v>
      </c>
      <c r="AV364" t="s">
        <v>119</v>
      </c>
      <c r="AY364" t="s">
        <v>250</v>
      </c>
      <c r="AZ364" t="s">
        <v>120</v>
      </c>
      <c r="BA364" t="s">
        <v>121</v>
      </c>
      <c r="BB364" t="s">
        <v>121</v>
      </c>
      <c r="BC364" t="s">
        <v>122</v>
      </c>
      <c r="BD364" t="s">
        <v>123</v>
      </c>
      <c r="BE364" t="s">
        <v>124</v>
      </c>
      <c r="BF364" t="s">
        <v>12250</v>
      </c>
      <c r="BG364" t="s">
        <v>21667</v>
      </c>
      <c r="BH364" t="s">
        <v>127</v>
      </c>
      <c r="BI364" t="s">
        <v>23347</v>
      </c>
      <c r="BJ364" t="s">
        <v>11169</v>
      </c>
      <c r="BK364" t="s">
        <v>23348</v>
      </c>
      <c r="BL364" t="s">
        <v>13344</v>
      </c>
      <c r="BM364" t="s">
        <v>8788</v>
      </c>
      <c r="BN364" t="s">
        <v>350</v>
      </c>
      <c r="BO364" t="s">
        <v>8789</v>
      </c>
      <c r="BP364" t="s">
        <v>8790</v>
      </c>
      <c r="BQ364" t="s">
        <v>1006</v>
      </c>
      <c r="BS364" t="s">
        <v>23349</v>
      </c>
      <c r="BT364" t="s">
        <v>21157</v>
      </c>
      <c r="BU364" t="s">
        <v>569</v>
      </c>
      <c r="BV364" t="s">
        <v>21158</v>
      </c>
      <c r="BW364" t="s">
        <v>11174</v>
      </c>
      <c r="BX364" t="s">
        <v>11175</v>
      </c>
      <c r="BY364" t="s">
        <v>23350</v>
      </c>
      <c r="BZ364" t="s">
        <v>23351</v>
      </c>
      <c r="CA364" t="s">
        <v>11174</v>
      </c>
      <c r="CB364" t="s">
        <v>11178</v>
      </c>
      <c r="CC364" t="s">
        <v>11179</v>
      </c>
      <c r="CD364" t="s">
        <v>11180</v>
      </c>
      <c r="CE364" t="s">
        <v>102</v>
      </c>
      <c r="CF364" t="s">
        <v>21161</v>
      </c>
      <c r="CH364" t="s">
        <v>7014</v>
      </c>
      <c r="CJ364" t="s">
        <v>121</v>
      </c>
      <c r="CK364" t="s">
        <v>121</v>
      </c>
      <c r="CL364" t="s">
        <v>7014</v>
      </c>
      <c r="CM364" t="s">
        <v>11182</v>
      </c>
      <c r="CN364" t="s">
        <v>11181</v>
      </c>
      <c r="CO364" t="s">
        <v>11181</v>
      </c>
    </row>
    <row r="365" spans="1:93" hidden="1">
      <c r="A365" t="s">
        <v>149</v>
      </c>
      <c r="B365">
        <v>579462</v>
      </c>
      <c r="C365" t="s">
        <v>21162</v>
      </c>
      <c r="D365" t="s">
        <v>21661</v>
      </c>
      <c r="E365" t="s">
        <v>13486</v>
      </c>
      <c r="F365" t="s">
        <v>97</v>
      </c>
      <c r="G365" t="s">
        <v>98</v>
      </c>
      <c r="H365" t="s">
        <v>23353</v>
      </c>
      <c r="I365" t="s">
        <v>100</v>
      </c>
      <c r="J365">
        <v>273900</v>
      </c>
      <c r="K365">
        <v>273900</v>
      </c>
      <c r="L365">
        <v>273900</v>
      </c>
      <c r="M365">
        <v>332</v>
      </c>
      <c r="N365" t="s">
        <v>3811</v>
      </c>
      <c r="O365">
        <v>0</v>
      </c>
      <c r="P365">
        <v>0</v>
      </c>
      <c r="R365">
        <v>0</v>
      </c>
      <c r="S365">
        <v>0</v>
      </c>
      <c r="U365" t="s">
        <v>102</v>
      </c>
      <c r="V365" t="s">
        <v>103</v>
      </c>
      <c r="W365" t="s">
        <v>104</v>
      </c>
      <c r="Y365" t="s">
        <v>13486</v>
      </c>
      <c r="Z365" t="s">
        <v>23354</v>
      </c>
      <c r="AA365" t="s">
        <v>19143</v>
      </c>
      <c r="AB365" t="s">
        <v>23355</v>
      </c>
      <c r="AC365" t="s">
        <v>109</v>
      </c>
      <c r="AD365" t="s">
        <v>102</v>
      </c>
      <c r="AE365" t="s">
        <v>109</v>
      </c>
      <c r="AF365" t="s">
        <v>102</v>
      </c>
      <c r="AG365" t="s">
        <v>102</v>
      </c>
      <c r="AJ365" t="s">
        <v>23354</v>
      </c>
      <c r="AK365" t="s">
        <v>102</v>
      </c>
      <c r="AL365" t="s">
        <v>23354</v>
      </c>
      <c r="AM365" t="s">
        <v>1826</v>
      </c>
      <c r="AN365" t="s">
        <v>1826</v>
      </c>
      <c r="AS365" t="s">
        <v>318</v>
      </c>
      <c r="AT365" t="s">
        <v>118</v>
      </c>
      <c r="AU365" t="s">
        <v>102</v>
      </c>
      <c r="AV365" t="s">
        <v>119</v>
      </c>
      <c r="AZ365" t="s">
        <v>171</v>
      </c>
      <c r="BA365" t="s">
        <v>6280</v>
      </c>
      <c r="BB365" t="s">
        <v>621</v>
      </c>
      <c r="BC365" t="s">
        <v>622</v>
      </c>
      <c r="BD365" t="s">
        <v>976</v>
      </c>
      <c r="BE365" t="s">
        <v>124</v>
      </c>
      <c r="BF365" t="s">
        <v>12250</v>
      </c>
      <c r="BG365" t="s">
        <v>21667</v>
      </c>
      <c r="BH365" t="s">
        <v>127</v>
      </c>
      <c r="BI365" t="s">
        <v>23356</v>
      </c>
      <c r="BJ365" t="s">
        <v>11196</v>
      </c>
      <c r="BK365" t="s">
        <v>23357</v>
      </c>
      <c r="BL365" t="s">
        <v>13486</v>
      </c>
      <c r="BM365" t="s">
        <v>629</v>
      </c>
      <c r="BN365" t="s">
        <v>132</v>
      </c>
      <c r="BO365" t="s">
        <v>630</v>
      </c>
      <c r="BP365" t="s">
        <v>631</v>
      </c>
      <c r="BQ365" t="s">
        <v>1342</v>
      </c>
      <c r="BS365" t="s">
        <v>23358</v>
      </c>
      <c r="BT365" t="s">
        <v>22353</v>
      </c>
      <c r="BU365" t="s">
        <v>138</v>
      </c>
      <c r="BV365" t="s">
        <v>6286</v>
      </c>
      <c r="BW365" t="s">
        <v>6287</v>
      </c>
      <c r="BX365" t="s">
        <v>11199</v>
      </c>
      <c r="BY365" t="s">
        <v>22353</v>
      </c>
      <c r="BZ365" t="s">
        <v>6286</v>
      </c>
      <c r="CA365" t="s">
        <v>6287</v>
      </c>
      <c r="CB365" t="s">
        <v>23359</v>
      </c>
      <c r="CC365" t="s">
        <v>16201</v>
      </c>
      <c r="CD365" t="s">
        <v>23360</v>
      </c>
      <c r="CE365" t="s">
        <v>5811</v>
      </c>
      <c r="CF365" t="s">
        <v>21180</v>
      </c>
      <c r="CH365" t="s">
        <v>8522</v>
      </c>
      <c r="CI365" t="s">
        <v>21180</v>
      </c>
      <c r="CJ365" t="s">
        <v>6280</v>
      </c>
      <c r="CK365" t="s">
        <v>621</v>
      </c>
      <c r="CL365" t="s">
        <v>8522</v>
      </c>
      <c r="CM365" t="s">
        <v>6293</v>
      </c>
      <c r="CN365" t="s">
        <v>11204</v>
      </c>
      <c r="CO365" t="s">
        <v>11204</v>
      </c>
    </row>
    <row r="366" spans="1:93">
      <c r="A366" t="s">
        <v>337</v>
      </c>
      <c r="B366">
        <v>582924</v>
      </c>
      <c r="C366" t="s">
        <v>26315</v>
      </c>
      <c r="D366" t="s">
        <v>21661</v>
      </c>
      <c r="E366" t="s">
        <v>16553</v>
      </c>
      <c r="F366" t="s">
        <v>97</v>
      </c>
      <c r="G366" t="s">
        <v>98</v>
      </c>
      <c r="H366" t="s">
        <v>26316</v>
      </c>
      <c r="I366" t="s">
        <v>100</v>
      </c>
      <c r="J366">
        <v>260160</v>
      </c>
      <c r="K366">
        <v>260160</v>
      </c>
      <c r="L366">
        <v>260160</v>
      </c>
      <c r="M366">
        <v>271</v>
      </c>
      <c r="N366" t="s">
        <v>26317</v>
      </c>
      <c r="O366">
        <v>0</v>
      </c>
      <c r="P366">
        <v>0</v>
      </c>
      <c r="R366">
        <v>0</v>
      </c>
      <c r="S366">
        <v>0</v>
      </c>
      <c r="U366" t="s">
        <v>102</v>
      </c>
      <c r="V366" t="s">
        <v>103</v>
      </c>
      <c r="W366" t="s">
        <v>104</v>
      </c>
      <c r="Y366" t="s">
        <v>16553</v>
      </c>
      <c r="Z366" t="s">
        <v>26318</v>
      </c>
      <c r="AA366" t="s">
        <v>24577</v>
      </c>
      <c r="AB366" t="s">
        <v>26318</v>
      </c>
      <c r="AC366" t="s">
        <v>109</v>
      </c>
      <c r="AD366" t="s">
        <v>102</v>
      </c>
      <c r="AE366" t="s">
        <v>109</v>
      </c>
      <c r="AF366" t="s">
        <v>102</v>
      </c>
      <c r="AG366" t="s">
        <v>102</v>
      </c>
      <c r="AJ366" t="s">
        <v>26318</v>
      </c>
      <c r="AK366" t="s">
        <v>102</v>
      </c>
      <c r="AL366" t="s">
        <v>26318</v>
      </c>
      <c r="AM366" t="s">
        <v>890</v>
      </c>
      <c r="AN366" t="s">
        <v>890</v>
      </c>
      <c r="AS366" t="s">
        <v>318</v>
      </c>
      <c r="AT366" t="s">
        <v>250</v>
      </c>
      <c r="AU366" t="s">
        <v>102</v>
      </c>
      <c r="AV366" t="s">
        <v>119</v>
      </c>
      <c r="AZ366" t="s">
        <v>8521</v>
      </c>
      <c r="BA366" t="s">
        <v>26319</v>
      </c>
      <c r="BB366" t="s">
        <v>15570</v>
      </c>
      <c r="BC366" t="s">
        <v>212</v>
      </c>
      <c r="BD366" t="s">
        <v>213</v>
      </c>
      <c r="BE366" t="s">
        <v>124</v>
      </c>
      <c r="BF366" t="s">
        <v>12250</v>
      </c>
      <c r="BG366" t="s">
        <v>21667</v>
      </c>
      <c r="BH366" t="s">
        <v>127</v>
      </c>
      <c r="BI366" t="s">
        <v>26320</v>
      </c>
      <c r="BJ366" t="s">
        <v>26321</v>
      </c>
      <c r="BK366" t="s">
        <v>26322</v>
      </c>
      <c r="BL366" t="s">
        <v>16553</v>
      </c>
      <c r="BM366" t="s">
        <v>19633</v>
      </c>
      <c r="BN366" t="s">
        <v>180</v>
      </c>
      <c r="BO366" t="s">
        <v>19634</v>
      </c>
      <c r="BP366" t="s">
        <v>19635</v>
      </c>
      <c r="BQ366" t="s">
        <v>2463</v>
      </c>
      <c r="BR366" t="s">
        <v>15159</v>
      </c>
      <c r="BS366" t="s">
        <v>26323</v>
      </c>
      <c r="BT366" t="s">
        <v>26324</v>
      </c>
      <c r="BU366" t="s">
        <v>598</v>
      </c>
      <c r="BV366" t="s">
        <v>26325</v>
      </c>
      <c r="BW366" t="s">
        <v>26326</v>
      </c>
      <c r="BX366" t="s">
        <v>26327</v>
      </c>
      <c r="BY366" t="s">
        <v>26328</v>
      </c>
      <c r="BZ366" t="s">
        <v>26329</v>
      </c>
      <c r="CA366" t="s">
        <v>26330</v>
      </c>
      <c r="CB366" t="s">
        <v>26331</v>
      </c>
      <c r="CC366" t="s">
        <v>26332</v>
      </c>
      <c r="CD366" t="s">
        <v>26326</v>
      </c>
      <c r="CE366" t="s">
        <v>5842</v>
      </c>
      <c r="CF366" t="s">
        <v>26333</v>
      </c>
      <c r="CH366" t="s">
        <v>26334</v>
      </c>
      <c r="CI366" t="s">
        <v>26335</v>
      </c>
      <c r="CJ366" t="s">
        <v>26319</v>
      </c>
      <c r="CK366" t="s">
        <v>15570</v>
      </c>
      <c r="CL366" t="s">
        <v>26334</v>
      </c>
      <c r="CN366" t="s">
        <v>26335</v>
      </c>
      <c r="CO366" t="s">
        <v>26335</v>
      </c>
    </row>
    <row r="367" spans="1:93" hidden="1">
      <c r="A367" t="s">
        <v>149</v>
      </c>
      <c r="B367">
        <v>598546</v>
      </c>
      <c r="C367" t="s">
        <v>11241</v>
      </c>
      <c r="D367" t="s">
        <v>21661</v>
      </c>
      <c r="E367" t="s">
        <v>12470</v>
      </c>
      <c r="F367" t="s">
        <v>2163</v>
      </c>
      <c r="G367" t="s">
        <v>98</v>
      </c>
      <c r="H367" t="s">
        <v>23361</v>
      </c>
      <c r="I367" t="s">
        <v>100</v>
      </c>
      <c r="J367">
        <v>1516939</v>
      </c>
      <c r="K367">
        <v>1692827</v>
      </c>
      <c r="L367">
        <v>385092</v>
      </c>
      <c r="M367">
        <v>389</v>
      </c>
      <c r="N367" t="s">
        <v>4025</v>
      </c>
      <c r="O367">
        <v>154691</v>
      </c>
      <c r="P367">
        <v>119</v>
      </c>
      <c r="Q367" t="s">
        <v>8534</v>
      </c>
      <c r="R367">
        <v>977156</v>
      </c>
      <c r="S367">
        <v>270</v>
      </c>
      <c r="T367" t="s">
        <v>21195</v>
      </c>
      <c r="U367" t="s">
        <v>102</v>
      </c>
      <c r="V367" t="s">
        <v>275</v>
      </c>
      <c r="X367" t="s">
        <v>23362</v>
      </c>
      <c r="Y367" t="s">
        <v>109</v>
      </c>
      <c r="Z367" t="s">
        <v>102</v>
      </c>
      <c r="AA367" t="s">
        <v>109</v>
      </c>
      <c r="AB367" t="s">
        <v>102</v>
      </c>
      <c r="AC367" t="s">
        <v>109</v>
      </c>
      <c r="AD367" t="s">
        <v>102</v>
      </c>
      <c r="AE367" t="s">
        <v>109</v>
      </c>
      <c r="AF367" t="s">
        <v>102</v>
      </c>
      <c r="AG367" t="s">
        <v>102</v>
      </c>
      <c r="AH367" t="s">
        <v>11933</v>
      </c>
      <c r="AI367" t="s">
        <v>23979</v>
      </c>
      <c r="AJ367" t="s">
        <v>23363</v>
      </c>
      <c r="AK367" t="s">
        <v>23980</v>
      </c>
      <c r="AL367" t="s">
        <v>23981</v>
      </c>
      <c r="AM367" t="s">
        <v>23364</v>
      </c>
      <c r="AN367" t="s">
        <v>23365</v>
      </c>
      <c r="AO367" t="s">
        <v>343</v>
      </c>
      <c r="AS367" t="s">
        <v>247</v>
      </c>
      <c r="AT367" t="s">
        <v>118</v>
      </c>
      <c r="AU367" t="s">
        <v>102</v>
      </c>
      <c r="AV367" t="s">
        <v>249</v>
      </c>
      <c r="AW367" t="s">
        <v>170</v>
      </c>
      <c r="AX367" t="s">
        <v>118</v>
      </c>
      <c r="AY367" t="s">
        <v>250</v>
      </c>
      <c r="AZ367" t="s">
        <v>209</v>
      </c>
      <c r="BA367" t="s">
        <v>5878</v>
      </c>
      <c r="BB367" t="s">
        <v>5879</v>
      </c>
      <c r="BC367" t="s">
        <v>174</v>
      </c>
      <c r="BD367" t="s">
        <v>4405</v>
      </c>
      <c r="BE367" t="s">
        <v>124</v>
      </c>
      <c r="BF367" t="s">
        <v>23366</v>
      </c>
      <c r="BG367" t="s">
        <v>23668</v>
      </c>
      <c r="BH367" t="s">
        <v>127</v>
      </c>
      <c r="BI367" t="s">
        <v>23367</v>
      </c>
      <c r="BJ367" t="s">
        <v>11254</v>
      </c>
      <c r="BK367" t="s">
        <v>23368</v>
      </c>
      <c r="BL367" t="s">
        <v>12470</v>
      </c>
      <c r="BM367" t="s">
        <v>1108</v>
      </c>
      <c r="BN367" t="s">
        <v>180</v>
      </c>
      <c r="BO367" t="s">
        <v>1109</v>
      </c>
      <c r="BP367" t="s">
        <v>1110</v>
      </c>
      <c r="BQ367" t="s">
        <v>4413</v>
      </c>
      <c r="BS367" t="s">
        <v>23369</v>
      </c>
      <c r="BT367" t="s">
        <v>21206</v>
      </c>
      <c r="BU367" t="s">
        <v>138</v>
      </c>
      <c r="BV367" t="s">
        <v>11261</v>
      </c>
      <c r="BW367" t="s">
        <v>11259</v>
      </c>
      <c r="BX367" t="s">
        <v>11258</v>
      </c>
      <c r="BY367" t="s">
        <v>21206</v>
      </c>
      <c r="BZ367" t="s">
        <v>11261</v>
      </c>
      <c r="CA367" t="s">
        <v>11259</v>
      </c>
      <c r="CB367" t="s">
        <v>21206</v>
      </c>
      <c r="CC367" t="s">
        <v>11261</v>
      </c>
      <c r="CD367" t="s">
        <v>11259</v>
      </c>
      <c r="CE367" t="s">
        <v>102</v>
      </c>
      <c r="CF367" t="s">
        <v>21210</v>
      </c>
      <c r="CH367" t="s">
        <v>5889</v>
      </c>
      <c r="CJ367" t="s">
        <v>5878</v>
      </c>
      <c r="CK367" t="s">
        <v>5879</v>
      </c>
      <c r="CL367" t="s">
        <v>5889</v>
      </c>
      <c r="CN367" t="s">
        <v>11265</v>
      </c>
      <c r="CO367" t="s">
        <v>11264</v>
      </c>
    </row>
    <row r="368" spans="1:93" hidden="1">
      <c r="A368" t="s">
        <v>149</v>
      </c>
      <c r="B368">
        <v>60573</v>
      </c>
      <c r="C368" t="s">
        <v>11280</v>
      </c>
      <c r="D368" t="s">
        <v>21661</v>
      </c>
      <c r="E368" t="s">
        <v>16558</v>
      </c>
      <c r="F368" t="s">
        <v>97</v>
      </c>
      <c r="G368" t="s">
        <v>98</v>
      </c>
      <c r="H368" t="s">
        <v>23982</v>
      </c>
      <c r="I368" t="s">
        <v>100</v>
      </c>
      <c r="J368">
        <v>268062</v>
      </c>
      <c r="K368">
        <v>268062</v>
      </c>
      <c r="L368">
        <v>268062</v>
      </c>
      <c r="M368">
        <v>383</v>
      </c>
      <c r="N368" t="s">
        <v>799</v>
      </c>
      <c r="O368">
        <v>0</v>
      </c>
      <c r="P368">
        <v>0</v>
      </c>
      <c r="R368">
        <v>0</v>
      </c>
      <c r="S368">
        <v>0</v>
      </c>
      <c r="U368" t="s">
        <v>102</v>
      </c>
      <c r="V368" t="s">
        <v>275</v>
      </c>
      <c r="X368" t="s">
        <v>23352</v>
      </c>
      <c r="Y368" t="s">
        <v>109</v>
      </c>
      <c r="Z368" t="s">
        <v>102</v>
      </c>
      <c r="AA368" t="s">
        <v>109</v>
      </c>
      <c r="AB368" t="s">
        <v>102</v>
      </c>
      <c r="AC368" t="s">
        <v>109</v>
      </c>
      <c r="AD368" t="s">
        <v>102</v>
      </c>
      <c r="AE368" t="s">
        <v>109</v>
      </c>
      <c r="AF368" t="s">
        <v>102</v>
      </c>
      <c r="AG368" t="s">
        <v>102</v>
      </c>
      <c r="AJ368" t="s">
        <v>102</v>
      </c>
      <c r="AK368" t="s">
        <v>102</v>
      </c>
      <c r="AL368" t="s">
        <v>102</v>
      </c>
      <c r="AM368" t="s">
        <v>10612</v>
      </c>
      <c r="AN368" t="s">
        <v>10612</v>
      </c>
      <c r="AS368" t="s">
        <v>117</v>
      </c>
      <c r="AT368" t="s">
        <v>118</v>
      </c>
      <c r="AU368" t="s">
        <v>102</v>
      </c>
      <c r="AV368" t="s">
        <v>119</v>
      </c>
      <c r="AZ368" t="s">
        <v>120</v>
      </c>
      <c r="BA368" t="s">
        <v>2204</v>
      </c>
      <c r="BB368" t="s">
        <v>121</v>
      </c>
      <c r="BC368" t="s">
        <v>122</v>
      </c>
      <c r="BD368" t="s">
        <v>123</v>
      </c>
      <c r="BE368" t="s">
        <v>124</v>
      </c>
      <c r="BF368" t="s">
        <v>12250</v>
      </c>
      <c r="BG368" t="s">
        <v>21667</v>
      </c>
      <c r="BH368" t="s">
        <v>127</v>
      </c>
      <c r="BI368" t="s">
        <v>23983</v>
      </c>
      <c r="BJ368" t="s">
        <v>11286</v>
      </c>
      <c r="BK368" t="s">
        <v>23984</v>
      </c>
      <c r="BL368" t="s">
        <v>16558</v>
      </c>
      <c r="BM368" t="s">
        <v>8788</v>
      </c>
      <c r="BN368" t="s">
        <v>350</v>
      </c>
      <c r="BO368" t="s">
        <v>8789</v>
      </c>
      <c r="BP368" t="s">
        <v>8790</v>
      </c>
      <c r="BQ368" t="s">
        <v>11288</v>
      </c>
      <c r="BS368" t="s">
        <v>23985</v>
      </c>
      <c r="BT368" t="s">
        <v>23986</v>
      </c>
      <c r="BU368" t="s">
        <v>569</v>
      </c>
      <c r="BV368" t="s">
        <v>23987</v>
      </c>
      <c r="BW368" t="s">
        <v>23988</v>
      </c>
      <c r="BX368" t="s">
        <v>11293</v>
      </c>
      <c r="BY368" t="s">
        <v>23989</v>
      </c>
      <c r="BZ368" t="s">
        <v>11293</v>
      </c>
      <c r="CA368" t="s">
        <v>23988</v>
      </c>
      <c r="CB368" t="s">
        <v>23990</v>
      </c>
      <c r="CC368" t="s">
        <v>23991</v>
      </c>
      <c r="CD368" t="s">
        <v>23992</v>
      </c>
      <c r="CE368" t="s">
        <v>102</v>
      </c>
      <c r="CF368" t="s">
        <v>11294</v>
      </c>
      <c r="CH368" t="s">
        <v>9367</v>
      </c>
      <c r="CJ368" t="s">
        <v>2204</v>
      </c>
      <c r="CK368" t="s">
        <v>121</v>
      </c>
      <c r="CL368" t="s">
        <v>9367</v>
      </c>
      <c r="CM368" t="s">
        <v>11295</v>
      </c>
      <c r="CN368" t="s">
        <v>11294</v>
      </c>
      <c r="CO368" t="s">
        <v>11294</v>
      </c>
    </row>
    <row r="369" spans="1:93">
      <c r="A369" t="s">
        <v>337</v>
      </c>
      <c r="B369">
        <v>612644</v>
      </c>
      <c r="C369" t="s">
        <v>26336</v>
      </c>
      <c r="D369" t="s">
        <v>21661</v>
      </c>
      <c r="E369" t="s">
        <v>11889</v>
      </c>
      <c r="F369" t="s">
        <v>97</v>
      </c>
      <c r="G369" t="s">
        <v>98</v>
      </c>
      <c r="H369" t="s">
        <v>26337</v>
      </c>
      <c r="I369" t="s">
        <v>100</v>
      </c>
      <c r="J369">
        <v>198450</v>
      </c>
      <c r="K369">
        <v>198450</v>
      </c>
      <c r="L369">
        <v>198450</v>
      </c>
      <c r="M369">
        <v>378</v>
      </c>
      <c r="N369" t="s">
        <v>4107</v>
      </c>
      <c r="O369">
        <v>0</v>
      </c>
      <c r="P369">
        <v>0</v>
      </c>
      <c r="R369">
        <v>0</v>
      </c>
      <c r="S369">
        <v>0</v>
      </c>
      <c r="U369" t="s">
        <v>102</v>
      </c>
      <c r="V369" t="s">
        <v>103</v>
      </c>
      <c r="W369" t="s">
        <v>104</v>
      </c>
      <c r="Y369" t="s">
        <v>16553</v>
      </c>
      <c r="Z369" t="s">
        <v>26338</v>
      </c>
      <c r="AA369" t="s">
        <v>20023</v>
      </c>
      <c r="AB369" t="s">
        <v>26338</v>
      </c>
      <c r="AC369" t="s">
        <v>109</v>
      </c>
      <c r="AD369" t="s">
        <v>102</v>
      </c>
      <c r="AE369" t="s">
        <v>109</v>
      </c>
      <c r="AF369" t="s">
        <v>102</v>
      </c>
      <c r="AG369" t="s">
        <v>102</v>
      </c>
      <c r="AJ369" t="s">
        <v>26338</v>
      </c>
      <c r="AK369" t="s">
        <v>102</v>
      </c>
      <c r="AL369" t="s">
        <v>26338</v>
      </c>
      <c r="AM369" t="s">
        <v>12067</v>
      </c>
      <c r="AN369" t="s">
        <v>26339</v>
      </c>
      <c r="AO369" t="s">
        <v>102</v>
      </c>
      <c r="AP369" t="s">
        <v>102</v>
      </c>
      <c r="AQ369" t="s">
        <v>102</v>
      </c>
      <c r="AR369" t="s">
        <v>102</v>
      </c>
      <c r="AS369" t="s">
        <v>318</v>
      </c>
      <c r="AT369" t="s">
        <v>118</v>
      </c>
      <c r="AU369" t="s">
        <v>102</v>
      </c>
      <c r="AV369" t="s">
        <v>119</v>
      </c>
      <c r="AZ369" t="s">
        <v>120</v>
      </c>
      <c r="BA369" t="s">
        <v>4889</v>
      </c>
      <c r="BB369" t="s">
        <v>730</v>
      </c>
      <c r="BC369" t="s">
        <v>622</v>
      </c>
      <c r="BD369" t="s">
        <v>730</v>
      </c>
      <c r="BE369" t="s">
        <v>124</v>
      </c>
      <c r="BF369" t="s">
        <v>12250</v>
      </c>
      <c r="BG369" t="s">
        <v>21667</v>
      </c>
      <c r="BH369" t="s">
        <v>127</v>
      </c>
      <c r="BI369" t="s">
        <v>26340</v>
      </c>
      <c r="BJ369" t="s">
        <v>26341</v>
      </c>
      <c r="BK369" t="s">
        <v>26342</v>
      </c>
      <c r="BL369" t="s">
        <v>11889</v>
      </c>
      <c r="BM369" t="s">
        <v>5197</v>
      </c>
      <c r="BN369" t="s">
        <v>350</v>
      </c>
      <c r="BO369" t="s">
        <v>5198</v>
      </c>
      <c r="BP369" t="s">
        <v>5199</v>
      </c>
      <c r="BQ369" t="s">
        <v>5199</v>
      </c>
      <c r="BS369" t="s">
        <v>26343</v>
      </c>
      <c r="BT369" t="s">
        <v>26344</v>
      </c>
      <c r="BU369" t="s">
        <v>138</v>
      </c>
      <c r="BV369" t="s">
        <v>15969</v>
      </c>
      <c r="BW369" t="s">
        <v>26345</v>
      </c>
      <c r="BX369" t="s">
        <v>26346</v>
      </c>
      <c r="BY369" t="s">
        <v>26347</v>
      </c>
      <c r="BZ369" t="s">
        <v>26348</v>
      </c>
      <c r="CA369" t="s">
        <v>26345</v>
      </c>
      <c r="CB369" t="s">
        <v>26349</v>
      </c>
      <c r="CC369" t="s">
        <v>26348</v>
      </c>
      <c r="CD369" t="s">
        <v>26350</v>
      </c>
      <c r="CE369" t="s">
        <v>23309</v>
      </c>
      <c r="CF369" t="s">
        <v>26351</v>
      </c>
      <c r="CH369" t="s">
        <v>23370</v>
      </c>
      <c r="CJ369" t="s">
        <v>4889</v>
      </c>
      <c r="CK369" t="s">
        <v>730</v>
      </c>
      <c r="CL369" t="s">
        <v>23370</v>
      </c>
      <c r="CM369" t="s">
        <v>26352</v>
      </c>
      <c r="CN369" t="s">
        <v>26353</v>
      </c>
      <c r="CO369" t="s">
        <v>26353</v>
      </c>
    </row>
    <row r="370" spans="1:93" hidden="1">
      <c r="A370" t="s">
        <v>149</v>
      </c>
      <c r="B370">
        <v>628551</v>
      </c>
      <c r="C370" t="s">
        <v>11399</v>
      </c>
      <c r="D370" t="s">
        <v>21661</v>
      </c>
      <c r="E370" t="s">
        <v>23993</v>
      </c>
      <c r="F370" t="s">
        <v>2163</v>
      </c>
      <c r="G370" t="s">
        <v>98</v>
      </c>
      <c r="H370" t="s">
        <v>23994</v>
      </c>
      <c r="I370" t="s">
        <v>100</v>
      </c>
      <c r="J370">
        <v>915788</v>
      </c>
      <c r="K370">
        <v>1009123</v>
      </c>
      <c r="L370">
        <v>72800</v>
      </c>
      <c r="M370">
        <v>182</v>
      </c>
      <c r="N370" t="s">
        <v>6051</v>
      </c>
      <c r="O370">
        <v>324461</v>
      </c>
      <c r="P370">
        <v>156</v>
      </c>
      <c r="Q370" t="s">
        <v>23995</v>
      </c>
      <c r="R370">
        <v>518527</v>
      </c>
      <c r="S370">
        <v>241</v>
      </c>
      <c r="T370" t="s">
        <v>23996</v>
      </c>
      <c r="U370" t="s">
        <v>102</v>
      </c>
      <c r="V370" t="s">
        <v>103</v>
      </c>
      <c r="W370" t="s">
        <v>801</v>
      </c>
      <c r="Y370" t="s">
        <v>23997</v>
      </c>
      <c r="Z370" t="s">
        <v>23998</v>
      </c>
      <c r="AA370" t="s">
        <v>23999</v>
      </c>
      <c r="AB370" t="s">
        <v>23998</v>
      </c>
      <c r="AC370" t="s">
        <v>22089</v>
      </c>
      <c r="AD370" t="s">
        <v>24000</v>
      </c>
      <c r="AE370" t="s">
        <v>21742</v>
      </c>
      <c r="AF370" t="s">
        <v>24000</v>
      </c>
      <c r="AG370" t="s">
        <v>102</v>
      </c>
      <c r="AJ370" t="s">
        <v>24000</v>
      </c>
      <c r="AK370" t="s">
        <v>102</v>
      </c>
      <c r="AL370" t="s">
        <v>24000</v>
      </c>
      <c r="AM370" t="s">
        <v>24001</v>
      </c>
      <c r="AN370" t="s">
        <v>24002</v>
      </c>
      <c r="AS370" t="s">
        <v>247</v>
      </c>
      <c r="AT370" t="s">
        <v>118</v>
      </c>
      <c r="AU370" t="s">
        <v>655</v>
      </c>
      <c r="AV370" t="s">
        <v>249</v>
      </c>
      <c r="AW370" t="s">
        <v>170</v>
      </c>
      <c r="AX370" t="s">
        <v>118</v>
      </c>
      <c r="AY370" t="s">
        <v>250</v>
      </c>
      <c r="AZ370" t="s">
        <v>171</v>
      </c>
      <c r="BA370" t="s">
        <v>1913</v>
      </c>
      <c r="BB370" t="s">
        <v>376</v>
      </c>
      <c r="BC370" t="s">
        <v>174</v>
      </c>
      <c r="BD370" t="s">
        <v>376</v>
      </c>
      <c r="BE370" t="s">
        <v>124</v>
      </c>
      <c r="BF370" t="s">
        <v>24003</v>
      </c>
      <c r="BG370" t="s">
        <v>21777</v>
      </c>
      <c r="BH370" t="s">
        <v>127</v>
      </c>
      <c r="BI370" t="s">
        <v>24004</v>
      </c>
      <c r="BJ370" t="s">
        <v>11418</v>
      </c>
      <c r="BK370" t="s">
        <v>24005</v>
      </c>
      <c r="BL370" t="s">
        <v>23993</v>
      </c>
      <c r="BM370" t="s">
        <v>1917</v>
      </c>
      <c r="BN370" t="s">
        <v>180</v>
      </c>
      <c r="BO370" t="s">
        <v>1918</v>
      </c>
      <c r="BP370" t="s">
        <v>1919</v>
      </c>
      <c r="BQ370" t="s">
        <v>384</v>
      </c>
      <c r="BS370" t="s">
        <v>24006</v>
      </c>
      <c r="BT370" t="s">
        <v>21330</v>
      </c>
      <c r="BU370" t="s">
        <v>138</v>
      </c>
      <c r="BV370" t="s">
        <v>11427</v>
      </c>
      <c r="BW370" t="s">
        <v>11426</v>
      </c>
      <c r="BX370" t="s">
        <v>11427</v>
      </c>
      <c r="BY370" t="s">
        <v>21330</v>
      </c>
      <c r="BZ370" t="s">
        <v>11427</v>
      </c>
      <c r="CA370" t="s">
        <v>11426</v>
      </c>
      <c r="CB370" t="s">
        <v>24007</v>
      </c>
      <c r="CC370" t="s">
        <v>11427</v>
      </c>
      <c r="CD370" t="s">
        <v>24008</v>
      </c>
      <c r="CE370" t="s">
        <v>102</v>
      </c>
      <c r="CF370" t="s">
        <v>21332</v>
      </c>
      <c r="CH370" t="s">
        <v>11432</v>
      </c>
      <c r="CJ370" t="s">
        <v>1913</v>
      </c>
      <c r="CK370" t="s">
        <v>376</v>
      </c>
      <c r="CL370" t="s">
        <v>11432</v>
      </c>
      <c r="CM370" t="s">
        <v>11433</v>
      </c>
      <c r="CN370" t="s">
        <v>11431</v>
      </c>
      <c r="CO370" t="s">
        <v>11431</v>
      </c>
    </row>
    <row r="371" spans="1:93" hidden="1">
      <c r="A371" t="s">
        <v>149</v>
      </c>
      <c r="B371">
        <v>632896</v>
      </c>
      <c r="C371" t="s">
        <v>11434</v>
      </c>
      <c r="D371" t="s">
        <v>21661</v>
      </c>
      <c r="E371" t="s">
        <v>21857</v>
      </c>
      <c r="F371" t="s">
        <v>3549</v>
      </c>
      <c r="G371" t="s">
        <v>98</v>
      </c>
      <c r="H371" t="s">
        <v>25582</v>
      </c>
      <c r="I371" t="s">
        <v>100</v>
      </c>
      <c r="J371">
        <v>0</v>
      </c>
      <c r="K371">
        <v>0</v>
      </c>
      <c r="L371">
        <v>0</v>
      </c>
      <c r="M371">
        <v>1165</v>
      </c>
      <c r="N371" t="s">
        <v>102</v>
      </c>
      <c r="O371">
        <v>0</v>
      </c>
      <c r="P371">
        <v>0</v>
      </c>
      <c r="R371">
        <v>0</v>
      </c>
      <c r="S371">
        <v>1165</v>
      </c>
      <c r="T371" t="s">
        <v>102</v>
      </c>
      <c r="U371" t="s">
        <v>102</v>
      </c>
      <c r="V371" t="s">
        <v>275</v>
      </c>
      <c r="X371" t="s">
        <v>21857</v>
      </c>
      <c r="Y371" t="s">
        <v>109</v>
      </c>
      <c r="Z371" t="s">
        <v>102</v>
      </c>
      <c r="AA371" t="s">
        <v>109</v>
      </c>
      <c r="AB371" t="s">
        <v>102</v>
      </c>
      <c r="AC371" t="s">
        <v>109</v>
      </c>
      <c r="AD371" t="s">
        <v>102</v>
      </c>
      <c r="AE371" t="s">
        <v>109</v>
      </c>
      <c r="AF371" t="s">
        <v>102</v>
      </c>
      <c r="AG371" t="s">
        <v>102</v>
      </c>
      <c r="AJ371" t="s">
        <v>102</v>
      </c>
      <c r="AK371" t="s">
        <v>102</v>
      </c>
      <c r="AL371" t="s">
        <v>102</v>
      </c>
      <c r="AM371" t="s">
        <v>115</v>
      </c>
      <c r="AN371" t="s">
        <v>115</v>
      </c>
      <c r="AS371" t="s">
        <v>117</v>
      </c>
      <c r="AT371" t="s">
        <v>118</v>
      </c>
      <c r="AU371" t="s">
        <v>102</v>
      </c>
      <c r="AV371" t="s">
        <v>119</v>
      </c>
      <c r="AY371" t="s">
        <v>250</v>
      </c>
      <c r="AZ371" t="s">
        <v>120</v>
      </c>
      <c r="BA371" t="s">
        <v>5637</v>
      </c>
      <c r="BB371" t="s">
        <v>211</v>
      </c>
      <c r="BC371" t="s">
        <v>212</v>
      </c>
      <c r="BD371" t="s">
        <v>213</v>
      </c>
      <c r="BE371" t="s">
        <v>124</v>
      </c>
      <c r="BF371" t="s">
        <v>24888</v>
      </c>
      <c r="BG371" t="s">
        <v>23025</v>
      </c>
      <c r="BH371" t="s">
        <v>127</v>
      </c>
      <c r="BI371" t="s">
        <v>25583</v>
      </c>
      <c r="BJ371" t="s">
        <v>11442</v>
      </c>
      <c r="BK371" t="s">
        <v>25584</v>
      </c>
      <c r="BL371" t="s">
        <v>21857</v>
      </c>
      <c r="BM371" t="s">
        <v>24891</v>
      </c>
      <c r="BN371" t="s">
        <v>180</v>
      </c>
      <c r="BO371" t="s">
        <v>24892</v>
      </c>
      <c r="BP371" t="s">
        <v>24893</v>
      </c>
      <c r="BQ371" t="s">
        <v>222</v>
      </c>
      <c r="BS371" t="s">
        <v>25585</v>
      </c>
      <c r="BT371" t="s">
        <v>3585</v>
      </c>
      <c r="BV371" t="s">
        <v>225</v>
      </c>
      <c r="BW371" t="s">
        <v>8332</v>
      </c>
      <c r="BX371" t="s">
        <v>11445</v>
      </c>
      <c r="BY371" t="s">
        <v>25586</v>
      </c>
      <c r="BZ371" t="s">
        <v>11445</v>
      </c>
      <c r="CA371" t="s">
        <v>25587</v>
      </c>
      <c r="CB371" t="s">
        <v>25586</v>
      </c>
      <c r="CC371" t="s">
        <v>11445</v>
      </c>
      <c r="CD371" t="s">
        <v>25587</v>
      </c>
      <c r="CE371" t="s">
        <v>102</v>
      </c>
      <c r="CF371" t="s">
        <v>11446</v>
      </c>
      <c r="CH371" t="s">
        <v>7644</v>
      </c>
      <c r="CJ371" t="s">
        <v>5637</v>
      </c>
      <c r="CK371" t="s">
        <v>211</v>
      </c>
      <c r="CL371" t="s">
        <v>7644</v>
      </c>
      <c r="CM371" t="s">
        <v>230</v>
      </c>
      <c r="CN371" t="s">
        <v>11446</v>
      </c>
      <c r="CO371" t="s">
        <v>11446</v>
      </c>
    </row>
    <row r="372" spans="1:93">
      <c r="A372" t="s">
        <v>337</v>
      </c>
      <c r="B372">
        <v>64811</v>
      </c>
      <c r="C372" t="s">
        <v>25588</v>
      </c>
      <c r="D372" t="s">
        <v>21661</v>
      </c>
      <c r="E372" t="s">
        <v>14003</v>
      </c>
      <c r="F372" t="s">
        <v>675</v>
      </c>
      <c r="G372" t="s">
        <v>98</v>
      </c>
      <c r="H372" t="s">
        <v>25589</v>
      </c>
      <c r="I372" t="s">
        <v>100</v>
      </c>
      <c r="J372">
        <v>826324</v>
      </c>
      <c r="K372">
        <v>826324</v>
      </c>
      <c r="L372">
        <v>286044</v>
      </c>
      <c r="M372">
        <v>440</v>
      </c>
      <c r="N372" t="s">
        <v>1122</v>
      </c>
      <c r="O372">
        <v>540280</v>
      </c>
      <c r="P372">
        <v>400</v>
      </c>
      <c r="Q372" t="s">
        <v>12310</v>
      </c>
      <c r="R372">
        <v>0</v>
      </c>
      <c r="S372">
        <v>0</v>
      </c>
      <c r="U372" t="s">
        <v>102</v>
      </c>
      <c r="V372" t="s">
        <v>103</v>
      </c>
      <c r="W372" t="s">
        <v>801</v>
      </c>
      <c r="Y372" t="s">
        <v>22727</v>
      </c>
      <c r="Z372" t="s">
        <v>25590</v>
      </c>
      <c r="AA372" t="s">
        <v>22729</v>
      </c>
      <c r="AB372" t="s">
        <v>25591</v>
      </c>
      <c r="AC372" t="s">
        <v>22731</v>
      </c>
      <c r="AD372" t="s">
        <v>25592</v>
      </c>
      <c r="AE372" t="s">
        <v>21742</v>
      </c>
      <c r="AF372" t="s">
        <v>25592</v>
      </c>
      <c r="AG372" t="s">
        <v>102</v>
      </c>
      <c r="AH372" t="s">
        <v>24940</v>
      </c>
      <c r="AI372" t="s">
        <v>24940</v>
      </c>
      <c r="AJ372" t="s">
        <v>25592</v>
      </c>
      <c r="AK372" t="s">
        <v>25593</v>
      </c>
      <c r="AL372" t="s">
        <v>25594</v>
      </c>
      <c r="AM372" t="s">
        <v>25595</v>
      </c>
      <c r="AN372" t="s">
        <v>25595</v>
      </c>
      <c r="AS372" t="s">
        <v>207</v>
      </c>
      <c r="AT372" t="s">
        <v>118</v>
      </c>
      <c r="AU372" t="s">
        <v>655</v>
      </c>
      <c r="AV372" t="s">
        <v>249</v>
      </c>
      <c r="AW372" t="s">
        <v>170</v>
      </c>
      <c r="AX372" t="s">
        <v>118</v>
      </c>
      <c r="AZ372" t="s">
        <v>120</v>
      </c>
      <c r="BA372" t="s">
        <v>1036</v>
      </c>
      <c r="BB372" t="s">
        <v>173</v>
      </c>
      <c r="BC372" t="s">
        <v>174</v>
      </c>
      <c r="BD372" t="s">
        <v>173</v>
      </c>
      <c r="BE372" t="s">
        <v>124</v>
      </c>
      <c r="BF372" t="s">
        <v>12250</v>
      </c>
      <c r="BG372" t="s">
        <v>21667</v>
      </c>
      <c r="BH372" t="s">
        <v>127</v>
      </c>
      <c r="BI372" t="s">
        <v>25596</v>
      </c>
      <c r="BJ372" t="s">
        <v>25597</v>
      </c>
      <c r="BK372" t="s">
        <v>25598</v>
      </c>
      <c r="BL372" t="s">
        <v>14003</v>
      </c>
      <c r="BM372" t="s">
        <v>9823</v>
      </c>
      <c r="BN372" t="s">
        <v>180</v>
      </c>
      <c r="BO372" t="s">
        <v>9824</v>
      </c>
      <c r="BP372" t="s">
        <v>9825</v>
      </c>
      <c r="BQ372" t="s">
        <v>1176</v>
      </c>
      <c r="BS372" t="s">
        <v>25599</v>
      </c>
      <c r="BT372" t="s">
        <v>25600</v>
      </c>
      <c r="BU372" t="s">
        <v>138</v>
      </c>
      <c r="BV372" t="s">
        <v>25601</v>
      </c>
      <c r="BW372" t="s">
        <v>25602</v>
      </c>
      <c r="BX372" t="s">
        <v>25601</v>
      </c>
      <c r="BY372" t="s">
        <v>25600</v>
      </c>
      <c r="BZ372" t="s">
        <v>25601</v>
      </c>
      <c r="CA372" t="s">
        <v>25602</v>
      </c>
      <c r="CB372" t="s">
        <v>25600</v>
      </c>
      <c r="CC372" t="s">
        <v>25601</v>
      </c>
      <c r="CD372" t="s">
        <v>25602</v>
      </c>
      <c r="CE372" t="s">
        <v>25603</v>
      </c>
      <c r="CF372" t="s">
        <v>25604</v>
      </c>
      <c r="CH372" t="s">
        <v>25605</v>
      </c>
      <c r="CI372" t="s">
        <v>25604</v>
      </c>
      <c r="CJ372" t="s">
        <v>1036</v>
      </c>
      <c r="CK372" t="s">
        <v>173</v>
      </c>
      <c r="CL372" t="s">
        <v>25605</v>
      </c>
      <c r="CN372" t="s">
        <v>25606</v>
      </c>
      <c r="CO372" t="s">
        <v>25606</v>
      </c>
    </row>
    <row r="373" spans="1:93" hidden="1">
      <c r="A373" t="s">
        <v>149</v>
      </c>
      <c r="B373">
        <v>650967</v>
      </c>
      <c r="C373" t="s">
        <v>11512</v>
      </c>
      <c r="D373" t="s">
        <v>21661</v>
      </c>
      <c r="E373" t="s">
        <v>25914</v>
      </c>
      <c r="F373" t="s">
        <v>3549</v>
      </c>
      <c r="G373" t="s">
        <v>98</v>
      </c>
      <c r="H373" t="s">
        <v>26605</v>
      </c>
      <c r="I373" t="s">
        <v>100</v>
      </c>
      <c r="J373">
        <v>2110253</v>
      </c>
      <c r="K373">
        <v>2349235</v>
      </c>
      <c r="L373">
        <v>782574</v>
      </c>
      <c r="M373">
        <v>1051</v>
      </c>
      <c r="N373" t="s">
        <v>15329</v>
      </c>
      <c r="O373">
        <v>0</v>
      </c>
      <c r="P373">
        <v>0</v>
      </c>
      <c r="R373">
        <v>1327679</v>
      </c>
      <c r="S373">
        <v>910</v>
      </c>
      <c r="T373" t="s">
        <v>26606</v>
      </c>
      <c r="U373" t="s">
        <v>102</v>
      </c>
      <c r="V373" t="s">
        <v>103</v>
      </c>
      <c r="W373" t="s">
        <v>398</v>
      </c>
      <c r="Y373" t="s">
        <v>20023</v>
      </c>
      <c r="Z373" t="s">
        <v>26607</v>
      </c>
      <c r="AA373" t="s">
        <v>23352</v>
      </c>
      <c r="AB373" t="s">
        <v>26607</v>
      </c>
      <c r="AC373" t="s">
        <v>21945</v>
      </c>
      <c r="AD373" t="s">
        <v>26608</v>
      </c>
      <c r="AE373" t="s">
        <v>109</v>
      </c>
      <c r="AF373" t="s">
        <v>102</v>
      </c>
      <c r="AG373" t="s">
        <v>102</v>
      </c>
      <c r="AJ373" t="s">
        <v>102</v>
      </c>
      <c r="AK373" t="s">
        <v>102</v>
      </c>
      <c r="AL373" t="s">
        <v>102</v>
      </c>
      <c r="AM373" t="s">
        <v>26609</v>
      </c>
      <c r="AN373" t="s">
        <v>26609</v>
      </c>
      <c r="AS373" t="s">
        <v>318</v>
      </c>
      <c r="AT373" t="s">
        <v>118</v>
      </c>
      <c r="AU373" t="s">
        <v>102</v>
      </c>
      <c r="AV373" t="s">
        <v>119</v>
      </c>
      <c r="AY373" t="s">
        <v>250</v>
      </c>
      <c r="AZ373" t="s">
        <v>120</v>
      </c>
      <c r="BA373" t="s">
        <v>920</v>
      </c>
      <c r="BB373" t="s">
        <v>211</v>
      </c>
      <c r="BC373" t="s">
        <v>212</v>
      </c>
      <c r="BD373" t="s">
        <v>213</v>
      </c>
      <c r="BE373" t="s">
        <v>124</v>
      </c>
      <c r="BF373" t="s">
        <v>19143</v>
      </c>
      <c r="BG373" t="s">
        <v>21806</v>
      </c>
      <c r="BH373" t="s">
        <v>127</v>
      </c>
      <c r="BI373" t="s">
        <v>26610</v>
      </c>
      <c r="BJ373" t="s">
        <v>11523</v>
      </c>
      <c r="BK373" t="s">
        <v>26611</v>
      </c>
      <c r="BL373" t="s">
        <v>25914</v>
      </c>
      <c r="BM373" t="s">
        <v>866</v>
      </c>
      <c r="BN373" t="s">
        <v>180</v>
      </c>
      <c r="BO373" t="s">
        <v>867</v>
      </c>
      <c r="BP373" t="s">
        <v>868</v>
      </c>
      <c r="BQ373" t="s">
        <v>2151</v>
      </c>
      <c r="BS373" t="s">
        <v>26612</v>
      </c>
      <c r="BT373" t="s">
        <v>26613</v>
      </c>
      <c r="BU373" t="s">
        <v>138</v>
      </c>
      <c r="BV373" t="s">
        <v>5338</v>
      </c>
      <c r="BW373" t="s">
        <v>26478</v>
      </c>
      <c r="BX373" t="s">
        <v>5338</v>
      </c>
      <c r="BY373" t="s">
        <v>26613</v>
      </c>
      <c r="BZ373" t="s">
        <v>5338</v>
      </c>
      <c r="CA373" t="s">
        <v>26478</v>
      </c>
      <c r="CB373" t="s">
        <v>26614</v>
      </c>
      <c r="CC373" t="s">
        <v>26615</v>
      </c>
      <c r="CD373" t="s">
        <v>26478</v>
      </c>
      <c r="CE373" t="s">
        <v>102</v>
      </c>
      <c r="CF373" t="s">
        <v>11531</v>
      </c>
      <c r="CH373" t="s">
        <v>9938</v>
      </c>
      <c r="CJ373" t="s">
        <v>920</v>
      </c>
      <c r="CK373" t="s">
        <v>211</v>
      </c>
      <c r="CL373" t="s">
        <v>9938</v>
      </c>
      <c r="CM373" t="s">
        <v>5346</v>
      </c>
      <c r="CN373" t="s">
        <v>11531</v>
      </c>
      <c r="CO373" t="s">
        <v>11531</v>
      </c>
    </row>
    <row r="374" spans="1:93">
      <c r="A374" t="s">
        <v>337</v>
      </c>
      <c r="B374">
        <v>677287</v>
      </c>
      <c r="C374" t="s">
        <v>23669</v>
      </c>
      <c r="D374" t="s">
        <v>21661</v>
      </c>
      <c r="E374" t="s">
        <v>13245</v>
      </c>
      <c r="F374" t="s">
        <v>97</v>
      </c>
      <c r="G374" t="s">
        <v>98</v>
      </c>
      <c r="H374" t="s">
        <v>23670</v>
      </c>
      <c r="I374" t="s">
        <v>100</v>
      </c>
      <c r="J374">
        <v>280660</v>
      </c>
      <c r="K374">
        <v>280660</v>
      </c>
      <c r="L374">
        <v>280660</v>
      </c>
      <c r="M374">
        <v>401</v>
      </c>
      <c r="N374" t="s">
        <v>799</v>
      </c>
      <c r="O374">
        <v>0</v>
      </c>
      <c r="P374">
        <v>0</v>
      </c>
      <c r="R374">
        <v>0</v>
      </c>
      <c r="S374">
        <v>0</v>
      </c>
      <c r="U374" t="s">
        <v>102</v>
      </c>
      <c r="V374" t="s">
        <v>103</v>
      </c>
      <c r="W374" t="s">
        <v>155</v>
      </c>
      <c r="Y374" t="s">
        <v>12435</v>
      </c>
      <c r="Z374" t="s">
        <v>23671</v>
      </c>
      <c r="AA374" t="s">
        <v>12720</v>
      </c>
      <c r="AB374" t="s">
        <v>23671</v>
      </c>
      <c r="AC374" t="s">
        <v>22119</v>
      </c>
      <c r="AD374" t="s">
        <v>23671</v>
      </c>
      <c r="AE374" t="s">
        <v>21687</v>
      </c>
      <c r="AF374" t="s">
        <v>23671</v>
      </c>
      <c r="AG374" t="s">
        <v>102</v>
      </c>
      <c r="AH374" t="s">
        <v>13131</v>
      </c>
      <c r="AI374" t="s">
        <v>13131</v>
      </c>
      <c r="AJ374" t="s">
        <v>102</v>
      </c>
      <c r="AK374" t="s">
        <v>2555</v>
      </c>
      <c r="AL374" t="s">
        <v>22120</v>
      </c>
      <c r="AM374" t="s">
        <v>10612</v>
      </c>
      <c r="AN374" t="s">
        <v>10612</v>
      </c>
      <c r="AS374" t="s">
        <v>318</v>
      </c>
      <c r="AT374" t="s">
        <v>118</v>
      </c>
      <c r="AU374" t="s">
        <v>102</v>
      </c>
      <c r="AV374" t="s">
        <v>119</v>
      </c>
      <c r="AZ374" t="s">
        <v>120</v>
      </c>
      <c r="BA374" t="s">
        <v>12104</v>
      </c>
      <c r="BB374" t="s">
        <v>1208</v>
      </c>
      <c r="BC374" t="s">
        <v>174</v>
      </c>
      <c r="BD374" t="s">
        <v>1172</v>
      </c>
      <c r="BE374" t="s">
        <v>124</v>
      </c>
      <c r="BF374" t="s">
        <v>12250</v>
      </c>
      <c r="BG374" t="s">
        <v>21667</v>
      </c>
      <c r="BH374" t="s">
        <v>127</v>
      </c>
      <c r="BI374" t="s">
        <v>23672</v>
      </c>
      <c r="BJ374" t="s">
        <v>23673</v>
      </c>
      <c r="BK374" t="s">
        <v>23674</v>
      </c>
      <c r="BL374" t="s">
        <v>13245</v>
      </c>
      <c r="BM374" t="s">
        <v>7512</v>
      </c>
      <c r="BN374" t="s">
        <v>180</v>
      </c>
      <c r="BO374" t="s">
        <v>7513</v>
      </c>
      <c r="BP374" t="s">
        <v>7514</v>
      </c>
      <c r="BQ374" t="s">
        <v>7515</v>
      </c>
      <c r="BS374" t="s">
        <v>23675</v>
      </c>
      <c r="BT374" t="s">
        <v>23676</v>
      </c>
      <c r="BU374" t="s">
        <v>138</v>
      </c>
      <c r="BV374" t="s">
        <v>23677</v>
      </c>
      <c r="BW374" t="s">
        <v>23678</v>
      </c>
      <c r="BX374" t="s">
        <v>23677</v>
      </c>
      <c r="BY374" t="s">
        <v>23679</v>
      </c>
      <c r="BZ374" t="s">
        <v>23677</v>
      </c>
      <c r="CA374" t="s">
        <v>23678</v>
      </c>
      <c r="CB374" t="s">
        <v>23679</v>
      </c>
      <c r="CC374" t="s">
        <v>23677</v>
      </c>
      <c r="CD374" t="s">
        <v>23678</v>
      </c>
      <c r="CE374" t="s">
        <v>20469</v>
      </c>
      <c r="CF374" t="s">
        <v>23680</v>
      </c>
      <c r="CH374" t="s">
        <v>23681</v>
      </c>
      <c r="CI374" t="s">
        <v>23680</v>
      </c>
      <c r="CJ374" t="s">
        <v>12104</v>
      </c>
      <c r="CK374" t="s">
        <v>1208</v>
      </c>
      <c r="CL374" t="s">
        <v>23681</v>
      </c>
      <c r="CN374" t="s">
        <v>23682</v>
      </c>
      <c r="CO374" t="s">
        <v>23682</v>
      </c>
    </row>
    <row r="375" spans="1:93" hidden="1">
      <c r="A375" t="s">
        <v>149</v>
      </c>
      <c r="B375">
        <v>810125</v>
      </c>
      <c r="C375" t="s">
        <v>11683</v>
      </c>
      <c r="D375" t="s">
        <v>21661</v>
      </c>
      <c r="E375" t="s">
        <v>16558</v>
      </c>
      <c r="F375" t="s">
        <v>848</v>
      </c>
      <c r="G375" t="s">
        <v>98</v>
      </c>
      <c r="H375" t="s">
        <v>24009</v>
      </c>
      <c r="I375" t="s">
        <v>100</v>
      </c>
      <c r="J375">
        <v>324169</v>
      </c>
      <c r="K375">
        <v>382519</v>
      </c>
      <c r="L375">
        <v>0</v>
      </c>
      <c r="M375">
        <v>0</v>
      </c>
      <c r="O375">
        <v>0</v>
      </c>
      <c r="P375">
        <v>0</v>
      </c>
      <c r="R375">
        <v>324169</v>
      </c>
      <c r="S375">
        <v>125</v>
      </c>
      <c r="T375" t="s">
        <v>23115</v>
      </c>
      <c r="U375" t="s">
        <v>102</v>
      </c>
      <c r="V375" t="s">
        <v>103</v>
      </c>
      <c r="W375" t="s">
        <v>155</v>
      </c>
      <c r="Y375" t="s">
        <v>21843</v>
      </c>
      <c r="Z375" t="s">
        <v>24010</v>
      </c>
      <c r="AA375" t="s">
        <v>21664</v>
      </c>
      <c r="AB375" t="s">
        <v>24010</v>
      </c>
      <c r="AC375" t="s">
        <v>21665</v>
      </c>
      <c r="AD375" t="s">
        <v>24010</v>
      </c>
      <c r="AE375" t="s">
        <v>21687</v>
      </c>
      <c r="AF375" t="s">
        <v>24010</v>
      </c>
      <c r="AG375" t="s">
        <v>102</v>
      </c>
      <c r="AJ375" t="s">
        <v>24010</v>
      </c>
      <c r="AK375" t="s">
        <v>102</v>
      </c>
      <c r="AL375" t="s">
        <v>24010</v>
      </c>
      <c r="AM375" t="s">
        <v>23118</v>
      </c>
      <c r="AN375" t="s">
        <v>343</v>
      </c>
      <c r="AR375" t="s">
        <v>169</v>
      </c>
      <c r="AS375" t="s">
        <v>102</v>
      </c>
      <c r="AU375" t="s">
        <v>102</v>
      </c>
      <c r="AV375" t="s">
        <v>119</v>
      </c>
      <c r="AY375" t="s">
        <v>250</v>
      </c>
      <c r="AZ375" t="s">
        <v>120</v>
      </c>
      <c r="BA375" t="s">
        <v>2840</v>
      </c>
      <c r="BB375" t="s">
        <v>449</v>
      </c>
      <c r="BC375" t="s">
        <v>122</v>
      </c>
      <c r="BD375" t="s">
        <v>253</v>
      </c>
      <c r="BE375" t="s">
        <v>124</v>
      </c>
      <c r="BF375" t="s">
        <v>12250</v>
      </c>
      <c r="BG375" t="s">
        <v>21667</v>
      </c>
      <c r="BH375" t="s">
        <v>127</v>
      </c>
      <c r="BI375" t="s">
        <v>24011</v>
      </c>
      <c r="BJ375" t="s">
        <v>11691</v>
      </c>
      <c r="BK375" t="s">
        <v>24012</v>
      </c>
      <c r="BL375" t="s">
        <v>16558</v>
      </c>
      <c r="BM375" t="s">
        <v>3267</v>
      </c>
      <c r="BN375" t="s">
        <v>350</v>
      </c>
      <c r="BO375" t="s">
        <v>3268</v>
      </c>
      <c r="BP375" t="s">
        <v>3269</v>
      </c>
      <c r="BQ375" t="s">
        <v>135</v>
      </c>
      <c r="BS375" t="s">
        <v>24013</v>
      </c>
      <c r="BT375" t="s">
        <v>11694</v>
      </c>
      <c r="BU375" t="s">
        <v>598</v>
      </c>
      <c r="BV375" t="s">
        <v>11695</v>
      </c>
      <c r="BW375" t="s">
        <v>11696</v>
      </c>
      <c r="BX375" t="s">
        <v>11697</v>
      </c>
      <c r="BY375" t="s">
        <v>24014</v>
      </c>
      <c r="BZ375" t="s">
        <v>11697</v>
      </c>
      <c r="CA375" t="s">
        <v>24015</v>
      </c>
      <c r="CB375" t="s">
        <v>24016</v>
      </c>
      <c r="CC375" t="s">
        <v>24017</v>
      </c>
      <c r="CD375" t="s">
        <v>24015</v>
      </c>
      <c r="CE375" t="s">
        <v>102</v>
      </c>
      <c r="CF375" t="s">
        <v>21513</v>
      </c>
      <c r="CH375" t="s">
        <v>5951</v>
      </c>
      <c r="CJ375" t="s">
        <v>2840</v>
      </c>
      <c r="CK375" t="s">
        <v>449</v>
      </c>
      <c r="CL375" t="s">
        <v>5951</v>
      </c>
      <c r="CM375" t="s">
        <v>3637</v>
      </c>
      <c r="CN375" t="s">
        <v>11698</v>
      </c>
      <c r="CO375" t="s">
        <v>11698</v>
      </c>
    </row>
    <row r="376" spans="1:93" hidden="1">
      <c r="A376" t="s">
        <v>149</v>
      </c>
      <c r="B376">
        <v>810367</v>
      </c>
      <c r="C376" t="s">
        <v>11699</v>
      </c>
      <c r="D376" t="s">
        <v>21661</v>
      </c>
      <c r="E376" t="s">
        <v>14400</v>
      </c>
      <c r="F376" t="s">
        <v>848</v>
      </c>
      <c r="G376" t="s">
        <v>98</v>
      </c>
      <c r="H376" t="s">
        <v>24837</v>
      </c>
      <c r="I376" t="s">
        <v>100</v>
      </c>
      <c r="J376">
        <v>223028</v>
      </c>
      <c r="K376">
        <v>263173</v>
      </c>
      <c r="L376">
        <v>0</v>
      </c>
      <c r="M376">
        <v>0</v>
      </c>
      <c r="O376">
        <v>0</v>
      </c>
      <c r="P376">
        <v>0</v>
      </c>
      <c r="R376">
        <v>223028</v>
      </c>
      <c r="S376">
        <v>86</v>
      </c>
      <c r="T376" t="s">
        <v>23115</v>
      </c>
      <c r="U376" t="s">
        <v>102</v>
      </c>
      <c r="V376" t="s">
        <v>103</v>
      </c>
      <c r="W376" t="s">
        <v>155</v>
      </c>
      <c r="Y376" t="s">
        <v>21843</v>
      </c>
      <c r="Z376" t="s">
        <v>24838</v>
      </c>
      <c r="AA376" t="s">
        <v>21664</v>
      </c>
      <c r="AB376" t="s">
        <v>24838</v>
      </c>
      <c r="AC376" t="s">
        <v>21665</v>
      </c>
      <c r="AD376" t="s">
        <v>24838</v>
      </c>
      <c r="AE376" t="s">
        <v>21687</v>
      </c>
      <c r="AF376" t="s">
        <v>24838</v>
      </c>
      <c r="AG376" t="s">
        <v>102</v>
      </c>
      <c r="AJ376" t="s">
        <v>24838</v>
      </c>
      <c r="AK376" t="s">
        <v>102</v>
      </c>
      <c r="AL376" t="s">
        <v>24838</v>
      </c>
      <c r="AM376" t="s">
        <v>23118</v>
      </c>
      <c r="AN376" t="s">
        <v>343</v>
      </c>
      <c r="AR376" t="s">
        <v>169</v>
      </c>
      <c r="AS376" t="s">
        <v>102</v>
      </c>
      <c r="AU376" t="s">
        <v>102</v>
      </c>
      <c r="AV376" t="s">
        <v>119</v>
      </c>
      <c r="AY376" t="s">
        <v>250</v>
      </c>
      <c r="AZ376" t="s">
        <v>120</v>
      </c>
      <c r="BA376" t="s">
        <v>2840</v>
      </c>
      <c r="BB376" t="s">
        <v>449</v>
      </c>
      <c r="BC376" t="s">
        <v>122</v>
      </c>
      <c r="BD376" t="s">
        <v>253</v>
      </c>
      <c r="BE376" t="s">
        <v>124</v>
      </c>
      <c r="BF376" t="s">
        <v>12250</v>
      </c>
      <c r="BG376" t="s">
        <v>21667</v>
      </c>
      <c r="BH376" t="s">
        <v>127</v>
      </c>
      <c r="BI376" t="s">
        <v>24839</v>
      </c>
      <c r="BJ376" t="s">
        <v>11706</v>
      </c>
      <c r="BK376" t="s">
        <v>24840</v>
      </c>
      <c r="BL376" t="s">
        <v>14400</v>
      </c>
      <c r="BM376" t="s">
        <v>3267</v>
      </c>
      <c r="BN376" t="s">
        <v>350</v>
      </c>
      <c r="BO376" t="s">
        <v>3268</v>
      </c>
      <c r="BP376" t="s">
        <v>3269</v>
      </c>
      <c r="BQ376" t="s">
        <v>135</v>
      </c>
      <c r="BS376" t="s">
        <v>24841</v>
      </c>
      <c r="BT376" t="s">
        <v>14179</v>
      </c>
      <c r="BU376" t="s">
        <v>598</v>
      </c>
      <c r="BV376" t="s">
        <v>14180</v>
      </c>
      <c r="BW376" t="s">
        <v>3633</v>
      </c>
      <c r="BX376" t="s">
        <v>11709</v>
      </c>
      <c r="BY376" t="s">
        <v>24842</v>
      </c>
      <c r="BZ376" t="s">
        <v>24843</v>
      </c>
      <c r="CA376" t="s">
        <v>24844</v>
      </c>
      <c r="CB376" t="s">
        <v>24845</v>
      </c>
      <c r="CC376" t="s">
        <v>11709</v>
      </c>
      <c r="CD376" t="s">
        <v>24844</v>
      </c>
      <c r="CE376" t="s">
        <v>102</v>
      </c>
      <c r="CF376" t="s">
        <v>21528</v>
      </c>
      <c r="CH376" t="s">
        <v>5951</v>
      </c>
      <c r="CJ376" t="s">
        <v>2840</v>
      </c>
      <c r="CK376" t="s">
        <v>449</v>
      </c>
      <c r="CL376" t="s">
        <v>5951</v>
      </c>
      <c r="CM376" t="s">
        <v>3637</v>
      </c>
      <c r="CN376" t="s">
        <v>11710</v>
      </c>
      <c r="CO376" t="s">
        <v>11710</v>
      </c>
    </row>
    <row r="377" spans="1:93" hidden="1">
      <c r="A377" t="s">
        <v>149</v>
      </c>
      <c r="B377">
        <v>865626</v>
      </c>
      <c r="C377" t="s">
        <v>11220</v>
      </c>
      <c r="D377" t="s">
        <v>21661</v>
      </c>
      <c r="E377" t="s">
        <v>23889</v>
      </c>
      <c r="F377" t="s">
        <v>193</v>
      </c>
      <c r="G377" t="s">
        <v>98</v>
      </c>
      <c r="H377" t="s">
        <v>25607</v>
      </c>
      <c r="I377" t="s">
        <v>100</v>
      </c>
      <c r="J377">
        <v>2776735</v>
      </c>
      <c r="K377">
        <v>3241890</v>
      </c>
      <c r="L377">
        <v>192538</v>
      </c>
      <c r="M377">
        <v>770</v>
      </c>
      <c r="N377" t="s">
        <v>21572</v>
      </c>
      <c r="O377">
        <v>0</v>
      </c>
      <c r="P377">
        <v>0</v>
      </c>
      <c r="R377">
        <v>2584197</v>
      </c>
      <c r="S377">
        <v>2420</v>
      </c>
      <c r="T377" t="s">
        <v>11747</v>
      </c>
      <c r="U377" t="s">
        <v>102</v>
      </c>
      <c r="V377" t="s">
        <v>679</v>
      </c>
      <c r="W377" t="s">
        <v>155</v>
      </c>
      <c r="X377" t="s">
        <v>25608</v>
      </c>
      <c r="Y377" t="s">
        <v>25609</v>
      </c>
      <c r="Z377" t="s">
        <v>25610</v>
      </c>
      <c r="AA377" t="s">
        <v>25611</v>
      </c>
      <c r="AB377" t="s">
        <v>25610</v>
      </c>
      <c r="AC377" t="s">
        <v>25612</v>
      </c>
      <c r="AD377" t="s">
        <v>25610</v>
      </c>
      <c r="AE377" t="s">
        <v>21742</v>
      </c>
      <c r="AF377" t="s">
        <v>25610</v>
      </c>
      <c r="AG377" t="s">
        <v>102</v>
      </c>
      <c r="AJ377" t="s">
        <v>25610</v>
      </c>
      <c r="AK377" t="s">
        <v>102</v>
      </c>
      <c r="AL377" t="s">
        <v>25610</v>
      </c>
      <c r="AM377" t="s">
        <v>21578</v>
      </c>
      <c r="AN377" t="s">
        <v>21578</v>
      </c>
      <c r="AS377" t="s">
        <v>207</v>
      </c>
      <c r="AT377" t="s">
        <v>118</v>
      </c>
      <c r="AU377" t="s">
        <v>102</v>
      </c>
      <c r="AV377" t="s">
        <v>119</v>
      </c>
      <c r="AY377" t="s">
        <v>250</v>
      </c>
      <c r="AZ377" t="s">
        <v>120</v>
      </c>
      <c r="BA377" t="s">
        <v>375</v>
      </c>
      <c r="BB377" t="s">
        <v>376</v>
      </c>
      <c r="BC377" t="s">
        <v>174</v>
      </c>
      <c r="BD377" t="s">
        <v>376</v>
      </c>
      <c r="BE377" t="s">
        <v>124</v>
      </c>
      <c r="BF377" t="s">
        <v>25613</v>
      </c>
      <c r="BG377" t="s">
        <v>21667</v>
      </c>
      <c r="BH377" t="s">
        <v>127</v>
      </c>
      <c r="BI377" t="s">
        <v>25614</v>
      </c>
      <c r="BJ377" t="s">
        <v>11758</v>
      </c>
      <c r="BK377" t="s">
        <v>25615</v>
      </c>
      <c r="BL377" t="s">
        <v>23889</v>
      </c>
      <c r="BM377" t="s">
        <v>179</v>
      </c>
      <c r="BN377" t="s">
        <v>180</v>
      </c>
      <c r="BO377" t="s">
        <v>181</v>
      </c>
      <c r="BP377" t="s">
        <v>182</v>
      </c>
      <c r="BQ377" t="s">
        <v>183</v>
      </c>
      <c r="BS377" t="s">
        <v>25616</v>
      </c>
      <c r="BT377" t="s">
        <v>11761</v>
      </c>
      <c r="BU377" t="s">
        <v>138</v>
      </c>
      <c r="BV377" t="s">
        <v>11762</v>
      </c>
      <c r="BW377" t="s">
        <v>11763</v>
      </c>
      <c r="BX377" t="s">
        <v>11764</v>
      </c>
      <c r="BY377" t="s">
        <v>11761</v>
      </c>
      <c r="BZ377" t="s">
        <v>11762</v>
      </c>
      <c r="CA377" t="s">
        <v>11763</v>
      </c>
      <c r="CB377" t="s">
        <v>25617</v>
      </c>
      <c r="CC377" t="s">
        <v>11766</v>
      </c>
      <c r="CD377" t="s">
        <v>11767</v>
      </c>
      <c r="CE377" t="s">
        <v>102</v>
      </c>
      <c r="CF377" t="s">
        <v>11220</v>
      </c>
      <c r="CH377" t="s">
        <v>1644</v>
      </c>
      <c r="CJ377" t="s">
        <v>375</v>
      </c>
      <c r="CK377" t="s">
        <v>376</v>
      </c>
      <c r="CL377" t="s">
        <v>1644</v>
      </c>
      <c r="CM377" t="s">
        <v>11769</v>
      </c>
      <c r="CN377" t="s">
        <v>11768</v>
      </c>
      <c r="CO377" t="s">
        <v>11768</v>
      </c>
    </row>
    <row r="378" spans="1:93">
      <c r="A378" t="s">
        <v>337</v>
      </c>
      <c r="B378">
        <v>900959</v>
      </c>
      <c r="C378" t="s">
        <v>23373</v>
      </c>
      <c r="D378" t="s">
        <v>21661</v>
      </c>
      <c r="E378" t="s">
        <v>14040</v>
      </c>
      <c r="F378" t="s">
        <v>152</v>
      </c>
      <c r="G378" t="s">
        <v>98</v>
      </c>
      <c r="H378" t="s">
        <v>23374</v>
      </c>
      <c r="I378" t="s">
        <v>100</v>
      </c>
      <c r="J378">
        <v>655200</v>
      </c>
      <c r="K378">
        <v>655200</v>
      </c>
      <c r="L378">
        <v>0</v>
      </c>
      <c r="M378">
        <v>0</v>
      </c>
      <c r="O378">
        <v>655200</v>
      </c>
      <c r="P378">
        <v>520</v>
      </c>
      <c r="Q378" t="s">
        <v>23375</v>
      </c>
      <c r="R378">
        <v>0</v>
      </c>
      <c r="S378">
        <v>0</v>
      </c>
      <c r="U378" t="s">
        <v>102</v>
      </c>
      <c r="V378" t="s">
        <v>103</v>
      </c>
      <c r="W378" t="s">
        <v>155</v>
      </c>
      <c r="Y378" t="s">
        <v>12250</v>
      </c>
      <c r="Z378" t="s">
        <v>547</v>
      </c>
      <c r="AA378" t="s">
        <v>21664</v>
      </c>
      <c r="AB378" t="s">
        <v>547</v>
      </c>
      <c r="AC378" t="s">
        <v>21665</v>
      </c>
      <c r="AD378" t="s">
        <v>547</v>
      </c>
      <c r="AE378" t="s">
        <v>21666</v>
      </c>
      <c r="AF378" t="s">
        <v>547</v>
      </c>
      <c r="AG378" t="s">
        <v>102</v>
      </c>
      <c r="AH378" t="s">
        <v>16553</v>
      </c>
      <c r="AI378" t="s">
        <v>16553</v>
      </c>
      <c r="AJ378" t="s">
        <v>547</v>
      </c>
      <c r="AK378" t="s">
        <v>18861</v>
      </c>
      <c r="AL378" t="s">
        <v>24846</v>
      </c>
      <c r="AM378" t="s">
        <v>2326</v>
      </c>
      <c r="AN378" t="s">
        <v>2326</v>
      </c>
      <c r="AS378" t="s">
        <v>102</v>
      </c>
      <c r="AU378" t="s">
        <v>104</v>
      </c>
      <c r="AV378" t="s">
        <v>447</v>
      </c>
      <c r="AW378" t="s">
        <v>170</v>
      </c>
      <c r="AX378" t="s">
        <v>118</v>
      </c>
      <c r="AZ378" t="s">
        <v>171</v>
      </c>
      <c r="BA378" t="s">
        <v>2820</v>
      </c>
      <c r="BB378" t="s">
        <v>376</v>
      </c>
      <c r="BC378" t="s">
        <v>174</v>
      </c>
      <c r="BD378" t="s">
        <v>376</v>
      </c>
      <c r="BE378" t="s">
        <v>124</v>
      </c>
      <c r="BF378" t="s">
        <v>16780</v>
      </c>
      <c r="BG378" t="s">
        <v>21667</v>
      </c>
      <c r="BH378" t="s">
        <v>127</v>
      </c>
      <c r="BI378" t="s">
        <v>23376</v>
      </c>
      <c r="BJ378" t="s">
        <v>23377</v>
      </c>
      <c r="BK378" t="s">
        <v>23378</v>
      </c>
      <c r="BL378" t="s">
        <v>14040</v>
      </c>
      <c r="BM378" t="s">
        <v>6926</v>
      </c>
      <c r="BN378" t="s">
        <v>180</v>
      </c>
      <c r="BO378" t="s">
        <v>6927</v>
      </c>
      <c r="BP378" t="s">
        <v>6928</v>
      </c>
      <c r="BQ378" t="s">
        <v>1858</v>
      </c>
      <c r="BS378" t="s">
        <v>23379</v>
      </c>
      <c r="BT378" t="s">
        <v>23380</v>
      </c>
      <c r="BU378" t="s">
        <v>138</v>
      </c>
      <c r="BV378" t="s">
        <v>23381</v>
      </c>
      <c r="BW378" t="s">
        <v>23382</v>
      </c>
      <c r="BX378" t="s">
        <v>23381</v>
      </c>
      <c r="BY378" t="s">
        <v>23380</v>
      </c>
      <c r="BZ378" t="s">
        <v>23381</v>
      </c>
      <c r="CA378" t="s">
        <v>23382</v>
      </c>
      <c r="CB378" t="s">
        <v>23380</v>
      </c>
      <c r="CC378" t="s">
        <v>23381</v>
      </c>
      <c r="CD378" t="s">
        <v>23382</v>
      </c>
      <c r="CE378" t="s">
        <v>23383</v>
      </c>
      <c r="CF378" t="s">
        <v>23384</v>
      </c>
      <c r="CH378" t="s">
        <v>23385</v>
      </c>
      <c r="CI378" t="s">
        <v>23386</v>
      </c>
      <c r="CJ378" t="s">
        <v>2820</v>
      </c>
      <c r="CK378" t="s">
        <v>376</v>
      </c>
      <c r="CL378" t="s">
        <v>23385</v>
      </c>
      <c r="CN378" t="s">
        <v>23386</v>
      </c>
      <c r="CO378" t="s">
        <v>23386</v>
      </c>
    </row>
    <row r="379" spans="1:93">
      <c r="A379" t="s">
        <v>337</v>
      </c>
      <c r="B379">
        <v>912899</v>
      </c>
      <c r="C379" t="s">
        <v>11770</v>
      </c>
      <c r="D379" t="s">
        <v>21661</v>
      </c>
      <c r="E379" t="s">
        <v>24272</v>
      </c>
      <c r="F379" t="s">
        <v>97</v>
      </c>
      <c r="G379" t="s">
        <v>98</v>
      </c>
      <c r="H379" t="s">
        <v>26028</v>
      </c>
      <c r="I379" t="s">
        <v>100</v>
      </c>
      <c r="J379">
        <v>477000</v>
      </c>
      <c r="K379">
        <v>477000</v>
      </c>
      <c r="L379">
        <v>477000</v>
      </c>
      <c r="M379">
        <v>530</v>
      </c>
      <c r="N379" t="s">
        <v>2451</v>
      </c>
      <c r="O379">
        <v>0</v>
      </c>
      <c r="P379">
        <v>0</v>
      </c>
      <c r="R379">
        <v>0</v>
      </c>
      <c r="S379">
        <v>0</v>
      </c>
      <c r="U379" t="s">
        <v>102</v>
      </c>
      <c r="V379" t="s">
        <v>103</v>
      </c>
      <c r="W379" t="s">
        <v>398</v>
      </c>
      <c r="Y379" t="s">
        <v>13439</v>
      </c>
      <c r="Z379" t="s">
        <v>26029</v>
      </c>
      <c r="AA379" t="s">
        <v>12720</v>
      </c>
      <c r="AB379" t="s">
        <v>26030</v>
      </c>
      <c r="AC379" t="s">
        <v>21983</v>
      </c>
      <c r="AD379" t="s">
        <v>26030</v>
      </c>
      <c r="AE379" t="s">
        <v>109</v>
      </c>
      <c r="AF379" t="s">
        <v>102</v>
      </c>
      <c r="AG379" t="s">
        <v>102</v>
      </c>
      <c r="AH379" t="s">
        <v>24272</v>
      </c>
      <c r="AI379" t="s">
        <v>24272</v>
      </c>
      <c r="AJ379" t="s">
        <v>26029</v>
      </c>
      <c r="AK379" t="s">
        <v>8004</v>
      </c>
      <c r="AL379" t="s">
        <v>26031</v>
      </c>
      <c r="AM379" t="s">
        <v>554</v>
      </c>
      <c r="AN379" t="s">
        <v>24610</v>
      </c>
      <c r="AO379" t="s">
        <v>102</v>
      </c>
      <c r="AP379" t="s">
        <v>102</v>
      </c>
      <c r="AQ379" t="s">
        <v>102</v>
      </c>
      <c r="AR379" t="s">
        <v>102</v>
      </c>
      <c r="AS379" t="s">
        <v>318</v>
      </c>
      <c r="AT379" t="s">
        <v>118</v>
      </c>
      <c r="AU379" t="s">
        <v>102</v>
      </c>
      <c r="AV379" t="s">
        <v>119</v>
      </c>
      <c r="AZ379" t="s">
        <v>171</v>
      </c>
      <c r="BA379" t="s">
        <v>920</v>
      </c>
      <c r="BB379" t="s">
        <v>211</v>
      </c>
      <c r="BC379" t="s">
        <v>212</v>
      </c>
      <c r="BD379" t="s">
        <v>213</v>
      </c>
      <c r="BE379" t="s">
        <v>124</v>
      </c>
      <c r="BF379" t="s">
        <v>23818</v>
      </c>
      <c r="BG379" t="s">
        <v>25790</v>
      </c>
      <c r="BH379" t="s">
        <v>127</v>
      </c>
      <c r="BI379" t="s">
        <v>26032</v>
      </c>
      <c r="BJ379" t="s">
        <v>11781</v>
      </c>
      <c r="BK379" t="s">
        <v>26033</v>
      </c>
      <c r="BL379" t="s">
        <v>24272</v>
      </c>
      <c r="BM379" t="s">
        <v>19633</v>
      </c>
      <c r="BN379" t="s">
        <v>180</v>
      </c>
      <c r="BO379" t="s">
        <v>19634</v>
      </c>
      <c r="BP379" t="s">
        <v>19635</v>
      </c>
      <c r="BQ379" t="s">
        <v>2463</v>
      </c>
      <c r="BR379" t="s">
        <v>2151</v>
      </c>
      <c r="BS379" t="s">
        <v>26034</v>
      </c>
      <c r="BT379" t="s">
        <v>26035</v>
      </c>
      <c r="BU379" t="s">
        <v>138</v>
      </c>
      <c r="BV379" t="s">
        <v>11785</v>
      </c>
      <c r="BW379" t="s">
        <v>26036</v>
      </c>
      <c r="BX379" t="s">
        <v>11785</v>
      </c>
      <c r="BY379" t="s">
        <v>26037</v>
      </c>
      <c r="BZ379" t="s">
        <v>11785</v>
      </c>
      <c r="CA379" t="s">
        <v>11786</v>
      </c>
      <c r="CB379" t="s">
        <v>26038</v>
      </c>
      <c r="CC379" t="s">
        <v>26039</v>
      </c>
      <c r="CD379" t="s">
        <v>11788</v>
      </c>
      <c r="CE379" t="s">
        <v>1709</v>
      </c>
      <c r="CF379" t="s">
        <v>11789</v>
      </c>
      <c r="CH379" t="s">
        <v>11790</v>
      </c>
      <c r="CI379" t="s">
        <v>11789</v>
      </c>
      <c r="CJ379" t="s">
        <v>920</v>
      </c>
      <c r="CK379" t="s">
        <v>211</v>
      </c>
      <c r="CL379" t="s">
        <v>11790</v>
      </c>
      <c r="CM379" t="s">
        <v>11791</v>
      </c>
      <c r="CN379" t="s">
        <v>11789</v>
      </c>
      <c r="CO379" t="s">
        <v>11789</v>
      </c>
    </row>
    <row r="380" spans="1:93" hidden="1">
      <c r="A380" t="s">
        <v>149</v>
      </c>
      <c r="B380">
        <v>9582</v>
      </c>
      <c r="C380" t="s">
        <v>11792</v>
      </c>
      <c r="D380" t="s">
        <v>21661</v>
      </c>
      <c r="E380" t="s">
        <v>17302</v>
      </c>
      <c r="F380" t="s">
        <v>848</v>
      </c>
      <c r="G380" t="s">
        <v>98</v>
      </c>
      <c r="H380" t="s">
        <v>23387</v>
      </c>
      <c r="I380" t="s">
        <v>100</v>
      </c>
      <c r="J380">
        <v>135424</v>
      </c>
      <c r="K380">
        <v>159800</v>
      </c>
      <c r="L380">
        <v>0</v>
      </c>
      <c r="M380">
        <v>0</v>
      </c>
      <c r="O380">
        <v>0</v>
      </c>
      <c r="P380">
        <v>0</v>
      </c>
      <c r="R380">
        <v>135424</v>
      </c>
      <c r="S380">
        <v>47</v>
      </c>
      <c r="T380" t="s">
        <v>23388</v>
      </c>
      <c r="U380" t="s">
        <v>102</v>
      </c>
      <c r="V380" t="s">
        <v>103</v>
      </c>
      <c r="W380" t="s">
        <v>155</v>
      </c>
      <c r="Y380" t="s">
        <v>20476</v>
      </c>
      <c r="Z380" t="s">
        <v>23389</v>
      </c>
      <c r="AA380" t="s">
        <v>23390</v>
      </c>
      <c r="AB380" t="s">
        <v>23389</v>
      </c>
      <c r="AC380" t="s">
        <v>22030</v>
      </c>
      <c r="AD380" t="s">
        <v>23389</v>
      </c>
      <c r="AE380" t="s">
        <v>21687</v>
      </c>
      <c r="AF380" t="s">
        <v>23389</v>
      </c>
      <c r="AG380" t="s">
        <v>102</v>
      </c>
      <c r="AJ380" t="s">
        <v>23389</v>
      </c>
      <c r="AK380" t="s">
        <v>102</v>
      </c>
      <c r="AL380" t="s">
        <v>23389</v>
      </c>
      <c r="AM380" t="s">
        <v>23391</v>
      </c>
      <c r="AN380" t="s">
        <v>23391</v>
      </c>
      <c r="AS380" t="s">
        <v>102</v>
      </c>
      <c r="AU380" t="s">
        <v>102</v>
      </c>
      <c r="AV380" t="s">
        <v>119</v>
      </c>
      <c r="AY380" t="s">
        <v>250</v>
      </c>
      <c r="AZ380" t="s">
        <v>1964</v>
      </c>
      <c r="BA380" t="s">
        <v>375</v>
      </c>
      <c r="BB380" t="s">
        <v>376</v>
      </c>
      <c r="BC380" t="s">
        <v>174</v>
      </c>
      <c r="BD380" t="s">
        <v>376</v>
      </c>
      <c r="BE380" t="s">
        <v>124</v>
      </c>
      <c r="BF380" t="s">
        <v>21790</v>
      </c>
      <c r="BG380" t="s">
        <v>21667</v>
      </c>
      <c r="BH380" t="s">
        <v>127</v>
      </c>
      <c r="BI380" t="s">
        <v>23392</v>
      </c>
      <c r="BJ380" t="s">
        <v>11808</v>
      </c>
      <c r="BK380" t="s">
        <v>23393</v>
      </c>
      <c r="BL380" t="s">
        <v>17302</v>
      </c>
      <c r="BM380" t="s">
        <v>179</v>
      </c>
      <c r="BN380" t="s">
        <v>180</v>
      </c>
      <c r="BO380" t="s">
        <v>181</v>
      </c>
      <c r="BP380" t="s">
        <v>182</v>
      </c>
      <c r="BQ380" t="s">
        <v>183</v>
      </c>
      <c r="BS380" t="s">
        <v>23394</v>
      </c>
      <c r="BT380" t="s">
        <v>11811</v>
      </c>
      <c r="BU380" t="s">
        <v>138</v>
      </c>
      <c r="BV380" t="s">
        <v>23395</v>
      </c>
      <c r="BW380" t="s">
        <v>11813</v>
      </c>
      <c r="BY380" t="s">
        <v>11811</v>
      </c>
      <c r="BZ380" t="s">
        <v>23395</v>
      </c>
      <c r="CA380" t="s">
        <v>11813</v>
      </c>
      <c r="CB380" t="s">
        <v>23396</v>
      </c>
      <c r="CC380" t="s">
        <v>23395</v>
      </c>
      <c r="CD380" t="s">
        <v>11816</v>
      </c>
      <c r="CE380" t="s">
        <v>102</v>
      </c>
      <c r="CF380" t="s">
        <v>11817</v>
      </c>
      <c r="CH380" t="s">
        <v>11818</v>
      </c>
      <c r="CJ380" t="s">
        <v>375</v>
      </c>
      <c r="CK380" t="s">
        <v>376</v>
      </c>
      <c r="CL380" t="s">
        <v>11818</v>
      </c>
      <c r="CM380" t="s">
        <v>11819</v>
      </c>
      <c r="CN380" t="s">
        <v>11817</v>
      </c>
      <c r="CO380" t="s">
        <v>11817</v>
      </c>
    </row>
    <row r="381" spans="1:93" hidden="1">
      <c r="A381" t="s">
        <v>149</v>
      </c>
      <c r="B381">
        <v>971627</v>
      </c>
      <c r="C381" t="s">
        <v>11820</v>
      </c>
      <c r="D381" t="s">
        <v>21661</v>
      </c>
      <c r="E381" t="s">
        <v>25618</v>
      </c>
      <c r="F381" t="s">
        <v>643</v>
      </c>
      <c r="G381" t="s">
        <v>98</v>
      </c>
      <c r="H381" t="s">
        <v>25619</v>
      </c>
      <c r="I381" t="s">
        <v>100</v>
      </c>
      <c r="J381">
        <v>1328404</v>
      </c>
      <c r="K381">
        <v>1413288</v>
      </c>
      <c r="L381">
        <v>0</v>
      </c>
      <c r="M381">
        <v>0</v>
      </c>
      <c r="O381">
        <v>856826</v>
      </c>
      <c r="P381">
        <v>405</v>
      </c>
      <c r="Q381" t="s">
        <v>23683</v>
      </c>
      <c r="R381">
        <v>471578</v>
      </c>
      <c r="S381">
        <v>263</v>
      </c>
      <c r="T381" t="s">
        <v>23684</v>
      </c>
      <c r="U381" t="s">
        <v>102</v>
      </c>
      <c r="V381" t="s">
        <v>103</v>
      </c>
      <c r="W381" t="s">
        <v>104</v>
      </c>
      <c r="Y381" t="s">
        <v>12250</v>
      </c>
      <c r="Z381" t="s">
        <v>23685</v>
      </c>
      <c r="AA381" t="s">
        <v>22521</v>
      </c>
      <c r="AB381" t="s">
        <v>23686</v>
      </c>
      <c r="AC381" t="s">
        <v>109</v>
      </c>
      <c r="AD381" t="s">
        <v>102</v>
      </c>
      <c r="AE381" t="s">
        <v>109</v>
      </c>
      <c r="AF381" t="s">
        <v>102</v>
      </c>
      <c r="AG381" t="s">
        <v>102</v>
      </c>
      <c r="AH381" t="s">
        <v>24940</v>
      </c>
      <c r="AI381" t="s">
        <v>24940</v>
      </c>
      <c r="AJ381" t="s">
        <v>23685</v>
      </c>
      <c r="AK381" t="s">
        <v>25620</v>
      </c>
      <c r="AL381" t="s">
        <v>25621</v>
      </c>
      <c r="AM381" t="s">
        <v>23687</v>
      </c>
      <c r="AN381" t="s">
        <v>23687</v>
      </c>
      <c r="AS381" t="s">
        <v>102</v>
      </c>
      <c r="AU381" t="s">
        <v>655</v>
      </c>
      <c r="AV381" t="s">
        <v>119</v>
      </c>
      <c r="AW381" t="s">
        <v>1138</v>
      </c>
      <c r="AX381" t="s">
        <v>118</v>
      </c>
      <c r="AY381" t="s">
        <v>250</v>
      </c>
      <c r="AZ381" t="s">
        <v>209</v>
      </c>
      <c r="BA381" t="s">
        <v>623</v>
      </c>
      <c r="BB381" t="s">
        <v>621</v>
      </c>
      <c r="BC381" t="s">
        <v>622</v>
      </c>
      <c r="BD381" t="s">
        <v>623</v>
      </c>
      <c r="BE381" t="s">
        <v>124</v>
      </c>
      <c r="BF381" t="s">
        <v>25622</v>
      </c>
      <c r="BG381" t="s">
        <v>21806</v>
      </c>
      <c r="BH381" t="s">
        <v>127</v>
      </c>
      <c r="BI381" t="s">
        <v>25623</v>
      </c>
      <c r="BJ381" t="s">
        <v>11830</v>
      </c>
      <c r="BK381" t="s">
        <v>25624</v>
      </c>
      <c r="BL381" t="s">
        <v>25618</v>
      </c>
      <c r="BM381" t="s">
        <v>629</v>
      </c>
      <c r="BN381" t="s">
        <v>132</v>
      </c>
      <c r="BO381" t="s">
        <v>630</v>
      </c>
      <c r="BP381" t="s">
        <v>631</v>
      </c>
      <c r="BQ381" t="s">
        <v>8262</v>
      </c>
      <c r="BS381" t="s">
        <v>25625</v>
      </c>
      <c r="BT381" t="s">
        <v>25626</v>
      </c>
      <c r="BV381" t="s">
        <v>11834</v>
      </c>
      <c r="BW381" t="s">
        <v>23688</v>
      </c>
      <c r="BX381" t="s">
        <v>11834</v>
      </c>
      <c r="BY381" t="s">
        <v>25626</v>
      </c>
      <c r="BZ381" t="s">
        <v>11834</v>
      </c>
      <c r="CA381" t="s">
        <v>23688</v>
      </c>
      <c r="CB381" t="s">
        <v>25626</v>
      </c>
      <c r="CC381" t="s">
        <v>11834</v>
      </c>
      <c r="CD381" t="s">
        <v>23688</v>
      </c>
      <c r="CE381" t="s">
        <v>11842</v>
      </c>
      <c r="CF381" t="s">
        <v>11843</v>
      </c>
      <c r="CH381" t="s">
        <v>11844</v>
      </c>
      <c r="CJ381" t="s">
        <v>623</v>
      </c>
      <c r="CK381" t="s">
        <v>621</v>
      </c>
      <c r="CL381" t="s">
        <v>11844</v>
      </c>
      <c r="CN381" t="s">
        <v>11843</v>
      </c>
      <c r="CO381" t="s">
        <v>11843</v>
      </c>
    </row>
    <row r="382" spans="1:93" hidden="1">
      <c r="A382" t="s">
        <v>149</v>
      </c>
      <c r="B382">
        <v>999141</v>
      </c>
      <c r="C382" t="s">
        <v>11863</v>
      </c>
      <c r="D382" t="s">
        <v>21661</v>
      </c>
      <c r="E382" t="s">
        <v>23815</v>
      </c>
      <c r="F382" t="s">
        <v>152</v>
      </c>
      <c r="G382" t="s">
        <v>98</v>
      </c>
      <c r="H382" t="s">
        <v>24018</v>
      </c>
      <c r="I382" t="s">
        <v>100</v>
      </c>
      <c r="J382">
        <v>802734</v>
      </c>
      <c r="K382">
        <v>802734</v>
      </c>
      <c r="L382">
        <v>0</v>
      </c>
      <c r="M382">
        <v>0</v>
      </c>
      <c r="O382">
        <v>802734</v>
      </c>
      <c r="P382">
        <v>1068</v>
      </c>
      <c r="Q382" t="s">
        <v>24019</v>
      </c>
      <c r="R382">
        <v>0</v>
      </c>
      <c r="S382">
        <v>0</v>
      </c>
      <c r="U382" t="s">
        <v>102</v>
      </c>
      <c r="V382" t="s">
        <v>103</v>
      </c>
      <c r="W382" t="s">
        <v>104</v>
      </c>
      <c r="Y382" t="s">
        <v>22027</v>
      </c>
      <c r="Z382" t="s">
        <v>24020</v>
      </c>
      <c r="AA382" t="s">
        <v>22705</v>
      </c>
      <c r="AB382" t="s">
        <v>24020</v>
      </c>
      <c r="AC382" t="s">
        <v>109</v>
      </c>
      <c r="AD382" t="s">
        <v>102</v>
      </c>
      <c r="AE382" t="s">
        <v>109</v>
      </c>
      <c r="AF382" t="s">
        <v>102</v>
      </c>
      <c r="AG382" t="s">
        <v>102</v>
      </c>
      <c r="AJ382" t="s">
        <v>24020</v>
      </c>
      <c r="AK382" t="s">
        <v>102</v>
      </c>
      <c r="AL382" t="s">
        <v>24020</v>
      </c>
      <c r="AM382" t="s">
        <v>24021</v>
      </c>
      <c r="AN382" t="s">
        <v>24022</v>
      </c>
      <c r="AP382" t="s">
        <v>169</v>
      </c>
      <c r="AR382" t="s">
        <v>169</v>
      </c>
      <c r="AS382" t="s">
        <v>102</v>
      </c>
      <c r="AU382" t="s">
        <v>104</v>
      </c>
      <c r="AV382" t="s">
        <v>447</v>
      </c>
      <c r="AW382" t="s">
        <v>170</v>
      </c>
      <c r="AX382" t="s">
        <v>118</v>
      </c>
      <c r="AZ382" t="s">
        <v>1964</v>
      </c>
      <c r="BA382" t="s">
        <v>448</v>
      </c>
      <c r="BB382" t="s">
        <v>449</v>
      </c>
      <c r="BC382" t="s">
        <v>122</v>
      </c>
      <c r="BD382" t="s">
        <v>450</v>
      </c>
      <c r="BE382" t="s">
        <v>124</v>
      </c>
      <c r="BF382" t="s">
        <v>12250</v>
      </c>
      <c r="BG382" t="s">
        <v>21667</v>
      </c>
      <c r="BH382" t="s">
        <v>127</v>
      </c>
      <c r="BI382" t="s">
        <v>24023</v>
      </c>
      <c r="BJ382" t="s">
        <v>11874</v>
      </c>
      <c r="BK382" t="s">
        <v>24024</v>
      </c>
      <c r="BL382" t="s">
        <v>23815</v>
      </c>
      <c r="BM382" t="s">
        <v>18467</v>
      </c>
      <c r="BN382" t="s">
        <v>350</v>
      </c>
      <c r="BO382" t="s">
        <v>18468</v>
      </c>
      <c r="BP382" t="s">
        <v>18469</v>
      </c>
      <c r="BQ382" t="s">
        <v>455</v>
      </c>
      <c r="BS382" t="s">
        <v>24025</v>
      </c>
      <c r="BT382" t="s">
        <v>24026</v>
      </c>
      <c r="BU382" t="s">
        <v>138</v>
      </c>
      <c r="BV382" t="s">
        <v>11878</v>
      </c>
      <c r="BW382" t="s">
        <v>11879</v>
      </c>
      <c r="BX382" t="s">
        <v>11878</v>
      </c>
      <c r="BY382" t="s">
        <v>24027</v>
      </c>
      <c r="BZ382" t="s">
        <v>11878</v>
      </c>
      <c r="CA382" t="s">
        <v>11879</v>
      </c>
      <c r="CB382" t="s">
        <v>24028</v>
      </c>
      <c r="CC382" t="s">
        <v>24029</v>
      </c>
      <c r="CD382" t="s">
        <v>24030</v>
      </c>
      <c r="CE382" t="s">
        <v>4937</v>
      </c>
      <c r="CF382" t="s">
        <v>448</v>
      </c>
      <c r="CH382" t="s">
        <v>8000</v>
      </c>
      <c r="CI382" t="s">
        <v>21659</v>
      </c>
      <c r="CJ382" t="s">
        <v>448</v>
      </c>
      <c r="CK382" t="s">
        <v>449</v>
      </c>
      <c r="CL382" t="s">
        <v>8000</v>
      </c>
      <c r="CM382" t="s">
        <v>1979</v>
      </c>
      <c r="CN382" t="s">
        <v>11880</v>
      </c>
      <c r="CO382" t="s">
        <v>11880</v>
      </c>
    </row>
  </sheetData>
  <autoFilter ref="A1:CO382" xr:uid="{60FCB21D-AD55-384D-BE1A-AA4FAFAF1E18}">
    <filterColumn colId="0">
      <filters>
        <filter val="New School"/>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E60F2-5B3C-2249-BC58-FB11E6601133}">
  <sheetPr filterMode="1"/>
  <dimension ref="A1:CS646"/>
  <sheetViews>
    <sheetView zoomScale="150" zoomScaleNormal="150" workbookViewId="0">
      <selection activeCell="F271" sqref="F271"/>
    </sheetView>
  </sheetViews>
  <sheetFormatPr baseColWidth="10" defaultRowHeight="16"/>
  <cols>
    <col min="1" max="1" width="15.83203125" style="50" customWidth="1"/>
    <col min="2" max="2" width="13.6640625" style="50" bestFit="1" customWidth="1"/>
    <col min="3" max="3" width="13.6640625" style="50" customWidth="1"/>
    <col min="4" max="5" width="10.83203125" style="50"/>
    <col min="6" max="6" width="65.83203125" style="50" bestFit="1" customWidth="1"/>
    <col min="7" max="7" width="26.5" style="50" customWidth="1"/>
    <col min="8" max="8" width="20" style="50" customWidth="1"/>
    <col min="9" max="11" width="12" style="50" bestFit="1" customWidth="1"/>
    <col min="12" max="12" width="19.5" style="50" customWidth="1"/>
    <col min="13" max="14" width="14.83203125" style="50" bestFit="1" customWidth="1"/>
    <col min="15" max="15" width="13.33203125" style="50" bestFit="1" customWidth="1"/>
    <col min="16" max="16" width="12" style="50" bestFit="1" customWidth="1"/>
    <col min="17" max="17" width="10.83203125" style="50"/>
    <col min="18" max="18" width="13.5" style="50" bestFit="1" customWidth="1"/>
    <col min="19" max="19" width="12" style="50" bestFit="1" customWidth="1"/>
    <col min="20" max="20" width="10.83203125" style="50"/>
    <col min="21" max="21" width="13.5" style="50" bestFit="1" customWidth="1"/>
    <col min="22" max="22" width="12" style="50" bestFit="1" customWidth="1"/>
    <col min="23" max="94" width="10.83203125" style="50"/>
    <col min="95" max="95" width="38" style="50" hidden="1" customWidth="1"/>
    <col min="96" max="96" width="0" style="50" hidden="1" customWidth="1"/>
    <col min="97" max="97" width="42.83203125" style="50" customWidth="1"/>
    <col min="98" max="16384" width="10.83203125" style="50"/>
  </cols>
  <sheetData>
    <row r="1" spans="1:97">
      <c r="A1" s="48" t="s">
        <v>0</v>
      </c>
      <c r="B1" s="48" t="s">
        <v>1</v>
      </c>
      <c r="C1" s="48" t="s">
        <v>8</v>
      </c>
      <c r="D1" s="48" t="s">
        <v>54</v>
      </c>
      <c r="E1" s="48" t="s">
        <v>11881</v>
      </c>
      <c r="F1" s="48" t="s">
        <v>2</v>
      </c>
      <c r="G1" s="48" t="s">
        <v>24032</v>
      </c>
      <c r="H1" s="48" t="s">
        <v>24033</v>
      </c>
      <c r="I1" s="48" t="s">
        <v>24034</v>
      </c>
      <c r="J1" s="48" t="s">
        <v>24035</v>
      </c>
      <c r="K1" s="48" t="s">
        <v>24036</v>
      </c>
      <c r="L1" s="48" t="s">
        <v>24031</v>
      </c>
      <c r="M1" s="48" t="s">
        <v>9</v>
      </c>
      <c r="N1" s="48" t="s">
        <v>10</v>
      </c>
      <c r="O1" s="48" t="s">
        <v>11</v>
      </c>
      <c r="P1" s="48" t="s">
        <v>12</v>
      </c>
      <c r="Q1" s="48" t="s">
        <v>13</v>
      </c>
      <c r="R1" s="48" t="s">
        <v>14</v>
      </c>
      <c r="S1" s="48" t="s">
        <v>15</v>
      </c>
      <c r="T1" s="48" t="s">
        <v>16</v>
      </c>
      <c r="U1" s="48" t="s">
        <v>17</v>
      </c>
      <c r="V1" s="48" t="s">
        <v>18</v>
      </c>
      <c r="W1" s="48" t="s">
        <v>19</v>
      </c>
      <c r="X1" s="48" t="s">
        <v>20</v>
      </c>
      <c r="Y1" s="48" t="s">
        <v>21</v>
      </c>
      <c r="Z1" s="48" t="s">
        <v>22</v>
      </c>
      <c r="AA1" s="48" t="s">
        <v>23</v>
      </c>
      <c r="AB1" s="48" t="s">
        <v>24</v>
      </c>
      <c r="AC1" s="48" t="s">
        <v>25</v>
      </c>
      <c r="AD1" s="48" t="s">
        <v>26</v>
      </c>
      <c r="AE1" s="48" t="s">
        <v>27</v>
      </c>
      <c r="AF1" s="48" t="s">
        <v>28</v>
      </c>
      <c r="AG1" s="48" t="s">
        <v>29</v>
      </c>
      <c r="AH1" s="48" t="s">
        <v>30</v>
      </c>
      <c r="AI1" s="48" t="s">
        <v>31</v>
      </c>
      <c r="AJ1" s="48" t="s">
        <v>32</v>
      </c>
      <c r="AK1" s="48" t="s">
        <v>33</v>
      </c>
      <c r="AL1" s="48" t="s">
        <v>34</v>
      </c>
      <c r="AM1" s="48" t="s">
        <v>35</v>
      </c>
      <c r="AN1" s="48" t="s">
        <v>36</v>
      </c>
      <c r="AO1" s="48" t="s">
        <v>37</v>
      </c>
      <c r="AP1" s="48" t="s">
        <v>38</v>
      </c>
      <c r="AQ1" s="48" t="s">
        <v>39</v>
      </c>
      <c r="AR1" s="48" t="s">
        <v>40</v>
      </c>
      <c r="AS1" s="48" t="s">
        <v>41</v>
      </c>
      <c r="AT1" s="48" t="s">
        <v>42</v>
      </c>
      <c r="AU1" s="48" t="s">
        <v>43</v>
      </c>
      <c r="AV1" s="48" t="s">
        <v>44</v>
      </c>
      <c r="AW1" s="48" t="s">
        <v>45</v>
      </c>
      <c r="AX1" s="48" t="s">
        <v>46</v>
      </c>
      <c r="AY1" s="48" t="s">
        <v>47</v>
      </c>
      <c r="AZ1" s="48" t="s">
        <v>48</v>
      </c>
      <c r="BA1" s="48" t="s">
        <v>49</v>
      </c>
      <c r="BB1" s="48" t="s">
        <v>50</v>
      </c>
      <c r="BC1" s="48" t="s">
        <v>51</v>
      </c>
      <c r="BD1" s="48" t="s">
        <v>52</v>
      </c>
      <c r="BE1" s="48" t="s">
        <v>53</v>
      </c>
      <c r="BF1" s="48" t="s">
        <v>54</v>
      </c>
      <c r="BG1" s="48" t="s">
        <v>55</v>
      </c>
      <c r="BH1" s="48" t="s">
        <v>56</v>
      </c>
      <c r="BI1" s="48" t="s">
        <v>57</v>
      </c>
      <c r="BJ1" s="48" t="s">
        <v>58</v>
      </c>
      <c r="BK1" s="48" t="s">
        <v>59</v>
      </c>
      <c r="BL1" s="48" t="s">
        <v>60</v>
      </c>
      <c r="BM1" s="48" t="s">
        <v>61</v>
      </c>
      <c r="BN1" s="48" t="s">
        <v>62</v>
      </c>
      <c r="BO1" s="48" t="s">
        <v>63</v>
      </c>
      <c r="BP1" s="48" t="s">
        <v>64</v>
      </c>
      <c r="BQ1" s="48" t="s">
        <v>65</v>
      </c>
      <c r="BR1" s="48" t="s">
        <v>66</v>
      </c>
      <c r="BS1" s="48" t="s">
        <v>67</v>
      </c>
      <c r="BT1" s="48" t="s">
        <v>68</v>
      </c>
      <c r="BU1" s="48" t="s">
        <v>69</v>
      </c>
      <c r="BV1" s="48" t="s">
        <v>70</v>
      </c>
      <c r="BW1" s="48" t="s">
        <v>71</v>
      </c>
      <c r="BX1" s="48" t="s">
        <v>72</v>
      </c>
      <c r="BY1" s="48" t="s">
        <v>73</v>
      </c>
      <c r="BZ1" s="48" t="s">
        <v>74</v>
      </c>
      <c r="CA1" s="48" t="s">
        <v>75</v>
      </c>
      <c r="CB1" s="48" t="s">
        <v>76</v>
      </c>
      <c r="CC1" s="48" t="s">
        <v>77</v>
      </c>
      <c r="CD1" s="48" t="s">
        <v>78</v>
      </c>
      <c r="CE1" s="48" t="s">
        <v>79</v>
      </c>
      <c r="CF1" s="48" t="s">
        <v>80</v>
      </c>
      <c r="CG1" s="48" t="s">
        <v>81</v>
      </c>
      <c r="CH1" s="48" t="s">
        <v>82</v>
      </c>
      <c r="CI1" s="48" t="s">
        <v>83</v>
      </c>
      <c r="CJ1" s="48" t="s">
        <v>84</v>
      </c>
      <c r="CK1" s="48" t="s">
        <v>85</v>
      </c>
      <c r="CL1" s="48" t="s">
        <v>86</v>
      </c>
      <c r="CM1" s="48" t="s">
        <v>87</v>
      </c>
      <c r="CN1" s="48" t="s">
        <v>88</v>
      </c>
      <c r="CO1" s="48" t="s">
        <v>89</v>
      </c>
      <c r="CP1" s="48" t="s">
        <v>90</v>
      </c>
      <c r="CQ1" s="48" t="s">
        <v>91</v>
      </c>
      <c r="CR1" s="48" t="s">
        <v>92</v>
      </c>
      <c r="CS1" s="50" t="s">
        <v>26041</v>
      </c>
    </row>
    <row r="2" spans="1:97" hidden="1">
      <c r="A2" s="50" t="s">
        <v>495</v>
      </c>
      <c r="B2" s="50">
        <v>1752</v>
      </c>
      <c r="C2" s="50" t="e">
        <f>VLOOKUP(B2,'Drop schools 2026'!B:C,2,0)</f>
        <v>#N/A</v>
      </c>
      <c r="D2" s="50" t="s">
        <v>622</v>
      </c>
      <c r="E2" s="50" t="s">
        <v>3562</v>
      </c>
      <c r="F2" s="50" t="s">
        <v>1713</v>
      </c>
      <c r="G2" s="50" t="e">
        <f>VLOOKUP(B2,aa!B:F,5,0)</f>
        <v>#N/A</v>
      </c>
      <c r="H2" s="50" t="e">
        <f>VLOOKUP(B2,aa!B:J,9,0)</f>
        <v>#N/A</v>
      </c>
      <c r="I2" s="50" t="e">
        <f>VLOOKUP(B2,aa!B:L,11,0)</f>
        <v>#N/A</v>
      </c>
      <c r="J2" s="50" t="e">
        <f>VLOOKUP(B2,aa!B:O,14,0)</f>
        <v>#N/A</v>
      </c>
      <c r="K2" s="50" t="e">
        <f>VLOOKUP(B2,aa!B:R,17,0)</f>
        <v>#N/A</v>
      </c>
      <c r="L2" s="50" t="s">
        <v>193</v>
      </c>
      <c r="M2" s="50">
        <v>10514044</v>
      </c>
      <c r="N2" s="50">
        <v>12245201</v>
      </c>
      <c r="O2" s="50">
        <v>896506</v>
      </c>
      <c r="P2" s="50">
        <v>1470</v>
      </c>
      <c r="Q2" s="50" t="s">
        <v>12898</v>
      </c>
      <c r="R2" s="50">
        <v>0</v>
      </c>
      <c r="S2" s="50">
        <v>0</v>
      </c>
      <c r="U2" s="50">
        <v>9617538</v>
      </c>
      <c r="V2" s="50">
        <v>4365</v>
      </c>
      <c r="W2" s="50" t="s">
        <v>608</v>
      </c>
      <c r="X2" s="50" t="s">
        <v>102</v>
      </c>
      <c r="Y2" s="50" t="s">
        <v>275</v>
      </c>
      <c r="AA2" s="50" t="s">
        <v>12899</v>
      </c>
      <c r="AB2" s="50" t="s">
        <v>109</v>
      </c>
      <c r="AC2" s="50" t="s">
        <v>102</v>
      </c>
      <c r="AD2" s="50" t="s">
        <v>109</v>
      </c>
      <c r="AE2" s="50" t="s">
        <v>102</v>
      </c>
      <c r="AF2" s="50" t="s">
        <v>109</v>
      </c>
      <c r="AG2" s="50" t="s">
        <v>102</v>
      </c>
      <c r="AH2" s="50" t="s">
        <v>109</v>
      </c>
      <c r="AI2" s="50" t="s">
        <v>102</v>
      </c>
      <c r="AJ2" s="50" t="s">
        <v>102</v>
      </c>
      <c r="AM2" s="50" t="s">
        <v>12900</v>
      </c>
      <c r="AN2" s="50" t="s">
        <v>102</v>
      </c>
      <c r="AO2" s="50" t="s">
        <v>12900</v>
      </c>
      <c r="AP2" s="50" t="s">
        <v>12901</v>
      </c>
      <c r="AQ2" s="50" t="s">
        <v>12902</v>
      </c>
      <c r="AS2" s="50" t="s">
        <v>169</v>
      </c>
      <c r="AU2" s="50" t="s">
        <v>169</v>
      </c>
      <c r="AV2" s="50" t="s">
        <v>117</v>
      </c>
      <c r="AW2" s="50" t="s">
        <v>118</v>
      </c>
      <c r="AX2" s="50" t="s">
        <v>102</v>
      </c>
      <c r="AY2" s="50" t="s">
        <v>119</v>
      </c>
      <c r="BB2" s="50" t="s">
        <v>250</v>
      </c>
      <c r="BC2" s="50" t="s">
        <v>171</v>
      </c>
      <c r="BD2" s="50" t="s">
        <v>1729</v>
      </c>
      <c r="BE2" s="50" t="s">
        <v>730</v>
      </c>
      <c r="BF2" s="50" t="s">
        <v>622</v>
      </c>
      <c r="BG2" s="50" t="s">
        <v>730</v>
      </c>
      <c r="BH2" s="50" t="s">
        <v>124</v>
      </c>
      <c r="BI2" s="50" t="s">
        <v>11976</v>
      </c>
      <c r="BJ2" s="50" t="s">
        <v>12720</v>
      </c>
      <c r="BK2" s="50" t="s">
        <v>127</v>
      </c>
      <c r="BL2" s="50" t="s">
        <v>12903</v>
      </c>
      <c r="BM2" s="50" t="s">
        <v>1731</v>
      </c>
      <c r="BN2" s="50" t="s">
        <v>12904</v>
      </c>
      <c r="BO2" s="50" t="s">
        <v>12897</v>
      </c>
      <c r="BP2" s="50" t="s">
        <v>734</v>
      </c>
      <c r="BQ2" s="50" t="s">
        <v>12227</v>
      </c>
      <c r="BR2" s="50" t="s">
        <v>735</v>
      </c>
      <c r="BS2" s="50" t="s">
        <v>736</v>
      </c>
      <c r="BT2" s="50" t="s">
        <v>737</v>
      </c>
      <c r="BU2" s="50" t="s">
        <v>985</v>
      </c>
      <c r="BV2" s="50" t="s">
        <v>12905</v>
      </c>
      <c r="BW2" s="50" t="s">
        <v>6852</v>
      </c>
      <c r="BX2" s="50" t="s">
        <v>9092</v>
      </c>
      <c r="BY2" s="50" t="s">
        <v>4098</v>
      </c>
      <c r="BZ2" s="50" t="s">
        <v>4099</v>
      </c>
      <c r="CA2" s="50" t="s">
        <v>1740</v>
      </c>
      <c r="CB2" s="50" t="s">
        <v>6852</v>
      </c>
      <c r="CC2" s="50" t="s">
        <v>4098</v>
      </c>
      <c r="CD2" s="50" t="s">
        <v>4099</v>
      </c>
      <c r="CE2" s="50" t="s">
        <v>6852</v>
      </c>
      <c r="CF2" s="50" t="s">
        <v>4098</v>
      </c>
      <c r="CG2" s="50" t="s">
        <v>4099</v>
      </c>
      <c r="CH2" s="50" t="s">
        <v>1741</v>
      </c>
      <c r="CI2" s="50" t="s">
        <v>12906</v>
      </c>
      <c r="CK2" s="50" t="s">
        <v>1743</v>
      </c>
      <c r="CL2" s="50" t="s">
        <v>12906</v>
      </c>
      <c r="CM2" s="50" t="s">
        <v>1729</v>
      </c>
      <c r="CN2" s="50" t="s">
        <v>730</v>
      </c>
      <c r="CO2" s="50" t="s">
        <v>1743</v>
      </c>
      <c r="CQ2" s="50" t="s">
        <v>1742</v>
      </c>
      <c r="CR2" s="50" t="s">
        <v>1742</v>
      </c>
    </row>
    <row r="3" spans="1:97">
      <c r="A3" s="50" t="s">
        <v>337</v>
      </c>
      <c r="B3" s="50">
        <v>5018239</v>
      </c>
      <c r="C3" s="50" t="e">
        <f>VLOOKUP(B3,'Drop schools 2026'!B:C,2,0)</f>
        <v>#N/A</v>
      </c>
      <c r="D3" s="50" t="s">
        <v>122</v>
      </c>
      <c r="E3" s="50" t="s">
        <v>13158</v>
      </c>
      <c r="F3" s="50" t="s">
        <v>19552</v>
      </c>
      <c r="G3" s="50" t="e">
        <f>VLOOKUP(B3,aa!B:F,5,0)</f>
        <v>#N/A</v>
      </c>
      <c r="H3" s="50" t="e">
        <f>VLOOKUP(B3,aa!B:J,9,0)</f>
        <v>#N/A</v>
      </c>
      <c r="I3" s="50" t="e">
        <f>VLOOKUP(B3,aa!B:L,11,0)</f>
        <v>#N/A</v>
      </c>
      <c r="J3" s="50" t="e">
        <f>VLOOKUP(B3,aa!B:O,14,0)</f>
        <v>#N/A</v>
      </c>
      <c r="K3" s="50" t="e">
        <f>VLOOKUP(B3,aa!B:R,17,0)</f>
        <v>#N/A</v>
      </c>
      <c r="L3" s="50" t="s">
        <v>97</v>
      </c>
      <c r="M3" s="50">
        <v>7741717</v>
      </c>
      <c r="N3" s="50">
        <v>7741717</v>
      </c>
      <c r="O3" s="50">
        <v>7741717</v>
      </c>
      <c r="P3" s="50">
        <v>14763</v>
      </c>
      <c r="Q3" s="50" t="s">
        <v>2861</v>
      </c>
      <c r="R3" s="50">
        <v>0</v>
      </c>
      <c r="S3" s="50">
        <v>0</v>
      </c>
      <c r="U3" s="50">
        <v>0</v>
      </c>
      <c r="V3" s="50">
        <v>0</v>
      </c>
      <c r="X3" s="50" t="s">
        <v>102</v>
      </c>
      <c r="Y3" s="50" t="s">
        <v>103</v>
      </c>
      <c r="Z3" s="50" t="s">
        <v>398</v>
      </c>
      <c r="AB3" s="50" t="s">
        <v>12312</v>
      </c>
      <c r="AC3" s="50" t="s">
        <v>19553</v>
      </c>
      <c r="AD3" s="50" t="s">
        <v>13110</v>
      </c>
      <c r="AE3" s="50" t="s">
        <v>19554</v>
      </c>
      <c r="AF3" s="50" t="s">
        <v>12820</v>
      </c>
      <c r="AG3" s="50" t="s">
        <v>19555</v>
      </c>
      <c r="AH3" s="50" t="s">
        <v>109</v>
      </c>
      <c r="AI3" s="50" t="s">
        <v>102</v>
      </c>
      <c r="AJ3" s="50" t="s">
        <v>19556</v>
      </c>
      <c r="AK3" s="50" t="s">
        <v>4294</v>
      </c>
      <c r="AL3" s="50" t="s">
        <v>12123</v>
      </c>
      <c r="AM3" s="50" t="s">
        <v>19557</v>
      </c>
      <c r="AN3" s="50" t="s">
        <v>19558</v>
      </c>
      <c r="AO3" s="50" t="s">
        <v>19559</v>
      </c>
      <c r="AP3" s="50" t="s">
        <v>19560</v>
      </c>
      <c r="AQ3" s="50" t="s">
        <v>19561</v>
      </c>
      <c r="AS3" s="50" t="s">
        <v>169</v>
      </c>
      <c r="AV3" s="50" t="s">
        <v>318</v>
      </c>
      <c r="AW3" s="50" t="s">
        <v>118</v>
      </c>
      <c r="AX3" s="50" t="s">
        <v>102</v>
      </c>
      <c r="AY3" s="50" t="s">
        <v>119</v>
      </c>
      <c r="BC3" s="50" t="s">
        <v>120</v>
      </c>
      <c r="BD3" s="50" t="s">
        <v>2204</v>
      </c>
      <c r="BE3" s="50" t="s">
        <v>121</v>
      </c>
      <c r="BF3" s="50" t="s">
        <v>122</v>
      </c>
      <c r="BG3" s="50" t="s">
        <v>123</v>
      </c>
      <c r="BH3" s="50" t="s">
        <v>124</v>
      </c>
      <c r="BI3" s="50" t="s">
        <v>12023</v>
      </c>
      <c r="BJ3" s="50" t="s">
        <v>11889</v>
      </c>
      <c r="BK3" s="50" t="s">
        <v>127</v>
      </c>
      <c r="BL3" s="50" t="s">
        <v>19562</v>
      </c>
      <c r="BM3" s="50" t="s">
        <v>19563</v>
      </c>
      <c r="BN3" s="50" t="s">
        <v>19564</v>
      </c>
      <c r="BO3" s="50" t="s">
        <v>13832</v>
      </c>
      <c r="BP3" s="50" t="s">
        <v>7743</v>
      </c>
      <c r="BQ3" s="50" t="s">
        <v>350</v>
      </c>
      <c r="BR3" s="50" t="s">
        <v>7744</v>
      </c>
      <c r="BS3" s="50" t="s">
        <v>7745</v>
      </c>
      <c r="BT3" s="50" t="s">
        <v>2215</v>
      </c>
      <c r="BV3" s="50" t="s">
        <v>19565</v>
      </c>
      <c r="BW3" s="50" t="s">
        <v>19566</v>
      </c>
      <c r="BX3" s="50" t="s">
        <v>138</v>
      </c>
      <c r="BY3" s="50" t="s">
        <v>225</v>
      </c>
      <c r="BZ3" s="50" t="s">
        <v>19567</v>
      </c>
      <c r="CA3" s="50" t="s">
        <v>19568</v>
      </c>
      <c r="CB3" s="50" t="s">
        <v>19569</v>
      </c>
      <c r="CC3" s="50" t="s">
        <v>19570</v>
      </c>
      <c r="CD3" s="50" t="s">
        <v>19567</v>
      </c>
      <c r="CE3" s="50" t="s">
        <v>19569</v>
      </c>
      <c r="CF3" s="50" t="s">
        <v>19570</v>
      </c>
      <c r="CG3" s="50" t="s">
        <v>19567</v>
      </c>
      <c r="CH3" s="50" t="s">
        <v>19153</v>
      </c>
      <c r="CI3" s="50" t="s">
        <v>19552</v>
      </c>
      <c r="CK3" s="50" t="s">
        <v>147</v>
      </c>
      <c r="CL3" s="50" t="s">
        <v>19571</v>
      </c>
      <c r="CM3" s="50" t="s">
        <v>2204</v>
      </c>
      <c r="CN3" s="50" t="s">
        <v>121</v>
      </c>
      <c r="CO3" s="50" t="s">
        <v>147</v>
      </c>
      <c r="CP3" s="50" t="s">
        <v>2776</v>
      </c>
      <c r="CQ3" s="50" t="s">
        <v>19571</v>
      </c>
      <c r="CR3" s="50" t="s">
        <v>19571</v>
      </c>
    </row>
    <row r="4" spans="1:97" hidden="1">
      <c r="A4" s="50" t="s">
        <v>337</v>
      </c>
      <c r="B4" s="50">
        <v>3168781</v>
      </c>
      <c r="C4" s="50" t="str">
        <f>VLOOKUP(B4,RISK!B:C,2,0)</f>
        <v>Risk</v>
      </c>
      <c r="D4" s="50" t="s">
        <v>212</v>
      </c>
      <c r="E4" s="50" t="s">
        <v>2151</v>
      </c>
      <c r="F4" s="50" t="s">
        <v>15110</v>
      </c>
      <c r="G4" s="50" t="e">
        <f>VLOOKUP(B4,aa!B:F,5,0)</f>
        <v>#N/A</v>
      </c>
      <c r="H4" s="50" t="e">
        <f>VLOOKUP(B4,aa!B:J,9,0)</f>
        <v>#N/A</v>
      </c>
      <c r="I4" s="50" t="e">
        <f>VLOOKUP(B4,aa!B:L,11,0)</f>
        <v>#N/A</v>
      </c>
      <c r="J4" s="50" t="e">
        <f>VLOOKUP(B4,aa!B:O,14,0)</f>
        <v>#N/A</v>
      </c>
      <c r="K4" s="50" t="e">
        <f>VLOOKUP(B4,aa!B:R,17,0)</f>
        <v>#N/A</v>
      </c>
      <c r="L4" s="50" t="s">
        <v>193</v>
      </c>
      <c r="M4" s="50">
        <v>5284328</v>
      </c>
      <c r="N4" s="50">
        <v>5963734</v>
      </c>
      <c r="O4" s="50">
        <v>1509849</v>
      </c>
      <c r="P4" s="50">
        <v>1510</v>
      </c>
      <c r="Q4" s="50" t="s">
        <v>5042</v>
      </c>
      <c r="R4" s="50">
        <v>0</v>
      </c>
      <c r="S4" s="50">
        <v>0</v>
      </c>
      <c r="U4" s="50">
        <v>3774479</v>
      </c>
      <c r="V4" s="50">
        <v>1713</v>
      </c>
      <c r="W4" s="50" t="s">
        <v>608</v>
      </c>
      <c r="X4" s="50" t="s">
        <v>102</v>
      </c>
      <c r="Y4" s="50" t="s">
        <v>103</v>
      </c>
      <c r="Z4" s="50" t="s">
        <v>398</v>
      </c>
      <c r="AB4" s="50" t="s">
        <v>15111</v>
      </c>
      <c r="AC4" s="50" t="s">
        <v>15112</v>
      </c>
      <c r="AD4" s="50" t="s">
        <v>15113</v>
      </c>
      <c r="AE4" s="50" t="s">
        <v>15114</v>
      </c>
      <c r="AF4" s="50" t="s">
        <v>15115</v>
      </c>
      <c r="AG4" s="50" t="s">
        <v>15116</v>
      </c>
      <c r="AH4" s="50" t="s">
        <v>109</v>
      </c>
      <c r="AI4" s="50" t="s">
        <v>102</v>
      </c>
      <c r="AJ4" s="50" t="s">
        <v>15117</v>
      </c>
      <c r="AK4" s="50" t="s">
        <v>15118</v>
      </c>
      <c r="AL4" s="50" t="s">
        <v>15119</v>
      </c>
      <c r="AM4" s="50" t="s">
        <v>15120</v>
      </c>
      <c r="AN4" s="50" t="s">
        <v>15121</v>
      </c>
      <c r="AO4" s="50" t="s">
        <v>15122</v>
      </c>
      <c r="AP4" s="50" t="s">
        <v>15123</v>
      </c>
      <c r="AQ4" s="50" t="s">
        <v>15124</v>
      </c>
      <c r="AS4" s="50" t="s">
        <v>169</v>
      </c>
      <c r="AV4" s="50" t="s">
        <v>207</v>
      </c>
      <c r="AW4" s="50" t="s">
        <v>250</v>
      </c>
      <c r="AX4" s="50" t="s">
        <v>102</v>
      </c>
      <c r="AY4" s="50" t="s">
        <v>119</v>
      </c>
      <c r="BB4" s="50" t="s">
        <v>250</v>
      </c>
      <c r="BC4" s="50" t="s">
        <v>120</v>
      </c>
      <c r="BD4" s="50" t="s">
        <v>920</v>
      </c>
      <c r="BE4" s="50" t="s">
        <v>211</v>
      </c>
      <c r="BF4" s="50" t="s">
        <v>212</v>
      </c>
      <c r="BG4" s="50" t="s">
        <v>213</v>
      </c>
      <c r="BH4" s="50" t="s">
        <v>124</v>
      </c>
      <c r="BI4" s="50" t="s">
        <v>13308</v>
      </c>
      <c r="BJ4" s="50" t="s">
        <v>12637</v>
      </c>
      <c r="BK4" s="50" t="s">
        <v>127</v>
      </c>
      <c r="BL4" s="50" t="s">
        <v>15125</v>
      </c>
      <c r="BM4" s="50" t="s">
        <v>15126</v>
      </c>
      <c r="BN4" s="50" t="s">
        <v>15127</v>
      </c>
      <c r="BO4" s="50" t="s">
        <v>15111</v>
      </c>
      <c r="BP4" s="50" t="s">
        <v>1309</v>
      </c>
      <c r="BQ4" s="50" t="s">
        <v>7992</v>
      </c>
      <c r="BR4" s="50" t="s">
        <v>1310</v>
      </c>
      <c r="BS4" s="50" t="s">
        <v>1311</v>
      </c>
      <c r="BT4" s="50" t="s">
        <v>2463</v>
      </c>
      <c r="BV4" s="50" t="s">
        <v>15128</v>
      </c>
      <c r="BW4" s="50" t="s">
        <v>15129</v>
      </c>
      <c r="BX4" s="50" t="s">
        <v>138</v>
      </c>
      <c r="BY4" s="50" t="s">
        <v>15130</v>
      </c>
      <c r="BZ4" s="50" t="s">
        <v>15131</v>
      </c>
      <c r="CA4" s="50" t="s">
        <v>15132</v>
      </c>
      <c r="CB4" s="50" t="s">
        <v>15129</v>
      </c>
      <c r="CC4" s="50" t="s">
        <v>15133</v>
      </c>
      <c r="CD4" s="50" t="s">
        <v>15131</v>
      </c>
      <c r="CE4" s="50" t="s">
        <v>15134</v>
      </c>
      <c r="CF4" s="50" t="s">
        <v>15135</v>
      </c>
      <c r="CG4" s="50" t="s">
        <v>15136</v>
      </c>
      <c r="CH4" s="50" t="s">
        <v>6709</v>
      </c>
      <c r="CI4" s="50" t="s">
        <v>15137</v>
      </c>
      <c r="CK4" s="50" t="s">
        <v>15138</v>
      </c>
      <c r="CL4" s="50" t="s">
        <v>15137</v>
      </c>
      <c r="CM4" s="50" t="s">
        <v>920</v>
      </c>
      <c r="CN4" s="50" t="s">
        <v>211</v>
      </c>
      <c r="CO4" s="50" t="s">
        <v>15138</v>
      </c>
      <c r="CQ4" s="50" t="s">
        <v>15137</v>
      </c>
      <c r="CR4" s="50" t="s">
        <v>15137</v>
      </c>
      <c r="CS4" s="50" t="s">
        <v>26042</v>
      </c>
    </row>
    <row r="5" spans="1:97" hidden="1">
      <c r="A5" s="50" t="s">
        <v>149</v>
      </c>
      <c r="B5" s="50">
        <v>175250</v>
      </c>
      <c r="C5" s="50" t="e">
        <f>VLOOKUP(B5,'Drop schools 2026'!B:C,2,0)</f>
        <v>#N/A</v>
      </c>
      <c r="D5" s="50" t="s">
        <v>212</v>
      </c>
      <c r="E5" s="50" t="s">
        <v>222</v>
      </c>
      <c r="F5" s="50" t="s">
        <v>1744</v>
      </c>
      <c r="G5" s="50" t="e">
        <f>VLOOKUP(B5,aa!B:F,5,0)</f>
        <v>#N/A</v>
      </c>
      <c r="H5" s="50" t="e">
        <f>VLOOKUP(B5,aa!B:J,9,0)</f>
        <v>#N/A</v>
      </c>
      <c r="I5" s="50" t="e">
        <f>VLOOKUP(B5,aa!B:L,11,0)</f>
        <v>#N/A</v>
      </c>
      <c r="J5" s="50" t="e">
        <f>VLOOKUP(B5,aa!B:O,14,0)</f>
        <v>#N/A</v>
      </c>
      <c r="K5" s="50" t="e">
        <f>VLOOKUP(B5,aa!B:R,17,0)</f>
        <v>#N/A</v>
      </c>
      <c r="L5" s="50" t="s">
        <v>1746</v>
      </c>
      <c r="M5" s="50">
        <v>4988059</v>
      </c>
      <c r="N5" s="50">
        <v>5236780</v>
      </c>
      <c r="O5" s="50">
        <v>681431</v>
      </c>
      <c r="P5" s="50">
        <v>2284</v>
      </c>
      <c r="Q5" s="50" t="s">
        <v>3592</v>
      </c>
      <c r="R5" s="50">
        <v>2924844</v>
      </c>
      <c r="S5" s="50">
        <v>2277</v>
      </c>
      <c r="T5" s="50" t="s">
        <v>12907</v>
      </c>
      <c r="U5" s="50">
        <v>1381784</v>
      </c>
      <c r="V5" s="50">
        <v>2277</v>
      </c>
      <c r="W5" s="50" t="s">
        <v>12908</v>
      </c>
      <c r="X5" s="50" t="s">
        <v>102</v>
      </c>
      <c r="Y5" s="50" t="s">
        <v>103</v>
      </c>
      <c r="Z5" s="50" t="s">
        <v>155</v>
      </c>
      <c r="AB5" s="50" t="s">
        <v>11959</v>
      </c>
      <c r="AC5" s="50" t="s">
        <v>12909</v>
      </c>
      <c r="AD5" s="50" t="s">
        <v>5651</v>
      </c>
      <c r="AE5" s="50" t="s">
        <v>12909</v>
      </c>
      <c r="AF5" s="50" t="s">
        <v>12084</v>
      </c>
      <c r="AG5" s="50" t="s">
        <v>12909</v>
      </c>
      <c r="AH5" s="50" t="s">
        <v>11886</v>
      </c>
      <c r="AI5" s="50" t="s">
        <v>12909</v>
      </c>
      <c r="AJ5" s="50" t="s">
        <v>12910</v>
      </c>
      <c r="AK5" s="50" t="s">
        <v>12911</v>
      </c>
      <c r="AL5" s="50" t="s">
        <v>12912</v>
      </c>
      <c r="AM5" s="50" t="s">
        <v>12913</v>
      </c>
      <c r="AN5" s="50" t="s">
        <v>12914</v>
      </c>
      <c r="AO5" s="50" t="s">
        <v>12915</v>
      </c>
      <c r="AP5" s="50" t="s">
        <v>12916</v>
      </c>
      <c r="AQ5" s="50" t="s">
        <v>12916</v>
      </c>
      <c r="AV5" s="50" t="s">
        <v>117</v>
      </c>
      <c r="AW5" s="50" t="s">
        <v>118</v>
      </c>
      <c r="AX5" s="50" t="s">
        <v>1384</v>
      </c>
      <c r="AY5" s="50" t="s">
        <v>119</v>
      </c>
      <c r="AZ5" s="50" t="s">
        <v>170</v>
      </c>
      <c r="BA5" s="50" t="s">
        <v>118</v>
      </c>
      <c r="BB5" s="50" t="s">
        <v>250</v>
      </c>
      <c r="BC5" s="50" t="s">
        <v>209</v>
      </c>
      <c r="BD5" s="50" t="s">
        <v>1759</v>
      </c>
      <c r="BE5" s="50" t="s">
        <v>410</v>
      </c>
      <c r="BF5" s="50" t="s">
        <v>212</v>
      </c>
      <c r="BG5" s="50" t="s">
        <v>410</v>
      </c>
      <c r="BH5" s="50" t="s">
        <v>124</v>
      </c>
      <c r="BI5" s="50" t="s">
        <v>11959</v>
      </c>
      <c r="BJ5" s="50" t="s">
        <v>11960</v>
      </c>
      <c r="BK5" s="50" t="s">
        <v>127</v>
      </c>
      <c r="BL5" s="50" t="s">
        <v>12917</v>
      </c>
      <c r="BM5" s="50" t="s">
        <v>1763</v>
      </c>
      <c r="BN5" s="50" t="s">
        <v>12918</v>
      </c>
      <c r="BO5" s="50" t="s">
        <v>7145</v>
      </c>
      <c r="BP5" s="50" t="s">
        <v>1880</v>
      </c>
      <c r="BQ5" s="50" t="s">
        <v>132</v>
      </c>
      <c r="BR5" s="50" t="s">
        <v>1882</v>
      </c>
      <c r="BS5" s="50" t="s">
        <v>1883</v>
      </c>
      <c r="BT5" s="50" t="s">
        <v>222</v>
      </c>
      <c r="BV5" s="50" t="s">
        <v>12919</v>
      </c>
      <c r="BW5" s="50" t="s">
        <v>1766</v>
      </c>
      <c r="BX5" s="50" t="s">
        <v>138</v>
      </c>
      <c r="BY5" s="50" t="s">
        <v>1767</v>
      </c>
      <c r="BZ5" s="50" t="s">
        <v>1768</v>
      </c>
      <c r="CA5" s="50" t="s">
        <v>1769</v>
      </c>
      <c r="CB5" s="50" t="s">
        <v>12920</v>
      </c>
      <c r="CC5" s="50" t="s">
        <v>1767</v>
      </c>
      <c r="CD5" s="50" t="s">
        <v>1768</v>
      </c>
      <c r="CE5" s="50" t="s">
        <v>12921</v>
      </c>
      <c r="CF5" s="50" t="s">
        <v>1771</v>
      </c>
      <c r="CG5" s="50" t="s">
        <v>1772</v>
      </c>
      <c r="CH5" s="50" t="s">
        <v>102</v>
      </c>
      <c r="CI5" s="50" t="s">
        <v>1773</v>
      </c>
      <c r="CK5" s="50" t="s">
        <v>1774</v>
      </c>
      <c r="CL5" s="50" t="s">
        <v>1773</v>
      </c>
      <c r="CM5" s="50" t="s">
        <v>1759</v>
      </c>
      <c r="CN5" s="50" t="s">
        <v>410</v>
      </c>
      <c r="CO5" s="50" t="s">
        <v>1774</v>
      </c>
      <c r="CP5" s="50" t="s">
        <v>1775</v>
      </c>
      <c r="CQ5" s="50" t="s">
        <v>1773</v>
      </c>
      <c r="CR5" s="50" t="s">
        <v>1773</v>
      </c>
      <c r="CS5" s="50" t="s">
        <v>26040</v>
      </c>
    </row>
    <row r="6" spans="1:97" hidden="1">
      <c r="A6" s="50" t="s">
        <v>149</v>
      </c>
      <c r="B6" s="50">
        <v>420525</v>
      </c>
      <c r="C6" s="50" t="e">
        <f>VLOOKUP(B6,'Drop schools 2026'!B:C,2,0)</f>
        <v>#N/A</v>
      </c>
      <c r="D6" s="50" t="s">
        <v>212</v>
      </c>
      <c r="E6" s="50" t="s">
        <v>2151</v>
      </c>
      <c r="F6" s="50" t="s">
        <v>8894</v>
      </c>
      <c r="G6" s="50" t="e">
        <f>VLOOKUP(B6,aa!B:F,5,0)</f>
        <v>#N/A</v>
      </c>
      <c r="H6" s="50" t="e">
        <f>VLOOKUP(B6,aa!B:J,9,0)</f>
        <v>#N/A</v>
      </c>
      <c r="I6" s="50" t="e">
        <f>VLOOKUP(B6,aa!B:L,11,0)</f>
        <v>#N/A</v>
      </c>
      <c r="J6" s="50" t="e">
        <f>VLOOKUP(B6,aa!B:O,14,0)</f>
        <v>#N/A</v>
      </c>
      <c r="K6" s="50" t="e">
        <f>VLOOKUP(B6,aa!B:R,17,0)</f>
        <v>#N/A</v>
      </c>
      <c r="L6" s="50" t="s">
        <v>193</v>
      </c>
      <c r="M6" s="50">
        <v>4844438</v>
      </c>
      <c r="N6" s="50">
        <v>5552852</v>
      </c>
      <c r="O6" s="50">
        <v>908805</v>
      </c>
      <c r="P6" s="50">
        <v>1907</v>
      </c>
      <c r="Q6" s="50" t="s">
        <v>2886</v>
      </c>
      <c r="R6" s="50">
        <v>0</v>
      </c>
      <c r="S6" s="50">
        <v>0</v>
      </c>
      <c r="U6" s="50">
        <v>3935633</v>
      </c>
      <c r="V6" s="50">
        <v>2236</v>
      </c>
      <c r="W6" s="50" t="s">
        <v>5818</v>
      </c>
      <c r="X6" s="50" t="s">
        <v>102</v>
      </c>
      <c r="Y6" s="50" t="s">
        <v>103</v>
      </c>
      <c r="Z6" s="50" t="s">
        <v>5317</v>
      </c>
      <c r="AB6" s="50" t="s">
        <v>18285</v>
      </c>
      <c r="AC6" s="50" t="s">
        <v>18286</v>
      </c>
      <c r="AD6" s="50" t="s">
        <v>18287</v>
      </c>
      <c r="AE6" s="50" t="s">
        <v>18288</v>
      </c>
      <c r="AF6" s="50" t="s">
        <v>12595</v>
      </c>
      <c r="AG6" s="50" t="s">
        <v>18289</v>
      </c>
      <c r="AH6" s="50" t="s">
        <v>109</v>
      </c>
      <c r="AI6" s="50" t="s">
        <v>102</v>
      </c>
      <c r="AJ6" s="50" t="s">
        <v>18290</v>
      </c>
      <c r="AK6" s="50" t="s">
        <v>18291</v>
      </c>
      <c r="AL6" s="50" t="s">
        <v>18292</v>
      </c>
      <c r="AM6" s="50" t="s">
        <v>18293</v>
      </c>
      <c r="AN6" s="50" t="s">
        <v>18294</v>
      </c>
      <c r="AO6" s="50" t="s">
        <v>18295</v>
      </c>
      <c r="AP6" s="50" t="s">
        <v>18296</v>
      </c>
      <c r="AQ6" s="50" t="s">
        <v>18296</v>
      </c>
      <c r="AV6" s="50" t="s">
        <v>247</v>
      </c>
      <c r="AW6" s="50" t="s">
        <v>118</v>
      </c>
      <c r="AX6" s="50" t="s">
        <v>102</v>
      </c>
      <c r="AY6" s="50" t="s">
        <v>119</v>
      </c>
      <c r="BB6" s="50" t="s">
        <v>250</v>
      </c>
      <c r="BC6" s="50" t="s">
        <v>171</v>
      </c>
      <c r="BD6" s="50" t="s">
        <v>920</v>
      </c>
      <c r="BE6" s="50" t="s">
        <v>211</v>
      </c>
      <c r="BF6" s="50" t="s">
        <v>212</v>
      </c>
      <c r="BG6" s="50" t="s">
        <v>213</v>
      </c>
      <c r="BH6" s="50" t="s">
        <v>124</v>
      </c>
      <c r="BI6" s="50" t="s">
        <v>13308</v>
      </c>
      <c r="BJ6" s="50" t="s">
        <v>11889</v>
      </c>
      <c r="BK6" s="50" t="s">
        <v>127</v>
      </c>
      <c r="BL6" s="50" t="s">
        <v>18297</v>
      </c>
      <c r="BM6" s="50" t="s">
        <v>8908</v>
      </c>
      <c r="BN6" s="50" t="s">
        <v>18298</v>
      </c>
      <c r="BO6" s="50" t="s">
        <v>7484</v>
      </c>
      <c r="BP6" s="50" t="s">
        <v>415</v>
      </c>
      <c r="BQ6" s="50" t="s">
        <v>7992</v>
      </c>
      <c r="BR6" s="50" t="s">
        <v>416</v>
      </c>
      <c r="BS6" s="50" t="s">
        <v>417</v>
      </c>
      <c r="BT6" s="50" t="s">
        <v>2151</v>
      </c>
      <c r="BV6" s="50" t="s">
        <v>18299</v>
      </c>
      <c r="BW6" s="50" t="s">
        <v>8911</v>
      </c>
      <c r="BX6" s="50" t="s">
        <v>138</v>
      </c>
      <c r="BY6" s="50" t="s">
        <v>8912</v>
      </c>
      <c r="BZ6" s="50" t="s">
        <v>8913</v>
      </c>
      <c r="CA6" s="50" t="s">
        <v>8912</v>
      </c>
      <c r="CB6" s="50" t="s">
        <v>8911</v>
      </c>
      <c r="CC6" s="50" t="s">
        <v>8912</v>
      </c>
      <c r="CD6" s="50" t="s">
        <v>8913</v>
      </c>
      <c r="CE6" s="50" t="s">
        <v>8911</v>
      </c>
      <c r="CF6" s="50" t="s">
        <v>8912</v>
      </c>
      <c r="CG6" s="50" t="s">
        <v>8913</v>
      </c>
      <c r="CH6" s="50" t="s">
        <v>8917</v>
      </c>
      <c r="CI6" s="50" t="s">
        <v>8918</v>
      </c>
      <c r="CK6" s="50" t="s">
        <v>8919</v>
      </c>
      <c r="CL6" s="50" t="s">
        <v>8918</v>
      </c>
      <c r="CM6" s="50" t="s">
        <v>920</v>
      </c>
      <c r="CN6" s="50" t="s">
        <v>211</v>
      </c>
      <c r="CO6" s="50" t="s">
        <v>8919</v>
      </c>
      <c r="CP6" s="50" t="s">
        <v>8920</v>
      </c>
      <c r="CQ6" s="50" t="s">
        <v>8918</v>
      </c>
      <c r="CR6" s="50" t="s">
        <v>8918</v>
      </c>
      <c r="CS6" s="50" t="s">
        <v>26040</v>
      </c>
    </row>
    <row r="7" spans="1:97" hidden="1">
      <c r="A7" s="50" t="s">
        <v>149</v>
      </c>
      <c r="B7" s="50">
        <v>1551815</v>
      </c>
      <c r="C7" s="50" t="e">
        <f>VLOOKUP(B7,'Drop schools 2026'!B:C,2,0)</f>
        <v>#N/A</v>
      </c>
      <c r="D7" s="50" t="s">
        <v>122</v>
      </c>
      <c r="E7" s="50" t="s">
        <v>12121</v>
      </c>
      <c r="F7" s="50" t="s">
        <v>1119</v>
      </c>
      <c r="G7" s="50" t="str">
        <f>VLOOKUP(B7,aa!B:F,5,0)</f>
        <v>Ei ASSET, Ei CARES</v>
      </c>
      <c r="H7" s="50">
        <f>VLOOKUP(B7,aa!B:J,9,0)</f>
        <v>4613052</v>
      </c>
      <c r="I7" s="50">
        <f>VLOOKUP(B7,aa!B:L,11,0)</f>
        <v>1314502</v>
      </c>
      <c r="J7" s="50">
        <f>VLOOKUP(B7,aa!B:O,14,0)</f>
        <v>3298550</v>
      </c>
      <c r="K7" s="50">
        <f>VLOOKUP(B7,aa!B:R,17,0)</f>
        <v>0</v>
      </c>
      <c r="L7" s="50" t="s">
        <v>675</v>
      </c>
      <c r="M7" s="50">
        <v>4605809</v>
      </c>
      <c r="N7" s="50">
        <v>4605809</v>
      </c>
      <c r="O7" s="50">
        <v>1323909</v>
      </c>
      <c r="P7" s="50">
        <v>2036</v>
      </c>
      <c r="Q7" s="50" t="s">
        <v>1122</v>
      </c>
      <c r="R7" s="50">
        <v>3281900</v>
      </c>
      <c r="S7" s="50">
        <v>1774</v>
      </c>
      <c r="T7" s="50" t="s">
        <v>1123</v>
      </c>
      <c r="U7" s="50">
        <v>0</v>
      </c>
      <c r="V7" s="50">
        <v>0</v>
      </c>
      <c r="X7" s="50" t="s">
        <v>102</v>
      </c>
      <c r="Y7" s="50" t="s">
        <v>103</v>
      </c>
      <c r="Z7" s="50" t="s">
        <v>801</v>
      </c>
      <c r="AB7" s="50" t="s">
        <v>12023</v>
      </c>
      <c r="AC7" s="50" t="s">
        <v>12590</v>
      </c>
      <c r="AD7" s="50" t="s">
        <v>12591</v>
      </c>
      <c r="AE7" s="50" t="s">
        <v>12592</v>
      </c>
      <c r="AF7" s="50" t="s">
        <v>12593</v>
      </c>
      <c r="AG7" s="50" t="s">
        <v>12594</v>
      </c>
      <c r="AH7" s="50" t="s">
        <v>12595</v>
      </c>
      <c r="AI7" s="50" t="s">
        <v>12594</v>
      </c>
      <c r="AJ7" s="50" t="s">
        <v>12596</v>
      </c>
      <c r="AK7" s="50" t="s">
        <v>12597</v>
      </c>
      <c r="AL7" s="50" t="s">
        <v>12598</v>
      </c>
      <c r="AM7" s="50" t="s">
        <v>12599</v>
      </c>
      <c r="AN7" s="50" t="s">
        <v>12600</v>
      </c>
      <c r="AO7" s="50" t="s">
        <v>12601</v>
      </c>
      <c r="AP7" s="50" t="s">
        <v>8689</v>
      </c>
      <c r="AQ7" s="50" t="s">
        <v>8689</v>
      </c>
      <c r="AV7" s="50" t="s">
        <v>247</v>
      </c>
      <c r="AW7" s="50" t="s">
        <v>118</v>
      </c>
      <c r="AX7" s="50" t="s">
        <v>248</v>
      </c>
      <c r="AY7" s="50" t="s">
        <v>119</v>
      </c>
      <c r="AZ7" s="50" t="s">
        <v>1138</v>
      </c>
      <c r="BA7" s="50" t="s">
        <v>118</v>
      </c>
      <c r="BC7" s="50" t="s">
        <v>120</v>
      </c>
      <c r="BD7" s="50" t="s">
        <v>555</v>
      </c>
      <c r="BE7" s="50" t="s">
        <v>556</v>
      </c>
      <c r="BF7" s="50" t="s">
        <v>122</v>
      </c>
      <c r="BG7" s="50" t="s">
        <v>557</v>
      </c>
      <c r="BH7" s="50" t="s">
        <v>124</v>
      </c>
      <c r="BI7" s="50" t="s">
        <v>12023</v>
      </c>
      <c r="BJ7" s="50" t="s">
        <v>12602</v>
      </c>
      <c r="BK7" s="50" t="s">
        <v>127</v>
      </c>
      <c r="BL7" s="50" t="s">
        <v>12603</v>
      </c>
      <c r="BM7" s="50" t="s">
        <v>1140</v>
      </c>
      <c r="BN7" s="50" t="s">
        <v>12604</v>
      </c>
      <c r="BO7" s="50" t="s">
        <v>5548</v>
      </c>
      <c r="BP7" s="50" t="s">
        <v>1142</v>
      </c>
      <c r="BQ7" s="50" t="s">
        <v>350</v>
      </c>
      <c r="BR7" s="50" t="s">
        <v>1143</v>
      </c>
      <c r="BS7" s="50" t="s">
        <v>1144</v>
      </c>
      <c r="BT7" s="50" t="s">
        <v>566</v>
      </c>
      <c r="BV7" s="50" t="s">
        <v>12605</v>
      </c>
      <c r="BW7" s="50" t="s">
        <v>1146</v>
      </c>
      <c r="BX7" s="50" t="s">
        <v>138</v>
      </c>
      <c r="BY7" s="50" t="s">
        <v>1147</v>
      </c>
      <c r="BZ7" s="50" t="s">
        <v>1148</v>
      </c>
      <c r="CA7" s="50" t="s">
        <v>1149</v>
      </c>
      <c r="CB7" s="50" t="s">
        <v>1146</v>
      </c>
      <c r="CC7" s="50" t="s">
        <v>1147</v>
      </c>
      <c r="CD7" s="50" t="s">
        <v>1148</v>
      </c>
      <c r="CE7" s="50" t="s">
        <v>1146</v>
      </c>
      <c r="CF7" s="50" t="s">
        <v>1147</v>
      </c>
      <c r="CG7" s="50" t="s">
        <v>1148</v>
      </c>
      <c r="CH7" s="50" t="s">
        <v>102</v>
      </c>
      <c r="CI7" s="50" t="s">
        <v>12606</v>
      </c>
      <c r="CK7" s="50" t="s">
        <v>1154</v>
      </c>
      <c r="CM7" s="50" t="s">
        <v>555</v>
      </c>
      <c r="CN7" s="50" t="s">
        <v>556</v>
      </c>
      <c r="CO7" s="50" t="s">
        <v>1154</v>
      </c>
      <c r="CP7" s="50" t="s">
        <v>1155</v>
      </c>
      <c r="CQ7" s="50" t="s">
        <v>1153</v>
      </c>
      <c r="CR7" s="50" t="s">
        <v>1153</v>
      </c>
    </row>
    <row r="8" spans="1:97" hidden="1">
      <c r="A8" s="50" t="s">
        <v>149</v>
      </c>
      <c r="B8" s="50">
        <v>168210</v>
      </c>
      <c r="C8" s="50" t="e">
        <f>VLOOKUP(B8,'Drop schools 2026'!B:C,2,0)</f>
        <v>#N/A</v>
      </c>
      <c r="D8" s="50" t="s">
        <v>174</v>
      </c>
      <c r="E8" s="50" t="s">
        <v>384</v>
      </c>
      <c r="F8" s="50" t="s">
        <v>1492</v>
      </c>
      <c r="G8" s="50" t="str">
        <f>VLOOKUP(B8,aa!B:F,5,0)</f>
        <v>Ei ASSET, Ei Mindspark</v>
      </c>
      <c r="H8" s="50">
        <f>VLOOKUP(B8,aa!B:J,9,0)</f>
        <v>3220416</v>
      </c>
      <c r="I8" s="50">
        <f>VLOOKUP(B8,aa!B:L,11,0)</f>
        <v>278365</v>
      </c>
      <c r="J8" s="50">
        <f>VLOOKUP(B8,aa!B:O,14,0)</f>
        <v>0</v>
      </c>
      <c r="K8" s="50">
        <f>VLOOKUP(B8,aa!B:R,17,0)</f>
        <v>2942051</v>
      </c>
      <c r="L8" s="50" t="s">
        <v>2163</v>
      </c>
      <c r="M8" s="50">
        <v>4322252</v>
      </c>
      <c r="N8" s="50">
        <v>4571580</v>
      </c>
      <c r="O8" s="50">
        <v>231000</v>
      </c>
      <c r="P8" s="50">
        <v>329</v>
      </c>
      <c r="Q8" s="50" t="s">
        <v>12762</v>
      </c>
      <c r="R8" s="50">
        <v>2706098</v>
      </c>
      <c r="S8" s="50">
        <v>1961</v>
      </c>
      <c r="T8" s="50" t="s">
        <v>12763</v>
      </c>
      <c r="U8" s="50">
        <v>1385154</v>
      </c>
      <c r="V8" s="50">
        <v>908</v>
      </c>
      <c r="W8" s="50" t="s">
        <v>1907</v>
      </c>
      <c r="X8" s="50" t="s">
        <v>102</v>
      </c>
      <c r="Y8" s="50" t="s">
        <v>679</v>
      </c>
      <c r="Z8" s="50" t="s">
        <v>155</v>
      </c>
      <c r="AA8" s="50" t="s">
        <v>1408</v>
      </c>
      <c r="AB8" s="50" t="s">
        <v>12764</v>
      </c>
      <c r="AC8" s="50" t="s">
        <v>12765</v>
      </c>
      <c r="AD8" s="50" t="s">
        <v>12766</v>
      </c>
      <c r="AE8" s="50" t="s">
        <v>12765</v>
      </c>
      <c r="AF8" s="50" t="s">
        <v>12767</v>
      </c>
      <c r="AG8" s="50" t="s">
        <v>12765</v>
      </c>
      <c r="AH8" s="50" t="s">
        <v>12216</v>
      </c>
      <c r="AI8" s="50" t="s">
        <v>12765</v>
      </c>
      <c r="AJ8" s="50" t="s">
        <v>12768</v>
      </c>
      <c r="AK8" s="50" t="s">
        <v>5755</v>
      </c>
      <c r="AL8" s="50" t="s">
        <v>12769</v>
      </c>
      <c r="AM8" s="50" t="s">
        <v>12770</v>
      </c>
      <c r="AN8" s="50" t="s">
        <v>12771</v>
      </c>
      <c r="AO8" s="50" t="s">
        <v>12772</v>
      </c>
      <c r="AP8" s="50" t="s">
        <v>12773</v>
      </c>
      <c r="AQ8" s="50" t="s">
        <v>12773</v>
      </c>
      <c r="AV8" s="50" t="s">
        <v>247</v>
      </c>
      <c r="AW8" s="50" t="s">
        <v>118</v>
      </c>
      <c r="AX8" s="50" t="s">
        <v>655</v>
      </c>
      <c r="AY8" s="50" t="s">
        <v>119</v>
      </c>
      <c r="AZ8" s="50" t="s">
        <v>170</v>
      </c>
      <c r="BA8" s="50" t="s">
        <v>118</v>
      </c>
      <c r="BB8" s="50" t="s">
        <v>250</v>
      </c>
      <c r="BC8" s="50" t="s">
        <v>171</v>
      </c>
      <c r="BD8" s="50" t="s">
        <v>375</v>
      </c>
      <c r="BE8" s="50" t="s">
        <v>376</v>
      </c>
      <c r="BF8" s="50" t="s">
        <v>174</v>
      </c>
      <c r="BG8" s="50" t="s">
        <v>376</v>
      </c>
      <c r="BH8" s="50" t="s">
        <v>124</v>
      </c>
      <c r="BI8" s="50" t="s">
        <v>12023</v>
      </c>
      <c r="BJ8" s="50" t="s">
        <v>11889</v>
      </c>
      <c r="BK8" s="50" t="s">
        <v>127</v>
      </c>
      <c r="BL8" s="50" t="s">
        <v>12774</v>
      </c>
      <c r="BM8" s="50" t="s">
        <v>1507</v>
      </c>
      <c r="BN8" s="50" t="s">
        <v>12775</v>
      </c>
      <c r="BO8" s="50" t="s">
        <v>12761</v>
      </c>
      <c r="BP8" s="50" t="s">
        <v>1917</v>
      </c>
      <c r="BQ8" s="50" t="s">
        <v>180</v>
      </c>
      <c r="BR8" s="50" t="s">
        <v>1918</v>
      </c>
      <c r="BS8" s="50" t="s">
        <v>1919</v>
      </c>
      <c r="BT8" s="50" t="s">
        <v>183</v>
      </c>
      <c r="BV8" s="50" t="s">
        <v>12776</v>
      </c>
      <c r="BW8" s="50" t="s">
        <v>12777</v>
      </c>
      <c r="BX8" s="50" t="s">
        <v>354</v>
      </c>
      <c r="BY8" s="50" t="s">
        <v>1511</v>
      </c>
      <c r="BZ8" s="50" t="s">
        <v>1512</v>
      </c>
      <c r="CA8" s="50" t="s">
        <v>1513</v>
      </c>
      <c r="CB8" s="50" t="s">
        <v>12777</v>
      </c>
      <c r="CC8" s="50" t="s">
        <v>1511</v>
      </c>
      <c r="CD8" s="50" t="s">
        <v>1512</v>
      </c>
      <c r="CE8" s="50" t="s">
        <v>12777</v>
      </c>
      <c r="CF8" s="50" t="s">
        <v>1511</v>
      </c>
      <c r="CG8" s="50" t="s">
        <v>1512</v>
      </c>
      <c r="CH8" s="50" t="s">
        <v>102</v>
      </c>
      <c r="CI8" s="50" t="s">
        <v>12778</v>
      </c>
      <c r="CK8" s="50" t="s">
        <v>1515</v>
      </c>
      <c r="CM8" s="50" t="s">
        <v>375</v>
      </c>
      <c r="CN8" s="50" t="s">
        <v>376</v>
      </c>
      <c r="CO8" s="50" t="s">
        <v>1515</v>
      </c>
      <c r="CP8" s="50" t="s">
        <v>1516</v>
      </c>
      <c r="CQ8" s="50" t="s">
        <v>1514</v>
      </c>
      <c r="CR8" s="50" t="s">
        <v>1514</v>
      </c>
    </row>
    <row r="9" spans="1:97" hidden="1">
      <c r="A9" s="50" t="s">
        <v>149</v>
      </c>
      <c r="B9" s="50">
        <v>153271</v>
      </c>
      <c r="C9" s="50" t="e">
        <f>VLOOKUP(B9,'Drop schools 2026'!B:C,2,0)</f>
        <v>#N/A</v>
      </c>
      <c r="D9" s="50" t="s">
        <v>122</v>
      </c>
      <c r="E9" s="50" t="s">
        <v>12121</v>
      </c>
      <c r="F9" s="50" t="s">
        <v>1084</v>
      </c>
      <c r="G9" s="50" t="str">
        <f>VLOOKUP(B9,aa!B:F,5,0)</f>
        <v>Ei ASSET,Ei CARES,Ei Mindspark</v>
      </c>
      <c r="H9" s="50">
        <f>VLOOKUP(B9,aa!B:J,9,0)</f>
        <v>4044450</v>
      </c>
      <c r="I9" s="50">
        <f>VLOOKUP(B9,aa!B:L,11,0)</f>
        <v>706660</v>
      </c>
      <c r="J9" s="50">
        <f>VLOOKUP(B9,aa!B:O,14,0)</f>
        <v>942213</v>
      </c>
      <c r="K9" s="50">
        <f>VLOOKUP(B9,aa!B:R,17,0)</f>
        <v>2395577</v>
      </c>
      <c r="L9" s="50" t="s">
        <v>1086</v>
      </c>
      <c r="M9" s="50">
        <v>4010007</v>
      </c>
      <c r="N9" s="50">
        <v>4437816</v>
      </c>
      <c r="O9" s="50">
        <v>698499</v>
      </c>
      <c r="P9" s="50">
        <v>1883</v>
      </c>
      <c r="Q9" s="50" t="s">
        <v>12565</v>
      </c>
      <c r="R9" s="50">
        <v>934794</v>
      </c>
      <c r="S9" s="50">
        <v>1890</v>
      </c>
      <c r="T9" s="50" t="s">
        <v>12566</v>
      </c>
      <c r="U9" s="50">
        <v>2376714</v>
      </c>
      <c r="V9" s="50">
        <v>2062</v>
      </c>
      <c r="W9" s="50" t="s">
        <v>12567</v>
      </c>
      <c r="X9" s="50" t="s">
        <v>102</v>
      </c>
      <c r="Y9" s="50" t="s">
        <v>679</v>
      </c>
      <c r="Z9" s="50" t="s">
        <v>155</v>
      </c>
      <c r="AA9" s="50" t="s">
        <v>12023</v>
      </c>
      <c r="AB9" s="50" t="s">
        <v>12568</v>
      </c>
      <c r="AC9" s="50" t="s">
        <v>12569</v>
      </c>
      <c r="AD9" s="50" t="s">
        <v>12570</v>
      </c>
      <c r="AE9" s="50" t="s">
        <v>12569</v>
      </c>
      <c r="AF9" s="50" t="s">
        <v>12571</v>
      </c>
      <c r="AG9" s="50" t="s">
        <v>12569</v>
      </c>
      <c r="AH9" s="50" t="s">
        <v>12216</v>
      </c>
      <c r="AI9" s="50" t="s">
        <v>12569</v>
      </c>
      <c r="AJ9" s="50" t="s">
        <v>12572</v>
      </c>
      <c r="AK9" s="50" t="s">
        <v>8537</v>
      </c>
      <c r="AL9" s="50" t="s">
        <v>12573</v>
      </c>
      <c r="AM9" s="50" t="s">
        <v>12574</v>
      </c>
      <c r="AN9" s="50" t="s">
        <v>12575</v>
      </c>
      <c r="AO9" s="50" t="s">
        <v>12576</v>
      </c>
      <c r="AP9" s="50" t="s">
        <v>12577</v>
      </c>
      <c r="AQ9" s="50" t="s">
        <v>12578</v>
      </c>
      <c r="AS9" s="50" t="s">
        <v>169</v>
      </c>
      <c r="AT9" s="50" t="s">
        <v>169</v>
      </c>
      <c r="AU9" s="50" t="s">
        <v>169</v>
      </c>
      <c r="AV9" s="50" t="s">
        <v>207</v>
      </c>
      <c r="AW9" s="50" t="s">
        <v>118</v>
      </c>
      <c r="AX9" s="50" t="s">
        <v>1103</v>
      </c>
      <c r="AY9" s="50" t="s">
        <v>119</v>
      </c>
      <c r="BA9" s="50" t="s">
        <v>250</v>
      </c>
      <c r="BB9" s="50" t="s">
        <v>250</v>
      </c>
      <c r="BC9" s="50" t="s">
        <v>171</v>
      </c>
      <c r="BD9" s="50" t="s">
        <v>1104</v>
      </c>
      <c r="BE9" s="50" t="s">
        <v>449</v>
      </c>
      <c r="BF9" s="50" t="s">
        <v>122</v>
      </c>
      <c r="BG9" s="50" t="s">
        <v>253</v>
      </c>
      <c r="BH9" s="50" t="s">
        <v>124</v>
      </c>
      <c r="BI9" s="50" t="s">
        <v>12579</v>
      </c>
      <c r="BJ9" s="50" t="s">
        <v>11979</v>
      </c>
      <c r="BK9" s="50" t="s">
        <v>127</v>
      </c>
      <c r="BL9" s="50" t="s">
        <v>12580</v>
      </c>
      <c r="BM9" s="50" t="s">
        <v>1106</v>
      </c>
      <c r="BN9" s="50" t="s">
        <v>12581</v>
      </c>
      <c r="BO9" s="50" t="s">
        <v>12564</v>
      </c>
      <c r="BP9" s="50" t="s">
        <v>1108</v>
      </c>
      <c r="BQ9" s="50" t="s">
        <v>350</v>
      </c>
      <c r="BR9" s="50" t="s">
        <v>1109</v>
      </c>
      <c r="BS9" s="50" t="s">
        <v>1110</v>
      </c>
      <c r="BT9" s="50" t="s">
        <v>1111</v>
      </c>
      <c r="BV9" s="50" t="s">
        <v>12582</v>
      </c>
      <c r="BW9" s="50" t="s">
        <v>1113</v>
      </c>
      <c r="BX9" s="50" t="s">
        <v>138</v>
      </c>
      <c r="BY9" s="50" t="s">
        <v>1114</v>
      </c>
      <c r="BZ9" s="50" t="s">
        <v>1115</v>
      </c>
      <c r="CA9" s="50" t="s">
        <v>1114</v>
      </c>
      <c r="CB9" s="50" t="s">
        <v>12583</v>
      </c>
      <c r="CC9" s="50" t="s">
        <v>12584</v>
      </c>
      <c r="CD9" s="50" t="s">
        <v>12585</v>
      </c>
      <c r="CE9" s="50" t="s">
        <v>12586</v>
      </c>
      <c r="CF9" s="50" t="s">
        <v>12587</v>
      </c>
      <c r="CG9" s="50" t="s">
        <v>12588</v>
      </c>
      <c r="CH9" s="50" t="s">
        <v>102</v>
      </c>
      <c r="CI9" s="50" t="s">
        <v>12589</v>
      </c>
      <c r="CK9" s="50" t="s">
        <v>1117</v>
      </c>
      <c r="CM9" s="50" t="s">
        <v>1104</v>
      </c>
      <c r="CN9" s="50" t="s">
        <v>449</v>
      </c>
      <c r="CO9" s="50" t="s">
        <v>1117</v>
      </c>
      <c r="CP9" s="50" t="s">
        <v>1118</v>
      </c>
      <c r="CQ9" s="50" t="s">
        <v>1116</v>
      </c>
      <c r="CR9" s="50" t="s">
        <v>1116</v>
      </c>
    </row>
    <row r="10" spans="1:97" hidden="1">
      <c r="A10" s="50" t="s">
        <v>149</v>
      </c>
      <c r="B10" s="50">
        <v>20191</v>
      </c>
      <c r="C10" s="50" t="str">
        <f>VLOOKUP(B10,RISK!B:C,2,0)</f>
        <v>Risk</v>
      </c>
      <c r="D10" s="50" t="s">
        <v>212</v>
      </c>
      <c r="E10" s="50" t="s">
        <v>2151</v>
      </c>
      <c r="F10" s="50" t="s">
        <v>2384</v>
      </c>
      <c r="G10" s="50" t="e">
        <f>VLOOKUP(B10,aa!B:F,5,0)</f>
        <v>#N/A</v>
      </c>
      <c r="H10" s="50" t="e">
        <f>VLOOKUP(B10,aa!B:J,9,0)</f>
        <v>#N/A</v>
      </c>
      <c r="I10" s="50" t="e">
        <f>VLOOKUP(B10,aa!B:L,11,0)</f>
        <v>#N/A</v>
      </c>
      <c r="J10" s="50" t="e">
        <f>VLOOKUP(B10,aa!B:O,14,0)</f>
        <v>#N/A</v>
      </c>
      <c r="K10" s="50" t="e">
        <f>VLOOKUP(B10,aa!B:R,17,0)</f>
        <v>#N/A</v>
      </c>
      <c r="L10" s="50" t="s">
        <v>1746</v>
      </c>
      <c r="M10" s="50">
        <v>3849966</v>
      </c>
      <c r="N10" s="50">
        <v>4203918</v>
      </c>
      <c r="O10" s="50">
        <v>724449</v>
      </c>
      <c r="P10" s="50">
        <v>580</v>
      </c>
      <c r="Q10" s="50" t="s">
        <v>13286</v>
      </c>
      <c r="R10" s="50">
        <v>1159118</v>
      </c>
      <c r="S10" s="50">
        <v>580</v>
      </c>
      <c r="T10" s="50" t="s">
        <v>13287</v>
      </c>
      <c r="U10" s="50">
        <v>1966399</v>
      </c>
      <c r="V10" s="50">
        <v>774</v>
      </c>
      <c r="W10" s="50" t="s">
        <v>13288</v>
      </c>
      <c r="X10" s="50" t="s">
        <v>102</v>
      </c>
      <c r="Y10" s="50" t="s">
        <v>103</v>
      </c>
      <c r="Z10" s="50" t="s">
        <v>155</v>
      </c>
      <c r="AB10" s="50" t="s">
        <v>3679</v>
      </c>
      <c r="AC10" s="50" t="s">
        <v>13289</v>
      </c>
      <c r="AD10" s="50" t="s">
        <v>12289</v>
      </c>
      <c r="AE10" s="50" t="s">
        <v>13289</v>
      </c>
      <c r="AF10" s="50" t="s">
        <v>1427</v>
      </c>
      <c r="AG10" s="50" t="s">
        <v>13289</v>
      </c>
      <c r="AH10" s="50" t="s">
        <v>11886</v>
      </c>
      <c r="AI10" s="50" t="s">
        <v>13289</v>
      </c>
      <c r="AJ10" s="50" t="s">
        <v>102</v>
      </c>
      <c r="AM10" s="50" t="s">
        <v>13290</v>
      </c>
      <c r="AN10" s="50" t="s">
        <v>102</v>
      </c>
      <c r="AO10" s="50" t="s">
        <v>13290</v>
      </c>
      <c r="AP10" s="50" t="s">
        <v>13291</v>
      </c>
      <c r="AQ10" s="50" t="s">
        <v>13291</v>
      </c>
      <c r="AV10" s="50" t="s">
        <v>117</v>
      </c>
      <c r="AW10" s="50" t="s">
        <v>118</v>
      </c>
      <c r="AX10" s="50" t="s">
        <v>155</v>
      </c>
      <c r="AY10" s="50" t="s">
        <v>119</v>
      </c>
      <c r="BA10" s="50" t="s">
        <v>250</v>
      </c>
      <c r="BB10" s="50" t="s">
        <v>250</v>
      </c>
      <c r="BC10" s="50" t="s">
        <v>120</v>
      </c>
      <c r="BD10" s="50" t="s">
        <v>1786</v>
      </c>
      <c r="BE10" s="50" t="s">
        <v>410</v>
      </c>
      <c r="BF10" s="50" t="s">
        <v>212</v>
      </c>
      <c r="BG10" s="50" t="s">
        <v>213</v>
      </c>
      <c r="BH10" s="50" t="s">
        <v>124</v>
      </c>
      <c r="BI10" s="50" t="s">
        <v>11959</v>
      </c>
      <c r="BJ10" s="50" t="s">
        <v>11889</v>
      </c>
      <c r="BK10" s="50" t="s">
        <v>127</v>
      </c>
      <c r="BL10" s="50" t="s">
        <v>13292</v>
      </c>
      <c r="BM10" s="50" t="s">
        <v>2399</v>
      </c>
      <c r="BN10" s="50" t="s">
        <v>13293</v>
      </c>
      <c r="BO10" s="50" t="s">
        <v>12086</v>
      </c>
      <c r="BP10" s="50" t="s">
        <v>7108</v>
      </c>
      <c r="BQ10" s="50" t="s">
        <v>505</v>
      </c>
      <c r="BR10" s="50" t="s">
        <v>7109</v>
      </c>
      <c r="BS10" s="50" t="s">
        <v>2151</v>
      </c>
      <c r="BT10" s="50" t="s">
        <v>2151</v>
      </c>
      <c r="BV10" s="50" t="s">
        <v>13294</v>
      </c>
      <c r="BW10" s="50" t="s">
        <v>13295</v>
      </c>
      <c r="BX10" s="50" t="s">
        <v>138</v>
      </c>
      <c r="BY10" s="50" t="s">
        <v>2403</v>
      </c>
      <c r="BZ10" s="50" t="s">
        <v>2404</v>
      </c>
      <c r="CA10" s="50" t="s">
        <v>2403</v>
      </c>
      <c r="CB10" s="50" t="s">
        <v>13295</v>
      </c>
      <c r="CC10" s="50" t="s">
        <v>2403</v>
      </c>
      <c r="CD10" s="50" t="s">
        <v>2404</v>
      </c>
      <c r="CE10" s="50" t="s">
        <v>13295</v>
      </c>
      <c r="CF10" s="50" t="s">
        <v>2403</v>
      </c>
      <c r="CG10" s="50" t="s">
        <v>2404</v>
      </c>
      <c r="CH10" s="50" t="s">
        <v>2405</v>
      </c>
      <c r="CI10" s="50" t="s">
        <v>13296</v>
      </c>
      <c r="CK10" s="50" t="s">
        <v>2407</v>
      </c>
      <c r="CL10" s="50" t="s">
        <v>2406</v>
      </c>
      <c r="CM10" s="50" t="s">
        <v>1786</v>
      </c>
      <c r="CN10" s="50" t="s">
        <v>410</v>
      </c>
      <c r="CO10" s="50" t="s">
        <v>2407</v>
      </c>
      <c r="CP10" s="50" t="s">
        <v>2408</v>
      </c>
      <c r="CQ10" s="50" t="s">
        <v>2406</v>
      </c>
      <c r="CR10" s="50" t="s">
        <v>2406</v>
      </c>
      <c r="CS10" s="50" t="s">
        <v>26042</v>
      </c>
    </row>
    <row r="11" spans="1:97" hidden="1">
      <c r="A11" s="50" t="s">
        <v>149</v>
      </c>
      <c r="B11" s="50">
        <v>2528645</v>
      </c>
      <c r="C11" s="50" t="str">
        <f>VLOOKUP(B11,RISK!B:C,2,0)</f>
        <v>Risk</v>
      </c>
      <c r="D11" s="50" t="s">
        <v>622</v>
      </c>
      <c r="E11" s="50" t="s">
        <v>2525</v>
      </c>
      <c r="F11" s="53" t="s">
        <v>3948</v>
      </c>
      <c r="G11" s="50" t="e">
        <f>VLOOKUP(B11,aa!B:F,5,0)</f>
        <v>#N/A</v>
      </c>
      <c r="H11" s="50" t="e">
        <f>VLOOKUP(B11,aa!B:J,9,0)</f>
        <v>#N/A</v>
      </c>
      <c r="I11" s="50" t="e">
        <f>VLOOKUP(B11,aa!B:L,11,0)</f>
        <v>#N/A</v>
      </c>
      <c r="J11" s="50" t="e">
        <f>VLOOKUP(B11,aa!B:O,14,0)</f>
        <v>#N/A</v>
      </c>
      <c r="K11" s="50" t="e">
        <f>VLOOKUP(B11,aa!B:R,17,0)</f>
        <v>#N/A</v>
      </c>
      <c r="L11" s="50" t="s">
        <v>1746</v>
      </c>
      <c r="M11" s="50">
        <v>3606546</v>
      </c>
      <c r="N11" s="50">
        <v>3957535</v>
      </c>
      <c r="O11" s="50">
        <v>585516</v>
      </c>
      <c r="P11" s="50">
        <v>1078</v>
      </c>
      <c r="Q11" s="50" t="s">
        <v>14391</v>
      </c>
      <c r="R11" s="50">
        <v>1071092</v>
      </c>
      <c r="S11" s="50">
        <v>1100</v>
      </c>
      <c r="T11" s="50" t="s">
        <v>14392</v>
      </c>
      <c r="U11" s="50">
        <v>1949938</v>
      </c>
      <c r="V11" s="50">
        <v>1444</v>
      </c>
      <c r="W11" s="50" t="s">
        <v>397</v>
      </c>
      <c r="X11" s="50" t="s">
        <v>102</v>
      </c>
      <c r="Y11" s="50" t="s">
        <v>103</v>
      </c>
      <c r="Z11" s="50" t="s">
        <v>104</v>
      </c>
      <c r="AB11" s="50" t="s">
        <v>7020</v>
      </c>
      <c r="AC11" s="50" t="s">
        <v>14393</v>
      </c>
      <c r="AD11" s="50" t="s">
        <v>12099</v>
      </c>
      <c r="AE11" s="50" t="s">
        <v>14393</v>
      </c>
      <c r="AF11" s="50" t="s">
        <v>109</v>
      </c>
      <c r="AG11" s="50" t="s">
        <v>102</v>
      </c>
      <c r="AH11" s="50" t="s">
        <v>109</v>
      </c>
      <c r="AI11" s="50" t="s">
        <v>102</v>
      </c>
      <c r="AJ11" s="50" t="s">
        <v>14394</v>
      </c>
      <c r="AK11" s="50" t="s">
        <v>1202</v>
      </c>
      <c r="AL11" s="50" t="s">
        <v>13242</v>
      </c>
      <c r="AM11" s="50" t="s">
        <v>14395</v>
      </c>
      <c r="AN11" s="50" t="s">
        <v>14396</v>
      </c>
      <c r="AO11" s="50" t="s">
        <v>14397</v>
      </c>
      <c r="AP11" s="50" t="s">
        <v>14398</v>
      </c>
      <c r="AQ11" s="50" t="s">
        <v>14399</v>
      </c>
      <c r="AS11" s="50" t="s">
        <v>169</v>
      </c>
      <c r="AT11" s="50" t="s">
        <v>169</v>
      </c>
      <c r="AU11" s="50" t="s">
        <v>169</v>
      </c>
      <c r="AV11" s="50" t="s">
        <v>318</v>
      </c>
      <c r="AW11" s="50" t="s">
        <v>118</v>
      </c>
      <c r="AX11" s="50" t="s">
        <v>155</v>
      </c>
      <c r="AY11" s="50" t="s">
        <v>119</v>
      </c>
      <c r="AZ11" s="50" t="s">
        <v>170</v>
      </c>
      <c r="BA11" s="50" t="s">
        <v>118</v>
      </c>
      <c r="BB11" s="50" t="s">
        <v>250</v>
      </c>
      <c r="BC11" s="50" t="s">
        <v>120</v>
      </c>
      <c r="BD11" s="50" t="s">
        <v>729</v>
      </c>
      <c r="BE11" s="50" t="s">
        <v>730</v>
      </c>
      <c r="BF11" s="50" t="s">
        <v>622</v>
      </c>
      <c r="BG11" s="50" t="s">
        <v>730</v>
      </c>
      <c r="BH11" s="50" t="s">
        <v>124</v>
      </c>
      <c r="BI11" s="50" t="s">
        <v>3485</v>
      </c>
      <c r="BJ11" s="50" t="s">
        <v>14400</v>
      </c>
      <c r="BK11" s="50" t="s">
        <v>127</v>
      </c>
      <c r="BL11" s="50" t="s">
        <v>14401</v>
      </c>
      <c r="BM11" s="50" t="s">
        <v>3961</v>
      </c>
      <c r="BN11" s="50" t="s">
        <v>14402</v>
      </c>
      <c r="BO11" s="50" t="s">
        <v>13527</v>
      </c>
      <c r="BP11" s="50" t="s">
        <v>3606</v>
      </c>
      <c r="BQ11" s="50" t="s">
        <v>350</v>
      </c>
      <c r="BR11" s="50" t="s">
        <v>3607</v>
      </c>
      <c r="BS11" s="50" t="s">
        <v>3608</v>
      </c>
      <c r="BT11" s="50" t="s">
        <v>2569</v>
      </c>
      <c r="BV11" s="50" t="s">
        <v>14403</v>
      </c>
      <c r="BW11" s="50" t="s">
        <v>14404</v>
      </c>
      <c r="BX11" s="50" t="s">
        <v>354</v>
      </c>
      <c r="BY11" s="50" t="s">
        <v>3965</v>
      </c>
      <c r="BZ11" s="50" t="s">
        <v>3966</v>
      </c>
      <c r="CA11" s="50" t="s">
        <v>3967</v>
      </c>
      <c r="CB11" s="50" t="s">
        <v>14405</v>
      </c>
      <c r="CC11" s="50" t="s">
        <v>14406</v>
      </c>
      <c r="CD11" s="50" t="s">
        <v>14407</v>
      </c>
      <c r="CE11" s="50" t="s">
        <v>14408</v>
      </c>
      <c r="CF11" s="50" t="s">
        <v>14409</v>
      </c>
      <c r="CG11" s="50" t="s">
        <v>14410</v>
      </c>
      <c r="CH11" s="50" t="s">
        <v>3968</v>
      </c>
      <c r="CI11" s="50" t="s">
        <v>3969</v>
      </c>
      <c r="CK11" s="50" t="s">
        <v>3970</v>
      </c>
      <c r="CL11" s="50" t="s">
        <v>14411</v>
      </c>
      <c r="CM11" s="50" t="s">
        <v>729</v>
      </c>
      <c r="CN11" s="50" t="s">
        <v>730</v>
      </c>
      <c r="CO11" s="50" t="s">
        <v>3970</v>
      </c>
      <c r="CP11" s="50" t="s">
        <v>3971</v>
      </c>
      <c r="CQ11" s="50" t="s">
        <v>3969</v>
      </c>
      <c r="CR11" s="50" t="s">
        <v>3969</v>
      </c>
    </row>
    <row r="12" spans="1:97" hidden="1">
      <c r="A12" s="50" t="s">
        <v>149</v>
      </c>
      <c r="B12" s="50">
        <v>23246</v>
      </c>
      <c r="C12" s="50" t="e">
        <f>VLOOKUP(B12,'Drop schools 2026'!B:C,2,0)</f>
        <v>#N/A</v>
      </c>
      <c r="D12" s="50" t="s">
        <v>212</v>
      </c>
      <c r="E12" s="50" t="s">
        <v>418</v>
      </c>
      <c r="F12" s="50" t="s">
        <v>3026</v>
      </c>
      <c r="G12" s="50" t="str">
        <f>VLOOKUP(B12,aa!B:F,5,0)</f>
        <v>Ei ASSET, Ei Mindspark</v>
      </c>
      <c r="H12" s="50">
        <f>VLOOKUP(B12,aa!B:J,9,0)</f>
        <v>4385191</v>
      </c>
      <c r="I12" s="50">
        <f>VLOOKUP(B12,aa!B:L,11,0)</f>
        <v>1695708</v>
      </c>
      <c r="J12" s="50">
        <f>VLOOKUP(B12,aa!B:O,14,0)</f>
        <v>0</v>
      </c>
      <c r="K12" s="50">
        <f>VLOOKUP(B12,aa!B:R,17,0)</f>
        <v>2689483</v>
      </c>
      <c r="L12" s="50" t="s">
        <v>193</v>
      </c>
      <c r="M12" s="50">
        <v>3594413</v>
      </c>
      <c r="N12" s="50">
        <v>3968364</v>
      </c>
      <c r="O12" s="50">
        <v>1516908</v>
      </c>
      <c r="P12" s="50">
        <v>1404</v>
      </c>
      <c r="Q12" s="50" t="s">
        <v>13723</v>
      </c>
      <c r="R12" s="50">
        <v>0</v>
      </c>
      <c r="S12" s="50">
        <v>0</v>
      </c>
      <c r="U12" s="50">
        <v>2077505</v>
      </c>
      <c r="V12" s="50">
        <v>921</v>
      </c>
      <c r="W12" s="50" t="s">
        <v>13724</v>
      </c>
      <c r="X12" s="50" t="s">
        <v>102</v>
      </c>
      <c r="Y12" s="50" t="s">
        <v>679</v>
      </c>
      <c r="Z12" s="50" t="s">
        <v>398</v>
      </c>
      <c r="AA12" s="50" t="s">
        <v>13725</v>
      </c>
      <c r="AB12" s="50" t="s">
        <v>13726</v>
      </c>
      <c r="AC12" s="50" t="s">
        <v>13727</v>
      </c>
      <c r="AD12" s="50" t="s">
        <v>13728</v>
      </c>
      <c r="AE12" s="50" t="s">
        <v>13729</v>
      </c>
      <c r="AF12" s="50" t="s">
        <v>13730</v>
      </c>
      <c r="AG12" s="50" t="s">
        <v>13729</v>
      </c>
      <c r="AH12" s="50" t="s">
        <v>109</v>
      </c>
      <c r="AI12" s="50" t="s">
        <v>102</v>
      </c>
      <c r="AJ12" s="50" t="s">
        <v>13731</v>
      </c>
      <c r="AK12" s="50" t="s">
        <v>7484</v>
      </c>
      <c r="AL12" s="50" t="s">
        <v>12927</v>
      </c>
      <c r="AM12" s="50" t="s">
        <v>13732</v>
      </c>
      <c r="AN12" s="50" t="s">
        <v>13733</v>
      </c>
      <c r="AO12" s="50" t="s">
        <v>13734</v>
      </c>
      <c r="AP12" s="50" t="s">
        <v>13735</v>
      </c>
      <c r="AQ12" s="50" t="s">
        <v>13735</v>
      </c>
      <c r="AV12" s="50" t="s">
        <v>247</v>
      </c>
      <c r="AW12" s="50" t="s">
        <v>2203</v>
      </c>
      <c r="AX12" s="50" t="s">
        <v>102</v>
      </c>
      <c r="AY12" s="50" t="s">
        <v>119</v>
      </c>
      <c r="BB12" s="50" t="s">
        <v>250</v>
      </c>
      <c r="BC12" s="50" t="s">
        <v>171</v>
      </c>
      <c r="BD12" s="50" t="s">
        <v>920</v>
      </c>
      <c r="BE12" s="50" t="s">
        <v>211</v>
      </c>
      <c r="BF12" s="50" t="s">
        <v>212</v>
      </c>
      <c r="BG12" s="50" t="s">
        <v>213</v>
      </c>
      <c r="BH12" s="50" t="s">
        <v>124</v>
      </c>
      <c r="BI12" s="50" t="s">
        <v>13736</v>
      </c>
      <c r="BJ12" s="50" t="s">
        <v>13737</v>
      </c>
      <c r="BK12" s="50" t="s">
        <v>127</v>
      </c>
      <c r="BL12" s="50" t="s">
        <v>13738</v>
      </c>
      <c r="BM12" s="50" t="s">
        <v>3039</v>
      </c>
      <c r="BN12" s="50" t="s">
        <v>13739</v>
      </c>
      <c r="BO12" s="50" t="s">
        <v>13722</v>
      </c>
      <c r="BP12" s="50" t="s">
        <v>13740</v>
      </c>
      <c r="BQ12" s="50" t="s">
        <v>13741</v>
      </c>
      <c r="BR12" s="50" t="s">
        <v>13742</v>
      </c>
      <c r="BS12" s="50" t="s">
        <v>13743</v>
      </c>
      <c r="BT12" s="50" t="s">
        <v>222</v>
      </c>
      <c r="BV12" s="50" t="s">
        <v>13744</v>
      </c>
      <c r="BW12" s="50" t="s">
        <v>13745</v>
      </c>
      <c r="BX12" s="50" t="s">
        <v>1282</v>
      </c>
      <c r="BY12" s="50" t="s">
        <v>13746</v>
      </c>
      <c r="BZ12" s="50" t="s">
        <v>13747</v>
      </c>
      <c r="CA12" s="50" t="s">
        <v>3045</v>
      </c>
      <c r="CB12" s="50" t="s">
        <v>13748</v>
      </c>
      <c r="CC12" s="50" t="s">
        <v>13746</v>
      </c>
      <c r="CD12" s="50" t="s">
        <v>13747</v>
      </c>
      <c r="CE12" s="50" t="s">
        <v>13748</v>
      </c>
      <c r="CF12" s="50" t="s">
        <v>13746</v>
      </c>
      <c r="CG12" s="50" t="s">
        <v>13747</v>
      </c>
      <c r="CH12" s="50" t="s">
        <v>102</v>
      </c>
      <c r="CI12" s="50" t="s">
        <v>3049</v>
      </c>
      <c r="CK12" s="50" t="s">
        <v>3050</v>
      </c>
      <c r="CM12" s="50" t="s">
        <v>920</v>
      </c>
      <c r="CN12" s="50" t="s">
        <v>211</v>
      </c>
      <c r="CO12" s="50" t="s">
        <v>3050</v>
      </c>
      <c r="CP12" s="50" t="s">
        <v>3051</v>
      </c>
      <c r="CQ12" s="50" t="s">
        <v>3049</v>
      </c>
      <c r="CR12" s="50" t="s">
        <v>3049</v>
      </c>
    </row>
    <row r="13" spans="1:97" hidden="1">
      <c r="A13" s="50" t="s">
        <v>149</v>
      </c>
      <c r="B13" s="50">
        <v>3394135</v>
      </c>
      <c r="C13" s="50" t="e">
        <f>VLOOKUP(B13,'Drop schools 2026'!B:C,2,0)</f>
        <v>#N/A</v>
      </c>
      <c r="D13" s="50" t="s">
        <v>212</v>
      </c>
      <c r="E13" s="50" t="s">
        <v>2151</v>
      </c>
      <c r="F13" s="50" t="s">
        <v>5815</v>
      </c>
      <c r="G13" s="50" t="e">
        <f>VLOOKUP(B13,aa!B:F,5,0)</f>
        <v>#N/A</v>
      </c>
      <c r="H13" s="50" t="e">
        <f>VLOOKUP(B13,aa!B:J,9,0)</f>
        <v>#N/A</v>
      </c>
      <c r="I13" s="50" t="e">
        <f>VLOOKUP(B13,aa!B:L,11,0)</f>
        <v>#N/A</v>
      </c>
      <c r="J13" s="50" t="e">
        <f>VLOOKUP(B13,aa!B:O,14,0)</f>
        <v>#N/A</v>
      </c>
      <c r="K13" s="50" t="e">
        <f>VLOOKUP(B13,aa!B:R,17,0)</f>
        <v>#N/A</v>
      </c>
      <c r="L13" s="50" t="s">
        <v>3549</v>
      </c>
      <c r="M13" s="50">
        <v>3585053</v>
      </c>
      <c r="N13" s="50">
        <v>4010614</v>
      </c>
      <c r="O13" s="50">
        <v>1220827</v>
      </c>
      <c r="P13" s="50">
        <v>1460</v>
      </c>
      <c r="Q13" s="50" t="s">
        <v>10216</v>
      </c>
      <c r="R13" s="50">
        <v>0</v>
      </c>
      <c r="S13" s="50">
        <v>0</v>
      </c>
      <c r="U13" s="50">
        <v>2364226</v>
      </c>
      <c r="V13" s="50">
        <v>1630</v>
      </c>
      <c r="W13" s="50" t="s">
        <v>15787</v>
      </c>
      <c r="X13" s="50" t="s">
        <v>102</v>
      </c>
      <c r="Y13" s="50" t="s">
        <v>103</v>
      </c>
      <c r="Z13" s="50" t="s">
        <v>398</v>
      </c>
      <c r="AB13" s="50" t="s">
        <v>12480</v>
      </c>
      <c r="AC13" s="50" t="s">
        <v>15788</v>
      </c>
      <c r="AD13" s="50" t="s">
        <v>12289</v>
      </c>
      <c r="AE13" s="50" t="s">
        <v>15789</v>
      </c>
      <c r="AF13" s="50" t="s">
        <v>11886</v>
      </c>
      <c r="AG13" s="50" t="s">
        <v>15789</v>
      </c>
      <c r="AH13" s="50" t="s">
        <v>109</v>
      </c>
      <c r="AI13" s="50" t="s">
        <v>102</v>
      </c>
      <c r="AJ13" s="50" t="s">
        <v>15790</v>
      </c>
      <c r="AK13" s="50" t="s">
        <v>15791</v>
      </c>
      <c r="AL13" s="50" t="s">
        <v>13867</v>
      </c>
      <c r="AM13" s="50" t="s">
        <v>15792</v>
      </c>
      <c r="AN13" s="50" t="s">
        <v>15793</v>
      </c>
      <c r="AO13" s="50" t="s">
        <v>15794</v>
      </c>
      <c r="AP13" s="50" t="s">
        <v>15795</v>
      </c>
      <c r="AQ13" s="50" t="s">
        <v>15795</v>
      </c>
      <c r="AV13" s="50" t="s">
        <v>318</v>
      </c>
      <c r="AW13" s="50" t="s">
        <v>118</v>
      </c>
      <c r="AX13" s="50" t="s">
        <v>102</v>
      </c>
      <c r="AY13" s="50" t="s">
        <v>119</v>
      </c>
      <c r="BB13" s="50" t="s">
        <v>250</v>
      </c>
      <c r="BC13" s="50" t="s">
        <v>171</v>
      </c>
      <c r="BD13" s="50" t="s">
        <v>920</v>
      </c>
      <c r="BE13" s="50" t="s">
        <v>211</v>
      </c>
      <c r="BF13" s="50" t="s">
        <v>212</v>
      </c>
      <c r="BG13" s="50" t="s">
        <v>213</v>
      </c>
      <c r="BH13" s="50" t="s">
        <v>124</v>
      </c>
      <c r="BI13" s="50" t="s">
        <v>11959</v>
      </c>
      <c r="BJ13" s="50" t="s">
        <v>11960</v>
      </c>
      <c r="BK13" s="50" t="s">
        <v>127</v>
      </c>
      <c r="BL13" s="50" t="s">
        <v>15796</v>
      </c>
      <c r="BM13" s="50" t="s">
        <v>5831</v>
      </c>
      <c r="BN13" s="50" t="s">
        <v>15797</v>
      </c>
      <c r="BO13" s="50" t="s">
        <v>411</v>
      </c>
      <c r="BP13" s="50" t="s">
        <v>7108</v>
      </c>
      <c r="BQ13" s="50" t="s">
        <v>180</v>
      </c>
      <c r="BR13" s="50" t="s">
        <v>7109</v>
      </c>
      <c r="BS13" s="50" t="s">
        <v>2151</v>
      </c>
      <c r="BT13" s="50" t="s">
        <v>2151</v>
      </c>
      <c r="BV13" s="50" t="s">
        <v>15798</v>
      </c>
      <c r="BW13" s="50" t="s">
        <v>5835</v>
      </c>
      <c r="BX13" s="50" t="s">
        <v>138</v>
      </c>
      <c r="BY13" s="50" t="s">
        <v>5836</v>
      </c>
      <c r="BZ13" s="50" t="s">
        <v>5837</v>
      </c>
      <c r="CA13" s="50" t="s">
        <v>5838</v>
      </c>
      <c r="CB13" s="50" t="s">
        <v>15799</v>
      </c>
      <c r="CC13" s="50" t="s">
        <v>5836</v>
      </c>
      <c r="CD13" s="50" t="s">
        <v>5837</v>
      </c>
      <c r="CE13" s="50" t="s">
        <v>15800</v>
      </c>
      <c r="CF13" s="50" t="s">
        <v>5840</v>
      </c>
      <c r="CG13" s="50" t="s">
        <v>5841</v>
      </c>
      <c r="CH13" s="50" t="s">
        <v>5842</v>
      </c>
      <c r="CI13" s="50" t="s">
        <v>5843</v>
      </c>
      <c r="CK13" s="50" t="s">
        <v>5844</v>
      </c>
      <c r="CL13" s="50" t="s">
        <v>5843</v>
      </c>
      <c r="CM13" s="50" t="s">
        <v>920</v>
      </c>
      <c r="CN13" s="50" t="s">
        <v>211</v>
      </c>
      <c r="CO13" s="50" t="s">
        <v>5844</v>
      </c>
      <c r="CP13" s="50" t="s">
        <v>5845</v>
      </c>
      <c r="CQ13" s="50" t="s">
        <v>5843</v>
      </c>
      <c r="CR13" s="50" t="s">
        <v>5843</v>
      </c>
      <c r="CS13" s="50" t="s">
        <v>26040</v>
      </c>
    </row>
    <row r="14" spans="1:97" hidden="1">
      <c r="A14" s="50" t="s">
        <v>149</v>
      </c>
      <c r="B14" s="50">
        <v>399475</v>
      </c>
      <c r="C14" s="50" t="e">
        <f>VLOOKUP(B14,'Drop schools 2026'!B:C,2,0)</f>
        <v>#N/A</v>
      </c>
      <c r="D14" s="50" t="s">
        <v>174</v>
      </c>
      <c r="E14" s="50" t="s">
        <v>1111</v>
      </c>
      <c r="F14" s="50" t="s">
        <v>8271</v>
      </c>
      <c r="G14" s="50" t="str">
        <f>VLOOKUP(B14,aa!B:F,5,0)</f>
        <v>Ei CARES, Ei Mindspark</v>
      </c>
      <c r="H14" s="50">
        <f>VLOOKUP(B14,aa!B:J,9,0)</f>
        <v>3672288</v>
      </c>
      <c r="I14" s="50">
        <f>VLOOKUP(B14,aa!B:L,11,0)</f>
        <v>0</v>
      </c>
      <c r="J14" s="50">
        <f>VLOOKUP(B14,aa!B:O,14,0)</f>
        <v>1643002</v>
      </c>
      <c r="K14" s="50">
        <f>VLOOKUP(B14,aa!B:R,17,0)</f>
        <v>2029286</v>
      </c>
      <c r="L14" s="50" t="s">
        <v>643</v>
      </c>
      <c r="M14" s="50">
        <v>3557929</v>
      </c>
      <c r="N14" s="50">
        <v>3879508</v>
      </c>
      <c r="O14" s="50">
        <v>0</v>
      </c>
      <c r="P14" s="50">
        <v>0</v>
      </c>
      <c r="R14" s="50">
        <v>1771381</v>
      </c>
      <c r="S14" s="50">
        <v>1684</v>
      </c>
      <c r="T14" s="50" t="s">
        <v>17645</v>
      </c>
      <c r="U14" s="50">
        <v>1786548</v>
      </c>
      <c r="V14" s="50">
        <v>1656</v>
      </c>
      <c r="W14" s="50" t="s">
        <v>14894</v>
      </c>
      <c r="X14" s="50" t="s">
        <v>102</v>
      </c>
      <c r="Y14" s="50" t="s">
        <v>103</v>
      </c>
      <c r="Z14" s="50" t="s">
        <v>155</v>
      </c>
      <c r="AB14" s="50" t="s">
        <v>411</v>
      </c>
      <c r="AC14" s="50" t="s">
        <v>17646</v>
      </c>
      <c r="AD14" s="50" t="s">
        <v>11976</v>
      </c>
      <c r="AE14" s="50" t="s">
        <v>17646</v>
      </c>
      <c r="AF14" s="50" t="s">
        <v>11888</v>
      </c>
      <c r="AG14" s="50" t="s">
        <v>17646</v>
      </c>
      <c r="AH14" s="50" t="s">
        <v>11886</v>
      </c>
      <c r="AI14" s="50" t="s">
        <v>17646</v>
      </c>
      <c r="AJ14" s="50" t="s">
        <v>17647</v>
      </c>
      <c r="AK14" s="50" t="s">
        <v>17648</v>
      </c>
      <c r="AL14" s="50" t="s">
        <v>11902</v>
      </c>
      <c r="AM14" s="50" t="s">
        <v>17649</v>
      </c>
      <c r="AN14" s="50" t="s">
        <v>17650</v>
      </c>
      <c r="AO14" s="50" t="s">
        <v>17651</v>
      </c>
      <c r="AP14" s="50" t="s">
        <v>17652</v>
      </c>
      <c r="AQ14" s="50" t="s">
        <v>17652</v>
      </c>
      <c r="AV14" s="50" t="s">
        <v>102</v>
      </c>
      <c r="AX14" s="50" t="s">
        <v>951</v>
      </c>
      <c r="AY14" s="50" t="s">
        <v>119</v>
      </c>
      <c r="AZ14" s="50" t="s">
        <v>170</v>
      </c>
      <c r="BA14" s="50" t="s">
        <v>118</v>
      </c>
      <c r="BB14" s="50" t="s">
        <v>250</v>
      </c>
      <c r="BC14" s="50" t="s">
        <v>120</v>
      </c>
      <c r="BD14" s="50" t="s">
        <v>4403</v>
      </c>
      <c r="BE14" s="50" t="s">
        <v>4404</v>
      </c>
      <c r="BF14" s="50" t="s">
        <v>174</v>
      </c>
      <c r="BG14" s="50" t="s">
        <v>4405</v>
      </c>
      <c r="BH14" s="50" t="s">
        <v>124</v>
      </c>
      <c r="BI14" s="50" t="s">
        <v>6341</v>
      </c>
      <c r="BJ14" s="50" t="s">
        <v>12250</v>
      </c>
      <c r="BK14" s="50" t="s">
        <v>127</v>
      </c>
      <c r="BL14" s="50" t="s">
        <v>17653</v>
      </c>
      <c r="BM14" s="50" t="s">
        <v>8284</v>
      </c>
      <c r="BN14" s="50" t="s">
        <v>17654</v>
      </c>
      <c r="BO14" s="50" t="s">
        <v>6341</v>
      </c>
      <c r="BP14" s="50" t="s">
        <v>1108</v>
      </c>
      <c r="BQ14" s="50" t="s">
        <v>180</v>
      </c>
      <c r="BR14" s="50" t="s">
        <v>1109</v>
      </c>
      <c r="BS14" s="50" t="s">
        <v>1110</v>
      </c>
      <c r="BT14" s="50" t="s">
        <v>1111</v>
      </c>
      <c r="BV14" s="50" t="s">
        <v>17655</v>
      </c>
      <c r="BW14" s="50" t="s">
        <v>17656</v>
      </c>
      <c r="BY14" s="50" t="s">
        <v>8290</v>
      </c>
      <c r="BZ14" s="50" t="s">
        <v>8289</v>
      </c>
      <c r="CA14" s="50" t="s">
        <v>8288</v>
      </c>
      <c r="CB14" s="50" t="s">
        <v>8287</v>
      </c>
      <c r="CC14" s="50" t="s">
        <v>8290</v>
      </c>
      <c r="CD14" s="50" t="s">
        <v>8289</v>
      </c>
      <c r="CE14" s="50" t="s">
        <v>17657</v>
      </c>
      <c r="CF14" s="50" t="s">
        <v>17658</v>
      </c>
      <c r="CG14" s="50" t="s">
        <v>17659</v>
      </c>
      <c r="CH14" s="50" t="s">
        <v>102</v>
      </c>
      <c r="CI14" s="50" t="s">
        <v>17660</v>
      </c>
      <c r="CK14" s="50" t="s">
        <v>8295</v>
      </c>
      <c r="CM14" s="50" t="s">
        <v>4403</v>
      </c>
      <c r="CN14" s="50" t="s">
        <v>4404</v>
      </c>
      <c r="CO14" s="50" t="s">
        <v>8295</v>
      </c>
      <c r="CP14" s="50" t="s">
        <v>8296</v>
      </c>
      <c r="CQ14" s="50" t="s">
        <v>8294</v>
      </c>
      <c r="CR14" s="50" t="s">
        <v>8294</v>
      </c>
    </row>
    <row r="15" spans="1:97" hidden="1">
      <c r="A15" s="50" t="s">
        <v>149</v>
      </c>
      <c r="B15" s="50">
        <v>12539</v>
      </c>
      <c r="C15" s="50" t="e">
        <f>VLOOKUP(B15,'Drop schools 2026'!B:C,2,0)</f>
        <v>#N/A</v>
      </c>
      <c r="D15" s="50" t="s">
        <v>174</v>
      </c>
      <c r="E15" s="50" t="s">
        <v>183</v>
      </c>
      <c r="F15" s="50" t="s">
        <v>641</v>
      </c>
      <c r="G15" s="50" t="str">
        <f>VLOOKUP(B15,aa!B:F,5,0)</f>
        <v>Ei CARES, Ei Mindspark</v>
      </c>
      <c r="H15" s="50">
        <f>VLOOKUP(B15,aa!B:J,9,0)</f>
        <v>2597897</v>
      </c>
      <c r="I15" s="50">
        <f>VLOOKUP(B15,aa!B:L,11,0)</f>
        <v>0</v>
      </c>
      <c r="J15" s="50">
        <f>VLOOKUP(B15,aa!B:O,14,0)</f>
        <v>863800</v>
      </c>
      <c r="K15" s="50">
        <f>VLOOKUP(B15,aa!B:R,17,0)</f>
        <v>1734097</v>
      </c>
      <c r="L15" s="50" t="s">
        <v>643</v>
      </c>
      <c r="M15" s="50">
        <v>3276427</v>
      </c>
      <c r="N15" s="50">
        <v>3710386</v>
      </c>
      <c r="O15" s="50">
        <v>0</v>
      </c>
      <c r="P15" s="50">
        <v>0</v>
      </c>
      <c r="R15" s="50">
        <v>865542</v>
      </c>
      <c r="S15" s="50">
        <v>641</v>
      </c>
      <c r="T15" s="50" t="s">
        <v>397</v>
      </c>
      <c r="U15" s="50">
        <v>2410885</v>
      </c>
      <c r="V15" s="50">
        <v>1205</v>
      </c>
      <c r="W15" s="50" t="s">
        <v>12287</v>
      </c>
      <c r="X15" s="50" t="s">
        <v>102</v>
      </c>
      <c r="Y15" s="50" t="s">
        <v>103</v>
      </c>
      <c r="Z15" s="50" t="s">
        <v>104</v>
      </c>
      <c r="AB15" s="50" t="s">
        <v>126</v>
      </c>
      <c r="AC15" s="50" t="s">
        <v>12288</v>
      </c>
      <c r="AD15" s="50" t="s">
        <v>12289</v>
      </c>
      <c r="AE15" s="50" t="s">
        <v>12288</v>
      </c>
      <c r="AF15" s="50" t="s">
        <v>109</v>
      </c>
      <c r="AG15" s="50" t="s">
        <v>102</v>
      </c>
      <c r="AH15" s="50" t="s">
        <v>109</v>
      </c>
      <c r="AI15" s="50" t="s">
        <v>102</v>
      </c>
      <c r="AJ15" s="50" t="s">
        <v>12290</v>
      </c>
      <c r="AK15" s="50" t="s">
        <v>12291</v>
      </c>
      <c r="AL15" s="50" t="s">
        <v>12292</v>
      </c>
      <c r="AM15" s="50" t="s">
        <v>12293</v>
      </c>
      <c r="AN15" s="50" t="s">
        <v>12294</v>
      </c>
      <c r="AO15" s="50" t="s">
        <v>12295</v>
      </c>
      <c r="AP15" s="50" t="s">
        <v>12296</v>
      </c>
      <c r="AQ15" s="50" t="s">
        <v>12296</v>
      </c>
      <c r="AV15" s="50" t="s">
        <v>102</v>
      </c>
      <c r="AX15" s="50" t="s">
        <v>655</v>
      </c>
      <c r="AY15" s="50" t="s">
        <v>119</v>
      </c>
      <c r="AZ15" s="50" t="s">
        <v>170</v>
      </c>
      <c r="BA15" s="50" t="s">
        <v>118</v>
      </c>
      <c r="BB15" s="50" t="s">
        <v>250</v>
      </c>
      <c r="BC15" s="50" t="s">
        <v>120</v>
      </c>
      <c r="BD15" s="50" t="s">
        <v>375</v>
      </c>
      <c r="BE15" s="50" t="s">
        <v>376</v>
      </c>
      <c r="BF15" s="50" t="s">
        <v>174</v>
      </c>
      <c r="BG15" s="50" t="s">
        <v>376</v>
      </c>
      <c r="BH15" s="50" t="s">
        <v>124</v>
      </c>
      <c r="BI15" s="50" t="s">
        <v>6341</v>
      </c>
      <c r="BJ15" s="50" t="s">
        <v>11889</v>
      </c>
      <c r="BK15" s="50" t="s">
        <v>127</v>
      </c>
      <c r="BL15" s="50" t="s">
        <v>12297</v>
      </c>
      <c r="BM15" s="50" t="s">
        <v>659</v>
      </c>
      <c r="BN15" s="50" t="s">
        <v>12298</v>
      </c>
      <c r="BO15" s="50" t="s">
        <v>1827</v>
      </c>
      <c r="BP15" s="50" t="s">
        <v>179</v>
      </c>
      <c r="BQ15" s="50" t="s">
        <v>180</v>
      </c>
      <c r="BR15" s="50" t="s">
        <v>181</v>
      </c>
      <c r="BS15" s="50" t="s">
        <v>182</v>
      </c>
      <c r="BT15" s="50" t="s">
        <v>183</v>
      </c>
      <c r="BV15" s="50" t="s">
        <v>12299</v>
      </c>
      <c r="BW15" s="50" t="s">
        <v>12300</v>
      </c>
      <c r="BX15" s="50" t="s">
        <v>138</v>
      </c>
      <c r="BY15" s="50" t="s">
        <v>665</v>
      </c>
      <c r="BZ15" s="50" t="s">
        <v>12301</v>
      </c>
      <c r="CA15" s="50" t="s">
        <v>665</v>
      </c>
      <c r="CB15" s="50" t="s">
        <v>12302</v>
      </c>
      <c r="CC15" s="50" t="s">
        <v>665</v>
      </c>
      <c r="CD15" s="50" t="s">
        <v>12303</v>
      </c>
      <c r="CE15" s="50" t="s">
        <v>12304</v>
      </c>
      <c r="CF15" s="50" t="s">
        <v>12305</v>
      </c>
      <c r="CG15" s="50" t="s">
        <v>12306</v>
      </c>
      <c r="CH15" s="50" t="s">
        <v>102</v>
      </c>
      <c r="CI15" s="50" t="s">
        <v>12307</v>
      </c>
      <c r="CK15" s="50" t="s">
        <v>671</v>
      </c>
      <c r="CM15" s="50" t="s">
        <v>375</v>
      </c>
      <c r="CN15" s="50" t="s">
        <v>376</v>
      </c>
      <c r="CO15" s="50" t="s">
        <v>671</v>
      </c>
      <c r="CP15" s="50" t="s">
        <v>672</v>
      </c>
      <c r="CQ15" s="50" t="s">
        <v>670</v>
      </c>
      <c r="CR15" s="50" t="s">
        <v>670</v>
      </c>
    </row>
    <row r="16" spans="1:97" hidden="1">
      <c r="A16" s="50" t="s">
        <v>149</v>
      </c>
      <c r="B16" s="50">
        <v>3425691</v>
      </c>
      <c r="C16" s="50" t="str">
        <f>VLOOKUP(B16,RISK!B:C,2,0)</f>
        <v>Risk</v>
      </c>
      <c r="D16" s="50" t="s">
        <v>622</v>
      </c>
      <c r="E16" s="50" t="s">
        <v>2525</v>
      </c>
      <c r="F16" s="53" t="s">
        <v>6007</v>
      </c>
      <c r="G16" s="50" t="e">
        <f>VLOOKUP(B16,aa!B:F,5,0)</f>
        <v>#N/A</v>
      </c>
      <c r="H16" s="50" t="e">
        <f>VLOOKUP(B16,aa!B:J,9,0)</f>
        <v>#N/A</v>
      </c>
      <c r="I16" s="50" t="e">
        <f>VLOOKUP(B16,aa!B:L,11,0)</f>
        <v>#N/A</v>
      </c>
      <c r="J16" s="50" t="e">
        <f>VLOOKUP(B16,aa!B:O,14,0)</f>
        <v>#N/A</v>
      </c>
      <c r="K16" s="50" t="e">
        <f>VLOOKUP(B16,aa!B:R,17,0)</f>
        <v>#N/A</v>
      </c>
      <c r="L16" s="50" t="s">
        <v>1746</v>
      </c>
      <c r="M16" s="50">
        <v>3104772</v>
      </c>
      <c r="N16" s="50">
        <v>3401528</v>
      </c>
      <c r="O16" s="50">
        <v>482614</v>
      </c>
      <c r="P16" s="50">
        <v>915</v>
      </c>
      <c r="Q16" s="50" t="s">
        <v>15928</v>
      </c>
      <c r="R16" s="50">
        <v>973511</v>
      </c>
      <c r="S16" s="50">
        <v>1031</v>
      </c>
      <c r="T16" s="50" t="s">
        <v>15929</v>
      </c>
      <c r="U16" s="50">
        <v>1648647</v>
      </c>
      <c r="V16" s="50">
        <v>1259</v>
      </c>
      <c r="W16" s="50" t="s">
        <v>15930</v>
      </c>
      <c r="X16" s="50" t="s">
        <v>102</v>
      </c>
      <c r="Y16" s="50" t="s">
        <v>103</v>
      </c>
      <c r="Z16" s="50" t="s">
        <v>104</v>
      </c>
      <c r="AB16" s="50" t="s">
        <v>7020</v>
      </c>
      <c r="AC16" s="50" t="s">
        <v>15931</v>
      </c>
      <c r="AD16" s="50" t="s">
        <v>12099</v>
      </c>
      <c r="AE16" s="50" t="s">
        <v>15931</v>
      </c>
      <c r="AF16" s="50" t="s">
        <v>109</v>
      </c>
      <c r="AG16" s="50" t="s">
        <v>102</v>
      </c>
      <c r="AH16" s="50" t="s">
        <v>109</v>
      </c>
      <c r="AI16" s="50" t="s">
        <v>102</v>
      </c>
      <c r="AJ16" s="50" t="s">
        <v>15932</v>
      </c>
      <c r="AK16" s="50" t="s">
        <v>12312</v>
      </c>
      <c r="AL16" s="50" t="s">
        <v>15933</v>
      </c>
      <c r="AM16" s="50" t="s">
        <v>15934</v>
      </c>
      <c r="AN16" s="50" t="s">
        <v>15935</v>
      </c>
      <c r="AO16" s="50" t="s">
        <v>15936</v>
      </c>
      <c r="AP16" s="50" t="s">
        <v>15937</v>
      </c>
      <c r="AQ16" s="50" t="s">
        <v>15938</v>
      </c>
      <c r="AS16" s="50" t="s">
        <v>169</v>
      </c>
      <c r="AT16" s="50" t="s">
        <v>169</v>
      </c>
      <c r="AU16" s="50" t="s">
        <v>169</v>
      </c>
      <c r="AV16" s="50" t="s">
        <v>318</v>
      </c>
      <c r="AW16" s="50" t="s">
        <v>118</v>
      </c>
      <c r="AX16" s="50" t="s">
        <v>1758</v>
      </c>
      <c r="AY16" s="50" t="s">
        <v>119</v>
      </c>
      <c r="AZ16" s="50" t="s">
        <v>170</v>
      </c>
      <c r="BA16" s="50" t="s">
        <v>118</v>
      </c>
      <c r="BB16" s="50" t="s">
        <v>250</v>
      </c>
      <c r="BC16" s="50" t="s">
        <v>209</v>
      </c>
      <c r="BD16" s="50" t="s">
        <v>729</v>
      </c>
      <c r="BE16" s="50" t="s">
        <v>730</v>
      </c>
      <c r="BF16" s="50" t="s">
        <v>622</v>
      </c>
      <c r="BG16" s="50" t="s">
        <v>730</v>
      </c>
      <c r="BH16" s="50" t="s">
        <v>124</v>
      </c>
      <c r="BI16" s="50" t="s">
        <v>15939</v>
      </c>
      <c r="BJ16" s="50" t="s">
        <v>15940</v>
      </c>
      <c r="BK16" s="50" t="s">
        <v>127</v>
      </c>
      <c r="BL16" s="50" t="s">
        <v>15941</v>
      </c>
      <c r="BM16" s="50" t="s">
        <v>6018</v>
      </c>
      <c r="BN16" s="50" t="s">
        <v>15942</v>
      </c>
      <c r="BO16" s="50" t="s">
        <v>13527</v>
      </c>
      <c r="BP16" s="50" t="s">
        <v>3606</v>
      </c>
      <c r="BQ16" s="50" t="s">
        <v>350</v>
      </c>
      <c r="BR16" s="50" t="s">
        <v>3607</v>
      </c>
      <c r="BS16" s="50" t="s">
        <v>3608</v>
      </c>
      <c r="BT16" s="50" t="s">
        <v>2569</v>
      </c>
      <c r="BV16" s="50" t="s">
        <v>15943</v>
      </c>
      <c r="BW16" s="50" t="s">
        <v>3964</v>
      </c>
      <c r="BX16" s="50" t="s">
        <v>354</v>
      </c>
      <c r="BY16" s="50" t="s">
        <v>3965</v>
      </c>
      <c r="BZ16" s="50" t="s">
        <v>3966</v>
      </c>
      <c r="CA16" s="50" t="s">
        <v>3967</v>
      </c>
      <c r="CB16" s="50" t="s">
        <v>6021</v>
      </c>
      <c r="CC16" s="50" t="s">
        <v>6022</v>
      </c>
      <c r="CD16" s="50" t="s">
        <v>15944</v>
      </c>
      <c r="CE16" s="50" t="s">
        <v>15945</v>
      </c>
      <c r="CF16" s="50" t="s">
        <v>15946</v>
      </c>
      <c r="CG16" s="50" t="s">
        <v>15947</v>
      </c>
      <c r="CH16" s="50" t="s">
        <v>1594</v>
      </c>
      <c r="CI16" s="50" t="s">
        <v>6024</v>
      </c>
      <c r="CK16" s="50" t="s">
        <v>6025</v>
      </c>
      <c r="CL16" s="50" t="s">
        <v>15948</v>
      </c>
      <c r="CM16" s="50" t="s">
        <v>729</v>
      </c>
      <c r="CN16" s="50" t="s">
        <v>730</v>
      </c>
      <c r="CO16" s="50" t="s">
        <v>6025</v>
      </c>
      <c r="CP16" s="50" t="s">
        <v>3971</v>
      </c>
      <c r="CQ16" s="50" t="s">
        <v>6024</v>
      </c>
      <c r="CR16" s="50" t="s">
        <v>6024</v>
      </c>
    </row>
    <row r="17" spans="1:97" hidden="1">
      <c r="A17" s="50" t="s">
        <v>149</v>
      </c>
      <c r="B17" s="50">
        <v>18922</v>
      </c>
      <c r="C17" s="50" t="e">
        <f>VLOOKUP(B17,'Drop schools 2026'!B:C,2,0)</f>
        <v>#N/A</v>
      </c>
      <c r="D17" s="50" t="s">
        <v>212</v>
      </c>
      <c r="E17" s="50" t="s">
        <v>2151</v>
      </c>
      <c r="F17" s="50" t="s">
        <v>2162</v>
      </c>
      <c r="G17" s="50" t="e">
        <f>VLOOKUP(B17,aa!B:F,5,0)</f>
        <v>#N/A</v>
      </c>
      <c r="H17" s="50" t="e">
        <f>VLOOKUP(B17,aa!B:J,9,0)</f>
        <v>#N/A</v>
      </c>
      <c r="I17" s="50" t="e">
        <f>VLOOKUP(B17,aa!B:L,11,0)</f>
        <v>#N/A</v>
      </c>
      <c r="J17" s="50" t="e">
        <f>VLOOKUP(B17,aa!B:O,14,0)</f>
        <v>#N/A</v>
      </c>
      <c r="K17" s="50" t="e">
        <f>VLOOKUP(B17,aa!B:R,17,0)</f>
        <v>#N/A</v>
      </c>
      <c r="L17" s="50" t="s">
        <v>1746</v>
      </c>
      <c r="M17" s="50">
        <v>3035261</v>
      </c>
      <c r="N17" s="50">
        <v>3181511</v>
      </c>
      <c r="O17" s="50">
        <v>1366920</v>
      </c>
      <c r="P17" s="50">
        <v>1638</v>
      </c>
      <c r="Q17" s="50" t="s">
        <v>13143</v>
      </c>
      <c r="R17" s="50">
        <v>855843</v>
      </c>
      <c r="S17" s="50">
        <v>467</v>
      </c>
      <c r="T17" s="50" t="s">
        <v>13144</v>
      </c>
      <c r="U17" s="50">
        <v>812498</v>
      </c>
      <c r="V17" s="50">
        <v>465</v>
      </c>
      <c r="W17" s="50" t="s">
        <v>8745</v>
      </c>
      <c r="X17" s="50" t="s">
        <v>102</v>
      </c>
      <c r="Y17" s="50" t="s">
        <v>103</v>
      </c>
      <c r="Z17" s="50" t="s">
        <v>155</v>
      </c>
      <c r="AB17" s="50" t="s">
        <v>12023</v>
      </c>
      <c r="AC17" s="50" t="s">
        <v>13145</v>
      </c>
      <c r="AD17" s="50" t="s">
        <v>1408</v>
      </c>
      <c r="AE17" s="50" t="s">
        <v>13145</v>
      </c>
      <c r="AF17" s="50" t="s">
        <v>12888</v>
      </c>
      <c r="AG17" s="50" t="s">
        <v>13145</v>
      </c>
      <c r="AH17" s="50" t="s">
        <v>1427</v>
      </c>
      <c r="AI17" s="50" t="s">
        <v>13145</v>
      </c>
      <c r="AJ17" s="50" t="s">
        <v>13146</v>
      </c>
      <c r="AK17" s="50" t="s">
        <v>1941</v>
      </c>
      <c r="AL17" s="50" t="s">
        <v>12859</v>
      </c>
      <c r="AM17" s="50" t="s">
        <v>13147</v>
      </c>
      <c r="AN17" s="50" t="s">
        <v>13148</v>
      </c>
      <c r="AO17" s="50" t="s">
        <v>13149</v>
      </c>
      <c r="AP17" s="50" t="s">
        <v>13150</v>
      </c>
      <c r="AQ17" s="50" t="s">
        <v>13150</v>
      </c>
      <c r="AV17" s="50" t="s">
        <v>318</v>
      </c>
      <c r="AW17" s="50" t="s">
        <v>250</v>
      </c>
      <c r="AX17" s="50" t="s">
        <v>155</v>
      </c>
      <c r="AY17" s="50" t="s">
        <v>119</v>
      </c>
      <c r="BA17" s="50" t="s">
        <v>250</v>
      </c>
      <c r="BB17" s="50" t="s">
        <v>250</v>
      </c>
      <c r="BC17" s="50" t="s">
        <v>120</v>
      </c>
      <c r="BD17" s="50" t="s">
        <v>920</v>
      </c>
      <c r="BE17" s="50" t="s">
        <v>211</v>
      </c>
      <c r="BF17" s="50" t="s">
        <v>212</v>
      </c>
      <c r="BG17" s="50" t="s">
        <v>213</v>
      </c>
      <c r="BH17" s="50" t="s">
        <v>124</v>
      </c>
      <c r="BI17" s="50" t="s">
        <v>12492</v>
      </c>
      <c r="BJ17" s="50" t="s">
        <v>11960</v>
      </c>
      <c r="BK17" s="50" t="s">
        <v>127</v>
      </c>
      <c r="BL17" s="50" t="s">
        <v>13151</v>
      </c>
      <c r="BM17" s="50" t="s">
        <v>2181</v>
      </c>
      <c r="BN17" s="50" t="s">
        <v>13152</v>
      </c>
      <c r="BO17" s="50" t="s">
        <v>945</v>
      </c>
      <c r="BP17" s="50" t="s">
        <v>415</v>
      </c>
      <c r="BQ17" s="50" t="s">
        <v>132</v>
      </c>
      <c r="BR17" s="50" t="s">
        <v>416</v>
      </c>
      <c r="BS17" s="50" t="s">
        <v>417</v>
      </c>
      <c r="BT17" s="50" t="s">
        <v>222</v>
      </c>
      <c r="BV17" s="50" t="s">
        <v>13153</v>
      </c>
      <c r="BW17" s="50" t="s">
        <v>2184</v>
      </c>
      <c r="BX17" s="50" t="s">
        <v>138</v>
      </c>
      <c r="BY17" s="50" t="s">
        <v>2185</v>
      </c>
      <c r="BZ17" s="50" t="s">
        <v>2186</v>
      </c>
      <c r="CA17" s="50" t="s">
        <v>2187</v>
      </c>
      <c r="CB17" s="50" t="s">
        <v>2184</v>
      </c>
      <c r="CC17" s="50" t="s">
        <v>2185</v>
      </c>
      <c r="CD17" s="50" t="s">
        <v>13154</v>
      </c>
      <c r="CE17" s="50" t="s">
        <v>13155</v>
      </c>
      <c r="CF17" s="50" t="s">
        <v>13156</v>
      </c>
      <c r="CG17" s="50" t="s">
        <v>13157</v>
      </c>
      <c r="CH17" s="50" t="s">
        <v>102</v>
      </c>
      <c r="CI17" s="50" t="s">
        <v>2188</v>
      </c>
      <c r="CK17" s="50" t="s">
        <v>2189</v>
      </c>
      <c r="CM17" s="50" t="s">
        <v>920</v>
      </c>
      <c r="CN17" s="50" t="s">
        <v>211</v>
      </c>
      <c r="CO17" s="50" t="s">
        <v>2189</v>
      </c>
      <c r="CP17" s="50" t="s">
        <v>2190</v>
      </c>
      <c r="CQ17" s="50" t="s">
        <v>2188</v>
      </c>
      <c r="CR17" s="50" t="s">
        <v>2188</v>
      </c>
      <c r="CS17" s="50" t="s">
        <v>26040</v>
      </c>
    </row>
    <row r="18" spans="1:97" hidden="1">
      <c r="A18" s="50" t="s">
        <v>149</v>
      </c>
      <c r="B18" s="50">
        <v>6334</v>
      </c>
      <c r="C18" s="50" t="e">
        <f>VLOOKUP(B18,'Drop schools 2026'!B:C,2,0)</f>
        <v>#N/A</v>
      </c>
      <c r="D18" s="50" t="s">
        <v>622</v>
      </c>
      <c r="E18" s="50" t="s">
        <v>1279</v>
      </c>
      <c r="F18" s="50" t="s">
        <v>5060</v>
      </c>
      <c r="G18" s="50" t="e">
        <f>VLOOKUP(B18,aa!B:F,5,0)</f>
        <v>#N/A</v>
      </c>
      <c r="H18" s="50" t="e">
        <f>VLOOKUP(B18,aa!B:J,9,0)</f>
        <v>#N/A</v>
      </c>
      <c r="I18" s="50" t="e">
        <f>VLOOKUP(B18,aa!B:L,11,0)</f>
        <v>#N/A</v>
      </c>
      <c r="J18" s="50" t="e">
        <f>VLOOKUP(B18,aa!B:O,14,0)</f>
        <v>#N/A</v>
      </c>
      <c r="K18" s="50" t="e">
        <f>VLOOKUP(B18,aa!B:R,17,0)</f>
        <v>#N/A</v>
      </c>
      <c r="L18" s="50" t="s">
        <v>675</v>
      </c>
      <c r="M18" s="50">
        <v>2987225</v>
      </c>
      <c r="N18" s="50">
        <v>2987225</v>
      </c>
      <c r="O18" s="50">
        <v>1042752</v>
      </c>
      <c r="P18" s="50">
        <v>3644</v>
      </c>
      <c r="Q18" s="50" t="s">
        <v>14347</v>
      </c>
      <c r="R18" s="50">
        <v>1944473</v>
      </c>
      <c r="S18" s="50">
        <v>1586</v>
      </c>
      <c r="T18" s="50" t="s">
        <v>21347</v>
      </c>
      <c r="U18" s="50">
        <v>0</v>
      </c>
      <c r="V18" s="50">
        <v>0</v>
      </c>
      <c r="X18" s="50" t="s">
        <v>102</v>
      </c>
      <c r="Y18" s="50" t="s">
        <v>679</v>
      </c>
      <c r="Z18" s="50" t="s">
        <v>104</v>
      </c>
      <c r="AA18" s="50" t="s">
        <v>13242</v>
      </c>
      <c r="AB18" s="50" t="s">
        <v>12764</v>
      </c>
      <c r="AC18" s="50" t="s">
        <v>21348</v>
      </c>
      <c r="AD18" s="50" t="s">
        <v>12767</v>
      </c>
      <c r="AE18" s="50" t="s">
        <v>21349</v>
      </c>
      <c r="AF18" s="50" t="s">
        <v>109</v>
      </c>
      <c r="AG18" s="50" t="s">
        <v>102</v>
      </c>
      <c r="AH18" s="50" t="s">
        <v>109</v>
      </c>
      <c r="AI18" s="50" t="s">
        <v>102</v>
      </c>
      <c r="AJ18" s="50" t="s">
        <v>21350</v>
      </c>
      <c r="AK18" s="50" t="s">
        <v>21351</v>
      </c>
      <c r="AL18" s="50" t="s">
        <v>21352</v>
      </c>
      <c r="AM18" s="50" t="s">
        <v>21353</v>
      </c>
      <c r="AN18" s="50" t="s">
        <v>21354</v>
      </c>
      <c r="AO18" s="50" t="s">
        <v>21355</v>
      </c>
      <c r="AP18" s="50" t="s">
        <v>21356</v>
      </c>
      <c r="AQ18" s="50" t="s">
        <v>21356</v>
      </c>
      <c r="AV18" s="50" t="s">
        <v>207</v>
      </c>
      <c r="AW18" s="50" t="s">
        <v>118</v>
      </c>
      <c r="AX18" s="50" t="s">
        <v>655</v>
      </c>
      <c r="AY18" s="50" t="s">
        <v>119</v>
      </c>
      <c r="AZ18" s="50" t="s">
        <v>170</v>
      </c>
      <c r="BA18" s="50" t="s">
        <v>118</v>
      </c>
      <c r="BC18" s="50" t="s">
        <v>171</v>
      </c>
      <c r="BD18" s="50" t="s">
        <v>623</v>
      </c>
      <c r="BE18" s="50" t="s">
        <v>621</v>
      </c>
      <c r="BF18" s="50" t="s">
        <v>622</v>
      </c>
      <c r="BG18" s="50" t="s">
        <v>623</v>
      </c>
      <c r="BH18" s="50" t="s">
        <v>124</v>
      </c>
      <c r="BI18" s="50" t="s">
        <v>21357</v>
      </c>
      <c r="BJ18" s="50" t="s">
        <v>12963</v>
      </c>
      <c r="BK18" s="50" t="s">
        <v>127</v>
      </c>
      <c r="BL18" s="50" t="s">
        <v>21358</v>
      </c>
      <c r="BM18" s="50" t="s">
        <v>11460</v>
      </c>
      <c r="BN18" s="50" t="s">
        <v>21359</v>
      </c>
      <c r="BO18" s="50" t="s">
        <v>21346</v>
      </c>
      <c r="BP18" s="50" t="s">
        <v>629</v>
      </c>
      <c r="BQ18" s="50" t="s">
        <v>132</v>
      </c>
      <c r="BR18" s="50" t="s">
        <v>630</v>
      </c>
      <c r="BS18" s="50" t="s">
        <v>631</v>
      </c>
      <c r="BT18" s="50" t="s">
        <v>1279</v>
      </c>
      <c r="BV18" s="50" t="s">
        <v>21360</v>
      </c>
      <c r="BW18" s="50" t="s">
        <v>21361</v>
      </c>
      <c r="BX18" s="50" t="s">
        <v>138</v>
      </c>
      <c r="BY18" s="50" t="s">
        <v>11467</v>
      </c>
      <c r="BZ18" s="50" t="s">
        <v>21362</v>
      </c>
      <c r="CA18" s="50" t="s">
        <v>4548</v>
      </c>
      <c r="CB18" s="50" t="s">
        <v>21363</v>
      </c>
      <c r="CC18" s="50" t="s">
        <v>11467</v>
      </c>
      <c r="CD18" s="50" t="s">
        <v>21362</v>
      </c>
      <c r="CE18" s="50" t="s">
        <v>21364</v>
      </c>
      <c r="CF18" s="50" t="s">
        <v>21365</v>
      </c>
      <c r="CG18" s="50" t="s">
        <v>21366</v>
      </c>
      <c r="CH18" s="50" t="s">
        <v>102</v>
      </c>
      <c r="CI18" s="50" t="s">
        <v>11474</v>
      </c>
      <c r="CK18" s="50" t="s">
        <v>4550</v>
      </c>
      <c r="CM18" s="50" t="s">
        <v>623</v>
      </c>
      <c r="CN18" s="50" t="s">
        <v>621</v>
      </c>
      <c r="CO18" s="50" t="s">
        <v>4550</v>
      </c>
      <c r="CP18" s="50" t="s">
        <v>4551</v>
      </c>
      <c r="CQ18" s="50" t="s">
        <v>11474</v>
      </c>
      <c r="CR18" s="50" t="s">
        <v>11474</v>
      </c>
      <c r="CS18" s="50" t="s">
        <v>26040</v>
      </c>
    </row>
    <row r="19" spans="1:97" hidden="1">
      <c r="A19" s="50" t="s">
        <v>93</v>
      </c>
      <c r="B19" s="50">
        <v>3992941</v>
      </c>
      <c r="C19" s="50" t="e">
        <f>VLOOKUP(B19,'Drop schools 2026'!B:C,2,0)</f>
        <v>#N/A</v>
      </c>
      <c r="D19" s="50" t="s">
        <v>622</v>
      </c>
      <c r="E19" s="50" t="s">
        <v>632</v>
      </c>
      <c r="F19" s="50" t="s">
        <v>8249</v>
      </c>
      <c r="G19" s="50" t="e">
        <f>VLOOKUP(B19,aa!B:F,5,0)</f>
        <v>#N/A</v>
      </c>
      <c r="H19" s="50" t="e">
        <f>VLOOKUP(B19,aa!B:J,9,0)</f>
        <v>#N/A</v>
      </c>
      <c r="I19" s="50" t="e">
        <f>VLOOKUP(B19,aa!B:L,11,0)</f>
        <v>#N/A</v>
      </c>
      <c r="J19" s="50" t="e">
        <f>VLOOKUP(B19,aa!B:O,14,0)</f>
        <v>#N/A</v>
      </c>
      <c r="K19" s="50" t="e">
        <f>VLOOKUP(B19,aa!B:R,17,0)</f>
        <v>#N/A</v>
      </c>
      <c r="L19" s="50" t="s">
        <v>2163</v>
      </c>
      <c r="M19" s="50">
        <v>2981269</v>
      </c>
      <c r="N19" s="50">
        <v>3360203</v>
      </c>
      <c r="O19" s="50">
        <v>437784</v>
      </c>
      <c r="P19" s="50">
        <v>488</v>
      </c>
      <c r="Q19" s="50" t="s">
        <v>17621</v>
      </c>
      <c r="R19" s="50">
        <v>438295</v>
      </c>
      <c r="S19" s="50">
        <v>487</v>
      </c>
      <c r="T19" s="50" t="s">
        <v>2451</v>
      </c>
      <c r="U19" s="50">
        <v>2105190</v>
      </c>
      <c r="V19" s="50">
        <v>552</v>
      </c>
      <c r="W19" s="50" t="s">
        <v>17622</v>
      </c>
      <c r="X19" s="50" t="s">
        <v>102</v>
      </c>
      <c r="Y19" s="50" t="s">
        <v>103</v>
      </c>
      <c r="Z19" s="50" t="s">
        <v>5317</v>
      </c>
      <c r="AB19" s="50" t="s">
        <v>17623</v>
      </c>
      <c r="AC19" s="50" t="s">
        <v>17624</v>
      </c>
      <c r="AD19" s="50" t="s">
        <v>17625</v>
      </c>
      <c r="AE19" s="50" t="s">
        <v>17624</v>
      </c>
      <c r="AF19" s="50" t="s">
        <v>13263</v>
      </c>
      <c r="AG19" s="50" t="s">
        <v>17626</v>
      </c>
      <c r="AH19" s="50" t="s">
        <v>109</v>
      </c>
      <c r="AI19" s="50" t="s">
        <v>102</v>
      </c>
      <c r="AJ19" s="50" t="s">
        <v>17627</v>
      </c>
      <c r="AK19" s="50" t="s">
        <v>17628</v>
      </c>
      <c r="AL19" s="50" t="s">
        <v>17629</v>
      </c>
      <c r="AM19" s="50" t="s">
        <v>17630</v>
      </c>
      <c r="AN19" s="50" t="s">
        <v>17631</v>
      </c>
      <c r="AO19" s="50" t="s">
        <v>17632</v>
      </c>
      <c r="AP19" s="50" t="s">
        <v>17633</v>
      </c>
      <c r="AQ19" s="50" t="s">
        <v>17633</v>
      </c>
      <c r="AV19" s="50" t="s">
        <v>247</v>
      </c>
      <c r="AW19" s="50" t="s">
        <v>118</v>
      </c>
      <c r="AX19" s="50" t="s">
        <v>1103</v>
      </c>
      <c r="AY19" s="50" t="s">
        <v>119</v>
      </c>
      <c r="AZ19" s="50" t="s">
        <v>170</v>
      </c>
      <c r="BA19" s="50" t="s">
        <v>118</v>
      </c>
      <c r="BB19" s="50" t="s">
        <v>250</v>
      </c>
      <c r="BC19" s="50" t="s">
        <v>120</v>
      </c>
      <c r="BD19" s="50" t="s">
        <v>623</v>
      </c>
      <c r="BE19" s="50" t="s">
        <v>621</v>
      </c>
      <c r="BF19" s="50" t="s">
        <v>622</v>
      </c>
      <c r="BG19" s="50" t="s">
        <v>623</v>
      </c>
      <c r="BH19" s="50" t="s">
        <v>124</v>
      </c>
      <c r="BI19" s="50" t="s">
        <v>17634</v>
      </c>
      <c r="BJ19" s="50" t="s">
        <v>17635</v>
      </c>
      <c r="BK19" s="50" t="s">
        <v>127</v>
      </c>
      <c r="BL19" s="50" t="s">
        <v>17636</v>
      </c>
      <c r="BM19" s="50" t="s">
        <v>8260</v>
      </c>
      <c r="BN19" s="50" t="s">
        <v>17637</v>
      </c>
      <c r="BO19" s="50" t="s">
        <v>17620</v>
      </c>
      <c r="BP19" s="50" t="s">
        <v>2284</v>
      </c>
      <c r="BQ19" s="50" t="s">
        <v>132</v>
      </c>
      <c r="BR19" s="50" t="s">
        <v>2285</v>
      </c>
      <c r="BS19" s="50" t="s">
        <v>2286</v>
      </c>
      <c r="BT19" s="50" t="s">
        <v>8262</v>
      </c>
      <c r="BV19" s="50" t="s">
        <v>17638</v>
      </c>
      <c r="BW19" s="50" t="s">
        <v>17639</v>
      </c>
      <c r="BX19" s="50" t="s">
        <v>3121</v>
      </c>
      <c r="BY19" s="50" t="s">
        <v>17640</v>
      </c>
      <c r="BZ19" s="50" t="s">
        <v>17641</v>
      </c>
      <c r="CA19" s="50" t="s">
        <v>8267</v>
      </c>
      <c r="CB19" s="50" t="s">
        <v>17642</v>
      </c>
      <c r="CC19" s="50" t="s">
        <v>17640</v>
      </c>
      <c r="CD19" s="50" t="s">
        <v>17641</v>
      </c>
      <c r="CE19" s="50" t="s">
        <v>17643</v>
      </c>
      <c r="CF19" s="50" t="s">
        <v>17640</v>
      </c>
      <c r="CG19" s="50" t="s">
        <v>17641</v>
      </c>
      <c r="CH19" s="50" t="s">
        <v>907</v>
      </c>
      <c r="CI19" s="50" t="s">
        <v>8268</v>
      </c>
      <c r="CK19" s="50" t="s">
        <v>8269</v>
      </c>
      <c r="CL19" s="50" t="s">
        <v>17644</v>
      </c>
      <c r="CM19" s="50" t="s">
        <v>623</v>
      </c>
      <c r="CN19" s="50" t="s">
        <v>621</v>
      </c>
      <c r="CO19" s="50" t="s">
        <v>8269</v>
      </c>
      <c r="CP19" s="50" t="s">
        <v>8270</v>
      </c>
      <c r="CQ19" s="50" t="s">
        <v>8268</v>
      </c>
      <c r="CR19" s="50" t="s">
        <v>8268</v>
      </c>
      <c r="CS19" s="50" t="s">
        <v>26040</v>
      </c>
    </row>
    <row r="20" spans="1:97" hidden="1">
      <c r="A20" s="50" t="s">
        <v>149</v>
      </c>
      <c r="B20" s="50">
        <v>3294066</v>
      </c>
      <c r="C20" s="50" t="e">
        <f>VLOOKUP(B20,'Drop schools 2026'!B:C,2,0)</f>
        <v>#N/A</v>
      </c>
      <c r="D20" s="50" t="s">
        <v>212</v>
      </c>
      <c r="E20" s="50" t="s">
        <v>418</v>
      </c>
      <c r="F20" s="50" t="s">
        <v>5367</v>
      </c>
      <c r="G20" s="50" t="e">
        <f>VLOOKUP(B20,aa!B:F,5,0)</f>
        <v>#N/A</v>
      </c>
      <c r="H20" s="50" t="e">
        <f>VLOOKUP(B20,aa!B:J,9,0)</f>
        <v>#N/A</v>
      </c>
      <c r="I20" s="50" t="e">
        <f>VLOOKUP(B20,aa!B:L,11,0)</f>
        <v>#N/A</v>
      </c>
      <c r="J20" s="50" t="e">
        <f>VLOOKUP(B20,aa!B:O,14,0)</f>
        <v>#N/A</v>
      </c>
      <c r="K20" s="50" t="e">
        <f>VLOOKUP(B20,aa!B:R,17,0)</f>
        <v>#N/A</v>
      </c>
      <c r="L20" s="50" t="s">
        <v>1746</v>
      </c>
      <c r="M20" s="50">
        <v>2873818</v>
      </c>
      <c r="N20" s="50">
        <v>3151864</v>
      </c>
      <c r="O20" s="50">
        <v>438392</v>
      </c>
      <c r="P20" s="50">
        <v>401</v>
      </c>
      <c r="Q20" s="50" t="s">
        <v>15416</v>
      </c>
      <c r="R20" s="50">
        <v>890724</v>
      </c>
      <c r="S20" s="50">
        <v>475</v>
      </c>
      <c r="T20" s="50" t="s">
        <v>15417</v>
      </c>
      <c r="U20" s="50">
        <v>1544702</v>
      </c>
      <c r="V20" s="50">
        <v>546</v>
      </c>
      <c r="W20" s="50" t="s">
        <v>15418</v>
      </c>
      <c r="X20" s="50" t="s">
        <v>102</v>
      </c>
      <c r="Y20" s="50" t="s">
        <v>103</v>
      </c>
      <c r="Z20" s="50" t="s">
        <v>155</v>
      </c>
      <c r="AB20" s="50" t="s">
        <v>13202</v>
      </c>
      <c r="AC20" s="50" t="s">
        <v>15419</v>
      </c>
      <c r="AD20" s="50" t="s">
        <v>12800</v>
      </c>
      <c r="AE20" s="50" t="s">
        <v>15419</v>
      </c>
      <c r="AF20" s="50" t="s">
        <v>13395</v>
      </c>
      <c r="AG20" s="50" t="s">
        <v>15419</v>
      </c>
      <c r="AH20" s="50" t="s">
        <v>11886</v>
      </c>
      <c r="AI20" s="50" t="s">
        <v>15419</v>
      </c>
      <c r="AJ20" s="50" t="s">
        <v>15420</v>
      </c>
      <c r="AK20" s="50" t="s">
        <v>15421</v>
      </c>
      <c r="AL20" s="50" t="s">
        <v>15422</v>
      </c>
      <c r="AM20" s="50" t="s">
        <v>15423</v>
      </c>
      <c r="AN20" s="50" t="s">
        <v>15424</v>
      </c>
      <c r="AO20" s="50" t="s">
        <v>15425</v>
      </c>
      <c r="AP20" s="50" t="s">
        <v>15426</v>
      </c>
      <c r="AQ20" s="50" t="s">
        <v>15426</v>
      </c>
      <c r="AV20" s="50" t="s">
        <v>318</v>
      </c>
      <c r="AW20" s="50" t="s">
        <v>118</v>
      </c>
      <c r="AX20" s="50" t="s">
        <v>155</v>
      </c>
      <c r="AY20" s="50" t="s">
        <v>119</v>
      </c>
      <c r="BA20" s="50" t="s">
        <v>250</v>
      </c>
      <c r="BB20" s="50" t="s">
        <v>250</v>
      </c>
      <c r="BC20" s="50" t="s">
        <v>120</v>
      </c>
      <c r="BD20" s="50" t="s">
        <v>920</v>
      </c>
      <c r="BE20" s="50" t="s">
        <v>211</v>
      </c>
      <c r="BF20" s="50" t="s">
        <v>212</v>
      </c>
      <c r="BG20" s="50" t="s">
        <v>213</v>
      </c>
      <c r="BH20" s="50" t="s">
        <v>124</v>
      </c>
      <c r="BI20" s="50" t="s">
        <v>11959</v>
      </c>
      <c r="BJ20" s="50" t="s">
        <v>11960</v>
      </c>
      <c r="BK20" s="50" t="s">
        <v>127</v>
      </c>
      <c r="BL20" s="50" t="s">
        <v>15427</v>
      </c>
      <c r="BM20" s="50" t="s">
        <v>5380</v>
      </c>
      <c r="BN20" s="50" t="s">
        <v>15428</v>
      </c>
      <c r="BO20" s="50" t="s">
        <v>411</v>
      </c>
      <c r="BP20" s="50" t="s">
        <v>7108</v>
      </c>
      <c r="BQ20" s="50" t="s">
        <v>350</v>
      </c>
      <c r="BR20" s="50" t="s">
        <v>7109</v>
      </c>
      <c r="BS20" s="50" t="s">
        <v>2151</v>
      </c>
      <c r="BT20" s="50" t="s">
        <v>2151</v>
      </c>
      <c r="BV20" s="50" t="s">
        <v>15429</v>
      </c>
      <c r="BW20" s="50" t="s">
        <v>5383</v>
      </c>
      <c r="BX20" s="50" t="s">
        <v>598</v>
      </c>
      <c r="BY20" s="50" t="s">
        <v>5384</v>
      </c>
      <c r="BZ20" s="50" t="s">
        <v>5385</v>
      </c>
      <c r="CA20" s="50" t="s">
        <v>5386</v>
      </c>
      <c r="CB20" s="50" t="s">
        <v>5383</v>
      </c>
      <c r="CC20" s="50" t="s">
        <v>5384</v>
      </c>
      <c r="CD20" s="50" t="s">
        <v>5385</v>
      </c>
      <c r="CE20" s="50" t="s">
        <v>15430</v>
      </c>
      <c r="CF20" s="50" t="s">
        <v>15431</v>
      </c>
      <c r="CG20" s="50" t="s">
        <v>15432</v>
      </c>
      <c r="CH20" s="50" t="s">
        <v>102</v>
      </c>
      <c r="CI20" s="50" t="s">
        <v>5391</v>
      </c>
      <c r="CK20" s="50" t="s">
        <v>5392</v>
      </c>
      <c r="CM20" s="50" t="s">
        <v>920</v>
      </c>
      <c r="CN20" s="50" t="s">
        <v>211</v>
      </c>
      <c r="CO20" s="50" t="s">
        <v>5392</v>
      </c>
      <c r="CP20" s="50" t="s">
        <v>5393</v>
      </c>
      <c r="CQ20" s="50" t="s">
        <v>5391</v>
      </c>
      <c r="CR20" s="50" t="s">
        <v>5391</v>
      </c>
      <c r="CS20" s="50" t="s">
        <v>26040</v>
      </c>
    </row>
    <row r="21" spans="1:97" hidden="1">
      <c r="A21" s="50" t="s">
        <v>149</v>
      </c>
      <c r="B21" s="50">
        <v>346484</v>
      </c>
      <c r="C21" s="50" t="e">
        <f>VLOOKUP(B21,'Drop schools 2026'!B:C,2,0)</f>
        <v>#N/A</v>
      </c>
      <c r="D21" s="50" t="s">
        <v>174</v>
      </c>
      <c r="E21" s="50" t="s">
        <v>384</v>
      </c>
      <c r="F21" s="50" t="s">
        <v>6188</v>
      </c>
      <c r="G21" s="50" t="str">
        <f>VLOOKUP(B21,aa!B:F,5,0)</f>
        <v>Ei CARES</v>
      </c>
      <c r="H21" s="50">
        <f>VLOOKUP(B21,aa!B:J,9,0)</f>
        <v>2829096</v>
      </c>
      <c r="I21" s="50">
        <f>VLOOKUP(B21,aa!B:L,11,0)</f>
        <v>0</v>
      </c>
      <c r="J21" s="50">
        <f>VLOOKUP(B21,aa!B:O,14,0)</f>
        <v>2829096</v>
      </c>
      <c r="K21" s="50">
        <f>VLOOKUP(B21,aa!B:R,17,0)</f>
        <v>0</v>
      </c>
      <c r="L21" s="50" t="s">
        <v>152</v>
      </c>
      <c r="M21" s="50">
        <v>2832771</v>
      </c>
      <c r="N21" s="50">
        <v>2832771</v>
      </c>
      <c r="O21" s="50">
        <v>0</v>
      </c>
      <c r="P21" s="50">
        <v>0</v>
      </c>
      <c r="R21" s="50">
        <v>2832771</v>
      </c>
      <c r="S21" s="50">
        <v>1099</v>
      </c>
      <c r="T21" s="50" t="s">
        <v>16100</v>
      </c>
      <c r="U21" s="50">
        <v>0</v>
      </c>
      <c r="V21" s="50">
        <v>0</v>
      </c>
      <c r="X21" s="50" t="s">
        <v>102</v>
      </c>
      <c r="Y21" s="50" t="s">
        <v>275</v>
      </c>
      <c r="AA21" s="50" t="s">
        <v>16101</v>
      </c>
      <c r="AB21" s="50" t="s">
        <v>109</v>
      </c>
      <c r="AC21" s="50" t="s">
        <v>102</v>
      </c>
      <c r="AD21" s="50" t="s">
        <v>109</v>
      </c>
      <c r="AE21" s="50" t="s">
        <v>102</v>
      </c>
      <c r="AF21" s="50" t="s">
        <v>109</v>
      </c>
      <c r="AG21" s="50" t="s">
        <v>102</v>
      </c>
      <c r="AH21" s="50" t="s">
        <v>109</v>
      </c>
      <c r="AI21" s="50" t="s">
        <v>102</v>
      </c>
      <c r="AJ21" s="50" t="s">
        <v>102</v>
      </c>
      <c r="AK21" s="50" t="s">
        <v>16102</v>
      </c>
      <c r="AL21" s="50" t="s">
        <v>16102</v>
      </c>
      <c r="AM21" s="50" t="s">
        <v>16103</v>
      </c>
      <c r="AN21" s="50" t="s">
        <v>16104</v>
      </c>
      <c r="AO21" s="50" t="s">
        <v>16105</v>
      </c>
      <c r="AP21" s="50" t="s">
        <v>16106</v>
      </c>
      <c r="AQ21" s="50" t="s">
        <v>16106</v>
      </c>
      <c r="AV21" s="50" t="s">
        <v>102</v>
      </c>
      <c r="AX21" s="50" t="s">
        <v>155</v>
      </c>
      <c r="AY21" s="50" t="s">
        <v>249</v>
      </c>
      <c r="AZ21" s="50" t="s">
        <v>170</v>
      </c>
      <c r="BA21" s="50" t="s">
        <v>118</v>
      </c>
      <c r="BC21" s="50" t="s">
        <v>171</v>
      </c>
      <c r="BD21" s="50" t="s">
        <v>6194</v>
      </c>
      <c r="BE21" s="50" t="s">
        <v>376</v>
      </c>
      <c r="BF21" s="50" t="s">
        <v>174</v>
      </c>
      <c r="BG21" s="50" t="s">
        <v>376</v>
      </c>
      <c r="BH21" s="50" t="s">
        <v>124</v>
      </c>
      <c r="BI21" s="50" t="s">
        <v>4909</v>
      </c>
      <c r="BJ21" s="50" t="s">
        <v>11889</v>
      </c>
      <c r="BK21" s="50" t="s">
        <v>127</v>
      </c>
      <c r="BL21" s="50" t="s">
        <v>16107</v>
      </c>
      <c r="BM21" s="50" t="s">
        <v>6196</v>
      </c>
      <c r="BN21" s="50" t="s">
        <v>16108</v>
      </c>
      <c r="BO21" s="50" t="s">
        <v>16099</v>
      </c>
      <c r="BP21" s="50" t="s">
        <v>1917</v>
      </c>
      <c r="BQ21" s="50" t="s">
        <v>180</v>
      </c>
      <c r="BR21" s="50" t="s">
        <v>1918</v>
      </c>
      <c r="BS21" s="50" t="s">
        <v>1919</v>
      </c>
      <c r="BT21" s="50" t="s">
        <v>5029</v>
      </c>
      <c r="BV21" s="50" t="s">
        <v>16109</v>
      </c>
      <c r="BW21" s="50" t="s">
        <v>16110</v>
      </c>
      <c r="BX21" s="50" t="s">
        <v>138</v>
      </c>
      <c r="BY21" s="50" t="s">
        <v>6200</v>
      </c>
      <c r="BZ21" s="50" t="s">
        <v>6201</v>
      </c>
      <c r="CA21" s="50" t="s">
        <v>6200</v>
      </c>
      <c r="CB21" s="50" t="s">
        <v>16110</v>
      </c>
      <c r="CC21" s="50" t="s">
        <v>6200</v>
      </c>
      <c r="CD21" s="50" t="s">
        <v>6201</v>
      </c>
      <c r="CE21" s="50" t="s">
        <v>16110</v>
      </c>
      <c r="CF21" s="50" t="s">
        <v>6200</v>
      </c>
      <c r="CG21" s="50" t="s">
        <v>6201</v>
      </c>
      <c r="CH21" s="50" t="s">
        <v>6205</v>
      </c>
      <c r="CI21" s="50" t="s">
        <v>6188</v>
      </c>
      <c r="CK21" s="50" t="s">
        <v>6207</v>
      </c>
      <c r="CL21" s="50" t="s">
        <v>16111</v>
      </c>
      <c r="CM21" s="50" t="s">
        <v>6194</v>
      </c>
      <c r="CN21" s="50" t="s">
        <v>376</v>
      </c>
      <c r="CO21" s="50" t="s">
        <v>6207</v>
      </c>
      <c r="CP21" s="50" t="s">
        <v>6208</v>
      </c>
      <c r="CQ21" s="50" t="s">
        <v>6206</v>
      </c>
      <c r="CR21" s="50" t="s">
        <v>6206</v>
      </c>
    </row>
    <row r="22" spans="1:97" hidden="1">
      <c r="A22" s="50" t="s">
        <v>149</v>
      </c>
      <c r="B22" s="50">
        <v>865626</v>
      </c>
      <c r="C22" s="50" t="e">
        <f>VLOOKUP(B22,'Drop schools 2026'!B:C,2,0)</f>
        <v>#N/A</v>
      </c>
      <c r="D22" s="50" t="s">
        <v>174</v>
      </c>
      <c r="E22" s="50" t="s">
        <v>183</v>
      </c>
      <c r="F22" s="50" t="s">
        <v>11220</v>
      </c>
      <c r="G22" s="50" t="str">
        <f>VLOOKUP(B22,aa!B:F,5,0)</f>
        <v>Ei ASSET, Ei Mindspark</v>
      </c>
      <c r="H22" s="50">
        <f>VLOOKUP(B22,aa!B:J,9,0)</f>
        <v>2776735</v>
      </c>
      <c r="I22" s="50">
        <f>VLOOKUP(B22,aa!B:L,11,0)</f>
        <v>192538</v>
      </c>
      <c r="J22" s="50">
        <f>VLOOKUP(B22,aa!B:O,14,0)</f>
        <v>0</v>
      </c>
      <c r="K22" s="50">
        <f>VLOOKUP(B22,aa!B:R,17,0)</f>
        <v>2584197</v>
      </c>
      <c r="L22" s="50" t="s">
        <v>193</v>
      </c>
      <c r="M22" s="50">
        <v>2754425</v>
      </c>
      <c r="N22" s="50">
        <v>3215159</v>
      </c>
      <c r="O22" s="50">
        <v>194789</v>
      </c>
      <c r="P22" s="50">
        <v>779</v>
      </c>
      <c r="Q22" s="50" t="s">
        <v>21572</v>
      </c>
      <c r="R22" s="50">
        <v>0</v>
      </c>
      <c r="S22" s="50">
        <v>0</v>
      </c>
      <c r="U22" s="50">
        <v>2559636</v>
      </c>
      <c r="V22" s="50">
        <v>2397</v>
      </c>
      <c r="W22" s="50" t="s">
        <v>11747</v>
      </c>
      <c r="X22" s="50" t="s">
        <v>102</v>
      </c>
      <c r="Y22" s="50" t="s">
        <v>679</v>
      </c>
      <c r="Z22" s="50" t="s">
        <v>155</v>
      </c>
      <c r="AA22" s="50" t="s">
        <v>12312</v>
      </c>
      <c r="AB22" s="50" t="s">
        <v>12568</v>
      </c>
      <c r="AC22" s="50" t="s">
        <v>21573</v>
      </c>
      <c r="AD22" s="50" t="s">
        <v>19477</v>
      </c>
      <c r="AE22" s="50" t="s">
        <v>21573</v>
      </c>
      <c r="AF22" s="50" t="s">
        <v>20108</v>
      </c>
      <c r="AG22" s="50" t="s">
        <v>21573</v>
      </c>
      <c r="AH22" s="50" t="s">
        <v>12216</v>
      </c>
      <c r="AI22" s="50" t="s">
        <v>21573</v>
      </c>
      <c r="AJ22" s="50" t="s">
        <v>102</v>
      </c>
      <c r="AK22" s="50" t="s">
        <v>12158</v>
      </c>
      <c r="AL22" s="50" t="s">
        <v>21574</v>
      </c>
      <c r="AM22" s="50" t="s">
        <v>21575</v>
      </c>
      <c r="AN22" s="50" t="s">
        <v>21576</v>
      </c>
      <c r="AO22" s="50" t="s">
        <v>21577</v>
      </c>
      <c r="AP22" s="50" t="s">
        <v>21578</v>
      </c>
      <c r="AQ22" s="50" t="s">
        <v>21578</v>
      </c>
      <c r="AV22" s="50" t="s">
        <v>207</v>
      </c>
      <c r="AW22" s="50" t="s">
        <v>118</v>
      </c>
      <c r="AX22" s="50" t="s">
        <v>102</v>
      </c>
      <c r="AY22" s="50" t="s">
        <v>119</v>
      </c>
      <c r="BB22" s="50" t="s">
        <v>250</v>
      </c>
      <c r="BC22" s="50" t="s">
        <v>120</v>
      </c>
      <c r="BD22" s="50" t="s">
        <v>375</v>
      </c>
      <c r="BE22" s="50" t="s">
        <v>376</v>
      </c>
      <c r="BF22" s="50" t="s">
        <v>174</v>
      </c>
      <c r="BG22" s="50" t="s">
        <v>376</v>
      </c>
      <c r="BH22" s="50" t="s">
        <v>124</v>
      </c>
      <c r="BI22" s="50" t="s">
        <v>17133</v>
      </c>
      <c r="BJ22" s="50" t="s">
        <v>11889</v>
      </c>
      <c r="BK22" s="50" t="s">
        <v>127</v>
      </c>
      <c r="BL22" s="50" t="s">
        <v>21579</v>
      </c>
      <c r="BM22" s="50" t="s">
        <v>11758</v>
      </c>
      <c r="BN22" s="50" t="s">
        <v>21580</v>
      </c>
      <c r="BO22" s="50" t="s">
        <v>21571</v>
      </c>
      <c r="BP22" s="50" t="s">
        <v>179</v>
      </c>
      <c r="BQ22" s="50" t="s">
        <v>180</v>
      </c>
      <c r="BR22" s="50" t="s">
        <v>181</v>
      </c>
      <c r="BS22" s="50" t="s">
        <v>182</v>
      </c>
      <c r="BT22" s="50" t="s">
        <v>183</v>
      </c>
      <c r="BV22" s="50" t="s">
        <v>21581</v>
      </c>
      <c r="BW22" s="50" t="s">
        <v>11761</v>
      </c>
      <c r="BX22" s="50" t="s">
        <v>138</v>
      </c>
      <c r="BY22" s="50" t="s">
        <v>11762</v>
      </c>
      <c r="BZ22" s="50" t="s">
        <v>11763</v>
      </c>
      <c r="CA22" s="50" t="s">
        <v>11764</v>
      </c>
      <c r="CB22" s="50" t="s">
        <v>11761</v>
      </c>
      <c r="CC22" s="50" t="s">
        <v>21582</v>
      </c>
      <c r="CD22" s="50" t="s">
        <v>11763</v>
      </c>
      <c r="CE22" s="50" t="s">
        <v>21583</v>
      </c>
      <c r="CF22" s="50" t="s">
        <v>11766</v>
      </c>
      <c r="CG22" s="50" t="s">
        <v>11767</v>
      </c>
      <c r="CH22" s="50" t="s">
        <v>102</v>
      </c>
      <c r="CI22" s="50" t="s">
        <v>11220</v>
      </c>
      <c r="CK22" s="50" t="s">
        <v>1644</v>
      </c>
      <c r="CM22" s="50" t="s">
        <v>375</v>
      </c>
      <c r="CN22" s="50" t="s">
        <v>376</v>
      </c>
      <c r="CO22" s="50" t="s">
        <v>1644</v>
      </c>
      <c r="CP22" s="50" t="s">
        <v>11769</v>
      </c>
      <c r="CQ22" s="50" t="s">
        <v>11768</v>
      </c>
      <c r="CR22" s="50" t="s">
        <v>11768</v>
      </c>
    </row>
    <row r="23" spans="1:97" hidden="1">
      <c r="A23" s="50" t="s">
        <v>149</v>
      </c>
      <c r="B23" s="50">
        <v>20238</v>
      </c>
      <c r="C23" s="50" t="e">
        <f>VLOOKUP(B23,'Drop schools 2026'!B:C,2,0)</f>
        <v>#N/A</v>
      </c>
      <c r="D23" s="50" t="s">
        <v>122</v>
      </c>
      <c r="E23" s="50" t="s">
        <v>12121</v>
      </c>
      <c r="F23" s="50" t="s">
        <v>2427</v>
      </c>
      <c r="G23" s="50" t="str">
        <f>VLOOKUP(B23,aa!B:F,5,0)</f>
        <v>Ei Mindspark</v>
      </c>
      <c r="H23" s="50">
        <f>VLOOKUP(B23,aa!B:J,9,0)</f>
        <v>2456259</v>
      </c>
      <c r="I23" s="50">
        <f>VLOOKUP(B23,aa!B:L,11,0)</f>
        <v>0</v>
      </c>
      <c r="J23" s="50">
        <f>VLOOKUP(B23,aa!B:O,14,0)</f>
        <v>0</v>
      </c>
      <c r="K23" s="50">
        <f>VLOOKUP(B23,aa!B:R,17,0)</f>
        <v>2456259</v>
      </c>
      <c r="L23" s="50" t="s">
        <v>193</v>
      </c>
      <c r="M23" s="50">
        <v>2719265</v>
      </c>
      <c r="N23" s="50">
        <v>3150845</v>
      </c>
      <c r="O23" s="50">
        <v>321600</v>
      </c>
      <c r="P23" s="50">
        <v>268</v>
      </c>
      <c r="Q23" s="50" t="s">
        <v>880</v>
      </c>
      <c r="R23" s="50">
        <v>0</v>
      </c>
      <c r="S23" s="50">
        <v>0</v>
      </c>
      <c r="U23" s="50">
        <v>2397665</v>
      </c>
      <c r="V23" s="50">
        <v>972</v>
      </c>
      <c r="W23" s="50" t="s">
        <v>13319</v>
      </c>
      <c r="X23" s="50" t="s">
        <v>102</v>
      </c>
      <c r="Y23" s="50" t="s">
        <v>103</v>
      </c>
      <c r="Z23" s="50" t="s">
        <v>801</v>
      </c>
      <c r="AB23" s="50" t="s">
        <v>13320</v>
      </c>
      <c r="AC23" s="50" t="s">
        <v>13321</v>
      </c>
      <c r="AD23" s="50" t="s">
        <v>13322</v>
      </c>
      <c r="AE23" s="50" t="s">
        <v>13321</v>
      </c>
      <c r="AF23" s="50" t="s">
        <v>13323</v>
      </c>
      <c r="AG23" s="50" t="s">
        <v>13324</v>
      </c>
      <c r="AH23" s="50" t="s">
        <v>13325</v>
      </c>
      <c r="AI23" s="50" t="s">
        <v>13324</v>
      </c>
      <c r="AJ23" s="50" t="s">
        <v>13326</v>
      </c>
      <c r="AK23" s="50" t="s">
        <v>13327</v>
      </c>
      <c r="AL23" s="50" t="s">
        <v>13328</v>
      </c>
      <c r="AM23" s="50" t="s">
        <v>13329</v>
      </c>
      <c r="AN23" s="50" t="s">
        <v>13330</v>
      </c>
      <c r="AO23" s="50" t="s">
        <v>13331</v>
      </c>
      <c r="AP23" s="50" t="s">
        <v>13332</v>
      </c>
      <c r="AQ23" s="50" t="s">
        <v>13332</v>
      </c>
      <c r="AV23" s="50" t="s">
        <v>247</v>
      </c>
      <c r="AW23" s="50" t="s">
        <v>118</v>
      </c>
      <c r="AX23" s="50" t="s">
        <v>102</v>
      </c>
      <c r="AY23" s="50" t="s">
        <v>119</v>
      </c>
      <c r="BB23" s="50" t="s">
        <v>250</v>
      </c>
      <c r="BC23" s="50" t="s">
        <v>120</v>
      </c>
      <c r="BD23" s="50" t="s">
        <v>555</v>
      </c>
      <c r="BE23" s="50" t="s">
        <v>556</v>
      </c>
      <c r="BF23" s="50" t="s">
        <v>122</v>
      </c>
      <c r="BG23" s="50" t="s">
        <v>557</v>
      </c>
      <c r="BH23" s="50" t="s">
        <v>124</v>
      </c>
      <c r="BI23" s="50" t="s">
        <v>11959</v>
      </c>
      <c r="BJ23" s="50" t="s">
        <v>11889</v>
      </c>
      <c r="BK23" s="50" t="s">
        <v>127</v>
      </c>
      <c r="BL23" s="50" t="s">
        <v>13333</v>
      </c>
      <c r="BM23" s="50" t="s">
        <v>2436</v>
      </c>
      <c r="BN23" s="50" t="s">
        <v>13334</v>
      </c>
      <c r="BO23" s="50" t="s">
        <v>13318</v>
      </c>
      <c r="BP23" s="50" t="s">
        <v>1142</v>
      </c>
      <c r="BQ23" s="50" t="s">
        <v>350</v>
      </c>
      <c r="BR23" s="50" t="s">
        <v>1143</v>
      </c>
      <c r="BS23" s="50" t="s">
        <v>1144</v>
      </c>
      <c r="BT23" s="50" t="s">
        <v>566</v>
      </c>
      <c r="BV23" s="50" t="s">
        <v>13335</v>
      </c>
      <c r="BW23" s="50" t="s">
        <v>2439</v>
      </c>
      <c r="BX23" s="50" t="s">
        <v>138</v>
      </c>
      <c r="BY23" s="50" t="s">
        <v>2442</v>
      </c>
      <c r="BZ23" s="50" t="s">
        <v>2441</v>
      </c>
      <c r="CA23" s="50" t="s">
        <v>2442</v>
      </c>
      <c r="CB23" s="50" t="s">
        <v>2439</v>
      </c>
      <c r="CC23" s="50" t="s">
        <v>2442</v>
      </c>
      <c r="CD23" s="50" t="s">
        <v>2441</v>
      </c>
      <c r="CE23" s="50" t="s">
        <v>2439</v>
      </c>
      <c r="CF23" s="50" t="s">
        <v>2442</v>
      </c>
      <c r="CG23" s="50" t="s">
        <v>2441</v>
      </c>
      <c r="CH23" s="50" t="s">
        <v>102</v>
      </c>
      <c r="CI23" s="50" t="s">
        <v>13336</v>
      </c>
      <c r="CK23" s="50" t="s">
        <v>2447</v>
      </c>
      <c r="CM23" s="50" t="s">
        <v>555</v>
      </c>
      <c r="CN23" s="50" t="s">
        <v>556</v>
      </c>
      <c r="CO23" s="50" t="s">
        <v>2447</v>
      </c>
      <c r="CP23" s="50" t="s">
        <v>2448</v>
      </c>
      <c r="CQ23" s="50" t="s">
        <v>2446</v>
      </c>
      <c r="CR23" s="50" t="s">
        <v>2446</v>
      </c>
    </row>
    <row r="24" spans="1:97" hidden="1">
      <c r="A24" s="50" t="s">
        <v>149</v>
      </c>
      <c r="B24" s="50">
        <v>4105283</v>
      </c>
      <c r="C24" s="50" t="e">
        <f>VLOOKUP(B24,'Drop schools 2026'!B:C,2,0)</f>
        <v>#N/A</v>
      </c>
      <c r="D24" s="50" t="s">
        <v>122</v>
      </c>
      <c r="E24" s="50" t="s">
        <v>12121</v>
      </c>
      <c r="F24" s="50" t="s">
        <v>8677</v>
      </c>
      <c r="G24" s="50" t="str">
        <f>VLOOKUP(B24,aa!B:F,5,0)</f>
        <v>Ei ASSET, Ei CARES</v>
      </c>
      <c r="H24" s="50">
        <f>VLOOKUP(B24,aa!B:J,9,0)</f>
        <v>2730651</v>
      </c>
      <c r="I24" s="50">
        <f>VLOOKUP(B24,aa!B:L,11,0)</f>
        <v>778719</v>
      </c>
      <c r="J24" s="50">
        <f>VLOOKUP(B24,aa!B:O,14,0)</f>
        <v>1951932</v>
      </c>
      <c r="K24" s="50">
        <f>VLOOKUP(B24,aa!B:R,17,0)</f>
        <v>0</v>
      </c>
      <c r="L24" s="50" t="s">
        <v>675</v>
      </c>
      <c r="M24" s="50">
        <v>2652490</v>
      </c>
      <c r="N24" s="50">
        <v>2652490</v>
      </c>
      <c r="O24" s="50">
        <v>774740</v>
      </c>
      <c r="P24" s="50">
        <v>1192</v>
      </c>
      <c r="Q24" s="50" t="s">
        <v>1122</v>
      </c>
      <c r="R24" s="50">
        <v>1877750</v>
      </c>
      <c r="S24" s="50">
        <v>1015</v>
      </c>
      <c r="T24" s="50" t="s">
        <v>1123</v>
      </c>
      <c r="U24" s="50">
        <v>0</v>
      </c>
      <c r="V24" s="50">
        <v>0</v>
      </c>
      <c r="X24" s="50" t="s">
        <v>102</v>
      </c>
      <c r="Y24" s="50" t="s">
        <v>103</v>
      </c>
      <c r="Z24" s="50" t="s">
        <v>801</v>
      </c>
      <c r="AB24" s="50" t="s">
        <v>18107</v>
      </c>
      <c r="AC24" s="50" t="s">
        <v>18108</v>
      </c>
      <c r="AD24" s="50" t="s">
        <v>18109</v>
      </c>
      <c r="AE24" s="50" t="s">
        <v>18110</v>
      </c>
      <c r="AF24" s="50" t="s">
        <v>12593</v>
      </c>
      <c r="AG24" s="50" t="s">
        <v>18111</v>
      </c>
      <c r="AH24" s="50" t="s">
        <v>12595</v>
      </c>
      <c r="AI24" s="50" t="s">
        <v>18111</v>
      </c>
      <c r="AJ24" s="50" t="s">
        <v>18112</v>
      </c>
      <c r="AK24" s="50" t="s">
        <v>18113</v>
      </c>
      <c r="AL24" s="50" t="s">
        <v>18114</v>
      </c>
      <c r="AM24" s="50" t="s">
        <v>18115</v>
      </c>
      <c r="AN24" s="50" t="s">
        <v>18116</v>
      </c>
      <c r="AO24" s="50" t="s">
        <v>18117</v>
      </c>
      <c r="AP24" s="50" t="s">
        <v>1137</v>
      </c>
      <c r="AQ24" s="50" t="s">
        <v>1137</v>
      </c>
      <c r="AV24" s="50" t="s">
        <v>247</v>
      </c>
      <c r="AW24" s="50" t="s">
        <v>118</v>
      </c>
      <c r="AX24" s="50" t="s">
        <v>248</v>
      </c>
      <c r="AY24" s="50" t="s">
        <v>119</v>
      </c>
      <c r="AZ24" s="50" t="s">
        <v>1138</v>
      </c>
      <c r="BA24" s="50" t="s">
        <v>118</v>
      </c>
      <c r="BC24" s="50" t="s">
        <v>120</v>
      </c>
      <c r="BD24" s="50" t="s">
        <v>555</v>
      </c>
      <c r="BE24" s="50" t="s">
        <v>556</v>
      </c>
      <c r="BF24" s="50" t="s">
        <v>122</v>
      </c>
      <c r="BG24" s="50" t="s">
        <v>557</v>
      </c>
      <c r="BH24" s="50" t="s">
        <v>124</v>
      </c>
      <c r="BI24" s="50" t="s">
        <v>7020</v>
      </c>
      <c r="BJ24" s="50" t="s">
        <v>12602</v>
      </c>
      <c r="BK24" s="50" t="s">
        <v>127</v>
      </c>
      <c r="BL24" s="50" t="s">
        <v>18118</v>
      </c>
      <c r="BM24" s="50" t="s">
        <v>8691</v>
      </c>
      <c r="BN24" s="50" t="s">
        <v>18119</v>
      </c>
      <c r="BO24" s="50" t="s">
        <v>5548</v>
      </c>
      <c r="BP24" s="50" t="s">
        <v>1142</v>
      </c>
      <c r="BQ24" s="50" t="s">
        <v>350</v>
      </c>
      <c r="BR24" s="50" t="s">
        <v>1143</v>
      </c>
      <c r="BS24" s="50" t="s">
        <v>1144</v>
      </c>
      <c r="BT24" s="50" t="s">
        <v>566</v>
      </c>
      <c r="BV24" s="50" t="s">
        <v>18120</v>
      </c>
      <c r="BW24" s="50" t="s">
        <v>1146</v>
      </c>
      <c r="BX24" s="50" t="s">
        <v>138</v>
      </c>
      <c r="BY24" s="50" t="s">
        <v>1147</v>
      </c>
      <c r="BZ24" s="50" t="s">
        <v>1148</v>
      </c>
      <c r="CA24" s="50" t="s">
        <v>8694</v>
      </c>
      <c r="CB24" s="50" t="s">
        <v>1146</v>
      </c>
      <c r="CC24" s="50" t="s">
        <v>1147</v>
      </c>
      <c r="CD24" s="50" t="s">
        <v>1148</v>
      </c>
      <c r="CE24" s="50" t="s">
        <v>1146</v>
      </c>
      <c r="CF24" s="50" t="s">
        <v>1147</v>
      </c>
      <c r="CG24" s="50" t="s">
        <v>1148</v>
      </c>
      <c r="CH24" s="50" t="s">
        <v>102</v>
      </c>
      <c r="CI24" s="50" t="s">
        <v>18121</v>
      </c>
      <c r="CK24" s="50" t="s">
        <v>8699</v>
      </c>
      <c r="CM24" s="50" t="s">
        <v>555</v>
      </c>
      <c r="CN24" s="50" t="s">
        <v>556</v>
      </c>
      <c r="CO24" s="50" t="s">
        <v>8699</v>
      </c>
      <c r="CP24" s="50" t="s">
        <v>1155</v>
      </c>
      <c r="CQ24" s="50" t="s">
        <v>8698</v>
      </c>
      <c r="CR24" s="50" t="s">
        <v>8698</v>
      </c>
    </row>
    <row r="25" spans="1:97" hidden="1">
      <c r="A25" s="50" t="s">
        <v>149</v>
      </c>
      <c r="B25" s="50">
        <v>4930</v>
      </c>
      <c r="C25" s="50" t="e">
        <f>VLOOKUP(B25,'Drop schools 2026'!B:C,2,0)</f>
        <v>#N/A</v>
      </c>
      <c r="D25" s="50" t="s">
        <v>212</v>
      </c>
      <c r="E25" s="50" t="s">
        <v>2151</v>
      </c>
      <c r="F25" s="50" t="s">
        <v>9025</v>
      </c>
      <c r="G25" s="50" t="e">
        <f>VLOOKUP(B25,aa!B:F,5,0)</f>
        <v>#N/A</v>
      </c>
      <c r="H25" s="50" t="e">
        <f>VLOOKUP(B25,aa!B:J,9,0)</f>
        <v>#N/A</v>
      </c>
      <c r="I25" s="50" t="e">
        <f>VLOOKUP(B25,aa!B:L,11,0)</f>
        <v>#N/A</v>
      </c>
      <c r="J25" s="50" t="e">
        <f>VLOOKUP(B25,aa!B:O,14,0)</f>
        <v>#N/A</v>
      </c>
      <c r="K25" s="50" t="e">
        <f>VLOOKUP(B25,aa!B:R,17,0)</f>
        <v>#N/A</v>
      </c>
      <c r="L25" s="50" t="s">
        <v>18418</v>
      </c>
      <c r="M25" s="50">
        <v>2640685</v>
      </c>
      <c r="N25" s="50">
        <v>2902199</v>
      </c>
      <c r="O25" s="50">
        <v>668239</v>
      </c>
      <c r="P25" s="50">
        <v>892</v>
      </c>
      <c r="Q25" s="50" t="s">
        <v>18419</v>
      </c>
      <c r="R25" s="50">
        <v>519590</v>
      </c>
      <c r="S25" s="50">
        <v>1118</v>
      </c>
      <c r="T25" s="50" t="s">
        <v>18420</v>
      </c>
      <c r="U25" s="50">
        <v>1452856</v>
      </c>
      <c r="V25" s="50">
        <v>753</v>
      </c>
      <c r="W25" s="50" t="s">
        <v>18421</v>
      </c>
      <c r="X25" s="50" t="s">
        <v>102</v>
      </c>
      <c r="Y25" s="50" t="s">
        <v>275</v>
      </c>
      <c r="AA25" s="50" t="s">
        <v>18422</v>
      </c>
      <c r="AB25" s="50" t="s">
        <v>109</v>
      </c>
      <c r="AC25" s="50" t="s">
        <v>102</v>
      </c>
      <c r="AD25" s="50" t="s">
        <v>109</v>
      </c>
      <c r="AE25" s="50" t="s">
        <v>102</v>
      </c>
      <c r="AF25" s="50" t="s">
        <v>109</v>
      </c>
      <c r="AG25" s="50" t="s">
        <v>102</v>
      </c>
      <c r="AH25" s="50" t="s">
        <v>109</v>
      </c>
      <c r="AI25" s="50" t="s">
        <v>102</v>
      </c>
      <c r="AJ25" s="50" t="s">
        <v>102</v>
      </c>
      <c r="AK25" s="50" t="s">
        <v>1604</v>
      </c>
      <c r="AL25" s="50" t="s">
        <v>10167</v>
      </c>
      <c r="AM25" s="50" t="s">
        <v>18423</v>
      </c>
      <c r="AN25" s="50" t="s">
        <v>18424</v>
      </c>
      <c r="AO25" s="50" t="s">
        <v>18425</v>
      </c>
      <c r="AP25" s="50" t="s">
        <v>18426</v>
      </c>
      <c r="AQ25" s="50" t="s">
        <v>18426</v>
      </c>
      <c r="AV25" s="50" t="s">
        <v>247</v>
      </c>
      <c r="AW25" s="50" t="s">
        <v>118</v>
      </c>
      <c r="AX25" s="50" t="s">
        <v>655</v>
      </c>
      <c r="AY25" s="50" t="s">
        <v>249</v>
      </c>
      <c r="AZ25" s="50" t="s">
        <v>170</v>
      </c>
      <c r="BA25" s="50" t="s">
        <v>118</v>
      </c>
      <c r="BB25" s="50" t="s">
        <v>250</v>
      </c>
      <c r="BC25" s="50" t="s">
        <v>120</v>
      </c>
      <c r="BD25" s="50" t="s">
        <v>920</v>
      </c>
      <c r="BE25" s="50" t="s">
        <v>211</v>
      </c>
      <c r="BF25" s="50" t="s">
        <v>212</v>
      </c>
      <c r="BG25" s="50" t="s">
        <v>213</v>
      </c>
      <c r="BH25" s="50" t="s">
        <v>124</v>
      </c>
      <c r="BI25" s="50" t="s">
        <v>16740</v>
      </c>
      <c r="BJ25" s="50" t="s">
        <v>11960</v>
      </c>
      <c r="BK25" s="50" t="s">
        <v>127</v>
      </c>
      <c r="BL25" s="50" t="s">
        <v>18427</v>
      </c>
      <c r="BM25" s="50" t="s">
        <v>9036</v>
      </c>
      <c r="BN25" s="50" t="s">
        <v>18428</v>
      </c>
      <c r="BO25" s="50" t="s">
        <v>18417</v>
      </c>
      <c r="BP25" s="50" t="s">
        <v>18429</v>
      </c>
      <c r="BQ25" s="50" t="s">
        <v>7992</v>
      </c>
      <c r="BR25" s="50" t="s">
        <v>18430</v>
      </c>
      <c r="BS25" s="50" t="s">
        <v>18431</v>
      </c>
      <c r="BT25" s="50" t="s">
        <v>2151</v>
      </c>
      <c r="BV25" s="50" t="s">
        <v>18432</v>
      </c>
      <c r="BW25" s="50" t="s">
        <v>18433</v>
      </c>
      <c r="BX25" s="50" t="s">
        <v>18434</v>
      </c>
      <c r="BY25" s="50" t="s">
        <v>9043</v>
      </c>
      <c r="BZ25" s="50" t="s">
        <v>18435</v>
      </c>
      <c r="CA25" s="50" t="s">
        <v>7114</v>
      </c>
      <c r="CB25" s="50" t="s">
        <v>18433</v>
      </c>
      <c r="CC25" s="50" t="s">
        <v>9043</v>
      </c>
      <c r="CD25" s="50" t="s">
        <v>18435</v>
      </c>
      <c r="CE25" s="50" t="s">
        <v>18436</v>
      </c>
      <c r="CF25" s="50" t="s">
        <v>9048</v>
      </c>
      <c r="CG25" s="50" t="s">
        <v>18437</v>
      </c>
      <c r="CH25" s="50" t="s">
        <v>102</v>
      </c>
      <c r="CI25" s="50" t="s">
        <v>9049</v>
      </c>
      <c r="CK25" s="50" t="s">
        <v>9050</v>
      </c>
      <c r="CM25" s="50" t="s">
        <v>920</v>
      </c>
      <c r="CN25" s="50" t="s">
        <v>211</v>
      </c>
      <c r="CO25" s="50" t="s">
        <v>9050</v>
      </c>
      <c r="CQ25" s="50" t="s">
        <v>9049</v>
      </c>
      <c r="CR25" s="50" t="s">
        <v>9049</v>
      </c>
      <c r="CS25" s="50" t="s">
        <v>26040</v>
      </c>
    </row>
    <row r="26" spans="1:97" hidden="1">
      <c r="A26" s="50" t="s">
        <v>149</v>
      </c>
      <c r="B26" s="50">
        <v>395483</v>
      </c>
      <c r="C26" s="50" t="e">
        <f>VLOOKUP(B26,'Drop schools 2026'!B:C,2,0)</f>
        <v>#N/A</v>
      </c>
      <c r="D26" s="50" t="s">
        <v>122</v>
      </c>
      <c r="E26" s="50" t="s">
        <v>11882</v>
      </c>
      <c r="F26" s="50" t="s">
        <v>8001</v>
      </c>
      <c r="G26" s="50" t="str">
        <f>VLOOKUP(B26,aa!B:F,5,0)</f>
        <v>Ei ASSET, Ei CARES, Ei Mindspark</v>
      </c>
      <c r="H26" s="50">
        <f>VLOOKUP(B26,aa!B:J,9,0)</f>
        <v>3006489</v>
      </c>
      <c r="I26" s="50">
        <f>VLOOKUP(B26,aa!B:L,11,0)</f>
        <v>494349</v>
      </c>
      <c r="J26" s="50">
        <f>VLOOKUP(B26,aa!B:O,14,0)</f>
        <v>1882912</v>
      </c>
      <c r="K26" s="50">
        <f>VLOOKUP(B26,aa!B:R,17,0)</f>
        <v>629228</v>
      </c>
      <c r="L26" s="50" t="s">
        <v>2163</v>
      </c>
      <c r="M26" s="50">
        <v>2613567</v>
      </c>
      <c r="N26" s="50">
        <v>2736553</v>
      </c>
      <c r="O26" s="50">
        <v>504778</v>
      </c>
      <c r="P26" s="50">
        <v>1127</v>
      </c>
      <c r="Q26" s="50" t="s">
        <v>4186</v>
      </c>
      <c r="R26" s="50">
        <v>1425536</v>
      </c>
      <c r="S26" s="50">
        <v>920</v>
      </c>
      <c r="T26" s="50" t="s">
        <v>15716</v>
      </c>
      <c r="U26" s="50">
        <v>683253</v>
      </c>
      <c r="V26" s="50">
        <v>1692</v>
      </c>
      <c r="W26" s="50" t="s">
        <v>5670</v>
      </c>
      <c r="X26" s="50" t="s">
        <v>102</v>
      </c>
      <c r="Y26" s="50" t="s">
        <v>103</v>
      </c>
      <c r="Z26" s="50" t="s">
        <v>155</v>
      </c>
      <c r="AB26" s="50" t="s">
        <v>13680</v>
      </c>
      <c r="AC26" s="50" t="s">
        <v>17379</v>
      </c>
      <c r="AD26" s="50" t="s">
        <v>11976</v>
      </c>
      <c r="AE26" s="50" t="s">
        <v>17379</v>
      </c>
      <c r="AF26" s="50" t="s">
        <v>11888</v>
      </c>
      <c r="AG26" s="50" t="s">
        <v>17379</v>
      </c>
      <c r="AH26" s="50" t="s">
        <v>12084</v>
      </c>
      <c r="AI26" s="50" t="s">
        <v>17379</v>
      </c>
      <c r="AJ26" s="50" t="s">
        <v>17380</v>
      </c>
      <c r="AK26" s="50" t="s">
        <v>12923</v>
      </c>
      <c r="AL26" s="50" t="s">
        <v>17381</v>
      </c>
      <c r="AM26" s="50" t="s">
        <v>17382</v>
      </c>
      <c r="AN26" s="50" t="s">
        <v>17383</v>
      </c>
      <c r="AO26" s="50" t="s">
        <v>17384</v>
      </c>
      <c r="AP26" s="50" t="s">
        <v>17385</v>
      </c>
      <c r="AQ26" s="50" t="s">
        <v>17386</v>
      </c>
      <c r="AS26" s="50" t="s">
        <v>169</v>
      </c>
      <c r="AU26" s="50" t="s">
        <v>169</v>
      </c>
      <c r="AV26" s="50" t="s">
        <v>247</v>
      </c>
      <c r="AW26" s="50" t="s">
        <v>118</v>
      </c>
      <c r="AX26" s="50" t="s">
        <v>5675</v>
      </c>
      <c r="AY26" s="50" t="s">
        <v>119</v>
      </c>
      <c r="AZ26" s="50" t="s">
        <v>1138</v>
      </c>
      <c r="BA26" s="50" t="s">
        <v>118</v>
      </c>
      <c r="BB26" s="50" t="s">
        <v>250</v>
      </c>
      <c r="BC26" s="50" t="s">
        <v>120</v>
      </c>
      <c r="BD26" s="50" t="s">
        <v>448</v>
      </c>
      <c r="BE26" s="50" t="s">
        <v>449</v>
      </c>
      <c r="BF26" s="50" t="s">
        <v>122</v>
      </c>
      <c r="BG26" s="50" t="s">
        <v>450</v>
      </c>
      <c r="BH26" s="50" t="s">
        <v>124</v>
      </c>
      <c r="BI26" s="50" t="s">
        <v>17387</v>
      </c>
      <c r="BJ26" s="50" t="s">
        <v>11889</v>
      </c>
      <c r="BK26" s="50" t="s">
        <v>127</v>
      </c>
      <c r="BL26" s="50" t="s">
        <v>17388</v>
      </c>
      <c r="BM26" s="50" t="s">
        <v>8012</v>
      </c>
      <c r="BN26" s="50" t="s">
        <v>17389</v>
      </c>
      <c r="BO26" s="50" t="s">
        <v>17378</v>
      </c>
      <c r="BP26" s="50" t="s">
        <v>3267</v>
      </c>
      <c r="BQ26" s="50" t="s">
        <v>350</v>
      </c>
      <c r="BR26" s="50" t="s">
        <v>3268</v>
      </c>
      <c r="BS26" s="50" t="s">
        <v>3269</v>
      </c>
      <c r="BT26" s="50" t="s">
        <v>135</v>
      </c>
      <c r="BV26" s="50" t="s">
        <v>17390</v>
      </c>
      <c r="BW26" s="50" t="s">
        <v>17391</v>
      </c>
      <c r="BX26" s="50" t="s">
        <v>138</v>
      </c>
      <c r="BY26" s="50" t="s">
        <v>17392</v>
      </c>
      <c r="BZ26" s="50" t="s">
        <v>17393</v>
      </c>
      <c r="CA26" s="50" t="s">
        <v>8015</v>
      </c>
      <c r="CB26" s="50" t="s">
        <v>17394</v>
      </c>
      <c r="CC26" s="50" t="s">
        <v>17395</v>
      </c>
      <c r="CD26" s="50" t="s">
        <v>17393</v>
      </c>
      <c r="CE26" s="50" t="s">
        <v>17394</v>
      </c>
      <c r="CF26" s="50" t="s">
        <v>17395</v>
      </c>
      <c r="CG26" s="50" t="s">
        <v>17393</v>
      </c>
      <c r="CH26" s="50" t="s">
        <v>102</v>
      </c>
      <c r="CI26" s="50" t="s">
        <v>17396</v>
      </c>
      <c r="CK26" s="50" t="s">
        <v>8000</v>
      </c>
      <c r="CM26" s="50" t="s">
        <v>448</v>
      </c>
      <c r="CN26" s="50" t="s">
        <v>449</v>
      </c>
      <c r="CO26" s="50" t="s">
        <v>8000</v>
      </c>
      <c r="CP26" s="50" t="s">
        <v>5687</v>
      </c>
      <c r="CQ26" s="50" t="s">
        <v>8021</v>
      </c>
      <c r="CR26" s="50" t="s">
        <v>8020</v>
      </c>
    </row>
    <row r="27" spans="1:97" hidden="1">
      <c r="A27" s="50" t="s">
        <v>149</v>
      </c>
      <c r="B27" s="50">
        <v>343881</v>
      </c>
      <c r="C27" s="50" t="e">
        <f>VLOOKUP(B27,'Drop schools 2026'!B:C,2,0)</f>
        <v>#N/A</v>
      </c>
      <c r="D27" s="50" t="s">
        <v>122</v>
      </c>
      <c r="E27" s="50" t="s">
        <v>12018</v>
      </c>
      <c r="F27" s="50" t="s">
        <v>6049</v>
      </c>
      <c r="G27" s="50" t="str">
        <f>VLOOKUP(B27,aa!B:F,5,0)</f>
        <v>Ei ASSET, Ei CARES, Ei Mindspark</v>
      </c>
      <c r="H27" s="50">
        <f>VLOOKUP(B27,aa!B:J,9,0)</f>
        <v>2591474</v>
      </c>
      <c r="I27" s="50">
        <f>VLOOKUP(B27,aa!B:L,11,0)</f>
        <v>558070</v>
      </c>
      <c r="J27" s="50">
        <f>VLOOKUP(B27,aa!B:O,14,0)</f>
        <v>636300</v>
      </c>
      <c r="K27" s="50">
        <f>VLOOKUP(B27,aa!B:R,17,0)</f>
        <v>1397104</v>
      </c>
      <c r="L27" s="50" t="s">
        <v>2163</v>
      </c>
      <c r="M27" s="50">
        <v>2609869</v>
      </c>
      <c r="N27" s="50">
        <v>2866153</v>
      </c>
      <c r="O27" s="50">
        <v>556069</v>
      </c>
      <c r="P27" s="50">
        <v>1390</v>
      </c>
      <c r="Q27" s="50" t="s">
        <v>6051</v>
      </c>
      <c r="R27" s="50">
        <v>630000</v>
      </c>
      <c r="S27" s="50">
        <v>600</v>
      </c>
      <c r="T27" s="50" t="s">
        <v>433</v>
      </c>
      <c r="U27" s="50">
        <v>1423800</v>
      </c>
      <c r="V27" s="50">
        <v>800</v>
      </c>
      <c r="W27" s="50" t="s">
        <v>4042</v>
      </c>
      <c r="X27" s="50" t="s">
        <v>102</v>
      </c>
      <c r="Y27" s="50" t="s">
        <v>103</v>
      </c>
      <c r="Z27" s="50" t="s">
        <v>801</v>
      </c>
      <c r="AB27" s="50" t="s">
        <v>15987</v>
      </c>
      <c r="AC27" s="50" t="s">
        <v>15988</v>
      </c>
      <c r="AD27" s="50" t="s">
        <v>10729</v>
      </c>
      <c r="AE27" s="50" t="s">
        <v>15989</v>
      </c>
      <c r="AF27" s="50" t="s">
        <v>15990</v>
      </c>
      <c r="AG27" s="50" t="s">
        <v>15991</v>
      </c>
      <c r="AH27" s="50" t="s">
        <v>15992</v>
      </c>
      <c r="AI27" s="50" t="s">
        <v>15991</v>
      </c>
      <c r="AJ27" s="50" t="s">
        <v>15993</v>
      </c>
      <c r="AK27" s="50" t="s">
        <v>12425</v>
      </c>
      <c r="AL27" s="50" t="s">
        <v>15994</v>
      </c>
      <c r="AM27" s="50" t="s">
        <v>15995</v>
      </c>
      <c r="AN27" s="50" t="s">
        <v>15996</v>
      </c>
      <c r="AO27" s="50" t="s">
        <v>15997</v>
      </c>
      <c r="AP27" s="50" t="s">
        <v>6062</v>
      </c>
      <c r="AQ27" s="50" t="s">
        <v>6062</v>
      </c>
      <c r="AV27" s="50" t="s">
        <v>247</v>
      </c>
      <c r="AW27" s="50" t="s">
        <v>118</v>
      </c>
      <c r="AX27" s="50" t="s">
        <v>655</v>
      </c>
      <c r="AY27" s="50" t="s">
        <v>119</v>
      </c>
      <c r="BA27" s="50" t="s">
        <v>250</v>
      </c>
      <c r="BB27" s="50" t="s">
        <v>250</v>
      </c>
      <c r="BC27" s="50" t="s">
        <v>120</v>
      </c>
      <c r="BD27" s="50" t="s">
        <v>4644</v>
      </c>
      <c r="BE27" s="50" t="s">
        <v>320</v>
      </c>
      <c r="BF27" s="50" t="s">
        <v>122</v>
      </c>
      <c r="BG27" s="50" t="s">
        <v>123</v>
      </c>
      <c r="BH27" s="50" t="s">
        <v>124</v>
      </c>
      <c r="BI27" s="50" t="s">
        <v>12023</v>
      </c>
      <c r="BJ27" s="50" t="s">
        <v>11889</v>
      </c>
      <c r="BK27" s="50" t="s">
        <v>127</v>
      </c>
      <c r="BL27" s="50" t="s">
        <v>15998</v>
      </c>
      <c r="BM27" s="50" t="s">
        <v>6064</v>
      </c>
      <c r="BN27" s="50" t="s">
        <v>15999</v>
      </c>
      <c r="BO27" s="50" t="s">
        <v>550</v>
      </c>
      <c r="BP27" s="50" t="s">
        <v>593</v>
      </c>
      <c r="BQ27" s="50" t="s">
        <v>350</v>
      </c>
      <c r="BR27" s="50" t="s">
        <v>594</v>
      </c>
      <c r="BS27" s="50" t="s">
        <v>595</v>
      </c>
      <c r="BT27" s="50" t="s">
        <v>328</v>
      </c>
      <c r="BU27" s="50" t="s">
        <v>5743</v>
      </c>
      <c r="BV27" s="50" t="s">
        <v>16000</v>
      </c>
      <c r="BW27" s="50" t="s">
        <v>16001</v>
      </c>
      <c r="BX27" s="50" t="s">
        <v>138</v>
      </c>
      <c r="BY27" s="50" t="s">
        <v>6068</v>
      </c>
      <c r="BZ27" s="50" t="s">
        <v>6069</v>
      </c>
      <c r="CA27" s="50" t="s">
        <v>6068</v>
      </c>
      <c r="CB27" s="50" t="s">
        <v>16001</v>
      </c>
      <c r="CC27" s="50" t="s">
        <v>6068</v>
      </c>
      <c r="CD27" s="50" t="s">
        <v>6069</v>
      </c>
      <c r="CE27" s="50" t="s">
        <v>16002</v>
      </c>
      <c r="CF27" s="50" t="s">
        <v>16003</v>
      </c>
      <c r="CG27" s="50" t="s">
        <v>6071</v>
      </c>
      <c r="CH27" s="50" t="s">
        <v>102</v>
      </c>
      <c r="CI27" s="50" t="s">
        <v>16004</v>
      </c>
      <c r="CK27" s="50" t="s">
        <v>6073</v>
      </c>
      <c r="CM27" s="50" t="s">
        <v>4644</v>
      </c>
      <c r="CN27" s="50" t="s">
        <v>320</v>
      </c>
      <c r="CO27" s="50" t="s">
        <v>6073</v>
      </c>
      <c r="CP27" s="50" t="s">
        <v>6074</v>
      </c>
      <c r="CQ27" s="50" t="s">
        <v>6072</v>
      </c>
      <c r="CR27" s="50" t="s">
        <v>6072</v>
      </c>
    </row>
    <row r="28" spans="1:97" hidden="1">
      <c r="A28" s="50" t="s">
        <v>149</v>
      </c>
      <c r="B28" s="50">
        <v>2457713</v>
      </c>
      <c r="C28" s="50" t="e">
        <f>VLOOKUP(B28,'Drop schools 2026'!B:C,2,0)</f>
        <v>#N/A</v>
      </c>
      <c r="D28" s="50" t="s">
        <v>212</v>
      </c>
      <c r="E28" s="50" t="s">
        <v>293</v>
      </c>
      <c r="F28" s="50" t="s">
        <v>3456</v>
      </c>
      <c r="G28" s="50" t="str">
        <f>VLOOKUP(B28,aa!B:F,5,0)</f>
        <v>Ei CARES</v>
      </c>
      <c r="H28" s="50">
        <f>VLOOKUP(B28,aa!B:J,9,0)</f>
        <v>2378671</v>
      </c>
      <c r="I28" s="50">
        <f>VLOOKUP(B28,aa!B:L,11,0)</f>
        <v>0</v>
      </c>
      <c r="J28" s="50">
        <f>VLOOKUP(B28,aa!B:O,14,0)</f>
        <v>2378671</v>
      </c>
      <c r="K28" s="50">
        <f>VLOOKUP(B28,aa!B:R,17,0)</f>
        <v>0</v>
      </c>
      <c r="L28" s="50" t="s">
        <v>152</v>
      </c>
      <c r="M28" s="50">
        <v>2449642</v>
      </c>
      <c r="N28" s="50">
        <v>2449642</v>
      </c>
      <c r="O28" s="50">
        <v>0</v>
      </c>
      <c r="P28" s="50">
        <v>0</v>
      </c>
      <c r="R28" s="50">
        <v>2449642</v>
      </c>
      <c r="S28" s="50">
        <v>1276</v>
      </c>
      <c r="T28" s="50" t="s">
        <v>14021</v>
      </c>
      <c r="U28" s="50">
        <v>0</v>
      </c>
      <c r="V28" s="50">
        <v>0</v>
      </c>
      <c r="X28" s="50" t="s">
        <v>102</v>
      </c>
      <c r="Y28" s="50" t="s">
        <v>103</v>
      </c>
      <c r="Z28" s="50" t="s">
        <v>155</v>
      </c>
      <c r="AB28" s="50" t="s">
        <v>11927</v>
      </c>
      <c r="AC28" s="50" t="s">
        <v>14022</v>
      </c>
      <c r="AD28" s="50" t="s">
        <v>14023</v>
      </c>
      <c r="AE28" s="50" t="s">
        <v>14022</v>
      </c>
      <c r="AF28" s="50" t="s">
        <v>11930</v>
      </c>
      <c r="AG28" s="50" t="s">
        <v>14022</v>
      </c>
      <c r="AH28" s="50" t="s">
        <v>14024</v>
      </c>
      <c r="AI28" s="50" t="s">
        <v>14022</v>
      </c>
      <c r="AJ28" s="50" t="s">
        <v>14025</v>
      </c>
      <c r="AK28" s="50" t="s">
        <v>10030</v>
      </c>
      <c r="AL28" s="50" t="s">
        <v>14026</v>
      </c>
      <c r="AM28" s="50" t="s">
        <v>14027</v>
      </c>
      <c r="AN28" s="50" t="s">
        <v>14028</v>
      </c>
      <c r="AO28" s="50" t="s">
        <v>14029</v>
      </c>
      <c r="AP28" s="50" t="s">
        <v>14030</v>
      </c>
      <c r="AQ28" s="50" t="s">
        <v>14030</v>
      </c>
      <c r="AV28" s="50" t="s">
        <v>102</v>
      </c>
      <c r="AX28" s="50" t="s">
        <v>155</v>
      </c>
      <c r="AY28" s="50" t="s">
        <v>447</v>
      </c>
      <c r="AZ28" s="50" t="s">
        <v>170</v>
      </c>
      <c r="BA28" s="50" t="s">
        <v>118</v>
      </c>
      <c r="BC28" s="50" t="s">
        <v>120</v>
      </c>
      <c r="BD28" s="50" t="s">
        <v>3465</v>
      </c>
      <c r="BE28" s="50" t="s">
        <v>211</v>
      </c>
      <c r="BF28" s="50" t="s">
        <v>212</v>
      </c>
      <c r="BG28" s="50" t="s">
        <v>213</v>
      </c>
      <c r="BH28" s="50" t="s">
        <v>124</v>
      </c>
      <c r="BI28" s="50" t="s">
        <v>12492</v>
      </c>
      <c r="BJ28" s="50" t="s">
        <v>12047</v>
      </c>
      <c r="BK28" s="50" t="s">
        <v>127</v>
      </c>
      <c r="BL28" s="50" t="s">
        <v>14031</v>
      </c>
      <c r="BM28" s="50" t="s">
        <v>3467</v>
      </c>
      <c r="BN28" s="50" t="s">
        <v>14032</v>
      </c>
      <c r="BO28" s="50" t="s">
        <v>14020</v>
      </c>
      <c r="BP28" s="50" t="s">
        <v>956</v>
      </c>
      <c r="BQ28" s="50" t="s">
        <v>132</v>
      </c>
      <c r="BR28" s="50" t="s">
        <v>958</v>
      </c>
      <c r="BS28" s="50" t="s">
        <v>959</v>
      </c>
      <c r="BT28" s="50" t="s">
        <v>2151</v>
      </c>
      <c r="BV28" s="50" t="s">
        <v>14033</v>
      </c>
      <c r="BW28" s="50" t="s">
        <v>14034</v>
      </c>
      <c r="BX28" s="50" t="s">
        <v>354</v>
      </c>
      <c r="BY28" s="50" t="s">
        <v>3473</v>
      </c>
      <c r="BZ28" s="50" t="s">
        <v>14035</v>
      </c>
      <c r="CA28" s="50" t="s">
        <v>3473</v>
      </c>
      <c r="CB28" s="50" t="s">
        <v>14036</v>
      </c>
      <c r="CC28" s="50" t="s">
        <v>3473</v>
      </c>
      <c r="CD28" s="50" t="s">
        <v>14037</v>
      </c>
      <c r="CE28" s="50" t="s">
        <v>14036</v>
      </c>
      <c r="CF28" s="50" t="s">
        <v>3473</v>
      </c>
      <c r="CG28" s="50" t="s">
        <v>14037</v>
      </c>
      <c r="CH28" s="50" t="s">
        <v>3474</v>
      </c>
      <c r="CI28" s="50" t="s">
        <v>3475</v>
      </c>
      <c r="CK28" s="50" t="s">
        <v>3476</v>
      </c>
      <c r="CL28" s="50" t="s">
        <v>3475</v>
      </c>
      <c r="CM28" s="50" t="s">
        <v>3465</v>
      </c>
      <c r="CN28" s="50" t="s">
        <v>211</v>
      </c>
      <c r="CO28" s="50" t="s">
        <v>3476</v>
      </c>
      <c r="CP28" s="50" t="s">
        <v>3477</v>
      </c>
      <c r="CQ28" s="50" t="s">
        <v>3475</v>
      </c>
      <c r="CR28" s="50" t="s">
        <v>3475</v>
      </c>
    </row>
    <row r="29" spans="1:97" hidden="1">
      <c r="A29" s="50" t="s">
        <v>337</v>
      </c>
      <c r="B29" s="50">
        <v>5018453</v>
      </c>
      <c r="C29" s="50" t="e">
        <f>VLOOKUP(B29,'Drop schools 2026'!B:C,2,0)</f>
        <v>#N/A</v>
      </c>
      <c r="D29" s="50" t="s">
        <v>212</v>
      </c>
      <c r="E29" s="50" t="s">
        <v>12423</v>
      </c>
      <c r="F29" s="50" t="s">
        <v>19809</v>
      </c>
      <c r="G29" s="50" t="e">
        <f>VLOOKUP(B29,aa!B:F,5,0)</f>
        <v>#N/A</v>
      </c>
      <c r="H29" s="50" t="e">
        <f>VLOOKUP(B29,aa!B:J,9,0)</f>
        <v>#N/A</v>
      </c>
      <c r="I29" s="50" t="e">
        <f>VLOOKUP(B29,aa!B:L,11,0)</f>
        <v>#N/A</v>
      </c>
      <c r="J29" s="50" t="e">
        <f>VLOOKUP(B29,aa!B:O,14,0)</f>
        <v>#N/A</v>
      </c>
      <c r="K29" s="50" t="e">
        <f>VLOOKUP(B29,aa!B:R,17,0)</f>
        <v>#N/A</v>
      </c>
      <c r="L29" s="50" t="s">
        <v>8024</v>
      </c>
      <c r="M29" s="50">
        <v>2420925</v>
      </c>
      <c r="N29" s="50">
        <v>2664830</v>
      </c>
      <c r="O29" s="50">
        <v>0</v>
      </c>
      <c r="P29" s="50">
        <v>0</v>
      </c>
      <c r="R29" s="50">
        <v>1065900</v>
      </c>
      <c r="S29" s="50">
        <v>1615</v>
      </c>
      <c r="T29" s="50" t="s">
        <v>4273</v>
      </c>
      <c r="U29" s="50">
        <v>1355025</v>
      </c>
      <c r="V29" s="50">
        <v>1615</v>
      </c>
      <c r="W29" s="50" t="s">
        <v>19810</v>
      </c>
      <c r="X29" s="50" t="s">
        <v>102</v>
      </c>
      <c r="Y29" s="50" t="s">
        <v>103</v>
      </c>
      <c r="Z29" s="50" t="s">
        <v>398</v>
      </c>
      <c r="AB29" s="50" t="s">
        <v>1721</v>
      </c>
      <c r="AC29" s="50" t="s">
        <v>19811</v>
      </c>
      <c r="AD29" s="50" t="s">
        <v>1941</v>
      </c>
      <c r="AE29" s="50" t="s">
        <v>19812</v>
      </c>
      <c r="AF29" s="50" t="s">
        <v>13395</v>
      </c>
      <c r="AG29" s="50" t="s">
        <v>19813</v>
      </c>
      <c r="AH29" s="50" t="s">
        <v>109</v>
      </c>
      <c r="AI29" s="50" t="s">
        <v>102</v>
      </c>
      <c r="AJ29" s="50" t="s">
        <v>102</v>
      </c>
      <c r="AK29" s="50" t="s">
        <v>2324</v>
      </c>
      <c r="AL29" s="50" t="s">
        <v>12429</v>
      </c>
      <c r="AM29" s="50" t="s">
        <v>19814</v>
      </c>
      <c r="AN29" s="50" t="s">
        <v>19815</v>
      </c>
      <c r="AO29" s="50" t="s">
        <v>19816</v>
      </c>
      <c r="AP29" s="50" t="s">
        <v>19817</v>
      </c>
      <c r="AQ29" s="50" t="s">
        <v>15155</v>
      </c>
      <c r="AS29" s="50" t="s">
        <v>169</v>
      </c>
      <c r="AT29" s="50" t="s">
        <v>169</v>
      </c>
      <c r="AV29" s="50" t="s">
        <v>102</v>
      </c>
      <c r="AX29" s="50" t="s">
        <v>155</v>
      </c>
      <c r="AY29" s="50" t="s">
        <v>119</v>
      </c>
      <c r="BA29" s="50" t="s">
        <v>250</v>
      </c>
      <c r="BB29" s="50" t="s">
        <v>250</v>
      </c>
      <c r="BC29" s="50" t="s">
        <v>598</v>
      </c>
      <c r="BD29" s="50" t="s">
        <v>4049</v>
      </c>
      <c r="BE29" s="50" t="s">
        <v>410</v>
      </c>
      <c r="BF29" s="50" t="s">
        <v>212</v>
      </c>
      <c r="BG29" s="50" t="s">
        <v>410</v>
      </c>
      <c r="BH29" s="50" t="s">
        <v>124</v>
      </c>
      <c r="BI29" s="50" t="s">
        <v>11959</v>
      </c>
      <c r="BJ29" s="50" t="s">
        <v>11960</v>
      </c>
      <c r="BK29" s="50" t="s">
        <v>127</v>
      </c>
      <c r="BL29" s="50" t="s">
        <v>19818</v>
      </c>
      <c r="BM29" s="50" t="s">
        <v>19819</v>
      </c>
      <c r="BN29" s="50" t="s">
        <v>19820</v>
      </c>
      <c r="BO29" s="50" t="s">
        <v>1721</v>
      </c>
      <c r="BP29" s="50" t="s">
        <v>4053</v>
      </c>
      <c r="BQ29" s="50" t="s">
        <v>505</v>
      </c>
      <c r="BR29" s="50" t="s">
        <v>4054</v>
      </c>
      <c r="BS29" s="50" t="s">
        <v>4055</v>
      </c>
      <c r="BT29" s="50" t="s">
        <v>4056</v>
      </c>
      <c r="BV29" s="50" t="s">
        <v>19821</v>
      </c>
      <c r="BW29" s="50" t="s">
        <v>19822</v>
      </c>
      <c r="BX29" s="50" t="s">
        <v>354</v>
      </c>
      <c r="BY29" s="50" t="s">
        <v>19823</v>
      </c>
      <c r="BZ29" s="50" t="s">
        <v>1559</v>
      </c>
      <c r="CA29" s="50" t="s">
        <v>19823</v>
      </c>
      <c r="CB29" s="50" t="s">
        <v>19824</v>
      </c>
      <c r="CC29" s="50" t="s">
        <v>19105</v>
      </c>
      <c r="CD29" s="50" t="s">
        <v>19825</v>
      </c>
      <c r="CE29" s="50" t="s">
        <v>19824</v>
      </c>
      <c r="CF29" s="50" t="s">
        <v>19105</v>
      </c>
      <c r="CG29" s="50" t="s">
        <v>19825</v>
      </c>
      <c r="CH29" s="50" t="s">
        <v>492</v>
      </c>
      <c r="CI29" s="50" t="s">
        <v>19826</v>
      </c>
      <c r="CK29" s="50" t="s">
        <v>19827</v>
      </c>
      <c r="CL29" s="50" t="s">
        <v>19828</v>
      </c>
      <c r="CM29" s="50" t="s">
        <v>4049</v>
      </c>
      <c r="CN29" s="50" t="s">
        <v>1711</v>
      </c>
      <c r="CO29" s="50" t="s">
        <v>19827</v>
      </c>
      <c r="CQ29" s="50" t="s">
        <v>19826</v>
      </c>
      <c r="CR29" s="50" t="s">
        <v>19828</v>
      </c>
      <c r="CS29" s="50" t="s">
        <v>26040</v>
      </c>
    </row>
    <row r="30" spans="1:97" hidden="1">
      <c r="A30" s="50" t="s">
        <v>93</v>
      </c>
      <c r="B30" s="50">
        <v>3155338</v>
      </c>
      <c r="C30" s="50" t="str">
        <f>VLOOKUP(B30,'Drop schools 2026'!B:C,2,0)</f>
        <v>Drop</v>
      </c>
      <c r="D30" s="50" t="s">
        <v>122</v>
      </c>
      <c r="E30" s="50" t="s">
        <v>12030</v>
      </c>
      <c r="F30" s="50" t="s">
        <v>4832</v>
      </c>
      <c r="G30" s="50" t="str">
        <f>VLOOKUP(B30,aa!B:F,5,0)</f>
        <v>Ei Mindspark</v>
      </c>
      <c r="H30" s="50">
        <f>VLOOKUP(B30,aa!B:J,9,0)</f>
        <v>624234</v>
      </c>
      <c r="I30" s="50">
        <f>VLOOKUP(B30,aa!B:L,11,0)</f>
        <v>0</v>
      </c>
      <c r="J30" s="50">
        <f>VLOOKUP(B30,aa!B:O,14,0)</f>
        <v>0</v>
      </c>
      <c r="K30" s="50">
        <f>VLOOKUP(B30,aa!B:R,17,0)</f>
        <v>624234</v>
      </c>
      <c r="L30" s="50" t="s">
        <v>848</v>
      </c>
      <c r="M30" s="50">
        <v>2407313</v>
      </c>
      <c r="N30" s="50">
        <v>2840629</v>
      </c>
      <c r="O30" s="50">
        <v>0</v>
      </c>
      <c r="P30" s="50">
        <v>0</v>
      </c>
      <c r="R30" s="50">
        <v>0</v>
      </c>
      <c r="S30" s="50">
        <v>0</v>
      </c>
      <c r="U30" s="50">
        <v>2407313</v>
      </c>
      <c r="V30" s="50">
        <v>1108</v>
      </c>
      <c r="W30" s="50" t="s">
        <v>15068</v>
      </c>
      <c r="X30" s="50" t="s">
        <v>102</v>
      </c>
      <c r="Y30" s="50" t="s">
        <v>103</v>
      </c>
      <c r="Z30" s="50" t="s">
        <v>155</v>
      </c>
      <c r="AB30" s="50" t="s">
        <v>15069</v>
      </c>
      <c r="AC30" s="50" t="s">
        <v>15070</v>
      </c>
      <c r="AD30" s="50" t="s">
        <v>15071</v>
      </c>
      <c r="AE30" s="50" t="s">
        <v>15070</v>
      </c>
      <c r="AF30" s="50" t="s">
        <v>15072</v>
      </c>
      <c r="AG30" s="50" t="s">
        <v>15070</v>
      </c>
      <c r="AH30" s="50" t="s">
        <v>11886</v>
      </c>
      <c r="AI30" s="50" t="s">
        <v>15070</v>
      </c>
      <c r="AJ30" s="50" t="s">
        <v>15073</v>
      </c>
      <c r="AK30" s="50" t="s">
        <v>7439</v>
      </c>
      <c r="AL30" s="50" t="s">
        <v>12859</v>
      </c>
      <c r="AM30" s="50" t="s">
        <v>15074</v>
      </c>
      <c r="AN30" s="50" t="s">
        <v>15075</v>
      </c>
      <c r="AO30" s="50" t="s">
        <v>15076</v>
      </c>
      <c r="AP30" s="50" t="s">
        <v>15077</v>
      </c>
      <c r="AQ30" s="50" t="s">
        <v>15078</v>
      </c>
      <c r="AU30" s="50" t="s">
        <v>169</v>
      </c>
      <c r="AV30" s="50" t="s">
        <v>102</v>
      </c>
      <c r="AX30" s="50" t="s">
        <v>102</v>
      </c>
      <c r="AY30" s="50" t="s">
        <v>119</v>
      </c>
      <c r="BB30" s="50" t="s">
        <v>250</v>
      </c>
      <c r="BC30" s="50" t="s">
        <v>120</v>
      </c>
      <c r="BD30" s="50" t="s">
        <v>4841</v>
      </c>
      <c r="BE30" s="50" t="s">
        <v>2800</v>
      </c>
      <c r="BF30" s="50" t="s">
        <v>122</v>
      </c>
      <c r="BG30" s="50" t="s">
        <v>346</v>
      </c>
      <c r="BH30" s="50" t="s">
        <v>124</v>
      </c>
      <c r="BI30" s="50" t="s">
        <v>12023</v>
      </c>
      <c r="BJ30" s="50" t="s">
        <v>12524</v>
      </c>
      <c r="BK30" s="50" t="s">
        <v>127</v>
      </c>
      <c r="BL30" s="50" t="s">
        <v>15079</v>
      </c>
      <c r="BM30" s="50" t="s">
        <v>4843</v>
      </c>
      <c r="BN30" s="50" t="s">
        <v>15080</v>
      </c>
      <c r="BO30" s="50" t="s">
        <v>15067</v>
      </c>
      <c r="BP30" s="50" t="s">
        <v>4845</v>
      </c>
      <c r="BQ30" s="50" t="s">
        <v>350</v>
      </c>
      <c r="BR30" s="50" t="s">
        <v>4846</v>
      </c>
      <c r="BS30" s="50" t="s">
        <v>4847</v>
      </c>
      <c r="BT30" s="50" t="s">
        <v>328</v>
      </c>
      <c r="BV30" s="50" t="s">
        <v>15081</v>
      </c>
      <c r="BW30" s="50" t="s">
        <v>15082</v>
      </c>
      <c r="BX30" s="50" t="s">
        <v>1282</v>
      </c>
      <c r="BY30" s="50" t="s">
        <v>15083</v>
      </c>
      <c r="BZ30" s="50" t="s">
        <v>4851</v>
      </c>
      <c r="CA30" s="50" t="s">
        <v>4852</v>
      </c>
      <c r="CB30" s="50" t="s">
        <v>15084</v>
      </c>
      <c r="CC30" s="50" t="s">
        <v>4850</v>
      </c>
      <c r="CD30" s="50" t="s">
        <v>15085</v>
      </c>
      <c r="CE30" s="50" t="s">
        <v>15084</v>
      </c>
      <c r="CF30" s="50" t="s">
        <v>4850</v>
      </c>
      <c r="CG30" s="50" t="s">
        <v>15086</v>
      </c>
      <c r="CH30" s="50" t="s">
        <v>573</v>
      </c>
      <c r="CI30" s="50" t="s">
        <v>4855</v>
      </c>
      <c r="CK30" s="50" t="s">
        <v>4856</v>
      </c>
      <c r="CL30" s="50" t="s">
        <v>4855</v>
      </c>
      <c r="CM30" s="50" t="s">
        <v>4841</v>
      </c>
      <c r="CN30" s="50" t="s">
        <v>2800</v>
      </c>
      <c r="CO30" s="50" t="s">
        <v>4856</v>
      </c>
      <c r="CP30" s="50" t="s">
        <v>4857</v>
      </c>
      <c r="CQ30" s="50" t="s">
        <v>4855</v>
      </c>
      <c r="CR30" s="50" t="s">
        <v>4855</v>
      </c>
    </row>
    <row r="31" spans="1:97" hidden="1">
      <c r="A31" s="50" t="s">
        <v>149</v>
      </c>
      <c r="B31" s="50">
        <v>3495131</v>
      </c>
      <c r="C31" s="50" t="e">
        <f>VLOOKUP(B31,'Drop schools 2026'!B:C,2,0)</f>
        <v>#N/A</v>
      </c>
      <c r="D31" s="50" t="s">
        <v>212</v>
      </c>
      <c r="E31" s="50" t="s">
        <v>11995</v>
      </c>
      <c r="F31" s="50" t="s">
        <v>6374</v>
      </c>
      <c r="G31" s="50" t="str">
        <f>VLOOKUP(B31,aa!B:F,5,0)</f>
        <v>Ei Mindspark</v>
      </c>
      <c r="H31" s="50">
        <f>VLOOKUP(B31,aa!B:J,9,0)</f>
        <v>1600981</v>
      </c>
      <c r="I31" s="50">
        <f>VLOOKUP(B31,aa!B:L,11,0)</f>
        <v>0</v>
      </c>
      <c r="J31" s="50">
        <f>VLOOKUP(B31,aa!B:O,14,0)</f>
        <v>0</v>
      </c>
      <c r="K31" s="50">
        <f>VLOOKUP(B31,aa!B:R,17,0)</f>
        <v>1600981</v>
      </c>
      <c r="L31" s="50" t="s">
        <v>193</v>
      </c>
      <c r="M31" s="50">
        <v>2405136</v>
      </c>
      <c r="N31" s="50">
        <v>2725470</v>
      </c>
      <c r="O31" s="50">
        <v>625500</v>
      </c>
      <c r="P31" s="50">
        <v>834</v>
      </c>
      <c r="Q31" s="50" t="s">
        <v>101</v>
      </c>
      <c r="R31" s="50">
        <v>0</v>
      </c>
      <c r="S31" s="50">
        <v>0</v>
      </c>
      <c r="U31" s="50">
        <v>1779636</v>
      </c>
      <c r="V31" s="50">
        <v>840</v>
      </c>
      <c r="W31" s="50" t="s">
        <v>2166</v>
      </c>
      <c r="X31" s="50" t="s">
        <v>102</v>
      </c>
      <c r="Y31" s="50" t="s">
        <v>103</v>
      </c>
      <c r="Z31" s="50" t="s">
        <v>5317</v>
      </c>
      <c r="AB31" s="50" t="s">
        <v>8708</v>
      </c>
      <c r="AC31" s="50" t="s">
        <v>16251</v>
      </c>
      <c r="AD31" s="50" t="s">
        <v>16252</v>
      </c>
      <c r="AE31" s="50" t="s">
        <v>16253</v>
      </c>
      <c r="AF31" s="50" t="s">
        <v>13263</v>
      </c>
      <c r="AG31" s="50" t="s">
        <v>16254</v>
      </c>
      <c r="AH31" s="50" t="s">
        <v>109</v>
      </c>
      <c r="AI31" s="50" t="s">
        <v>102</v>
      </c>
      <c r="AJ31" s="50" t="s">
        <v>16255</v>
      </c>
      <c r="AK31" s="50" t="s">
        <v>16256</v>
      </c>
      <c r="AL31" s="50" t="s">
        <v>16257</v>
      </c>
      <c r="AM31" s="50" t="s">
        <v>16258</v>
      </c>
      <c r="AN31" s="50" t="s">
        <v>16259</v>
      </c>
      <c r="AO31" s="50" t="s">
        <v>16260</v>
      </c>
      <c r="AP31" s="50" t="s">
        <v>16261</v>
      </c>
      <c r="AQ31" s="50" t="s">
        <v>16261</v>
      </c>
      <c r="AV31" s="50" t="s">
        <v>247</v>
      </c>
      <c r="AW31" s="50" t="s">
        <v>118</v>
      </c>
      <c r="AX31" s="50" t="s">
        <v>102</v>
      </c>
      <c r="AY31" s="50" t="s">
        <v>119</v>
      </c>
      <c r="BB31" s="50" t="s">
        <v>250</v>
      </c>
      <c r="BC31" s="50" t="s">
        <v>120</v>
      </c>
      <c r="BD31" s="50" t="s">
        <v>6389</v>
      </c>
      <c r="BE31" s="50" t="s">
        <v>6390</v>
      </c>
      <c r="BF31" s="50" t="s">
        <v>212</v>
      </c>
      <c r="BG31" s="50" t="s">
        <v>286</v>
      </c>
      <c r="BH31" s="50" t="s">
        <v>124</v>
      </c>
      <c r="BI31" s="50" t="s">
        <v>12023</v>
      </c>
      <c r="BJ31" s="50" t="s">
        <v>11889</v>
      </c>
      <c r="BK31" s="50" t="s">
        <v>127</v>
      </c>
      <c r="BL31" s="50" t="s">
        <v>16262</v>
      </c>
      <c r="BM31" s="50" t="s">
        <v>6393</v>
      </c>
      <c r="BN31" s="50" t="s">
        <v>16263</v>
      </c>
      <c r="BO31" s="50" t="s">
        <v>16250</v>
      </c>
      <c r="BP31" s="50" t="s">
        <v>290</v>
      </c>
      <c r="BQ31" s="50" t="s">
        <v>132</v>
      </c>
      <c r="BR31" s="50" t="s">
        <v>291</v>
      </c>
      <c r="BS31" s="50" t="s">
        <v>292</v>
      </c>
      <c r="BT31" s="50" t="s">
        <v>4765</v>
      </c>
      <c r="BV31" s="50" t="s">
        <v>16264</v>
      </c>
      <c r="BW31" s="50" t="s">
        <v>16265</v>
      </c>
      <c r="BX31" s="50" t="s">
        <v>354</v>
      </c>
      <c r="BY31" s="50" t="s">
        <v>16266</v>
      </c>
      <c r="BZ31" s="50" t="s">
        <v>16267</v>
      </c>
      <c r="CA31" s="50" t="s">
        <v>6399</v>
      </c>
      <c r="CB31" s="50" t="s">
        <v>6396</v>
      </c>
      <c r="CC31" s="50" t="s">
        <v>6399</v>
      </c>
      <c r="CD31" s="50" t="s">
        <v>16268</v>
      </c>
      <c r="CE31" s="50" t="s">
        <v>16269</v>
      </c>
      <c r="CF31" s="50" t="s">
        <v>16270</v>
      </c>
      <c r="CG31" s="50" t="s">
        <v>16268</v>
      </c>
      <c r="CH31" s="50" t="s">
        <v>6401</v>
      </c>
      <c r="CI31" s="50" t="s">
        <v>16271</v>
      </c>
      <c r="CK31" s="50" t="s">
        <v>6403</v>
      </c>
      <c r="CL31" s="50" t="s">
        <v>6402</v>
      </c>
      <c r="CM31" s="50" t="s">
        <v>6389</v>
      </c>
      <c r="CN31" s="50" t="s">
        <v>6390</v>
      </c>
      <c r="CO31" s="50" t="s">
        <v>6403</v>
      </c>
      <c r="CP31" s="50" t="s">
        <v>6404</v>
      </c>
      <c r="CQ31" s="50" t="s">
        <v>6405</v>
      </c>
      <c r="CR31" s="50" t="s">
        <v>6402</v>
      </c>
    </row>
    <row r="32" spans="1:97" hidden="1">
      <c r="A32" s="50" t="s">
        <v>149</v>
      </c>
      <c r="B32" s="50">
        <v>393696</v>
      </c>
      <c r="C32" s="50" t="e">
        <f>VLOOKUP(B32,'Drop schools 2026'!B:C,2,0)</f>
        <v>#N/A</v>
      </c>
      <c r="D32" s="50" t="s">
        <v>174</v>
      </c>
      <c r="E32" s="50" t="s">
        <v>1111</v>
      </c>
      <c r="F32" s="50" t="s">
        <v>7890</v>
      </c>
      <c r="G32" s="50" t="str">
        <f>VLOOKUP(B32,aa!B:F,5,0)</f>
        <v>Ei CARES</v>
      </c>
      <c r="H32" s="50">
        <f>VLOOKUP(B32,aa!B:J,9,0)</f>
        <v>2419290</v>
      </c>
      <c r="I32" s="50">
        <f>VLOOKUP(B32,aa!B:L,11,0)</f>
        <v>0</v>
      </c>
      <c r="J32" s="50">
        <f>VLOOKUP(B32,aa!B:O,14,0)</f>
        <v>2419290</v>
      </c>
      <c r="K32" s="50">
        <f>VLOOKUP(B32,aa!B:R,17,0)</f>
        <v>0</v>
      </c>
      <c r="L32" s="50" t="s">
        <v>152</v>
      </c>
      <c r="M32" s="50">
        <v>2358825</v>
      </c>
      <c r="N32" s="50">
        <v>2358825</v>
      </c>
      <c r="O32" s="50">
        <v>0</v>
      </c>
      <c r="P32" s="50">
        <v>0</v>
      </c>
      <c r="R32" s="50">
        <v>2358825</v>
      </c>
      <c r="S32" s="50">
        <v>1545</v>
      </c>
      <c r="T32" s="50" t="s">
        <v>17341</v>
      </c>
      <c r="U32" s="50">
        <v>0</v>
      </c>
      <c r="V32" s="50">
        <v>0</v>
      </c>
      <c r="X32" s="50" t="s">
        <v>102</v>
      </c>
      <c r="Y32" s="50" t="s">
        <v>679</v>
      </c>
      <c r="Z32" s="50" t="s">
        <v>155</v>
      </c>
      <c r="AA32" s="50" t="s">
        <v>8783</v>
      </c>
      <c r="AB32" s="50" t="s">
        <v>16659</v>
      </c>
      <c r="AC32" s="50" t="s">
        <v>17342</v>
      </c>
      <c r="AD32" s="50" t="s">
        <v>17343</v>
      </c>
      <c r="AE32" s="50" t="s">
        <v>17342</v>
      </c>
      <c r="AF32" s="50" t="s">
        <v>17344</v>
      </c>
      <c r="AG32" s="50" t="s">
        <v>17342</v>
      </c>
      <c r="AH32" s="50" t="s">
        <v>12216</v>
      </c>
      <c r="AI32" s="50" t="s">
        <v>17342</v>
      </c>
      <c r="AJ32" s="50" t="s">
        <v>17345</v>
      </c>
      <c r="AK32" s="50" t="s">
        <v>13511</v>
      </c>
      <c r="AL32" s="50" t="s">
        <v>15195</v>
      </c>
      <c r="AM32" s="50" t="s">
        <v>17346</v>
      </c>
      <c r="AN32" s="50" t="s">
        <v>17347</v>
      </c>
      <c r="AO32" s="50" t="s">
        <v>17348</v>
      </c>
      <c r="AP32" s="50" t="s">
        <v>17349</v>
      </c>
      <c r="AQ32" s="50" t="s">
        <v>17349</v>
      </c>
      <c r="AV32" s="50" t="s">
        <v>102</v>
      </c>
      <c r="AX32" s="50" t="s">
        <v>801</v>
      </c>
      <c r="AY32" s="50" t="s">
        <v>249</v>
      </c>
      <c r="AZ32" s="50" t="s">
        <v>170</v>
      </c>
      <c r="BA32" s="50" t="s">
        <v>118</v>
      </c>
      <c r="BC32" s="50" t="s">
        <v>209</v>
      </c>
      <c r="BD32" s="50" t="s">
        <v>7901</v>
      </c>
      <c r="BE32" s="50" t="s">
        <v>4404</v>
      </c>
      <c r="BF32" s="50" t="s">
        <v>174</v>
      </c>
      <c r="BG32" s="50" t="s">
        <v>4405</v>
      </c>
      <c r="BH32" s="50" t="s">
        <v>124</v>
      </c>
      <c r="BI32" s="50" t="s">
        <v>6177</v>
      </c>
      <c r="BJ32" s="50" t="s">
        <v>11979</v>
      </c>
      <c r="BK32" s="50" t="s">
        <v>127</v>
      </c>
      <c r="BL32" s="50" t="s">
        <v>17350</v>
      </c>
      <c r="BM32" s="50" t="s">
        <v>7903</v>
      </c>
      <c r="BN32" s="50" t="s">
        <v>17351</v>
      </c>
      <c r="BO32" s="50" t="s">
        <v>17340</v>
      </c>
      <c r="BP32" s="50" t="s">
        <v>1108</v>
      </c>
      <c r="BQ32" s="50" t="s">
        <v>13741</v>
      </c>
      <c r="BR32" s="50" t="s">
        <v>1109</v>
      </c>
      <c r="BS32" s="50" t="s">
        <v>1110</v>
      </c>
      <c r="BT32" s="50" t="s">
        <v>4413</v>
      </c>
      <c r="BV32" s="50" t="s">
        <v>17352</v>
      </c>
      <c r="BW32" s="50" t="s">
        <v>17353</v>
      </c>
      <c r="BX32" s="50" t="s">
        <v>138</v>
      </c>
      <c r="BY32" s="50" t="s">
        <v>7907</v>
      </c>
      <c r="BZ32" s="50" t="s">
        <v>7908</v>
      </c>
      <c r="CA32" s="50" t="s">
        <v>7907</v>
      </c>
      <c r="CB32" s="50" t="s">
        <v>17354</v>
      </c>
      <c r="CC32" s="50" t="s">
        <v>7907</v>
      </c>
      <c r="CD32" s="50" t="s">
        <v>7908</v>
      </c>
      <c r="CE32" s="50" t="s">
        <v>17355</v>
      </c>
      <c r="CF32" s="50" t="s">
        <v>7907</v>
      </c>
      <c r="CG32" s="50" t="s">
        <v>17356</v>
      </c>
      <c r="CH32" s="50" t="s">
        <v>102</v>
      </c>
      <c r="CI32" s="50" t="s">
        <v>7912</v>
      </c>
      <c r="CK32" s="50" t="s">
        <v>7913</v>
      </c>
      <c r="CM32" s="50" t="s">
        <v>7901</v>
      </c>
      <c r="CN32" s="50" t="s">
        <v>4404</v>
      </c>
      <c r="CO32" s="50" t="s">
        <v>7913</v>
      </c>
      <c r="CP32" s="50" t="s">
        <v>7915</v>
      </c>
      <c r="CQ32" s="50" t="s">
        <v>7912</v>
      </c>
      <c r="CR32" s="50" t="s">
        <v>7914</v>
      </c>
    </row>
    <row r="33" spans="1:97" hidden="1">
      <c r="A33" s="50" t="s">
        <v>149</v>
      </c>
      <c r="B33" s="50">
        <v>1837151</v>
      </c>
      <c r="C33" s="50" t="e">
        <f>VLOOKUP(B33,'Drop schools 2026'!B:C,2,0)</f>
        <v>#N/A</v>
      </c>
      <c r="D33" s="50" t="s">
        <v>122</v>
      </c>
      <c r="E33" s="50" t="s">
        <v>12491</v>
      </c>
      <c r="F33" s="50" t="s">
        <v>13015</v>
      </c>
      <c r="G33" s="50" t="str">
        <f>VLOOKUP(B33,aa!B:F,5,0)</f>
        <v>Ei ASSET, Ei CARES</v>
      </c>
      <c r="H33" s="50">
        <f>VLOOKUP(B33,aa!B:J,9,0)</f>
        <v>2346186</v>
      </c>
      <c r="I33" s="50">
        <f>VLOOKUP(B33,aa!B:L,11,0)</f>
        <v>696060</v>
      </c>
      <c r="J33" s="50">
        <f>VLOOKUP(B33,aa!B:O,14,0)</f>
        <v>1650126</v>
      </c>
      <c r="K33" s="50">
        <f>VLOOKUP(B33,aa!B:R,17,0)</f>
        <v>0</v>
      </c>
      <c r="L33" s="50" t="s">
        <v>675</v>
      </c>
      <c r="M33" s="50">
        <v>2277700</v>
      </c>
      <c r="N33" s="50">
        <v>2277700</v>
      </c>
      <c r="O33" s="50">
        <v>678780</v>
      </c>
      <c r="P33" s="50">
        <v>1257</v>
      </c>
      <c r="Q33" s="50" t="s">
        <v>2322</v>
      </c>
      <c r="R33" s="50">
        <v>1598920</v>
      </c>
      <c r="S33" s="50">
        <v>1249</v>
      </c>
      <c r="T33" s="50" t="s">
        <v>13016</v>
      </c>
      <c r="U33" s="50">
        <v>0</v>
      </c>
      <c r="V33" s="50">
        <v>0</v>
      </c>
      <c r="X33" s="50" t="s">
        <v>102</v>
      </c>
      <c r="Y33" s="50" t="s">
        <v>275</v>
      </c>
      <c r="AA33" s="50" t="s">
        <v>126</v>
      </c>
      <c r="AB33" s="50" t="s">
        <v>109</v>
      </c>
      <c r="AC33" s="50" t="s">
        <v>102</v>
      </c>
      <c r="AD33" s="50" t="s">
        <v>109</v>
      </c>
      <c r="AE33" s="50" t="s">
        <v>102</v>
      </c>
      <c r="AF33" s="50" t="s">
        <v>109</v>
      </c>
      <c r="AG33" s="50" t="s">
        <v>102</v>
      </c>
      <c r="AH33" s="50" t="s">
        <v>109</v>
      </c>
      <c r="AI33" s="50" t="s">
        <v>102</v>
      </c>
      <c r="AJ33" s="50" t="s">
        <v>13017</v>
      </c>
      <c r="AK33" s="50" t="s">
        <v>11948</v>
      </c>
      <c r="AL33" s="50" t="s">
        <v>2050</v>
      </c>
      <c r="AM33" s="50" t="s">
        <v>13018</v>
      </c>
      <c r="AN33" s="50" t="s">
        <v>13019</v>
      </c>
      <c r="AO33" s="50" t="s">
        <v>13020</v>
      </c>
      <c r="AP33" s="50" t="s">
        <v>13021</v>
      </c>
      <c r="AQ33" s="50" t="s">
        <v>13022</v>
      </c>
      <c r="AR33" s="50" t="s">
        <v>343</v>
      </c>
      <c r="AS33" s="50" t="s">
        <v>169</v>
      </c>
      <c r="AV33" s="50" t="s">
        <v>247</v>
      </c>
      <c r="AW33" s="50" t="s">
        <v>118</v>
      </c>
      <c r="AX33" s="50" t="s">
        <v>655</v>
      </c>
      <c r="AY33" s="50" t="s">
        <v>119</v>
      </c>
      <c r="AZ33" s="50" t="s">
        <v>170</v>
      </c>
      <c r="BA33" s="50" t="s">
        <v>118</v>
      </c>
      <c r="BC33" s="50" t="s">
        <v>120</v>
      </c>
      <c r="BD33" s="50" t="s">
        <v>2056</v>
      </c>
      <c r="BE33" s="50" t="s">
        <v>320</v>
      </c>
      <c r="BF33" s="50" t="s">
        <v>122</v>
      </c>
      <c r="BG33" s="50" t="s">
        <v>123</v>
      </c>
      <c r="BH33" s="50" t="s">
        <v>124</v>
      </c>
      <c r="BI33" s="50" t="s">
        <v>12023</v>
      </c>
      <c r="BJ33" s="50" t="s">
        <v>11889</v>
      </c>
      <c r="BK33" s="50" t="s">
        <v>127</v>
      </c>
      <c r="BL33" s="50" t="s">
        <v>13023</v>
      </c>
      <c r="BM33" s="50" t="s">
        <v>2058</v>
      </c>
      <c r="BN33" s="50" t="s">
        <v>13024</v>
      </c>
      <c r="BO33" s="50" t="s">
        <v>442</v>
      </c>
      <c r="BP33" s="50" t="s">
        <v>8788</v>
      </c>
      <c r="BQ33" s="50" t="s">
        <v>350</v>
      </c>
      <c r="BR33" s="50" t="s">
        <v>8789</v>
      </c>
      <c r="BS33" s="50" t="s">
        <v>8790</v>
      </c>
      <c r="BT33" s="50" t="s">
        <v>1006</v>
      </c>
      <c r="BV33" s="50" t="s">
        <v>13025</v>
      </c>
      <c r="BW33" s="50" t="s">
        <v>2061</v>
      </c>
      <c r="BX33" s="50" t="s">
        <v>354</v>
      </c>
      <c r="BY33" s="50" t="s">
        <v>2062</v>
      </c>
      <c r="BZ33" s="50" t="s">
        <v>2063</v>
      </c>
      <c r="CA33" s="50" t="s">
        <v>2062</v>
      </c>
      <c r="CB33" s="50" t="s">
        <v>13026</v>
      </c>
      <c r="CC33" s="50" t="s">
        <v>2062</v>
      </c>
      <c r="CD33" s="50" t="s">
        <v>2066</v>
      </c>
      <c r="CE33" s="50" t="s">
        <v>13027</v>
      </c>
      <c r="CF33" s="50" t="s">
        <v>2062</v>
      </c>
      <c r="CG33" s="50" t="s">
        <v>13028</v>
      </c>
      <c r="CH33" s="50" t="s">
        <v>2069</v>
      </c>
      <c r="CI33" s="50" t="s">
        <v>13029</v>
      </c>
      <c r="CK33" s="50" t="s">
        <v>2071</v>
      </c>
      <c r="CL33" s="50" t="s">
        <v>13030</v>
      </c>
      <c r="CM33" s="50" t="s">
        <v>2056</v>
      </c>
      <c r="CN33" s="50" t="s">
        <v>320</v>
      </c>
      <c r="CO33" s="50" t="s">
        <v>2071</v>
      </c>
      <c r="CP33" s="50" t="s">
        <v>2072</v>
      </c>
      <c r="CQ33" s="50" t="s">
        <v>2070</v>
      </c>
      <c r="CR33" s="50" t="s">
        <v>2070</v>
      </c>
    </row>
    <row r="34" spans="1:97" hidden="1">
      <c r="A34" s="50" t="s">
        <v>149</v>
      </c>
      <c r="B34" s="50">
        <v>2497679</v>
      </c>
      <c r="C34" s="50" t="e">
        <f>VLOOKUP(B34,'Drop schools 2026'!B:C,2,0)</f>
        <v>#N/A</v>
      </c>
      <c r="D34" s="50" t="s">
        <v>174</v>
      </c>
      <c r="E34" s="50" t="s">
        <v>12155</v>
      </c>
      <c r="F34" s="50" t="s">
        <v>3743</v>
      </c>
      <c r="G34" s="50" t="str">
        <f>VLOOKUP(B34,aa!B:F,5,0)</f>
        <v>Ei ASSET,Ei CARES, Ei ASSET,Ei CARES,Ei Mindspark, Ei CARES</v>
      </c>
      <c r="H34" s="50">
        <f>VLOOKUP(B34,aa!B:J,9,0)</f>
        <v>2616819</v>
      </c>
      <c r="I34" s="50">
        <f>VLOOKUP(B34,aa!B:L,11,0)</f>
        <v>393174</v>
      </c>
      <c r="J34" s="50">
        <f>VLOOKUP(B34,aa!B:O,14,0)</f>
        <v>1136898</v>
      </c>
      <c r="K34" s="50">
        <f>VLOOKUP(B34,aa!B:R,17,0)</f>
        <v>1086747</v>
      </c>
      <c r="L34" s="50" t="s">
        <v>1746</v>
      </c>
      <c r="M34" s="50">
        <v>2230424</v>
      </c>
      <c r="N34" s="50">
        <v>2420519</v>
      </c>
      <c r="O34" s="50">
        <v>300394</v>
      </c>
      <c r="P34" s="50">
        <v>928</v>
      </c>
      <c r="Q34" s="50" t="s">
        <v>14251</v>
      </c>
      <c r="R34" s="50">
        <v>873947</v>
      </c>
      <c r="S34" s="50">
        <v>920</v>
      </c>
      <c r="T34" s="50" t="s">
        <v>936</v>
      </c>
      <c r="U34" s="50">
        <v>1056083</v>
      </c>
      <c r="V34" s="50">
        <v>802</v>
      </c>
      <c r="W34" s="50" t="s">
        <v>5240</v>
      </c>
      <c r="X34" s="50" t="s">
        <v>102</v>
      </c>
      <c r="Y34" s="50" t="s">
        <v>275</v>
      </c>
      <c r="AA34" s="50" t="s">
        <v>11925</v>
      </c>
      <c r="AB34" s="50" t="s">
        <v>109</v>
      </c>
      <c r="AC34" s="50" t="s">
        <v>102</v>
      </c>
      <c r="AD34" s="50" t="s">
        <v>109</v>
      </c>
      <c r="AE34" s="50" t="s">
        <v>102</v>
      </c>
      <c r="AF34" s="50" t="s">
        <v>109</v>
      </c>
      <c r="AG34" s="50" t="s">
        <v>102</v>
      </c>
      <c r="AH34" s="50" t="s">
        <v>109</v>
      </c>
      <c r="AI34" s="50" t="s">
        <v>102</v>
      </c>
      <c r="AJ34" s="50" t="s">
        <v>14252</v>
      </c>
      <c r="AK34" s="50" t="s">
        <v>13886</v>
      </c>
      <c r="AL34" s="50" t="s">
        <v>4563</v>
      </c>
      <c r="AM34" s="50" t="s">
        <v>14253</v>
      </c>
      <c r="AN34" s="50" t="s">
        <v>14254</v>
      </c>
      <c r="AO34" s="50" t="s">
        <v>14255</v>
      </c>
      <c r="AP34" s="50" t="s">
        <v>14256</v>
      </c>
      <c r="AQ34" s="50" t="s">
        <v>14256</v>
      </c>
      <c r="AV34" s="50" t="s">
        <v>117</v>
      </c>
      <c r="AW34" s="50" t="s">
        <v>118</v>
      </c>
      <c r="AX34" s="50" t="s">
        <v>155</v>
      </c>
      <c r="AY34" s="50" t="s">
        <v>447</v>
      </c>
      <c r="AZ34" s="50" t="s">
        <v>170</v>
      </c>
      <c r="BA34" s="50" t="s">
        <v>118</v>
      </c>
      <c r="BB34" s="50" t="s">
        <v>250</v>
      </c>
      <c r="BC34" s="50" t="s">
        <v>120</v>
      </c>
      <c r="BD34" s="50" t="s">
        <v>3754</v>
      </c>
      <c r="BE34" s="50" t="s">
        <v>173</v>
      </c>
      <c r="BF34" s="50" t="s">
        <v>174</v>
      </c>
      <c r="BG34" s="50" t="s">
        <v>173</v>
      </c>
      <c r="BH34" s="50" t="s">
        <v>124</v>
      </c>
      <c r="BI34" s="50" t="s">
        <v>12492</v>
      </c>
      <c r="BJ34" s="50" t="s">
        <v>12047</v>
      </c>
      <c r="BK34" s="50" t="s">
        <v>127</v>
      </c>
      <c r="BL34" s="50" t="s">
        <v>14257</v>
      </c>
      <c r="BM34" s="50" t="s">
        <v>3756</v>
      </c>
      <c r="BN34" s="50" t="s">
        <v>14258</v>
      </c>
      <c r="BO34" s="50" t="s">
        <v>14250</v>
      </c>
      <c r="BP34" s="50" t="s">
        <v>12557</v>
      </c>
      <c r="BQ34" s="50" t="s">
        <v>180</v>
      </c>
      <c r="BR34" s="50" t="s">
        <v>12558</v>
      </c>
      <c r="BS34" s="50" t="s">
        <v>12559</v>
      </c>
      <c r="BT34" s="50" t="s">
        <v>183</v>
      </c>
      <c r="BV34" s="50" t="s">
        <v>14259</v>
      </c>
      <c r="BW34" s="50" t="s">
        <v>14260</v>
      </c>
      <c r="BX34" s="50" t="s">
        <v>138</v>
      </c>
      <c r="BY34" s="50" t="s">
        <v>3762</v>
      </c>
      <c r="BZ34" s="50" t="s">
        <v>14261</v>
      </c>
      <c r="CA34" s="50" t="s">
        <v>3762</v>
      </c>
      <c r="CB34" s="50" t="s">
        <v>14260</v>
      </c>
      <c r="CC34" s="50" t="s">
        <v>3762</v>
      </c>
      <c r="CD34" s="50" t="s">
        <v>14261</v>
      </c>
      <c r="CE34" s="50" t="s">
        <v>3764</v>
      </c>
      <c r="CF34" s="50" t="s">
        <v>3765</v>
      </c>
      <c r="CG34" s="50" t="s">
        <v>14262</v>
      </c>
      <c r="CH34" s="50" t="s">
        <v>102</v>
      </c>
      <c r="CI34" s="50" t="s">
        <v>14263</v>
      </c>
      <c r="CK34" s="50" t="s">
        <v>3768</v>
      </c>
      <c r="CL34" s="50" t="s">
        <v>14263</v>
      </c>
      <c r="CM34" s="50" t="s">
        <v>3754</v>
      </c>
      <c r="CN34" s="50" t="s">
        <v>173</v>
      </c>
      <c r="CO34" s="50" t="s">
        <v>3768</v>
      </c>
      <c r="CP34" s="50" t="s">
        <v>3769</v>
      </c>
      <c r="CQ34" s="50" t="s">
        <v>3770</v>
      </c>
      <c r="CR34" s="50" t="s">
        <v>3767</v>
      </c>
    </row>
    <row r="35" spans="1:97" hidden="1">
      <c r="A35" s="50" t="s">
        <v>149</v>
      </c>
      <c r="B35" s="50">
        <v>5184</v>
      </c>
      <c r="C35" s="50" t="e">
        <f>VLOOKUP(B35,'Drop schools 2026'!B:C,2,0)</f>
        <v>#N/A</v>
      </c>
      <c r="D35" s="50" t="s">
        <v>212</v>
      </c>
      <c r="E35" s="50" t="s">
        <v>2151</v>
      </c>
      <c r="F35" s="50" t="s">
        <v>10864</v>
      </c>
      <c r="G35" s="50" t="str">
        <f>VLOOKUP(B35,aa!B:F,5,0)</f>
        <v>Ei ASSET,Ei CARES,Ei Mindspark</v>
      </c>
      <c r="H35" s="50">
        <f>VLOOKUP(B35,aa!B:J,9,0)</f>
        <v>2365160</v>
      </c>
      <c r="I35" s="50">
        <f>VLOOKUP(B35,aa!B:L,11,0)</f>
        <v>740942</v>
      </c>
      <c r="J35" s="50">
        <f>VLOOKUP(B35,aa!B:O,14,0)</f>
        <v>670327</v>
      </c>
      <c r="K35" s="50">
        <f>VLOOKUP(B35,aa!B:R,17,0)</f>
        <v>953891</v>
      </c>
      <c r="L35" s="50" t="s">
        <v>20984</v>
      </c>
      <c r="M35" s="50">
        <v>2218803</v>
      </c>
      <c r="N35" s="50">
        <v>2416777</v>
      </c>
      <c r="O35" s="50">
        <v>756974</v>
      </c>
      <c r="P35" s="50">
        <v>956</v>
      </c>
      <c r="Q35" s="50" t="s">
        <v>20985</v>
      </c>
      <c r="R35" s="50">
        <v>361974</v>
      </c>
      <c r="S35" s="50">
        <v>258</v>
      </c>
      <c r="T35" s="50" t="s">
        <v>20986</v>
      </c>
      <c r="U35" s="50">
        <v>1099855</v>
      </c>
      <c r="V35" s="50">
        <v>614</v>
      </c>
      <c r="W35" s="50" t="s">
        <v>20987</v>
      </c>
      <c r="X35" s="50" t="s">
        <v>102</v>
      </c>
      <c r="Y35" s="50" t="s">
        <v>103</v>
      </c>
      <c r="Z35" s="50" t="s">
        <v>155</v>
      </c>
      <c r="AB35" s="50" t="s">
        <v>1408</v>
      </c>
      <c r="AC35" s="50" t="s">
        <v>20988</v>
      </c>
      <c r="AD35" s="50" t="s">
        <v>12888</v>
      </c>
      <c r="AE35" s="50" t="s">
        <v>20988</v>
      </c>
      <c r="AF35" s="50" t="s">
        <v>1427</v>
      </c>
      <c r="AG35" s="50" t="s">
        <v>20988</v>
      </c>
      <c r="AH35" s="50" t="s">
        <v>11886</v>
      </c>
      <c r="AI35" s="50" t="s">
        <v>20988</v>
      </c>
      <c r="AJ35" s="50" t="s">
        <v>20989</v>
      </c>
      <c r="AK35" s="50" t="s">
        <v>12082</v>
      </c>
      <c r="AL35" s="50" t="s">
        <v>17021</v>
      </c>
      <c r="AM35" s="50" t="s">
        <v>20990</v>
      </c>
      <c r="AN35" s="50" t="s">
        <v>20991</v>
      </c>
      <c r="AO35" s="50" t="s">
        <v>20992</v>
      </c>
      <c r="AP35" s="50" t="s">
        <v>20993</v>
      </c>
      <c r="AQ35" s="50" t="s">
        <v>20993</v>
      </c>
      <c r="AV35" s="50" t="s">
        <v>318</v>
      </c>
      <c r="AW35" s="50" t="s">
        <v>118</v>
      </c>
      <c r="AX35" s="50" t="s">
        <v>248</v>
      </c>
      <c r="AY35" s="50" t="s">
        <v>119</v>
      </c>
      <c r="AZ35" s="50" t="s">
        <v>170</v>
      </c>
      <c r="BA35" s="50" t="s">
        <v>118</v>
      </c>
      <c r="BB35" s="50" t="s">
        <v>250</v>
      </c>
      <c r="BC35" s="50" t="s">
        <v>171</v>
      </c>
      <c r="BD35" s="50" t="s">
        <v>920</v>
      </c>
      <c r="BE35" s="50" t="s">
        <v>211</v>
      </c>
      <c r="BF35" s="50" t="s">
        <v>212</v>
      </c>
      <c r="BG35" s="50" t="s">
        <v>213</v>
      </c>
      <c r="BH35" s="50" t="s">
        <v>124</v>
      </c>
      <c r="BI35" s="50" t="s">
        <v>11959</v>
      </c>
      <c r="BJ35" s="50" t="s">
        <v>11960</v>
      </c>
      <c r="BK35" s="50" t="s">
        <v>127</v>
      </c>
      <c r="BL35" s="50" t="s">
        <v>20994</v>
      </c>
      <c r="BM35" s="50" t="s">
        <v>10882</v>
      </c>
      <c r="BN35" s="50" t="s">
        <v>20995</v>
      </c>
      <c r="BO35" s="50" t="s">
        <v>12890</v>
      </c>
      <c r="BP35" s="50" t="s">
        <v>1880</v>
      </c>
      <c r="BQ35" s="50" t="s">
        <v>180</v>
      </c>
      <c r="BR35" s="50" t="s">
        <v>1882</v>
      </c>
      <c r="BS35" s="50" t="s">
        <v>1883</v>
      </c>
      <c r="BT35" s="50" t="s">
        <v>2151</v>
      </c>
      <c r="BV35" s="50" t="s">
        <v>20996</v>
      </c>
      <c r="BW35" s="50" t="s">
        <v>10885</v>
      </c>
      <c r="BX35" s="50" t="s">
        <v>138</v>
      </c>
      <c r="BY35" s="50" t="s">
        <v>10886</v>
      </c>
      <c r="BZ35" s="50" t="s">
        <v>10887</v>
      </c>
      <c r="CA35" s="50" t="s">
        <v>10886</v>
      </c>
      <c r="CB35" s="50" t="s">
        <v>10885</v>
      </c>
      <c r="CC35" s="50" t="s">
        <v>10886</v>
      </c>
      <c r="CD35" s="50" t="s">
        <v>10887</v>
      </c>
      <c r="CE35" s="50" t="s">
        <v>10885</v>
      </c>
      <c r="CF35" s="50" t="s">
        <v>10886</v>
      </c>
      <c r="CG35" s="50" t="s">
        <v>10887</v>
      </c>
      <c r="CH35" s="50" t="s">
        <v>102</v>
      </c>
      <c r="CI35" s="50" t="s">
        <v>10890</v>
      </c>
      <c r="CK35" s="50" t="s">
        <v>10891</v>
      </c>
      <c r="CM35" s="50" t="s">
        <v>920</v>
      </c>
      <c r="CN35" s="50" t="s">
        <v>211</v>
      </c>
      <c r="CO35" s="50" t="s">
        <v>10891</v>
      </c>
      <c r="CP35" s="50" t="s">
        <v>10892</v>
      </c>
      <c r="CQ35" s="50" t="s">
        <v>10890</v>
      </c>
      <c r="CR35" s="50" t="s">
        <v>10890</v>
      </c>
    </row>
    <row r="36" spans="1:97" hidden="1">
      <c r="A36" s="50" t="s">
        <v>337</v>
      </c>
      <c r="B36" s="50">
        <v>3327620</v>
      </c>
      <c r="C36" s="50" t="e">
        <f>VLOOKUP(B36,'Drop schools 2026'!B:C,2,0)</f>
        <v>#N/A</v>
      </c>
      <c r="D36" s="50" t="s">
        <v>122</v>
      </c>
      <c r="E36" s="50" t="s">
        <v>12121</v>
      </c>
      <c r="F36" s="50" t="s">
        <v>15588</v>
      </c>
      <c r="G36" s="50" t="str">
        <f>VLOOKUP(B36,aa!B:F,5,0)</f>
        <v>Ei CARES</v>
      </c>
      <c r="H36" s="50">
        <f>VLOOKUP(B36,aa!B:J,9,0)</f>
        <v>2272400</v>
      </c>
      <c r="I36" s="50">
        <f>VLOOKUP(B36,aa!B:L,11,0)</f>
        <v>0</v>
      </c>
      <c r="J36" s="50">
        <f>VLOOKUP(B36,aa!B:O,14,0)</f>
        <v>2272400</v>
      </c>
      <c r="K36" s="50">
        <f>VLOOKUP(B36,aa!B:R,17,0)</f>
        <v>0</v>
      </c>
      <c r="L36" s="50" t="s">
        <v>152</v>
      </c>
      <c r="M36" s="50">
        <v>2188800</v>
      </c>
      <c r="N36" s="50">
        <v>2188800</v>
      </c>
      <c r="O36" s="50">
        <v>0</v>
      </c>
      <c r="P36" s="50">
        <v>0</v>
      </c>
      <c r="R36" s="50">
        <v>2188800</v>
      </c>
      <c r="S36" s="50">
        <v>1152</v>
      </c>
      <c r="T36" s="50" t="s">
        <v>13436</v>
      </c>
      <c r="U36" s="50">
        <v>0</v>
      </c>
      <c r="V36" s="50">
        <v>0</v>
      </c>
      <c r="X36" s="50" t="s">
        <v>102</v>
      </c>
      <c r="Y36" s="50" t="s">
        <v>103</v>
      </c>
      <c r="Z36" s="50" t="s">
        <v>155</v>
      </c>
      <c r="AB36" s="50" t="s">
        <v>107</v>
      </c>
      <c r="AC36" s="50" t="s">
        <v>15589</v>
      </c>
      <c r="AD36" s="50" t="s">
        <v>6918</v>
      </c>
      <c r="AE36" s="50" t="s">
        <v>15590</v>
      </c>
      <c r="AF36" s="50" t="s">
        <v>13583</v>
      </c>
      <c r="AG36" s="50" t="s">
        <v>15591</v>
      </c>
      <c r="AH36" s="50" t="s">
        <v>12728</v>
      </c>
      <c r="AI36" s="50" t="s">
        <v>15592</v>
      </c>
      <c r="AJ36" s="50" t="s">
        <v>15593</v>
      </c>
      <c r="AK36" s="50" t="s">
        <v>2816</v>
      </c>
      <c r="AL36" s="50" t="s">
        <v>15054</v>
      </c>
      <c r="AM36" s="50" t="s">
        <v>15594</v>
      </c>
      <c r="AN36" s="50" t="s">
        <v>15595</v>
      </c>
      <c r="AO36" s="50" t="s">
        <v>15596</v>
      </c>
      <c r="AP36" s="50" t="s">
        <v>116</v>
      </c>
      <c r="AQ36" s="50" t="s">
        <v>116</v>
      </c>
      <c r="AV36" s="50" t="s">
        <v>102</v>
      </c>
      <c r="AX36" s="50" t="s">
        <v>1758</v>
      </c>
      <c r="AY36" s="50" t="s">
        <v>119</v>
      </c>
      <c r="AZ36" s="50" t="s">
        <v>170</v>
      </c>
      <c r="BA36" s="50" t="s">
        <v>118</v>
      </c>
      <c r="BC36" s="50" t="s">
        <v>120</v>
      </c>
      <c r="BD36" s="50" t="s">
        <v>555</v>
      </c>
      <c r="BE36" s="50" t="s">
        <v>556</v>
      </c>
      <c r="BF36" s="50" t="s">
        <v>122</v>
      </c>
      <c r="BG36" s="50" t="s">
        <v>557</v>
      </c>
      <c r="BH36" s="50" t="s">
        <v>124</v>
      </c>
      <c r="BI36" s="50" t="s">
        <v>12023</v>
      </c>
      <c r="BJ36" s="50" t="s">
        <v>11889</v>
      </c>
      <c r="BK36" s="50" t="s">
        <v>127</v>
      </c>
      <c r="BL36" s="50" t="s">
        <v>15597</v>
      </c>
      <c r="BM36" s="50" t="s">
        <v>15598</v>
      </c>
      <c r="BN36" s="50" t="s">
        <v>15599</v>
      </c>
      <c r="BO36" s="50" t="s">
        <v>107</v>
      </c>
      <c r="BP36" s="50" t="s">
        <v>563</v>
      </c>
      <c r="BQ36" s="50" t="s">
        <v>132</v>
      </c>
      <c r="BR36" s="50" t="s">
        <v>564</v>
      </c>
      <c r="BS36" s="50" t="s">
        <v>565</v>
      </c>
      <c r="BT36" s="50" t="s">
        <v>563</v>
      </c>
      <c r="BV36" s="50" t="s">
        <v>15600</v>
      </c>
      <c r="BW36" s="50" t="s">
        <v>15601</v>
      </c>
      <c r="BX36" s="50" t="s">
        <v>354</v>
      </c>
      <c r="BY36" s="50" t="s">
        <v>15602</v>
      </c>
      <c r="BZ36" s="50" t="s">
        <v>15603</v>
      </c>
      <c r="CA36" s="50" t="s">
        <v>15602</v>
      </c>
      <c r="CB36" s="50" t="s">
        <v>15604</v>
      </c>
      <c r="CC36" s="50" t="s">
        <v>15602</v>
      </c>
      <c r="CD36" s="50" t="s">
        <v>15605</v>
      </c>
      <c r="CE36" s="50" t="s">
        <v>15606</v>
      </c>
      <c r="CF36" s="50" t="s">
        <v>15607</v>
      </c>
      <c r="CG36" s="50" t="s">
        <v>15605</v>
      </c>
      <c r="CH36" s="50" t="s">
        <v>3841</v>
      </c>
      <c r="CI36" s="50" t="s">
        <v>15608</v>
      </c>
      <c r="CK36" s="50" t="s">
        <v>15609</v>
      </c>
      <c r="CL36" s="50" t="s">
        <v>15608</v>
      </c>
      <c r="CM36" s="50" t="s">
        <v>555</v>
      </c>
      <c r="CN36" s="50" t="s">
        <v>556</v>
      </c>
      <c r="CO36" s="50" t="s">
        <v>15609</v>
      </c>
      <c r="CP36" s="50" t="s">
        <v>15610</v>
      </c>
      <c r="CQ36" s="50" t="s">
        <v>15608</v>
      </c>
      <c r="CR36" s="50" t="s">
        <v>15608</v>
      </c>
    </row>
    <row r="37" spans="1:97" hidden="1">
      <c r="A37" s="50" t="s">
        <v>149</v>
      </c>
      <c r="B37" s="50">
        <v>384445</v>
      </c>
      <c r="C37" s="50" t="e">
        <f>VLOOKUP(B37,'Drop schools 2026'!B:C,2,0)</f>
        <v>#N/A</v>
      </c>
      <c r="D37" s="50" t="s">
        <v>622</v>
      </c>
      <c r="E37" s="50" t="s">
        <v>632</v>
      </c>
      <c r="F37" s="50" t="s">
        <v>7645</v>
      </c>
      <c r="G37" s="50" t="str">
        <f>VLOOKUP(B37,aa!B:F,5,0)</f>
        <v>Ei ASSET, Ei CARES, Ei Mindspark</v>
      </c>
      <c r="H37" s="50">
        <f>VLOOKUP(B37,aa!B:J,9,0)</f>
        <v>1564000</v>
      </c>
      <c r="I37" s="50">
        <f>VLOOKUP(B37,aa!B:L,11,0)</f>
        <v>300719</v>
      </c>
      <c r="J37" s="50">
        <f>VLOOKUP(B37,aa!B:O,14,0)</f>
        <v>869400</v>
      </c>
      <c r="K37" s="50">
        <f>VLOOKUP(B37,aa!B:R,17,0)</f>
        <v>393881</v>
      </c>
      <c r="L37" s="50" t="s">
        <v>2163</v>
      </c>
      <c r="M37" s="50">
        <v>2164558</v>
      </c>
      <c r="N37" s="50">
        <v>2315890</v>
      </c>
      <c r="O37" s="50">
        <v>313875</v>
      </c>
      <c r="P37" s="50">
        <v>465</v>
      </c>
      <c r="Q37" s="50" t="s">
        <v>340</v>
      </c>
      <c r="R37" s="50">
        <v>1009949</v>
      </c>
      <c r="S37" s="50">
        <v>404</v>
      </c>
      <c r="T37" s="50" t="s">
        <v>3499</v>
      </c>
      <c r="U37" s="50">
        <v>840734</v>
      </c>
      <c r="V37" s="50">
        <v>400</v>
      </c>
      <c r="W37" s="50" t="s">
        <v>17123</v>
      </c>
      <c r="X37" s="50" t="s">
        <v>102</v>
      </c>
      <c r="Y37" s="50" t="s">
        <v>103</v>
      </c>
      <c r="Z37" s="50" t="s">
        <v>155</v>
      </c>
      <c r="AB37" s="50" t="s">
        <v>1408</v>
      </c>
      <c r="AC37" s="50" t="s">
        <v>17124</v>
      </c>
      <c r="AD37" s="50" t="s">
        <v>12289</v>
      </c>
      <c r="AE37" s="50" t="s">
        <v>17124</v>
      </c>
      <c r="AF37" s="50" t="s">
        <v>1427</v>
      </c>
      <c r="AG37" s="50" t="s">
        <v>17124</v>
      </c>
      <c r="AH37" s="50" t="s">
        <v>11886</v>
      </c>
      <c r="AI37" s="50" t="s">
        <v>17124</v>
      </c>
      <c r="AJ37" s="50" t="s">
        <v>17125</v>
      </c>
      <c r="AK37" s="50" t="s">
        <v>12019</v>
      </c>
      <c r="AL37" s="50" t="s">
        <v>17126</v>
      </c>
      <c r="AM37" s="50" t="s">
        <v>17127</v>
      </c>
      <c r="AN37" s="50" t="s">
        <v>17128</v>
      </c>
      <c r="AO37" s="50" t="s">
        <v>17129</v>
      </c>
      <c r="AP37" s="50" t="s">
        <v>17130</v>
      </c>
      <c r="AQ37" s="50" t="s">
        <v>17131</v>
      </c>
      <c r="AU37" s="50" t="s">
        <v>17132</v>
      </c>
      <c r="AV37" s="50" t="s">
        <v>207</v>
      </c>
      <c r="AW37" s="50" t="s">
        <v>118</v>
      </c>
      <c r="AX37" s="50" t="s">
        <v>248</v>
      </c>
      <c r="AY37" s="50" t="s">
        <v>119</v>
      </c>
      <c r="BA37" s="50" t="s">
        <v>250</v>
      </c>
      <c r="BB37" s="50" t="s">
        <v>250</v>
      </c>
      <c r="BC37" s="50" t="s">
        <v>171</v>
      </c>
      <c r="BD37" s="50" t="s">
        <v>623</v>
      </c>
      <c r="BE37" s="50" t="s">
        <v>621</v>
      </c>
      <c r="BF37" s="50" t="s">
        <v>622</v>
      </c>
      <c r="BG37" s="50" t="s">
        <v>623</v>
      </c>
      <c r="BH37" s="50" t="s">
        <v>124</v>
      </c>
      <c r="BI37" s="50" t="s">
        <v>17133</v>
      </c>
      <c r="BJ37" s="50" t="s">
        <v>12524</v>
      </c>
      <c r="BK37" s="50" t="s">
        <v>127</v>
      </c>
      <c r="BL37" s="50" t="s">
        <v>17134</v>
      </c>
      <c r="BM37" s="50" t="s">
        <v>7660</v>
      </c>
      <c r="BN37" s="50" t="s">
        <v>17135</v>
      </c>
      <c r="BO37" s="50" t="s">
        <v>4563</v>
      </c>
      <c r="BP37" s="50" t="s">
        <v>1339</v>
      </c>
      <c r="BQ37" s="50" t="s">
        <v>132</v>
      </c>
      <c r="BR37" s="50" t="s">
        <v>1340</v>
      </c>
      <c r="BS37" s="50" t="s">
        <v>1341</v>
      </c>
      <c r="BT37" s="50" t="s">
        <v>632</v>
      </c>
      <c r="BV37" s="50" t="s">
        <v>17136</v>
      </c>
      <c r="BW37" s="50" t="s">
        <v>17137</v>
      </c>
      <c r="BX37" s="50" t="s">
        <v>138</v>
      </c>
      <c r="BY37" s="50" t="s">
        <v>1345</v>
      </c>
      <c r="BZ37" s="50" t="s">
        <v>17138</v>
      </c>
      <c r="CA37" s="50" t="s">
        <v>1345</v>
      </c>
      <c r="CB37" s="50" t="s">
        <v>17139</v>
      </c>
      <c r="CC37" s="50" t="s">
        <v>1345</v>
      </c>
      <c r="CD37" s="50" t="s">
        <v>17138</v>
      </c>
      <c r="CE37" s="50" t="s">
        <v>17140</v>
      </c>
      <c r="CF37" s="50" t="s">
        <v>17141</v>
      </c>
      <c r="CG37" s="50" t="s">
        <v>17138</v>
      </c>
      <c r="CH37" s="50" t="s">
        <v>102</v>
      </c>
      <c r="CI37" s="50" t="s">
        <v>7672</v>
      </c>
      <c r="CK37" s="50" t="s">
        <v>3177</v>
      </c>
      <c r="CM37" s="50" t="s">
        <v>623</v>
      </c>
      <c r="CN37" s="50" t="s">
        <v>621</v>
      </c>
      <c r="CO37" s="50" t="s">
        <v>3177</v>
      </c>
      <c r="CP37" s="50" t="s">
        <v>7673</v>
      </c>
      <c r="CQ37" s="50" t="s">
        <v>7672</v>
      </c>
      <c r="CR37" s="50" t="s">
        <v>7672</v>
      </c>
    </row>
    <row r="38" spans="1:97" hidden="1">
      <c r="A38" s="50" t="s">
        <v>149</v>
      </c>
      <c r="B38" s="50">
        <v>173767</v>
      </c>
      <c r="C38" s="50" t="e">
        <f>VLOOKUP(B38,'Drop schools 2026'!B:C,2,0)</f>
        <v>#N/A</v>
      </c>
      <c r="D38" s="50" t="s">
        <v>174</v>
      </c>
      <c r="E38" s="50" t="s">
        <v>183</v>
      </c>
      <c r="F38" s="50" t="s">
        <v>1623</v>
      </c>
      <c r="G38" s="50" t="str">
        <f>VLOOKUP(B38,aa!B:F,5,0)</f>
        <v>Ei Mindspark</v>
      </c>
      <c r="H38" s="50">
        <f>VLOOKUP(B38,aa!B:J,9,0)</f>
        <v>2325658</v>
      </c>
      <c r="I38" s="50">
        <f>VLOOKUP(B38,aa!B:L,11,0)</f>
        <v>0</v>
      </c>
      <c r="J38" s="50">
        <f>VLOOKUP(B38,aa!B:O,14,0)</f>
        <v>0</v>
      </c>
      <c r="K38" s="50">
        <f>VLOOKUP(B38,aa!B:R,17,0)</f>
        <v>2325658</v>
      </c>
      <c r="L38" s="50" t="s">
        <v>848</v>
      </c>
      <c r="M38" s="50">
        <v>2158338</v>
      </c>
      <c r="N38" s="50">
        <v>2546839</v>
      </c>
      <c r="O38" s="50">
        <v>0</v>
      </c>
      <c r="P38" s="50">
        <v>0</v>
      </c>
      <c r="R38" s="50">
        <v>0</v>
      </c>
      <c r="S38" s="50">
        <v>0</v>
      </c>
      <c r="U38" s="50">
        <v>2158338</v>
      </c>
      <c r="V38" s="50">
        <v>815</v>
      </c>
      <c r="W38" s="50" t="s">
        <v>12871</v>
      </c>
      <c r="X38" s="50" t="s">
        <v>102</v>
      </c>
      <c r="Y38" s="50" t="s">
        <v>103</v>
      </c>
      <c r="Z38" s="50" t="s">
        <v>155</v>
      </c>
      <c r="AB38" s="50" t="s">
        <v>4813</v>
      </c>
      <c r="AC38" s="50" t="s">
        <v>12872</v>
      </c>
      <c r="AD38" s="50" t="s">
        <v>12541</v>
      </c>
      <c r="AE38" s="50" t="s">
        <v>12872</v>
      </c>
      <c r="AF38" s="50" t="s">
        <v>12873</v>
      </c>
      <c r="AG38" s="50" t="s">
        <v>12872</v>
      </c>
      <c r="AH38" s="50" t="s">
        <v>11886</v>
      </c>
      <c r="AI38" s="50" t="s">
        <v>12872</v>
      </c>
      <c r="AJ38" s="50" t="s">
        <v>12874</v>
      </c>
      <c r="AK38" s="50" t="s">
        <v>4520</v>
      </c>
      <c r="AL38" s="50" t="s">
        <v>12875</v>
      </c>
      <c r="AM38" s="50" t="s">
        <v>12876</v>
      </c>
      <c r="AN38" s="50" t="s">
        <v>12877</v>
      </c>
      <c r="AO38" s="50" t="s">
        <v>12878</v>
      </c>
      <c r="AP38" s="50" t="s">
        <v>12879</v>
      </c>
      <c r="AQ38" s="50" t="s">
        <v>12879</v>
      </c>
      <c r="AV38" s="50" t="s">
        <v>102</v>
      </c>
      <c r="AX38" s="50" t="s">
        <v>102</v>
      </c>
      <c r="AY38" s="50" t="s">
        <v>119</v>
      </c>
      <c r="BB38" s="50" t="s">
        <v>250</v>
      </c>
      <c r="BC38" s="50" t="s">
        <v>171</v>
      </c>
      <c r="BD38" s="50" t="s">
        <v>375</v>
      </c>
      <c r="BE38" s="50" t="s">
        <v>376</v>
      </c>
      <c r="BF38" s="50" t="s">
        <v>174</v>
      </c>
      <c r="BG38" s="50" t="s">
        <v>376</v>
      </c>
      <c r="BH38" s="50" t="s">
        <v>124</v>
      </c>
      <c r="BI38" s="50" t="s">
        <v>1403</v>
      </c>
      <c r="BJ38" s="50" t="s">
        <v>11889</v>
      </c>
      <c r="BK38" s="50" t="s">
        <v>127</v>
      </c>
      <c r="BL38" s="50" t="s">
        <v>12880</v>
      </c>
      <c r="BM38" s="50" t="s">
        <v>1637</v>
      </c>
      <c r="BN38" s="50" t="s">
        <v>12881</v>
      </c>
      <c r="BO38" s="50" t="s">
        <v>1403</v>
      </c>
      <c r="BP38" s="50" t="s">
        <v>179</v>
      </c>
      <c r="BQ38" s="50" t="s">
        <v>180</v>
      </c>
      <c r="BR38" s="50" t="s">
        <v>181</v>
      </c>
      <c r="BS38" s="50" t="s">
        <v>182</v>
      </c>
      <c r="BT38" s="50" t="s">
        <v>183</v>
      </c>
      <c r="BV38" s="50" t="s">
        <v>12882</v>
      </c>
      <c r="BW38" s="50" t="s">
        <v>1640</v>
      </c>
      <c r="BX38" s="50" t="s">
        <v>138</v>
      </c>
      <c r="BY38" s="50" t="s">
        <v>1641</v>
      </c>
      <c r="BZ38" s="50" t="s">
        <v>1642</v>
      </c>
      <c r="CA38" s="50" t="s">
        <v>1641</v>
      </c>
      <c r="CB38" s="50" t="s">
        <v>1640</v>
      </c>
      <c r="CC38" s="50" t="s">
        <v>1641</v>
      </c>
      <c r="CD38" s="50" t="s">
        <v>1642</v>
      </c>
      <c r="CE38" s="50" t="s">
        <v>12883</v>
      </c>
      <c r="CF38" s="50" t="s">
        <v>12884</v>
      </c>
      <c r="CG38" s="50" t="s">
        <v>12885</v>
      </c>
      <c r="CH38" s="50" t="s">
        <v>102</v>
      </c>
      <c r="CI38" s="50" t="s">
        <v>12886</v>
      </c>
      <c r="CK38" s="50" t="s">
        <v>1644</v>
      </c>
      <c r="CM38" s="50" t="s">
        <v>375</v>
      </c>
      <c r="CN38" s="50" t="s">
        <v>376</v>
      </c>
      <c r="CO38" s="50" t="s">
        <v>1644</v>
      </c>
      <c r="CP38" s="50" t="s">
        <v>1645</v>
      </c>
      <c r="CQ38" s="50" t="s">
        <v>1646</v>
      </c>
      <c r="CR38" s="50" t="s">
        <v>1643</v>
      </c>
    </row>
    <row r="39" spans="1:97" hidden="1">
      <c r="A39" s="50" t="s">
        <v>93</v>
      </c>
      <c r="B39" s="50">
        <v>1271232</v>
      </c>
      <c r="C39" s="50" t="e">
        <f>VLOOKUP(B39,'Drop schools 2026'!B:C,2,0)</f>
        <v>#N/A</v>
      </c>
      <c r="D39" s="50" t="s">
        <v>122</v>
      </c>
      <c r="E39" s="50" t="s">
        <v>12030</v>
      </c>
      <c r="F39" s="50" t="s">
        <v>12308</v>
      </c>
      <c r="G39" s="50" t="str">
        <f>VLOOKUP(B39,aa!B:F,5,0)</f>
        <v>Ei CARES</v>
      </c>
      <c r="H39" s="50">
        <f>VLOOKUP(B39,aa!B:J,9,0)</f>
        <v>858600</v>
      </c>
      <c r="I39" s="50">
        <f>VLOOKUP(B39,aa!B:L,11,0)</f>
        <v>0</v>
      </c>
      <c r="J39" s="50">
        <f>VLOOKUP(B39,aa!B:O,14,0)</f>
        <v>858600</v>
      </c>
      <c r="K39" s="50">
        <f>VLOOKUP(B39,aa!B:R,17,0)</f>
        <v>0</v>
      </c>
      <c r="L39" s="50" t="s">
        <v>1746</v>
      </c>
      <c r="M39" s="50">
        <v>2151433</v>
      </c>
      <c r="N39" s="50">
        <v>2200068</v>
      </c>
      <c r="O39" s="50">
        <v>331436</v>
      </c>
      <c r="P39" s="50">
        <v>499</v>
      </c>
      <c r="Q39" s="50" t="s">
        <v>12309</v>
      </c>
      <c r="R39" s="50">
        <v>1549800</v>
      </c>
      <c r="S39" s="50">
        <v>1000</v>
      </c>
      <c r="T39" s="50" t="s">
        <v>8766</v>
      </c>
      <c r="U39" s="50">
        <v>270197</v>
      </c>
      <c r="V39" s="50">
        <v>200</v>
      </c>
      <c r="W39" s="50" t="s">
        <v>12310</v>
      </c>
      <c r="X39" s="50" t="s">
        <v>102</v>
      </c>
      <c r="Y39" s="50" t="s">
        <v>103</v>
      </c>
      <c r="Z39" s="50" t="s">
        <v>155</v>
      </c>
      <c r="AB39" s="50" t="s">
        <v>4665</v>
      </c>
      <c r="AC39" s="50" t="s">
        <v>12311</v>
      </c>
      <c r="AD39" s="50" t="s">
        <v>12312</v>
      </c>
      <c r="AE39" s="50" t="s">
        <v>12311</v>
      </c>
      <c r="AF39" s="50" t="s">
        <v>12099</v>
      </c>
      <c r="AG39" s="50" t="s">
        <v>12311</v>
      </c>
      <c r="AH39" s="50" t="s">
        <v>11886</v>
      </c>
      <c r="AI39" s="50" t="s">
        <v>12311</v>
      </c>
      <c r="AJ39" s="50" t="s">
        <v>1538</v>
      </c>
      <c r="AK39" s="50" t="s">
        <v>6918</v>
      </c>
      <c r="AL39" s="50" t="s">
        <v>12313</v>
      </c>
      <c r="AM39" s="50" t="s">
        <v>12314</v>
      </c>
      <c r="AN39" s="50" t="s">
        <v>12315</v>
      </c>
      <c r="AO39" s="50" t="s">
        <v>12316</v>
      </c>
      <c r="AP39" s="50" t="s">
        <v>12317</v>
      </c>
      <c r="AQ39" s="50" t="s">
        <v>12318</v>
      </c>
      <c r="AS39" s="50" t="s">
        <v>169</v>
      </c>
      <c r="AV39" s="50" t="s">
        <v>318</v>
      </c>
      <c r="AW39" s="50" t="s">
        <v>118</v>
      </c>
      <c r="AX39" s="50" t="s">
        <v>155</v>
      </c>
      <c r="AY39" s="50" t="s">
        <v>447</v>
      </c>
      <c r="AZ39" s="50" t="s">
        <v>170</v>
      </c>
      <c r="BA39" s="50" t="s">
        <v>118</v>
      </c>
      <c r="BB39" s="50" t="s">
        <v>250</v>
      </c>
      <c r="BC39" s="50" t="s">
        <v>120</v>
      </c>
      <c r="BD39" s="50" t="s">
        <v>691</v>
      </c>
      <c r="BE39" s="50" t="s">
        <v>320</v>
      </c>
      <c r="BF39" s="50" t="s">
        <v>122</v>
      </c>
      <c r="BG39" s="50" t="s">
        <v>123</v>
      </c>
      <c r="BH39" s="50" t="s">
        <v>124</v>
      </c>
      <c r="BI39" s="50" t="s">
        <v>12023</v>
      </c>
      <c r="BJ39" s="50" t="s">
        <v>11889</v>
      </c>
      <c r="BK39" s="50" t="s">
        <v>127</v>
      </c>
      <c r="BL39" s="50" t="s">
        <v>12319</v>
      </c>
      <c r="BM39" s="50" t="s">
        <v>693</v>
      </c>
      <c r="BN39" s="50" t="s">
        <v>12320</v>
      </c>
      <c r="BO39" s="50" t="s">
        <v>5928</v>
      </c>
      <c r="BP39" s="50" t="s">
        <v>695</v>
      </c>
      <c r="BQ39" s="50" t="s">
        <v>350</v>
      </c>
      <c r="BR39" s="50" t="s">
        <v>697</v>
      </c>
      <c r="BS39" s="50" t="s">
        <v>698</v>
      </c>
      <c r="BT39" s="50" t="s">
        <v>699</v>
      </c>
      <c r="BV39" s="50" t="s">
        <v>12321</v>
      </c>
      <c r="BW39" s="50" t="s">
        <v>12322</v>
      </c>
      <c r="BX39" s="50" t="s">
        <v>354</v>
      </c>
      <c r="BY39" s="50" t="s">
        <v>704</v>
      </c>
      <c r="BZ39" s="50" t="s">
        <v>703</v>
      </c>
      <c r="CA39" s="50" t="s">
        <v>704</v>
      </c>
      <c r="CB39" s="50" t="s">
        <v>701</v>
      </c>
      <c r="CC39" s="50" t="s">
        <v>704</v>
      </c>
      <c r="CD39" s="50" t="s">
        <v>703</v>
      </c>
      <c r="CE39" s="50" t="s">
        <v>701</v>
      </c>
      <c r="CF39" s="50" t="s">
        <v>704</v>
      </c>
      <c r="CG39" s="50" t="s">
        <v>703</v>
      </c>
      <c r="CH39" s="50" t="s">
        <v>709</v>
      </c>
      <c r="CI39" s="50" t="s">
        <v>12323</v>
      </c>
      <c r="CK39" s="50" t="s">
        <v>711</v>
      </c>
      <c r="CL39" s="50" t="s">
        <v>713</v>
      </c>
      <c r="CM39" s="50" t="s">
        <v>691</v>
      </c>
      <c r="CN39" s="50" t="s">
        <v>320</v>
      </c>
      <c r="CO39" s="50" t="s">
        <v>711</v>
      </c>
      <c r="CQ39" s="50" t="s">
        <v>713</v>
      </c>
      <c r="CR39" s="50" t="s">
        <v>714</v>
      </c>
    </row>
    <row r="40" spans="1:97" hidden="1">
      <c r="A40" s="50" t="s">
        <v>149</v>
      </c>
      <c r="B40" s="50">
        <v>504488</v>
      </c>
      <c r="C40" s="50" t="e">
        <f>VLOOKUP(B40,'Drop schools 2026'!B:C,2,0)</f>
        <v>#N/A</v>
      </c>
      <c r="D40" s="50" t="s">
        <v>122</v>
      </c>
      <c r="E40" s="50" t="s">
        <v>12507</v>
      </c>
      <c r="F40" s="50" t="s">
        <v>10789</v>
      </c>
      <c r="G40" s="50" t="str">
        <f>VLOOKUP(B40,aa!B:F,5,0)</f>
        <v>Ei Mindspark</v>
      </c>
      <c r="H40" s="50">
        <f>VLOOKUP(B40,aa!B:J,9,0)</f>
        <v>2112229</v>
      </c>
      <c r="I40" s="50">
        <f>VLOOKUP(B40,aa!B:L,11,0)</f>
        <v>0</v>
      </c>
      <c r="J40" s="50">
        <f>VLOOKUP(B40,aa!B:O,14,0)</f>
        <v>0</v>
      </c>
      <c r="K40" s="50">
        <f>VLOOKUP(B40,aa!B:R,17,0)</f>
        <v>2112229</v>
      </c>
      <c r="L40" s="50" t="s">
        <v>848</v>
      </c>
      <c r="M40" s="50">
        <v>2150159</v>
      </c>
      <c r="N40" s="50">
        <v>2537188</v>
      </c>
      <c r="O40" s="50">
        <v>0</v>
      </c>
      <c r="P40" s="50">
        <v>0</v>
      </c>
      <c r="R40" s="50">
        <v>0</v>
      </c>
      <c r="S40" s="50">
        <v>0</v>
      </c>
      <c r="U40" s="50">
        <v>2150159</v>
      </c>
      <c r="V40" s="50">
        <v>1440</v>
      </c>
      <c r="W40" s="50" t="s">
        <v>20424</v>
      </c>
      <c r="X40" s="50" t="s">
        <v>102</v>
      </c>
      <c r="Y40" s="50" t="s">
        <v>103</v>
      </c>
      <c r="Z40" s="50" t="s">
        <v>155</v>
      </c>
      <c r="AB40" s="50" t="s">
        <v>4813</v>
      </c>
      <c r="AC40" s="50" t="s">
        <v>20425</v>
      </c>
      <c r="AD40" s="50" t="s">
        <v>11929</v>
      </c>
      <c r="AE40" s="50" t="s">
        <v>20425</v>
      </c>
      <c r="AF40" s="50" t="s">
        <v>20426</v>
      </c>
      <c r="AG40" s="50" t="s">
        <v>20425</v>
      </c>
      <c r="AH40" s="50" t="s">
        <v>16007</v>
      </c>
      <c r="AI40" s="50" t="s">
        <v>20425</v>
      </c>
      <c r="AJ40" s="50" t="s">
        <v>14971</v>
      </c>
      <c r="AK40" s="50" t="s">
        <v>7439</v>
      </c>
      <c r="AL40" s="50" t="s">
        <v>13344</v>
      </c>
      <c r="AM40" s="50" t="s">
        <v>20427</v>
      </c>
      <c r="AN40" s="50" t="s">
        <v>20428</v>
      </c>
      <c r="AO40" s="50" t="s">
        <v>20429</v>
      </c>
      <c r="AP40" s="50" t="s">
        <v>10798</v>
      </c>
      <c r="AQ40" s="50" t="s">
        <v>10799</v>
      </c>
      <c r="AS40" s="50" t="s">
        <v>169</v>
      </c>
      <c r="AU40" s="50" t="s">
        <v>169</v>
      </c>
      <c r="AV40" s="50" t="s">
        <v>102</v>
      </c>
      <c r="AX40" s="50" t="s">
        <v>102</v>
      </c>
      <c r="AY40" s="50" t="s">
        <v>119</v>
      </c>
      <c r="BB40" s="50" t="s">
        <v>250</v>
      </c>
      <c r="BC40" s="50" t="s">
        <v>171</v>
      </c>
      <c r="BD40" s="50" t="s">
        <v>4216</v>
      </c>
      <c r="BE40" s="50" t="s">
        <v>556</v>
      </c>
      <c r="BF40" s="50" t="s">
        <v>122</v>
      </c>
      <c r="BG40" s="50" t="s">
        <v>557</v>
      </c>
      <c r="BH40" s="50" t="s">
        <v>124</v>
      </c>
      <c r="BI40" s="50" t="s">
        <v>12023</v>
      </c>
      <c r="BJ40" s="50" t="s">
        <v>11889</v>
      </c>
      <c r="BK40" s="50" t="s">
        <v>127</v>
      </c>
      <c r="BL40" s="50" t="s">
        <v>20430</v>
      </c>
      <c r="BM40" s="50" t="s">
        <v>10801</v>
      </c>
      <c r="BN40" s="50" t="s">
        <v>20431</v>
      </c>
      <c r="BO40" s="50" t="s">
        <v>126</v>
      </c>
      <c r="BP40" s="50" t="s">
        <v>12743</v>
      </c>
      <c r="BQ40" s="50" t="s">
        <v>350</v>
      </c>
      <c r="BR40" s="50" t="s">
        <v>12744</v>
      </c>
      <c r="BS40" s="50" t="s">
        <v>12745</v>
      </c>
      <c r="BT40" s="50" t="s">
        <v>1075</v>
      </c>
      <c r="BV40" s="50" t="s">
        <v>20432</v>
      </c>
      <c r="BW40" s="50" t="s">
        <v>10804</v>
      </c>
      <c r="BX40" s="50" t="s">
        <v>138</v>
      </c>
      <c r="BY40" s="50" t="s">
        <v>20433</v>
      </c>
      <c r="BZ40" s="50" t="s">
        <v>10806</v>
      </c>
      <c r="CA40" s="50" t="s">
        <v>10807</v>
      </c>
      <c r="CB40" s="50" t="s">
        <v>10804</v>
      </c>
      <c r="CC40" s="50" t="s">
        <v>20433</v>
      </c>
      <c r="CD40" s="50" t="s">
        <v>20434</v>
      </c>
      <c r="CE40" s="50" t="s">
        <v>20435</v>
      </c>
      <c r="CF40" s="50" t="s">
        <v>20436</v>
      </c>
      <c r="CG40" s="50" t="s">
        <v>20437</v>
      </c>
      <c r="CH40" s="50" t="s">
        <v>102</v>
      </c>
      <c r="CI40" s="50" t="s">
        <v>20438</v>
      </c>
      <c r="CK40" s="50" t="s">
        <v>10809</v>
      </c>
      <c r="CM40" s="50" t="s">
        <v>4216</v>
      </c>
      <c r="CN40" s="50" t="s">
        <v>556</v>
      </c>
      <c r="CO40" s="50" t="s">
        <v>10809</v>
      </c>
      <c r="CP40" s="50" t="s">
        <v>10810</v>
      </c>
      <c r="CQ40" s="50" t="s">
        <v>10808</v>
      </c>
      <c r="CR40" s="50" t="s">
        <v>10808</v>
      </c>
    </row>
    <row r="41" spans="1:97" hidden="1">
      <c r="A41" s="50" t="s">
        <v>149</v>
      </c>
      <c r="B41" s="50">
        <v>522044</v>
      </c>
      <c r="C41" s="50" t="e">
        <f>VLOOKUP(B41,'Drop schools 2026'!B:C,2,0)</f>
        <v>#N/A</v>
      </c>
      <c r="D41" s="50" t="s">
        <v>622</v>
      </c>
      <c r="E41" s="50" t="s">
        <v>985</v>
      </c>
      <c r="F41" s="50" t="s">
        <v>10912</v>
      </c>
      <c r="G41" s="50" t="e">
        <f>VLOOKUP(B41,aa!B:F,5,0)</f>
        <v>#N/A</v>
      </c>
      <c r="H41" s="50" t="e">
        <f>VLOOKUP(B41,aa!B:J,9,0)</f>
        <v>#N/A</v>
      </c>
      <c r="I41" s="50" t="e">
        <f>VLOOKUP(B41,aa!B:L,11,0)</f>
        <v>#N/A</v>
      </c>
      <c r="J41" s="50" t="e">
        <f>VLOOKUP(B41,aa!B:O,14,0)</f>
        <v>#N/A</v>
      </c>
      <c r="K41" s="50" t="e">
        <f>VLOOKUP(B41,aa!B:R,17,0)</f>
        <v>#N/A</v>
      </c>
      <c r="L41" s="50" t="s">
        <v>643</v>
      </c>
      <c r="M41" s="50">
        <v>2138114</v>
      </c>
      <c r="N41" s="50">
        <v>2288993</v>
      </c>
      <c r="O41" s="50">
        <v>0</v>
      </c>
      <c r="P41" s="50">
        <v>0</v>
      </c>
      <c r="R41" s="50">
        <v>1299900</v>
      </c>
      <c r="S41" s="50">
        <v>619</v>
      </c>
      <c r="T41" s="50" t="s">
        <v>2987</v>
      </c>
      <c r="U41" s="50">
        <v>838214</v>
      </c>
      <c r="V41" s="50">
        <v>471</v>
      </c>
      <c r="W41" s="50" t="s">
        <v>4042</v>
      </c>
      <c r="X41" s="50" t="s">
        <v>102</v>
      </c>
      <c r="Y41" s="50" t="s">
        <v>103</v>
      </c>
      <c r="Z41" s="50" t="s">
        <v>155</v>
      </c>
      <c r="AB41" s="50" t="s">
        <v>12819</v>
      </c>
      <c r="AC41" s="50" t="s">
        <v>21005</v>
      </c>
      <c r="AD41" s="50" t="s">
        <v>12888</v>
      </c>
      <c r="AE41" s="50" t="s">
        <v>21005</v>
      </c>
      <c r="AF41" s="50" t="s">
        <v>1427</v>
      </c>
      <c r="AG41" s="50" t="s">
        <v>21005</v>
      </c>
      <c r="AH41" s="50" t="s">
        <v>11886</v>
      </c>
      <c r="AI41" s="50" t="s">
        <v>21005</v>
      </c>
      <c r="AJ41" s="50" t="s">
        <v>21006</v>
      </c>
      <c r="AK41" s="50" t="s">
        <v>21007</v>
      </c>
      <c r="AL41" s="50" t="s">
        <v>21008</v>
      </c>
      <c r="AM41" s="50" t="s">
        <v>21009</v>
      </c>
      <c r="AN41" s="50" t="s">
        <v>21010</v>
      </c>
      <c r="AO41" s="50" t="s">
        <v>21011</v>
      </c>
      <c r="AP41" s="50" t="s">
        <v>21012</v>
      </c>
      <c r="AQ41" s="50" t="s">
        <v>21012</v>
      </c>
      <c r="AV41" s="50" t="s">
        <v>102</v>
      </c>
      <c r="AX41" s="50" t="s">
        <v>3536</v>
      </c>
      <c r="AY41" s="50" t="s">
        <v>119</v>
      </c>
      <c r="BA41" s="50" t="s">
        <v>250</v>
      </c>
      <c r="BB41" s="50" t="s">
        <v>250</v>
      </c>
      <c r="BC41" s="50" t="s">
        <v>171</v>
      </c>
      <c r="BD41" s="50" t="s">
        <v>2127</v>
      </c>
      <c r="BE41" s="50" t="s">
        <v>621</v>
      </c>
      <c r="BF41" s="50" t="s">
        <v>622</v>
      </c>
      <c r="BG41" s="50" t="s">
        <v>976</v>
      </c>
      <c r="BH41" s="50" t="s">
        <v>124</v>
      </c>
      <c r="BI41" s="50" t="s">
        <v>11932</v>
      </c>
      <c r="BJ41" s="50" t="s">
        <v>11960</v>
      </c>
      <c r="BK41" s="50" t="s">
        <v>127</v>
      </c>
      <c r="BL41" s="50" t="s">
        <v>21013</v>
      </c>
      <c r="BM41" s="50" t="s">
        <v>10924</v>
      </c>
      <c r="BN41" s="50" t="s">
        <v>21014</v>
      </c>
      <c r="BO41" s="50" t="s">
        <v>11932</v>
      </c>
      <c r="BP41" s="50" t="s">
        <v>981</v>
      </c>
      <c r="BQ41" s="50" t="s">
        <v>132</v>
      </c>
      <c r="BR41" s="50" t="s">
        <v>982</v>
      </c>
      <c r="BS41" s="50" t="s">
        <v>983</v>
      </c>
      <c r="BT41" s="50" t="s">
        <v>984</v>
      </c>
      <c r="BV41" s="50" t="s">
        <v>21015</v>
      </c>
      <c r="BW41" s="50" t="s">
        <v>10927</v>
      </c>
      <c r="BY41" s="50" t="s">
        <v>10928</v>
      </c>
      <c r="BZ41" s="50" t="s">
        <v>10929</v>
      </c>
      <c r="CA41" s="50" t="s">
        <v>10930</v>
      </c>
      <c r="CB41" s="50" t="s">
        <v>10927</v>
      </c>
      <c r="CC41" s="50" t="s">
        <v>10928</v>
      </c>
      <c r="CD41" s="50" t="s">
        <v>10929</v>
      </c>
      <c r="CE41" s="50" t="s">
        <v>21016</v>
      </c>
      <c r="CF41" s="50" t="s">
        <v>21017</v>
      </c>
      <c r="CG41" s="50" t="s">
        <v>21018</v>
      </c>
      <c r="CH41" s="50" t="s">
        <v>102</v>
      </c>
      <c r="CI41" s="50" t="s">
        <v>21019</v>
      </c>
      <c r="CK41" s="50" t="s">
        <v>9544</v>
      </c>
      <c r="CM41" s="50" t="s">
        <v>2127</v>
      </c>
      <c r="CN41" s="50" t="s">
        <v>621</v>
      </c>
      <c r="CO41" s="50" t="s">
        <v>9544</v>
      </c>
      <c r="CP41" s="50" t="s">
        <v>10932</v>
      </c>
      <c r="CQ41" s="50" t="s">
        <v>10931</v>
      </c>
      <c r="CR41" s="50" t="s">
        <v>10931</v>
      </c>
      <c r="CS41" s="50" t="s">
        <v>26044</v>
      </c>
    </row>
    <row r="42" spans="1:97" hidden="1">
      <c r="A42" s="50" t="s">
        <v>93</v>
      </c>
      <c r="B42" s="50">
        <v>3152932</v>
      </c>
      <c r="C42" s="50" t="e">
        <f>VLOOKUP(B42,'Drop schools 2026'!B:C,2,0)</f>
        <v>#N/A</v>
      </c>
      <c r="D42" s="50" t="s">
        <v>122</v>
      </c>
      <c r="E42" s="50" t="s">
        <v>12491</v>
      </c>
      <c r="F42" s="50" t="s">
        <v>4775</v>
      </c>
      <c r="G42" s="50" t="str">
        <f>VLOOKUP(B42,aa!B:F,5,0)</f>
        <v>Ei Mindspark</v>
      </c>
      <c r="H42" s="50">
        <f>VLOOKUP(B42,aa!B:J,9,0)</f>
        <v>1942333</v>
      </c>
      <c r="I42" s="50">
        <f>VLOOKUP(B42,aa!B:L,11,0)</f>
        <v>0</v>
      </c>
      <c r="J42" s="50">
        <f>VLOOKUP(B42,aa!B:O,14,0)</f>
        <v>0</v>
      </c>
      <c r="K42" s="50">
        <f>VLOOKUP(B42,aa!B:R,17,0)</f>
        <v>1942333</v>
      </c>
      <c r="L42" s="50" t="s">
        <v>848</v>
      </c>
      <c r="M42" s="50">
        <v>2134907</v>
      </c>
      <c r="N42" s="50">
        <v>2519190</v>
      </c>
      <c r="O42" s="50">
        <v>0</v>
      </c>
      <c r="P42" s="50">
        <v>0</v>
      </c>
      <c r="R42" s="50">
        <v>0</v>
      </c>
      <c r="S42" s="50">
        <v>0</v>
      </c>
      <c r="U42" s="50">
        <v>2134907</v>
      </c>
      <c r="V42" s="50">
        <v>1186</v>
      </c>
      <c r="W42" s="50" t="s">
        <v>3005</v>
      </c>
      <c r="X42" s="50" t="s">
        <v>102</v>
      </c>
      <c r="Y42" s="50" t="s">
        <v>103</v>
      </c>
      <c r="Z42" s="50" t="s">
        <v>155</v>
      </c>
      <c r="AB42" s="50" t="s">
        <v>126</v>
      </c>
      <c r="AC42" s="50" t="s">
        <v>15022</v>
      </c>
      <c r="AD42" s="50" t="s">
        <v>11976</v>
      </c>
      <c r="AE42" s="50" t="s">
        <v>15022</v>
      </c>
      <c r="AF42" s="50" t="s">
        <v>11888</v>
      </c>
      <c r="AG42" s="50" t="s">
        <v>15022</v>
      </c>
      <c r="AH42" s="50" t="s">
        <v>12713</v>
      </c>
      <c r="AI42" s="50" t="s">
        <v>15022</v>
      </c>
      <c r="AJ42" s="50" t="s">
        <v>15023</v>
      </c>
      <c r="AK42" s="50" t="s">
        <v>8186</v>
      </c>
      <c r="AL42" s="50" t="s">
        <v>13725</v>
      </c>
      <c r="AM42" s="50" t="s">
        <v>15024</v>
      </c>
      <c r="AN42" s="50" t="s">
        <v>15025</v>
      </c>
      <c r="AO42" s="50" t="s">
        <v>15026</v>
      </c>
      <c r="AP42" s="50" t="s">
        <v>4786</v>
      </c>
      <c r="AQ42" s="50" t="s">
        <v>15027</v>
      </c>
      <c r="AS42" s="50" t="s">
        <v>169</v>
      </c>
      <c r="AU42" s="50" t="s">
        <v>169</v>
      </c>
      <c r="AV42" s="50" t="s">
        <v>102</v>
      </c>
      <c r="AX42" s="50" t="s">
        <v>102</v>
      </c>
      <c r="AY42" s="50" t="s">
        <v>119</v>
      </c>
      <c r="BB42" s="50" t="s">
        <v>250</v>
      </c>
      <c r="BC42" s="50" t="s">
        <v>120</v>
      </c>
      <c r="BD42" s="50" t="s">
        <v>3854</v>
      </c>
      <c r="BE42" s="50" t="s">
        <v>449</v>
      </c>
      <c r="BF42" s="50" t="s">
        <v>122</v>
      </c>
      <c r="BG42" s="50" t="s">
        <v>450</v>
      </c>
      <c r="BH42" s="50" t="s">
        <v>124</v>
      </c>
      <c r="BI42" s="50" t="s">
        <v>4045</v>
      </c>
      <c r="BJ42" s="50" t="s">
        <v>15028</v>
      </c>
      <c r="BK42" s="50" t="s">
        <v>127</v>
      </c>
      <c r="BL42" s="50" t="s">
        <v>15029</v>
      </c>
      <c r="BM42" s="50" t="s">
        <v>4789</v>
      </c>
      <c r="BN42" s="50" t="s">
        <v>15030</v>
      </c>
      <c r="BO42" s="50" t="s">
        <v>559</v>
      </c>
      <c r="BP42" s="50" t="s">
        <v>131</v>
      </c>
      <c r="BQ42" s="50" t="s">
        <v>350</v>
      </c>
      <c r="BR42" s="50" t="s">
        <v>133</v>
      </c>
      <c r="BS42" s="50" t="s">
        <v>134</v>
      </c>
      <c r="BT42" s="50" t="s">
        <v>455</v>
      </c>
      <c r="BV42" s="50" t="s">
        <v>15031</v>
      </c>
      <c r="BW42" s="50" t="s">
        <v>4792</v>
      </c>
      <c r="BX42" s="50" t="s">
        <v>354</v>
      </c>
      <c r="BY42" s="50" t="s">
        <v>4793</v>
      </c>
      <c r="BZ42" s="50" t="s">
        <v>4794</v>
      </c>
      <c r="CA42" s="50" t="s">
        <v>4795</v>
      </c>
      <c r="CB42" s="50" t="s">
        <v>15032</v>
      </c>
      <c r="CC42" s="50" t="s">
        <v>4797</v>
      </c>
      <c r="CD42" s="50" t="s">
        <v>4798</v>
      </c>
      <c r="CE42" s="50" t="s">
        <v>4799</v>
      </c>
      <c r="CF42" s="50" t="s">
        <v>4800</v>
      </c>
      <c r="CG42" s="50" t="s">
        <v>4801</v>
      </c>
      <c r="CH42" s="50" t="s">
        <v>4802</v>
      </c>
      <c r="CI42" s="50" t="s">
        <v>15033</v>
      </c>
      <c r="CK42" s="50" t="s">
        <v>4271</v>
      </c>
      <c r="CL42" s="50" t="s">
        <v>15034</v>
      </c>
      <c r="CM42" s="50" t="s">
        <v>3854</v>
      </c>
      <c r="CN42" s="50" t="s">
        <v>449</v>
      </c>
      <c r="CO42" s="50" t="s">
        <v>4271</v>
      </c>
      <c r="CP42" s="50" t="s">
        <v>4804</v>
      </c>
      <c r="CQ42" s="50" t="s">
        <v>4803</v>
      </c>
      <c r="CR42" s="50" t="s">
        <v>4803</v>
      </c>
    </row>
    <row r="43" spans="1:97" hidden="1">
      <c r="A43" s="50" t="s">
        <v>149</v>
      </c>
      <c r="B43" s="50">
        <v>159527</v>
      </c>
      <c r="C43" s="50" t="e">
        <f>VLOOKUP(B43,'Drop schools 2026'!B:C,2,0)</f>
        <v>#N/A</v>
      </c>
      <c r="D43" s="50" t="s">
        <v>622</v>
      </c>
      <c r="E43" s="50" t="s">
        <v>632</v>
      </c>
      <c r="F43" s="50" t="s">
        <v>12672</v>
      </c>
      <c r="G43" s="50" t="str">
        <f>VLOOKUP(B43,aa!B:F,5,0)</f>
        <v>Ei CARES, Ei Mindspark</v>
      </c>
      <c r="H43" s="50">
        <f>VLOOKUP(B43,aa!B:J,9,0)</f>
        <v>2193236</v>
      </c>
      <c r="I43" s="50">
        <f>VLOOKUP(B43,aa!B:L,11,0)</f>
        <v>0</v>
      </c>
      <c r="J43" s="50">
        <f>VLOOKUP(B43,aa!B:O,14,0)</f>
        <v>1568800</v>
      </c>
      <c r="K43" s="50">
        <f>VLOOKUP(B43,aa!B:R,17,0)</f>
        <v>624436</v>
      </c>
      <c r="L43" s="50" t="s">
        <v>643</v>
      </c>
      <c r="M43" s="50">
        <v>2134579</v>
      </c>
      <c r="N43" s="50">
        <v>2243097</v>
      </c>
      <c r="O43" s="50">
        <v>0</v>
      </c>
      <c r="P43" s="50">
        <v>0</v>
      </c>
      <c r="R43" s="50">
        <v>1531700</v>
      </c>
      <c r="S43" s="50">
        <v>578</v>
      </c>
      <c r="T43" s="50" t="s">
        <v>12673</v>
      </c>
      <c r="U43" s="50">
        <v>602879</v>
      </c>
      <c r="V43" s="50">
        <v>223</v>
      </c>
      <c r="W43" s="50" t="s">
        <v>12674</v>
      </c>
      <c r="X43" s="50" t="s">
        <v>102</v>
      </c>
      <c r="Y43" s="50" t="s">
        <v>103</v>
      </c>
      <c r="Z43" s="50" t="s">
        <v>155</v>
      </c>
      <c r="AB43" s="50" t="s">
        <v>12675</v>
      </c>
      <c r="AC43" s="50" t="s">
        <v>12676</v>
      </c>
      <c r="AD43" s="50" t="s">
        <v>12677</v>
      </c>
      <c r="AE43" s="50" t="s">
        <v>12676</v>
      </c>
      <c r="AF43" s="50" t="s">
        <v>1427</v>
      </c>
      <c r="AG43" s="50" t="s">
        <v>12676</v>
      </c>
      <c r="AH43" s="50" t="s">
        <v>11886</v>
      </c>
      <c r="AI43" s="50" t="s">
        <v>12676</v>
      </c>
      <c r="AJ43" s="50" t="s">
        <v>12678</v>
      </c>
      <c r="AK43" s="50" t="s">
        <v>12679</v>
      </c>
      <c r="AL43" s="50" t="s">
        <v>12680</v>
      </c>
      <c r="AM43" s="50" t="s">
        <v>12681</v>
      </c>
      <c r="AN43" s="50" t="s">
        <v>12682</v>
      </c>
      <c r="AO43" s="50" t="s">
        <v>12683</v>
      </c>
      <c r="AP43" s="50" t="s">
        <v>12684</v>
      </c>
      <c r="AQ43" s="50" t="s">
        <v>12684</v>
      </c>
      <c r="AV43" s="50" t="s">
        <v>102</v>
      </c>
      <c r="AX43" s="50" t="s">
        <v>248</v>
      </c>
      <c r="AY43" s="50" t="s">
        <v>119</v>
      </c>
      <c r="AZ43" s="50" t="s">
        <v>170</v>
      </c>
      <c r="BA43" s="50" t="s">
        <v>118</v>
      </c>
      <c r="BB43" s="50" t="s">
        <v>250</v>
      </c>
      <c r="BC43" s="50" t="s">
        <v>171</v>
      </c>
      <c r="BD43" s="50" t="s">
        <v>623</v>
      </c>
      <c r="BE43" s="50" t="s">
        <v>621</v>
      </c>
      <c r="BF43" s="50" t="s">
        <v>622</v>
      </c>
      <c r="BG43" s="50" t="s">
        <v>623</v>
      </c>
      <c r="BH43" s="50" t="s">
        <v>124</v>
      </c>
      <c r="BI43" s="50" t="s">
        <v>12023</v>
      </c>
      <c r="BJ43" s="50" t="s">
        <v>11889</v>
      </c>
      <c r="BK43" s="50" t="s">
        <v>127</v>
      </c>
      <c r="BL43" s="50" t="s">
        <v>12685</v>
      </c>
      <c r="BM43" s="50" t="s">
        <v>1337</v>
      </c>
      <c r="BN43" s="50" t="s">
        <v>12686</v>
      </c>
      <c r="BO43" s="50" t="s">
        <v>4374</v>
      </c>
      <c r="BP43" s="50" t="s">
        <v>1339</v>
      </c>
      <c r="BQ43" s="50" t="s">
        <v>132</v>
      </c>
      <c r="BR43" s="50" t="s">
        <v>1340</v>
      </c>
      <c r="BS43" s="50" t="s">
        <v>1341</v>
      </c>
      <c r="BT43" s="50" t="s">
        <v>1342</v>
      </c>
      <c r="BV43" s="50" t="s">
        <v>12687</v>
      </c>
      <c r="BW43" s="50" t="s">
        <v>12688</v>
      </c>
      <c r="BY43" s="50" t="s">
        <v>12689</v>
      </c>
      <c r="BZ43" s="50" t="s">
        <v>12690</v>
      </c>
      <c r="CA43" s="50" t="s">
        <v>1347</v>
      </c>
      <c r="CB43" s="50" t="s">
        <v>12691</v>
      </c>
      <c r="CC43" s="50" t="s">
        <v>12689</v>
      </c>
      <c r="CD43" s="50" t="s">
        <v>12690</v>
      </c>
      <c r="CE43" s="50" t="s">
        <v>12691</v>
      </c>
      <c r="CF43" s="50" t="s">
        <v>12689</v>
      </c>
      <c r="CG43" s="50" t="s">
        <v>12690</v>
      </c>
      <c r="CH43" s="50" t="s">
        <v>102</v>
      </c>
      <c r="CI43" s="50" t="s">
        <v>1350</v>
      </c>
      <c r="CK43" s="50" t="s">
        <v>1351</v>
      </c>
      <c r="CM43" s="50" t="s">
        <v>623</v>
      </c>
      <c r="CN43" s="50" t="s">
        <v>621</v>
      </c>
      <c r="CO43" s="50" t="s">
        <v>1351</v>
      </c>
      <c r="CP43" s="50" t="s">
        <v>1352</v>
      </c>
      <c r="CQ43" s="50" t="s">
        <v>1350</v>
      </c>
      <c r="CR43" s="50" t="s">
        <v>1350</v>
      </c>
    </row>
    <row r="44" spans="1:97" hidden="1">
      <c r="A44" s="50" t="s">
        <v>149</v>
      </c>
      <c r="B44" s="50">
        <v>17080</v>
      </c>
      <c r="C44" s="50" t="e">
        <f>VLOOKUP(B44,'Drop schools 2026'!B:C,2,0)</f>
        <v>#N/A</v>
      </c>
      <c r="D44" s="50" t="s">
        <v>212</v>
      </c>
      <c r="E44" s="50" t="s">
        <v>418</v>
      </c>
      <c r="F44" s="50" t="s">
        <v>1541</v>
      </c>
      <c r="G44" s="50" t="str">
        <f>VLOOKUP(B44,aa!B:F,5,0)</f>
        <v>Ei CARES,Ei Mindspark</v>
      </c>
      <c r="H44" s="50">
        <f>VLOOKUP(B44,aa!B:J,9,0)</f>
        <v>1704124</v>
      </c>
      <c r="I44" s="50">
        <f>VLOOKUP(B44,aa!B:L,11,0)</f>
        <v>0</v>
      </c>
      <c r="J44" s="50">
        <f>VLOOKUP(B44,aa!B:O,14,0)</f>
        <v>846651</v>
      </c>
      <c r="K44" s="50">
        <f>VLOOKUP(B44,aa!B:R,17,0)</f>
        <v>857473</v>
      </c>
      <c r="L44" s="50" t="s">
        <v>8024</v>
      </c>
      <c r="M44" s="50">
        <v>2060619</v>
      </c>
      <c r="N44" s="50">
        <v>2293901</v>
      </c>
      <c r="O44" s="50">
        <v>0</v>
      </c>
      <c r="P44" s="50">
        <v>0</v>
      </c>
      <c r="R44" s="50">
        <v>764608</v>
      </c>
      <c r="S44" s="50">
        <v>1358</v>
      </c>
      <c r="T44" s="50" t="s">
        <v>12799</v>
      </c>
      <c r="U44" s="50">
        <v>1296011</v>
      </c>
      <c r="V44" s="50">
        <v>1358</v>
      </c>
      <c r="W44" s="50" t="s">
        <v>6010</v>
      </c>
      <c r="X44" s="50" t="s">
        <v>102</v>
      </c>
      <c r="Y44" s="50" t="s">
        <v>103</v>
      </c>
      <c r="Z44" s="50" t="s">
        <v>104</v>
      </c>
      <c r="AB44" s="50" t="s">
        <v>12800</v>
      </c>
      <c r="AC44" s="50" t="s">
        <v>12801</v>
      </c>
      <c r="AD44" s="50" t="s">
        <v>11886</v>
      </c>
      <c r="AE44" s="50" t="s">
        <v>12801</v>
      </c>
      <c r="AF44" s="50" t="s">
        <v>109</v>
      </c>
      <c r="AG44" s="50" t="s">
        <v>102</v>
      </c>
      <c r="AH44" s="50" t="s">
        <v>109</v>
      </c>
      <c r="AI44" s="50" t="s">
        <v>102</v>
      </c>
      <c r="AJ44" s="50" t="s">
        <v>12802</v>
      </c>
      <c r="AK44" s="50" t="s">
        <v>8060</v>
      </c>
      <c r="AL44" s="50" t="s">
        <v>8060</v>
      </c>
      <c r="AM44" s="50" t="s">
        <v>12803</v>
      </c>
      <c r="AN44" s="50" t="s">
        <v>12804</v>
      </c>
      <c r="AO44" s="50" t="s">
        <v>12805</v>
      </c>
      <c r="AP44" s="50" t="s">
        <v>12806</v>
      </c>
      <c r="AQ44" s="50" t="s">
        <v>12806</v>
      </c>
      <c r="AV44" s="50" t="s">
        <v>102</v>
      </c>
      <c r="AX44" s="50" t="s">
        <v>1758</v>
      </c>
      <c r="AY44" s="50" t="s">
        <v>119</v>
      </c>
      <c r="BA44" s="50" t="s">
        <v>250</v>
      </c>
      <c r="BB44" s="50" t="s">
        <v>250</v>
      </c>
      <c r="BC44" s="50" t="s">
        <v>120</v>
      </c>
      <c r="BD44" s="50" t="s">
        <v>1552</v>
      </c>
      <c r="BE44" s="50" t="s">
        <v>410</v>
      </c>
      <c r="BF44" s="50" t="s">
        <v>212</v>
      </c>
      <c r="BG44" s="50" t="s">
        <v>410</v>
      </c>
      <c r="BH44" s="50" t="s">
        <v>124</v>
      </c>
      <c r="BI44" s="50" t="s">
        <v>11959</v>
      </c>
      <c r="BJ44" s="50" t="s">
        <v>11960</v>
      </c>
      <c r="BK44" s="50" t="s">
        <v>127</v>
      </c>
      <c r="BL44" s="50" t="s">
        <v>12807</v>
      </c>
      <c r="BM44" s="50" t="s">
        <v>1554</v>
      </c>
      <c r="BN44" s="50" t="s">
        <v>12808</v>
      </c>
      <c r="BO44" s="50" t="s">
        <v>12496</v>
      </c>
      <c r="BP44" s="50" t="s">
        <v>866</v>
      </c>
      <c r="BQ44" s="50" t="s">
        <v>132</v>
      </c>
      <c r="BR44" s="50" t="s">
        <v>867</v>
      </c>
      <c r="BS44" s="50" t="s">
        <v>868</v>
      </c>
      <c r="BT44" s="50" t="s">
        <v>418</v>
      </c>
      <c r="BV44" s="50" t="s">
        <v>12809</v>
      </c>
      <c r="BW44" s="50" t="s">
        <v>1557</v>
      </c>
      <c r="BY44" s="50" t="s">
        <v>1558</v>
      </c>
      <c r="BZ44" s="50" t="s">
        <v>12810</v>
      </c>
      <c r="CA44" s="50" t="s">
        <v>1560</v>
      </c>
      <c r="CB44" s="50" t="s">
        <v>12811</v>
      </c>
      <c r="CC44" s="50" t="s">
        <v>12812</v>
      </c>
      <c r="CD44" s="50" t="s">
        <v>12813</v>
      </c>
      <c r="CE44" s="50" t="s">
        <v>12814</v>
      </c>
      <c r="CF44" s="50" t="s">
        <v>1562</v>
      </c>
      <c r="CG44" s="50" t="s">
        <v>1563</v>
      </c>
      <c r="CH44" s="50" t="s">
        <v>102</v>
      </c>
      <c r="CI44" s="50" t="s">
        <v>1564</v>
      </c>
      <c r="CK44" s="50" t="s">
        <v>1565</v>
      </c>
      <c r="CL44" s="50" t="s">
        <v>1564</v>
      </c>
      <c r="CM44" s="50" t="s">
        <v>1552</v>
      </c>
      <c r="CN44" s="50" t="s">
        <v>410</v>
      </c>
      <c r="CO44" s="50" t="s">
        <v>1565</v>
      </c>
      <c r="CP44" s="50" t="s">
        <v>1566</v>
      </c>
      <c r="CQ44" s="50" t="s">
        <v>1564</v>
      </c>
      <c r="CR44" s="50" t="s">
        <v>1564</v>
      </c>
    </row>
    <row r="45" spans="1:97" hidden="1">
      <c r="A45" s="50" t="s">
        <v>149</v>
      </c>
      <c r="B45" s="50">
        <v>770229</v>
      </c>
      <c r="C45" s="50" t="e">
        <f>VLOOKUP(B45,'Drop schools 2026'!B:C,2,0)</f>
        <v>#N/A</v>
      </c>
      <c r="D45" s="50" t="s">
        <v>212</v>
      </c>
      <c r="E45" s="50" t="s">
        <v>11995</v>
      </c>
      <c r="F45" s="50" t="s">
        <v>11650</v>
      </c>
      <c r="G45" s="50" t="e">
        <f>VLOOKUP(B45,aa!B:F,5,0)</f>
        <v>#N/A</v>
      </c>
      <c r="H45" s="50" t="e">
        <f>VLOOKUP(B45,aa!B:J,9,0)</f>
        <v>#N/A</v>
      </c>
      <c r="I45" s="50" t="e">
        <f>VLOOKUP(B45,aa!B:L,11,0)</f>
        <v>#N/A</v>
      </c>
      <c r="J45" s="50" t="e">
        <f>VLOOKUP(B45,aa!B:O,14,0)</f>
        <v>#N/A</v>
      </c>
      <c r="K45" s="50" t="e">
        <f>VLOOKUP(B45,aa!B:R,17,0)</f>
        <v>#N/A</v>
      </c>
      <c r="L45" s="50" t="s">
        <v>152</v>
      </c>
      <c r="M45" s="50">
        <v>2014584</v>
      </c>
      <c r="N45" s="50">
        <v>2014584</v>
      </c>
      <c r="O45" s="50">
        <v>0</v>
      </c>
      <c r="P45" s="50">
        <v>0</v>
      </c>
      <c r="R45" s="50">
        <v>2014584</v>
      </c>
      <c r="S45" s="50">
        <v>1300</v>
      </c>
      <c r="T45" s="50" t="s">
        <v>8766</v>
      </c>
      <c r="U45" s="50">
        <v>0</v>
      </c>
      <c r="V45" s="50">
        <v>0</v>
      </c>
      <c r="X45" s="50" t="s">
        <v>102</v>
      </c>
      <c r="Y45" s="50" t="s">
        <v>103</v>
      </c>
      <c r="Z45" s="50" t="s">
        <v>398</v>
      </c>
      <c r="AB45" s="50" t="s">
        <v>12040</v>
      </c>
      <c r="AC45" s="50" t="s">
        <v>21477</v>
      </c>
      <c r="AD45" s="50" t="s">
        <v>12099</v>
      </c>
      <c r="AE45" s="50" t="s">
        <v>21478</v>
      </c>
      <c r="AF45" s="50" t="s">
        <v>12713</v>
      </c>
      <c r="AG45" s="50" t="s">
        <v>21478</v>
      </c>
      <c r="AH45" s="50" t="s">
        <v>109</v>
      </c>
      <c r="AI45" s="50" t="s">
        <v>102</v>
      </c>
      <c r="AJ45" s="50" t="s">
        <v>21479</v>
      </c>
      <c r="AK45" s="50" t="s">
        <v>13385</v>
      </c>
      <c r="AL45" s="50" t="s">
        <v>16844</v>
      </c>
      <c r="AM45" s="50" t="s">
        <v>21480</v>
      </c>
      <c r="AN45" s="50" t="s">
        <v>21481</v>
      </c>
      <c r="AO45" s="50" t="s">
        <v>21482</v>
      </c>
      <c r="AP45" s="50" t="s">
        <v>21483</v>
      </c>
      <c r="AQ45" s="50" t="s">
        <v>21483</v>
      </c>
      <c r="AV45" s="50" t="s">
        <v>102</v>
      </c>
      <c r="AX45" s="50" t="s">
        <v>155</v>
      </c>
      <c r="AY45" s="50" t="s">
        <v>119</v>
      </c>
      <c r="AZ45" s="50" t="s">
        <v>170</v>
      </c>
      <c r="BA45" s="50" t="s">
        <v>118</v>
      </c>
      <c r="BC45" s="50" t="s">
        <v>120</v>
      </c>
      <c r="BD45" s="50" t="s">
        <v>284</v>
      </c>
      <c r="BE45" s="50" t="s">
        <v>285</v>
      </c>
      <c r="BF45" s="50" t="s">
        <v>212</v>
      </c>
      <c r="BG45" s="50" t="s">
        <v>286</v>
      </c>
      <c r="BH45" s="50" t="s">
        <v>124</v>
      </c>
      <c r="BI45" s="50" t="s">
        <v>11959</v>
      </c>
      <c r="BJ45" s="50" t="s">
        <v>12047</v>
      </c>
      <c r="BK45" s="50" t="s">
        <v>127</v>
      </c>
      <c r="BL45" s="50" t="s">
        <v>21484</v>
      </c>
      <c r="BM45" s="50" t="s">
        <v>11661</v>
      </c>
      <c r="BN45" s="50" t="s">
        <v>21485</v>
      </c>
      <c r="BO45" s="50" t="s">
        <v>11948</v>
      </c>
      <c r="BP45" s="50" t="s">
        <v>290</v>
      </c>
      <c r="BQ45" s="50" t="s">
        <v>132</v>
      </c>
      <c r="BR45" s="50" t="s">
        <v>291</v>
      </c>
      <c r="BS45" s="50" t="s">
        <v>292</v>
      </c>
      <c r="BT45" s="50" t="s">
        <v>4765</v>
      </c>
      <c r="BV45" s="50" t="s">
        <v>21486</v>
      </c>
      <c r="BW45" s="50" t="s">
        <v>11664</v>
      </c>
      <c r="BX45" s="50" t="s">
        <v>354</v>
      </c>
      <c r="BY45" s="50" t="s">
        <v>11665</v>
      </c>
      <c r="BZ45" s="50" t="s">
        <v>11666</v>
      </c>
      <c r="CB45" s="50" t="s">
        <v>11664</v>
      </c>
      <c r="CC45" s="50" t="s">
        <v>11665</v>
      </c>
      <c r="CD45" s="50" t="s">
        <v>11666</v>
      </c>
      <c r="CE45" s="50" t="s">
        <v>21487</v>
      </c>
      <c r="CF45" s="50" t="s">
        <v>21488</v>
      </c>
      <c r="CG45" s="50" t="s">
        <v>21489</v>
      </c>
      <c r="CH45" s="50" t="s">
        <v>102</v>
      </c>
      <c r="CI45" s="50" t="s">
        <v>21490</v>
      </c>
      <c r="CK45" s="50" t="s">
        <v>3899</v>
      </c>
      <c r="CM45" s="50" t="s">
        <v>284</v>
      </c>
      <c r="CN45" s="50" t="s">
        <v>285</v>
      </c>
      <c r="CO45" s="50" t="s">
        <v>3899</v>
      </c>
      <c r="CP45" s="50" t="s">
        <v>11668</v>
      </c>
      <c r="CQ45" s="50" t="s">
        <v>11669</v>
      </c>
      <c r="CR45" s="50" t="s">
        <v>11669</v>
      </c>
      <c r="CS45" s="50" t="s">
        <v>26044</v>
      </c>
    </row>
    <row r="46" spans="1:97" hidden="1">
      <c r="A46" s="50" t="s">
        <v>149</v>
      </c>
      <c r="B46" s="50">
        <v>3998876</v>
      </c>
      <c r="C46" s="50" t="e">
        <f>VLOOKUP(B46,'Drop schools 2026'!B:C,2,0)</f>
        <v>#N/A</v>
      </c>
      <c r="D46" s="50" t="s">
        <v>212</v>
      </c>
      <c r="E46" s="50" t="s">
        <v>418</v>
      </c>
      <c r="F46" s="50" t="s">
        <v>8392</v>
      </c>
      <c r="G46" s="50" t="e">
        <f>VLOOKUP(B46,aa!B:F,5,0)</f>
        <v>#N/A</v>
      </c>
      <c r="H46" s="50" t="e">
        <f>VLOOKUP(B46,aa!B:J,9,0)</f>
        <v>#N/A</v>
      </c>
      <c r="I46" s="50" t="e">
        <f>VLOOKUP(B46,aa!B:L,11,0)</f>
        <v>#N/A</v>
      </c>
      <c r="J46" s="50" t="e">
        <f>VLOOKUP(B46,aa!B:O,14,0)</f>
        <v>#N/A</v>
      </c>
      <c r="K46" s="50" t="e">
        <f>VLOOKUP(B46,aa!B:R,17,0)</f>
        <v>#N/A</v>
      </c>
      <c r="L46" s="50" t="s">
        <v>17790</v>
      </c>
      <c r="M46" s="50">
        <v>2006118</v>
      </c>
      <c r="N46" s="50">
        <v>2112753</v>
      </c>
      <c r="O46" s="50">
        <v>0</v>
      </c>
      <c r="P46" s="50">
        <v>0</v>
      </c>
      <c r="R46" s="50">
        <v>1413699</v>
      </c>
      <c r="S46" s="50">
        <v>1749</v>
      </c>
      <c r="T46" s="50" t="s">
        <v>17791</v>
      </c>
      <c r="U46" s="50">
        <v>592419</v>
      </c>
      <c r="V46" s="50">
        <v>440</v>
      </c>
      <c r="W46" s="50" t="s">
        <v>17792</v>
      </c>
      <c r="X46" s="50" t="s">
        <v>102</v>
      </c>
      <c r="Y46" s="50" t="s">
        <v>103</v>
      </c>
      <c r="Z46" s="50" t="s">
        <v>104</v>
      </c>
      <c r="AB46" s="50" t="s">
        <v>1604</v>
      </c>
      <c r="AC46" s="50" t="s">
        <v>17793</v>
      </c>
      <c r="AD46" s="50" t="s">
        <v>16372</v>
      </c>
      <c r="AE46" s="50" t="s">
        <v>17793</v>
      </c>
      <c r="AF46" s="50" t="s">
        <v>109</v>
      </c>
      <c r="AG46" s="50" t="s">
        <v>102</v>
      </c>
      <c r="AH46" s="50" t="s">
        <v>109</v>
      </c>
      <c r="AI46" s="50" t="s">
        <v>102</v>
      </c>
      <c r="AJ46" s="50" t="s">
        <v>17794</v>
      </c>
      <c r="AK46" s="50" t="s">
        <v>11976</v>
      </c>
      <c r="AL46" s="50" t="s">
        <v>17795</v>
      </c>
      <c r="AM46" s="50" t="s">
        <v>17796</v>
      </c>
      <c r="AN46" s="50" t="s">
        <v>17797</v>
      </c>
      <c r="AO46" s="50" t="s">
        <v>17798</v>
      </c>
      <c r="AP46" s="50" t="s">
        <v>17799</v>
      </c>
      <c r="AQ46" s="50" t="s">
        <v>17799</v>
      </c>
      <c r="AV46" s="50" t="s">
        <v>102</v>
      </c>
      <c r="AX46" s="50" t="s">
        <v>104</v>
      </c>
      <c r="AY46" s="50" t="s">
        <v>119</v>
      </c>
      <c r="AZ46" s="50" t="s">
        <v>170</v>
      </c>
      <c r="BA46" s="50" t="s">
        <v>118</v>
      </c>
      <c r="BB46" s="50" t="s">
        <v>250</v>
      </c>
      <c r="BC46" s="50" t="s">
        <v>171</v>
      </c>
      <c r="BD46" s="50" t="s">
        <v>409</v>
      </c>
      <c r="BE46" s="50" t="s">
        <v>410</v>
      </c>
      <c r="BF46" s="50" t="s">
        <v>212</v>
      </c>
      <c r="BG46" s="50" t="s">
        <v>410</v>
      </c>
      <c r="BH46" s="50" t="s">
        <v>124</v>
      </c>
      <c r="BI46" s="50" t="s">
        <v>11927</v>
      </c>
      <c r="BJ46" s="50" t="s">
        <v>12047</v>
      </c>
      <c r="BK46" s="50" t="s">
        <v>127</v>
      </c>
      <c r="BL46" s="50" t="s">
        <v>17800</v>
      </c>
      <c r="BM46" s="50" t="s">
        <v>8405</v>
      </c>
      <c r="BN46" s="50" t="s">
        <v>17801</v>
      </c>
      <c r="BO46" s="50" t="s">
        <v>7145</v>
      </c>
      <c r="BP46" s="50" t="s">
        <v>415</v>
      </c>
      <c r="BQ46" s="50" t="s">
        <v>180</v>
      </c>
      <c r="BR46" s="50" t="s">
        <v>416</v>
      </c>
      <c r="BS46" s="50" t="s">
        <v>417</v>
      </c>
      <c r="BT46" s="50" t="s">
        <v>222</v>
      </c>
      <c r="BV46" s="50" t="s">
        <v>17802</v>
      </c>
      <c r="BW46" s="50" t="s">
        <v>8408</v>
      </c>
      <c r="BX46" s="50" t="s">
        <v>138</v>
      </c>
      <c r="BY46" s="50" t="s">
        <v>8409</v>
      </c>
      <c r="BZ46" s="50" t="s">
        <v>8410</v>
      </c>
      <c r="CA46" s="50" t="s">
        <v>8411</v>
      </c>
      <c r="CB46" s="50" t="s">
        <v>8408</v>
      </c>
      <c r="CC46" s="50" t="s">
        <v>17803</v>
      </c>
      <c r="CD46" s="50" t="s">
        <v>17804</v>
      </c>
      <c r="CE46" s="50" t="s">
        <v>8408</v>
      </c>
      <c r="CF46" s="50" t="s">
        <v>17803</v>
      </c>
      <c r="CG46" s="50" t="s">
        <v>17804</v>
      </c>
      <c r="CH46" s="50" t="s">
        <v>3841</v>
      </c>
      <c r="CI46" s="50" t="s">
        <v>8412</v>
      </c>
      <c r="CK46" s="50" t="s">
        <v>4204</v>
      </c>
      <c r="CL46" s="50" t="s">
        <v>8412</v>
      </c>
      <c r="CM46" s="50" t="s">
        <v>409</v>
      </c>
      <c r="CN46" s="50" t="s">
        <v>410</v>
      </c>
      <c r="CO46" s="50" t="s">
        <v>4204</v>
      </c>
      <c r="CP46" s="50" t="s">
        <v>8413</v>
      </c>
      <c r="CQ46" s="50" t="s">
        <v>8412</v>
      </c>
      <c r="CR46" s="50" t="s">
        <v>8412</v>
      </c>
      <c r="CS46" s="50" t="s">
        <v>26040</v>
      </c>
    </row>
    <row r="47" spans="1:97" hidden="1">
      <c r="A47" s="50" t="s">
        <v>149</v>
      </c>
      <c r="B47" s="50">
        <v>5016602</v>
      </c>
      <c r="C47" s="50" t="e">
        <f>VLOOKUP(B47,'Drop schools 2026'!B:C,2,0)</f>
        <v>#N/A</v>
      </c>
      <c r="D47" s="50" t="s">
        <v>122</v>
      </c>
      <c r="E47" s="50" t="s">
        <v>12491</v>
      </c>
      <c r="F47" s="50" t="s">
        <v>18900</v>
      </c>
      <c r="G47" s="50" t="str">
        <f>VLOOKUP(B47,aa!B:F,5,0)</f>
        <v>Ei ASSET, Ei CARES</v>
      </c>
      <c r="H47" s="50">
        <f>VLOOKUP(B47,aa!B:J,9,0)</f>
        <v>2100465</v>
      </c>
      <c r="I47" s="50">
        <f>VLOOKUP(B47,aa!B:L,11,0)</f>
        <v>623160</v>
      </c>
      <c r="J47" s="50">
        <f>VLOOKUP(B47,aa!B:O,14,0)</f>
        <v>1477305</v>
      </c>
      <c r="K47" s="50">
        <f>VLOOKUP(B47,aa!B:R,17,0)</f>
        <v>0</v>
      </c>
      <c r="L47" s="50" t="s">
        <v>675</v>
      </c>
      <c r="M47" s="50">
        <v>1980772</v>
      </c>
      <c r="N47" s="50">
        <v>1980772</v>
      </c>
      <c r="O47" s="50">
        <v>605880</v>
      </c>
      <c r="P47" s="50">
        <v>1122</v>
      </c>
      <c r="Q47" s="50" t="s">
        <v>2322</v>
      </c>
      <c r="R47" s="50">
        <v>1374892</v>
      </c>
      <c r="S47" s="50">
        <v>1074</v>
      </c>
      <c r="T47" s="50" t="s">
        <v>13016</v>
      </c>
      <c r="U47" s="50">
        <v>0</v>
      </c>
      <c r="V47" s="50">
        <v>0</v>
      </c>
      <c r="X47" s="50" t="s">
        <v>102</v>
      </c>
      <c r="Y47" s="50" t="s">
        <v>275</v>
      </c>
      <c r="AA47" s="50" t="s">
        <v>126</v>
      </c>
      <c r="AB47" s="50" t="s">
        <v>109</v>
      </c>
      <c r="AC47" s="50" t="s">
        <v>102</v>
      </c>
      <c r="AD47" s="50" t="s">
        <v>109</v>
      </c>
      <c r="AE47" s="50" t="s">
        <v>102</v>
      </c>
      <c r="AF47" s="50" t="s">
        <v>109</v>
      </c>
      <c r="AG47" s="50" t="s">
        <v>102</v>
      </c>
      <c r="AH47" s="50" t="s">
        <v>109</v>
      </c>
      <c r="AI47" s="50" t="s">
        <v>102</v>
      </c>
      <c r="AJ47" s="50" t="s">
        <v>18901</v>
      </c>
      <c r="AK47" s="50" t="s">
        <v>11948</v>
      </c>
      <c r="AL47" s="50" t="s">
        <v>2050</v>
      </c>
      <c r="AM47" s="50" t="s">
        <v>18902</v>
      </c>
      <c r="AN47" s="50" t="s">
        <v>18903</v>
      </c>
      <c r="AO47" s="50" t="s">
        <v>18904</v>
      </c>
      <c r="AP47" s="50" t="s">
        <v>13021</v>
      </c>
      <c r="AQ47" s="50" t="s">
        <v>13022</v>
      </c>
      <c r="AR47" s="50" t="s">
        <v>343</v>
      </c>
      <c r="AS47" s="50" t="s">
        <v>169</v>
      </c>
      <c r="AV47" s="50" t="s">
        <v>247</v>
      </c>
      <c r="AW47" s="50" t="s">
        <v>118</v>
      </c>
      <c r="AX47" s="50" t="s">
        <v>655</v>
      </c>
      <c r="AY47" s="50" t="s">
        <v>119</v>
      </c>
      <c r="AZ47" s="50" t="s">
        <v>170</v>
      </c>
      <c r="BA47" s="50" t="s">
        <v>118</v>
      </c>
      <c r="BC47" s="50" t="s">
        <v>120</v>
      </c>
      <c r="BD47" s="50" t="s">
        <v>2056</v>
      </c>
      <c r="BE47" s="50" t="s">
        <v>320</v>
      </c>
      <c r="BF47" s="50" t="s">
        <v>122</v>
      </c>
      <c r="BG47" s="50" t="s">
        <v>123</v>
      </c>
      <c r="BH47" s="50" t="s">
        <v>124</v>
      </c>
      <c r="BI47" s="50" t="s">
        <v>12023</v>
      </c>
      <c r="BJ47" s="50" t="s">
        <v>11889</v>
      </c>
      <c r="BK47" s="50" t="s">
        <v>127</v>
      </c>
      <c r="BL47" s="50" t="s">
        <v>18905</v>
      </c>
      <c r="BM47" s="50" t="s">
        <v>9723</v>
      </c>
      <c r="BN47" s="50" t="s">
        <v>18906</v>
      </c>
      <c r="BO47" s="50" t="s">
        <v>442</v>
      </c>
      <c r="BP47" s="50" t="s">
        <v>8788</v>
      </c>
      <c r="BQ47" s="50" t="s">
        <v>350</v>
      </c>
      <c r="BR47" s="50" t="s">
        <v>8789</v>
      </c>
      <c r="BS47" s="50" t="s">
        <v>8790</v>
      </c>
      <c r="BT47" s="50" t="s">
        <v>1006</v>
      </c>
      <c r="BV47" s="50" t="s">
        <v>18907</v>
      </c>
      <c r="BW47" s="50" t="s">
        <v>2061</v>
      </c>
      <c r="BX47" s="50" t="s">
        <v>354</v>
      </c>
      <c r="BY47" s="50" t="s">
        <v>2062</v>
      </c>
      <c r="BZ47" s="50" t="s">
        <v>2063</v>
      </c>
      <c r="CA47" s="50" t="s">
        <v>2062</v>
      </c>
      <c r="CB47" s="50" t="s">
        <v>9726</v>
      </c>
      <c r="CC47" s="50" t="s">
        <v>2062</v>
      </c>
      <c r="CD47" s="50" t="s">
        <v>9728</v>
      </c>
      <c r="CE47" s="50" t="s">
        <v>13027</v>
      </c>
      <c r="CF47" s="50" t="s">
        <v>2062</v>
      </c>
      <c r="CG47" s="50" t="s">
        <v>13028</v>
      </c>
      <c r="CH47" s="50" t="s">
        <v>2069</v>
      </c>
      <c r="CI47" s="50" t="s">
        <v>2056</v>
      </c>
      <c r="CK47" s="50" t="s">
        <v>2071</v>
      </c>
      <c r="CL47" s="50" t="s">
        <v>18908</v>
      </c>
      <c r="CM47" s="50" t="s">
        <v>2056</v>
      </c>
      <c r="CN47" s="50" t="s">
        <v>320</v>
      </c>
      <c r="CO47" s="50" t="s">
        <v>2071</v>
      </c>
      <c r="CP47" s="50" t="s">
        <v>2072</v>
      </c>
      <c r="CQ47" s="50" t="s">
        <v>9729</v>
      </c>
      <c r="CR47" s="50" t="s">
        <v>9729</v>
      </c>
    </row>
    <row r="48" spans="1:97">
      <c r="A48" s="50" t="s">
        <v>337</v>
      </c>
      <c r="B48" s="50">
        <v>253271</v>
      </c>
      <c r="C48" s="50" t="str">
        <f>VLOOKUP(B48,RISK!B:C,2,0)</f>
        <v>Risk</v>
      </c>
      <c r="D48" s="50" t="s">
        <v>122</v>
      </c>
      <c r="E48" s="50" t="s">
        <v>11898</v>
      </c>
      <c r="F48" s="50" t="s">
        <v>14422</v>
      </c>
      <c r="G48" s="50" t="e">
        <f>VLOOKUP(B48,aa!B:F,5,0)</f>
        <v>#N/A</v>
      </c>
      <c r="H48" s="50" t="e">
        <f>VLOOKUP(B48,aa!B:J,9,0)</f>
        <v>#N/A</v>
      </c>
      <c r="I48" s="50" t="e">
        <f>VLOOKUP(B48,aa!B:L,11,0)</f>
        <v>#N/A</v>
      </c>
      <c r="J48" s="50" t="e">
        <f>VLOOKUP(B48,aa!B:O,14,0)</f>
        <v>#N/A</v>
      </c>
      <c r="K48" s="50" t="e">
        <f>VLOOKUP(B48,aa!B:R,17,0)</f>
        <v>#N/A</v>
      </c>
      <c r="L48" s="50" t="s">
        <v>2044</v>
      </c>
      <c r="M48" s="50">
        <v>1963865</v>
      </c>
      <c r="N48" s="50">
        <v>1963865</v>
      </c>
      <c r="O48" s="50">
        <v>775210</v>
      </c>
      <c r="P48" s="50">
        <v>1091</v>
      </c>
      <c r="Q48" s="50" t="s">
        <v>14423</v>
      </c>
      <c r="R48" s="50">
        <v>1188655</v>
      </c>
      <c r="S48" s="50">
        <v>1091</v>
      </c>
      <c r="T48" s="50" t="s">
        <v>14424</v>
      </c>
      <c r="U48" s="50">
        <v>0</v>
      </c>
      <c r="V48" s="50">
        <v>0</v>
      </c>
      <c r="X48" s="50" t="s">
        <v>102</v>
      </c>
      <c r="Y48" s="50" t="s">
        <v>103</v>
      </c>
      <c r="Z48" s="50" t="s">
        <v>155</v>
      </c>
      <c r="AB48" s="50" t="s">
        <v>8054</v>
      </c>
      <c r="AC48" s="50" t="s">
        <v>14425</v>
      </c>
      <c r="AD48" s="50" t="s">
        <v>1408</v>
      </c>
      <c r="AE48" s="50" t="s">
        <v>14425</v>
      </c>
      <c r="AF48" s="50" t="s">
        <v>12289</v>
      </c>
      <c r="AG48" s="50" t="s">
        <v>14425</v>
      </c>
      <c r="AH48" s="50" t="s">
        <v>11886</v>
      </c>
      <c r="AI48" s="50" t="s">
        <v>14425</v>
      </c>
      <c r="AJ48" s="50" t="s">
        <v>14426</v>
      </c>
      <c r="AK48" s="50" t="s">
        <v>8054</v>
      </c>
      <c r="AL48" s="50" t="s">
        <v>14427</v>
      </c>
      <c r="AM48" s="50" t="s">
        <v>14428</v>
      </c>
      <c r="AN48" s="50" t="s">
        <v>14429</v>
      </c>
      <c r="AO48" s="50" t="s">
        <v>14430</v>
      </c>
      <c r="AP48" s="50" t="s">
        <v>14431</v>
      </c>
      <c r="AQ48" s="50" t="s">
        <v>14432</v>
      </c>
      <c r="AS48" s="50" t="s">
        <v>14433</v>
      </c>
      <c r="AT48" s="50" t="s">
        <v>14434</v>
      </c>
      <c r="AV48" s="50" t="s">
        <v>318</v>
      </c>
      <c r="AW48" s="50" t="s">
        <v>118</v>
      </c>
      <c r="AX48" s="50" t="s">
        <v>155</v>
      </c>
      <c r="AY48" s="50" t="s">
        <v>447</v>
      </c>
      <c r="AZ48" s="50" t="s">
        <v>170</v>
      </c>
      <c r="BA48" s="50" t="s">
        <v>118</v>
      </c>
      <c r="BC48" s="50" t="s">
        <v>120</v>
      </c>
      <c r="BD48" s="50" t="s">
        <v>121</v>
      </c>
      <c r="BE48" s="50" t="s">
        <v>121</v>
      </c>
      <c r="BF48" s="50" t="s">
        <v>122</v>
      </c>
      <c r="BG48" s="50" t="s">
        <v>123</v>
      </c>
      <c r="BH48" s="50" t="s">
        <v>124</v>
      </c>
      <c r="BI48" s="50" t="s">
        <v>12023</v>
      </c>
      <c r="BJ48" s="50" t="s">
        <v>11889</v>
      </c>
      <c r="BK48" s="50" t="s">
        <v>127</v>
      </c>
      <c r="BL48" s="50" t="s">
        <v>14435</v>
      </c>
      <c r="BM48" s="50" t="s">
        <v>14436</v>
      </c>
      <c r="BN48" s="50" t="s">
        <v>14437</v>
      </c>
      <c r="BO48" s="50" t="s">
        <v>2586</v>
      </c>
      <c r="BP48" s="50" t="s">
        <v>7005</v>
      </c>
      <c r="BQ48" s="50" t="s">
        <v>350</v>
      </c>
      <c r="BR48" s="50" t="s">
        <v>7006</v>
      </c>
      <c r="BS48" s="50" t="s">
        <v>7007</v>
      </c>
      <c r="BT48" s="50" t="s">
        <v>7008</v>
      </c>
      <c r="BV48" s="50" t="s">
        <v>14438</v>
      </c>
      <c r="BW48" s="50" t="s">
        <v>14439</v>
      </c>
      <c r="BX48" s="50" t="s">
        <v>138</v>
      </c>
      <c r="BY48" s="50" t="s">
        <v>14440</v>
      </c>
      <c r="BZ48" s="50" t="s">
        <v>14441</v>
      </c>
      <c r="CA48" s="50" t="s">
        <v>14442</v>
      </c>
      <c r="CB48" s="50" t="s">
        <v>14443</v>
      </c>
      <c r="CC48" s="50" t="s">
        <v>14440</v>
      </c>
      <c r="CD48" s="50" t="s">
        <v>14444</v>
      </c>
      <c r="CE48" s="50" t="s">
        <v>14445</v>
      </c>
      <c r="CF48" s="50" t="s">
        <v>14440</v>
      </c>
      <c r="CG48" s="50" t="s">
        <v>14446</v>
      </c>
      <c r="CH48" s="50" t="s">
        <v>14447</v>
      </c>
      <c r="CI48" s="50" t="s">
        <v>14448</v>
      </c>
      <c r="CK48" s="50" t="s">
        <v>14449</v>
      </c>
      <c r="CL48" s="50" t="s">
        <v>14450</v>
      </c>
      <c r="CM48" s="50" t="s">
        <v>121</v>
      </c>
      <c r="CN48" s="50" t="s">
        <v>121</v>
      </c>
      <c r="CO48" s="50" t="s">
        <v>14449</v>
      </c>
      <c r="CP48" s="50" t="s">
        <v>14451</v>
      </c>
      <c r="CQ48" s="50" t="s">
        <v>14452</v>
      </c>
      <c r="CR48" s="50" t="s">
        <v>14452</v>
      </c>
    </row>
    <row r="49" spans="1:97" hidden="1">
      <c r="A49" s="50" t="s">
        <v>337</v>
      </c>
      <c r="B49" s="50">
        <v>3316968</v>
      </c>
      <c r="C49" s="50" t="e">
        <f>VLOOKUP(B49,'Drop schools 2026'!B:C,2,0)</f>
        <v>#N/A</v>
      </c>
      <c r="D49" s="50" t="s">
        <v>212</v>
      </c>
      <c r="E49" s="50" t="s">
        <v>418</v>
      </c>
      <c r="F49" s="50" t="s">
        <v>15559</v>
      </c>
      <c r="G49" s="50" t="e">
        <f>VLOOKUP(B49,aa!B:F,5,0)</f>
        <v>#N/A</v>
      </c>
      <c r="H49" s="50" t="e">
        <f>VLOOKUP(B49,aa!B:J,9,0)</f>
        <v>#N/A</v>
      </c>
      <c r="I49" s="50" t="e">
        <f>VLOOKUP(B49,aa!B:L,11,0)</f>
        <v>#N/A</v>
      </c>
      <c r="J49" s="50" t="e">
        <f>VLOOKUP(B49,aa!B:O,14,0)</f>
        <v>#N/A</v>
      </c>
      <c r="K49" s="50" t="e">
        <f>VLOOKUP(B49,aa!B:R,17,0)</f>
        <v>#N/A</v>
      </c>
      <c r="L49" s="50" t="s">
        <v>2044</v>
      </c>
      <c r="M49" s="50">
        <v>1943468</v>
      </c>
      <c r="N49" s="50">
        <v>1943468</v>
      </c>
      <c r="O49" s="50">
        <v>622736</v>
      </c>
      <c r="P49" s="50">
        <v>682</v>
      </c>
      <c r="Q49" s="50" t="s">
        <v>15560</v>
      </c>
      <c r="R49" s="50">
        <v>1320732</v>
      </c>
      <c r="S49" s="50">
        <v>720</v>
      </c>
      <c r="T49" s="50" t="s">
        <v>15561</v>
      </c>
      <c r="U49" s="50">
        <v>0</v>
      </c>
      <c r="V49" s="50">
        <v>0</v>
      </c>
      <c r="X49" s="50" t="s">
        <v>102</v>
      </c>
      <c r="Y49" s="50" t="s">
        <v>103</v>
      </c>
      <c r="Z49" s="50" t="s">
        <v>398</v>
      </c>
      <c r="AB49" s="50" t="s">
        <v>11948</v>
      </c>
      <c r="AC49" s="50" t="s">
        <v>15562</v>
      </c>
      <c r="AD49" s="50" t="s">
        <v>15295</v>
      </c>
      <c r="AE49" s="50" t="s">
        <v>15563</v>
      </c>
      <c r="AF49" s="50" t="s">
        <v>12292</v>
      </c>
      <c r="AG49" s="50" t="s">
        <v>15563</v>
      </c>
      <c r="AH49" s="50" t="s">
        <v>109</v>
      </c>
      <c r="AI49" s="50" t="s">
        <v>102</v>
      </c>
      <c r="AJ49" s="50" t="s">
        <v>102</v>
      </c>
      <c r="AK49" s="50" t="s">
        <v>15564</v>
      </c>
      <c r="AL49" s="50" t="s">
        <v>8747</v>
      </c>
      <c r="AM49" s="50" t="s">
        <v>15565</v>
      </c>
      <c r="AN49" s="50" t="s">
        <v>15566</v>
      </c>
      <c r="AO49" s="50" t="s">
        <v>15567</v>
      </c>
      <c r="AP49" s="50" t="s">
        <v>15568</v>
      </c>
      <c r="AQ49" s="50" t="s">
        <v>15568</v>
      </c>
      <c r="AV49" s="50" t="s">
        <v>318</v>
      </c>
      <c r="AW49" s="50" t="s">
        <v>118</v>
      </c>
      <c r="AX49" s="50" t="s">
        <v>155</v>
      </c>
      <c r="AY49" s="50" t="s">
        <v>447</v>
      </c>
      <c r="AZ49" s="50" t="s">
        <v>170</v>
      </c>
      <c r="BA49" s="50" t="s">
        <v>118</v>
      </c>
      <c r="BC49" s="50" t="s">
        <v>120</v>
      </c>
      <c r="BD49" s="50" t="s">
        <v>15569</v>
      </c>
      <c r="BE49" s="50" t="s">
        <v>15570</v>
      </c>
      <c r="BF49" s="50" t="s">
        <v>212</v>
      </c>
      <c r="BG49" s="50" t="s">
        <v>213</v>
      </c>
      <c r="BH49" s="50" t="s">
        <v>124</v>
      </c>
      <c r="BI49" s="50" t="s">
        <v>11959</v>
      </c>
      <c r="BJ49" s="50" t="s">
        <v>12435</v>
      </c>
      <c r="BK49" s="50" t="s">
        <v>127</v>
      </c>
      <c r="BL49" s="50" t="s">
        <v>15571</v>
      </c>
      <c r="BM49" s="50" t="s">
        <v>15572</v>
      </c>
      <c r="BN49" s="50" t="s">
        <v>15573</v>
      </c>
      <c r="BO49" s="50" t="s">
        <v>11948</v>
      </c>
      <c r="BP49" s="50" t="s">
        <v>15574</v>
      </c>
      <c r="BQ49" s="50" t="s">
        <v>505</v>
      </c>
      <c r="BR49" s="50" t="s">
        <v>15575</v>
      </c>
      <c r="BS49" s="50" t="s">
        <v>15576</v>
      </c>
      <c r="BT49" s="50" t="s">
        <v>7225</v>
      </c>
      <c r="BV49" s="50" t="s">
        <v>15577</v>
      </c>
      <c r="BW49" s="50" t="s">
        <v>15578</v>
      </c>
      <c r="BX49" s="50" t="s">
        <v>138</v>
      </c>
      <c r="BY49" s="50" t="s">
        <v>15579</v>
      </c>
      <c r="BZ49" s="50" t="s">
        <v>15580</v>
      </c>
      <c r="CA49" s="50" t="s">
        <v>15581</v>
      </c>
      <c r="CB49" s="50" t="s">
        <v>15578</v>
      </c>
      <c r="CC49" s="50" t="s">
        <v>15582</v>
      </c>
      <c r="CD49" s="50" t="s">
        <v>15580</v>
      </c>
      <c r="CE49" s="50" t="s">
        <v>15578</v>
      </c>
      <c r="CF49" s="50" t="s">
        <v>15582</v>
      </c>
      <c r="CG49" s="50" t="s">
        <v>15580</v>
      </c>
      <c r="CH49" s="50" t="s">
        <v>15583</v>
      </c>
      <c r="CI49" s="50" t="s">
        <v>15584</v>
      </c>
      <c r="CK49" s="50" t="s">
        <v>15585</v>
      </c>
      <c r="CL49" s="50" t="s">
        <v>15586</v>
      </c>
      <c r="CM49" s="50" t="s">
        <v>15569</v>
      </c>
      <c r="CN49" s="50" t="s">
        <v>15570</v>
      </c>
      <c r="CO49" s="50" t="s">
        <v>15585</v>
      </c>
      <c r="CQ49" s="50" t="s">
        <v>15587</v>
      </c>
      <c r="CR49" s="50" t="s">
        <v>15587</v>
      </c>
      <c r="CS49" s="50" t="s">
        <v>26047</v>
      </c>
    </row>
    <row r="50" spans="1:97" hidden="1">
      <c r="A50" s="50" t="s">
        <v>149</v>
      </c>
      <c r="B50" s="50">
        <v>1204891</v>
      </c>
      <c r="C50" s="50" t="e">
        <f>VLOOKUP(B50,'Drop schools 2026'!B:C,2,0)</f>
        <v>#N/A</v>
      </c>
      <c r="D50" s="50" t="s">
        <v>622</v>
      </c>
      <c r="E50" s="50" t="s">
        <v>632</v>
      </c>
      <c r="F50" s="50" t="s">
        <v>605</v>
      </c>
      <c r="G50" s="50" t="str">
        <f>VLOOKUP(B50,aa!B:F,5,0)</f>
        <v>Ei ASSET, Ei Mindspark</v>
      </c>
      <c r="H50" s="50">
        <f>VLOOKUP(B50,aa!B:J,9,0)</f>
        <v>2328416</v>
      </c>
      <c r="I50" s="50">
        <f>VLOOKUP(B50,aa!B:L,11,0)</f>
        <v>1550411</v>
      </c>
      <c r="J50" s="50">
        <f>VLOOKUP(B50,aa!B:O,14,0)</f>
        <v>0</v>
      </c>
      <c r="K50" s="50">
        <f>VLOOKUP(B50,aa!B:R,17,0)</f>
        <v>778005</v>
      </c>
      <c r="L50" s="50" t="s">
        <v>193</v>
      </c>
      <c r="M50" s="50">
        <v>1939351</v>
      </c>
      <c r="N50" s="50">
        <v>2049214</v>
      </c>
      <c r="O50" s="50">
        <v>1329000</v>
      </c>
      <c r="P50" s="50">
        <v>2215</v>
      </c>
      <c r="Q50" s="50" t="s">
        <v>310</v>
      </c>
      <c r="R50" s="50">
        <v>0</v>
      </c>
      <c r="S50" s="50">
        <v>0</v>
      </c>
      <c r="U50" s="50">
        <v>610351</v>
      </c>
      <c r="V50" s="50">
        <v>277</v>
      </c>
      <c r="W50" s="50" t="s">
        <v>608</v>
      </c>
      <c r="X50" s="50" t="s">
        <v>102</v>
      </c>
      <c r="Y50" s="50" t="s">
        <v>103</v>
      </c>
      <c r="Z50" s="50" t="s">
        <v>104</v>
      </c>
      <c r="AB50" s="50" t="s">
        <v>11932</v>
      </c>
      <c r="AC50" s="50" t="s">
        <v>12267</v>
      </c>
      <c r="AD50" s="50" t="s">
        <v>1427</v>
      </c>
      <c r="AE50" s="50" t="s">
        <v>12268</v>
      </c>
      <c r="AF50" s="50" t="s">
        <v>109</v>
      </c>
      <c r="AG50" s="50" t="s">
        <v>102</v>
      </c>
      <c r="AH50" s="50" t="s">
        <v>109</v>
      </c>
      <c r="AI50" s="50" t="s">
        <v>102</v>
      </c>
      <c r="AJ50" s="50" t="s">
        <v>12269</v>
      </c>
      <c r="AK50" s="50" t="s">
        <v>12270</v>
      </c>
      <c r="AL50" s="50" t="s">
        <v>12271</v>
      </c>
      <c r="AM50" s="50" t="s">
        <v>12272</v>
      </c>
      <c r="AN50" s="50" t="s">
        <v>12273</v>
      </c>
      <c r="AO50" s="50" t="s">
        <v>12274</v>
      </c>
      <c r="AP50" s="50" t="s">
        <v>619</v>
      </c>
      <c r="AQ50" s="50" t="s">
        <v>619</v>
      </c>
      <c r="AV50" s="50" t="s">
        <v>247</v>
      </c>
      <c r="AW50" s="50" t="s">
        <v>118</v>
      </c>
      <c r="AX50" s="50" t="s">
        <v>102</v>
      </c>
      <c r="AY50" s="50" t="s">
        <v>119</v>
      </c>
      <c r="BB50" s="50" t="s">
        <v>250</v>
      </c>
      <c r="BC50" s="50" t="s">
        <v>120</v>
      </c>
      <c r="BD50" s="50" t="s">
        <v>620</v>
      </c>
      <c r="BE50" s="50" t="s">
        <v>621</v>
      </c>
      <c r="BF50" s="50" t="s">
        <v>622</v>
      </c>
      <c r="BG50" s="50" t="s">
        <v>623</v>
      </c>
      <c r="BH50" s="50" t="s">
        <v>124</v>
      </c>
      <c r="BI50" s="50" t="s">
        <v>12275</v>
      </c>
      <c r="BJ50" s="50" t="s">
        <v>12276</v>
      </c>
      <c r="BK50" s="50" t="s">
        <v>127</v>
      </c>
      <c r="BL50" s="50" t="s">
        <v>12277</v>
      </c>
      <c r="BM50" s="50" t="s">
        <v>627</v>
      </c>
      <c r="BN50" s="50" t="s">
        <v>12278</v>
      </c>
      <c r="BO50" s="50" t="s">
        <v>12266</v>
      </c>
      <c r="BP50" s="50" t="s">
        <v>1339</v>
      </c>
      <c r="BQ50" s="50" t="s">
        <v>350</v>
      </c>
      <c r="BR50" s="50" t="s">
        <v>1340</v>
      </c>
      <c r="BS50" s="50" t="s">
        <v>1341</v>
      </c>
      <c r="BT50" s="50" t="s">
        <v>632</v>
      </c>
      <c r="BV50" s="50" t="s">
        <v>12279</v>
      </c>
      <c r="BW50" s="50" t="s">
        <v>12280</v>
      </c>
      <c r="BX50" s="50" t="s">
        <v>138</v>
      </c>
      <c r="BY50" s="50" t="s">
        <v>12281</v>
      </c>
      <c r="BZ50" s="50" t="s">
        <v>12282</v>
      </c>
      <c r="CA50" s="50" t="s">
        <v>637</v>
      </c>
      <c r="CB50" s="50" t="s">
        <v>12283</v>
      </c>
      <c r="CC50" s="50" t="s">
        <v>12281</v>
      </c>
      <c r="CD50" s="50" t="s">
        <v>12284</v>
      </c>
      <c r="CE50" s="50" t="s">
        <v>12285</v>
      </c>
      <c r="CF50" s="50" t="s">
        <v>12286</v>
      </c>
      <c r="CG50" s="50" t="s">
        <v>12284</v>
      </c>
      <c r="CH50" s="50" t="s">
        <v>102</v>
      </c>
      <c r="CI50" s="50" t="s">
        <v>639</v>
      </c>
      <c r="CK50" s="50" t="s">
        <v>640</v>
      </c>
      <c r="CM50" s="50" t="s">
        <v>620</v>
      </c>
      <c r="CN50" s="50" t="s">
        <v>621</v>
      </c>
      <c r="CO50" s="50" t="s">
        <v>640</v>
      </c>
      <c r="CP50" s="50" t="s">
        <v>148</v>
      </c>
      <c r="CQ50" s="50" t="s">
        <v>639</v>
      </c>
      <c r="CR50" s="50" t="s">
        <v>639</v>
      </c>
    </row>
    <row r="51" spans="1:97">
      <c r="A51" s="50" t="s">
        <v>337</v>
      </c>
      <c r="B51" s="50">
        <v>1035545</v>
      </c>
      <c r="C51" s="50" t="str">
        <f>VLOOKUP(B51,'Drop schools 2026'!B:C,2,0)</f>
        <v>Drop</v>
      </c>
      <c r="D51" s="50" t="s">
        <v>122</v>
      </c>
      <c r="E51" s="50" t="s">
        <v>12030</v>
      </c>
      <c r="F51" s="50" t="s">
        <v>338</v>
      </c>
      <c r="G51" s="50" t="e">
        <f>VLOOKUP(B51,aa!B:F,5,0)</f>
        <v>#N/A</v>
      </c>
      <c r="H51" s="50" t="e">
        <f>VLOOKUP(B51,aa!B:J,9,0)</f>
        <v>#N/A</v>
      </c>
      <c r="I51" s="50" t="e">
        <f>VLOOKUP(B51,aa!B:L,11,0)</f>
        <v>#N/A</v>
      </c>
      <c r="J51" s="50" t="e">
        <f>VLOOKUP(B51,aa!B:O,14,0)</f>
        <v>#N/A</v>
      </c>
      <c r="K51" s="50" t="e">
        <f>VLOOKUP(B51,aa!B:R,17,0)</f>
        <v>#N/A</v>
      </c>
      <c r="L51" s="50" t="s">
        <v>152</v>
      </c>
      <c r="M51" s="50">
        <v>1938522</v>
      </c>
      <c r="N51" s="50">
        <v>1938522</v>
      </c>
      <c r="O51" s="50">
        <v>0</v>
      </c>
      <c r="P51" s="50">
        <v>0</v>
      </c>
      <c r="R51" s="50">
        <v>1938522</v>
      </c>
      <c r="S51" s="50">
        <v>1436</v>
      </c>
      <c r="T51" s="50" t="s">
        <v>397</v>
      </c>
      <c r="U51" s="50">
        <v>0</v>
      </c>
      <c r="V51" s="50">
        <v>0</v>
      </c>
      <c r="X51" s="50" t="s">
        <v>102</v>
      </c>
      <c r="Y51" s="50" t="s">
        <v>275</v>
      </c>
      <c r="AA51" s="50" t="s">
        <v>126</v>
      </c>
      <c r="AB51" s="50" t="s">
        <v>109</v>
      </c>
      <c r="AC51" s="50" t="s">
        <v>102</v>
      </c>
      <c r="AD51" s="50" t="s">
        <v>109</v>
      </c>
      <c r="AE51" s="50" t="s">
        <v>102</v>
      </c>
      <c r="AF51" s="50" t="s">
        <v>109</v>
      </c>
      <c r="AG51" s="50" t="s">
        <v>102</v>
      </c>
      <c r="AH51" s="50" t="s">
        <v>109</v>
      </c>
      <c r="AI51" s="50" t="s">
        <v>102</v>
      </c>
      <c r="AJ51" s="50" t="s">
        <v>102</v>
      </c>
      <c r="AK51" s="50" t="s">
        <v>4045</v>
      </c>
      <c r="AL51" s="50" t="s">
        <v>4045</v>
      </c>
      <c r="AM51" s="50" t="s">
        <v>12031</v>
      </c>
      <c r="AN51" s="50" t="s">
        <v>12032</v>
      </c>
      <c r="AO51" s="50" t="s">
        <v>12033</v>
      </c>
      <c r="AP51" s="50" t="s">
        <v>12034</v>
      </c>
      <c r="AQ51" s="50" t="s">
        <v>6593</v>
      </c>
      <c r="AR51" s="50" t="s">
        <v>343</v>
      </c>
      <c r="AV51" s="50" t="s">
        <v>102</v>
      </c>
      <c r="AX51" s="50" t="s">
        <v>155</v>
      </c>
      <c r="AY51" s="50" t="s">
        <v>447</v>
      </c>
      <c r="AZ51" s="50" t="s">
        <v>170</v>
      </c>
      <c r="BA51" s="50" t="s">
        <v>118</v>
      </c>
      <c r="BC51" s="50" t="s">
        <v>120</v>
      </c>
      <c r="BD51" s="50" t="s">
        <v>344</v>
      </c>
      <c r="BE51" s="50" t="s">
        <v>345</v>
      </c>
      <c r="BF51" s="50" t="s">
        <v>122</v>
      </c>
      <c r="BG51" s="50" t="s">
        <v>346</v>
      </c>
      <c r="BH51" s="50" t="s">
        <v>124</v>
      </c>
      <c r="BI51" s="50" t="s">
        <v>12023</v>
      </c>
      <c r="BJ51" s="50" t="s">
        <v>11889</v>
      </c>
      <c r="BK51" s="50" t="s">
        <v>127</v>
      </c>
      <c r="BL51" s="50" t="s">
        <v>12035</v>
      </c>
      <c r="BM51" s="50" t="s">
        <v>348</v>
      </c>
      <c r="BN51" s="50" t="s">
        <v>12036</v>
      </c>
      <c r="BO51" s="50" t="s">
        <v>339</v>
      </c>
      <c r="BP51" s="50" t="s">
        <v>349</v>
      </c>
      <c r="BQ51" s="50" t="s">
        <v>350</v>
      </c>
      <c r="BR51" s="50" t="s">
        <v>351</v>
      </c>
      <c r="BS51" s="50" t="s">
        <v>352</v>
      </c>
      <c r="BT51" s="50" t="s">
        <v>328</v>
      </c>
      <c r="BV51" s="50" t="s">
        <v>12037</v>
      </c>
      <c r="BW51" s="50" t="s">
        <v>353</v>
      </c>
      <c r="BX51" s="50" t="s">
        <v>354</v>
      </c>
      <c r="BY51" s="50" t="s">
        <v>355</v>
      </c>
      <c r="BZ51" s="50" t="s">
        <v>356</v>
      </c>
      <c r="CA51" s="50" t="s">
        <v>357</v>
      </c>
      <c r="CH51" s="50" t="s">
        <v>358</v>
      </c>
      <c r="CI51" s="50" t="s">
        <v>359</v>
      </c>
      <c r="CK51" s="50" t="s">
        <v>360</v>
      </c>
      <c r="CL51" s="50" t="s">
        <v>359</v>
      </c>
      <c r="CM51" s="50" t="s">
        <v>344</v>
      </c>
      <c r="CN51" s="50" t="s">
        <v>345</v>
      </c>
      <c r="CO51" s="50" t="s">
        <v>360</v>
      </c>
      <c r="CQ51" s="50" t="s">
        <v>359</v>
      </c>
      <c r="CR51" s="50" t="s">
        <v>359</v>
      </c>
    </row>
    <row r="52" spans="1:97" hidden="1">
      <c r="A52" s="50" t="s">
        <v>93</v>
      </c>
      <c r="B52" s="50">
        <v>3155272</v>
      </c>
      <c r="C52" s="50" t="str">
        <f>VLOOKUP(B52,'Drop schools 2026'!B:C,2,0)</f>
        <v>Drop</v>
      </c>
      <c r="D52" s="50" t="s">
        <v>622</v>
      </c>
      <c r="E52" s="50" t="s">
        <v>2525</v>
      </c>
      <c r="F52" s="50" t="s">
        <v>15052</v>
      </c>
      <c r="G52" s="50" t="e">
        <f>VLOOKUP(B52,aa!B:F,5,0)</f>
        <v>#N/A</v>
      </c>
      <c r="H52" s="50" t="e">
        <f>VLOOKUP(B52,aa!B:J,9,0)</f>
        <v>#N/A</v>
      </c>
      <c r="I52" s="50" t="e">
        <f>VLOOKUP(B52,aa!B:L,11,0)</f>
        <v>#N/A</v>
      </c>
      <c r="J52" s="50" t="e">
        <f>VLOOKUP(B52,aa!B:O,14,0)</f>
        <v>#N/A</v>
      </c>
      <c r="K52" s="50" t="e">
        <f>VLOOKUP(B52,aa!B:R,17,0)</f>
        <v>#N/A</v>
      </c>
      <c r="L52" s="50" t="s">
        <v>8024</v>
      </c>
      <c r="M52" s="50">
        <v>1931311</v>
      </c>
      <c r="N52" s="50">
        <v>2119001</v>
      </c>
      <c r="O52" s="50">
        <v>0</v>
      </c>
      <c r="P52" s="50">
        <v>0</v>
      </c>
      <c r="R52" s="50">
        <v>888588</v>
      </c>
      <c r="S52" s="50">
        <v>847</v>
      </c>
      <c r="T52" s="50" t="s">
        <v>8026</v>
      </c>
      <c r="U52" s="50">
        <v>1042723</v>
      </c>
      <c r="V52" s="50">
        <v>847</v>
      </c>
      <c r="W52" s="50" t="s">
        <v>9924</v>
      </c>
      <c r="X52" s="50" t="s">
        <v>102</v>
      </c>
      <c r="Y52" s="50" t="s">
        <v>103</v>
      </c>
      <c r="Z52" s="50" t="s">
        <v>155</v>
      </c>
      <c r="AB52" s="50" t="s">
        <v>13680</v>
      </c>
      <c r="AC52" s="50" t="s">
        <v>15053</v>
      </c>
      <c r="AD52" s="50" t="s">
        <v>12082</v>
      </c>
      <c r="AE52" s="50" t="s">
        <v>15053</v>
      </c>
      <c r="AF52" s="50" t="s">
        <v>11888</v>
      </c>
      <c r="AG52" s="50" t="s">
        <v>15053</v>
      </c>
      <c r="AH52" s="50" t="s">
        <v>12084</v>
      </c>
      <c r="AI52" s="50" t="s">
        <v>15053</v>
      </c>
      <c r="AJ52" s="50" t="s">
        <v>102</v>
      </c>
      <c r="AK52" s="50" t="s">
        <v>13455</v>
      </c>
      <c r="AL52" s="50" t="s">
        <v>15054</v>
      </c>
      <c r="AM52" s="50" t="s">
        <v>15055</v>
      </c>
      <c r="AN52" s="50" t="s">
        <v>15056</v>
      </c>
      <c r="AO52" s="50" t="s">
        <v>15057</v>
      </c>
      <c r="AP52" s="50" t="s">
        <v>15058</v>
      </c>
      <c r="AQ52" s="50" t="s">
        <v>15059</v>
      </c>
      <c r="AT52" s="50" t="s">
        <v>169</v>
      </c>
      <c r="AU52" s="50" t="s">
        <v>169</v>
      </c>
      <c r="AV52" s="50" t="s">
        <v>102</v>
      </c>
      <c r="AX52" s="50" t="s">
        <v>155</v>
      </c>
      <c r="AY52" s="50" t="s">
        <v>119</v>
      </c>
      <c r="AZ52" s="50" t="s">
        <v>170</v>
      </c>
      <c r="BA52" s="50" t="s">
        <v>118</v>
      </c>
      <c r="BB52" s="50" t="s">
        <v>250</v>
      </c>
      <c r="BC52" s="50" t="s">
        <v>120</v>
      </c>
      <c r="BD52" s="50" t="s">
        <v>729</v>
      </c>
      <c r="BE52" s="50" t="s">
        <v>730</v>
      </c>
      <c r="BF52" s="50" t="s">
        <v>622</v>
      </c>
      <c r="BG52" s="50" t="s">
        <v>730</v>
      </c>
      <c r="BH52" s="50" t="s">
        <v>124</v>
      </c>
      <c r="BI52" s="50" t="s">
        <v>12023</v>
      </c>
      <c r="BJ52" s="50" t="s">
        <v>11889</v>
      </c>
      <c r="BK52" s="50" t="s">
        <v>127</v>
      </c>
      <c r="BL52" s="50" t="s">
        <v>15060</v>
      </c>
      <c r="BM52" s="50" t="s">
        <v>4820</v>
      </c>
      <c r="BN52" s="50" t="s">
        <v>15061</v>
      </c>
      <c r="BO52" s="50" t="s">
        <v>6443</v>
      </c>
      <c r="BP52" s="50" t="s">
        <v>2262</v>
      </c>
      <c r="BQ52" s="50" t="s">
        <v>350</v>
      </c>
      <c r="BR52" s="50" t="s">
        <v>2263</v>
      </c>
      <c r="BS52" s="50" t="s">
        <v>2264</v>
      </c>
      <c r="BT52" s="50" t="s">
        <v>2569</v>
      </c>
      <c r="BV52" s="50" t="s">
        <v>15062</v>
      </c>
      <c r="BW52" s="50" t="s">
        <v>4823</v>
      </c>
      <c r="BX52" s="50" t="s">
        <v>354</v>
      </c>
      <c r="BY52" s="50" t="s">
        <v>4824</v>
      </c>
      <c r="BZ52" s="50" t="s">
        <v>4825</v>
      </c>
      <c r="CA52" s="50" t="s">
        <v>4824</v>
      </c>
      <c r="CB52" s="50" t="s">
        <v>15063</v>
      </c>
      <c r="CC52" s="50" t="s">
        <v>4827</v>
      </c>
      <c r="CD52" s="50" t="s">
        <v>4828</v>
      </c>
      <c r="CE52" s="50" t="s">
        <v>15064</v>
      </c>
      <c r="CF52" s="50" t="s">
        <v>4827</v>
      </c>
      <c r="CG52" s="50" t="s">
        <v>15065</v>
      </c>
      <c r="CH52" s="50" t="s">
        <v>4829</v>
      </c>
      <c r="CI52" s="50" t="s">
        <v>4830</v>
      </c>
      <c r="CK52" s="50" t="s">
        <v>3970</v>
      </c>
      <c r="CL52" s="50" t="s">
        <v>15066</v>
      </c>
      <c r="CM52" s="50" t="s">
        <v>729</v>
      </c>
      <c r="CN52" s="50" t="s">
        <v>730</v>
      </c>
      <c r="CO52" s="50" t="s">
        <v>3970</v>
      </c>
      <c r="CP52" s="50" t="s">
        <v>4831</v>
      </c>
      <c r="CQ52" s="50" t="s">
        <v>4830</v>
      </c>
      <c r="CR52" s="50" t="s">
        <v>4830</v>
      </c>
      <c r="CS52" s="50" t="s">
        <v>26046</v>
      </c>
    </row>
    <row r="53" spans="1:97" hidden="1">
      <c r="A53" s="50" t="s">
        <v>149</v>
      </c>
      <c r="B53" s="50">
        <v>2389545</v>
      </c>
      <c r="C53" s="50" t="e">
        <f>VLOOKUP(B53,'Drop schools 2026'!B:C,2,0)</f>
        <v>#N/A</v>
      </c>
      <c r="D53" s="50" t="s">
        <v>212</v>
      </c>
      <c r="E53" s="50" t="s">
        <v>222</v>
      </c>
      <c r="F53" s="50" t="s">
        <v>3179</v>
      </c>
      <c r="G53" s="50" t="str">
        <f>VLOOKUP(B53,aa!B:F,5,0)</f>
        <v>Ei ASSET,Ei Mindspark</v>
      </c>
      <c r="H53" s="50">
        <f>VLOOKUP(B53,aa!B:J,9,0)</f>
        <v>2347103</v>
      </c>
      <c r="I53" s="50">
        <f>VLOOKUP(B53,aa!B:L,11,0)</f>
        <v>808136</v>
      </c>
      <c r="J53" s="50">
        <f>VLOOKUP(B53,aa!B:O,14,0)</f>
        <v>0</v>
      </c>
      <c r="K53" s="50">
        <f>VLOOKUP(B53,aa!B:R,17,0)</f>
        <v>1538967</v>
      </c>
      <c r="L53" s="50" t="s">
        <v>2713</v>
      </c>
      <c r="M53" s="50">
        <v>1916427</v>
      </c>
      <c r="N53" s="50">
        <v>2115340</v>
      </c>
      <c r="O53" s="50">
        <v>811356</v>
      </c>
      <c r="P53" s="50">
        <v>1063</v>
      </c>
      <c r="Q53" s="50" t="s">
        <v>13862</v>
      </c>
      <c r="R53" s="50">
        <v>0</v>
      </c>
      <c r="S53" s="50">
        <v>0</v>
      </c>
      <c r="U53" s="50">
        <v>1105071</v>
      </c>
      <c r="V53" s="50">
        <v>756</v>
      </c>
      <c r="W53" s="50" t="s">
        <v>12424</v>
      </c>
      <c r="X53" s="50" t="s">
        <v>102</v>
      </c>
      <c r="Y53" s="50" t="s">
        <v>679</v>
      </c>
      <c r="Z53" s="50" t="s">
        <v>104</v>
      </c>
      <c r="AA53" s="50" t="s">
        <v>13863</v>
      </c>
      <c r="AB53" s="50" t="s">
        <v>13864</v>
      </c>
      <c r="AC53" s="50" t="s">
        <v>13865</v>
      </c>
      <c r="AD53" s="50" t="s">
        <v>12593</v>
      </c>
      <c r="AE53" s="50" t="s">
        <v>13865</v>
      </c>
      <c r="AF53" s="50" t="s">
        <v>109</v>
      </c>
      <c r="AG53" s="50" t="s">
        <v>102</v>
      </c>
      <c r="AH53" s="50" t="s">
        <v>109</v>
      </c>
      <c r="AI53" s="50" t="s">
        <v>102</v>
      </c>
      <c r="AJ53" s="50" t="s">
        <v>13866</v>
      </c>
      <c r="AK53" s="50" t="s">
        <v>13075</v>
      </c>
      <c r="AL53" s="50" t="s">
        <v>13867</v>
      </c>
      <c r="AM53" s="50" t="s">
        <v>13868</v>
      </c>
      <c r="AN53" s="50" t="s">
        <v>13869</v>
      </c>
      <c r="AO53" s="50" t="s">
        <v>13870</v>
      </c>
      <c r="AP53" s="50" t="s">
        <v>13871</v>
      </c>
      <c r="AQ53" s="50" t="s">
        <v>13871</v>
      </c>
      <c r="AV53" s="50" t="s">
        <v>117</v>
      </c>
      <c r="AW53" s="50" t="s">
        <v>118</v>
      </c>
      <c r="AX53" s="50" t="s">
        <v>102</v>
      </c>
      <c r="AY53" s="50" t="s">
        <v>119</v>
      </c>
      <c r="BB53" s="50" t="s">
        <v>250</v>
      </c>
      <c r="BC53" s="50" t="s">
        <v>120</v>
      </c>
      <c r="BD53" s="50" t="s">
        <v>409</v>
      </c>
      <c r="BE53" s="50" t="s">
        <v>410</v>
      </c>
      <c r="BF53" s="50" t="s">
        <v>212</v>
      </c>
      <c r="BG53" s="50" t="s">
        <v>410</v>
      </c>
      <c r="BH53" s="50" t="s">
        <v>124</v>
      </c>
      <c r="BI53" s="50" t="s">
        <v>13308</v>
      </c>
      <c r="BJ53" s="50" t="s">
        <v>12963</v>
      </c>
      <c r="BK53" s="50" t="s">
        <v>127</v>
      </c>
      <c r="BL53" s="50" t="s">
        <v>13872</v>
      </c>
      <c r="BM53" s="50" t="s">
        <v>3190</v>
      </c>
      <c r="BN53" s="50" t="s">
        <v>13873</v>
      </c>
      <c r="BO53" s="50" t="s">
        <v>13861</v>
      </c>
      <c r="BP53" s="50" t="s">
        <v>13874</v>
      </c>
      <c r="BQ53" s="50" t="s">
        <v>13875</v>
      </c>
      <c r="BR53" s="50" t="s">
        <v>13876</v>
      </c>
      <c r="BS53" s="50" t="s">
        <v>13877</v>
      </c>
      <c r="BT53" s="50" t="s">
        <v>293</v>
      </c>
      <c r="BV53" s="50" t="s">
        <v>13878</v>
      </c>
      <c r="BW53" s="50" t="s">
        <v>13879</v>
      </c>
      <c r="BX53" s="50" t="s">
        <v>1282</v>
      </c>
      <c r="BY53" s="50" t="s">
        <v>13880</v>
      </c>
      <c r="BZ53" s="50" t="s">
        <v>13881</v>
      </c>
      <c r="CA53" s="50" t="s">
        <v>3196</v>
      </c>
      <c r="CB53" s="50" t="s">
        <v>13879</v>
      </c>
      <c r="CC53" s="50" t="s">
        <v>13880</v>
      </c>
      <c r="CD53" s="50" t="s">
        <v>13881</v>
      </c>
      <c r="CE53" s="50" t="s">
        <v>13882</v>
      </c>
      <c r="CF53" s="50" t="s">
        <v>13883</v>
      </c>
      <c r="CG53" s="50" t="s">
        <v>13884</v>
      </c>
      <c r="CH53" s="50" t="s">
        <v>102</v>
      </c>
      <c r="CI53" s="50" t="s">
        <v>13885</v>
      </c>
      <c r="CK53" s="50" t="s">
        <v>3201</v>
      </c>
      <c r="CM53" s="50" t="s">
        <v>409</v>
      </c>
      <c r="CN53" s="50" t="s">
        <v>410</v>
      </c>
      <c r="CO53" s="50" t="s">
        <v>3201</v>
      </c>
      <c r="CP53" s="50" t="s">
        <v>3202</v>
      </c>
      <c r="CQ53" s="50" t="s">
        <v>3200</v>
      </c>
      <c r="CR53" s="50" t="s">
        <v>3200</v>
      </c>
    </row>
    <row r="54" spans="1:97" hidden="1">
      <c r="A54" s="50" t="s">
        <v>495</v>
      </c>
      <c r="B54" s="50">
        <v>359413</v>
      </c>
      <c r="C54" s="50" t="e">
        <f>VLOOKUP(B54,'Drop schools 2026'!B:C,2,0)</f>
        <v>#N/A</v>
      </c>
      <c r="D54" s="50" t="s">
        <v>622</v>
      </c>
      <c r="E54" s="50" t="s">
        <v>3562</v>
      </c>
      <c r="F54" s="50" t="s">
        <v>6836</v>
      </c>
      <c r="G54" s="50" t="e">
        <f>VLOOKUP(B54,aa!B:F,5,0)</f>
        <v>#N/A</v>
      </c>
      <c r="H54" s="50" t="e">
        <f>VLOOKUP(B54,aa!B:J,9,0)</f>
        <v>#N/A</v>
      </c>
      <c r="I54" s="50" t="e">
        <f>VLOOKUP(B54,aa!B:L,11,0)</f>
        <v>#N/A</v>
      </c>
      <c r="J54" s="50" t="e">
        <f>VLOOKUP(B54,aa!B:O,14,0)</f>
        <v>#N/A</v>
      </c>
      <c r="K54" s="50" t="e">
        <f>VLOOKUP(B54,aa!B:R,17,0)</f>
        <v>#N/A</v>
      </c>
      <c r="L54" s="50" t="s">
        <v>193</v>
      </c>
      <c r="M54" s="50">
        <v>1899919</v>
      </c>
      <c r="N54" s="50">
        <v>2106067</v>
      </c>
      <c r="O54" s="50">
        <v>754650</v>
      </c>
      <c r="P54" s="50">
        <v>1248</v>
      </c>
      <c r="Q54" s="50" t="s">
        <v>16592</v>
      </c>
      <c r="R54" s="50">
        <v>0</v>
      </c>
      <c r="S54" s="50">
        <v>0</v>
      </c>
      <c r="U54" s="50">
        <v>1145269</v>
      </c>
      <c r="V54" s="50">
        <v>750</v>
      </c>
      <c r="W54" s="50" t="s">
        <v>14546</v>
      </c>
      <c r="X54" s="50" t="s">
        <v>102</v>
      </c>
      <c r="Y54" s="50" t="s">
        <v>275</v>
      </c>
      <c r="AA54" s="50" t="s">
        <v>12899</v>
      </c>
      <c r="AB54" s="50" t="s">
        <v>109</v>
      </c>
      <c r="AC54" s="50" t="s">
        <v>102</v>
      </c>
      <c r="AD54" s="50" t="s">
        <v>109</v>
      </c>
      <c r="AE54" s="50" t="s">
        <v>102</v>
      </c>
      <c r="AF54" s="50" t="s">
        <v>109</v>
      </c>
      <c r="AG54" s="50" t="s">
        <v>102</v>
      </c>
      <c r="AH54" s="50" t="s">
        <v>109</v>
      </c>
      <c r="AI54" s="50" t="s">
        <v>102</v>
      </c>
      <c r="AJ54" s="50" t="s">
        <v>102</v>
      </c>
      <c r="AK54" s="50" t="s">
        <v>16593</v>
      </c>
      <c r="AL54" s="50" t="s">
        <v>16593</v>
      </c>
      <c r="AM54" s="50" t="s">
        <v>16594</v>
      </c>
      <c r="AN54" s="50" t="s">
        <v>16595</v>
      </c>
      <c r="AO54" s="50" t="s">
        <v>16596</v>
      </c>
      <c r="AP54" s="50" t="s">
        <v>16597</v>
      </c>
      <c r="AQ54" s="50" t="s">
        <v>16598</v>
      </c>
      <c r="AS54" s="50" t="s">
        <v>169</v>
      </c>
      <c r="AU54" s="50" t="s">
        <v>169</v>
      </c>
      <c r="AV54" s="50" t="s">
        <v>207</v>
      </c>
      <c r="AW54" s="50" t="s">
        <v>118</v>
      </c>
      <c r="AX54" s="50" t="s">
        <v>102</v>
      </c>
      <c r="AY54" s="50" t="s">
        <v>119</v>
      </c>
      <c r="BB54" s="50" t="s">
        <v>250</v>
      </c>
      <c r="BC54" s="50" t="s">
        <v>3678</v>
      </c>
      <c r="BD54" s="50" t="s">
        <v>1729</v>
      </c>
      <c r="BE54" s="50" t="s">
        <v>730</v>
      </c>
      <c r="BF54" s="50" t="s">
        <v>622</v>
      </c>
      <c r="BG54" s="50" t="s">
        <v>730</v>
      </c>
      <c r="BH54" s="50" t="s">
        <v>124</v>
      </c>
      <c r="BI54" s="50" t="s">
        <v>11976</v>
      </c>
      <c r="BJ54" s="50" t="s">
        <v>12720</v>
      </c>
      <c r="BK54" s="50" t="s">
        <v>127</v>
      </c>
      <c r="BL54" s="50" t="s">
        <v>16599</v>
      </c>
      <c r="BM54" s="50" t="s">
        <v>6849</v>
      </c>
      <c r="BN54" s="50" t="s">
        <v>16600</v>
      </c>
      <c r="BO54" s="50" t="s">
        <v>12897</v>
      </c>
      <c r="BP54" s="50" t="s">
        <v>734</v>
      </c>
      <c r="BQ54" s="50" t="s">
        <v>350</v>
      </c>
      <c r="BR54" s="50" t="s">
        <v>735</v>
      </c>
      <c r="BS54" s="50" t="s">
        <v>736</v>
      </c>
      <c r="BT54" s="50" t="s">
        <v>737</v>
      </c>
      <c r="BU54" s="50" t="s">
        <v>985</v>
      </c>
      <c r="BV54" s="50" t="s">
        <v>16601</v>
      </c>
      <c r="BW54" s="50" t="s">
        <v>6852</v>
      </c>
      <c r="BX54" s="50" t="s">
        <v>9092</v>
      </c>
      <c r="BY54" s="50" t="s">
        <v>4098</v>
      </c>
      <c r="BZ54" s="50" t="s">
        <v>4099</v>
      </c>
      <c r="CA54" s="50" t="s">
        <v>1740</v>
      </c>
      <c r="CB54" s="50" t="s">
        <v>6852</v>
      </c>
      <c r="CC54" s="50" t="s">
        <v>4098</v>
      </c>
      <c r="CD54" s="50" t="s">
        <v>4099</v>
      </c>
      <c r="CE54" s="50" t="s">
        <v>6852</v>
      </c>
      <c r="CF54" s="50" t="s">
        <v>4098</v>
      </c>
      <c r="CG54" s="50" t="s">
        <v>4099</v>
      </c>
      <c r="CH54" s="50" t="s">
        <v>6853</v>
      </c>
      <c r="CI54" s="50" t="s">
        <v>16602</v>
      </c>
      <c r="CK54" s="50" t="s">
        <v>6855</v>
      </c>
      <c r="CL54" s="50" t="s">
        <v>6854</v>
      </c>
      <c r="CM54" s="50" t="s">
        <v>1729</v>
      </c>
      <c r="CN54" s="50" t="s">
        <v>730</v>
      </c>
      <c r="CO54" s="50" t="s">
        <v>6855</v>
      </c>
      <c r="CQ54" s="50" t="s">
        <v>6854</v>
      </c>
      <c r="CR54" s="50" t="s">
        <v>6854</v>
      </c>
    </row>
    <row r="55" spans="1:97" hidden="1">
      <c r="A55" s="50" t="s">
        <v>149</v>
      </c>
      <c r="B55" s="50">
        <v>650967</v>
      </c>
      <c r="C55" s="50" t="e">
        <f>VLOOKUP(B55,'Drop schools 2026'!B:C,2,0)</f>
        <v>#N/A</v>
      </c>
      <c r="D55" s="50" t="s">
        <v>212</v>
      </c>
      <c r="E55" s="50" t="s">
        <v>418</v>
      </c>
      <c r="F55" s="50" t="s">
        <v>11512</v>
      </c>
      <c r="G55" s="50" t="str">
        <f>VLOOKUP(B55,aa!B:F,5,0)</f>
        <v>Ei ASSET,Ei Mindspark</v>
      </c>
      <c r="H55" s="50">
        <f>VLOOKUP(B55,aa!B:J,9,0)</f>
        <v>2110253</v>
      </c>
      <c r="I55" s="50">
        <f>VLOOKUP(B55,aa!B:L,11,0)</f>
        <v>782574</v>
      </c>
      <c r="J55" s="50">
        <f>VLOOKUP(B55,aa!B:O,14,0)</f>
        <v>0</v>
      </c>
      <c r="K55" s="50">
        <f>VLOOKUP(B55,aa!B:R,17,0)</f>
        <v>1327679</v>
      </c>
      <c r="L55" s="50" t="s">
        <v>3549</v>
      </c>
      <c r="M55" s="50">
        <v>1895266</v>
      </c>
      <c r="N55" s="50">
        <v>2109307</v>
      </c>
      <c r="O55" s="50">
        <v>706149</v>
      </c>
      <c r="P55" s="50">
        <v>1044</v>
      </c>
      <c r="Q55" s="50" t="s">
        <v>21402</v>
      </c>
      <c r="R55" s="50">
        <v>0</v>
      </c>
      <c r="S55" s="50">
        <v>0</v>
      </c>
      <c r="U55" s="50">
        <v>1189117</v>
      </c>
      <c r="V55" s="50">
        <v>897</v>
      </c>
      <c r="W55" s="50" t="s">
        <v>15389</v>
      </c>
      <c r="X55" s="50" t="s">
        <v>102</v>
      </c>
      <c r="Y55" s="50" t="s">
        <v>103</v>
      </c>
      <c r="Z55" s="50" t="s">
        <v>398</v>
      </c>
      <c r="AB55" s="50" t="s">
        <v>1305</v>
      </c>
      <c r="AC55" s="50" t="s">
        <v>21403</v>
      </c>
      <c r="AD55" s="50" t="s">
        <v>12467</v>
      </c>
      <c r="AE55" s="50" t="s">
        <v>21403</v>
      </c>
      <c r="AF55" s="50" t="s">
        <v>11952</v>
      </c>
      <c r="AG55" s="50" t="s">
        <v>21404</v>
      </c>
      <c r="AH55" s="50" t="s">
        <v>109</v>
      </c>
      <c r="AI55" s="50" t="s">
        <v>102</v>
      </c>
      <c r="AJ55" s="50" t="s">
        <v>21405</v>
      </c>
      <c r="AK55" s="50" t="s">
        <v>13216</v>
      </c>
      <c r="AL55" s="50" t="s">
        <v>13064</v>
      </c>
      <c r="AM55" s="50" t="s">
        <v>21406</v>
      </c>
      <c r="AN55" s="50" t="s">
        <v>21407</v>
      </c>
      <c r="AO55" s="50" t="s">
        <v>21408</v>
      </c>
      <c r="AP55" s="50" t="s">
        <v>21409</v>
      </c>
      <c r="AQ55" s="50" t="s">
        <v>21409</v>
      </c>
      <c r="AV55" s="50" t="s">
        <v>318</v>
      </c>
      <c r="AW55" s="50" t="s">
        <v>118</v>
      </c>
      <c r="AX55" s="50" t="s">
        <v>102</v>
      </c>
      <c r="AY55" s="50" t="s">
        <v>119</v>
      </c>
      <c r="BB55" s="50" t="s">
        <v>250</v>
      </c>
      <c r="BC55" s="50" t="s">
        <v>120</v>
      </c>
      <c r="BD55" s="50" t="s">
        <v>920</v>
      </c>
      <c r="BE55" s="50" t="s">
        <v>211</v>
      </c>
      <c r="BF55" s="50" t="s">
        <v>212</v>
      </c>
      <c r="BG55" s="50" t="s">
        <v>213</v>
      </c>
      <c r="BH55" s="50" t="s">
        <v>124</v>
      </c>
      <c r="BI55" s="50" t="s">
        <v>8537</v>
      </c>
      <c r="BJ55" s="50" t="s">
        <v>11960</v>
      </c>
      <c r="BK55" s="50" t="s">
        <v>127</v>
      </c>
      <c r="BL55" s="50" t="s">
        <v>21410</v>
      </c>
      <c r="BM55" s="50" t="s">
        <v>11523</v>
      </c>
      <c r="BN55" s="50" t="s">
        <v>21411</v>
      </c>
      <c r="BO55" s="50" t="s">
        <v>2950</v>
      </c>
      <c r="BP55" s="50" t="s">
        <v>7108</v>
      </c>
      <c r="BQ55" s="50" t="s">
        <v>180</v>
      </c>
      <c r="BR55" s="50" t="s">
        <v>7109</v>
      </c>
      <c r="BS55" s="50" t="s">
        <v>2151</v>
      </c>
      <c r="BT55" s="50" t="s">
        <v>2151</v>
      </c>
      <c r="BV55" s="50" t="s">
        <v>21412</v>
      </c>
      <c r="BW55" s="50" t="s">
        <v>21413</v>
      </c>
      <c r="BX55" s="50" t="s">
        <v>138</v>
      </c>
      <c r="BY55" s="50" t="s">
        <v>5338</v>
      </c>
      <c r="BZ55" s="50" t="s">
        <v>11527</v>
      </c>
      <c r="CA55" s="50" t="s">
        <v>5338</v>
      </c>
      <c r="CB55" s="50" t="s">
        <v>21413</v>
      </c>
      <c r="CC55" s="50" t="s">
        <v>5338</v>
      </c>
      <c r="CD55" s="50" t="s">
        <v>11527</v>
      </c>
      <c r="CE55" s="50" t="s">
        <v>21413</v>
      </c>
      <c r="CF55" s="50" t="s">
        <v>5338</v>
      </c>
      <c r="CG55" s="50" t="s">
        <v>11527</v>
      </c>
      <c r="CH55" s="50" t="s">
        <v>102</v>
      </c>
      <c r="CI55" s="50" t="s">
        <v>11531</v>
      </c>
      <c r="CK55" s="50" t="s">
        <v>9938</v>
      </c>
      <c r="CM55" s="50" t="s">
        <v>920</v>
      </c>
      <c r="CN55" s="50" t="s">
        <v>211</v>
      </c>
      <c r="CO55" s="50" t="s">
        <v>9938</v>
      </c>
      <c r="CP55" s="50" t="s">
        <v>5346</v>
      </c>
      <c r="CQ55" s="50" t="s">
        <v>11531</v>
      </c>
      <c r="CR55" s="50" t="s">
        <v>11531</v>
      </c>
      <c r="CS55" s="50" t="s">
        <v>26040</v>
      </c>
    </row>
    <row r="56" spans="1:97" hidden="1">
      <c r="A56" s="50" t="s">
        <v>149</v>
      </c>
      <c r="B56" s="50">
        <v>2758617</v>
      </c>
      <c r="C56" s="50" t="e">
        <f>VLOOKUP(B56,'Drop schools 2026'!B:C,2,0)</f>
        <v>#N/A</v>
      </c>
      <c r="D56" s="50" t="s">
        <v>622</v>
      </c>
      <c r="E56" s="50" t="s">
        <v>985</v>
      </c>
      <c r="F56" s="50" t="s">
        <v>4369</v>
      </c>
      <c r="G56" s="50" t="str">
        <f>VLOOKUP(B56,aa!B:F,5,0)</f>
        <v>Ei CARES</v>
      </c>
      <c r="H56" s="50">
        <f>VLOOKUP(B56,aa!B:J,9,0)</f>
        <v>1975038</v>
      </c>
      <c r="I56" s="50">
        <f>VLOOKUP(B56,aa!B:L,11,0)</f>
        <v>0</v>
      </c>
      <c r="J56" s="50">
        <f>VLOOKUP(B56,aa!B:O,14,0)</f>
        <v>1975038</v>
      </c>
      <c r="K56" s="50">
        <f>VLOOKUP(B56,aa!B:R,17,0)</f>
        <v>0</v>
      </c>
      <c r="L56" s="50" t="s">
        <v>152</v>
      </c>
      <c r="M56" s="50">
        <v>1892496</v>
      </c>
      <c r="N56" s="50">
        <v>1892496</v>
      </c>
      <c r="O56" s="50">
        <v>0</v>
      </c>
      <c r="P56" s="50">
        <v>0</v>
      </c>
      <c r="R56" s="50">
        <v>1892496</v>
      </c>
      <c r="S56" s="50">
        <v>757</v>
      </c>
      <c r="T56" s="50" t="s">
        <v>3499</v>
      </c>
      <c r="U56" s="50">
        <v>0</v>
      </c>
      <c r="V56" s="50">
        <v>0</v>
      </c>
      <c r="X56" s="50" t="s">
        <v>102</v>
      </c>
      <c r="Y56" s="50" t="s">
        <v>103</v>
      </c>
      <c r="Z56" s="50" t="s">
        <v>155</v>
      </c>
      <c r="AB56" s="50" t="s">
        <v>12425</v>
      </c>
      <c r="AC56" s="50" t="s">
        <v>14704</v>
      </c>
      <c r="AD56" s="50" t="s">
        <v>12659</v>
      </c>
      <c r="AE56" s="50" t="s">
        <v>14704</v>
      </c>
      <c r="AF56" s="50" t="s">
        <v>12099</v>
      </c>
      <c r="AG56" s="50" t="s">
        <v>14704</v>
      </c>
      <c r="AH56" s="50" t="s">
        <v>12713</v>
      </c>
      <c r="AI56" s="50" t="s">
        <v>14704</v>
      </c>
      <c r="AJ56" s="50" t="s">
        <v>102</v>
      </c>
      <c r="AK56" s="50" t="s">
        <v>14705</v>
      </c>
      <c r="AL56" s="50" t="s">
        <v>12927</v>
      </c>
      <c r="AM56" s="50" t="s">
        <v>14706</v>
      </c>
      <c r="AN56" s="50" t="s">
        <v>14707</v>
      </c>
      <c r="AO56" s="50" t="s">
        <v>14708</v>
      </c>
      <c r="AP56" s="50" t="s">
        <v>14709</v>
      </c>
      <c r="AQ56" s="50" t="s">
        <v>14709</v>
      </c>
      <c r="AV56" s="50" t="s">
        <v>102</v>
      </c>
      <c r="AX56" s="50" t="s">
        <v>155</v>
      </c>
      <c r="AY56" s="50" t="s">
        <v>447</v>
      </c>
      <c r="AZ56" s="50" t="s">
        <v>170</v>
      </c>
      <c r="BA56" s="50" t="s">
        <v>118</v>
      </c>
      <c r="BC56" s="50" t="s">
        <v>120</v>
      </c>
      <c r="BD56" s="50" t="s">
        <v>2127</v>
      </c>
      <c r="BE56" s="50" t="s">
        <v>621</v>
      </c>
      <c r="BF56" s="50" t="s">
        <v>622</v>
      </c>
      <c r="BG56" s="50" t="s">
        <v>976</v>
      </c>
      <c r="BH56" s="50" t="s">
        <v>124</v>
      </c>
      <c r="BI56" s="50" t="s">
        <v>13680</v>
      </c>
      <c r="BJ56" s="50" t="s">
        <v>12047</v>
      </c>
      <c r="BK56" s="50" t="s">
        <v>127</v>
      </c>
      <c r="BL56" s="50" t="s">
        <v>14710</v>
      </c>
      <c r="BM56" s="50" t="s">
        <v>4380</v>
      </c>
      <c r="BN56" s="50" t="s">
        <v>14711</v>
      </c>
      <c r="BO56" s="50" t="s">
        <v>4813</v>
      </c>
      <c r="BP56" s="50" t="s">
        <v>981</v>
      </c>
      <c r="BQ56" s="50" t="s">
        <v>132</v>
      </c>
      <c r="BR56" s="50" t="s">
        <v>982</v>
      </c>
      <c r="BS56" s="50" t="s">
        <v>983</v>
      </c>
      <c r="BT56" s="50" t="s">
        <v>984</v>
      </c>
      <c r="BV56" s="50" t="s">
        <v>14712</v>
      </c>
      <c r="BW56" s="50" t="s">
        <v>14713</v>
      </c>
      <c r="BX56" s="50" t="s">
        <v>138</v>
      </c>
      <c r="BY56" s="50" t="s">
        <v>4389</v>
      </c>
      <c r="BZ56" s="50" t="s">
        <v>14714</v>
      </c>
      <c r="CA56" s="50" t="s">
        <v>4389</v>
      </c>
      <c r="CB56" s="50" t="s">
        <v>14713</v>
      </c>
      <c r="CC56" s="50" t="s">
        <v>4389</v>
      </c>
      <c r="CD56" s="50" t="s">
        <v>14714</v>
      </c>
      <c r="CE56" s="50" t="s">
        <v>14715</v>
      </c>
      <c r="CF56" s="50" t="s">
        <v>14716</v>
      </c>
      <c r="CG56" s="50" t="s">
        <v>14717</v>
      </c>
      <c r="CH56" s="50" t="s">
        <v>4390</v>
      </c>
      <c r="CI56" s="50" t="s">
        <v>14718</v>
      </c>
      <c r="CK56" s="50" t="s">
        <v>4392</v>
      </c>
      <c r="CL56" s="50" t="s">
        <v>14719</v>
      </c>
      <c r="CM56" s="50" t="s">
        <v>2127</v>
      </c>
      <c r="CN56" s="50" t="s">
        <v>621</v>
      </c>
      <c r="CO56" s="50" t="s">
        <v>4392</v>
      </c>
      <c r="CQ56" s="50" t="s">
        <v>4391</v>
      </c>
      <c r="CR56" s="50" t="s">
        <v>4391</v>
      </c>
    </row>
    <row r="57" spans="1:97" hidden="1">
      <c r="A57" s="50" t="s">
        <v>149</v>
      </c>
      <c r="B57" s="50">
        <v>3286324</v>
      </c>
      <c r="C57" s="50" t="e">
        <f>VLOOKUP(B57,'Drop schools 2026'!B:C,2,0)</f>
        <v>#N/A</v>
      </c>
      <c r="D57" s="50" t="s">
        <v>212</v>
      </c>
      <c r="E57" s="50" t="s">
        <v>418</v>
      </c>
      <c r="F57" s="50" t="s">
        <v>5313</v>
      </c>
      <c r="G57" s="50" t="str">
        <f>VLOOKUP(B57,aa!B:F,5,0)</f>
        <v>Ei ASSET,Ei Mindspark</v>
      </c>
      <c r="H57" s="50">
        <f>VLOOKUP(B57,aa!B:J,9,0)</f>
        <v>2020993</v>
      </c>
      <c r="I57" s="50">
        <f>VLOOKUP(B57,aa!B:L,11,0)</f>
        <v>753663</v>
      </c>
      <c r="J57" s="50">
        <f>VLOOKUP(B57,aa!B:O,14,0)</f>
        <v>0</v>
      </c>
      <c r="K57" s="50">
        <f>VLOOKUP(B57,aa!B:R,17,0)</f>
        <v>1267330</v>
      </c>
      <c r="L57" s="50" t="s">
        <v>3549</v>
      </c>
      <c r="M57" s="50">
        <v>1876071</v>
      </c>
      <c r="N57" s="50">
        <v>2086630</v>
      </c>
      <c r="O57" s="50">
        <v>706301</v>
      </c>
      <c r="P57" s="50">
        <v>1044</v>
      </c>
      <c r="Q57" s="50" t="s">
        <v>15388</v>
      </c>
      <c r="R57" s="50">
        <v>0</v>
      </c>
      <c r="S57" s="50">
        <v>0</v>
      </c>
      <c r="U57" s="50">
        <v>1169770</v>
      </c>
      <c r="V57" s="50">
        <v>882</v>
      </c>
      <c r="W57" s="50" t="s">
        <v>15389</v>
      </c>
      <c r="X57" s="50" t="s">
        <v>102</v>
      </c>
      <c r="Y57" s="50" t="s">
        <v>103</v>
      </c>
      <c r="Z57" s="50" t="s">
        <v>398</v>
      </c>
      <c r="AB57" s="50" t="s">
        <v>1305</v>
      </c>
      <c r="AC57" s="50" t="s">
        <v>15390</v>
      </c>
      <c r="AD57" s="50" t="s">
        <v>12467</v>
      </c>
      <c r="AE57" s="50" t="s">
        <v>15390</v>
      </c>
      <c r="AF57" s="50" t="s">
        <v>11952</v>
      </c>
      <c r="AG57" s="50" t="s">
        <v>15391</v>
      </c>
      <c r="AH57" s="50" t="s">
        <v>109</v>
      </c>
      <c r="AI57" s="50" t="s">
        <v>102</v>
      </c>
      <c r="AJ57" s="50" t="s">
        <v>15392</v>
      </c>
      <c r="AK57" s="50" t="s">
        <v>13216</v>
      </c>
      <c r="AL57" s="50" t="s">
        <v>13064</v>
      </c>
      <c r="AM57" s="50" t="s">
        <v>15393</v>
      </c>
      <c r="AN57" s="50" t="s">
        <v>15394</v>
      </c>
      <c r="AO57" s="50" t="s">
        <v>15395</v>
      </c>
      <c r="AP57" s="50" t="s">
        <v>15396</v>
      </c>
      <c r="AQ57" s="50" t="s">
        <v>15396</v>
      </c>
      <c r="AV57" s="50" t="s">
        <v>318</v>
      </c>
      <c r="AW57" s="50" t="s">
        <v>118</v>
      </c>
      <c r="AX57" s="50" t="s">
        <v>102</v>
      </c>
      <c r="AY57" s="50" t="s">
        <v>119</v>
      </c>
      <c r="BB57" s="50" t="s">
        <v>250</v>
      </c>
      <c r="BC57" s="50" t="s">
        <v>120</v>
      </c>
      <c r="BD57" s="50" t="s">
        <v>920</v>
      </c>
      <c r="BE57" s="50" t="s">
        <v>211</v>
      </c>
      <c r="BF57" s="50" t="s">
        <v>212</v>
      </c>
      <c r="BG57" s="50" t="s">
        <v>213</v>
      </c>
      <c r="BH57" s="50" t="s">
        <v>124</v>
      </c>
      <c r="BI57" s="50" t="s">
        <v>8537</v>
      </c>
      <c r="BJ57" s="50" t="s">
        <v>11960</v>
      </c>
      <c r="BK57" s="50" t="s">
        <v>127</v>
      </c>
      <c r="BL57" s="50" t="s">
        <v>15397</v>
      </c>
      <c r="BM57" s="50" t="s">
        <v>5332</v>
      </c>
      <c r="BN57" s="50" t="s">
        <v>15398</v>
      </c>
      <c r="BO57" s="50" t="s">
        <v>2950</v>
      </c>
      <c r="BP57" s="50" t="s">
        <v>7108</v>
      </c>
      <c r="BQ57" s="50" t="s">
        <v>180</v>
      </c>
      <c r="BR57" s="50" t="s">
        <v>7109</v>
      </c>
      <c r="BS57" s="50" t="s">
        <v>2151</v>
      </c>
      <c r="BT57" s="50" t="s">
        <v>2151</v>
      </c>
      <c r="BV57" s="50" t="s">
        <v>15399</v>
      </c>
      <c r="BW57" s="50" t="s">
        <v>15400</v>
      </c>
      <c r="BX57" s="50" t="s">
        <v>138</v>
      </c>
      <c r="BY57" s="50" t="s">
        <v>5338</v>
      </c>
      <c r="BZ57" s="50" t="s">
        <v>11527</v>
      </c>
      <c r="CA57" s="50" t="s">
        <v>5338</v>
      </c>
      <c r="CB57" s="50" t="s">
        <v>15400</v>
      </c>
      <c r="CC57" s="50" t="s">
        <v>5338</v>
      </c>
      <c r="CD57" s="50" t="s">
        <v>11527</v>
      </c>
      <c r="CE57" s="50" t="s">
        <v>15400</v>
      </c>
      <c r="CF57" s="50" t="s">
        <v>5338</v>
      </c>
      <c r="CG57" s="50" t="s">
        <v>11527</v>
      </c>
      <c r="CH57" s="50" t="s">
        <v>102</v>
      </c>
      <c r="CI57" s="50" t="s">
        <v>5344</v>
      </c>
      <c r="CK57" s="50" t="s">
        <v>5345</v>
      </c>
      <c r="CM57" s="50" t="s">
        <v>920</v>
      </c>
      <c r="CN57" s="50" t="s">
        <v>211</v>
      </c>
      <c r="CO57" s="50" t="s">
        <v>5345</v>
      </c>
      <c r="CP57" s="50" t="s">
        <v>5346</v>
      </c>
      <c r="CQ57" s="50" t="s">
        <v>5344</v>
      </c>
      <c r="CR57" s="50" t="s">
        <v>5344</v>
      </c>
      <c r="CS57" s="50" t="s">
        <v>26040</v>
      </c>
    </row>
    <row r="58" spans="1:97" hidden="1">
      <c r="A58" s="50" t="s">
        <v>149</v>
      </c>
      <c r="B58" s="50">
        <v>3513471</v>
      </c>
      <c r="C58" s="50" t="e">
        <f>VLOOKUP(B58,'Drop schools 2026'!B:C,2,0)</f>
        <v>#N/A</v>
      </c>
      <c r="D58" s="50" t="s">
        <v>212</v>
      </c>
      <c r="E58" s="50" t="s">
        <v>11995</v>
      </c>
      <c r="F58" s="50" t="s">
        <v>6460</v>
      </c>
      <c r="G58" s="50" t="e">
        <f>VLOOKUP(B58,aa!B:F,5,0)</f>
        <v>#N/A</v>
      </c>
      <c r="H58" s="50" t="e">
        <f>VLOOKUP(B58,aa!B:J,9,0)</f>
        <v>#N/A</v>
      </c>
      <c r="I58" s="50" t="e">
        <f>VLOOKUP(B58,aa!B:L,11,0)</f>
        <v>#N/A</v>
      </c>
      <c r="J58" s="50" t="e">
        <f>VLOOKUP(B58,aa!B:O,14,0)</f>
        <v>#N/A</v>
      </c>
      <c r="K58" s="50" t="e">
        <f>VLOOKUP(B58,aa!B:R,17,0)</f>
        <v>#N/A</v>
      </c>
      <c r="L58" s="50" t="s">
        <v>675</v>
      </c>
      <c r="M58" s="50">
        <v>1847432</v>
      </c>
      <c r="N58" s="50">
        <v>1847432</v>
      </c>
      <c r="O58" s="50">
        <v>200450</v>
      </c>
      <c r="P58" s="50">
        <v>211</v>
      </c>
      <c r="Q58" s="50" t="s">
        <v>936</v>
      </c>
      <c r="R58" s="50">
        <v>1646982</v>
      </c>
      <c r="S58" s="50">
        <v>915</v>
      </c>
      <c r="T58" s="50" t="s">
        <v>3005</v>
      </c>
      <c r="U58" s="50">
        <v>0</v>
      </c>
      <c r="V58" s="50">
        <v>0</v>
      </c>
      <c r="X58" s="50" t="s">
        <v>102</v>
      </c>
      <c r="Y58" s="50" t="s">
        <v>275</v>
      </c>
      <c r="AA58" s="50" t="s">
        <v>11932</v>
      </c>
      <c r="AB58" s="50" t="s">
        <v>109</v>
      </c>
      <c r="AC58" s="50" t="s">
        <v>102</v>
      </c>
      <c r="AD58" s="50" t="s">
        <v>109</v>
      </c>
      <c r="AE58" s="50" t="s">
        <v>102</v>
      </c>
      <c r="AF58" s="50" t="s">
        <v>109</v>
      </c>
      <c r="AG58" s="50" t="s">
        <v>102</v>
      </c>
      <c r="AH58" s="50" t="s">
        <v>109</v>
      </c>
      <c r="AI58" s="50" t="s">
        <v>102</v>
      </c>
      <c r="AJ58" s="50" t="s">
        <v>16306</v>
      </c>
      <c r="AK58" s="50" t="s">
        <v>4294</v>
      </c>
      <c r="AL58" s="50" t="s">
        <v>4294</v>
      </c>
      <c r="AM58" s="50" t="s">
        <v>16307</v>
      </c>
      <c r="AN58" s="50" t="s">
        <v>16308</v>
      </c>
      <c r="AO58" s="50" t="s">
        <v>2202</v>
      </c>
      <c r="AP58" s="50" t="s">
        <v>16309</v>
      </c>
      <c r="AQ58" s="50" t="s">
        <v>16309</v>
      </c>
      <c r="AV58" s="50" t="s">
        <v>247</v>
      </c>
      <c r="AW58" s="50" t="s">
        <v>118</v>
      </c>
      <c r="AX58" s="50" t="s">
        <v>655</v>
      </c>
      <c r="AY58" s="50" t="s">
        <v>119</v>
      </c>
      <c r="AZ58" s="50" t="s">
        <v>170</v>
      </c>
      <c r="BA58" s="50" t="s">
        <v>118</v>
      </c>
      <c r="BC58" s="50" t="s">
        <v>120</v>
      </c>
      <c r="BD58" s="50" t="s">
        <v>284</v>
      </c>
      <c r="BE58" s="50" t="s">
        <v>285</v>
      </c>
      <c r="BF58" s="50" t="s">
        <v>212</v>
      </c>
      <c r="BG58" s="50" t="s">
        <v>286</v>
      </c>
      <c r="BH58" s="50" t="s">
        <v>124</v>
      </c>
      <c r="BI58" s="50" t="s">
        <v>12636</v>
      </c>
      <c r="BJ58" s="50" t="s">
        <v>11889</v>
      </c>
      <c r="BK58" s="50" t="s">
        <v>127</v>
      </c>
      <c r="BL58" s="50" t="s">
        <v>16310</v>
      </c>
      <c r="BM58" s="50" t="s">
        <v>6473</v>
      </c>
      <c r="BN58" s="50" t="s">
        <v>16311</v>
      </c>
      <c r="BO58" s="50" t="s">
        <v>11938</v>
      </c>
      <c r="BP58" s="50" t="s">
        <v>290</v>
      </c>
      <c r="BQ58" s="50" t="s">
        <v>132</v>
      </c>
      <c r="BR58" s="50" t="s">
        <v>291</v>
      </c>
      <c r="BS58" s="50" t="s">
        <v>292</v>
      </c>
      <c r="BT58" s="50" t="s">
        <v>4765</v>
      </c>
      <c r="BV58" s="50" t="s">
        <v>16312</v>
      </c>
      <c r="BW58" s="50" t="s">
        <v>16313</v>
      </c>
      <c r="BX58" s="50" t="s">
        <v>138</v>
      </c>
      <c r="BY58" s="50" t="s">
        <v>6477</v>
      </c>
      <c r="BZ58" s="50" t="s">
        <v>6478</v>
      </c>
      <c r="CB58" s="50" t="s">
        <v>16313</v>
      </c>
      <c r="CC58" s="50" t="s">
        <v>6477</v>
      </c>
      <c r="CD58" s="50" t="s">
        <v>6478</v>
      </c>
      <c r="CE58" s="50" t="s">
        <v>16314</v>
      </c>
      <c r="CF58" s="50" t="s">
        <v>16315</v>
      </c>
      <c r="CG58" s="50" t="s">
        <v>16316</v>
      </c>
      <c r="CH58" s="50" t="s">
        <v>102</v>
      </c>
      <c r="CI58" s="50" t="s">
        <v>6483</v>
      </c>
      <c r="CK58" s="50" t="s">
        <v>6484</v>
      </c>
      <c r="CM58" s="50" t="s">
        <v>284</v>
      </c>
      <c r="CN58" s="50" t="s">
        <v>285</v>
      </c>
      <c r="CO58" s="50" t="s">
        <v>6484</v>
      </c>
      <c r="CP58" s="50" t="s">
        <v>6485</v>
      </c>
      <c r="CQ58" s="50" t="s">
        <v>6483</v>
      </c>
      <c r="CR58" s="50" t="s">
        <v>6483</v>
      </c>
      <c r="CS58" s="50" t="s">
        <v>26040</v>
      </c>
    </row>
    <row r="59" spans="1:97" hidden="1">
      <c r="A59" s="50" t="s">
        <v>149</v>
      </c>
      <c r="B59" s="50">
        <v>5018044</v>
      </c>
      <c r="C59" s="50" t="e">
        <f>VLOOKUP(B59,'Drop schools 2026'!B:C,2,0)</f>
        <v>#N/A</v>
      </c>
      <c r="D59" s="50" t="s">
        <v>122</v>
      </c>
      <c r="E59" s="50" t="s">
        <v>13158</v>
      </c>
      <c r="F59" s="50" t="s">
        <v>10434</v>
      </c>
      <c r="G59" s="50" t="e">
        <f>VLOOKUP(B59,aa!B:F,5,0)</f>
        <v>#N/A</v>
      </c>
      <c r="H59" s="50" t="e">
        <f>VLOOKUP(B59,aa!B:J,9,0)</f>
        <v>#N/A</v>
      </c>
      <c r="I59" s="50" t="e">
        <f>VLOOKUP(B59,aa!B:L,11,0)</f>
        <v>#N/A</v>
      </c>
      <c r="J59" s="50" t="e">
        <f>VLOOKUP(B59,aa!B:O,14,0)</f>
        <v>#N/A</v>
      </c>
      <c r="K59" s="50" t="e">
        <f>VLOOKUP(B59,aa!B:R,17,0)</f>
        <v>#N/A</v>
      </c>
      <c r="L59" s="50" t="s">
        <v>1746</v>
      </c>
      <c r="M59" s="50">
        <v>1824750</v>
      </c>
      <c r="N59" s="50">
        <v>2006430</v>
      </c>
      <c r="O59" s="50">
        <v>323274</v>
      </c>
      <c r="P59" s="50">
        <v>864</v>
      </c>
      <c r="Q59" s="50" t="s">
        <v>19364</v>
      </c>
      <c r="R59" s="50">
        <v>492145</v>
      </c>
      <c r="S59" s="50">
        <v>864</v>
      </c>
      <c r="T59" s="50" t="s">
        <v>519</v>
      </c>
      <c r="U59" s="50">
        <v>1009331</v>
      </c>
      <c r="V59" s="50">
        <v>1061</v>
      </c>
      <c r="W59" s="50" t="s">
        <v>19365</v>
      </c>
      <c r="X59" s="50" t="s">
        <v>102</v>
      </c>
      <c r="Y59" s="50" t="s">
        <v>103</v>
      </c>
      <c r="Z59" s="50" t="s">
        <v>155</v>
      </c>
      <c r="AB59" s="50" t="s">
        <v>12692</v>
      </c>
      <c r="AC59" s="50" t="s">
        <v>19366</v>
      </c>
      <c r="AD59" s="50" t="s">
        <v>10729</v>
      </c>
      <c r="AE59" s="50" t="s">
        <v>19366</v>
      </c>
      <c r="AF59" s="50" t="s">
        <v>15295</v>
      </c>
      <c r="AG59" s="50" t="s">
        <v>19366</v>
      </c>
      <c r="AH59" s="50" t="s">
        <v>15295</v>
      </c>
      <c r="AI59" s="50" t="s">
        <v>19366</v>
      </c>
      <c r="AJ59" s="50" t="s">
        <v>102</v>
      </c>
      <c r="AK59" s="50" t="s">
        <v>13863</v>
      </c>
      <c r="AL59" s="50" t="s">
        <v>13863</v>
      </c>
      <c r="AM59" s="50" t="s">
        <v>19367</v>
      </c>
      <c r="AN59" s="50" t="s">
        <v>19368</v>
      </c>
      <c r="AO59" s="50" t="s">
        <v>19369</v>
      </c>
      <c r="AP59" s="50" t="s">
        <v>19370</v>
      </c>
      <c r="AQ59" s="50" t="s">
        <v>19370</v>
      </c>
      <c r="AV59" s="50" t="s">
        <v>6700</v>
      </c>
      <c r="AW59" s="50" t="s">
        <v>250</v>
      </c>
      <c r="AX59" s="50" t="s">
        <v>155</v>
      </c>
      <c r="AY59" s="50" t="s">
        <v>119</v>
      </c>
      <c r="BA59" s="50" t="s">
        <v>250</v>
      </c>
      <c r="BB59" s="50" t="s">
        <v>250</v>
      </c>
      <c r="BC59" s="50" t="s">
        <v>120</v>
      </c>
      <c r="BD59" s="50" t="s">
        <v>19371</v>
      </c>
      <c r="BE59" s="50" t="s">
        <v>19372</v>
      </c>
      <c r="BF59" s="50" t="s">
        <v>122</v>
      </c>
      <c r="BG59" s="50" t="s">
        <v>1244</v>
      </c>
      <c r="BH59" s="50" t="s">
        <v>124</v>
      </c>
      <c r="BI59" s="50" t="s">
        <v>6715</v>
      </c>
      <c r="BJ59" s="50" t="s">
        <v>11889</v>
      </c>
      <c r="BK59" s="50" t="s">
        <v>127</v>
      </c>
      <c r="BL59" s="50" t="s">
        <v>19373</v>
      </c>
      <c r="BM59" s="50" t="s">
        <v>10444</v>
      </c>
      <c r="BN59" s="50" t="s">
        <v>19374</v>
      </c>
      <c r="BO59" s="50" t="s">
        <v>12496</v>
      </c>
      <c r="BP59" s="50" t="s">
        <v>1142</v>
      </c>
      <c r="BQ59" s="50" t="s">
        <v>258</v>
      </c>
      <c r="BR59" s="50" t="s">
        <v>1143</v>
      </c>
      <c r="BS59" s="50" t="s">
        <v>1144</v>
      </c>
      <c r="BT59" s="50" t="s">
        <v>566</v>
      </c>
      <c r="BV59" s="50" t="s">
        <v>19375</v>
      </c>
      <c r="BW59" s="50" t="s">
        <v>10447</v>
      </c>
      <c r="BX59" s="50" t="s">
        <v>354</v>
      </c>
      <c r="BY59" s="50" t="s">
        <v>10448</v>
      </c>
      <c r="BZ59" s="50" t="s">
        <v>9098</v>
      </c>
      <c r="CA59" s="50" t="s">
        <v>10448</v>
      </c>
      <c r="CB59" s="50" t="s">
        <v>10447</v>
      </c>
      <c r="CC59" s="50" t="s">
        <v>10448</v>
      </c>
      <c r="CD59" s="50" t="s">
        <v>9098</v>
      </c>
      <c r="CE59" s="50" t="s">
        <v>10447</v>
      </c>
      <c r="CF59" s="50" t="s">
        <v>10448</v>
      </c>
      <c r="CG59" s="50" t="s">
        <v>9098</v>
      </c>
      <c r="CH59" s="50" t="s">
        <v>102</v>
      </c>
      <c r="CI59" s="50" t="s">
        <v>19376</v>
      </c>
      <c r="CK59" s="50" t="s">
        <v>19377</v>
      </c>
      <c r="CM59" s="50" t="s">
        <v>19371</v>
      </c>
      <c r="CN59" s="50" t="s">
        <v>19372</v>
      </c>
      <c r="CO59" s="50" t="s">
        <v>19377</v>
      </c>
      <c r="CQ59" s="50" t="s">
        <v>10451</v>
      </c>
      <c r="CR59" s="50" t="s">
        <v>10451</v>
      </c>
    </row>
    <row r="60" spans="1:97" hidden="1">
      <c r="A60" s="50" t="s">
        <v>149</v>
      </c>
      <c r="B60" s="50">
        <v>2282758</v>
      </c>
      <c r="C60" s="50" t="e">
        <f>VLOOKUP(B60,'Drop schools 2026'!B:C,2,0)</f>
        <v>#N/A</v>
      </c>
      <c r="D60" s="50" t="s">
        <v>122</v>
      </c>
      <c r="E60" s="50" t="s">
        <v>12121</v>
      </c>
      <c r="F60" s="50" t="s">
        <v>2943</v>
      </c>
      <c r="G60" s="50" t="str">
        <f>VLOOKUP(B60,aa!B:F,5,0)</f>
        <v>Ei ASSET, Ei CARES</v>
      </c>
      <c r="H60" s="50">
        <f>VLOOKUP(B60,aa!B:J,9,0)</f>
        <v>1825632</v>
      </c>
      <c r="I60" s="50">
        <f>VLOOKUP(B60,aa!B:L,11,0)</f>
        <v>1192464</v>
      </c>
      <c r="J60" s="50">
        <f>VLOOKUP(B60,aa!B:O,14,0)</f>
        <v>633168</v>
      </c>
      <c r="K60" s="50">
        <f>VLOOKUP(B60,aa!B:R,17,0)</f>
        <v>0</v>
      </c>
      <c r="L60" s="50" t="s">
        <v>675</v>
      </c>
      <c r="M60" s="50">
        <v>1814607</v>
      </c>
      <c r="N60" s="50">
        <v>1814607</v>
      </c>
      <c r="O60" s="50">
        <v>1181439</v>
      </c>
      <c r="P60" s="50">
        <v>987</v>
      </c>
      <c r="Q60" s="50" t="s">
        <v>2716</v>
      </c>
      <c r="R60" s="50">
        <v>633168</v>
      </c>
      <c r="S60" s="50">
        <v>287</v>
      </c>
      <c r="T60" s="50" t="s">
        <v>13669</v>
      </c>
      <c r="U60" s="50">
        <v>0</v>
      </c>
      <c r="V60" s="50">
        <v>0</v>
      </c>
      <c r="X60" s="50" t="s">
        <v>102</v>
      </c>
      <c r="Y60" s="50" t="s">
        <v>103</v>
      </c>
      <c r="Z60" s="50" t="s">
        <v>155</v>
      </c>
      <c r="AB60" s="50" t="s">
        <v>13670</v>
      </c>
      <c r="AC60" s="50" t="s">
        <v>13671</v>
      </c>
      <c r="AD60" s="50" t="s">
        <v>13672</v>
      </c>
      <c r="AE60" s="50" t="s">
        <v>13671</v>
      </c>
      <c r="AF60" s="50" t="s">
        <v>13673</v>
      </c>
      <c r="AG60" s="50" t="s">
        <v>13671</v>
      </c>
      <c r="AH60" s="50" t="s">
        <v>13674</v>
      </c>
      <c r="AI60" s="50" t="s">
        <v>13671</v>
      </c>
      <c r="AJ60" s="50" t="s">
        <v>102</v>
      </c>
      <c r="AK60" s="50" t="s">
        <v>1604</v>
      </c>
      <c r="AL60" s="50" t="s">
        <v>13675</v>
      </c>
      <c r="AM60" s="50" t="s">
        <v>13676</v>
      </c>
      <c r="AN60" s="50" t="s">
        <v>13677</v>
      </c>
      <c r="AO60" s="50" t="s">
        <v>13678</v>
      </c>
      <c r="AP60" s="50" t="s">
        <v>13679</v>
      </c>
      <c r="AQ60" s="50" t="s">
        <v>13679</v>
      </c>
      <c r="AV60" s="50" t="s">
        <v>207</v>
      </c>
      <c r="AW60" s="50" t="s">
        <v>118</v>
      </c>
      <c r="AX60" s="50" t="s">
        <v>655</v>
      </c>
      <c r="AY60" s="50" t="s">
        <v>249</v>
      </c>
      <c r="AZ60" s="50" t="s">
        <v>170</v>
      </c>
      <c r="BA60" s="50" t="s">
        <v>118</v>
      </c>
      <c r="BC60" s="50" t="s">
        <v>120</v>
      </c>
      <c r="BD60" s="50" t="s">
        <v>2955</v>
      </c>
      <c r="BE60" s="50" t="s">
        <v>449</v>
      </c>
      <c r="BF60" s="50" t="s">
        <v>122</v>
      </c>
      <c r="BG60" s="50" t="s">
        <v>253</v>
      </c>
      <c r="BH60" s="50" t="s">
        <v>124</v>
      </c>
      <c r="BI60" s="50" t="s">
        <v>13680</v>
      </c>
      <c r="BJ60" s="50" t="s">
        <v>11889</v>
      </c>
      <c r="BK60" s="50" t="s">
        <v>127</v>
      </c>
      <c r="BL60" s="50" t="s">
        <v>13681</v>
      </c>
      <c r="BM60" s="50" t="s">
        <v>2957</v>
      </c>
      <c r="BN60" s="50" t="s">
        <v>13682</v>
      </c>
      <c r="BO60" s="50" t="s">
        <v>12425</v>
      </c>
      <c r="BP60" s="50" t="s">
        <v>1142</v>
      </c>
      <c r="BQ60" s="50" t="s">
        <v>350</v>
      </c>
      <c r="BR60" s="50" t="s">
        <v>1143</v>
      </c>
      <c r="BS60" s="50" t="s">
        <v>1144</v>
      </c>
      <c r="BT60" s="50" t="s">
        <v>566</v>
      </c>
      <c r="BV60" s="50" t="s">
        <v>13683</v>
      </c>
      <c r="BW60" s="50" t="s">
        <v>2960</v>
      </c>
      <c r="BX60" s="50" t="s">
        <v>138</v>
      </c>
      <c r="BY60" s="50" t="s">
        <v>2961</v>
      </c>
      <c r="BZ60" s="50" t="s">
        <v>2962</v>
      </c>
      <c r="CA60" s="50" t="s">
        <v>2961</v>
      </c>
      <c r="CB60" s="50" t="s">
        <v>2960</v>
      </c>
      <c r="CC60" s="50" t="s">
        <v>2961</v>
      </c>
      <c r="CD60" s="50" t="s">
        <v>2962</v>
      </c>
      <c r="CE60" s="50" t="s">
        <v>2960</v>
      </c>
      <c r="CF60" s="50" t="s">
        <v>2961</v>
      </c>
      <c r="CG60" s="50" t="s">
        <v>2962</v>
      </c>
      <c r="CH60" s="50" t="s">
        <v>102</v>
      </c>
      <c r="CI60" s="50" t="s">
        <v>13684</v>
      </c>
      <c r="CK60" s="50" t="s">
        <v>2964</v>
      </c>
      <c r="CM60" s="50" t="s">
        <v>2955</v>
      </c>
      <c r="CN60" s="50" t="s">
        <v>449</v>
      </c>
      <c r="CO60" s="50" t="s">
        <v>2964</v>
      </c>
      <c r="CP60" s="50" t="s">
        <v>2965</v>
      </c>
      <c r="CQ60" s="50" t="s">
        <v>2963</v>
      </c>
      <c r="CR60" s="50" t="s">
        <v>2963</v>
      </c>
    </row>
    <row r="61" spans="1:97" hidden="1">
      <c r="A61" s="50" t="s">
        <v>149</v>
      </c>
      <c r="B61" s="50">
        <v>1163014</v>
      </c>
      <c r="C61" s="50" t="e">
        <f>VLOOKUP(B61,'Drop schools 2026'!B:C,2,0)</f>
        <v>#N/A</v>
      </c>
      <c r="D61" s="50" t="s">
        <v>122</v>
      </c>
      <c r="E61" s="50" t="s">
        <v>12030</v>
      </c>
      <c r="F61" s="50" t="s">
        <v>577</v>
      </c>
      <c r="G61" s="50" t="str">
        <f>VLOOKUP(B61,aa!B:F,5,0)</f>
        <v>Ei ASSET, Ei CARES, Ei Mindspark</v>
      </c>
      <c r="H61" s="50">
        <f>VLOOKUP(B61,aa!B:J,9,0)</f>
        <v>1319804</v>
      </c>
      <c r="I61" s="50">
        <f>VLOOKUP(B61,aa!B:L,11,0)</f>
        <v>422334</v>
      </c>
      <c r="J61" s="50">
        <f>VLOOKUP(B61,aa!B:O,14,0)</f>
        <v>571109</v>
      </c>
      <c r="K61" s="50">
        <f>VLOOKUP(B61,aa!B:R,17,0)</f>
        <v>326361</v>
      </c>
      <c r="L61" s="50" t="s">
        <v>193</v>
      </c>
      <c r="M61" s="50">
        <v>1785621</v>
      </c>
      <c r="N61" s="50">
        <v>1887997</v>
      </c>
      <c r="O61" s="50">
        <v>1216866</v>
      </c>
      <c r="P61" s="50">
        <v>887</v>
      </c>
      <c r="Q61" s="50" t="s">
        <v>12193</v>
      </c>
      <c r="R61" s="50">
        <v>0</v>
      </c>
      <c r="S61" s="50">
        <v>0</v>
      </c>
      <c r="U61" s="50">
        <v>568755</v>
      </c>
      <c r="V61" s="50">
        <v>244</v>
      </c>
      <c r="W61" s="50" t="s">
        <v>581</v>
      </c>
      <c r="X61" s="50" t="s">
        <v>102</v>
      </c>
      <c r="Y61" s="50" t="s">
        <v>275</v>
      </c>
      <c r="AA61" s="50" t="s">
        <v>12194</v>
      </c>
      <c r="AB61" s="50" t="s">
        <v>109</v>
      </c>
      <c r="AC61" s="50" t="s">
        <v>102</v>
      </c>
      <c r="AD61" s="50" t="s">
        <v>109</v>
      </c>
      <c r="AE61" s="50" t="s">
        <v>102</v>
      </c>
      <c r="AF61" s="50" t="s">
        <v>109</v>
      </c>
      <c r="AG61" s="50" t="s">
        <v>102</v>
      </c>
      <c r="AH61" s="50" t="s">
        <v>109</v>
      </c>
      <c r="AI61" s="50" t="s">
        <v>102</v>
      </c>
      <c r="AJ61" s="50" t="s">
        <v>12195</v>
      </c>
      <c r="AK61" s="50" t="s">
        <v>6895</v>
      </c>
      <c r="AL61" s="50" t="s">
        <v>6895</v>
      </c>
      <c r="AM61" s="50" t="s">
        <v>12196</v>
      </c>
      <c r="AN61" s="50" t="s">
        <v>12197</v>
      </c>
      <c r="AO61" s="50" t="s">
        <v>12198</v>
      </c>
      <c r="AP61" s="50" t="s">
        <v>12199</v>
      </c>
      <c r="AQ61" s="50" t="s">
        <v>12199</v>
      </c>
      <c r="AV61" s="50" t="s">
        <v>588</v>
      </c>
      <c r="AW61" s="50" t="s">
        <v>118</v>
      </c>
      <c r="AX61" s="50" t="s">
        <v>102</v>
      </c>
      <c r="AY61" s="50" t="s">
        <v>119</v>
      </c>
      <c r="BB61" s="50" t="s">
        <v>250</v>
      </c>
      <c r="BC61" s="50" t="s">
        <v>120</v>
      </c>
      <c r="BD61" s="50" t="s">
        <v>589</v>
      </c>
      <c r="BE61" s="50" t="s">
        <v>320</v>
      </c>
      <c r="BF61" s="50" t="s">
        <v>122</v>
      </c>
      <c r="BG61" s="50" t="s">
        <v>123</v>
      </c>
      <c r="BH61" s="50" t="s">
        <v>124</v>
      </c>
      <c r="BI61" s="50" t="s">
        <v>12023</v>
      </c>
      <c r="BJ61" s="50" t="s">
        <v>11889</v>
      </c>
      <c r="BK61" s="50" t="s">
        <v>127</v>
      </c>
      <c r="BL61" s="50" t="s">
        <v>12200</v>
      </c>
      <c r="BM61" s="50" t="s">
        <v>591</v>
      </c>
      <c r="BN61" s="50" t="s">
        <v>12201</v>
      </c>
      <c r="BO61" s="50" t="s">
        <v>12192</v>
      </c>
      <c r="BP61" s="50" t="s">
        <v>593</v>
      </c>
      <c r="BQ61" s="50" t="s">
        <v>350</v>
      </c>
      <c r="BR61" s="50" t="s">
        <v>594</v>
      </c>
      <c r="BS61" s="50" t="s">
        <v>595</v>
      </c>
      <c r="BT61" s="50" t="s">
        <v>328</v>
      </c>
      <c r="BV61" s="50" t="s">
        <v>12202</v>
      </c>
      <c r="BW61" s="50" t="s">
        <v>12203</v>
      </c>
      <c r="BX61" s="50" t="s">
        <v>9092</v>
      </c>
      <c r="BY61" s="50" t="s">
        <v>12204</v>
      </c>
      <c r="BZ61" s="50" t="s">
        <v>12205</v>
      </c>
      <c r="CA61" s="50" t="s">
        <v>601</v>
      </c>
      <c r="CB61" s="50" t="s">
        <v>12206</v>
      </c>
      <c r="CC61" s="50" t="s">
        <v>12207</v>
      </c>
      <c r="CD61" s="50" t="s">
        <v>12205</v>
      </c>
      <c r="CE61" s="50" t="s">
        <v>12203</v>
      </c>
      <c r="CF61" s="50" t="s">
        <v>12204</v>
      </c>
      <c r="CG61" s="50" t="s">
        <v>12205</v>
      </c>
      <c r="CH61" s="50" t="s">
        <v>102</v>
      </c>
      <c r="CI61" s="50" t="s">
        <v>602</v>
      </c>
      <c r="CK61" s="50" t="s">
        <v>603</v>
      </c>
      <c r="CM61" s="50" t="s">
        <v>589</v>
      </c>
      <c r="CN61" s="50" t="s">
        <v>320</v>
      </c>
      <c r="CO61" s="50" t="s">
        <v>603</v>
      </c>
      <c r="CP61" s="50" t="s">
        <v>604</v>
      </c>
      <c r="CQ61" s="50" t="s">
        <v>602</v>
      </c>
      <c r="CR61" s="50" t="s">
        <v>602</v>
      </c>
    </row>
    <row r="62" spans="1:97" hidden="1">
      <c r="A62" s="50" t="s">
        <v>149</v>
      </c>
      <c r="B62" s="50">
        <v>562911</v>
      </c>
      <c r="C62" s="50" t="e">
        <f>VLOOKUP(B62,'Drop schools 2026'!B:C,2,0)</f>
        <v>#N/A</v>
      </c>
      <c r="D62" s="50" t="s">
        <v>122</v>
      </c>
      <c r="E62" s="50" t="s">
        <v>12491</v>
      </c>
      <c r="F62" s="50" t="s">
        <v>11156</v>
      </c>
      <c r="G62" s="50" t="str">
        <f>VLOOKUP(B62,aa!B:F,5,0)</f>
        <v>Ei ASSET, Ei Mindspark</v>
      </c>
      <c r="H62" s="50">
        <f>VLOOKUP(B62,aa!B:J,9,0)</f>
        <v>1792583</v>
      </c>
      <c r="I62" s="50">
        <f>VLOOKUP(B62,aa!B:L,11,0)</f>
        <v>451972</v>
      </c>
      <c r="J62" s="50">
        <f>VLOOKUP(B62,aa!B:O,14,0)</f>
        <v>0</v>
      </c>
      <c r="K62" s="50">
        <f>VLOOKUP(B62,aa!B:R,17,0)</f>
        <v>1340611</v>
      </c>
      <c r="L62" s="50" t="s">
        <v>193</v>
      </c>
      <c r="M62" s="50">
        <v>1779772</v>
      </c>
      <c r="N62" s="50">
        <v>2027061</v>
      </c>
      <c r="O62" s="50">
        <v>405942</v>
      </c>
      <c r="P62" s="50">
        <v>580</v>
      </c>
      <c r="Q62" s="50" t="s">
        <v>799</v>
      </c>
      <c r="R62" s="50">
        <v>0</v>
      </c>
      <c r="S62" s="50">
        <v>0</v>
      </c>
      <c r="U62" s="50">
        <v>1373830</v>
      </c>
      <c r="V62" s="50">
        <v>579</v>
      </c>
      <c r="W62" s="50" t="s">
        <v>11158</v>
      </c>
      <c r="X62" s="50" t="s">
        <v>102</v>
      </c>
      <c r="Y62" s="50" t="s">
        <v>103</v>
      </c>
      <c r="Z62" s="50" t="s">
        <v>155</v>
      </c>
      <c r="AB62" s="50" t="s">
        <v>1941</v>
      </c>
      <c r="AC62" s="50" t="s">
        <v>21148</v>
      </c>
      <c r="AD62" s="50" t="s">
        <v>12040</v>
      </c>
      <c r="AE62" s="50" t="s">
        <v>21148</v>
      </c>
      <c r="AF62" s="50" t="s">
        <v>12099</v>
      </c>
      <c r="AG62" s="50" t="s">
        <v>21148</v>
      </c>
      <c r="AH62" s="50" t="s">
        <v>11886</v>
      </c>
      <c r="AI62" s="50" t="s">
        <v>21148</v>
      </c>
      <c r="AJ62" s="50" t="s">
        <v>21149</v>
      </c>
      <c r="AK62" s="50" t="s">
        <v>8783</v>
      </c>
      <c r="AL62" s="50" t="s">
        <v>12397</v>
      </c>
      <c r="AM62" s="50" t="s">
        <v>21150</v>
      </c>
      <c r="AN62" s="50" t="s">
        <v>21151</v>
      </c>
      <c r="AO62" s="50" t="s">
        <v>21152</v>
      </c>
      <c r="AP62" s="50" t="s">
        <v>21153</v>
      </c>
      <c r="AQ62" s="50" t="s">
        <v>21153</v>
      </c>
      <c r="AV62" s="50" t="s">
        <v>247</v>
      </c>
      <c r="AW62" s="50" t="s">
        <v>118</v>
      </c>
      <c r="AX62" s="50" t="s">
        <v>102</v>
      </c>
      <c r="AY62" s="50" t="s">
        <v>119</v>
      </c>
      <c r="BB62" s="50" t="s">
        <v>250</v>
      </c>
      <c r="BC62" s="50" t="s">
        <v>120</v>
      </c>
      <c r="BD62" s="50" t="s">
        <v>121</v>
      </c>
      <c r="BE62" s="50" t="s">
        <v>121</v>
      </c>
      <c r="BF62" s="50" t="s">
        <v>122</v>
      </c>
      <c r="BG62" s="50" t="s">
        <v>123</v>
      </c>
      <c r="BH62" s="50" t="s">
        <v>124</v>
      </c>
      <c r="BI62" s="50" t="s">
        <v>12023</v>
      </c>
      <c r="BJ62" s="50" t="s">
        <v>11889</v>
      </c>
      <c r="BK62" s="50" t="s">
        <v>127</v>
      </c>
      <c r="BL62" s="50" t="s">
        <v>21154</v>
      </c>
      <c r="BM62" s="50" t="s">
        <v>11169</v>
      </c>
      <c r="BN62" s="50" t="s">
        <v>21155</v>
      </c>
      <c r="BO62" s="50" t="s">
        <v>6918</v>
      </c>
      <c r="BP62" s="50" t="s">
        <v>8788</v>
      </c>
      <c r="BQ62" s="50" t="s">
        <v>350</v>
      </c>
      <c r="BR62" s="50" t="s">
        <v>8789</v>
      </c>
      <c r="BS62" s="50" t="s">
        <v>8790</v>
      </c>
      <c r="BT62" s="50" t="s">
        <v>1006</v>
      </c>
      <c r="BV62" s="50" t="s">
        <v>21156</v>
      </c>
      <c r="BW62" s="50" t="s">
        <v>21157</v>
      </c>
      <c r="BX62" s="50" t="s">
        <v>569</v>
      </c>
      <c r="BY62" s="50" t="s">
        <v>21158</v>
      </c>
      <c r="BZ62" s="50" t="s">
        <v>11174</v>
      </c>
      <c r="CA62" s="50" t="s">
        <v>11175</v>
      </c>
      <c r="CB62" s="50" t="s">
        <v>21159</v>
      </c>
      <c r="CC62" s="50" t="s">
        <v>11177</v>
      </c>
      <c r="CD62" s="50" t="s">
        <v>11180</v>
      </c>
      <c r="CE62" s="50" t="s">
        <v>21160</v>
      </c>
      <c r="CF62" s="50" t="s">
        <v>11179</v>
      </c>
      <c r="CG62" s="50" t="s">
        <v>11180</v>
      </c>
      <c r="CH62" s="50" t="s">
        <v>102</v>
      </c>
      <c r="CI62" s="50" t="s">
        <v>21161</v>
      </c>
      <c r="CK62" s="50" t="s">
        <v>7014</v>
      </c>
      <c r="CM62" s="50" t="s">
        <v>121</v>
      </c>
      <c r="CN62" s="50" t="s">
        <v>121</v>
      </c>
      <c r="CO62" s="50" t="s">
        <v>7014</v>
      </c>
      <c r="CP62" s="50" t="s">
        <v>11182</v>
      </c>
      <c r="CQ62" s="50" t="s">
        <v>11181</v>
      </c>
      <c r="CR62" s="50" t="s">
        <v>11181</v>
      </c>
    </row>
    <row r="63" spans="1:97" hidden="1">
      <c r="A63" s="50" t="s">
        <v>149</v>
      </c>
      <c r="B63" s="50">
        <v>3552349</v>
      </c>
      <c r="C63" s="50" t="e">
        <f>VLOOKUP(B63,'Drop schools 2026'!B:C,2,0)</f>
        <v>#N/A</v>
      </c>
      <c r="D63" s="50" t="s">
        <v>212</v>
      </c>
      <c r="E63" s="50" t="s">
        <v>418</v>
      </c>
      <c r="F63" s="50" t="s">
        <v>16432</v>
      </c>
      <c r="G63" s="50" t="str">
        <f>VLOOKUP(B63,aa!B:F,5,0)</f>
        <v>Ei CARES</v>
      </c>
      <c r="H63" s="50">
        <f>VLOOKUP(B63,aa!B:J,9,0)</f>
        <v>1828750</v>
      </c>
      <c r="I63" s="50">
        <f>VLOOKUP(B63,aa!B:L,11,0)</f>
        <v>0</v>
      </c>
      <c r="J63" s="50">
        <f>VLOOKUP(B63,aa!B:O,14,0)</f>
        <v>1828750</v>
      </c>
      <c r="K63" s="50">
        <f>VLOOKUP(B63,aa!B:R,17,0)</f>
        <v>0</v>
      </c>
      <c r="L63" s="50" t="s">
        <v>152</v>
      </c>
      <c r="M63" s="50">
        <v>1772038</v>
      </c>
      <c r="N63" s="50">
        <v>1772038</v>
      </c>
      <c r="O63" s="50">
        <v>0</v>
      </c>
      <c r="P63" s="50">
        <v>0</v>
      </c>
      <c r="R63" s="50">
        <v>1772038</v>
      </c>
      <c r="S63" s="50">
        <v>533</v>
      </c>
      <c r="T63" s="50" t="s">
        <v>16433</v>
      </c>
      <c r="U63" s="50">
        <v>0</v>
      </c>
      <c r="V63" s="50">
        <v>0</v>
      </c>
      <c r="X63" s="50" t="s">
        <v>102</v>
      </c>
      <c r="Y63" s="50" t="s">
        <v>103</v>
      </c>
      <c r="Z63" s="50" t="s">
        <v>155</v>
      </c>
      <c r="AB63" s="50" t="s">
        <v>16434</v>
      </c>
      <c r="AC63" s="50" t="s">
        <v>16435</v>
      </c>
      <c r="AD63" s="50" t="s">
        <v>11999</v>
      </c>
      <c r="AE63" s="50" t="s">
        <v>16435</v>
      </c>
      <c r="AF63" s="50" t="s">
        <v>13833</v>
      </c>
      <c r="AG63" s="50" t="s">
        <v>16435</v>
      </c>
      <c r="AH63" s="50" t="s">
        <v>16436</v>
      </c>
      <c r="AI63" s="50" t="s">
        <v>16435</v>
      </c>
      <c r="AJ63" s="50" t="s">
        <v>102</v>
      </c>
      <c r="AK63" s="50" t="s">
        <v>15221</v>
      </c>
      <c r="AL63" s="50" t="s">
        <v>13964</v>
      </c>
      <c r="AM63" s="50" t="s">
        <v>16437</v>
      </c>
      <c r="AN63" s="50" t="s">
        <v>16438</v>
      </c>
      <c r="AO63" s="50" t="s">
        <v>16439</v>
      </c>
      <c r="AP63" s="50" t="s">
        <v>16440</v>
      </c>
      <c r="AQ63" s="50" t="s">
        <v>16440</v>
      </c>
      <c r="AV63" s="50" t="s">
        <v>102</v>
      </c>
      <c r="AX63" s="50" t="s">
        <v>155</v>
      </c>
      <c r="AY63" s="50" t="s">
        <v>119</v>
      </c>
      <c r="AZ63" s="50" t="s">
        <v>170</v>
      </c>
      <c r="BA63" s="50" t="s">
        <v>118</v>
      </c>
      <c r="BC63" s="50" t="s">
        <v>120</v>
      </c>
      <c r="BD63" s="50" t="s">
        <v>409</v>
      </c>
      <c r="BE63" s="50" t="s">
        <v>410</v>
      </c>
      <c r="BF63" s="50" t="s">
        <v>212</v>
      </c>
      <c r="BG63" s="50" t="s">
        <v>410</v>
      </c>
      <c r="BH63" s="50" t="s">
        <v>124</v>
      </c>
      <c r="BI63" s="50" t="s">
        <v>11948</v>
      </c>
      <c r="BJ63" s="50" t="s">
        <v>11889</v>
      </c>
      <c r="BK63" s="50" t="s">
        <v>127</v>
      </c>
      <c r="BL63" s="50" t="s">
        <v>16441</v>
      </c>
      <c r="BM63" s="50" t="s">
        <v>6660</v>
      </c>
      <c r="BN63" s="50" t="s">
        <v>16442</v>
      </c>
      <c r="BO63" s="50" t="s">
        <v>11948</v>
      </c>
      <c r="BP63" s="50" t="s">
        <v>415</v>
      </c>
      <c r="BQ63" s="50" t="s">
        <v>180</v>
      </c>
      <c r="BR63" s="50" t="s">
        <v>416</v>
      </c>
      <c r="BS63" s="50" t="s">
        <v>417</v>
      </c>
      <c r="BT63" s="50" t="s">
        <v>222</v>
      </c>
      <c r="BV63" s="50" t="s">
        <v>16443</v>
      </c>
      <c r="BW63" s="50" t="s">
        <v>6666</v>
      </c>
      <c r="BX63" s="50" t="s">
        <v>354</v>
      </c>
      <c r="BY63" s="50" t="s">
        <v>6667</v>
      </c>
      <c r="BZ63" s="50" t="s">
        <v>16444</v>
      </c>
      <c r="CA63" s="50" t="s">
        <v>6667</v>
      </c>
      <c r="CB63" s="50" t="s">
        <v>16445</v>
      </c>
      <c r="CC63" s="50" t="s">
        <v>16446</v>
      </c>
      <c r="CD63" s="50" t="s">
        <v>16444</v>
      </c>
      <c r="CE63" s="50" t="s">
        <v>16445</v>
      </c>
      <c r="CF63" s="50" t="s">
        <v>16446</v>
      </c>
      <c r="CG63" s="50" t="s">
        <v>16444</v>
      </c>
      <c r="CH63" s="50" t="s">
        <v>907</v>
      </c>
      <c r="CI63" s="50" t="s">
        <v>6670</v>
      </c>
      <c r="CK63" s="50" t="s">
        <v>6671</v>
      </c>
      <c r="CL63" s="50" t="s">
        <v>6670</v>
      </c>
      <c r="CM63" s="50" t="s">
        <v>409</v>
      </c>
      <c r="CN63" s="50" t="s">
        <v>410</v>
      </c>
      <c r="CO63" s="50" t="s">
        <v>6671</v>
      </c>
      <c r="CQ63" s="50" t="s">
        <v>6670</v>
      </c>
      <c r="CR63" s="50" t="s">
        <v>6670</v>
      </c>
      <c r="CS63" s="50" t="s">
        <v>26045</v>
      </c>
    </row>
    <row r="64" spans="1:97" hidden="1">
      <c r="A64" s="50" t="s">
        <v>149</v>
      </c>
      <c r="B64" s="50">
        <v>1524162</v>
      </c>
      <c r="C64" s="50" t="e">
        <f>VLOOKUP(B64,'Drop schools 2026'!B:C,2,0)</f>
        <v>#N/A</v>
      </c>
      <c r="D64" s="50" t="s">
        <v>174</v>
      </c>
      <c r="E64" s="50" t="s">
        <v>12155</v>
      </c>
      <c r="F64" s="50" t="s">
        <v>1021</v>
      </c>
      <c r="G64" s="50" t="str">
        <f>VLOOKUP(B64,aa!B:F,5,0)</f>
        <v>Ei ASSET, Ei Mindspark</v>
      </c>
      <c r="H64" s="50">
        <f>VLOOKUP(B64,aa!B:J,9,0)</f>
        <v>1551114</v>
      </c>
      <c r="I64" s="50">
        <f>VLOOKUP(B64,aa!B:L,11,0)</f>
        <v>1306354</v>
      </c>
      <c r="J64" s="50">
        <f>VLOOKUP(B64,aa!B:O,14,0)</f>
        <v>0</v>
      </c>
      <c r="K64" s="50">
        <f>VLOOKUP(B64,aa!B:R,17,0)</f>
        <v>244760</v>
      </c>
      <c r="L64" s="50" t="s">
        <v>193</v>
      </c>
      <c r="M64" s="50">
        <v>1750677</v>
      </c>
      <c r="N64" s="50">
        <v>1858546</v>
      </c>
      <c r="O64" s="50">
        <v>1151400</v>
      </c>
      <c r="P64" s="50">
        <v>1919</v>
      </c>
      <c r="Q64" s="50" t="s">
        <v>310</v>
      </c>
      <c r="R64" s="50">
        <v>0</v>
      </c>
      <c r="S64" s="50">
        <v>0</v>
      </c>
      <c r="U64" s="50">
        <v>599277</v>
      </c>
      <c r="V64" s="50">
        <v>580</v>
      </c>
      <c r="W64" s="50" t="s">
        <v>12540</v>
      </c>
      <c r="X64" s="50" t="s">
        <v>102</v>
      </c>
      <c r="Y64" s="50" t="s">
        <v>679</v>
      </c>
      <c r="Z64" s="50" t="s">
        <v>155</v>
      </c>
      <c r="AA64" s="50" t="s">
        <v>12541</v>
      </c>
      <c r="AB64" s="50" t="s">
        <v>12542</v>
      </c>
      <c r="AC64" s="50" t="s">
        <v>12543</v>
      </c>
      <c r="AD64" s="50" t="s">
        <v>12544</v>
      </c>
      <c r="AE64" s="50" t="s">
        <v>12543</v>
      </c>
      <c r="AF64" s="50" t="s">
        <v>12545</v>
      </c>
      <c r="AG64" s="50" t="s">
        <v>12543</v>
      </c>
      <c r="AH64" s="50" t="s">
        <v>12216</v>
      </c>
      <c r="AI64" s="50" t="s">
        <v>12543</v>
      </c>
      <c r="AJ64" s="50" t="s">
        <v>12546</v>
      </c>
      <c r="AK64" s="50" t="s">
        <v>12547</v>
      </c>
      <c r="AL64" s="50" t="s">
        <v>12548</v>
      </c>
      <c r="AM64" s="50" t="s">
        <v>12549</v>
      </c>
      <c r="AN64" s="50" t="s">
        <v>12550</v>
      </c>
      <c r="AO64" s="50" t="s">
        <v>12551</v>
      </c>
      <c r="AP64" s="50" t="s">
        <v>12552</v>
      </c>
      <c r="AQ64" s="50" t="s">
        <v>12552</v>
      </c>
      <c r="AV64" s="50" t="s">
        <v>247</v>
      </c>
      <c r="AW64" s="50" t="s">
        <v>118</v>
      </c>
      <c r="AX64" s="50" t="s">
        <v>102</v>
      </c>
      <c r="AY64" s="50" t="s">
        <v>119</v>
      </c>
      <c r="BB64" s="50" t="s">
        <v>250</v>
      </c>
      <c r="BC64" s="50" t="s">
        <v>120</v>
      </c>
      <c r="BD64" s="50" t="s">
        <v>1036</v>
      </c>
      <c r="BE64" s="50" t="s">
        <v>173</v>
      </c>
      <c r="BF64" s="50" t="s">
        <v>174</v>
      </c>
      <c r="BG64" s="50" t="s">
        <v>173</v>
      </c>
      <c r="BH64" s="50" t="s">
        <v>124</v>
      </c>
      <c r="BI64" s="50" t="s">
        <v>12553</v>
      </c>
      <c r="BJ64" s="50" t="s">
        <v>12554</v>
      </c>
      <c r="BK64" s="50" t="s">
        <v>127</v>
      </c>
      <c r="BL64" s="50" t="s">
        <v>12555</v>
      </c>
      <c r="BM64" s="50" t="s">
        <v>1040</v>
      </c>
      <c r="BN64" s="50" t="s">
        <v>12556</v>
      </c>
      <c r="BO64" s="50" t="s">
        <v>12539</v>
      </c>
      <c r="BP64" s="50" t="s">
        <v>12557</v>
      </c>
      <c r="BQ64" s="50" t="s">
        <v>180</v>
      </c>
      <c r="BR64" s="50" t="s">
        <v>12558</v>
      </c>
      <c r="BS64" s="50" t="s">
        <v>12559</v>
      </c>
      <c r="BT64" s="50" t="s">
        <v>183</v>
      </c>
      <c r="BV64" s="50" t="s">
        <v>12560</v>
      </c>
      <c r="BW64" s="50" t="s">
        <v>1043</v>
      </c>
      <c r="BX64" s="50" t="s">
        <v>569</v>
      </c>
      <c r="BY64" s="50" t="s">
        <v>1044</v>
      </c>
      <c r="BZ64" s="50" t="s">
        <v>1045</v>
      </c>
      <c r="CA64" s="50" t="s">
        <v>1046</v>
      </c>
      <c r="CB64" s="50" t="s">
        <v>12561</v>
      </c>
      <c r="CC64" s="50" t="s">
        <v>1048</v>
      </c>
      <c r="CD64" s="50" t="s">
        <v>1049</v>
      </c>
      <c r="CE64" s="50" t="s">
        <v>1050</v>
      </c>
      <c r="CF64" s="50" t="s">
        <v>1051</v>
      </c>
      <c r="CG64" s="50" t="s">
        <v>1052</v>
      </c>
      <c r="CH64" s="50" t="s">
        <v>102</v>
      </c>
      <c r="CI64" s="50" t="s">
        <v>12562</v>
      </c>
      <c r="CK64" s="50" t="s">
        <v>1054</v>
      </c>
      <c r="CL64" s="50" t="s">
        <v>12563</v>
      </c>
      <c r="CM64" s="50" t="s">
        <v>1036</v>
      </c>
      <c r="CN64" s="50" t="s">
        <v>173</v>
      </c>
      <c r="CO64" s="50" t="s">
        <v>1054</v>
      </c>
      <c r="CP64" s="50" t="s">
        <v>1055</v>
      </c>
      <c r="CQ64" s="50" t="s">
        <v>1056</v>
      </c>
      <c r="CR64" s="50" t="s">
        <v>1057</v>
      </c>
    </row>
    <row r="65" spans="1:97" hidden="1">
      <c r="A65" s="50" t="s">
        <v>149</v>
      </c>
      <c r="B65" s="50">
        <v>2171347</v>
      </c>
      <c r="C65" s="50" t="str">
        <f>VLOOKUP(B65,'Drop schools 2026'!B:C,2,0)</f>
        <v>Drop</v>
      </c>
      <c r="D65" s="50" t="s">
        <v>122</v>
      </c>
      <c r="E65" s="50" t="s">
        <v>12018</v>
      </c>
      <c r="F65" s="50" t="s">
        <v>2791</v>
      </c>
      <c r="G65" s="50" t="e">
        <f>VLOOKUP(B65,aa!B:F,5,0)</f>
        <v>#N/A</v>
      </c>
      <c r="H65" s="50" t="e">
        <f>VLOOKUP(B65,aa!B:J,9,0)</f>
        <v>#N/A</v>
      </c>
      <c r="I65" s="50" t="e">
        <f>VLOOKUP(B65,aa!B:L,11,0)</f>
        <v>#N/A</v>
      </c>
      <c r="J65" s="50" t="e">
        <f>VLOOKUP(B65,aa!B:O,14,0)</f>
        <v>#N/A</v>
      </c>
      <c r="K65" s="50" t="e">
        <f>VLOOKUP(B65,aa!B:R,17,0)</f>
        <v>#N/A</v>
      </c>
      <c r="L65" s="50" t="s">
        <v>152</v>
      </c>
      <c r="M65" s="50">
        <v>1728118</v>
      </c>
      <c r="N65" s="50">
        <v>1728118</v>
      </c>
      <c r="O65" s="50">
        <v>0</v>
      </c>
      <c r="P65" s="50">
        <v>0</v>
      </c>
      <c r="R65" s="50">
        <v>1728118</v>
      </c>
      <c r="S65" s="50">
        <v>1008</v>
      </c>
      <c r="T65" s="50" t="s">
        <v>2794</v>
      </c>
      <c r="U65" s="50">
        <v>0</v>
      </c>
      <c r="V65" s="50">
        <v>0</v>
      </c>
      <c r="X65" s="50" t="s">
        <v>102</v>
      </c>
      <c r="Y65" s="50" t="s">
        <v>275</v>
      </c>
      <c r="AA65" s="50" t="s">
        <v>8186</v>
      </c>
      <c r="AB65" s="50" t="s">
        <v>109</v>
      </c>
      <c r="AC65" s="50" t="s">
        <v>102</v>
      </c>
      <c r="AD65" s="50" t="s">
        <v>109</v>
      </c>
      <c r="AE65" s="50" t="s">
        <v>102</v>
      </c>
      <c r="AF65" s="50" t="s">
        <v>109</v>
      </c>
      <c r="AG65" s="50" t="s">
        <v>102</v>
      </c>
      <c r="AH65" s="50" t="s">
        <v>109</v>
      </c>
      <c r="AI65" s="50" t="s">
        <v>102</v>
      </c>
      <c r="AJ65" s="50" t="s">
        <v>102</v>
      </c>
      <c r="AK65" s="50" t="s">
        <v>6177</v>
      </c>
      <c r="AL65" s="50" t="s">
        <v>6177</v>
      </c>
      <c r="AM65" s="50" t="s">
        <v>2795</v>
      </c>
      <c r="AN65" s="50" t="s">
        <v>13622</v>
      </c>
      <c r="AO65" s="50" t="s">
        <v>13623</v>
      </c>
      <c r="AP65" s="50" t="s">
        <v>2798</v>
      </c>
      <c r="AQ65" s="50" t="s">
        <v>2798</v>
      </c>
      <c r="AV65" s="50" t="s">
        <v>102</v>
      </c>
      <c r="AX65" s="50" t="s">
        <v>155</v>
      </c>
      <c r="AY65" s="50" t="s">
        <v>447</v>
      </c>
      <c r="AZ65" s="50" t="s">
        <v>170</v>
      </c>
      <c r="BA65" s="50" t="s">
        <v>118</v>
      </c>
      <c r="BC65" s="50" t="s">
        <v>209</v>
      </c>
      <c r="BD65" s="50" t="s">
        <v>2799</v>
      </c>
      <c r="BE65" s="50" t="s">
        <v>2800</v>
      </c>
      <c r="BF65" s="50" t="s">
        <v>122</v>
      </c>
      <c r="BG65" s="50" t="s">
        <v>346</v>
      </c>
      <c r="BH65" s="50" t="s">
        <v>124</v>
      </c>
      <c r="BI65" s="50" t="s">
        <v>12023</v>
      </c>
      <c r="BJ65" s="50" t="s">
        <v>11889</v>
      </c>
      <c r="BK65" s="50" t="s">
        <v>127</v>
      </c>
      <c r="BL65" s="50" t="s">
        <v>13624</v>
      </c>
      <c r="BM65" s="50" t="s">
        <v>2802</v>
      </c>
      <c r="BN65" s="50" t="s">
        <v>13625</v>
      </c>
      <c r="BO65" s="50" t="s">
        <v>12023</v>
      </c>
      <c r="BP65" s="50" t="s">
        <v>593</v>
      </c>
      <c r="BQ65" s="50" t="s">
        <v>3941</v>
      </c>
      <c r="BR65" s="50" t="s">
        <v>594</v>
      </c>
      <c r="BS65" s="50" t="s">
        <v>595</v>
      </c>
      <c r="BT65" s="50" t="s">
        <v>328</v>
      </c>
      <c r="BV65" s="50" t="s">
        <v>13626</v>
      </c>
      <c r="BW65" s="50" t="s">
        <v>2805</v>
      </c>
      <c r="BX65" s="50" t="s">
        <v>354</v>
      </c>
      <c r="BY65" s="50" t="s">
        <v>2806</v>
      </c>
      <c r="BZ65" s="50" t="s">
        <v>2807</v>
      </c>
      <c r="CA65" s="50" t="s">
        <v>2808</v>
      </c>
      <c r="CB65" s="50" t="s">
        <v>13627</v>
      </c>
      <c r="CC65" s="50" t="s">
        <v>2808</v>
      </c>
      <c r="CD65" s="50" t="s">
        <v>13628</v>
      </c>
      <c r="CE65" s="50" t="s">
        <v>13629</v>
      </c>
      <c r="CF65" s="50" t="s">
        <v>13630</v>
      </c>
      <c r="CG65" s="50" t="s">
        <v>13631</v>
      </c>
      <c r="CH65" s="50" t="s">
        <v>102</v>
      </c>
      <c r="CI65" s="50" t="s">
        <v>2809</v>
      </c>
      <c r="CK65" s="50" t="s">
        <v>2810</v>
      </c>
      <c r="CM65" s="50" t="s">
        <v>2799</v>
      </c>
      <c r="CN65" s="50" t="s">
        <v>2800</v>
      </c>
      <c r="CO65" s="50" t="s">
        <v>2810</v>
      </c>
      <c r="CQ65" s="50" t="s">
        <v>2809</v>
      </c>
      <c r="CR65" s="50" t="s">
        <v>2809</v>
      </c>
    </row>
    <row r="66" spans="1:97" hidden="1">
      <c r="A66" s="50" t="s">
        <v>149</v>
      </c>
      <c r="B66" s="50">
        <v>3106413</v>
      </c>
      <c r="C66" s="50" t="e">
        <f>VLOOKUP(B66,'Drop schools 2026'!B:C,2,0)</f>
        <v>#N/A</v>
      </c>
      <c r="D66" s="50" t="s">
        <v>622</v>
      </c>
      <c r="E66" s="50" t="s">
        <v>2525</v>
      </c>
      <c r="F66" s="50" t="s">
        <v>4681</v>
      </c>
      <c r="G66" s="50" t="str">
        <f>VLOOKUP(B66,aa!B:F,5,0)</f>
        <v>Ei ASSET, Ei Mindspark</v>
      </c>
      <c r="H66" s="50">
        <f>VLOOKUP(B66,aa!B:J,9,0)</f>
        <v>1779428</v>
      </c>
      <c r="I66" s="50">
        <f>VLOOKUP(B66,aa!B:L,11,0)</f>
        <v>567629</v>
      </c>
      <c r="J66" s="50">
        <f>VLOOKUP(B66,aa!B:O,14,0)</f>
        <v>0</v>
      </c>
      <c r="K66" s="50">
        <f>VLOOKUP(B66,aa!B:R,17,0)</f>
        <v>1211799</v>
      </c>
      <c r="L66" s="50" t="s">
        <v>193</v>
      </c>
      <c r="M66" s="50">
        <v>1691164</v>
      </c>
      <c r="N66" s="50">
        <v>1930950</v>
      </c>
      <c r="O66" s="50">
        <v>359021</v>
      </c>
      <c r="P66" s="50">
        <v>475</v>
      </c>
      <c r="Q66" s="50" t="s">
        <v>12493</v>
      </c>
      <c r="R66" s="50">
        <v>0</v>
      </c>
      <c r="S66" s="50">
        <v>0</v>
      </c>
      <c r="U66" s="50">
        <v>1332143</v>
      </c>
      <c r="V66" s="50">
        <v>499</v>
      </c>
      <c r="W66" s="50" t="s">
        <v>14931</v>
      </c>
      <c r="X66" s="50" t="s">
        <v>102</v>
      </c>
      <c r="Y66" s="50" t="s">
        <v>679</v>
      </c>
      <c r="Z66" s="50" t="s">
        <v>155</v>
      </c>
      <c r="AA66" s="50" t="s">
        <v>5022</v>
      </c>
      <c r="AB66" s="50" t="s">
        <v>14932</v>
      </c>
      <c r="AC66" s="50" t="s">
        <v>14933</v>
      </c>
      <c r="AD66" s="50" t="s">
        <v>12766</v>
      </c>
      <c r="AE66" s="50" t="s">
        <v>14933</v>
      </c>
      <c r="AF66" s="50" t="s">
        <v>12215</v>
      </c>
      <c r="AG66" s="50" t="s">
        <v>14933</v>
      </c>
      <c r="AH66" s="50" t="s">
        <v>13730</v>
      </c>
      <c r="AI66" s="50" t="s">
        <v>14933</v>
      </c>
      <c r="AJ66" s="50" t="s">
        <v>14934</v>
      </c>
      <c r="AK66" s="50" t="s">
        <v>7020</v>
      </c>
      <c r="AL66" s="50" t="s">
        <v>14935</v>
      </c>
      <c r="AM66" s="50" t="s">
        <v>14936</v>
      </c>
      <c r="AN66" s="50" t="s">
        <v>14937</v>
      </c>
      <c r="AO66" s="50" t="s">
        <v>14938</v>
      </c>
      <c r="AP66" s="50" t="s">
        <v>14939</v>
      </c>
      <c r="AQ66" s="50" t="s">
        <v>14940</v>
      </c>
      <c r="AR66" s="50" t="s">
        <v>343</v>
      </c>
      <c r="AU66" s="50" t="s">
        <v>169</v>
      </c>
      <c r="AV66" s="50" t="s">
        <v>247</v>
      </c>
      <c r="AW66" s="50" t="s">
        <v>118</v>
      </c>
      <c r="AX66" s="50" t="s">
        <v>102</v>
      </c>
      <c r="AY66" s="50" t="s">
        <v>119</v>
      </c>
      <c r="BB66" s="50" t="s">
        <v>250</v>
      </c>
      <c r="BC66" s="50" t="s">
        <v>120</v>
      </c>
      <c r="BD66" s="50" t="s">
        <v>2327</v>
      </c>
      <c r="BE66" s="50" t="s">
        <v>730</v>
      </c>
      <c r="BF66" s="50" t="s">
        <v>622</v>
      </c>
      <c r="BG66" s="50" t="s">
        <v>730</v>
      </c>
      <c r="BH66" s="50" t="s">
        <v>124</v>
      </c>
      <c r="BI66" s="50" t="s">
        <v>12023</v>
      </c>
      <c r="BJ66" s="50" t="s">
        <v>11889</v>
      </c>
      <c r="BK66" s="50" t="s">
        <v>127</v>
      </c>
      <c r="BL66" s="50" t="s">
        <v>14941</v>
      </c>
      <c r="BM66" s="50" t="s">
        <v>4698</v>
      </c>
      <c r="BN66" s="50" t="s">
        <v>14942</v>
      </c>
      <c r="BO66" s="50" t="s">
        <v>4374</v>
      </c>
      <c r="BP66" s="50" t="s">
        <v>3606</v>
      </c>
      <c r="BQ66" s="50" t="s">
        <v>132</v>
      </c>
      <c r="BR66" s="50" t="s">
        <v>3607</v>
      </c>
      <c r="BS66" s="50" t="s">
        <v>3608</v>
      </c>
      <c r="BT66" s="50" t="s">
        <v>2525</v>
      </c>
      <c r="BV66" s="50" t="s">
        <v>14943</v>
      </c>
      <c r="BW66" s="50" t="s">
        <v>4705</v>
      </c>
      <c r="BX66" s="50" t="s">
        <v>138</v>
      </c>
      <c r="BY66" s="50" t="s">
        <v>4706</v>
      </c>
      <c r="BZ66" s="50" t="s">
        <v>4707</v>
      </c>
      <c r="CA66" s="50" t="s">
        <v>4704</v>
      </c>
      <c r="CB66" s="50" t="s">
        <v>4705</v>
      </c>
      <c r="CC66" s="50" t="s">
        <v>4706</v>
      </c>
      <c r="CD66" s="50" t="s">
        <v>4707</v>
      </c>
      <c r="CE66" s="50" t="s">
        <v>14944</v>
      </c>
      <c r="CF66" s="50" t="s">
        <v>14945</v>
      </c>
      <c r="CG66" s="50" t="s">
        <v>4710</v>
      </c>
      <c r="CH66" s="50" t="s">
        <v>102</v>
      </c>
      <c r="CI66" s="50" t="s">
        <v>4711</v>
      </c>
      <c r="CK66" s="50" t="s">
        <v>4712</v>
      </c>
      <c r="CM66" s="50" t="s">
        <v>2327</v>
      </c>
      <c r="CN66" s="50" t="s">
        <v>730</v>
      </c>
      <c r="CO66" s="50" t="s">
        <v>4712</v>
      </c>
      <c r="CP66" s="50" t="s">
        <v>4713</v>
      </c>
      <c r="CQ66" s="50" t="s">
        <v>4711</v>
      </c>
      <c r="CR66" s="50" t="s">
        <v>4711</v>
      </c>
    </row>
    <row r="67" spans="1:97" hidden="1">
      <c r="A67" s="50" t="s">
        <v>149</v>
      </c>
      <c r="B67" s="50">
        <v>2388998</v>
      </c>
      <c r="C67" s="50" t="e">
        <f>VLOOKUP(B67,'Drop schools 2026'!B:C,2,0)</f>
        <v>#N/A</v>
      </c>
      <c r="D67" s="50" t="s">
        <v>622</v>
      </c>
      <c r="E67" s="50" t="s">
        <v>1279</v>
      </c>
      <c r="F67" s="50" t="s">
        <v>3154</v>
      </c>
      <c r="G67" s="50" t="str">
        <f>VLOOKUP(B67,aa!B:F,5,0)</f>
        <v>Ei ASSET, Ei Mindspark</v>
      </c>
      <c r="H67" s="50">
        <f>VLOOKUP(B67,aa!B:J,9,0)</f>
        <v>1687499</v>
      </c>
      <c r="I67" s="50">
        <f>VLOOKUP(B67,aa!B:L,11,0)</f>
        <v>180000</v>
      </c>
      <c r="J67" s="50">
        <f>VLOOKUP(B67,aa!B:O,14,0)</f>
        <v>0</v>
      </c>
      <c r="K67" s="50">
        <f>VLOOKUP(B67,aa!B:R,17,0)</f>
        <v>1507499</v>
      </c>
      <c r="L67" s="50" t="s">
        <v>193</v>
      </c>
      <c r="M67" s="50">
        <v>1687499</v>
      </c>
      <c r="N67" s="50">
        <v>1958849</v>
      </c>
      <c r="O67" s="50">
        <v>180000</v>
      </c>
      <c r="P67" s="50">
        <v>240</v>
      </c>
      <c r="Q67" s="50" t="s">
        <v>101</v>
      </c>
      <c r="R67" s="50">
        <v>0</v>
      </c>
      <c r="S67" s="50">
        <v>0</v>
      </c>
      <c r="U67" s="50">
        <v>1507499</v>
      </c>
      <c r="V67" s="50">
        <v>360</v>
      </c>
      <c r="W67" s="50" t="s">
        <v>13845</v>
      </c>
      <c r="X67" s="50" t="s">
        <v>102</v>
      </c>
      <c r="Y67" s="50" t="s">
        <v>103</v>
      </c>
      <c r="Z67" s="50" t="s">
        <v>104</v>
      </c>
      <c r="AB67" s="50" t="s">
        <v>1305</v>
      </c>
      <c r="AC67" s="50" t="s">
        <v>13846</v>
      </c>
      <c r="AD67" s="50" t="s">
        <v>11952</v>
      </c>
      <c r="AE67" s="50" t="s">
        <v>13846</v>
      </c>
      <c r="AF67" s="50" t="s">
        <v>109</v>
      </c>
      <c r="AG67" s="50" t="s">
        <v>102</v>
      </c>
      <c r="AH67" s="50" t="s">
        <v>109</v>
      </c>
      <c r="AI67" s="50" t="s">
        <v>102</v>
      </c>
      <c r="AJ67" s="50" t="s">
        <v>13847</v>
      </c>
      <c r="AK67" s="50" t="s">
        <v>4813</v>
      </c>
      <c r="AL67" s="50" t="s">
        <v>13848</v>
      </c>
      <c r="AM67" s="50" t="s">
        <v>13849</v>
      </c>
      <c r="AN67" s="50" t="s">
        <v>13850</v>
      </c>
      <c r="AO67" s="50" t="s">
        <v>13851</v>
      </c>
      <c r="AP67" s="50" t="s">
        <v>13852</v>
      </c>
      <c r="AQ67" s="50" t="s">
        <v>13852</v>
      </c>
      <c r="AV67" s="50" t="s">
        <v>207</v>
      </c>
      <c r="AW67" s="50" t="s">
        <v>118</v>
      </c>
      <c r="AX67" s="50" t="s">
        <v>102</v>
      </c>
      <c r="AY67" s="50" t="s">
        <v>119</v>
      </c>
      <c r="BB67" s="50" t="s">
        <v>250</v>
      </c>
      <c r="BC67" s="50" t="s">
        <v>171</v>
      </c>
      <c r="BD67" s="50" t="s">
        <v>623</v>
      </c>
      <c r="BE67" s="50" t="s">
        <v>621</v>
      </c>
      <c r="BF67" s="50" t="s">
        <v>622</v>
      </c>
      <c r="BG67" s="50" t="s">
        <v>623</v>
      </c>
      <c r="BH67" s="50" t="s">
        <v>124</v>
      </c>
      <c r="BI67" s="50" t="s">
        <v>5694</v>
      </c>
      <c r="BJ67" s="50" t="s">
        <v>11889</v>
      </c>
      <c r="BK67" s="50" t="s">
        <v>127</v>
      </c>
      <c r="BL67" s="50" t="s">
        <v>13853</v>
      </c>
      <c r="BM67" s="50" t="s">
        <v>3169</v>
      </c>
      <c r="BN67" s="50" t="s">
        <v>13854</v>
      </c>
      <c r="BO67" s="50" t="s">
        <v>1631</v>
      </c>
      <c r="BP67" s="50" t="s">
        <v>629</v>
      </c>
      <c r="BQ67" s="50" t="s">
        <v>132</v>
      </c>
      <c r="BR67" s="50" t="s">
        <v>630</v>
      </c>
      <c r="BS67" s="50" t="s">
        <v>631</v>
      </c>
      <c r="BT67" s="50" t="s">
        <v>1342</v>
      </c>
      <c r="BV67" s="50" t="s">
        <v>13855</v>
      </c>
      <c r="BW67" s="50" t="s">
        <v>13856</v>
      </c>
      <c r="BX67" s="50" t="s">
        <v>138</v>
      </c>
      <c r="BY67" s="50" t="s">
        <v>13857</v>
      </c>
      <c r="BZ67" s="50" t="s">
        <v>13858</v>
      </c>
      <c r="CA67" s="50" t="s">
        <v>3175</v>
      </c>
      <c r="CB67" s="50" t="s">
        <v>13859</v>
      </c>
      <c r="CC67" s="50" t="s">
        <v>13857</v>
      </c>
      <c r="CD67" s="50" t="s">
        <v>13858</v>
      </c>
      <c r="CE67" s="50" t="s">
        <v>13859</v>
      </c>
      <c r="CF67" s="50" t="s">
        <v>13857</v>
      </c>
      <c r="CG67" s="50" t="s">
        <v>13858</v>
      </c>
      <c r="CH67" s="50" t="s">
        <v>102</v>
      </c>
      <c r="CI67" s="50" t="s">
        <v>13860</v>
      </c>
      <c r="CK67" s="50" t="s">
        <v>3177</v>
      </c>
      <c r="CM67" s="50" t="s">
        <v>623</v>
      </c>
      <c r="CN67" s="50" t="s">
        <v>621</v>
      </c>
      <c r="CO67" s="50" t="s">
        <v>3177</v>
      </c>
      <c r="CP67" s="50" t="s">
        <v>3178</v>
      </c>
      <c r="CQ67" s="50" t="s">
        <v>3176</v>
      </c>
      <c r="CR67" s="50" t="s">
        <v>3176</v>
      </c>
    </row>
    <row r="68" spans="1:97" hidden="1">
      <c r="A68" s="50" t="s">
        <v>495</v>
      </c>
      <c r="B68" s="50">
        <v>1933</v>
      </c>
      <c r="C68" s="50" t="e">
        <f>VLOOKUP(B68,'Drop schools 2026'!B:C,2,0)</f>
        <v>#N/A</v>
      </c>
      <c r="D68" s="50" t="s">
        <v>622</v>
      </c>
      <c r="E68" s="50" t="s">
        <v>2525</v>
      </c>
      <c r="F68" s="50" t="s">
        <v>2249</v>
      </c>
      <c r="G68" s="50" t="e">
        <f>VLOOKUP(B68,aa!B:F,5,0)</f>
        <v>#N/A</v>
      </c>
      <c r="H68" s="50" t="e">
        <f>VLOOKUP(B68,aa!B:J,9,0)</f>
        <v>#N/A</v>
      </c>
      <c r="I68" s="50" t="e">
        <f>VLOOKUP(B68,aa!B:L,11,0)</f>
        <v>#N/A</v>
      </c>
      <c r="J68" s="50" t="e">
        <f>VLOOKUP(B68,aa!B:O,14,0)</f>
        <v>#N/A</v>
      </c>
      <c r="K68" s="50" t="e">
        <f>VLOOKUP(B68,aa!B:R,17,0)</f>
        <v>#N/A</v>
      </c>
      <c r="L68" s="50" t="s">
        <v>152</v>
      </c>
      <c r="M68" s="50">
        <v>1686539</v>
      </c>
      <c r="N68" s="50">
        <v>1686539</v>
      </c>
      <c r="O68" s="50">
        <v>0</v>
      </c>
      <c r="P68" s="50">
        <v>0</v>
      </c>
      <c r="R68" s="50">
        <v>1686539</v>
      </c>
      <c r="S68" s="50">
        <v>992</v>
      </c>
      <c r="T68" s="50" t="s">
        <v>1469</v>
      </c>
      <c r="U68" s="50">
        <v>0</v>
      </c>
      <c r="V68" s="50">
        <v>0</v>
      </c>
      <c r="X68" s="50" t="s">
        <v>102</v>
      </c>
      <c r="Y68" s="50" t="s">
        <v>103</v>
      </c>
      <c r="Z68" s="50" t="s">
        <v>104</v>
      </c>
      <c r="AB68" s="50" t="s">
        <v>7484</v>
      </c>
      <c r="AC68" s="50" t="s">
        <v>13187</v>
      </c>
      <c r="AD68" s="50" t="s">
        <v>12289</v>
      </c>
      <c r="AE68" s="50" t="s">
        <v>13187</v>
      </c>
      <c r="AF68" s="50" t="s">
        <v>109</v>
      </c>
      <c r="AG68" s="50" t="s">
        <v>102</v>
      </c>
      <c r="AH68" s="50" t="s">
        <v>109</v>
      </c>
      <c r="AI68" s="50" t="s">
        <v>102</v>
      </c>
      <c r="AJ68" s="50" t="s">
        <v>13188</v>
      </c>
      <c r="AK68" s="50" t="s">
        <v>12715</v>
      </c>
      <c r="AL68" s="50" t="s">
        <v>13189</v>
      </c>
      <c r="AM68" s="50" t="s">
        <v>13190</v>
      </c>
      <c r="AN68" s="50" t="s">
        <v>13191</v>
      </c>
      <c r="AO68" s="50" t="s">
        <v>13192</v>
      </c>
      <c r="AP68" s="50" t="s">
        <v>2257</v>
      </c>
      <c r="AQ68" s="50" t="s">
        <v>13193</v>
      </c>
      <c r="AU68" s="50" t="s">
        <v>169</v>
      </c>
      <c r="AV68" s="50" t="s">
        <v>102</v>
      </c>
      <c r="AX68" s="50" t="s">
        <v>155</v>
      </c>
      <c r="AY68" s="50" t="s">
        <v>119</v>
      </c>
      <c r="AZ68" s="50" t="s">
        <v>170</v>
      </c>
      <c r="BA68" s="50" t="s">
        <v>118</v>
      </c>
      <c r="BC68" s="50" t="s">
        <v>1964</v>
      </c>
      <c r="BD68" s="50" t="s">
        <v>2258</v>
      </c>
      <c r="BE68" s="50" t="s">
        <v>730</v>
      </c>
      <c r="BF68" s="50" t="s">
        <v>622</v>
      </c>
      <c r="BG68" s="50" t="s">
        <v>730</v>
      </c>
      <c r="BH68" s="50" t="s">
        <v>124</v>
      </c>
      <c r="BI68" s="50" t="s">
        <v>11959</v>
      </c>
      <c r="BJ68" s="50" t="s">
        <v>11960</v>
      </c>
      <c r="BK68" s="50" t="s">
        <v>127</v>
      </c>
      <c r="BL68" s="50" t="s">
        <v>13194</v>
      </c>
      <c r="BM68" s="50" t="s">
        <v>2260</v>
      </c>
      <c r="BN68" s="50" t="s">
        <v>13195</v>
      </c>
      <c r="BO68" s="50" t="s">
        <v>13186</v>
      </c>
      <c r="BP68" s="50" t="s">
        <v>734</v>
      </c>
      <c r="BQ68" s="50" t="s">
        <v>350</v>
      </c>
      <c r="BR68" s="50" t="s">
        <v>735</v>
      </c>
      <c r="BS68" s="50" t="s">
        <v>736</v>
      </c>
      <c r="BT68" s="50" t="s">
        <v>737</v>
      </c>
      <c r="BV68" s="50" t="s">
        <v>13196</v>
      </c>
      <c r="BW68" s="50" t="s">
        <v>2266</v>
      </c>
      <c r="BX68" s="50" t="s">
        <v>598</v>
      </c>
      <c r="BY68" s="50" t="s">
        <v>2267</v>
      </c>
      <c r="BZ68" s="50" t="s">
        <v>2268</v>
      </c>
      <c r="CA68" s="50" t="s">
        <v>2269</v>
      </c>
      <c r="CB68" s="50" t="s">
        <v>2266</v>
      </c>
      <c r="CC68" s="50" t="s">
        <v>2267</v>
      </c>
      <c r="CD68" s="50" t="s">
        <v>2268</v>
      </c>
      <c r="CE68" s="50" t="s">
        <v>13197</v>
      </c>
      <c r="CF68" s="50" t="s">
        <v>13198</v>
      </c>
      <c r="CG68" s="50" t="s">
        <v>13199</v>
      </c>
      <c r="CH68" s="50" t="s">
        <v>2270</v>
      </c>
      <c r="CI68" s="50" t="s">
        <v>13200</v>
      </c>
      <c r="CK68" s="50" t="s">
        <v>2272</v>
      </c>
      <c r="CL68" s="50" t="s">
        <v>13200</v>
      </c>
      <c r="CM68" s="50" t="s">
        <v>2258</v>
      </c>
      <c r="CN68" s="50" t="s">
        <v>2273</v>
      </c>
      <c r="CO68" s="50" t="s">
        <v>2272</v>
      </c>
      <c r="CP68" s="50" t="s">
        <v>2274</v>
      </c>
      <c r="CQ68" s="50" t="s">
        <v>2271</v>
      </c>
      <c r="CR68" s="50" t="s">
        <v>2271</v>
      </c>
    </row>
    <row r="69" spans="1:97" hidden="1">
      <c r="A69" s="50" t="s">
        <v>149</v>
      </c>
      <c r="B69" s="50">
        <v>3270957</v>
      </c>
      <c r="C69" s="50" t="e">
        <f>VLOOKUP(B69,'Drop schools 2026'!B:C,2,0)</f>
        <v>#N/A</v>
      </c>
      <c r="D69" s="50" t="s">
        <v>174</v>
      </c>
      <c r="E69" s="50" t="s">
        <v>384</v>
      </c>
      <c r="F69" s="50" t="s">
        <v>5163</v>
      </c>
      <c r="G69" s="50" t="str">
        <f>VLOOKUP(B69,aa!B:F,5,0)</f>
        <v>Ei ASSET,Ei CARES</v>
      </c>
      <c r="H69" s="50">
        <f>VLOOKUP(B69,aa!B:J,9,0)</f>
        <v>1496782</v>
      </c>
      <c r="I69" s="50">
        <f>VLOOKUP(B69,aa!B:L,11,0)</f>
        <v>607869</v>
      </c>
      <c r="J69" s="50">
        <f>VLOOKUP(B69,aa!B:O,14,0)</f>
        <v>888913</v>
      </c>
      <c r="K69" s="50">
        <f>VLOOKUP(B69,aa!B:R,17,0)</f>
        <v>0</v>
      </c>
      <c r="L69" s="50" t="s">
        <v>675</v>
      </c>
      <c r="M69" s="50">
        <v>1681317</v>
      </c>
      <c r="N69" s="50">
        <v>1681317</v>
      </c>
      <c r="O69" s="50">
        <v>638176</v>
      </c>
      <c r="P69" s="50">
        <v>1021</v>
      </c>
      <c r="Q69" s="50" t="s">
        <v>15308</v>
      </c>
      <c r="R69" s="50">
        <v>1043141</v>
      </c>
      <c r="S69" s="50">
        <v>638</v>
      </c>
      <c r="T69" s="50" t="s">
        <v>15309</v>
      </c>
      <c r="U69" s="50">
        <v>0</v>
      </c>
      <c r="V69" s="50">
        <v>0</v>
      </c>
      <c r="X69" s="50" t="s">
        <v>102</v>
      </c>
      <c r="Y69" s="50" t="s">
        <v>275</v>
      </c>
      <c r="AA69" s="50" t="s">
        <v>559</v>
      </c>
      <c r="AB69" s="50" t="s">
        <v>109</v>
      </c>
      <c r="AC69" s="50" t="s">
        <v>102</v>
      </c>
      <c r="AD69" s="50" t="s">
        <v>109</v>
      </c>
      <c r="AE69" s="50" t="s">
        <v>102</v>
      </c>
      <c r="AF69" s="50" t="s">
        <v>109</v>
      </c>
      <c r="AG69" s="50" t="s">
        <v>102</v>
      </c>
      <c r="AH69" s="50" t="s">
        <v>109</v>
      </c>
      <c r="AI69" s="50" t="s">
        <v>102</v>
      </c>
      <c r="AJ69" s="50" t="s">
        <v>102</v>
      </c>
      <c r="AK69" s="50" t="s">
        <v>559</v>
      </c>
      <c r="AL69" s="50" t="s">
        <v>559</v>
      </c>
      <c r="AM69" s="50" t="s">
        <v>15310</v>
      </c>
      <c r="AN69" s="50" t="s">
        <v>15310</v>
      </c>
      <c r="AO69" s="50" t="s">
        <v>102</v>
      </c>
      <c r="AP69" s="50" t="s">
        <v>15311</v>
      </c>
      <c r="AQ69" s="50" t="s">
        <v>15311</v>
      </c>
      <c r="AV69" s="50" t="s">
        <v>247</v>
      </c>
      <c r="AW69" s="50" t="s">
        <v>118</v>
      </c>
      <c r="AX69" s="50" t="s">
        <v>3536</v>
      </c>
      <c r="AY69" s="50" t="s">
        <v>249</v>
      </c>
      <c r="AZ69" s="50" t="s">
        <v>170</v>
      </c>
      <c r="BA69" s="50" t="s">
        <v>118</v>
      </c>
      <c r="BC69" s="50" t="s">
        <v>120</v>
      </c>
      <c r="BD69" s="50" t="s">
        <v>5173</v>
      </c>
      <c r="BE69" s="50" t="s">
        <v>1171</v>
      </c>
      <c r="BF69" s="50" t="s">
        <v>174</v>
      </c>
      <c r="BG69" s="50" t="s">
        <v>1172</v>
      </c>
      <c r="BH69" s="50" t="s">
        <v>124</v>
      </c>
      <c r="BI69" s="50" t="s">
        <v>15312</v>
      </c>
      <c r="BJ69" s="50" t="s">
        <v>11889</v>
      </c>
      <c r="BK69" s="50" t="s">
        <v>127</v>
      </c>
      <c r="BL69" s="50" t="s">
        <v>15313</v>
      </c>
      <c r="BM69" s="50" t="s">
        <v>5175</v>
      </c>
      <c r="BN69" s="50" t="s">
        <v>15314</v>
      </c>
      <c r="BO69" s="50" t="s">
        <v>3485</v>
      </c>
      <c r="BP69" s="50" t="s">
        <v>1917</v>
      </c>
      <c r="BQ69" s="50" t="s">
        <v>7992</v>
      </c>
      <c r="BR69" s="50" t="s">
        <v>1918</v>
      </c>
      <c r="BS69" s="50" t="s">
        <v>1919</v>
      </c>
      <c r="BT69" s="50" t="s">
        <v>5177</v>
      </c>
      <c r="BV69" s="50" t="s">
        <v>15315</v>
      </c>
      <c r="BW69" s="50" t="s">
        <v>15316</v>
      </c>
      <c r="BX69" s="50" t="s">
        <v>138</v>
      </c>
      <c r="BY69" s="50" t="s">
        <v>5184</v>
      </c>
      <c r="BZ69" s="50" t="s">
        <v>15317</v>
      </c>
      <c r="CA69" s="50" t="s">
        <v>5182</v>
      </c>
      <c r="CB69" s="50" t="s">
        <v>15316</v>
      </c>
      <c r="CC69" s="50" t="s">
        <v>5184</v>
      </c>
      <c r="CD69" s="50" t="s">
        <v>15317</v>
      </c>
      <c r="CE69" s="50" t="s">
        <v>15316</v>
      </c>
      <c r="CF69" s="50" t="s">
        <v>5184</v>
      </c>
      <c r="CG69" s="50" t="s">
        <v>15317</v>
      </c>
      <c r="CH69" s="50" t="s">
        <v>358</v>
      </c>
      <c r="CI69" s="50" t="s">
        <v>15318</v>
      </c>
      <c r="CK69" s="50" t="s">
        <v>5186</v>
      </c>
      <c r="CL69" s="50" t="s">
        <v>5185</v>
      </c>
      <c r="CM69" s="50" t="s">
        <v>5173</v>
      </c>
      <c r="CN69" s="50" t="s">
        <v>1171</v>
      </c>
      <c r="CO69" s="50" t="s">
        <v>5186</v>
      </c>
      <c r="CQ69" s="50" t="s">
        <v>5187</v>
      </c>
      <c r="CR69" s="50" t="s">
        <v>5185</v>
      </c>
    </row>
    <row r="70" spans="1:97" hidden="1">
      <c r="A70" s="50" t="s">
        <v>93</v>
      </c>
      <c r="B70" s="50">
        <v>507154</v>
      </c>
      <c r="C70" s="50" t="e">
        <f>VLOOKUP(B70,'Drop schools 2026'!B:C,2,0)</f>
        <v>#N/A</v>
      </c>
      <c r="D70" s="50" t="s">
        <v>122</v>
      </c>
      <c r="E70" s="50" t="s">
        <v>11882</v>
      </c>
      <c r="F70" s="50" t="s">
        <v>10826</v>
      </c>
      <c r="G70" s="50" t="str">
        <f>VLOOKUP(B70,aa!B:F,5,0)</f>
        <v>Ei Mindspark</v>
      </c>
      <c r="H70" s="50">
        <f>VLOOKUP(B70,aa!B:J,9,0)</f>
        <v>1352353</v>
      </c>
      <c r="I70" s="50">
        <f>VLOOKUP(B70,aa!B:L,11,0)</f>
        <v>0</v>
      </c>
      <c r="J70" s="50">
        <f>VLOOKUP(B70,aa!B:O,14,0)</f>
        <v>0</v>
      </c>
      <c r="K70" s="50">
        <f>VLOOKUP(B70,aa!B:R,17,0)</f>
        <v>1352353</v>
      </c>
      <c r="L70" s="50" t="s">
        <v>848</v>
      </c>
      <c r="M70" s="50">
        <v>1662083</v>
      </c>
      <c r="N70" s="50">
        <v>1961258</v>
      </c>
      <c r="O70" s="50">
        <v>0</v>
      </c>
      <c r="P70" s="50">
        <v>0</v>
      </c>
      <c r="R70" s="50">
        <v>0</v>
      </c>
      <c r="S70" s="50">
        <v>0</v>
      </c>
      <c r="U70" s="50">
        <v>1662083</v>
      </c>
      <c r="V70" s="50">
        <v>1108</v>
      </c>
      <c r="W70" s="50" t="s">
        <v>6441</v>
      </c>
      <c r="X70" s="50" t="s">
        <v>102</v>
      </c>
      <c r="Y70" s="50" t="s">
        <v>103</v>
      </c>
      <c r="Z70" s="50" t="s">
        <v>398</v>
      </c>
      <c r="AB70" s="50" t="s">
        <v>4665</v>
      </c>
      <c r="AC70" s="50" t="s">
        <v>20807</v>
      </c>
      <c r="AD70" s="50" t="s">
        <v>11976</v>
      </c>
      <c r="AE70" s="50" t="s">
        <v>20807</v>
      </c>
      <c r="AF70" s="50" t="s">
        <v>12084</v>
      </c>
      <c r="AG70" s="50" t="s">
        <v>20808</v>
      </c>
      <c r="AH70" s="50" t="s">
        <v>109</v>
      </c>
      <c r="AI70" s="50" t="s">
        <v>102</v>
      </c>
      <c r="AJ70" s="50" t="s">
        <v>20809</v>
      </c>
      <c r="AK70" s="50" t="s">
        <v>2950</v>
      </c>
      <c r="AL70" s="50" t="s">
        <v>17302</v>
      </c>
      <c r="AM70" s="50" t="s">
        <v>20810</v>
      </c>
      <c r="AN70" s="50" t="s">
        <v>20811</v>
      </c>
      <c r="AO70" s="50" t="s">
        <v>20812</v>
      </c>
      <c r="AP70" s="50" t="s">
        <v>20813</v>
      </c>
      <c r="AQ70" s="50" t="s">
        <v>20814</v>
      </c>
      <c r="AS70" s="50" t="s">
        <v>169</v>
      </c>
      <c r="AU70" s="50" t="s">
        <v>169</v>
      </c>
      <c r="AV70" s="50" t="s">
        <v>102</v>
      </c>
      <c r="AX70" s="50" t="s">
        <v>102</v>
      </c>
      <c r="AY70" s="50" t="s">
        <v>119</v>
      </c>
      <c r="BB70" s="50" t="s">
        <v>250</v>
      </c>
      <c r="BC70" s="50" t="s">
        <v>120</v>
      </c>
      <c r="BD70" s="50" t="s">
        <v>448</v>
      </c>
      <c r="BE70" s="50" t="s">
        <v>449</v>
      </c>
      <c r="BF70" s="50" t="s">
        <v>122</v>
      </c>
      <c r="BG70" s="50" t="s">
        <v>450</v>
      </c>
      <c r="BH70" s="50" t="s">
        <v>124</v>
      </c>
      <c r="BI70" s="50" t="s">
        <v>12023</v>
      </c>
      <c r="BJ70" s="50" t="s">
        <v>11889</v>
      </c>
      <c r="BK70" s="50" t="s">
        <v>127</v>
      </c>
      <c r="BL70" s="50" t="s">
        <v>20815</v>
      </c>
      <c r="BM70" s="50" t="s">
        <v>10837</v>
      </c>
      <c r="BN70" s="50" t="s">
        <v>20816</v>
      </c>
      <c r="BO70" s="50" t="s">
        <v>442</v>
      </c>
      <c r="BP70" s="50" t="s">
        <v>131</v>
      </c>
      <c r="BQ70" s="50" t="s">
        <v>350</v>
      </c>
      <c r="BR70" s="50" t="s">
        <v>133</v>
      </c>
      <c r="BS70" s="50" t="s">
        <v>134</v>
      </c>
      <c r="BT70" s="50" t="s">
        <v>455</v>
      </c>
      <c r="BV70" s="50" t="s">
        <v>20817</v>
      </c>
      <c r="BW70" s="50" t="s">
        <v>20818</v>
      </c>
      <c r="BX70" s="50" t="s">
        <v>138</v>
      </c>
      <c r="BY70" s="50" t="s">
        <v>10843</v>
      </c>
      <c r="BZ70" s="50" t="s">
        <v>20819</v>
      </c>
      <c r="CA70" s="50" t="s">
        <v>10843</v>
      </c>
      <c r="CB70" s="50" t="s">
        <v>20820</v>
      </c>
      <c r="CC70" s="50" t="s">
        <v>10843</v>
      </c>
      <c r="CD70" s="50" t="s">
        <v>20819</v>
      </c>
      <c r="CE70" s="50" t="s">
        <v>20821</v>
      </c>
      <c r="CF70" s="50" t="s">
        <v>20822</v>
      </c>
      <c r="CG70" s="50" t="s">
        <v>20823</v>
      </c>
      <c r="CH70" s="50" t="s">
        <v>7998</v>
      </c>
      <c r="CI70" s="50" t="s">
        <v>10844</v>
      </c>
      <c r="CK70" s="50" t="s">
        <v>4512</v>
      </c>
      <c r="CL70" s="50" t="s">
        <v>20824</v>
      </c>
      <c r="CM70" s="50" t="s">
        <v>448</v>
      </c>
      <c r="CN70" s="50" t="s">
        <v>449</v>
      </c>
      <c r="CO70" s="50" t="s">
        <v>4512</v>
      </c>
      <c r="CP70" s="50" t="s">
        <v>10846</v>
      </c>
      <c r="CQ70" s="50" t="s">
        <v>10844</v>
      </c>
      <c r="CR70" s="50" t="s">
        <v>10845</v>
      </c>
    </row>
    <row r="71" spans="1:97" hidden="1">
      <c r="A71" s="50" t="s">
        <v>149</v>
      </c>
      <c r="B71" s="50">
        <v>3443832</v>
      </c>
      <c r="C71" s="50" t="str">
        <f>VLOOKUP(B71,'Drop schools 2026'!B:C,2,0)</f>
        <v>Drop</v>
      </c>
      <c r="D71" s="50" t="s">
        <v>122</v>
      </c>
      <c r="E71" s="50" t="s">
        <v>12491</v>
      </c>
      <c r="F71" s="50" t="s">
        <v>6075</v>
      </c>
      <c r="G71" s="50" t="e">
        <f>VLOOKUP(B71,aa!B:F,5,0)</f>
        <v>#N/A</v>
      </c>
      <c r="H71" s="50" t="e">
        <f>VLOOKUP(B71,aa!B:J,9,0)</f>
        <v>#N/A</v>
      </c>
      <c r="I71" s="50" t="e">
        <f>VLOOKUP(B71,aa!B:L,11,0)</f>
        <v>#N/A</v>
      </c>
      <c r="J71" s="50" t="e">
        <f>VLOOKUP(B71,aa!B:O,14,0)</f>
        <v>#N/A</v>
      </c>
      <c r="K71" s="50" t="e">
        <f>VLOOKUP(B71,aa!B:R,17,0)</f>
        <v>#N/A</v>
      </c>
      <c r="L71" s="50" t="s">
        <v>848</v>
      </c>
      <c r="M71" s="50">
        <v>1661233</v>
      </c>
      <c r="N71" s="50">
        <v>1960255</v>
      </c>
      <c r="O71" s="50">
        <v>0</v>
      </c>
      <c r="P71" s="50">
        <v>0</v>
      </c>
      <c r="R71" s="50">
        <v>0</v>
      </c>
      <c r="S71" s="50">
        <v>0</v>
      </c>
      <c r="U71" s="50">
        <v>1661233</v>
      </c>
      <c r="V71" s="50">
        <v>784</v>
      </c>
      <c r="W71" s="50" t="s">
        <v>2166</v>
      </c>
      <c r="X71" s="50" t="s">
        <v>102</v>
      </c>
      <c r="Y71" s="50" t="s">
        <v>103</v>
      </c>
      <c r="Z71" s="50" t="s">
        <v>155</v>
      </c>
      <c r="AB71" s="50" t="s">
        <v>1941</v>
      </c>
      <c r="AC71" s="50" t="s">
        <v>16027</v>
      </c>
      <c r="AD71" s="50" t="s">
        <v>12082</v>
      </c>
      <c r="AE71" s="50" t="s">
        <v>16027</v>
      </c>
      <c r="AF71" s="50" t="s">
        <v>12327</v>
      </c>
      <c r="AG71" s="50" t="s">
        <v>16027</v>
      </c>
      <c r="AH71" s="50" t="s">
        <v>14024</v>
      </c>
      <c r="AI71" s="50" t="s">
        <v>16027</v>
      </c>
      <c r="AJ71" s="50" t="s">
        <v>16028</v>
      </c>
      <c r="AK71" s="50" t="s">
        <v>15939</v>
      </c>
      <c r="AL71" s="50" t="s">
        <v>14080</v>
      </c>
      <c r="AM71" s="50" t="s">
        <v>16029</v>
      </c>
      <c r="AN71" s="50" t="s">
        <v>16030</v>
      </c>
      <c r="AO71" s="50" t="s">
        <v>16031</v>
      </c>
      <c r="AP71" s="50" t="s">
        <v>6083</v>
      </c>
      <c r="AQ71" s="50" t="s">
        <v>6083</v>
      </c>
      <c r="AV71" s="50" t="s">
        <v>102</v>
      </c>
      <c r="AX71" s="50" t="s">
        <v>102</v>
      </c>
      <c r="AY71" s="50" t="s">
        <v>119</v>
      </c>
      <c r="BB71" s="50" t="s">
        <v>250</v>
      </c>
      <c r="BC71" s="50" t="s">
        <v>120</v>
      </c>
      <c r="BD71" s="50" t="s">
        <v>3854</v>
      </c>
      <c r="BE71" s="50" t="s">
        <v>449</v>
      </c>
      <c r="BF71" s="50" t="s">
        <v>122</v>
      </c>
      <c r="BG71" s="50" t="s">
        <v>450</v>
      </c>
      <c r="BH71" s="50" t="s">
        <v>124</v>
      </c>
      <c r="BI71" s="50" t="s">
        <v>12023</v>
      </c>
      <c r="BJ71" s="50" t="s">
        <v>11889</v>
      </c>
      <c r="BK71" s="50" t="s">
        <v>127</v>
      </c>
      <c r="BL71" s="50" t="s">
        <v>16032</v>
      </c>
      <c r="BM71" s="50" t="s">
        <v>6085</v>
      </c>
      <c r="BN71" s="50" t="s">
        <v>16033</v>
      </c>
      <c r="BO71" s="50" t="s">
        <v>1202</v>
      </c>
      <c r="BP71" s="50" t="s">
        <v>8788</v>
      </c>
      <c r="BQ71" s="50" t="s">
        <v>350</v>
      </c>
      <c r="BR71" s="50" t="s">
        <v>8789</v>
      </c>
      <c r="BS71" s="50" t="s">
        <v>8790</v>
      </c>
      <c r="BT71" s="50" t="s">
        <v>1006</v>
      </c>
      <c r="BV71" s="50" t="s">
        <v>16034</v>
      </c>
      <c r="BW71" s="50" t="s">
        <v>16035</v>
      </c>
      <c r="BX71" s="50" t="s">
        <v>138</v>
      </c>
      <c r="BY71" s="50" t="s">
        <v>6089</v>
      </c>
      <c r="BZ71" s="50" t="s">
        <v>6090</v>
      </c>
      <c r="CA71" s="50" t="s">
        <v>6091</v>
      </c>
      <c r="CB71" s="50" t="s">
        <v>16035</v>
      </c>
      <c r="CC71" s="50" t="s">
        <v>6089</v>
      </c>
      <c r="CD71" s="50" t="s">
        <v>6090</v>
      </c>
      <c r="CE71" s="50" t="s">
        <v>16035</v>
      </c>
      <c r="CF71" s="50" t="s">
        <v>6089</v>
      </c>
      <c r="CG71" s="50" t="s">
        <v>6090</v>
      </c>
      <c r="CH71" s="50" t="s">
        <v>5768</v>
      </c>
      <c r="CI71" s="50" t="s">
        <v>6095</v>
      </c>
      <c r="CK71" s="50" t="s">
        <v>6096</v>
      </c>
      <c r="CL71" s="50" t="s">
        <v>6095</v>
      </c>
      <c r="CM71" s="50" t="s">
        <v>3854</v>
      </c>
      <c r="CN71" s="50" t="s">
        <v>449</v>
      </c>
      <c r="CO71" s="50" t="s">
        <v>6096</v>
      </c>
      <c r="CP71" s="50" t="s">
        <v>6097</v>
      </c>
      <c r="CQ71" s="50" t="s">
        <v>6095</v>
      </c>
      <c r="CR71" s="50" t="s">
        <v>6095</v>
      </c>
    </row>
    <row r="72" spans="1:97" hidden="1">
      <c r="A72" s="50" t="s">
        <v>149</v>
      </c>
      <c r="B72" s="50">
        <v>3249655</v>
      </c>
      <c r="C72" s="50" t="e">
        <f>VLOOKUP(B72,'Drop schools 2026'!B:C,2,0)</f>
        <v>#N/A</v>
      </c>
      <c r="D72" s="50" t="s">
        <v>622</v>
      </c>
      <c r="E72" s="50" t="s">
        <v>3562</v>
      </c>
      <c r="F72" s="50" t="s">
        <v>5060</v>
      </c>
      <c r="G72" s="50" t="str">
        <f>VLOOKUP(B72,aa!B:F,5,0)</f>
        <v>Ei ASSET</v>
      </c>
      <c r="H72" s="50">
        <f>VLOOKUP(B72,aa!B:J,9,0)</f>
        <v>863977</v>
      </c>
      <c r="I72" s="50">
        <f>VLOOKUP(B72,aa!B:L,11,0)</f>
        <v>863977</v>
      </c>
      <c r="J72" s="50">
        <f>VLOOKUP(B72,aa!B:O,14,0)</f>
        <v>0</v>
      </c>
      <c r="K72" s="50">
        <f>VLOOKUP(B72,aa!B:R,17,0)</f>
        <v>0</v>
      </c>
      <c r="L72" s="50" t="s">
        <v>2044</v>
      </c>
      <c r="M72" s="50">
        <v>1660443</v>
      </c>
      <c r="N72" s="50">
        <v>1660443</v>
      </c>
      <c r="O72" s="50">
        <v>802179</v>
      </c>
      <c r="P72" s="50">
        <v>1190</v>
      </c>
      <c r="Q72" s="50" t="s">
        <v>15249</v>
      </c>
      <c r="R72" s="50">
        <v>858264</v>
      </c>
      <c r="S72" s="50">
        <v>1061</v>
      </c>
      <c r="T72" s="50" t="s">
        <v>15250</v>
      </c>
      <c r="U72" s="50">
        <v>0</v>
      </c>
      <c r="V72" s="50">
        <v>0</v>
      </c>
      <c r="X72" s="50" t="s">
        <v>102</v>
      </c>
      <c r="Y72" s="50" t="s">
        <v>103</v>
      </c>
      <c r="Z72" s="50" t="s">
        <v>104</v>
      </c>
      <c r="AB72" s="50" t="s">
        <v>12023</v>
      </c>
      <c r="AC72" s="50" t="s">
        <v>15251</v>
      </c>
      <c r="AD72" s="50" t="s">
        <v>1427</v>
      </c>
      <c r="AE72" s="50" t="s">
        <v>15252</v>
      </c>
      <c r="AF72" s="50" t="s">
        <v>109</v>
      </c>
      <c r="AG72" s="50" t="s">
        <v>102</v>
      </c>
      <c r="AH72" s="50" t="s">
        <v>109</v>
      </c>
      <c r="AI72" s="50" t="s">
        <v>102</v>
      </c>
      <c r="AJ72" s="50" t="s">
        <v>15253</v>
      </c>
      <c r="AK72" s="50" t="s">
        <v>7145</v>
      </c>
      <c r="AL72" s="50" t="s">
        <v>12211</v>
      </c>
      <c r="AM72" s="50" t="s">
        <v>15254</v>
      </c>
      <c r="AN72" s="50" t="s">
        <v>15255</v>
      </c>
      <c r="AO72" s="50" t="s">
        <v>15256</v>
      </c>
      <c r="AP72" s="50" t="s">
        <v>15257</v>
      </c>
      <c r="AQ72" s="50" t="s">
        <v>15258</v>
      </c>
      <c r="AS72" s="50" t="s">
        <v>169</v>
      </c>
      <c r="AT72" s="50" t="s">
        <v>169</v>
      </c>
      <c r="AU72" s="50" t="s">
        <v>169</v>
      </c>
      <c r="AV72" s="50" t="s">
        <v>318</v>
      </c>
      <c r="AW72" s="50" t="s">
        <v>118</v>
      </c>
      <c r="AX72" s="50" t="s">
        <v>155</v>
      </c>
      <c r="AY72" s="50" t="s">
        <v>119</v>
      </c>
      <c r="AZ72" s="50" t="s">
        <v>170</v>
      </c>
      <c r="BA72" s="50" t="s">
        <v>118</v>
      </c>
      <c r="BC72" s="50" t="s">
        <v>171</v>
      </c>
      <c r="BD72" s="50" t="s">
        <v>5071</v>
      </c>
      <c r="BE72" s="50" t="s">
        <v>730</v>
      </c>
      <c r="BF72" s="50" t="s">
        <v>622</v>
      </c>
      <c r="BG72" s="50" t="s">
        <v>730</v>
      </c>
      <c r="BH72" s="50" t="s">
        <v>124</v>
      </c>
      <c r="BI72" s="50" t="s">
        <v>12023</v>
      </c>
      <c r="BJ72" s="50" t="s">
        <v>11889</v>
      </c>
      <c r="BK72" s="50" t="s">
        <v>127</v>
      </c>
      <c r="BL72" s="50" t="s">
        <v>15259</v>
      </c>
      <c r="BM72" s="50" t="s">
        <v>5073</v>
      </c>
      <c r="BN72" s="50" t="s">
        <v>15260</v>
      </c>
      <c r="BO72" s="50" t="s">
        <v>1305</v>
      </c>
      <c r="BP72" s="50" t="s">
        <v>3606</v>
      </c>
      <c r="BQ72" s="50" t="s">
        <v>350</v>
      </c>
      <c r="BR72" s="50" t="s">
        <v>3607</v>
      </c>
      <c r="BS72" s="50" t="s">
        <v>3608</v>
      </c>
      <c r="BT72" s="50" t="s">
        <v>3562</v>
      </c>
      <c r="BV72" s="50" t="s">
        <v>15261</v>
      </c>
      <c r="BW72" s="50" t="s">
        <v>5076</v>
      </c>
      <c r="BX72" s="50" t="s">
        <v>138</v>
      </c>
      <c r="BY72" s="50" t="s">
        <v>5077</v>
      </c>
      <c r="BZ72" s="50" t="s">
        <v>5078</v>
      </c>
      <c r="CA72" s="50" t="s">
        <v>5079</v>
      </c>
      <c r="CB72" s="50" t="s">
        <v>5076</v>
      </c>
      <c r="CC72" s="50" t="s">
        <v>5077</v>
      </c>
      <c r="CD72" s="50" t="s">
        <v>5078</v>
      </c>
      <c r="CE72" s="50" t="s">
        <v>5080</v>
      </c>
      <c r="CF72" s="50" t="s">
        <v>5081</v>
      </c>
      <c r="CG72" s="50" t="s">
        <v>5082</v>
      </c>
      <c r="CH72" s="50" t="s">
        <v>102</v>
      </c>
      <c r="CI72" s="50" t="s">
        <v>5083</v>
      </c>
      <c r="CK72" s="50" t="s">
        <v>5084</v>
      </c>
      <c r="CM72" s="50" t="s">
        <v>5071</v>
      </c>
      <c r="CN72" s="50" t="s">
        <v>730</v>
      </c>
      <c r="CO72" s="50" t="s">
        <v>5084</v>
      </c>
      <c r="CP72" s="50" t="s">
        <v>5085</v>
      </c>
      <c r="CQ72" s="50" t="s">
        <v>5083</v>
      </c>
      <c r="CR72" s="50" t="s">
        <v>5083</v>
      </c>
    </row>
    <row r="73" spans="1:97" hidden="1">
      <c r="A73" s="50" t="s">
        <v>149</v>
      </c>
      <c r="B73" s="50">
        <v>3139</v>
      </c>
      <c r="C73" s="50" t="e">
        <f>VLOOKUP(B73,'Drop schools 2026'!B:C,2,0)</f>
        <v>#N/A</v>
      </c>
      <c r="D73" s="50" t="s">
        <v>122</v>
      </c>
      <c r="E73" s="50" t="s">
        <v>12491</v>
      </c>
      <c r="F73" s="50" t="s">
        <v>4714</v>
      </c>
      <c r="G73" s="50" t="str">
        <f>VLOOKUP(B73,aa!B:F,5,0)</f>
        <v>Ei ASSET, Ei Mindspark</v>
      </c>
      <c r="H73" s="50">
        <f>VLOOKUP(B73,aa!B:J,9,0)</f>
        <v>1898508</v>
      </c>
      <c r="I73" s="50">
        <f>VLOOKUP(B73,aa!B:L,11,0)</f>
        <v>512160</v>
      </c>
      <c r="J73" s="50">
        <f>VLOOKUP(B73,aa!B:O,14,0)</f>
        <v>0</v>
      </c>
      <c r="K73" s="50">
        <f>VLOOKUP(B73,aa!B:R,17,0)</f>
        <v>1642428</v>
      </c>
      <c r="L73" s="50" t="s">
        <v>193</v>
      </c>
      <c r="M73" s="50">
        <v>1659933</v>
      </c>
      <c r="N73" s="50">
        <v>1927833</v>
      </c>
      <c r="O73" s="50">
        <v>171600</v>
      </c>
      <c r="P73" s="50">
        <v>418</v>
      </c>
      <c r="Q73" s="50" t="s">
        <v>14947</v>
      </c>
      <c r="R73" s="50">
        <v>0</v>
      </c>
      <c r="S73" s="50">
        <v>0</v>
      </c>
      <c r="U73" s="50">
        <v>1488333</v>
      </c>
      <c r="V73" s="50">
        <v>630</v>
      </c>
      <c r="W73" s="50" t="s">
        <v>14948</v>
      </c>
      <c r="X73" s="50" t="s">
        <v>102</v>
      </c>
      <c r="Y73" s="50" t="s">
        <v>679</v>
      </c>
      <c r="Z73" s="50" t="s">
        <v>155</v>
      </c>
      <c r="AA73" s="50" t="s">
        <v>14949</v>
      </c>
      <c r="AB73" s="50" t="s">
        <v>12764</v>
      </c>
      <c r="AC73" s="50" t="s">
        <v>14950</v>
      </c>
      <c r="AD73" s="50" t="s">
        <v>12570</v>
      </c>
      <c r="AE73" s="50" t="s">
        <v>14950</v>
      </c>
      <c r="AF73" s="50" t="s">
        <v>12571</v>
      </c>
      <c r="AG73" s="50" t="s">
        <v>14950</v>
      </c>
      <c r="AH73" s="50" t="s">
        <v>12595</v>
      </c>
      <c r="AI73" s="50" t="s">
        <v>14950</v>
      </c>
      <c r="AJ73" s="50" t="s">
        <v>14951</v>
      </c>
      <c r="AK73" s="50" t="s">
        <v>14080</v>
      </c>
      <c r="AL73" s="50" t="s">
        <v>14952</v>
      </c>
      <c r="AM73" s="50" t="s">
        <v>14953</v>
      </c>
      <c r="AN73" s="50" t="s">
        <v>14954</v>
      </c>
      <c r="AO73" s="50" t="s">
        <v>14955</v>
      </c>
      <c r="AP73" s="50" t="s">
        <v>14956</v>
      </c>
      <c r="AQ73" s="50" t="s">
        <v>14956</v>
      </c>
      <c r="AV73" s="50" t="s">
        <v>207</v>
      </c>
      <c r="AW73" s="50" t="s">
        <v>118</v>
      </c>
      <c r="AX73" s="50" t="s">
        <v>102</v>
      </c>
      <c r="AY73" s="50" t="s">
        <v>119</v>
      </c>
      <c r="BB73" s="50" t="s">
        <v>14957</v>
      </c>
      <c r="BC73" s="50" t="s">
        <v>120</v>
      </c>
      <c r="BD73" s="50" t="s">
        <v>2204</v>
      </c>
      <c r="BE73" s="50" t="s">
        <v>121</v>
      </c>
      <c r="BF73" s="50" t="s">
        <v>122</v>
      </c>
      <c r="BG73" s="50" t="s">
        <v>123</v>
      </c>
      <c r="BH73" s="50" t="s">
        <v>124</v>
      </c>
      <c r="BI73" s="50" t="s">
        <v>14958</v>
      </c>
      <c r="BJ73" s="50" t="s">
        <v>14959</v>
      </c>
      <c r="BK73" s="50" t="s">
        <v>127</v>
      </c>
      <c r="BL73" s="50" t="s">
        <v>14960</v>
      </c>
      <c r="BM73" s="50" t="s">
        <v>4725</v>
      </c>
      <c r="BN73" s="50" t="s">
        <v>14961</v>
      </c>
      <c r="BO73" s="50" t="s">
        <v>14946</v>
      </c>
      <c r="BP73" s="50" t="s">
        <v>1142</v>
      </c>
      <c r="BQ73" s="50" t="s">
        <v>350</v>
      </c>
      <c r="BR73" s="50" t="s">
        <v>1143</v>
      </c>
      <c r="BS73" s="50" t="s">
        <v>1144</v>
      </c>
      <c r="BT73" s="50" t="s">
        <v>566</v>
      </c>
      <c r="BV73" s="50" t="s">
        <v>14962</v>
      </c>
      <c r="BW73" s="50" t="s">
        <v>14963</v>
      </c>
      <c r="BX73" s="50" t="s">
        <v>9092</v>
      </c>
      <c r="BY73" s="50" t="s">
        <v>4729</v>
      </c>
      <c r="BZ73" s="50" t="s">
        <v>14964</v>
      </c>
      <c r="CA73" s="50" t="s">
        <v>4731</v>
      </c>
      <c r="CB73" s="50" t="s">
        <v>14963</v>
      </c>
      <c r="CC73" s="50" t="s">
        <v>4729</v>
      </c>
      <c r="CD73" s="50" t="s">
        <v>14965</v>
      </c>
      <c r="CE73" s="50" t="s">
        <v>14963</v>
      </c>
      <c r="CF73" s="50" t="s">
        <v>4729</v>
      </c>
      <c r="CG73" s="50" t="s">
        <v>14965</v>
      </c>
      <c r="CH73" s="50" t="s">
        <v>102</v>
      </c>
      <c r="CI73" s="50" t="s">
        <v>14966</v>
      </c>
      <c r="CK73" s="50" t="s">
        <v>4735</v>
      </c>
      <c r="CM73" s="50" t="s">
        <v>2204</v>
      </c>
      <c r="CN73" s="50" t="s">
        <v>121</v>
      </c>
      <c r="CO73" s="50" t="s">
        <v>4735</v>
      </c>
      <c r="CP73" s="50" t="s">
        <v>4736</v>
      </c>
      <c r="CQ73" s="50" t="s">
        <v>4734</v>
      </c>
      <c r="CR73" s="50" t="s">
        <v>4734</v>
      </c>
    </row>
    <row r="74" spans="1:97" hidden="1">
      <c r="A74" s="50" t="s">
        <v>495</v>
      </c>
      <c r="B74" s="50">
        <v>128171</v>
      </c>
      <c r="C74" s="50" t="e">
        <f>VLOOKUP(B74,'Drop schools 2026'!B:C,2,0)</f>
        <v>#N/A</v>
      </c>
      <c r="D74" s="50" t="s">
        <v>622</v>
      </c>
      <c r="E74" s="50" t="s">
        <v>2525</v>
      </c>
      <c r="F74" s="50" t="s">
        <v>715</v>
      </c>
      <c r="G74" s="50" t="str">
        <f>VLOOKUP(B74,aa!B:F,5,0)</f>
        <v>Ei ASSET</v>
      </c>
      <c r="H74" s="50">
        <f>VLOOKUP(B74,aa!B:J,9,0)</f>
        <v>150000</v>
      </c>
      <c r="I74" s="50">
        <f>VLOOKUP(B74,aa!B:L,11,0)</f>
        <v>150000</v>
      </c>
      <c r="J74" s="50">
        <f>VLOOKUP(B74,aa!B:O,14,0)</f>
        <v>0</v>
      </c>
      <c r="K74" s="50">
        <f>VLOOKUP(B74,aa!B:R,17,0)</f>
        <v>0</v>
      </c>
      <c r="L74" s="50" t="s">
        <v>152</v>
      </c>
      <c r="M74" s="50">
        <v>1652638</v>
      </c>
      <c r="N74" s="50">
        <v>1652638</v>
      </c>
      <c r="O74" s="50">
        <v>0</v>
      </c>
      <c r="P74" s="50">
        <v>0</v>
      </c>
      <c r="R74" s="50">
        <v>1652638</v>
      </c>
      <c r="S74" s="50">
        <v>1757</v>
      </c>
      <c r="T74" s="50" t="s">
        <v>12325</v>
      </c>
      <c r="U74" s="50">
        <v>0</v>
      </c>
      <c r="V74" s="50">
        <v>0</v>
      </c>
      <c r="X74" s="50" t="s">
        <v>102</v>
      </c>
      <c r="Y74" s="50" t="s">
        <v>103</v>
      </c>
      <c r="Z74" s="50" t="s">
        <v>104</v>
      </c>
      <c r="AB74" s="50" t="s">
        <v>8708</v>
      </c>
      <c r="AC74" s="50" t="s">
        <v>12326</v>
      </c>
      <c r="AD74" s="50" t="s">
        <v>12327</v>
      </c>
      <c r="AE74" s="50" t="s">
        <v>12326</v>
      </c>
      <c r="AF74" s="50" t="s">
        <v>109</v>
      </c>
      <c r="AG74" s="50" t="s">
        <v>102</v>
      </c>
      <c r="AH74" s="50" t="s">
        <v>109</v>
      </c>
      <c r="AI74" s="50" t="s">
        <v>102</v>
      </c>
      <c r="AJ74" s="50" t="s">
        <v>12328</v>
      </c>
      <c r="AK74" s="50" t="s">
        <v>12329</v>
      </c>
      <c r="AL74" s="50" t="s">
        <v>12330</v>
      </c>
      <c r="AM74" s="50" t="s">
        <v>12331</v>
      </c>
      <c r="AN74" s="50" t="s">
        <v>12332</v>
      </c>
      <c r="AO74" s="50" t="s">
        <v>12333</v>
      </c>
      <c r="AP74" s="50" t="s">
        <v>727</v>
      </c>
      <c r="AQ74" s="50" t="s">
        <v>728</v>
      </c>
      <c r="AS74" s="50" t="s">
        <v>169</v>
      </c>
      <c r="AU74" s="50" t="s">
        <v>169</v>
      </c>
      <c r="AV74" s="50" t="s">
        <v>102</v>
      </c>
      <c r="AX74" s="50" t="s">
        <v>155</v>
      </c>
      <c r="AY74" s="50" t="s">
        <v>119</v>
      </c>
      <c r="AZ74" s="50" t="s">
        <v>170</v>
      </c>
      <c r="BA74" s="50" t="s">
        <v>118</v>
      </c>
      <c r="BC74" s="50" t="s">
        <v>120</v>
      </c>
      <c r="BD74" s="50" t="s">
        <v>729</v>
      </c>
      <c r="BE74" s="50" t="s">
        <v>730</v>
      </c>
      <c r="BF74" s="50" t="s">
        <v>622</v>
      </c>
      <c r="BG74" s="50" t="s">
        <v>730</v>
      </c>
      <c r="BH74" s="50" t="s">
        <v>124</v>
      </c>
      <c r="BI74" s="50" t="s">
        <v>12023</v>
      </c>
      <c r="BJ74" s="50" t="s">
        <v>11889</v>
      </c>
      <c r="BK74" s="50" t="s">
        <v>127</v>
      </c>
      <c r="BL74" s="50" t="s">
        <v>12334</v>
      </c>
      <c r="BM74" s="50" t="s">
        <v>732</v>
      </c>
      <c r="BN74" s="50" t="s">
        <v>12335</v>
      </c>
      <c r="BO74" s="50" t="s">
        <v>12324</v>
      </c>
      <c r="BP74" s="50" t="s">
        <v>734</v>
      </c>
      <c r="BQ74" s="50" t="s">
        <v>350</v>
      </c>
      <c r="BR74" s="50" t="s">
        <v>735</v>
      </c>
      <c r="BS74" s="50" t="s">
        <v>736</v>
      </c>
      <c r="BT74" s="50" t="s">
        <v>737</v>
      </c>
      <c r="BV74" s="50" t="s">
        <v>12336</v>
      </c>
      <c r="BW74" s="50" t="s">
        <v>739</v>
      </c>
      <c r="BX74" s="50" t="s">
        <v>138</v>
      </c>
      <c r="BY74" s="50" t="s">
        <v>740</v>
      </c>
      <c r="BZ74" s="50" t="s">
        <v>741</v>
      </c>
      <c r="CA74" s="50" t="s">
        <v>742</v>
      </c>
      <c r="CB74" s="50" t="s">
        <v>739</v>
      </c>
      <c r="CC74" s="50" t="s">
        <v>740</v>
      </c>
      <c r="CD74" s="50" t="s">
        <v>741</v>
      </c>
      <c r="CE74" s="50" t="s">
        <v>739</v>
      </c>
      <c r="CF74" s="50" t="s">
        <v>740</v>
      </c>
      <c r="CG74" s="50" t="s">
        <v>741</v>
      </c>
      <c r="CH74" s="50" t="s">
        <v>746</v>
      </c>
      <c r="CI74" s="50" t="s">
        <v>12337</v>
      </c>
      <c r="CK74" s="50" t="s">
        <v>748</v>
      </c>
      <c r="CL74" s="50" t="s">
        <v>12338</v>
      </c>
      <c r="CM74" s="50" t="s">
        <v>729</v>
      </c>
      <c r="CN74" s="50" t="s">
        <v>730</v>
      </c>
      <c r="CO74" s="50" t="s">
        <v>748</v>
      </c>
      <c r="CP74" s="50" t="s">
        <v>750</v>
      </c>
      <c r="CQ74" s="50" t="s">
        <v>747</v>
      </c>
      <c r="CR74" s="50" t="s">
        <v>749</v>
      </c>
    </row>
    <row r="75" spans="1:97" hidden="1">
      <c r="A75" s="50" t="s">
        <v>337</v>
      </c>
      <c r="B75" s="50">
        <v>2470230</v>
      </c>
      <c r="C75" s="50" t="e">
        <f>VLOOKUP(B75,'Drop schools 2026'!B:C,2,0)</f>
        <v>#N/A</v>
      </c>
      <c r="D75" s="50" t="s">
        <v>212</v>
      </c>
      <c r="E75" s="50" t="s">
        <v>2151</v>
      </c>
      <c r="F75" s="50" t="s">
        <v>14077</v>
      </c>
      <c r="G75" s="50" t="str">
        <f>VLOOKUP(B75,aa!B:F,5,0)</f>
        <v>Ei Mindspark</v>
      </c>
      <c r="H75" s="50">
        <f>VLOOKUP(B75,aa!B:J,9,0)</f>
        <v>0</v>
      </c>
      <c r="I75" s="50">
        <f>VLOOKUP(B75,aa!B:L,11,0)</f>
        <v>0</v>
      </c>
      <c r="J75" s="50">
        <f>VLOOKUP(B75,aa!B:O,14,0)</f>
        <v>0</v>
      </c>
      <c r="K75" s="50">
        <f>VLOOKUP(B75,aa!B:R,17,0)</f>
        <v>0</v>
      </c>
      <c r="L75" s="50" t="s">
        <v>848</v>
      </c>
      <c r="M75" s="50">
        <v>1630650</v>
      </c>
      <c r="N75" s="50">
        <v>1924167</v>
      </c>
      <c r="O75" s="50">
        <v>0</v>
      </c>
      <c r="P75" s="50">
        <v>0</v>
      </c>
      <c r="R75" s="50">
        <v>0</v>
      </c>
      <c r="S75" s="50">
        <v>0</v>
      </c>
      <c r="U75" s="50">
        <v>1630650</v>
      </c>
      <c r="V75" s="50">
        <v>590</v>
      </c>
      <c r="W75" s="50" t="s">
        <v>14079</v>
      </c>
      <c r="X75" s="50" t="s">
        <v>102</v>
      </c>
      <c r="Y75" s="50" t="s">
        <v>679</v>
      </c>
      <c r="Z75" s="50" t="s">
        <v>155</v>
      </c>
      <c r="AA75" s="50" t="s">
        <v>14080</v>
      </c>
      <c r="AB75" s="50" t="s">
        <v>14081</v>
      </c>
      <c r="AC75" s="50" t="s">
        <v>14082</v>
      </c>
      <c r="AD75" s="50" t="s">
        <v>14083</v>
      </c>
      <c r="AE75" s="50" t="s">
        <v>14082</v>
      </c>
      <c r="AF75" s="50" t="s">
        <v>12628</v>
      </c>
      <c r="AG75" s="50" t="s">
        <v>14082</v>
      </c>
      <c r="AH75" s="50" t="s">
        <v>14084</v>
      </c>
      <c r="AI75" s="50" t="s">
        <v>14082</v>
      </c>
      <c r="AJ75" s="50" t="s">
        <v>14085</v>
      </c>
      <c r="AK75" s="50" t="s">
        <v>559</v>
      </c>
      <c r="AL75" s="50" t="s">
        <v>13964</v>
      </c>
      <c r="AM75" s="50" t="s">
        <v>14086</v>
      </c>
      <c r="AN75" s="50" t="s">
        <v>14087</v>
      </c>
      <c r="AO75" s="50" t="s">
        <v>14088</v>
      </c>
      <c r="AP75" s="50" t="s">
        <v>14089</v>
      </c>
      <c r="AQ75" s="50" t="s">
        <v>14089</v>
      </c>
      <c r="AV75" s="50" t="s">
        <v>102</v>
      </c>
      <c r="AX75" s="50" t="s">
        <v>102</v>
      </c>
      <c r="AY75" s="50" t="s">
        <v>119</v>
      </c>
      <c r="BB75" s="50" t="s">
        <v>250</v>
      </c>
      <c r="BC75" s="50" t="s">
        <v>120</v>
      </c>
      <c r="BD75" s="50" t="s">
        <v>7718</v>
      </c>
      <c r="BE75" s="50" t="s">
        <v>211</v>
      </c>
      <c r="BF75" s="50" t="s">
        <v>212</v>
      </c>
      <c r="BG75" s="50" t="s">
        <v>213</v>
      </c>
      <c r="BH75" s="50" t="s">
        <v>124</v>
      </c>
      <c r="BI75" s="50" t="s">
        <v>14090</v>
      </c>
      <c r="BJ75" s="50" t="s">
        <v>14091</v>
      </c>
      <c r="BK75" s="50" t="s">
        <v>127</v>
      </c>
      <c r="BL75" s="50" t="s">
        <v>14092</v>
      </c>
      <c r="BM75" s="50" t="s">
        <v>14093</v>
      </c>
      <c r="BN75" s="50" t="s">
        <v>14094</v>
      </c>
      <c r="BO75" s="50" t="s">
        <v>14078</v>
      </c>
      <c r="BP75" s="50" t="s">
        <v>13874</v>
      </c>
      <c r="BQ75" s="50" t="s">
        <v>180</v>
      </c>
      <c r="BR75" s="50" t="s">
        <v>13876</v>
      </c>
      <c r="BS75" s="50" t="s">
        <v>13877</v>
      </c>
      <c r="BT75" s="50" t="s">
        <v>2463</v>
      </c>
      <c r="BV75" s="50" t="s">
        <v>14095</v>
      </c>
      <c r="BW75" s="50" t="s">
        <v>14096</v>
      </c>
      <c r="BX75" s="50" t="s">
        <v>1282</v>
      </c>
      <c r="BY75" s="50" t="s">
        <v>14097</v>
      </c>
      <c r="BZ75" s="50" t="s">
        <v>14098</v>
      </c>
      <c r="CA75" s="50" t="s">
        <v>14099</v>
      </c>
      <c r="CB75" s="50" t="s">
        <v>14096</v>
      </c>
      <c r="CC75" s="50" t="s">
        <v>14097</v>
      </c>
      <c r="CD75" s="50" t="s">
        <v>14098</v>
      </c>
      <c r="CE75" s="50" t="s">
        <v>14100</v>
      </c>
      <c r="CF75" s="50" t="s">
        <v>14101</v>
      </c>
      <c r="CG75" s="50" t="s">
        <v>14102</v>
      </c>
      <c r="CH75" s="50" t="s">
        <v>14103</v>
      </c>
      <c r="CI75" s="50" t="s">
        <v>14104</v>
      </c>
      <c r="CK75" s="50" t="s">
        <v>5844</v>
      </c>
      <c r="CM75" s="50" t="s">
        <v>7718</v>
      </c>
      <c r="CN75" s="50" t="s">
        <v>2474</v>
      </c>
      <c r="CO75" s="50" t="s">
        <v>5844</v>
      </c>
      <c r="CP75" s="50" t="s">
        <v>14105</v>
      </c>
      <c r="CQ75" s="50" t="s">
        <v>14106</v>
      </c>
      <c r="CR75" s="50" t="s">
        <v>14106</v>
      </c>
      <c r="CS75" s="50" t="s">
        <v>26045</v>
      </c>
    </row>
    <row r="76" spans="1:97" hidden="1">
      <c r="A76" s="50" t="s">
        <v>149</v>
      </c>
      <c r="B76" s="50">
        <v>525210</v>
      </c>
      <c r="C76" s="50" t="str">
        <f>VLOOKUP(B76,RISK!B:C,2,0)</f>
        <v>Risk</v>
      </c>
      <c r="D76" s="50" t="s">
        <v>212</v>
      </c>
      <c r="E76" s="50" t="s">
        <v>11995</v>
      </c>
      <c r="F76" s="50" t="s">
        <v>6374</v>
      </c>
      <c r="G76" s="50" t="e">
        <f>VLOOKUP(B76,aa!B:F,5,0)</f>
        <v>#N/A</v>
      </c>
      <c r="H76" s="50" t="e">
        <f>VLOOKUP(B76,aa!B:J,9,0)</f>
        <v>#N/A</v>
      </c>
      <c r="I76" s="50" t="e">
        <f>VLOOKUP(B76,aa!B:L,11,0)</f>
        <v>#N/A</v>
      </c>
      <c r="J76" s="50" t="e">
        <f>VLOOKUP(B76,aa!B:O,14,0)</f>
        <v>#N/A</v>
      </c>
      <c r="K76" s="50" t="e">
        <f>VLOOKUP(B76,aa!B:R,17,0)</f>
        <v>#N/A</v>
      </c>
      <c r="L76" s="50" t="s">
        <v>97</v>
      </c>
      <c r="M76" s="50">
        <v>1630174</v>
      </c>
      <c r="N76" s="50">
        <v>1630174</v>
      </c>
      <c r="O76" s="50">
        <v>1630174</v>
      </c>
      <c r="P76" s="50">
        <v>2174</v>
      </c>
      <c r="Q76" s="50" t="s">
        <v>101</v>
      </c>
      <c r="R76" s="50">
        <v>0</v>
      </c>
      <c r="S76" s="50">
        <v>0</v>
      </c>
      <c r="U76" s="50">
        <v>0</v>
      </c>
      <c r="V76" s="50">
        <v>0</v>
      </c>
      <c r="X76" s="50" t="s">
        <v>102</v>
      </c>
      <c r="Y76" s="50" t="s">
        <v>103</v>
      </c>
      <c r="Z76" s="50" t="s">
        <v>104</v>
      </c>
      <c r="AB76" s="50" t="s">
        <v>8708</v>
      </c>
      <c r="AC76" s="50" t="s">
        <v>21020</v>
      </c>
      <c r="AD76" s="50" t="s">
        <v>12800</v>
      </c>
      <c r="AE76" s="50" t="s">
        <v>21020</v>
      </c>
      <c r="AF76" s="50" t="s">
        <v>109</v>
      </c>
      <c r="AG76" s="50" t="s">
        <v>102</v>
      </c>
      <c r="AH76" s="50" t="s">
        <v>109</v>
      </c>
      <c r="AI76" s="50" t="s">
        <v>102</v>
      </c>
      <c r="AJ76" s="50" t="s">
        <v>21021</v>
      </c>
      <c r="AK76" s="50" t="s">
        <v>12873</v>
      </c>
      <c r="AL76" s="50" t="s">
        <v>12873</v>
      </c>
      <c r="AM76" s="50" t="s">
        <v>21022</v>
      </c>
      <c r="AN76" s="50" t="s">
        <v>21023</v>
      </c>
      <c r="AO76" s="50" t="s">
        <v>21024</v>
      </c>
      <c r="AP76" s="50" t="s">
        <v>18913</v>
      </c>
      <c r="AQ76" s="50" t="s">
        <v>18913</v>
      </c>
      <c r="AV76" s="50" t="s">
        <v>318</v>
      </c>
      <c r="AW76" s="50" t="s">
        <v>118</v>
      </c>
      <c r="AX76" s="50" t="s">
        <v>102</v>
      </c>
      <c r="AY76" s="50" t="s">
        <v>119</v>
      </c>
      <c r="BC76" s="50" t="s">
        <v>120</v>
      </c>
      <c r="BD76" s="50" t="s">
        <v>284</v>
      </c>
      <c r="BE76" s="50" t="s">
        <v>285</v>
      </c>
      <c r="BF76" s="50" t="s">
        <v>212</v>
      </c>
      <c r="BG76" s="50" t="s">
        <v>286</v>
      </c>
      <c r="BH76" s="50" t="s">
        <v>124</v>
      </c>
      <c r="BI76" s="50" t="s">
        <v>12023</v>
      </c>
      <c r="BJ76" s="50" t="s">
        <v>11889</v>
      </c>
      <c r="BK76" s="50" t="s">
        <v>127</v>
      </c>
      <c r="BL76" s="50" t="s">
        <v>21025</v>
      </c>
      <c r="BM76" s="50" t="s">
        <v>10940</v>
      </c>
      <c r="BN76" s="50" t="s">
        <v>21026</v>
      </c>
      <c r="BO76" s="50" t="s">
        <v>12425</v>
      </c>
      <c r="BP76" s="50" t="s">
        <v>956</v>
      </c>
      <c r="BQ76" s="50" t="s">
        <v>132</v>
      </c>
      <c r="BR76" s="50" t="s">
        <v>958</v>
      </c>
      <c r="BS76" s="50" t="s">
        <v>959</v>
      </c>
      <c r="BT76" s="50" t="s">
        <v>293</v>
      </c>
      <c r="BV76" s="50" t="s">
        <v>21027</v>
      </c>
      <c r="BW76" s="50" t="s">
        <v>21028</v>
      </c>
      <c r="BX76" s="50" t="s">
        <v>138</v>
      </c>
      <c r="BY76" s="50" t="s">
        <v>10944</v>
      </c>
      <c r="BZ76" s="50" t="s">
        <v>10945</v>
      </c>
      <c r="CA76" s="50" t="s">
        <v>10944</v>
      </c>
      <c r="CB76" s="50" t="s">
        <v>21028</v>
      </c>
      <c r="CC76" s="50" t="s">
        <v>10944</v>
      </c>
      <c r="CD76" s="50" t="s">
        <v>10945</v>
      </c>
      <c r="CE76" s="50" t="s">
        <v>21028</v>
      </c>
      <c r="CF76" s="50" t="s">
        <v>10944</v>
      </c>
      <c r="CG76" s="50" t="s">
        <v>10945</v>
      </c>
      <c r="CH76" s="50" t="s">
        <v>10744</v>
      </c>
      <c r="CI76" s="50" t="s">
        <v>10949</v>
      </c>
      <c r="CK76" s="50" t="s">
        <v>10950</v>
      </c>
      <c r="CL76" s="50" t="s">
        <v>10949</v>
      </c>
      <c r="CM76" s="50" t="s">
        <v>284</v>
      </c>
      <c r="CN76" s="50" t="s">
        <v>285</v>
      </c>
      <c r="CO76" s="50" t="s">
        <v>10950</v>
      </c>
      <c r="CP76" s="50" t="s">
        <v>10747</v>
      </c>
      <c r="CQ76" s="50" t="s">
        <v>10748</v>
      </c>
      <c r="CR76" s="50" t="s">
        <v>10749</v>
      </c>
      <c r="CS76" s="50" t="s">
        <v>26042</v>
      </c>
    </row>
    <row r="77" spans="1:97" hidden="1">
      <c r="A77" s="50" t="s">
        <v>149</v>
      </c>
      <c r="B77" s="50">
        <v>104830</v>
      </c>
      <c r="C77" s="50" t="e">
        <f>VLOOKUP(B77,'Drop schools 2026'!B:C,2,0)</f>
        <v>#N/A</v>
      </c>
      <c r="D77" s="50" t="s">
        <v>212</v>
      </c>
      <c r="E77" s="50" t="s">
        <v>418</v>
      </c>
      <c r="F77" s="50" t="s">
        <v>394</v>
      </c>
      <c r="G77" s="50" t="e">
        <f>VLOOKUP(B77,aa!B:F,5,0)</f>
        <v>#N/A</v>
      </c>
      <c r="H77" s="50" t="e">
        <f>VLOOKUP(B77,aa!B:J,9,0)</f>
        <v>#N/A</v>
      </c>
      <c r="I77" s="50" t="e">
        <f>VLOOKUP(B77,aa!B:L,11,0)</f>
        <v>#N/A</v>
      </c>
      <c r="J77" s="50" t="e">
        <f>VLOOKUP(B77,aa!B:O,14,0)</f>
        <v>#N/A</v>
      </c>
      <c r="K77" s="50" t="e">
        <f>VLOOKUP(B77,aa!B:R,17,0)</f>
        <v>#N/A</v>
      </c>
      <c r="L77" s="50" t="s">
        <v>152</v>
      </c>
      <c r="M77" s="50">
        <v>1559158</v>
      </c>
      <c r="N77" s="50">
        <v>1559158</v>
      </c>
      <c r="O77" s="50">
        <v>0</v>
      </c>
      <c r="P77" s="50">
        <v>0</v>
      </c>
      <c r="R77" s="50">
        <v>1559158</v>
      </c>
      <c r="S77" s="50">
        <v>1155</v>
      </c>
      <c r="T77" s="50" t="s">
        <v>397</v>
      </c>
      <c r="U77" s="50">
        <v>0</v>
      </c>
      <c r="V77" s="50">
        <v>0</v>
      </c>
      <c r="X77" s="50" t="s">
        <v>102</v>
      </c>
      <c r="Y77" s="50" t="s">
        <v>103</v>
      </c>
      <c r="Z77" s="50" t="s">
        <v>398</v>
      </c>
      <c r="AB77" s="50" t="s">
        <v>11959</v>
      </c>
      <c r="AC77" s="50" t="s">
        <v>12081</v>
      </c>
      <c r="AD77" s="50" t="s">
        <v>12082</v>
      </c>
      <c r="AE77" s="50" t="s">
        <v>12083</v>
      </c>
      <c r="AF77" s="50" t="s">
        <v>12084</v>
      </c>
      <c r="AG77" s="50" t="s">
        <v>12083</v>
      </c>
      <c r="AH77" s="50" t="s">
        <v>109</v>
      </c>
      <c r="AI77" s="50" t="s">
        <v>102</v>
      </c>
      <c r="AJ77" s="50" t="s">
        <v>12085</v>
      </c>
      <c r="AK77" s="50" t="s">
        <v>12040</v>
      </c>
      <c r="AL77" s="50" t="s">
        <v>12086</v>
      </c>
      <c r="AM77" s="50" t="s">
        <v>12087</v>
      </c>
      <c r="AN77" s="50" t="s">
        <v>12088</v>
      </c>
      <c r="AO77" s="50" t="s">
        <v>12089</v>
      </c>
      <c r="AP77" s="50" t="s">
        <v>408</v>
      </c>
      <c r="AQ77" s="50" t="s">
        <v>408</v>
      </c>
      <c r="AV77" s="50" t="s">
        <v>102</v>
      </c>
      <c r="AX77" s="50" t="s">
        <v>155</v>
      </c>
      <c r="AY77" s="50" t="s">
        <v>119</v>
      </c>
      <c r="AZ77" s="50" t="s">
        <v>170</v>
      </c>
      <c r="BA77" s="50" t="s">
        <v>118</v>
      </c>
      <c r="BC77" s="50" t="s">
        <v>120</v>
      </c>
      <c r="BD77" s="50" t="s">
        <v>409</v>
      </c>
      <c r="BE77" s="50" t="s">
        <v>410</v>
      </c>
      <c r="BF77" s="50" t="s">
        <v>212</v>
      </c>
      <c r="BG77" s="50" t="s">
        <v>410</v>
      </c>
      <c r="BH77" s="50" t="s">
        <v>124</v>
      </c>
      <c r="BI77" s="50" t="s">
        <v>11959</v>
      </c>
      <c r="BJ77" s="50" t="s">
        <v>12047</v>
      </c>
      <c r="BK77" s="50" t="s">
        <v>127</v>
      </c>
      <c r="BL77" s="50" t="s">
        <v>12090</v>
      </c>
      <c r="BM77" s="50" t="s">
        <v>413</v>
      </c>
      <c r="BN77" s="50" t="s">
        <v>12091</v>
      </c>
      <c r="BO77" s="50" t="s">
        <v>4813</v>
      </c>
      <c r="BP77" s="50" t="s">
        <v>866</v>
      </c>
      <c r="BQ77" s="50" t="s">
        <v>132</v>
      </c>
      <c r="BR77" s="50" t="s">
        <v>867</v>
      </c>
      <c r="BS77" s="50" t="s">
        <v>868</v>
      </c>
      <c r="BT77" s="50" t="s">
        <v>418</v>
      </c>
      <c r="BV77" s="50" t="s">
        <v>12092</v>
      </c>
      <c r="BW77" s="50" t="s">
        <v>12093</v>
      </c>
      <c r="BX77" s="50" t="s">
        <v>138</v>
      </c>
      <c r="BY77" s="50" t="s">
        <v>423</v>
      </c>
      <c r="BZ77" s="50" t="s">
        <v>422</v>
      </c>
      <c r="CA77" s="50" t="s">
        <v>423</v>
      </c>
      <c r="CB77" s="50" t="s">
        <v>12093</v>
      </c>
      <c r="CC77" s="50" t="s">
        <v>423</v>
      </c>
      <c r="CD77" s="50" t="s">
        <v>422</v>
      </c>
      <c r="CE77" s="50" t="s">
        <v>12094</v>
      </c>
      <c r="CF77" s="50" t="s">
        <v>425</v>
      </c>
      <c r="CG77" s="50" t="s">
        <v>426</v>
      </c>
      <c r="CH77" s="50" t="s">
        <v>102</v>
      </c>
      <c r="CI77" s="50" t="s">
        <v>427</v>
      </c>
      <c r="CK77" s="50" t="s">
        <v>428</v>
      </c>
      <c r="CM77" s="50" t="s">
        <v>409</v>
      </c>
      <c r="CN77" s="50" t="s">
        <v>410</v>
      </c>
      <c r="CO77" s="50" t="s">
        <v>428</v>
      </c>
      <c r="CP77" s="50" t="s">
        <v>429</v>
      </c>
      <c r="CQ77" s="50" t="s">
        <v>427</v>
      </c>
      <c r="CR77" s="50" t="s">
        <v>427</v>
      </c>
      <c r="CS77" s="50" t="s">
        <v>26040</v>
      </c>
    </row>
    <row r="78" spans="1:97" hidden="1">
      <c r="A78" s="50" t="s">
        <v>149</v>
      </c>
      <c r="B78" s="50">
        <v>3594140</v>
      </c>
      <c r="C78" s="50" t="e">
        <f>VLOOKUP(B78,'Drop schools 2026'!B:C,2,0)</f>
        <v>#N/A</v>
      </c>
      <c r="D78" s="50" t="s">
        <v>212</v>
      </c>
      <c r="E78" s="50" t="s">
        <v>11995</v>
      </c>
      <c r="F78" s="50" t="s">
        <v>6856</v>
      </c>
      <c r="G78" s="50" t="str">
        <f>VLOOKUP(B78,aa!B:F,5,0)</f>
        <v>Ei ASSET,Ei Mindspark</v>
      </c>
      <c r="H78" s="50">
        <f>VLOOKUP(B78,aa!B:J,9,0)</f>
        <v>1712819</v>
      </c>
      <c r="I78" s="50">
        <f>VLOOKUP(B78,aa!B:L,11,0)</f>
        <v>1096200</v>
      </c>
      <c r="J78" s="50">
        <f>VLOOKUP(B78,aa!B:O,14,0)</f>
        <v>0</v>
      </c>
      <c r="K78" s="50">
        <f>VLOOKUP(B78,aa!B:R,17,0)</f>
        <v>616619</v>
      </c>
      <c r="L78" s="50" t="s">
        <v>2163</v>
      </c>
      <c r="M78" s="50">
        <v>1556936</v>
      </c>
      <c r="N78" s="50">
        <v>1649433</v>
      </c>
      <c r="O78" s="50">
        <v>1043063</v>
      </c>
      <c r="P78" s="50">
        <v>1449</v>
      </c>
      <c r="Q78" s="50" t="s">
        <v>995</v>
      </c>
      <c r="R78" s="50">
        <v>0</v>
      </c>
      <c r="S78" s="50">
        <v>100</v>
      </c>
      <c r="T78" s="50" t="s">
        <v>102</v>
      </c>
      <c r="U78" s="50">
        <v>513873</v>
      </c>
      <c r="V78" s="50">
        <v>379</v>
      </c>
      <c r="W78" s="50" t="s">
        <v>4518</v>
      </c>
      <c r="X78" s="50" t="s">
        <v>102</v>
      </c>
      <c r="Y78" s="50" t="s">
        <v>679</v>
      </c>
      <c r="Z78" s="50" t="s">
        <v>5317</v>
      </c>
      <c r="AA78" s="50" t="s">
        <v>3679</v>
      </c>
      <c r="AB78" s="50" t="s">
        <v>15616</v>
      </c>
      <c r="AC78" s="50" t="s">
        <v>16604</v>
      </c>
      <c r="AD78" s="50" t="s">
        <v>16605</v>
      </c>
      <c r="AE78" s="50" t="s">
        <v>16606</v>
      </c>
      <c r="AF78" s="50" t="s">
        <v>14349</v>
      </c>
      <c r="AG78" s="50" t="s">
        <v>16607</v>
      </c>
      <c r="AH78" s="50" t="s">
        <v>109</v>
      </c>
      <c r="AI78" s="50" t="s">
        <v>102</v>
      </c>
      <c r="AJ78" s="50" t="s">
        <v>16608</v>
      </c>
      <c r="AK78" s="50" t="s">
        <v>857</v>
      </c>
      <c r="AL78" s="50" t="s">
        <v>16609</v>
      </c>
      <c r="AM78" s="50" t="s">
        <v>16610</v>
      </c>
      <c r="AN78" s="50" t="s">
        <v>16611</v>
      </c>
      <c r="AO78" s="50" t="s">
        <v>16612</v>
      </c>
      <c r="AP78" s="50" t="s">
        <v>16613</v>
      </c>
      <c r="AQ78" s="50" t="s">
        <v>16613</v>
      </c>
      <c r="AV78" s="50" t="s">
        <v>207</v>
      </c>
      <c r="AW78" s="50" t="s">
        <v>118</v>
      </c>
      <c r="AX78" s="50" t="s">
        <v>1103</v>
      </c>
      <c r="AY78" s="50" t="s">
        <v>119</v>
      </c>
      <c r="BA78" s="50" t="s">
        <v>250</v>
      </c>
      <c r="BB78" s="50" t="s">
        <v>250</v>
      </c>
      <c r="BC78" s="50" t="s">
        <v>120</v>
      </c>
      <c r="BD78" s="50" t="s">
        <v>284</v>
      </c>
      <c r="BE78" s="50" t="s">
        <v>285</v>
      </c>
      <c r="BF78" s="50" t="s">
        <v>212</v>
      </c>
      <c r="BG78" s="50" t="s">
        <v>286</v>
      </c>
      <c r="BH78" s="50" t="s">
        <v>124</v>
      </c>
      <c r="BI78" s="50" t="s">
        <v>16614</v>
      </c>
      <c r="BJ78" s="50" t="s">
        <v>16615</v>
      </c>
      <c r="BK78" s="50" t="s">
        <v>127</v>
      </c>
      <c r="BL78" s="50" t="s">
        <v>16616</v>
      </c>
      <c r="BM78" s="50" t="s">
        <v>6872</v>
      </c>
      <c r="BN78" s="50" t="s">
        <v>16617</v>
      </c>
      <c r="BO78" s="50" t="s">
        <v>16603</v>
      </c>
      <c r="BP78" s="50" t="s">
        <v>12008</v>
      </c>
      <c r="BQ78" s="50" t="s">
        <v>132</v>
      </c>
      <c r="BR78" s="50" t="s">
        <v>12009</v>
      </c>
      <c r="BS78" s="50" t="s">
        <v>12010</v>
      </c>
      <c r="BT78" s="50" t="s">
        <v>4765</v>
      </c>
      <c r="BV78" s="50" t="s">
        <v>16618</v>
      </c>
      <c r="BW78" s="50" t="s">
        <v>16619</v>
      </c>
      <c r="BX78" s="50" t="s">
        <v>16620</v>
      </c>
      <c r="BY78" s="50" t="s">
        <v>16621</v>
      </c>
      <c r="BZ78" s="50" t="s">
        <v>16622</v>
      </c>
      <c r="CA78" s="50" t="s">
        <v>6878</v>
      </c>
      <c r="CB78" s="50" t="s">
        <v>16623</v>
      </c>
      <c r="CC78" s="50" t="s">
        <v>16624</v>
      </c>
      <c r="CD78" s="50" t="s">
        <v>16625</v>
      </c>
      <c r="CE78" s="50" t="s">
        <v>16626</v>
      </c>
      <c r="CF78" s="50" t="s">
        <v>16627</v>
      </c>
      <c r="CG78" s="50" t="s">
        <v>16628</v>
      </c>
      <c r="CH78" s="50" t="s">
        <v>102</v>
      </c>
      <c r="CI78" s="50" t="s">
        <v>16629</v>
      </c>
      <c r="CK78" s="50" t="s">
        <v>6729</v>
      </c>
      <c r="CM78" s="50" t="s">
        <v>284</v>
      </c>
      <c r="CN78" s="50" t="s">
        <v>285</v>
      </c>
      <c r="CO78" s="50" t="s">
        <v>6729</v>
      </c>
      <c r="CP78" s="50" t="s">
        <v>6886</v>
      </c>
      <c r="CQ78" s="50" t="s">
        <v>6887</v>
      </c>
      <c r="CR78" s="50" t="s">
        <v>6885</v>
      </c>
    </row>
    <row r="79" spans="1:97" hidden="1">
      <c r="A79" s="50" t="s">
        <v>93</v>
      </c>
      <c r="B79" s="50">
        <v>5018153</v>
      </c>
      <c r="C79" s="50" t="e">
        <f>VLOOKUP(B79,'Drop schools 2026'!B:C,2,0)</f>
        <v>#N/A</v>
      </c>
      <c r="D79" s="50" t="s">
        <v>122</v>
      </c>
      <c r="E79" s="50" t="s">
        <v>13158</v>
      </c>
      <c r="F79" s="50" t="s">
        <v>10537</v>
      </c>
      <c r="G79" s="50" t="e">
        <f>VLOOKUP(B79,aa!B:F,5,0)</f>
        <v>#N/A</v>
      </c>
      <c r="H79" s="50" t="e">
        <f>VLOOKUP(B79,aa!B:J,9,0)</f>
        <v>#N/A</v>
      </c>
      <c r="I79" s="50" t="e">
        <f>VLOOKUP(B79,aa!B:L,11,0)</f>
        <v>#N/A</v>
      </c>
      <c r="J79" s="50" t="e">
        <f>VLOOKUP(B79,aa!B:O,14,0)</f>
        <v>#N/A</v>
      </c>
      <c r="K79" s="50" t="e">
        <f>VLOOKUP(B79,aa!B:R,17,0)</f>
        <v>#N/A</v>
      </c>
      <c r="L79" s="50" t="s">
        <v>97</v>
      </c>
      <c r="M79" s="50">
        <v>1539059</v>
      </c>
      <c r="N79" s="50">
        <v>1539059</v>
      </c>
      <c r="O79" s="50">
        <v>1539059</v>
      </c>
      <c r="P79" s="50">
        <v>1509</v>
      </c>
      <c r="Q79" s="50" t="s">
        <v>19442</v>
      </c>
      <c r="R79" s="50">
        <v>0</v>
      </c>
      <c r="S79" s="50">
        <v>0</v>
      </c>
      <c r="U79" s="50">
        <v>0</v>
      </c>
      <c r="V79" s="50">
        <v>0</v>
      </c>
      <c r="X79" s="50" t="s">
        <v>102</v>
      </c>
      <c r="Y79" s="50" t="s">
        <v>103</v>
      </c>
      <c r="Z79" s="50" t="s">
        <v>104</v>
      </c>
      <c r="AB79" s="50" t="s">
        <v>12312</v>
      </c>
      <c r="AC79" s="50" t="s">
        <v>19443</v>
      </c>
      <c r="AD79" s="50" t="s">
        <v>12427</v>
      </c>
      <c r="AE79" s="50" t="s">
        <v>19443</v>
      </c>
      <c r="AF79" s="50" t="s">
        <v>109</v>
      </c>
      <c r="AG79" s="50" t="s">
        <v>102</v>
      </c>
      <c r="AH79" s="50" t="s">
        <v>109</v>
      </c>
      <c r="AI79" s="50" t="s">
        <v>102</v>
      </c>
      <c r="AJ79" s="50" t="s">
        <v>102</v>
      </c>
      <c r="AM79" s="50" t="s">
        <v>19444</v>
      </c>
      <c r="AN79" s="50" t="s">
        <v>102</v>
      </c>
      <c r="AO79" s="50" t="s">
        <v>19444</v>
      </c>
      <c r="AP79" s="50" t="s">
        <v>19445</v>
      </c>
      <c r="AQ79" s="50" t="s">
        <v>19445</v>
      </c>
      <c r="AV79" s="50" t="s">
        <v>318</v>
      </c>
      <c r="AW79" s="50" t="s">
        <v>118</v>
      </c>
      <c r="AX79" s="50" t="s">
        <v>102</v>
      </c>
      <c r="AY79" s="50" t="s">
        <v>119</v>
      </c>
      <c r="BC79" s="50" t="s">
        <v>120</v>
      </c>
      <c r="BD79" s="50" t="s">
        <v>1407</v>
      </c>
      <c r="BE79" s="50" t="s">
        <v>449</v>
      </c>
      <c r="BF79" s="50" t="s">
        <v>122</v>
      </c>
      <c r="BG79" s="50" t="s">
        <v>450</v>
      </c>
      <c r="BH79" s="50" t="s">
        <v>124</v>
      </c>
      <c r="BI79" s="50" t="s">
        <v>12425</v>
      </c>
      <c r="BJ79" s="50" t="s">
        <v>11889</v>
      </c>
      <c r="BK79" s="50" t="s">
        <v>127</v>
      </c>
      <c r="BL79" s="50" t="s">
        <v>19446</v>
      </c>
      <c r="BM79" s="50" t="s">
        <v>10548</v>
      </c>
      <c r="BN79" s="50" t="s">
        <v>19447</v>
      </c>
      <c r="BO79" s="50" t="s">
        <v>12324</v>
      </c>
      <c r="BP79" s="50" t="s">
        <v>1108</v>
      </c>
      <c r="BQ79" s="50" t="s">
        <v>350</v>
      </c>
      <c r="BR79" s="50" t="s">
        <v>1109</v>
      </c>
      <c r="BS79" s="50" t="s">
        <v>1110</v>
      </c>
      <c r="BT79" s="50" t="s">
        <v>1111</v>
      </c>
      <c r="BV79" s="50" t="s">
        <v>19448</v>
      </c>
      <c r="BW79" s="50" t="s">
        <v>19449</v>
      </c>
      <c r="BX79" s="50" t="s">
        <v>569</v>
      </c>
      <c r="BY79" s="50" t="s">
        <v>19450</v>
      </c>
      <c r="BZ79" s="50" t="s">
        <v>19451</v>
      </c>
      <c r="CB79" s="50" t="s">
        <v>19452</v>
      </c>
      <c r="CC79" s="50" t="s">
        <v>5917</v>
      </c>
      <c r="CD79" s="50" t="s">
        <v>19453</v>
      </c>
      <c r="CE79" s="50" t="s">
        <v>19454</v>
      </c>
      <c r="CF79" s="50" t="s">
        <v>19450</v>
      </c>
      <c r="CG79" s="50" t="s">
        <v>19451</v>
      </c>
      <c r="CH79" s="50" t="s">
        <v>102</v>
      </c>
      <c r="CI79" s="50" t="s">
        <v>19455</v>
      </c>
      <c r="CK79" s="50" t="s">
        <v>1419</v>
      </c>
      <c r="CM79" s="50" t="s">
        <v>1407</v>
      </c>
      <c r="CN79" s="50" t="s">
        <v>449</v>
      </c>
      <c r="CO79" s="50" t="s">
        <v>1419</v>
      </c>
      <c r="CP79" s="50" t="s">
        <v>5919</v>
      </c>
      <c r="CQ79" s="50" t="s">
        <v>10551</v>
      </c>
      <c r="CR79" s="50" t="s">
        <v>10551</v>
      </c>
    </row>
    <row r="80" spans="1:97" hidden="1">
      <c r="A80" s="50" t="s">
        <v>149</v>
      </c>
      <c r="B80" s="50">
        <v>598546</v>
      </c>
      <c r="C80" s="50" t="e">
        <f>VLOOKUP(B80,'Drop schools 2026'!B:C,2,0)</f>
        <v>#N/A</v>
      </c>
      <c r="D80" s="50" t="s">
        <v>174</v>
      </c>
      <c r="E80" s="50" t="s">
        <v>1111</v>
      </c>
      <c r="F80" s="50" t="s">
        <v>11241</v>
      </c>
      <c r="G80" s="50" t="str">
        <f>VLOOKUP(B80,aa!B:F,5,0)</f>
        <v>Ei ASSET, Ei CARES, Ei Mindspark</v>
      </c>
      <c r="H80" s="50">
        <f>VLOOKUP(B80,aa!B:J,9,0)</f>
        <v>1516939</v>
      </c>
      <c r="I80" s="50">
        <f>VLOOKUP(B80,aa!B:L,11,0)</f>
        <v>385092</v>
      </c>
      <c r="J80" s="50">
        <f>VLOOKUP(B80,aa!B:O,14,0)</f>
        <v>154691</v>
      </c>
      <c r="K80" s="50">
        <f>VLOOKUP(B80,aa!B:R,17,0)</f>
        <v>977156</v>
      </c>
      <c r="L80" s="50" t="s">
        <v>2163</v>
      </c>
      <c r="M80" s="50">
        <v>1534460</v>
      </c>
      <c r="N80" s="50">
        <v>1716862</v>
      </c>
      <c r="O80" s="50">
        <v>359947</v>
      </c>
      <c r="P80" s="50">
        <v>409</v>
      </c>
      <c r="Q80" s="50" t="s">
        <v>12942</v>
      </c>
      <c r="R80" s="50">
        <v>161166</v>
      </c>
      <c r="S80" s="50">
        <v>124</v>
      </c>
      <c r="T80" s="50" t="s">
        <v>8534</v>
      </c>
      <c r="U80" s="50">
        <v>1013347</v>
      </c>
      <c r="V80" s="50">
        <v>280</v>
      </c>
      <c r="W80" s="50" t="s">
        <v>21195</v>
      </c>
      <c r="X80" s="50" t="s">
        <v>102</v>
      </c>
      <c r="Y80" s="50" t="s">
        <v>275</v>
      </c>
      <c r="AA80" s="50" t="s">
        <v>8054</v>
      </c>
      <c r="AB80" s="50" t="s">
        <v>109</v>
      </c>
      <c r="AC80" s="50" t="s">
        <v>102</v>
      </c>
      <c r="AD80" s="50" t="s">
        <v>109</v>
      </c>
      <c r="AE80" s="50" t="s">
        <v>102</v>
      </c>
      <c r="AF80" s="50" t="s">
        <v>109</v>
      </c>
      <c r="AG80" s="50" t="s">
        <v>102</v>
      </c>
      <c r="AH80" s="50" t="s">
        <v>109</v>
      </c>
      <c r="AI80" s="50" t="s">
        <v>102</v>
      </c>
      <c r="AJ80" s="50" t="s">
        <v>102</v>
      </c>
      <c r="AK80" s="50" t="s">
        <v>945</v>
      </c>
      <c r="AL80" s="50" t="s">
        <v>945</v>
      </c>
      <c r="AM80" s="50" t="s">
        <v>21196</v>
      </c>
      <c r="AN80" s="50" t="s">
        <v>21197</v>
      </c>
      <c r="AO80" s="50" t="s">
        <v>21198</v>
      </c>
      <c r="AP80" s="50" t="s">
        <v>21199</v>
      </c>
      <c r="AQ80" s="50" t="s">
        <v>21200</v>
      </c>
      <c r="AR80" s="50" t="s">
        <v>343</v>
      </c>
      <c r="AV80" s="50" t="s">
        <v>247</v>
      </c>
      <c r="AW80" s="50" t="s">
        <v>118</v>
      </c>
      <c r="AX80" s="50" t="s">
        <v>655</v>
      </c>
      <c r="AY80" s="50" t="s">
        <v>119</v>
      </c>
      <c r="AZ80" s="50" t="s">
        <v>170</v>
      </c>
      <c r="BA80" s="50" t="s">
        <v>118</v>
      </c>
      <c r="BB80" s="50" t="s">
        <v>250</v>
      </c>
      <c r="BC80" s="50" t="s">
        <v>209</v>
      </c>
      <c r="BD80" s="50" t="s">
        <v>5878</v>
      </c>
      <c r="BE80" s="50" t="s">
        <v>5879</v>
      </c>
      <c r="BF80" s="50" t="s">
        <v>174</v>
      </c>
      <c r="BG80" s="50" t="s">
        <v>4405</v>
      </c>
      <c r="BH80" s="50" t="s">
        <v>124</v>
      </c>
      <c r="BI80" s="50" t="s">
        <v>21201</v>
      </c>
      <c r="BJ80" s="50" t="s">
        <v>21202</v>
      </c>
      <c r="BK80" s="50" t="s">
        <v>127</v>
      </c>
      <c r="BL80" s="50" t="s">
        <v>21203</v>
      </c>
      <c r="BM80" s="50" t="s">
        <v>11254</v>
      </c>
      <c r="BN80" s="50" t="s">
        <v>21204</v>
      </c>
      <c r="BO80" s="50" t="s">
        <v>21194</v>
      </c>
      <c r="BP80" s="50" t="s">
        <v>1108</v>
      </c>
      <c r="BQ80" s="50" t="s">
        <v>5833</v>
      </c>
      <c r="BR80" s="50" t="s">
        <v>1109</v>
      </c>
      <c r="BS80" s="50" t="s">
        <v>1110</v>
      </c>
      <c r="BT80" s="50" t="s">
        <v>4413</v>
      </c>
      <c r="BV80" s="50" t="s">
        <v>21205</v>
      </c>
      <c r="BW80" s="50" t="s">
        <v>21206</v>
      </c>
      <c r="BX80" s="50" t="s">
        <v>138</v>
      </c>
      <c r="BY80" s="50" t="s">
        <v>11261</v>
      </c>
      <c r="BZ80" s="50" t="s">
        <v>11259</v>
      </c>
      <c r="CA80" s="50" t="s">
        <v>11258</v>
      </c>
      <c r="CB80" s="50" t="s">
        <v>21207</v>
      </c>
      <c r="CC80" s="50" t="s">
        <v>11261</v>
      </c>
      <c r="CD80" s="50" t="s">
        <v>11259</v>
      </c>
      <c r="CE80" s="50" t="s">
        <v>21208</v>
      </c>
      <c r="CF80" s="50" t="s">
        <v>11261</v>
      </c>
      <c r="CG80" s="50" t="s">
        <v>21209</v>
      </c>
      <c r="CH80" s="50" t="s">
        <v>102</v>
      </c>
      <c r="CI80" s="50" t="s">
        <v>21210</v>
      </c>
      <c r="CK80" s="50" t="s">
        <v>5889</v>
      </c>
      <c r="CM80" s="50" t="s">
        <v>5878</v>
      </c>
      <c r="CN80" s="50" t="s">
        <v>5879</v>
      </c>
      <c r="CO80" s="50" t="s">
        <v>5889</v>
      </c>
      <c r="CQ80" s="50" t="s">
        <v>11265</v>
      </c>
      <c r="CR80" s="50" t="s">
        <v>11264</v>
      </c>
    </row>
    <row r="81" spans="1:97" hidden="1">
      <c r="A81" s="50" t="s">
        <v>149</v>
      </c>
      <c r="B81" s="50">
        <v>1016619</v>
      </c>
      <c r="C81" s="50" t="e">
        <f>VLOOKUP(B81,'Drop schools 2026'!B:C,2,0)</f>
        <v>#N/A</v>
      </c>
      <c r="D81" s="50" t="s">
        <v>174</v>
      </c>
      <c r="E81" s="50" t="s">
        <v>183</v>
      </c>
      <c r="F81" s="50" t="s">
        <v>150</v>
      </c>
      <c r="G81" s="50" t="e">
        <f>VLOOKUP(B81,aa!B:F,5,0)</f>
        <v>#N/A</v>
      </c>
      <c r="H81" s="50" t="e">
        <f>VLOOKUP(B81,aa!B:J,9,0)</f>
        <v>#N/A</v>
      </c>
      <c r="I81" s="50" t="e">
        <f>VLOOKUP(B81,aa!B:L,11,0)</f>
        <v>#N/A</v>
      </c>
      <c r="J81" s="50" t="e">
        <f>VLOOKUP(B81,aa!B:O,14,0)</f>
        <v>#N/A</v>
      </c>
      <c r="K81" s="50" t="e">
        <f>VLOOKUP(B81,aa!B:R,17,0)</f>
        <v>#N/A</v>
      </c>
      <c r="L81" s="50" t="s">
        <v>152</v>
      </c>
      <c r="M81" s="50">
        <v>1522702</v>
      </c>
      <c r="N81" s="50">
        <v>1522702</v>
      </c>
      <c r="O81" s="50">
        <v>0</v>
      </c>
      <c r="P81" s="50">
        <v>0</v>
      </c>
      <c r="R81" s="50">
        <v>1522702</v>
      </c>
      <c r="S81" s="50">
        <v>1167</v>
      </c>
      <c r="T81" s="50" t="s">
        <v>11926</v>
      </c>
      <c r="U81" s="50">
        <v>0</v>
      </c>
      <c r="V81" s="50">
        <v>0</v>
      </c>
      <c r="X81" s="50" t="s">
        <v>102</v>
      </c>
      <c r="Y81" s="50" t="s">
        <v>103</v>
      </c>
      <c r="Z81" s="50" t="s">
        <v>155</v>
      </c>
      <c r="AB81" s="50" t="s">
        <v>11927</v>
      </c>
      <c r="AC81" s="50" t="s">
        <v>11928</v>
      </c>
      <c r="AD81" s="50" t="s">
        <v>11929</v>
      </c>
      <c r="AE81" s="50" t="s">
        <v>11928</v>
      </c>
      <c r="AF81" s="50" t="s">
        <v>11930</v>
      </c>
      <c r="AG81" s="50" t="s">
        <v>11928</v>
      </c>
      <c r="AH81" s="50" t="s">
        <v>11886</v>
      </c>
      <c r="AI81" s="50" t="s">
        <v>11928</v>
      </c>
      <c r="AJ81" s="50" t="s">
        <v>11931</v>
      </c>
      <c r="AK81" s="50" t="s">
        <v>11932</v>
      </c>
      <c r="AL81" s="50" t="s">
        <v>11933</v>
      </c>
      <c r="AM81" s="50" t="s">
        <v>11934</v>
      </c>
      <c r="AN81" s="50" t="s">
        <v>11935</v>
      </c>
      <c r="AO81" s="50" t="s">
        <v>11936</v>
      </c>
      <c r="AP81" s="50" t="s">
        <v>11937</v>
      </c>
      <c r="AQ81" s="50" t="s">
        <v>11937</v>
      </c>
      <c r="AV81" s="50" t="s">
        <v>102</v>
      </c>
      <c r="AX81" s="50" t="s">
        <v>155</v>
      </c>
      <c r="AY81" s="50" t="s">
        <v>119</v>
      </c>
      <c r="AZ81" s="50" t="s">
        <v>170</v>
      </c>
      <c r="BA81" s="50" t="s">
        <v>118</v>
      </c>
      <c r="BC81" s="50" t="s">
        <v>171</v>
      </c>
      <c r="BD81" s="50" t="s">
        <v>172</v>
      </c>
      <c r="BE81" s="50" t="s">
        <v>173</v>
      </c>
      <c r="BF81" s="50" t="s">
        <v>174</v>
      </c>
      <c r="BG81" s="50" t="s">
        <v>173</v>
      </c>
      <c r="BH81" s="50" t="s">
        <v>124</v>
      </c>
      <c r="BI81" s="50" t="s">
        <v>11938</v>
      </c>
      <c r="BJ81" s="50" t="s">
        <v>11889</v>
      </c>
      <c r="BK81" s="50" t="s">
        <v>127</v>
      </c>
      <c r="BL81" s="50" t="s">
        <v>11939</v>
      </c>
      <c r="BM81" s="50" t="s">
        <v>177</v>
      </c>
      <c r="BN81" s="50" t="s">
        <v>11940</v>
      </c>
      <c r="BO81" s="50" t="s">
        <v>11925</v>
      </c>
      <c r="BP81" s="50" t="s">
        <v>179</v>
      </c>
      <c r="BQ81" s="50" t="s">
        <v>180</v>
      </c>
      <c r="BR81" s="50" t="s">
        <v>181</v>
      </c>
      <c r="BS81" s="50" t="s">
        <v>182</v>
      </c>
      <c r="BT81" s="50" t="s">
        <v>183</v>
      </c>
      <c r="BV81" s="50" t="s">
        <v>11941</v>
      </c>
      <c r="BW81" s="50" t="s">
        <v>185</v>
      </c>
      <c r="BX81" s="50" t="s">
        <v>138</v>
      </c>
      <c r="BY81" s="50" t="s">
        <v>11942</v>
      </c>
      <c r="BZ81" s="50" t="s">
        <v>187</v>
      </c>
      <c r="CA81" s="50" t="s">
        <v>186</v>
      </c>
      <c r="CB81" s="50" t="s">
        <v>185</v>
      </c>
      <c r="CC81" s="50" t="s">
        <v>11942</v>
      </c>
      <c r="CD81" s="50" t="s">
        <v>187</v>
      </c>
      <c r="CE81" s="50" t="s">
        <v>11943</v>
      </c>
      <c r="CF81" s="50" t="s">
        <v>11944</v>
      </c>
      <c r="CG81" s="50" t="s">
        <v>11945</v>
      </c>
      <c r="CH81" s="50" t="s">
        <v>102</v>
      </c>
      <c r="CI81" s="50" t="s">
        <v>11946</v>
      </c>
      <c r="CK81" s="50" t="s">
        <v>189</v>
      </c>
      <c r="CL81" s="50" t="s">
        <v>11946</v>
      </c>
      <c r="CM81" s="50" t="s">
        <v>172</v>
      </c>
      <c r="CN81" s="50" t="s">
        <v>173</v>
      </c>
      <c r="CO81" s="50" t="s">
        <v>189</v>
      </c>
      <c r="CP81" s="50" t="s">
        <v>190</v>
      </c>
      <c r="CQ81" s="50" t="s">
        <v>188</v>
      </c>
      <c r="CR81" s="50" t="s">
        <v>188</v>
      </c>
      <c r="CS81" s="50" t="s">
        <v>26047</v>
      </c>
    </row>
    <row r="82" spans="1:97" hidden="1">
      <c r="A82" s="50" t="s">
        <v>149</v>
      </c>
      <c r="B82" s="50">
        <v>3072629</v>
      </c>
      <c r="C82" s="50" t="str">
        <f>VLOOKUP(B82,'Drop schools 2026'!B:C,2,0)</f>
        <v>Drop</v>
      </c>
      <c r="D82" s="50" t="s">
        <v>122</v>
      </c>
      <c r="E82" s="50" t="s">
        <v>11882</v>
      </c>
      <c r="F82" s="50" t="s">
        <v>4605</v>
      </c>
      <c r="G82" s="50" t="e">
        <f>VLOOKUP(B82,aa!B:F,5,0)</f>
        <v>#N/A</v>
      </c>
      <c r="H82" s="50" t="e">
        <f>VLOOKUP(B82,aa!B:J,9,0)</f>
        <v>#N/A</v>
      </c>
      <c r="I82" s="50" t="e">
        <f>VLOOKUP(B82,aa!B:L,11,0)</f>
        <v>#N/A</v>
      </c>
      <c r="J82" s="50" t="e">
        <f>VLOOKUP(B82,aa!B:O,14,0)</f>
        <v>#N/A</v>
      </c>
      <c r="K82" s="50" t="e">
        <f>VLOOKUP(B82,aa!B:R,17,0)</f>
        <v>#N/A</v>
      </c>
      <c r="L82" s="50" t="s">
        <v>848</v>
      </c>
      <c r="M82" s="50">
        <v>1514631</v>
      </c>
      <c r="N82" s="50">
        <v>1787265</v>
      </c>
      <c r="O82" s="50">
        <v>0</v>
      </c>
      <c r="P82" s="50">
        <v>0</v>
      </c>
      <c r="R82" s="50">
        <v>0</v>
      </c>
      <c r="S82" s="50">
        <v>0</v>
      </c>
      <c r="U82" s="50">
        <v>1514631</v>
      </c>
      <c r="V82" s="50">
        <v>1625</v>
      </c>
      <c r="W82" s="50" t="s">
        <v>14881</v>
      </c>
      <c r="X82" s="50" t="s">
        <v>102</v>
      </c>
      <c r="Y82" s="50" t="s">
        <v>103</v>
      </c>
      <c r="Z82" s="50" t="s">
        <v>155</v>
      </c>
      <c r="AB82" s="50" t="s">
        <v>12023</v>
      </c>
      <c r="AC82" s="50" t="s">
        <v>14882</v>
      </c>
      <c r="AD82" s="50" t="s">
        <v>11976</v>
      </c>
      <c r="AE82" s="50" t="s">
        <v>14882</v>
      </c>
      <c r="AF82" s="50" t="s">
        <v>11888</v>
      </c>
      <c r="AG82" s="50" t="s">
        <v>14882</v>
      </c>
      <c r="AH82" s="50" t="s">
        <v>11886</v>
      </c>
      <c r="AI82" s="50" t="s">
        <v>14882</v>
      </c>
      <c r="AJ82" s="50" t="s">
        <v>14883</v>
      </c>
      <c r="AK82" s="50" t="s">
        <v>12494</v>
      </c>
      <c r="AL82" s="50" t="s">
        <v>14040</v>
      </c>
      <c r="AM82" s="50" t="s">
        <v>14884</v>
      </c>
      <c r="AN82" s="50" t="s">
        <v>14885</v>
      </c>
      <c r="AO82" s="50" t="s">
        <v>14886</v>
      </c>
      <c r="AP82" s="50" t="s">
        <v>14887</v>
      </c>
      <c r="AQ82" s="50" t="s">
        <v>14887</v>
      </c>
      <c r="AV82" s="50" t="s">
        <v>102</v>
      </c>
      <c r="AX82" s="50" t="s">
        <v>102</v>
      </c>
      <c r="AY82" s="50" t="s">
        <v>119</v>
      </c>
      <c r="BB82" s="50" t="s">
        <v>250</v>
      </c>
      <c r="BC82" s="50" t="s">
        <v>120</v>
      </c>
      <c r="BD82" s="50" t="s">
        <v>2204</v>
      </c>
      <c r="BE82" s="50" t="s">
        <v>121</v>
      </c>
      <c r="BF82" s="50" t="s">
        <v>122</v>
      </c>
      <c r="BG82" s="50" t="s">
        <v>123</v>
      </c>
      <c r="BH82" s="50" t="s">
        <v>124</v>
      </c>
      <c r="BI82" s="50" t="s">
        <v>12023</v>
      </c>
      <c r="BJ82" s="50" t="s">
        <v>11889</v>
      </c>
      <c r="BK82" s="50" t="s">
        <v>127</v>
      </c>
      <c r="BL82" s="50" t="s">
        <v>14888</v>
      </c>
      <c r="BM82" s="50" t="s">
        <v>4622</v>
      </c>
      <c r="BN82" s="50" t="s">
        <v>14889</v>
      </c>
      <c r="BO82" s="50" t="s">
        <v>2950</v>
      </c>
      <c r="BP82" s="50" t="s">
        <v>1108</v>
      </c>
      <c r="BQ82" s="50" t="s">
        <v>350</v>
      </c>
      <c r="BR82" s="50" t="s">
        <v>1109</v>
      </c>
      <c r="BS82" s="50" t="s">
        <v>1110</v>
      </c>
      <c r="BT82" s="50" t="s">
        <v>1111</v>
      </c>
      <c r="BV82" s="50" t="s">
        <v>14890</v>
      </c>
      <c r="BW82" s="50" t="s">
        <v>4625</v>
      </c>
      <c r="BX82" s="50" t="s">
        <v>138</v>
      </c>
      <c r="BY82" s="50" t="s">
        <v>4628</v>
      </c>
      <c r="BZ82" s="50" t="s">
        <v>4627</v>
      </c>
      <c r="CA82" s="50" t="s">
        <v>4626</v>
      </c>
      <c r="CB82" s="50" t="s">
        <v>4625</v>
      </c>
      <c r="CC82" s="50" t="s">
        <v>4628</v>
      </c>
      <c r="CD82" s="50" t="s">
        <v>4627</v>
      </c>
      <c r="CE82" s="50" t="s">
        <v>14891</v>
      </c>
      <c r="CF82" s="50" t="s">
        <v>4626</v>
      </c>
      <c r="CG82" s="50" t="s">
        <v>4631</v>
      </c>
      <c r="CH82" s="50" t="s">
        <v>102</v>
      </c>
      <c r="CI82" s="50" t="s">
        <v>14892</v>
      </c>
      <c r="CK82" s="50" t="s">
        <v>4633</v>
      </c>
      <c r="CM82" s="50" t="s">
        <v>2204</v>
      </c>
      <c r="CN82" s="50" t="s">
        <v>121</v>
      </c>
      <c r="CO82" s="50" t="s">
        <v>4633</v>
      </c>
      <c r="CP82" s="50" t="s">
        <v>4634</v>
      </c>
      <c r="CQ82" s="50" t="s">
        <v>4632</v>
      </c>
      <c r="CR82" s="50" t="s">
        <v>4632</v>
      </c>
    </row>
    <row r="83" spans="1:97" hidden="1">
      <c r="A83" s="50" t="s">
        <v>149</v>
      </c>
      <c r="B83" s="50">
        <v>2562124</v>
      </c>
      <c r="C83" s="50" t="e">
        <f>VLOOKUP(B83,'Drop schools 2026'!B:C,2,0)</f>
        <v>#N/A</v>
      </c>
      <c r="D83" s="50" t="s">
        <v>622</v>
      </c>
      <c r="E83" s="50" t="s">
        <v>1279</v>
      </c>
      <c r="F83" s="50" t="s">
        <v>4105</v>
      </c>
      <c r="G83" s="50" t="str">
        <f>VLOOKUP(B83,aa!B:F,5,0)</f>
        <v>Ei ASSET, Ei Mindspark</v>
      </c>
      <c r="H83" s="50">
        <f>VLOOKUP(B83,aa!B:J,9,0)</f>
        <v>1624340</v>
      </c>
      <c r="I83" s="50">
        <f>VLOOKUP(B83,aa!B:L,11,0)</f>
        <v>286102</v>
      </c>
      <c r="J83" s="50">
        <f>VLOOKUP(B83,aa!B:O,14,0)</f>
        <v>0</v>
      </c>
      <c r="K83" s="50">
        <f>VLOOKUP(B83,aa!B:R,17,0)</f>
        <v>1338238</v>
      </c>
      <c r="L83" s="50" t="s">
        <v>193</v>
      </c>
      <c r="M83" s="50">
        <v>1503878</v>
      </c>
      <c r="N83" s="50">
        <v>1731977</v>
      </c>
      <c r="O83" s="50">
        <v>236660</v>
      </c>
      <c r="P83" s="50">
        <v>408</v>
      </c>
      <c r="Q83" s="50" t="s">
        <v>14554</v>
      </c>
      <c r="R83" s="50">
        <v>0</v>
      </c>
      <c r="S83" s="50">
        <v>0</v>
      </c>
      <c r="U83" s="50">
        <v>1267218</v>
      </c>
      <c r="V83" s="50">
        <v>534</v>
      </c>
      <c r="W83" s="50" t="s">
        <v>11158</v>
      </c>
      <c r="X83" s="50" t="s">
        <v>102</v>
      </c>
      <c r="Y83" s="50" t="s">
        <v>103</v>
      </c>
      <c r="Z83" s="50" t="s">
        <v>104</v>
      </c>
      <c r="AB83" s="50" t="s">
        <v>126</v>
      </c>
      <c r="AC83" s="50" t="s">
        <v>14555</v>
      </c>
      <c r="AD83" s="50" t="s">
        <v>12888</v>
      </c>
      <c r="AE83" s="50" t="s">
        <v>14556</v>
      </c>
      <c r="AF83" s="50" t="s">
        <v>109</v>
      </c>
      <c r="AG83" s="50" t="s">
        <v>102</v>
      </c>
      <c r="AH83" s="50" t="s">
        <v>109</v>
      </c>
      <c r="AI83" s="50" t="s">
        <v>102</v>
      </c>
      <c r="AJ83" s="50" t="s">
        <v>14557</v>
      </c>
      <c r="AK83" s="50" t="s">
        <v>1722</v>
      </c>
      <c r="AL83" s="50" t="s">
        <v>14558</v>
      </c>
      <c r="AM83" s="50" t="s">
        <v>14559</v>
      </c>
      <c r="AN83" s="50" t="s">
        <v>14560</v>
      </c>
      <c r="AO83" s="50" t="s">
        <v>14561</v>
      </c>
      <c r="AP83" s="50" t="s">
        <v>14562</v>
      </c>
      <c r="AQ83" s="50" t="s">
        <v>14562</v>
      </c>
      <c r="AV83" s="50" t="s">
        <v>247</v>
      </c>
      <c r="AW83" s="50" t="s">
        <v>118</v>
      </c>
      <c r="AX83" s="50" t="s">
        <v>102</v>
      </c>
      <c r="AY83" s="50" t="s">
        <v>119</v>
      </c>
      <c r="BB83" s="50" t="s">
        <v>250</v>
      </c>
      <c r="BC83" s="50" t="s">
        <v>171</v>
      </c>
      <c r="BD83" s="50" t="s">
        <v>623</v>
      </c>
      <c r="BE83" s="50" t="s">
        <v>621</v>
      </c>
      <c r="BF83" s="50" t="s">
        <v>622</v>
      </c>
      <c r="BG83" s="50" t="s">
        <v>623</v>
      </c>
      <c r="BH83" s="50" t="s">
        <v>124</v>
      </c>
      <c r="BI83" s="50" t="s">
        <v>12023</v>
      </c>
      <c r="BJ83" s="50" t="s">
        <v>11889</v>
      </c>
      <c r="BK83" s="50" t="s">
        <v>127</v>
      </c>
      <c r="BL83" s="50" t="s">
        <v>14563</v>
      </c>
      <c r="BM83" s="50" t="s">
        <v>4116</v>
      </c>
      <c r="BN83" s="50" t="s">
        <v>14564</v>
      </c>
      <c r="BO83" s="50" t="s">
        <v>1850</v>
      </c>
      <c r="BP83" s="50" t="s">
        <v>629</v>
      </c>
      <c r="BQ83" s="50" t="s">
        <v>132</v>
      </c>
      <c r="BR83" s="50" t="s">
        <v>630</v>
      </c>
      <c r="BS83" s="50" t="s">
        <v>631</v>
      </c>
      <c r="BT83" s="50" t="s">
        <v>1342</v>
      </c>
      <c r="BV83" s="50" t="s">
        <v>14565</v>
      </c>
      <c r="BW83" s="50" t="s">
        <v>14566</v>
      </c>
      <c r="BX83" s="50" t="s">
        <v>138</v>
      </c>
      <c r="BY83" s="50" t="s">
        <v>4120</v>
      </c>
      <c r="BZ83" s="50" t="s">
        <v>14567</v>
      </c>
      <c r="CA83" s="50" t="s">
        <v>4122</v>
      </c>
      <c r="CB83" s="50" t="s">
        <v>14568</v>
      </c>
      <c r="CC83" s="50" t="s">
        <v>4120</v>
      </c>
      <c r="CD83" s="50" t="s">
        <v>14567</v>
      </c>
      <c r="CE83" s="50" t="s">
        <v>14569</v>
      </c>
      <c r="CF83" s="50" t="s">
        <v>14570</v>
      </c>
      <c r="CG83" s="50" t="s">
        <v>14571</v>
      </c>
      <c r="CH83" s="50" t="s">
        <v>102</v>
      </c>
      <c r="CI83" s="50" t="s">
        <v>4125</v>
      </c>
      <c r="CK83" s="50" t="s">
        <v>4126</v>
      </c>
      <c r="CM83" s="50" t="s">
        <v>623</v>
      </c>
      <c r="CN83" s="50" t="s">
        <v>621</v>
      </c>
      <c r="CO83" s="50" t="s">
        <v>4126</v>
      </c>
      <c r="CP83" s="50" t="s">
        <v>4127</v>
      </c>
      <c r="CQ83" s="50" t="s">
        <v>4125</v>
      </c>
      <c r="CR83" s="50" t="s">
        <v>4125</v>
      </c>
    </row>
    <row r="84" spans="1:97" hidden="1">
      <c r="A84" s="50" t="s">
        <v>149</v>
      </c>
      <c r="B84" s="50">
        <v>3147476</v>
      </c>
      <c r="C84" s="50" t="e">
        <f>VLOOKUP(B84,'Drop schools 2026'!B:C,2,0)</f>
        <v>#N/A</v>
      </c>
      <c r="D84" s="50" t="s">
        <v>212</v>
      </c>
      <c r="E84" s="50" t="s">
        <v>2151</v>
      </c>
      <c r="F84" s="50" t="s">
        <v>4737</v>
      </c>
      <c r="G84" s="50" t="e">
        <f>VLOOKUP(B84,aa!B:F,5,0)</f>
        <v>#N/A</v>
      </c>
      <c r="H84" s="50" t="e">
        <f>VLOOKUP(B84,aa!B:J,9,0)</f>
        <v>#N/A</v>
      </c>
      <c r="I84" s="50" t="e">
        <f>VLOOKUP(B84,aa!B:L,11,0)</f>
        <v>#N/A</v>
      </c>
      <c r="J84" s="50" t="e">
        <f>VLOOKUP(B84,aa!B:O,14,0)</f>
        <v>#N/A</v>
      </c>
      <c r="K84" s="50" t="e">
        <f>VLOOKUP(B84,aa!B:R,17,0)</f>
        <v>#N/A</v>
      </c>
      <c r="L84" s="50" t="s">
        <v>2163</v>
      </c>
      <c r="M84" s="50">
        <v>1483593</v>
      </c>
      <c r="N84" s="50">
        <v>1581328</v>
      </c>
      <c r="O84" s="50">
        <v>594663</v>
      </c>
      <c r="P84" s="50">
        <v>806</v>
      </c>
      <c r="Q84" s="50" t="s">
        <v>14985</v>
      </c>
      <c r="R84" s="50">
        <v>345958</v>
      </c>
      <c r="S84" s="50">
        <v>233</v>
      </c>
      <c r="T84" s="50" t="s">
        <v>14986</v>
      </c>
      <c r="U84" s="50">
        <v>542972</v>
      </c>
      <c r="V84" s="50">
        <v>233</v>
      </c>
      <c r="W84" s="50" t="s">
        <v>14987</v>
      </c>
      <c r="X84" s="50" t="s">
        <v>102</v>
      </c>
      <c r="Y84" s="50" t="s">
        <v>103</v>
      </c>
      <c r="Z84" s="50" t="s">
        <v>155</v>
      </c>
      <c r="AB84" s="50" t="s">
        <v>12023</v>
      </c>
      <c r="AC84" s="50" t="s">
        <v>14988</v>
      </c>
      <c r="AD84" s="50" t="s">
        <v>1408</v>
      </c>
      <c r="AE84" s="50" t="s">
        <v>14988</v>
      </c>
      <c r="AF84" s="50" t="s">
        <v>12888</v>
      </c>
      <c r="AG84" s="50" t="s">
        <v>14988</v>
      </c>
      <c r="AH84" s="50" t="s">
        <v>1427</v>
      </c>
      <c r="AI84" s="50" t="s">
        <v>14988</v>
      </c>
      <c r="AJ84" s="50" t="s">
        <v>14989</v>
      </c>
      <c r="AK84" s="50" t="s">
        <v>6443</v>
      </c>
      <c r="AL84" s="50" t="s">
        <v>14990</v>
      </c>
      <c r="AM84" s="50" t="s">
        <v>14991</v>
      </c>
      <c r="AN84" s="50" t="s">
        <v>14992</v>
      </c>
      <c r="AO84" s="50" t="s">
        <v>14993</v>
      </c>
      <c r="AP84" s="50" t="s">
        <v>14994</v>
      </c>
      <c r="AQ84" s="50" t="s">
        <v>14994</v>
      </c>
      <c r="AV84" s="50" t="s">
        <v>247</v>
      </c>
      <c r="AW84" s="50" t="s">
        <v>250</v>
      </c>
      <c r="AX84" s="50" t="s">
        <v>655</v>
      </c>
      <c r="AY84" s="50" t="s">
        <v>119</v>
      </c>
      <c r="BA84" s="50" t="s">
        <v>250</v>
      </c>
      <c r="BB84" s="50" t="s">
        <v>250</v>
      </c>
      <c r="BC84" s="50" t="s">
        <v>120</v>
      </c>
      <c r="BD84" s="50" t="s">
        <v>920</v>
      </c>
      <c r="BE84" s="50" t="s">
        <v>211</v>
      </c>
      <c r="BF84" s="50" t="s">
        <v>212</v>
      </c>
      <c r="BG84" s="50" t="s">
        <v>213</v>
      </c>
      <c r="BH84" s="50" t="s">
        <v>124</v>
      </c>
      <c r="BI84" s="50" t="s">
        <v>12492</v>
      </c>
      <c r="BJ84" s="50" t="s">
        <v>11889</v>
      </c>
      <c r="BK84" s="50" t="s">
        <v>127</v>
      </c>
      <c r="BL84" s="50" t="s">
        <v>14995</v>
      </c>
      <c r="BM84" s="50" t="s">
        <v>4747</v>
      </c>
      <c r="BN84" s="50" t="s">
        <v>14996</v>
      </c>
      <c r="BO84" s="50" t="s">
        <v>4909</v>
      </c>
      <c r="BP84" s="50" t="s">
        <v>415</v>
      </c>
      <c r="BQ84" s="50" t="s">
        <v>180</v>
      </c>
      <c r="BR84" s="50" t="s">
        <v>416</v>
      </c>
      <c r="BS84" s="50" t="s">
        <v>417</v>
      </c>
      <c r="BT84" s="50" t="s">
        <v>222</v>
      </c>
      <c r="BV84" s="50" t="s">
        <v>14997</v>
      </c>
      <c r="BW84" s="50" t="s">
        <v>14998</v>
      </c>
      <c r="BX84" s="50" t="s">
        <v>138</v>
      </c>
      <c r="BY84" s="50" t="s">
        <v>4751</v>
      </c>
      <c r="BZ84" s="50" t="s">
        <v>14999</v>
      </c>
      <c r="CA84" s="50" t="s">
        <v>4751</v>
      </c>
      <c r="CB84" s="50" t="s">
        <v>15000</v>
      </c>
      <c r="CC84" s="50" t="s">
        <v>4751</v>
      </c>
      <c r="CD84" s="50" t="s">
        <v>14999</v>
      </c>
      <c r="CE84" s="50" t="s">
        <v>15001</v>
      </c>
      <c r="CF84" s="50" t="s">
        <v>15002</v>
      </c>
      <c r="CG84" s="50" t="s">
        <v>15003</v>
      </c>
      <c r="CH84" s="50" t="s">
        <v>102</v>
      </c>
      <c r="CI84" s="50" t="s">
        <v>4753</v>
      </c>
      <c r="CK84" s="50" t="s">
        <v>3982</v>
      </c>
      <c r="CM84" s="50" t="s">
        <v>920</v>
      </c>
      <c r="CN84" s="50" t="s">
        <v>211</v>
      </c>
      <c r="CO84" s="50" t="s">
        <v>3982</v>
      </c>
      <c r="CP84" s="50" t="s">
        <v>2190</v>
      </c>
      <c r="CQ84" s="50" t="s">
        <v>4753</v>
      </c>
      <c r="CR84" s="50" t="s">
        <v>4753</v>
      </c>
      <c r="CS84" s="50" t="s">
        <v>26040</v>
      </c>
    </row>
    <row r="85" spans="1:97" hidden="1">
      <c r="A85" s="50" t="s">
        <v>93</v>
      </c>
      <c r="B85" s="50">
        <v>347614</v>
      </c>
      <c r="C85" s="50" t="e">
        <f>VLOOKUP(B85,'Drop schools 2026'!B:C,2,0)</f>
        <v>#N/A</v>
      </c>
      <c r="D85" s="50" t="s">
        <v>622</v>
      </c>
      <c r="E85" s="50" t="s">
        <v>3562</v>
      </c>
      <c r="F85" s="50" t="s">
        <v>6296</v>
      </c>
      <c r="G85" s="50" t="str">
        <f>VLOOKUP(B85,aa!B:F,5,0)</f>
        <v>Ei ASSET</v>
      </c>
      <c r="H85" s="50">
        <f>VLOOKUP(B85,aa!B:J,9,0)</f>
        <v>378405</v>
      </c>
      <c r="I85" s="50">
        <f>VLOOKUP(B85,aa!B:L,11,0)</f>
        <v>378405</v>
      </c>
      <c r="J85" s="50">
        <f>VLOOKUP(B85,aa!B:O,14,0)</f>
        <v>0</v>
      </c>
      <c r="K85" s="50">
        <f>VLOOKUP(B85,aa!B:R,17,0)</f>
        <v>0</v>
      </c>
      <c r="L85" s="50" t="s">
        <v>643</v>
      </c>
      <c r="M85" s="50">
        <v>1457489</v>
      </c>
      <c r="N85" s="50">
        <v>1630084</v>
      </c>
      <c r="O85" s="50">
        <v>0</v>
      </c>
      <c r="P85" s="50">
        <v>0</v>
      </c>
      <c r="R85" s="50">
        <v>498628</v>
      </c>
      <c r="S85" s="50">
        <v>454</v>
      </c>
      <c r="T85" s="50" t="s">
        <v>16205</v>
      </c>
      <c r="U85" s="50">
        <v>958861</v>
      </c>
      <c r="V85" s="50">
        <v>728</v>
      </c>
      <c r="W85" s="50" t="s">
        <v>5240</v>
      </c>
      <c r="X85" s="50" t="s">
        <v>102</v>
      </c>
      <c r="Y85" s="50" t="s">
        <v>103</v>
      </c>
      <c r="Z85" s="50" t="s">
        <v>801</v>
      </c>
      <c r="AB85" s="50" t="s">
        <v>16206</v>
      </c>
      <c r="AC85" s="50" t="s">
        <v>16207</v>
      </c>
      <c r="AD85" s="50" t="s">
        <v>15091</v>
      </c>
      <c r="AE85" s="50" t="s">
        <v>16207</v>
      </c>
      <c r="AF85" s="50" t="s">
        <v>12571</v>
      </c>
      <c r="AG85" s="50" t="s">
        <v>16208</v>
      </c>
      <c r="AH85" s="50" t="s">
        <v>13263</v>
      </c>
      <c r="AI85" s="50" t="s">
        <v>16208</v>
      </c>
      <c r="AJ85" s="50" t="s">
        <v>16209</v>
      </c>
      <c r="AK85" s="50" t="s">
        <v>16210</v>
      </c>
      <c r="AL85" s="50" t="s">
        <v>16162</v>
      </c>
      <c r="AM85" s="50" t="s">
        <v>16211</v>
      </c>
      <c r="AN85" s="50" t="s">
        <v>16212</v>
      </c>
      <c r="AO85" s="50" t="s">
        <v>16213</v>
      </c>
      <c r="AP85" s="50" t="s">
        <v>16214</v>
      </c>
      <c r="AQ85" s="50" t="s">
        <v>16214</v>
      </c>
      <c r="AV85" s="50" t="s">
        <v>102</v>
      </c>
      <c r="AX85" s="50" t="s">
        <v>655</v>
      </c>
      <c r="AY85" s="50" t="s">
        <v>119</v>
      </c>
      <c r="AZ85" s="50" t="s">
        <v>170</v>
      </c>
      <c r="BA85" s="50" t="s">
        <v>118</v>
      </c>
      <c r="BB85" s="50" t="s">
        <v>250</v>
      </c>
      <c r="BC85" s="50" t="s">
        <v>120</v>
      </c>
      <c r="BD85" s="50" t="s">
        <v>6305</v>
      </c>
      <c r="BE85" s="50" t="s">
        <v>730</v>
      </c>
      <c r="BF85" s="50" t="s">
        <v>622</v>
      </c>
      <c r="BG85" s="50" t="s">
        <v>730</v>
      </c>
      <c r="BH85" s="50" t="s">
        <v>124</v>
      </c>
      <c r="BI85" s="50" t="s">
        <v>12023</v>
      </c>
      <c r="BJ85" s="50" t="s">
        <v>11889</v>
      </c>
      <c r="BK85" s="50" t="s">
        <v>127</v>
      </c>
      <c r="BL85" s="50" t="s">
        <v>16215</v>
      </c>
      <c r="BM85" s="50" t="s">
        <v>6307</v>
      </c>
      <c r="BN85" s="50" t="s">
        <v>16216</v>
      </c>
      <c r="BO85" s="50" t="s">
        <v>16204</v>
      </c>
      <c r="BP85" s="50" t="s">
        <v>2262</v>
      </c>
      <c r="BQ85" s="50" t="s">
        <v>350</v>
      </c>
      <c r="BR85" s="50" t="s">
        <v>2263</v>
      </c>
      <c r="BS85" s="50" t="s">
        <v>2264</v>
      </c>
      <c r="BT85" s="50" t="s">
        <v>2569</v>
      </c>
      <c r="BV85" s="50" t="s">
        <v>16217</v>
      </c>
      <c r="BW85" s="50" t="s">
        <v>6310</v>
      </c>
      <c r="BX85" s="50" t="s">
        <v>138</v>
      </c>
      <c r="BY85" s="50" t="s">
        <v>16218</v>
      </c>
      <c r="BZ85" s="50" t="s">
        <v>16219</v>
      </c>
      <c r="CA85" s="50" t="s">
        <v>6313</v>
      </c>
      <c r="CB85" s="50" t="s">
        <v>16220</v>
      </c>
      <c r="CC85" s="50" t="s">
        <v>6311</v>
      </c>
      <c r="CD85" s="50" t="s">
        <v>16219</v>
      </c>
      <c r="CE85" s="50" t="s">
        <v>16220</v>
      </c>
      <c r="CF85" s="50" t="s">
        <v>6311</v>
      </c>
      <c r="CG85" s="50" t="s">
        <v>16219</v>
      </c>
      <c r="CH85" s="50" t="s">
        <v>907</v>
      </c>
      <c r="CI85" s="50" t="s">
        <v>16221</v>
      </c>
      <c r="CK85" s="50" t="s">
        <v>6315</v>
      </c>
      <c r="CL85" s="50" t="s">
        <v>16222</v>
      </c>
      <c r="CM85" s="50" t="s">
        <v>6305</v>
      </c>
      <c r="CN85" s="50" t="s">
        <v>730</v>
      </c>
      <c r="CO85" s="50" t="s">
        <v>6315</v>
      </c>
      <c r="CP85" s="50" t="s">
        <v>6316</v>
      </c>
      <c r="CQ85" s="50" t="s">
        <v>6314</v>
      </c>
      <c r="CR85" s="50" t="s">
        <v>6314</v>
      </c>
    </row>
    <row r="86" spans="1:97" hidden="1">
      <c r="A86" s="50" t="s">
        <v>149</v>
      </c>
      <c r="B86" s="50">
        <v>391739</v>
      </c>
      <c r="C86" s="50" t="e">
        <f>VLOOKUP(B86,'Drop schools 2026'!B:C,2,0)</f>
        <v>#N/A</v>
      </c>
      <c r="D86" s="50" t="s">
        <v>122</v>
      </c>
      <c r="E86" s="50" t="s">
        <v>11882</v>
      </c>
      <c r="F86" s="50" t="s">
        <v>7869</v>
      </c>
      <c r="G86" s="50" t="str">
        <f>VLOOKUP(B86,aa!B:F,5,0)</f>
        <v>Ei CARES, Ei Mindspark</v>
      </c>
      <c r="H86" s="50">
        <f>VLOOKUP(B86,aa!B:J,9,0)</f>
        <v>1713116</v>
      </c>
      <c r="I86" s="50">
        <f>VLOOKUP(B86,aa!B:L,11,0)</f>
        <v>0</v>
      </c>
      <c r="J86" s="50">
        <f>VLOOKUP(B86,aa!B:O,14,0)</f>
        <v>885519</v>
      </c>
      <c r="K86" s="50">
        <f>VLOOKUP(B86,aa!B:R,17,0)</f>
        <v>827597</v>
      </c>
      <c r="L86" s="50" t="s">
        <v>643</v>
      </c>
      <c r="M86" s="50">
        <v>1434876</v>
      </c>
      <c r="N86" s="50">
        <v>1575743</v>
      </c>
      <c r="O86" s="50">
        <v>0</v>
      </c>
      <c r="P86" s="50">
        <v>0</v>
      </c>
      <c r="R86" s="50">
        <v>652284</v>
      </c>
      <c r="S86" s="50">
        <v>389</v>
      </c>
      <c r="T86" s="50" t="s">
        <v>17319</v>
      </c>
      <c r="U86" s="50">
        <v>782592</v>
      </c>
      <c r="V86" s="50">
        <v>313</v>
      </c>
      <c r="W86" s="50" t="s">
        <v>3499</v>
      </c>
      <c r="X86" s="50" t="s">
        <v>102</v>
      </c>
      <c r="Y86" s="50" t="s">
        <v>103</v>
      </c>
      <c r="Z86" s="50" t="s">
        <v>104</v>
      </c>
      <c r="AB86" s="50" t="s">
        <v>8128</v>
      </c>
      <c r="AC86" s="50" t="s">
        <v>17320</v>
      </c>
      <c r="AD86" s="50" t="s">
        <v>17321</v>
      </c>
      <c r="AE86" s="50" t="s">
        <v>17322</v>
      </c>
      <c r="AF86" s="50" t="s">
        <v>109</v>
      </c>
      <c r="AG86" s="50" t="s">
        <v>102</v>
      </c>
      <c r="AH86" s="50" t="s">
        <v>109</v>
      </c>
      <c r="AI86" s="50" t="s">
        <v>102</v>
      </c>
      <c r="AJ86" s="50" t="s">
        <v>17323</v>
      </c>
      <c r="AK86" s="50" t="s">
        <v>12890</v>
      </c>
      <c r="AL86" s="50" t="s">
        <v>12890</v>
      </c>
      <c r="AM86" s="50" t="s">
        <v>17324</v>
      </c>
      <c r="AN86" s="50" t="s">
        <v>17325</v>
      </c>
      <c r="AO86" s="50" t="s">
        <v>17326</v>
      </c>
      <c r="AP86" s="50" t="s">
        <v>17327</v>
      </c>
      <c r="AQ86" s="50" t="s">
        <v>17328</v>
      </c>
      <c r="AU86" s="50" t="s">
        <v>169</v>
      </c>
      <c r="AV86" s="50" t="s">
        <v>102</v>
      </c>
      <c r="AX86" s="50" t="s">
        <v>655</v>
      </c>
      <c r="AY86" s="50" t="s">
        <v>119</v>
      </c>
      <c r="BA86" s="50" t="s">
        <v>250</v>
      </c>
      <c r="BB86" s="50" t="s">
        <v>250</v>
      </c>
      <c r="BC86" s="50" t="s">
        <v>120</v>
      </c>
      <c r="BD86" s="50" t="s">
        <v>3854</v>
      </c>
      <c r="BE86" s="50" t="s">
        <v>449</v>
      </c>
      <c r="BF86" s="50" t="s">
        <v>122</v>
      </c>
      <c r="BG86" s="50" t="s">
        <v>450</v>
      </c>
      <c r="BH86" s="50" t="s">
        <v>124</v>
      </c>
      <c r="BI86" s="50" t="s">
        <v>12023</v>
      </c>
      <c r="BJ86" s="50" t="s">
        <v>11889</v>
      </c>
      <c r="BK86" s="50" t="s">
        <v>127</v>
      </c>
      <c r="BL86" s="50" t="s">
        <v>17329</v>
      </c>
      <c r="BM86" s="50" t="s">
        <v>7881</v>
      </c>
      <c r="BN86" s="50" t="s">
        <v>17330</v>
      </c>
      <c r="BO86" s="50" t="s">
        <v>3993</v>
      </c>
      <c r="BP86" s="50" t="s">
        <v>3267</v>
      </c>
      <c r="BQ86" s="50" t="s">
        <v>350</v>
      </c>
      <c r="BR86" s="50" t="s">
        <v>3268</v>
      </c>
      <c r="BS86" s="50" t="s">
        <v>3269</v>
      </c>
      <c r="BT86" s="50" t="s">
        <v>328</v>
      </c>
      <c r="BV86" s="50" t="s">
        <v>17331</v>
      </c>
      <c r="BW86" s="50" t="s">
        <v>17332</v>
      </c>
      <c r="BX86" s="50" t="s">
        <v>354</v>
      </c>
      <c r="BY86" s="50" t="s">
        <v>7885</v>
      </c>
      <c r="BZ86" s="50" t="s">
        <v>17333</v>
      </c>
      <c r="CA86" s="50" t="s">
        <v>7887</v>
      </c>
      <c r="CB86" s="50" t="s">
        <v>17334</v>
      </c>
      <c r="CC86" s="50" t="s">
        <v>17335</v>
      </c>
      <c r="CD86" s="50" t="s">
        <v>17333</v>
      </c>
      <c r="CE86" s="50" t="s">
        <v>17336</v>
      </c>
      <c r="CF86" s="50" t="s">
        <v>17337</v>
      </c>
      <c r="CG86" s="50" t="s">
        <v>17338</v>
      </c>
      <c r="CH86" s="50" t="s">
        <v>102</v>
      </c>
      <c r="CI86" s="50" t="s">
        <v>17339</v>
      </c>
      <c r="CK86" s="50" t="s">
        <v>4271</v>
      </c>
      <c r="CM86" s="50" t="s">
        <v>3854</v>
      </c>
      <c r="CN86" s="50" t="s">
        <v>449</v>
      </c>
      <c r="CO86" s="50" t="s">
        <v>4271</v>
      </c>
      <c r="CP86" s="50" t="s">
        <v>7889</v>
      </c>
      <c r="CQ86" s="50" t="s">
        <v>7888</v>
      </c>
      <c r="CR86" s="50" t="s">
        <v>7888</v>
      </c>
    </row>
    <row r="87" spans="1:97" hidden="1">
      <c r="A87" s="50" t="s">
        <v>337</v>
      </c>
      <c r="B87" s="50">
        <v>4041890</v>
      </c>
      <c r="C87" s="50" t="e">
        <f>VLOOKUP(B87,'Drop schools 2026'!B:C,2,0)</f>
        <v>#N/A</v>
      </c>
      <c r="D87" s="50" t="s">
        <v>174</v>
      </c>
      <c r="E87" s="50" t="s">
        <v>12155</v>
      </c>
      <c r="F87" s="50" t="s">
        <v>17994</v>
      </c>
      <c r="G87" s="50" t="str">
        <f>VLOOKUP(B87,aa!B:F,5,0)</f>
        <v>Ei ASSET, Ei Mindspark</v>
      </c>
      <c r="H87" s="50">
        <f>VLOOKUP(B87,aa!B:J,9,0)</f>
        <v>3250816</v>
      </c>
      <c r="I87" s="50">
        <f>VLOOKUP(B87,aa!B:L,11,0)</f>
        <v>800100</v>
      </c>
      <c r="J87" s="50">
        <f>VLOOKUP(B87,aa!B:O,14,0)</f>
        <v>0</v>
      </c>
      <c r="K87" s="50">
        <f>VLOOKUP(B87,aa!B:R,17,0)</f>
        <v>2450716</v>
      </c>
      <c r="L87" s="50" t="s">
        <v>1715</v>
      </c>
      <c r="M87" s="50">
        <v>1408530</v>
      </c>
      <c r="N87" s="50">
        <v>1517885</v>
      </c>
      <c r="O87" s="50">
        <v>801000</v>
      </c>
      <c r="P87" s="50">
        <v>917</v>
      </c>
      <c r="Q87" s="50" t="s">
        <v>14346</v>
      </c>
      <c r="R87" s="50">
        <v>0</v>
      </c>
      <c r="S87" s="50">
        <v>0</v>
      </c>
      <c r="U87" s="50">
        <v>607530</v>
      </c>
      <c r="V87" s="50">
        <v>1127</v>
      </c>
      <c r="W87" s="50" t="s">
        <v>14347</v>
      </c>
      <c r="X87" s="50" t="s">
        <v>102</v>
      </c>
      <c r="Y87" s="50" t="s">
        <v>679</v>
      </c>
      <c r="Z87" s="50" t="s">
        <v>104</v>
      </c>
      <c r="AA87" s="50" t="s">
        <v>6895</v>
      </c>
      <c r="AB87" s="50" t="s">
        <v>14349</v>
      </c>
      <c r="AC87" s="50" t="s">
        <v>17995</v>
      </c>
      <c r="AD87" s="50" t="s">
        <v>13263</v>
      </c>
      <c r="AE87" s="50" t="s">
        <v>17995</v>
      </c>
      <c r="AF87" s="50" t="s">
        <v>109</v>
      </c>
      <c r="AG87" s="50" t="s">
        <v>102</v>
      </c>
      <c r="AH87" s="50" t="s">
        <v>109</v>
      </c>
      <c r="AI87" s="50" t="s">
        <v>102</v>
      </c>
      <c r="AJ87" s="50" t="s">
        <v>102</v>
      </c>
      <c r="AK87" s="50" t="s">
        <v>14351</v>
      </c>
      <c r="AL87" s="50" t="s">
        <v>13000</v>
      </c>
      <c r="AM87" s="50" t="s">
        <v>17996</v>
      </c>
      <c r="AN87" s="50" t="s">
        <v>17997</v>
      </c>
      <c r="AO87" s="50" t="s">
        <v>17998</v>
      </c>
      <c r="AP87" s="50" t="s">
        <v>14355</v>
      </c>
      <c r="AQ87" s="50" t="s">
        <v>14355</v>
      </c>
      <c r="AV87" s="50" t="s">
        <v>207</v>
      </c>
      <c r="AW87" s="50" t="s">
        <v>118</v>
      </c>
      <c r="AX87" s="50" t="s">
        <v>102</v>
      </c>
      <c r="AY87" s="50" t="s">
        <v>119</v>
      </c>
      <c r="BB87" s="50" t="s">
        <v>250</v>
      </c>
      <c r="BC87" s="50" t="s">
        <v>120</v>
      </c>
      <c r="BD87" s="50" t="s">
        <v>1036</v>
      </c>
      <c r="BE87" s="50" t="s">
        <v>173</v>
      </c>
      <c r="BF87" s="50" t="s">
        <v>174</v>
      </c>
      <c r="BG87" s="50" t="s">
        <v>173</v>
      </c>
      <c r="BH87" s="50" t="s">
        <v>124</v>
      </c>
      <c r="BI87" s="50" t="s">
        <v>11888</v>
      </c>
      <c r="BJ87" s="50" t="s">
        <v>11889</v>
      </c>
      <c r="BK87" s="50" t="s">
        <v>127</v>
      </c>
      <c r="BL87" s="50" t="s">
        <v>17999</v>
      </c>
      <c r="BM87" s="50" t="s">
        <v>18000</v>
      </c>
      <c r="BN87" s="50" t="s">
        <v>18001</v>
      </c>
      <c r="BO87" s="50" t="s">
        <v>12838</v>
      </c>
      <c r="BP87" s="50" t="s">
        <v>8447</v>
      </c>
      <c r="BQ87" s="50" t="s">
        <v>180</v>
      </c>
      <c r="BR87" s="50" t="s">
        <v>8448</v>
      </c>
      <c r="BS87" s="50" t="s">
        <v>8449</v>
      </c>
      <c r="BT87" s="50" t="s">
        <v>8450</v>
      </c>
      <c r="BV87" s="50" t="s">
        <v>18002</v>
      </c>
      <c r="BW87" s="50" t="s">
        <v>18003</v>
      </c>
      <c r="BX87" s="50" t="s">
        <v>296</v>
      </c>
      <c r="BY87" s="50" t="s">
        <v>14361</v>
      </c>
      <c r="BZ87" s="50" t="s">
        <v>14362</v>
      </c>
      <c r="CA87" s="50" t="s">
        <v>18004</v>
      </c>
      <c r="CB87" s="50" t="s">
        <v>18005</v>
      </c>
      <c r="CC87" s="50" t="s">
        <v>18004</v>
      </c>
      <c r="CD87" s="50" t="s">
        <v>18006</v>
      </c>
      <c r="CE87" s="50" t="s">
        <v>14366</v>
      </c>
      <c r="CF87" s="50" t="s">
        <v>14367</v>
      </c>
      <c r="CG87" s="50" t="s">
        <v>14368</v>
      </c>
      <c r="CH87" s="50" t="s">
        <v>8526</v>
      </c>
      <c r="CI87" s="50" t="s">
        <v>18007</v>
      </c>
      <c r="CK87" s="50" t="s">
        <v>18008</v>
      </c>
      <c r="CL87" s="50" t="s">
        <v>18009</v>
      </c>
      <c r="CM87" s="50" t="s">
        <v>1036</v>
      </c>
      <c r="CN87" s="50" t="s">
        <v>173</v>
      </c>
      <c r="CO87" s="50" t="s">
        <v>18008</v>
      </c>
      <c r="CQ87" s="50" t="s">
        <v>18010</v>
      </c>
      <c r="CR87" s="50" t="s">
        <v>18010</v>
      </c>
    </row>
    <row r="88" spans="1:97" hidden="1">
      <c r="A88" s="50" t="s">
        <v>149</v>
      </c>
      <c r="B88" s="50">
        <v>20480</v>
      </c>
      <c r="C88" s="50" t="e">
        <f>VLOOKUP(B88,'Drop schools 2026'!B:C,2,0)</f>
        <v>#N/A</v>
      </c>
      <c r="D88" s="50" t="s">
        <v>122</v>
      </c>
      <c r="E88" s="50" t="s">
        <v>12121</v>
      </c>
      <c r="F88" s="50" t="s">
        <v>2476</v>
      </c>
      <c r="G88" s="50" t="str">
        <f>VLOOKUP(B88,aa!B:F,5,0)</f>
        <v>Ei CARES</v>
      </c>
      <c r="H88" s="50">
        <f>VLOOKUP(B88,aa!B:J,9,0)</f>
        <v>1550010</v>
      </c>
      <c r="I88" s="50">
        <f>VLOOKUP(B88,aa!B:L,11,0)</f>
        <v>0</v>
      </c>
      <c r="J88" s="50">
        <f>VLOOKUP(B88,aa!B:O,14,0)</f>
        <v>1550010</v>
      </c>
      <c r="K88" s="50">
        <f>VLOOKUP(B88,aa!B:R,17,0)</f>
        <v>0</v>
      </c>
      <c r="L88" s="50" t="s">
        <v>152</v>
      </c>
      <c r="M88" s="50">
        <v>1392630</v>
      </c>
      <c r="N88" s="50">
        <v>1392630</v>
      </c>
      <c r="O88" s="50">
        <v>0</v>
      </c>
      <c r="P88" s="50">
        <v>0</v>
      </c>
      <c r="R88" s="50">
        <v>1392630</v>
      </c>
      <c r="S88" s="50">
        <v>761</v>
      </c>
      <c r="T88" s="50" t="s">
        <v>2478</v>
      </c>
      <c r="U88" s="50">
        <v>0</v>
      </c>
      <c r="V88" s="50">
        <v>0</v>
      </c>
      <c r="X88" s="50" t="s">
        <v>102</v>
      </c>
      <c r="Y88" s="50" t="s">
        <v>103</v>
      </c>
      <c r="Z88" s="50" t="s">
        <v>398</v>
      </c>
      <c r="AB88" s="50" t="s">
        <v>12023</v>
      </c>
      <c r="AC88" s="50" t="s">
        <v>13383</v>
      </c>
      <c r="AD88" s="50" t="s">
        <v>11976</v>
      </c>
      <c r="AE88" s="50" t="s">
        <v>13384</v>
      </c>
      <c r="AF88" s="50" t="s">
        <v>12327</v>
      </c>
      <c r="AG88" s="50" t="s">
        <v>13384</v>
      </c>
      <c r="AH88" s="50" t="s">
        <v>109</v>
      </c>
      <c r="AI88" s="50" t="s">
        <v>102</v>
      </c>
      <c r="AJ88" s="50" t="s">
        <v>102</v>
      </c>
      <c r="AK88" s="50" t="s">
        <v>13385</v>
      </c>
      <c r="AL88" s="50" t="s">
        <v>13386</v>
      </c>
      <c r="AM88" s="50" t="s">
        <v>13387</v>
      </c>
      <c r="AN88" s="50" t="s">
        <v>13388</v>
      </c>
      <c r="AO88" s="50" t="s">
        <v>13389</v>
      </c>
      <c r="AP88" s="50" t="s">
        <v>2487</v>
      </c>
      <c r="AQ88" s="50" t="s">
        <v>2487</v>
      </c>
      <c r="AV88" s="50" t="s">
        <v>102</v>
      </c>
      <c r="AX88" s="50" t="s">
        <v>1384</v>
      </c>
      <c r="AY88" s="50" t="s">
        <v>119</v>
      </c>
      <c r="AZ88" s="50" t="s">
        <v>1138</v>
      </c>
      <c r="BA88" s="50" t="s">
        <v>118</v>
      </c>
      <c r="BC88" s="50" t="s">
        <v>120</v>
      </c>
      <c r="BD88" s="50" t="s">
        <v>555</v>
      </c>
      <c r="BE88" s="50" t="s">
        <v>556</v>
      </c>
      <c r="BF88" s="50" t="s">
        <v>122</v>
      </c>
      <c r="BG88" s="50" t="s">
        <v>557</v>
      </c>
      <c r="BH88" s="50" t="s">
        <v>124</v>
      </c>
      <c r="BI88" s="50" t="s">
        <v>12023</v>
      </c>
      <c r="BJ88" s="50" t="s">
        <v>11889</v>
      </c>
      <c r="BK88" s="50" t="s">
        <v>127</v>
      </c>
      <c r="BL88" s="50" t="s">
        <v>13390</v>
      </c>
      <c r="BM88" s="50" t="s">
        <v>2489</v>
      </c>
      <c r="BN88" s="50" t="s">
        <v>13391</v>
      </c>
      <c r="BO88" s="50" t="s">
        <v>5548</v>
      </c>
      <c r="BP88" s="50" t="s">
        <v>1142</v>
      </c>
      <c r="BQ88" s="50" t="s">
        <v>350</v>
      </c>
      <c r="BR88" s="50" t="s">
        <v>1143</v>
      </c>
      <c r="BS88" s="50" t="s">
        <v>1144</v>
      </c>
      <c r="BT88" s="50" t="s">
        <v>566</v>
      </c>
      <c r="BV88" s="50" t="s">
        <v>13392</v>
      </c>
      <c r="BW88" s="50" t="s">
        <v>2492</v>
      </c>
      <c r="BX88" s="50" t="s">
        <v>138</v>
      </c>
      <c r="BY88" s="50" t="s">
        <v>2493</v>
      </c>
      <c r="BZ88" s="50" t="s">
        <v>2494</v>
      </c>
      <c r="CA88" s="50" t="s">
        <v>2495</v>
      </c>
      <c r="CB88" s="50" t="s">
        <v>2492</v>
      </c>
      <c r="CC88" s="50" t="s">
        <v>2493</v>
      </c>
      <c r="CD88" s="50" t="s">
        <v>2494</v>
      </c>
      <c r="CE88" s="50" t="s">
        <v>2492</v>
      </c>
      <c r="CF88" s="50" t="s">
        <v>2493</v>
      </c>
      <c r="CG88" s="50" t="s">
        <v>2494</v>
      </c>
      <c r="CH88" s="50" t="s">
        <v>102</v>
      </c>
      <c r="CI88" s="50" t="s">
        <v>2476</v>
      </c>
      <c r="CK88" s="50" t="s">
        <v>2500</v>
      </c>
      <c r="CM88" s="50" t="s">
        <v>555</v>
      </c>
      <c r="CN88" s="50" t="s">
        <v>556</v>
      </c>
      <c r="CO88" s="50" t="s">
        <v>2500</v>
      </c>
      <c r="CP88" s="50" t="s">
        <v>2501</v>
      </c>
      <c r="CQ88" s="50" t="s">
        <v>2499</v>
      </c>
      <c r="CR88" s="50" t="s">
        <v>2499</v>
      </c>
    </row>
    <row r="89" spans="1:97" hidden="1">
      <c r="A89" s="50" t="s">
        <v>149</v>
      </c>
      <c r="B89" s="50">
        <v>3990168</v>
      </c>
      <c r="C89" s="50" t="str">
        <f>VLOOKUP(B89,'Drop schools 2026'!B:C,2,0)</f>
        <v>Drop</v>
      </c>
      <c r="D89" s="50" t="s">
        <v>174</v>
      </c>
      <c r="E89" s="50" t="s">
        <v>384</v>
      </c>
      <c r="F89" s="50" t="s">
        <v>8073</v>
      </c>
      <c r="G89" s="50" t="e">
        <f>VLOOKUP(B89,aa!B:F,5,0)</f>
        <v>#N/A</v>
      </c>
      <c r="H89" s="50" t="e">
        <f>VLOOKUP(B89,aa!B:J,9,0)</f>
        <v>#N/A</v>
      </c>
      <c r="I89" s="50" t="e">
        <f>VLOOKUP(B89,aa!B:L,11,0)</f>
        <v>#N/A</v>
      </c>
      <c r="J89" s="50" t="e">
        <f>VLOOKUP(B89,aa!B:O,14,0)</f>
        <v>#N/A</v>
      </c>
      <c r="K89" s="50" t="e">
        <f>VLOOKUP(B89,aa!B:R,17,0)</f>
        <v>#N/A</v>
      </c>
      <c r="L89" s="50" t="s">
        <v>675</v>
      </c>
      <c r="M89" s="50">
        <v>1365745</v>
      </c>
      <c r="N89" s="50">
        <v>1365745</v>
      </c>
      <c r="O89" s="50">
        <v>71760</v>
      </c>
      <c r="P89" s="50">
        <v>104</v>
      </c>
      <c r="Q89" s="50" t="s">
        <v>17475</v>
      </c>
      <c r="R89" s="50">
        <v>1293985</v>
      </c>
      <c r="S89" s="50">
        <v>768</v>
      </c>
      <c r="T89" s="50" t="s">
        <v>17476</v>
      </c>
      <c r="U89" s="50">
        <v>0</v>
      </c>
      <c r="V89" s="50">
        <v>0</v>
      </c>
      <c r="X89" s="50" t="s">
        <v>102</v>
      </c>
      <c r="Y89" s="50" t="s">
        <v>103</v>
      </c>
      <c r="Z89" s="50" t="s">
        <v>938</v>
      </c>
      <c r="AB89" s="50" t="s">
        <v>17477</v>
      </c>
      <c r="AC89" s="50" t="s">
        <v>17478</v>
      </c>
      <c r="AD89" s="50" t="s">
        <v>17479</v>
      </c>
      <c r="AE89" s="50" t="s">
        <v>17480</v>
      </c>
      <c r="AF89" s="50" t="s">
        <v>17481</v>
      </c>
      <c r="AG89" s="50" t="s">
        <v>17480</v>
      </c>
      <c r="AH89" s="50" t="s">
        <v>17482</v>
      </c>
      <c r="AI89" s="50" t="s">
        <v>17483</v>
      </c>
      <c r="AJ89" s="50" t="s">
        <v>17484</v>
      </c>
      <c r="AK89" s="50" t="s">
        <v>1408</v>
      </c>
      <c r="AL89" s="50" t="s">
        <v>16162</v>
      </c>
      <c r="AM89" s="50" t="s">
        <v>17485</v>
      </c>
      <c r="AN89" s="50" t="s">
        <v>17486</v>
      </c>
      <c r="AO89" s="50" t="s">
        <v>17487</v>
      </c>
      <c r="AP89" s="50" t="s">
        <v>17488</v>
      </c>
      <c r="AQ89" s="50" t="s">
        <v>17488</v>
      </c>
      <c r="AV89" s="50" t="s">
        <v>247</v>
      </c>
      <c r="AW89" s="50" t="s">
        <v>118</v>
      </c>
      <c r="AX89" s="50" t="s">
        <v>951</v>
      </c>
      <c r="AY89" s="50" t="s">
        <v>119</v>
      </c>
      <c r="AZ89" s="50" t="s">
        <v>170</v>
      </c>
      <c r="BA89" s="50" t="s">
        <v>118</v>
      </c>
      <c r="BC89" s="50" t="s">
        <v>1964</v>
      </c>
      <c r="BD89" s="50" t="s">
        <v>8090</v>
      </c>
      <c r="BE89" s="50" t="s">
        <v>376</v>
      </c>
      <c r="BF89" s="50" t="s">
        <v>174</v>
      </c>
      <c r="BG89" s="50" t="s">
        <v>376</v>
      </c>
      <c r="BH89" s="50" t="s">
        <v>124</v>
      </c>
      <c r="BI89" s="50" t="s">
        <v>17489</v>
      </c>
      <c r="BJ89" s="50" t="s">
        <v>11889</v>
      </c>
      <c r="BK89" s="50" t="s">
        <v>127</v>
      </c>
      <c r="BL89" s="50" t="s">
        <v>17490</v>
      </c>
      <c r="BM89" s="50" t="s">
        <v>8093</v>
      </c>
      <c r="BN89" s="50" t="s">
        <v>17491</v>
      </c>
      <c r="BO89" s="50" t="s">
        <v>1202</v>
      </c>
      <c r="BP89" s="50" t="s">
        <v>1917</v>
      </c>
      <c r="BQ89" s="50" t="s">
        <v>180</v>
      </c>
      <c r="BR89" s="50" t="s">
        <v>1918</v>
      </c>
      <c r="BS89" s="50" t="s">
        <v>1919</v>
      </c>
      <c r="BT89" s="50" t="s">
        <v>1858</v>
      </c>
      <c r="BV89" s="50" t="s">
        <v>17492</v>
      </c>
      <c r="BW89" s="50" t="s">
        <v>17493</v>
      </c>
      <c r="BX89" s="50" t="s">
        <v>138</v>
      </c>
      <c r="BY89" s="50" t="s">
        <v>8097</v>
      </c>
      <c r="BZ89" s="50" t="s">
        <v>8098</v>
      </c>
      <c r="CB89" s="50" t="s">
        <v>17493</v>
      </c>
      <c r="CC89" s="50" t="s">
        <v>8097</v>
      </c>
      <c r="CD89" s="50" t="s">
        <v>8098</v>
      </c>
      <c r="CE89" s="50" t="s">
        <v>17493</v>
      </c>
      <c r="CF89" s="50" t="s">
        <v>8097</v>
      </c>
      <c r="CG89" s="50" t="s">
        <v>8098</v>
      </c>
      <c r="CH89" s="50" t="s">
        <v>102</v>
      </c>
      <c r="CI89" s="50" t="s">
        <v>8073</v>
      </c>
      <c r="CK89" s="50" t="s">
        <v>8102</v>
      </c>
      <c r="CM89" s="50" t="s">
        <v>8090</v>
      </c>
      <c r="CN89" s="50" t="s">
        <v>376</v>
      </c>
      <c r="CO89" s="50" t="s">
        <v>8102</v>
      </c>
      <c r="CP89" s="50" t="s">
        <v>8103</v>
      </c>
      <c r="CQ89" s="50" t="s">
        <v>8101</v>
      </c>
      <c r="CR89" s="50" t="s">
        <v>8101</v>
      </c>
      <c r="CS89" s="50" t="s">
        <v>26046</v>
      </c>
    </row>
    <row r="90" spans="1:97" hidden="1">
      <c r="A90" s="50" t="s">
        <v>149</v>
      </c>
      <c r="B90" s="50">
        <v>381519</v>
      </c>
      <c r="C90" s="50" t="e">
        <f>VLOOKUP(B90,'Drop schools 2026'!B:C,2,0)</f>
        <v>#N/A</v>
      </c>
      <c r="D90" s="50" t="s">
        <v>174</v>
      </c>
      <c r="E90" s="50" t="s">
        <v>384</v>
      </c>
      <c r="F90" s="50" t="s">
        <v>7526</v>
      </c>
      <c r="G90" s="50" t="str">
        <f>VLOOKUP(B90,aa!B:F,5,0)</f>
        <v>Ei Mindspark</v>
      </c>
      <c r="H90" s="50">
        <f>VLOOKUP(B90,aa!B:J,9,0)</f>
        <v>1233873</v>
      </c>
      <c r="I90" s="50">
        <f>VLOOKUP(B90,aa!B:L,11,0)</f>
        <v>0</v>
      </c>
      <c r="J90" s="50">
        <f>VLOOKUP(B90,aa!B:O,14,0)</f>
        <v>0</v>
      </c>
      <c r="K90" s="50">
        <f>VLOOKUP(B90,aa!B:R,17,0)</f>
        <v>1233873</v>
      </c>
      <c r="L90" s="50" t="s">
        <v>848</v>
      </c>
      <c r="M90" s="50">
        <v>1360648</v>
      </c>
      <c r="N90" s="50">
        <v>1605565</v>
      </c>
      <c r="O90" s="50">
        <v>0</v>
      </c>
      <c r="P90" s="50">
        <v>0</v>
      </c>
      <c r="R90" s="50">
        <v>0</v>
      </c>
      <c r="S90" s="50">
        <v>0</v>
      </c>
      <c r="U90" s="50">
        <v>1360648</v>
      </c>
      <c r="V90" s="50">
        <v>720</v>
      </c>
      <c r="W90" s="50" t="s">
        <v>7528</v>
      </c>
      <c r="X90" s="50" t="s">
        <v>102</v>
      </c>
      <c r="Y90" s="50" t="s">
        <v>103</v>
      </c>
      <c r="Z90" s="50" t="s">
        <v>155</v>
      </c>
      <c r="AB90" s="50" t="s">
        <v>1941</v>
      </c>
      <c r="AC90" s="50" t="s">
        <v>17032</v>
      </c>
      <c r="AD90" s="50" t="s">
        <v>12040</v>
      </c>
      <c r="AE90" s="50" t="s">
        <v>17032</v>
      </c>
      <c r="AF90" s="50" t="s">
        <v>12099</v>
      </c>
      <c r="AG90" s="50" t="s">
        <v>17032</v>
      </c>
      <c r="AH90" s="50" t="s">
        <v>11886</v>
      </c>
      <c r="AI90" s="50" t="s">
        <v>17032</v>
      </c>
      <c r="AJ90" s="50" t="s">
        <v>17033</v>
      </c>
      <c r="AK90" s="50" t="s">
        <v>12711</v>
      </c>
      <c r="AL90" s="50" t="s">
        <v>16844</v>
      </c>
      <c r="AM90" s="50" t="s">
        <v>17034</v>
      </c>
      <c r="AN90" s="50" t="s">
        <v>17035</v>
      </c>
      <c r="AO90" s="50" t="s">
        <v>17036</v>
      </c>
      <c r="AP90" s="50" t="s">
        <v>7535</v>
      </c>
      <c r="AQ90" s="50" t="s">
        <v>7535</v>
      </c>
      <c r="AV90" s="50" t="s">
        <v>102</v>
      </c>
      <c r="AX90" s="50" t="s">
        <v>102</v>
      </c>
      <c r="AY90" s="50" t="s">
        <v>119</v>
      </c>
      <c r="BB90" s="50" t="s">
        <v>250</v>
      </c>
      <c r="BC90" s="50" t="s">
        <v>120</v>
      </c>
      <c r="BD90" s="50" t="s">
        <v>375</v>
      </c>
      <c r="BE90" s="50" t="s">
        <v>376</v>
      </c>
      <c r="BF90" s="50" t="s">
        <v>174</v>
      </c>
      <c r="BG90" s="50" t="s">
        <v>376</v>
      </c>
      <c r="BH90" s="50" t="s">
        <v>124</v>
      </c>
      <c r="BI90" s="50" t="s">
        <v>12926</v>
      </c>
      <c r="BJ90" s="50" t="s">
        <v>11889</v>
      </c>
      <c r="BK90" s="50" t="s">
        <v>127</v>
      </c>
      <c r="BL90" s="50" t="s">
        <v>17037</v>
      </c>
      <c r="BM90" s="50" t="s">
        <v>7537</v>
      </c>
      <c r="BN90" s="50" t="s">
        <v>17038</v>
      </c>
      <c r="BO90" s="50" t="s">
        <v>6443</v>
      </c>
      <c r="BP90" s="50" t="s">
        <v>1917</v>
      </c>
      <c r="BQ90" s="50" t="s">
        <v>180</v>
      </c>
      <c r="BR90" s="50" t="s">
        <v>1918</v>
      </c>
      <c r="BS90" s="50" t="s">
        <v>1919</v>
      </c>
      <c r="BT90" s="50" t="s">
        <v>384</v>
      </c>
      <c r="BV90" s="50" t="s">
        <v>17039</v>
      </c>
      <c r="BW90" s="50" t="s">
        <v>17040</v>
      </c>
      <c r="BY90" s="50" t="s">
        <v>7545</v>
      </c>
      <c r="BZ90" s="50" t="s">
        <v>7546</v>
      </c>
      <c r="CA90" s="50" t="s">
        <v>7543</v>
      </c>
      <c r="CB90" s="50" t="s">
        <v>17040</v>
      </c>
      <c r="CC90" s="50" t="s">
        <v>7545</v>
      </c>
      <c r="CD90" s="50" t="s">
        <v>7546</v>
      </c>
      <c r="CE90" s="50" t="s">
        <v>17040</v>
      </c>
      <c r="CF90" s="50" t="s">
        <v>7545</v>
      </c>
      <c r="CG90" s="50" t="s">
        <v>7546</v>
      </c>
      <c r="CH90" s="50" t="s">
        <v>102</v>
      </c>
      <c r="CI90" s="50" t="s">
        <v>17041</v>
      </c>
      <c r="CK90" s="50" t="s">
        <v>7551</v>
      </c>
      <c r="CM90" s="50" t="s">
        <v>375</v>
      </c>
      <c r="CN90" s="50" t="s">
        <v>376</v>
      </c>
      <c r="CO90" s="50" t="s">
        <v>7551</v>
      </c>
      <c r="CP90" s="50" t="s">
        <v>7552</v>
      </c>
      <c r="CQ90" s="50" t="s">
        <v>7550</v>
      </c>
      <c r="CR90" s="50" t="s">
        <v>7550</v>
      </c>
    </row>
    <row r="91" spans="1:97" hidden="1">
      <c r="A91" s="50" t="s">
        <v>149</v>
      </c>
      <c r="B91" s="50">
        <v>24374</v>
      </c>
      <c r="C91" s="50" t="e">
        <f>VLOOKUP(B91,'Drop schools 2026'!B:C,2,0)</f>
        <v>#N/A</v>
      </c>
      <c r="D91" s="50" t="s">
        <v>212</v>
      </c>
      <c r="E91" s="50" t="s">
        <v>12423</v>
      </c>
      <c r="F91" s="50" t="s">
        <v>3330</v>
      </c>
      <c r="G91" s="50" t="e">
        <f>VLOOKUP(B91,aa!B:F,5,0)</f>
        <v>#N/A</v>
      </c>
      <c r="H91" s="50" t="e">
        <f>VLOOKUP(B91,aa!B:J,9,0)</f>
        <v>#N/A</v>
      </c>
      <c r="I91" s="50" t="e">
        <f>VLOOKUP(B91,aa!B:L,11,0)</f>
        <v>#N/A</v>
      </c>
      <c r="J91" s="50" t="e">
        <f>VLOOKUP(B91,aa!B:O,14,0)</f>
        <v>#N/A</v>
      </c>
      <c r="K91" s="50" t="e">
        <f>VLOOKUP(B91,aa!B:R,17,0)</f>
        <v>#N/A</v>
      </c>
      <c r="L91" s="50" t="s">
        <v>848</v>
      </c>
      <c r="M91" s="50">
        <v>1360145</v>
      </c>
      <c r="N91" s="50">
        <v>1604971</v>
      </c>
      <c r="O91" s="50">
        <v>0</v>
      </c>
      <c r="P91" s="50">
        <v>0</v>
      </c>
      <c r="R91" s="50">
        <v>0</v>
      </c>
      <c r="S91" s="50">
        <v>0</v>
      </c>
      <c r="U91" s="50">
        <v>1360145</v>
      </c>
      <c r="V91" s="50">
        <v>783</v>
      </c>
      <c r="W91" s="50" t="s">
        <v>13950</v>
      </c>
      <c r="X91" s="50" t="s">
        <v>102</v>
      </c>
      <c r="Y91" s="50" t="s">
        <v>103</v>
      </c>
      <c r="Z91" s="50" t="s">
        <v>104</v>
      </c>
      <c r="AB91" s="50" t="s">
        <v>1408</v>
      </c>
      <c r="AC91" s="50" t="s">
        <v>13951</v>
      </c>
      <c r="AD91" s="50" t="s">
        <v>11886</v>
      </c>
      <c r="AE91" s="50" t="s">
        <v>13951</v>
      </c>
      <c r="AF91" s="50" t="s">
        <v>109</v>
      </c>
      <c r="AG91" s="50" t="s">
        <v>102</v>
      </c>
      <c r="AH91" s="50" t="s">
        <v>109</v>
      </c>
      <c r="AI91" s="50" t="s">
        <v>102</v>
      </c>
      <c r="AJ91" s="50" t="s">
        <v>13952</v>
      </c>
      <c r="AK91" s="50" t="s">
        <v>4294</v>
      </c>
      <c r="AL91" s="50" t="s">
        <v>4294</v>
      </c>
      <c r="AM91" s="50" t="s">
        <v>13953</v>
      </c>
      <c r="AN91" s="50" t="s">
        <v>13954</v>
      </c>
      <c r="AO91" s="50" t="s">
        <v>13951</v>
      </c>
      <c r="AP91" s="50" t="s">
        <v>13955</v>
      </c>
      <c r="AQ91" s="50" t="s">
        <v>13955</v>
      </c>
      <c r="AV91" s="50" t="s">
        <v>102</v>
      </c>
      <c r="AX91" s="50" t="s">
        <v>102</v>
      </c>
      <c r="AY91" s="50" t="s">
        <v>119</v>
      </c>
      <c r="BB91" s="50" t="s">
        <v>250</v>
      </c>
      <c r="BC91" s="50" t="s">
        <v>171</v>
      </c>
      <c r="BD91" s="50" t="s">
        <v>3340</v>
      </c>
      <c r="BE91" s="50" t="s">
        <v>410</v>
      </c>
      <c r="BF91" s="50" t="s">
        <v>212</v>
      </c>
      <c r="BG91" s="50" t="s">
        <v>410</v>
      </c>
      <c r="BH91" s="50" t="s">
        <v>124</v>
      </c>
      <c r="BI91" s="50" t="s">
        <v>11976</v>
      </c>
      <c r="BJ91" s="50" t="s">
        <v>11960</v>
      </c>
      <c r="BK91" s="50" t="s">
        <v>127</v>
      </c>
      <c r="BL91" s="50" t="s">
        <v>13956</v>
      </c>
      <c r="BM91" s="50" t="s">
        <v>3342</v>
      </c>
      <c r="BN91" s="50" t="s">
        <v>13957</v>
      </c>
      <c r="BO91" s="50" t="s">
        <v>13949</v>
      </c>
      <c r="BP91" s="50" t="s">
        <v>866</v>
      </c>
      <c r="BQ91" s="50" t="s">
        <v>132</v>
      </c>
      <c r="BR91" s="50" t="s">
        <v>867</v>
      </c>
      <c r="BS91" s="50" t="s">
        <v>868</v>
      </c>
      <c r="BT91" s="50" t="s">
        <v>418</v>
      </c>
      <c r="BV91" s="50" t="s">
        <v>13958</v>
      </c>
      <c r="BW91" s="50" t="s">
        <v>3345</v>
      </c>
      <c r="BY91" s="50" t="s">
        <v>3346</v>
      </c>
      <c r="BZ91" s="50" t="s">
        <v>3347</v>
      </c>
      <c r="CA91" s="50" t="s">
        <v>3348</v>
      </c>
      <c r="CB91" s="50" t="s">
        <v>3345</v>
      </c>
      <c r="CC91" s="50" t="s">
        <v>3346</v>
      </c>
      <c r="CD91" s="50" t="s">
        <v>3347</v>
      </c>
      <c r="CE91" s="50" t="s">
        <v>13959</v>
      </c>
      <c r="CF91" s="50" t="s">
        <v>13960</v>
      </c>
      <c r="CG91" s="50" t="s">
        <v>13961</v>
      </c>
      <c r="CH91" s="50" t="s">
        <v>102</v>
      </c>
      <c r="CI91" s="50" t="s">
        <v>3349</v>
      </c>
      <c r="CK91" s="50" t="s">
        <v>3350</v>
      </c>
      <c r="CL91" s="50" t="s">
        <v>3349</v>
      </c>
      <c r="CM91" s="50" t="s">
        <v>3340</v>
      </c>
      <c r="CN91" s="50" t="s">
        <v>410</v>
      </c>
      <c r="CO91" s="50" t="s">
        <v>3350</v>
      </c>
      <c r="CQ91" s="50" t="s">
        <v>3349</v>
      </c>
      <c r="CR91" s="50" t="s">
        <v>3349</v>
      </c>
      <c r="CS91" s="50" t="s">
        <v>26043</v>
      </c>
    </row>
    <row r="92" spans="1:97" hidden="1">
      <c r="A92" s="50" t="s">
        <v>149</v>
      </c>
      <c r="B92" s="50">
        <v>3308610</v>
      </c>
      <c r="C92" s="50" t="e">
        <f>VLOOKUP(B92,'Drop schools 2026'!B:C,2,0)</f>
        <v>#N/A</v>
      </c>
      <c r="D92" s="50" t="s">
        <v>122</v>
      </c>
      <c r="E92" s="50" t="s">
        <v>12507</v>
      </c>
      <c r="F92" s="50" t="s">
        <v>5474</v>
      </c>
      <c r="G92" s="50" t="str">
        <f>VLOOKUP(B92,aa!B:F,5,0)</f>
        <v>Ei CARES</v>
      </c>
      <c r="H92" s="50">
        <f>VLOOKUP(B92,aa!B:J,9,0)</f>
        <v>1459490</v>
      </c>
      <c r="I92" s="50">
        <f>VLOOKUP(B92,aa!B:L,11,0)</f>
        <v>0</v>
      </c>
      <c r="J92" s="50">
        <f>VLOOKUP(B92,aa!B:O,14,0)</f>
        <v>1459490</v>
      </c>
      <c r="K92" s="50">
        <f>VLOOKUP(B92,aa!B:R,17,0)</f>
        <v>0</v>
      </c>
      <c r="L92" s="50" t="s">
        <v>152</v>
      </c>
      <c r="M92" s="50">
        <v>1357807</v>
      </c>
      <c r="N92" s="50">
        <v>1357807</v>
      </c>
      <c r="O92" s="50">
        <v>0</v>
      </c>
      <c r="P92" s="50">
        <v>0</v>
      </c>
      <c r="R92" s="50">
        <v>1357807</v>
      </c>
      <c r="S92" s="50">
        <v>875</v>
      </c>
      <c r="T92" s="50" t="s">
        <v>15522</v>
      </c>
      <c r="U92" s="50">
        <v>0</v>
      </c>
      <c r="V92" s="50">
        <v>0</v>
      </c>
      <c r="X92" s="50" t="s">
        <v>102</v>
      </c>
      <c r="Y92" s="50" t="s">
        <v>103</v>
      </c>
      <c r="Z92" s="50" t="s">
        <v>155</v>
      </c>
      <c r="AB92" s="50" t="s">
        <v>11927</v>
      </c>
      <c r="AC92" s="50" t="s">
        <v>15523</v>
      </c>
      <c r="AD92" s="50" t="s">
        <v>11929</v>
      </c>
      <c r="AE92" s="50" t="s">
        <v>15523</v>
      </c>
      <c r="AF92" s="50" t="s">
        <v>13110</v>
      </c>
      <c r="AG92" s="50" t="s">
        <v>15523</v>
      </c>
      <c r="AH92" s="50" t="s">
        <v>14024</v>
      </c>
      <c r="AI92" s="50" t="s">
        <v>15523</v>
      </c>
      <c r="AJ92" s="50" t="s">
        <v>15524</v>
      </c>
      <c r="AK92" s="50" t="s">
        <v>13244</v>
      </c>
      <c r="AL92" s="50" t="s">
        <v>12820</v>
      </c>
      <c r="AM92" s="50" t="s">
        <v>15525</v>
      </c>
      <c r="AN92" s="50" t="s">
        <v>15526</v>
      </c>
      <c r="AO92" s="50" t="s">
        <v>15527</v>
      </c>
      <c r="AP92" s="50" t="s">
        <v>5482</v>
      </c>
      <c r="AQ92" s="50" t="s">
        <v>5482</v>
      </c>
      <c r="AV92" s="50" t="s">
        <v>102</v>
      </c>
      <c r="AX92" s="50" t="s">
        <v>155</v>
      </c>
      <c r="AY92" s="50" t="s">
        <v>447</v>
      </c>
      <c r="AZ92" s="50" t="s">
        <v>170</v>
      </c>
      <c r="BA92" s="50" t="s">
        <v>118</v>
      </c>
      <c r="BC92" s="50" t="s">
        <v>120</v>
      </c>
      <c r="BD92" s="50" t="s">
        <v>5483</v>
      </c>
      <c r="BE92" s="50" t="s">
        <v>556</v>
      </c>
      <c r="BF92" s="50" t="s">
        <v>122</v>
      </c>
      <c r="BG92" s="50" t="s">
        <v>557</v>
      </c>
      <c r="BH92" s="50" t="s">
        <v>124</v>
      </c>
      <c r="BI92" s="50" t="s">
        <v>12023</v>
      </c>
      <c r="BJ92" s="50" t="s">
        <v>11889</v>
      </c>
      <c r="BK92" s="50" t="s">
        <v>127</v>
      </c>
      <c r="BL92" s="50" t="s">
        <v>15528</v>
      </c>
      <c r="BM92" s="50" t="s">
        <v>5485</v>
      </c>
      <c r="BN92" s="50" t="s">
        <v>15529</v>
      </c>
      <c r="BO92" s="50" t="s">
        <v>13949</v>
      </c>
      <c r="BP92" s="50" t="s">
        <v>12743</v>
      </c>
      <c r="BQ92" s="50" t="s">
        <v>350</v>
      </c>
      <c r="BR92" s="50" t="s">
        <v>12744</v>
      </c>
      <c r="BS92" s="50" t="s">
        <v>12745</v>
      </c>
      <c r="BT92" s="50" t="s">
        <v>1075</v>
      </c>
      <c r="BV92" s="50" t="s">
        <v>15530</v>
      </c>
      <c r="BW92" s="50" t="s">
        <v>15531</v>
      </c>
      <c r="BX92" s="50" t="s">
        <v>354</v>
      </c>
      <c r="BY92" s="50" t="s">
        <v>15532</v>
      </c>
      <c r="BZ92" s="50" t="s">
        <v>15533</v>
      </c>
      <c r="CA92" s="50" t="s">
        <v>5491</v>
      </c>
      <c r="CB92" s="50" t="s">
        <v>15531</v>
      </c>
      <c r="CC92" s="50" t="s">
        <v>15532</v>
      </c>
      <c r="CD92" s="50" t="s">
        <v>15533</v>
      </c>
      <c r="CE92" s="50" t="s">
        <v>15531</v>
      </c>
      <c r="CF92" s="50" t="s">
        <v>15532</v>
      </c>
      <c r="CG92" s="50" t="s">
        <v>15533</v>
      </c>
      <c r="CH92" s="50" t="s">
        <v>5492</v>
      </c>
      <c r="CI92" s="50" t="s">
        <v>15534</v>
      </c>
      <c r="CK92" s="50" t="s">
        <v>5494</v>
      </c>
      <c r="CL92" s="50" t="s">
        <v>15535</v>
      </c>
      <c r="CM92" s="50" t="s">
        <v>5483</v>
      </c>
      <c r="CN92" s="50" t="s">
        <v>556</v>
      </c>
      <c r="CO92" s="50" t="s">
        <v>5494</v>
      </c>
      <c r="CP92" s="50" t="s">
        <v>5495</v>
      </c>
      <c r="CQ92" s="50" t="s">
        <v>5493</v>
      </c>
      <c r="CR92" s="50" t="s">
        <v>5493</v>
      </c>
    </row>
    <row r="93" spans="1:97" hidden="1">
      <c r="A93" s="50" t="s">
        <v>337</v>
      </c>
      <c r="B93" s="50">
        <v>1155119</v>
      </c>
      <c r="C93" s="50" t="str">
        <f>VLOOKUP(B93,'Drop schools 2026'!B:C,2,0)</f>
        <v>Drop</v>
      </c>
      <c r="D93" s="50" t="s">
        <v>174</v>
      </c>
      <c r="E93" s="50" t="s">
        <v>12155</v>
      </c>
      <c r="F93" s="50" t="s">
        <v>12154</v>
      </c>
      <c r="G93" s="50" t="e">
        <f>VLOOKUP(B93,aa!B:F,5,0)</f>
        <v>#N/A</v>
      </c>
      <c r="H93" s="50" t="e">
        <f>VLOOKUP(B93,aa!B:J,9,0)</f>
        <v>#N/A</v>
      </c>
      <c r="I93" s="50" t="e">
        <f>VLOOKUP(B93,aa!B:L,11,0)</f>
        <v>#N/A</v>
      </c>
      <c r="J93" s="50" t="e">
        <f>VLOOKUP(B93,aa!B:O,14,0)</f>
        <v>#N/A</v>
      </c>
      <c r="K93" s="50" t="e">
        <f>VLOOKUP(B93,aa!B:R,17,0)</f>
        <v>#N/A</v>
      </c>
      <c r="L93" s="50" t="s">
        <v>152</v>
      </c>
      <c r="M93" s="50">
        <v>1355900</v>
      </c>
      <c r="N93" s="50">
        <v>1355900</v>
      </c>
      <c r="O93" s="50">
        <v>0</v>
      </c>
      <c r="P93" s="50">
        <v>0</v>
      </c>
      <c r="R93" s="50">
        <v>1355900</v>
      </c>
      <c r="S93" s="50">
        <v>1043</v>
      </c>
      <c r="T93" s="50" t="s">
        <v>8534</v>
      </c>
      <c r="U93" s="50">
        <v>0</v>
      </c>
      <c r="V93" s="50">
        <v>0</v>
      </c>
      <c r="X93" s="50" t="s">
        <v>102</v>
      </c>
      <c r="Y93" s="50" t="s">
        <v>103</v>
      </c>
      <c r="Z93" s="50" t="s">
        <v>155</v>
      </c>
      <c r="AB93" s="50" t="s">
        <v>2392</v>
      </c>
      <c r="AC93" s="50" t="s">
        <v>12156</v>
      </c>
      <c r="AD93" s="50" t="s">
        <v>12157</v>
      </c>
      <c r="AE93" s="50" t="s">
        <v>12156</v>
      </c>
      <c r="AF93" s="50" t="s">
        <v>12043</v>
      </c>
      <c r="AG93" s="50" t="s">
        <v>12156</v>
      </c>
      <c r="AH93" s="50" t="s">
        <v>11886</v>
      </c>
      <c r="AI93" s="50" t="s">
        <v>12156</v>
      </c>
      <c r="AJ93" s="50" t="s">
        <v>102</v>
      </c>
      <c r="AK93" s="50" t="s">
        <v>8783</v>
      </c>
      <c r="AL93" s="50" t="s">
        <v>12158</v>
      </c>
      <c r="AM93" s="50" t="s">
        <v>12159</v>
      </c>
      <c r="AN93" s="50" t="s">
        <v>12160</v>
      </c>
      <c r="AO93" s="50" t="s">
        <v>12161</v>
      </c>
      <c r="AP93" s="50" t="s">
        <v>116</v>
      </c>
      <c r="AQ93" s="50" t="s">
        <v>116</v>
      </c>
      <c r="AV93" s="50" t="s">
        <v>102</v>
      </c>
      <c r="AX93" s="50" t="s">
        <v>155</v>
      </c>
      <c r="AY93" s="50" t="s">
        <v>119</v>
      </c>
      <c r="AZ93" s="50" t="s">
        <v>170</v>
      </c>
      <c r="BA93" s="50" t="s">
        <v>118</v>
      </c>
      <c r="BC93" s="50" t="s">
        <v>120</v>
      </c>
      <c r="BD93" s="50" t="s">
        <v>12162</v>
      </c>
      <c r="BE93" s="50" t="s">
        <v>1171</v>
      </c>
      <c r="BF93" s="50" t="s">
        <v>174</v>
      </c>
      <c r="BG93" s="50" t="s">
        <v>1172</v>
      </c>
      <c r="BH93" s="50" t="s">
        <v>124</v>
      </c>
      <c r="BI93" s="50" t="s">
        <v>12023</v>
      </c>
      <c r="BJ93" s="50" t="s">
        <v>11889</v>
      </c>
      <c r="BK93" s="50" t="s">
        <v>127</v>
      </c>
      <c r="BL93" s="50" t="s">
        <v>12163</v>
      </c>
      <c r="BM93" s="50" t="s">
        <v>12164</v>
      </c>
      <c r="BN93" s="50" t="s">
        <v>12165</v>
      </c>
      <c r="BO93" s="50" t="s">
        <v>6134</v>
      </c>
      <c r="BP93" s="50" t="s">
        <v>5557</v>
      </c>
      <c r="BQ93" s="50" t="s">
        <v>180</v>
      </c>
      <c r="BR93" s="50" t="s">
        <v>5558</v>
      </c>
      <c r="BS93" s="50" t="s">
        <v>5559</v>
      </c>
      <c r="BT93" s="50" t="s">
        <v>5560</v>
      </c>
      <c r="BV93" s="50" t="s">
        <v>12166</v>
      </c>
      <c r="BW93" s="50" t="s">
        <v>12167</v>
      </c>
      <c r="BX93" s="50" t="s">
        <v>138</v>
      </c>
      <c r="BY93" s="50" t="s">
        <v>12168</v>
      </c>
      <c r="BZ93" s="50" t="s">
        <v>12169</v>
      </c>
      <c r="CA93" s="50" t="s">
        <v>12168</v>
      </c>
      <c r="CB93" s="50" t="s">
        <v>12167</v>
      </c>
      <c r="CC93" s="50" t="s">
        <v>12168</v>
      </c>
      <c r="CD93" s="50" t="s">
        <v>12170</v>
      </c>
      <c r="CE93" s="50" t="s">
        <v>12167</v>
      </c>
      <c r="CF93" s="50" t="s">
        <v>12168</v>
      </c>
      <c r="CG93" s="50" t="s">
        <v>12170</v>
      </c>
      <c r="CH93" s="50" t="s">
        <v>12171</v>
      </c>
      <c r="CI93" s="50" t="s">
        <v>12172</v>
      </c>
      <c r="CK93" s="50" t="s">
        <v>12173</v>
      </c>
      <c r="CL93" s="50" t="s">
        <v>12174</v>
      </c>
      <c r="CM93" s="50" t="s">
        <v>12162</v>
      </c>
      <c r="CN93" s="50" t="s">
        <v>1171</v>
      </c>
      <c r="CO93" s="50" t="s">
        <v>12173</v>
      </c>
      <c r="CQ93" s="50" t="s">
        <v>12174</v>
      </c>
      <c r="CR93" s="50" t="s">
        <v>12174</v>
      </c>
      <c r="CS93" s="50" t="s">
        <v>26046</v>
      </c>
    </row>
    <row r="94" spans="1:97" hidden="1">
      <c r="A94" s="50" t="s">
        <v>149</v>
      </c>
      <c r="B94" s="50">
        <v>376207</v>
      </c>
      <c r="C94" s="50" t="e">
        <f>VLOOKUP(B94,'Drop schools 2026'!B:C,2,0)</f>
        <v>#N/A</v>
      </c>
      <c r="D94" s="50" t="s">
        <v>212</v>
      </c>
      <c r="E94" s="50" t="s">
        <v>11947</v>
      </c>
      <c r="F94" s="50" t="s">
        <v>7351</v>
      </c>
      <c r="G94" s="50" t="e">
        <f>VLOOKUP(B94,aa!B:F,5,0)</f>
        <v>#N/A</v>
      </c>
      <c r="H94" s="50" t="e">
        <f>VLOOKUP(B94,aa!B:J,9,0)</f>
        <v>#N/A</v>
      </c>
      <c r="I94" s="50" t="e">
        <f>VLOOKUP(B94,aa!B:L,11,0)</f>
        <v>#N/A</v>
      </c>
      <c r="J94" s="50" t="e">
        <f>VLOOKUP(B94,aa!B:O,14,0)</f>
        <v>#N/A</v>
      </c>
      <c r="K94" s="50" t="e">
        <f>VLOOKUP(B94,aa!B:R,17,0)</f>
        <v>#N/A</v>
      </c>
      <c r="L94" s="50" t="s">
        <v>193</v>
      </c>
      <c r="M94" s="50">
        <v>1347435</v>
      </c>
      <c r="N94" s="50">
        <v>1559802</v>
      </c>
      <c r="O94" s="50">
        <v>167621</v>
      </c>
      <c r="P94" s="50">
        <v>419</v>
      </c>
      <c r="Q94" s="50" t="s">
        <v>6051</v>
      </c>
      <c r="R94" s="50">
        <v>0</v>
      </c>
      <c r="S94" s="50">
        <v>0</v>
      </c>
      <c r="U94" s="50">
        <v>1179814</v>
      </c>
      <c r="V94" s="50">
        <v>696</v>
      </c>
      <c r="W94" s="50" t="s">
        <v>2007</v>
      </c>
      <c r="X94" s="50" t="s">
        <v>102</v>
      </c>
      <c r="Y94" s="50" t="s">
        <v>103</v>
      </c>
      <c r="Z94" s="50" t="s">
        <v>104</v>
      </c>
      <c r="AB94" s="50" t="s">
        <v>1408</v>
      </c>
      <c r="AC94" s="50" t="s">
        <v>16886</v>
      </c>
      <c r="AD94" s="50" t="s">
        <v>12211</v>
      </c>
      <c r="AE94" s="50" t="s">
        <v>16886</v>
      </c>
      <c r="AF94" s="50" t="s">
        <v>109</v>
      </c>
      <c r="AG94" s="50" t="s">
        <v>102</v>
      </c>
      <c r="AH94" s="50" t="s">
        <v>109</v>
      </c>
      <c r="AI94" s="50" t="s">
        <v>102</v>
      </c>
      <c r="AJ94" s="50" t="s">
        <v>16887</v>
      </c>
      <c r="AK94" s="50" t="s">
        <v>13075</v>
      </c>
      <c r="AL94" s="50" t="s">
        <v>16888</v>
      </c>
      <c r="AM94" s="50" t="s">
        <v>16889</v>
      </c>
      <c r="AN94" s="50" t="s">
        <v>16890</v>
      </c>
      <c r="AO94" s="50" t="s">
        <v>16891</v>
      </c>
      <c r="AP94" s="50" t="s">
        <v>16892</v>
      </c>
      <c r="AQ94" s="50" t="s">
        <v>16892</v>
      </c>
      <c r="AV94" s="50" t="s">
        <v>207</v>
      </c>
      <c r="AW94" s="50" t="s">
        <v>118</v>
      </c>
      <c r="AX94" s="50" t="s">
        <v>102</v>
      </c>
      <c r="AY94" s="50" t="s">
        <v>119</v>
      </c>
      <c r="BB94" s="50" t="s">
        <v>250</v>
      </c>
      <c r="BC94" s="50" t="s">
        <v>209</v>
      </c>
      <c r="BD94" s="50" t="s">
        <v>920</v>
      </c>
      <c r="BE94" s="50" t="s">
        <v>211</v>
      </c>
      <c r="BF94" s="50" t="s">
        <v>212</v>
      </c>
      <c r="BG94" s="50" t="s">
        <v>213</v>
      </c>
      <c r="BH94" s="50" t="s">
        <v>124</v>
      </c>
      <c r="BI94" s="50" t="s">
        <v>16893</v>
      </c>
      <c r="BJ94" s="50" t="s">
        <v>11960</v>
      </c>
      <c r="BK94" s="50" t="s">
        <v>127</v>
      </c>
      <c r="BL94" s="50" t="s">
        <v>16894</v>
      </c>
      <c r="BM94" s="50" t="s">
        <v>7363</v>
      </c>
      <c r="BN94" s="50" t="s">
        <v>16895</v>
      </c>
      <c r="BO94" s="50" t="s">
        <v>16885</v>
      </c>
      <c r="BP94" s="50" t="s">
        <v>1880</v>
      </c>
      <c r="BQ94" s="50" t="s">
        <v>350</v>
      </c>
      <c r="BR94" s="50" t="s">
        <v>1882</v>
      </c>
      <c r="BS94" s="50" t="s">
        <v>1883</v>
      </c>
      <c r="BT94" s="50" t="s">
        <v>483</v>
      </c>
      <c r="BV94" s="50" t="s">
        <v>16896</v>
      </c>
      <c r="BW94" s="50" t="s">
        <v>5980</v>
      </c>
      <c r="BX94" s="50" t="s">
        <v>138</v>
      </c>
      <c r="BY94" s="50" t="s">
        <v>5981</v>
      </c>
      <c r="BZ94" s="50" t="s">
        <v>5982</v>
      </c>
      <c r="CA94" s="50" t="s">
        <v>5981</v>
      </c>
      <c r="CB94" s="50" t="s">
        <v>5980</v>
      </c>
      <c r="CC94" s="50" t="s">
        <v>5981</v>
      </c>
      <c r="CD94" s="50" t="s">
        <v>5982</v>
      </c>
      <c r="CE94" s="50" t="s">
        <v>5980</v>
      </c>
      <c r="CF94" s="50" t="s">
        <v>5981</v>
      </c>
      <c r="CG94" s="50" t="s">
        <v>5982</v>
      </c>
      <c r="CH94" s="50" t="s">
        <v>102</v>
      </c>
      <c r="CI94" s="50" t="s">
        <v>16897</v>
      </c>
      <c r="CK94" s="50" t="s">
        <v>5985</v>
      </c>
      <c r="CM94" s="50" t="s">
        <v>920</v>
      </c>
      <c r="CN94" s="50" t="s">
        <v>211</v>
      </c>
      <c r="CO94" s="50" t="s">
        <v>5985</v>
      </c>
      <c r="CP94" s="50" t="s">
        <v>5986</v>
      </c>
      <c r="CQ94" s="50" t="s">
        <v>7366</v>
      </c>
      <c r="CR94" s="50" t="s">
        <v>7366</v>
      </c>
      <c r="CS94" s="50" t="s">
        <v>26040</v>
      </c>
    </row>
    <row r="95" spans="1:97" hidden="1">
      <c r="A95" s="50" t="s">
        <v>337</v>
      </c>
      <c r="B95" s="50">
        <v>5077577</v>
      </c>
      <c r="C95" s="50" t="e">
        <f>VLOOKUP(B95,'Drop schools 2026'!B:C,2,0)</f>
        <v>#N/A</v>
      </c>
      <c r="D95" s="50" t="s">
        <v>212</v>
      </c>
      <c r="E95" s="50" t="s">
        <v>13158</v>
      </c>
      <c r="F95" s="50" t="s">
        <v>20831</v>
      </c>
      <c r="G95" s="50" t="e">
        <f>VLOOKUP(B95,aa!B:F,5,0)</f>
        <v>#N/A</v>
      </c>
      <c r="H95" s="50" t="e">
        <f>VLOOKUP(B95,aa!B:J,9,0)</f>
        <v>#N/A</v>
      </c>
      <c r="I95" s="50" t="e">
        <f>VLOOKUP(B95,aa!B:L,11,0)</f>
        <v>#N/A</v>
      </c>
      <c r="J95" s="50" t="e">
        <f>VLOOKUP(B95,aa!B:O,14,0)</f>
        <v>#N/A</v>
      </c>
      <c r="K95" s="50" t="e">
        <f>VLOOKUP(B95,aa!B:R,17,0)</f>
        <v>#N/A</v>
      </c>
      <c r="L95" s="50" t="s">
        <v>1746</v>
      </c>
      <c r="M95" s="50">
        <v>1344160</v>
      </c>
      <c r="N95" s="50">
        <v>1443232</v>
      </c>
      <c r="O95" s="50">
        <v>432960</v>
      </c>
      <c r="P95" s="50">
        <v>1000</v>
      </c>
      <c r="Q95" s="50" t="s">
        <v>20832</v>
      </c>
      <c r="R95" s="50">
        <v>360800</v>
      </c>
      <c r="S95" s="50">
        <v>500</v>
      </c>
      <c r="T95" s="50" t="s">
        <v>20833</v>
      </c>
      <c r="U95" s="50">
        <v>550400</v>
      </c>
      <c r="V95" s="50">
        <v>500</v>
      </c>
      <c r="W95" s="50" t="s">
        <v>6782</v>
      </c>
      <c r="X95" s="50" t="s">
        <v>102</v>
      </c>
      <c r="Y95" s="50" t="s">
        <v>103</v>
      </c>
      <c r="Z95" s="50" t="s">
        <v>398</v>
      </c>
      <c r="AB95" s="50" t="s">
        <v>12099</v>
      </c>
      <c r="AC95" s="50" t="s">
        <v>20834</v>
      </c>
      <c r="AD95" s="50" t="s">
        <v>13395</v>
      </c>
      <c r="AE95" s="50" t="s">
        <v>20835</v>
      </c>
      <c r="AF95" s="50" t="s">
        <v>12713</v>
      </c>
      <c r="AG95" s="50" t="s">
        <v>20835</v>
      </c>
      <c r="AH95" s="50" t="s">
        <v>109</v>
      </c>
      <c r="AI95" s="50" t="s">
        <v>102</v>
      </c>
      <c r="AJ95" s="50" t="s">
        <v>102</v>
      </c>
      <c r="AM95" s="50" t="s">
        <v>20836</v>
      </c>
      <c r="AN95" s="50" t="s">
        <v>102</v>
      </c>
      <c r="AO95" s="50" t="s">
        <v>20836</v>
      </c>
      <c r="AP95" s="50" t="s">
        <v>20837</v>
      </c>
      <c r="AQ95" s="50" t="s">
        <v>20837</v>
      </c>
      <c r="AV95" s="50" t="s">
        <v>6700</v>
      </c>
      <c r="AW95" s="50" t="s">
        <v>250</v>
      </c>
      <c r="AX95" s="50" t="s">
        <v>155</v>
      </c>
      <c r="AY95" s="50" t="s">
        <v>119</v>
      </c>
      <c r="BA95" s="50" t="s">
        <v>250</v>
      </c>
      <c r="BB95" s="50" t="s">
        <v>250</v>
      </c>
      <c r="BC95" s="50" t="s">
        <v>120</v>
      </c>
      <c r="BD95" s="50" t="s">
        <v>19371</v>
      </c>
      <c r="BE95" s="50" t="s">
        <v>19372</v>
      </c>
      <c r="BF95" s="50" t="s">
        <v>212</v>
      </c>
      <c r="BG95" s="50" t="s">
        <v>213</v>
      </c>
      <c r="BH95" s="50" t="s">
        <v>124</v>
      </c>
      <c r="BI95" s="50" t="s">
        <v>13680</v>
      </c>
      <c r="BJ95" s="50" t="s">
        <v>12047</v>
      </c>
      <c r="BK95" s="50" t="s">
        <v>127</v>
      </c>
      <c r="BL95" s="50" t="s">
        <v>20838</v>
      </c>
      <c r="BM95" s="50" t="s">
        <v>20839</v>
      </c>
      <c r="BN95" s="50" t="s">
        <v>20840</v>
      </c>
      <c r="BO95" s="50" t="s">
        <v>15177</v>
      </c>
      <c r="BP95" s="50" t="s">
        <v>956</v>
      </c>
      <c r="BQ95" s="50" t="s">
        <v>180</v>
      </c>
      <c r="BR95" s="50" t="s">
        <v>958</v>
      </c>
      <c r="BS95" s="50" t="s">
        <v>959</v>
      </c>
      <c r="BT95" s="50" t="s">
        <v>293</v>
      </c>
      <c r="BV95" s="50" t="s">
        <v>20841</v>
      </c>
      <c r="BW95" s="50" t="s">
        <v>10447</v>
      </c>
      <c r="BX95" s="50" t="s">
        <v>354</v>
      </c>
      <c r="BY95" s="50" t="s">
        <v>10448</v>
      </c>
      <c r="BZ95" s="50" t="s">
        <v>9098</v>
      </c>
      <c r="CA95" s="50" t="s">
        <v>20842</v>
      </c>
      <c r="CB95" s="50" t="s">
        <v>10447</v>
      </c>
      <c r="CC95" s="50" t="s">
        <v>10448</v>
      </c>
      <c r="CD95" s="50" t="s">
        <v>9098</v>
      </c>
      <c r="CE95" s="50" t="s">
        <v>10447</v>
      </c>
      <c r="CF95" s="50" t="s">
        <v>10448</v>
      </c>
      <c r="CG95" s="50" t="s">
        <v>9098</v>
      </c>
      <c r="CH95" s="50" t="s">
        <v>102</v>
      </c>
      <c r="CI95" s="50" t="s">
        <v>19376</v>
      </c>
      <c r="CK95" s="50" t="s">
        <v>19377</v>
      </c>
      <c r="CM95" s="50" t="s">
        <v>19371</v>
      </c>
      <c r="CN95" s="50" t="s">
        <v>19372</v>
      </c>
      <c r="CO95" s="50" t="s">
        <v>19377</v>
      </c>
      <c r="CQ95" s="50" t="s">
        <v>10451</v>
      </c>
      <c r="CR95" s="50" t="s">
        <v>10451</v>
      </c>
      <c r="CS95" s="50" t="s">
        <v>26048</v>
      </c>
    </row>
    <row r="96" spans="1:97" hidden="1">
      <c r="A96" s="50" t="s">
        <v>149</v>
      </c>
      <c r="B96" s="50">
        <v>2470921</v>
      </c>
      <c r="C96" s="50" t="str">
        <f>VLOOKUP(B96,RISK!B:C,2,0)</f>
        <v>Risk</v>
      </c>
      <c r="D96" s="50" t="s">
        <v>622</v>
      </c>
      <c r="E96" s="50" t="s">
        <v>3562</v>
      </c>
      <c r="F96" s="53" t="s">
        <v>3548</v>
      </c>
      <c r="G96" s="50" t="e">
        <f>VLOOKUP(B96,aa!B:F,5,0)</f>
        <v>#N/A</v>
      </c>
      <c r="H96" s="50" t="e">
        <f>VLOOKUP(B96,aa!B:J,9,0)</f>
        <v>#N/A</v>
      </c>
      <c r="I96" s="50" t="e">
        <f>VLOOKUP(B96,aa!B:L,11,0)</f>
        <v>#N/A</v>
      </c>
      <c r="J96" s="50" t="e">
        <f>VLOOKUP(B96,aa!B:O,14,0)</f>
        <v>#N/A</v>
      </c>
      <c r="K96" s="50" t="e">
        <f>VLOOKUP(B96,aa!B:R,17,0)</f>
        <v>#N/A</v>
      </c>
      <c r="L96" s="50" t="s">
        <v>3549</v>
      </c>
      <c r="M96" s="50">
        <v>1331844</v>
      </c>
      <c r="N96" s="50">
        <v>1485493</v>
      </c>
      <c r="O96" s="50">
        <v>478236</v>
      </c>
      <c r="P96" s="50">
        <v>571</v>
      </c>
      <c r="Q96" s="50" t="s">
        <v>14122</v>
      </c>
      <c r="R96" s="50">
        <v>0</v>
      </c>
      <c r="S96" s="50">
        <v>0</v>
      </c>
      <c r="U96" s="50">
        <v>853608</v>
      </c>
      <c r="V96" s="50">
        <v>568</v>
      </c>
      <c r="W96" s="50" t="s">
        <v>14123</v>
      </c>
      <c r="X96" s="50" t="s">
        <v>102</v>
      </c>
      <c r="Y96" s="50" t="s">
        <v>275</v>
      </c>
      <c r="AA96" s="50" t="s">
        <v>126</v>
      </c>
      <c r="AB96" s="50" t="s">
        <v>109</v>
      </c>
      <c r="AC96" s="50" t="s">
        <v>102</v>
      </c>
      <c r="AD96" s="50" t="s">
        <v>109</v>
      </c>
      <c r="AE96" s="50" t="s">
        <v>102</v>
      </c>
      <c r="AF96" s="50" t="s">
        <v>109</v>
      </c>
      <c r="AG96" s="50" t="s">
        <v>102</v>
      </c>
      <c r="AH96" s="50" t="s">
        <v>109</v>
      </c>
      <c r="AI96" s="50" t="s">
        <v>102</v>
      </c>
      <c r="AJ96" s="50" t="s">
        <v>14124</v>
      </c>
      <c r="AK96" s="50" t="s">
        <v>12911</v>
      </c>
      <c r="AL96" s="50" t="s">
        <v>12911</v>
      </c>
      <c r="AM96" s="50" t="s">
        <v>14125</v>
      </c>
      <c r="AN96" s="50" t="s">
        <v>14126</v>
      </c>
      <c r="AO96" s="50" t="s">
        <v>14127</v>
      </c>
      <c r="AP96" s="50" t="s">
        <v>14128</v>
      </c>
      <c r="AQ96" s="50" t="s">
        <v>14129</v>
      </c>
      <c r="AR96" s="50" t="s">
        <v>343</v>
      </c>
      <c r="AU96" s="50" t="s">
        <v>169</v>
      </c>
      <c r="AV96" s="50" t="s">
        <v>318</v>
      </c>
      <c r="AW96" s="50" t="s">
        <v>118</v>
      </c>
      <c r="AX96" s="50" t="s">
        <v>102</v>
      </c>
      <c r="AY96" s="50" t="s">
        <v>119</v>
      </c>
      <c r="BB96" s="50" t="s">
        <v>250</v>
      </c>
      <c r="BC96" s="50" t="s">
        <v>120</v>
      </c>
      <c r="BD96" s="50" t="s">
        <v>2327</v>
      </c>
      <c r="BE96" s="50" t="s">
        <v>730</v>
      </c>
      <c r="BF96" s="50" t="s">
        <v>622</v>
      </c>
      <c r="BG96" s="50" t="s">
        <v>730</v>
      </c>
      <c r="BH96" s="50" t="s">
        <v>124</v>
      </c>
      <c r="BI96" s="50" t="s">
        <v>12023</v>
      </c>
      <c r="BJ96" s="50" t="s">
        <v>11889</v>
      </c>
      <c r="BK96" s="50" t="s">
        <v>127</v>
      </c>
      <c r="BL96" s="50" t="s">
        <v>14130</v>
      </c>
      <c r="BM96" s="50" t="s">
        <v>3560</v>
      </c>
      <c r="BN96" s="50" t="s">
        <v>14131</v>
      </c>
      <c r="BO96" s="50" t="s">
        <v>12496</v>
      </c>
      <c r="BP96" s="50" t="s">
        <v>7559</v>
      </c>
      <c r="BQ96" s="50" t="s">
        <v>350</v>
      </c>
      <c r="BR96" s="50" t="s">
        <v>7560</v>
      </c>
      <c r="BS96" s="50" t="s">
        <v>7561</v>
      </c>
      <c r="BT96" s="50" t="s">
        <v>3562</v>
      </c>
      <c r="BV96" s="50" t="s">
        <v>14132</v>
      </c>
      <c r="BW96" s="50" t="s">
        <v>14133</v>
      </c>
      <c r="BX96" s="50" t="s">
        <v>138</v>
      </c>
      <c r="BY96" s="50" t="s">
        <v>3565</v>
      </c>
      <c r="BZ96" s="50" t="s">
        <v>14134</v>
      </c>
      <c r="CA96" s="50" t="s">
        <v>3567</v>
      </c>
      <c r="CB96" s="50" t="s">
        <v>14133</v>
      </c>
      <c r="CC96" s="50" t="s">
        <v>7560</v>
      </c>
      <c r="CD96" s="50" t="s">
        <v>14134</v>
      </c>
      <c r="CE96" s="50" t="s">
        <v>14133</v>
      </c>
      <c r="CF96" s="50" t="s">
        <v>7560</v>
      </c>
      <c r="CG96" s="50" t="s">
        <v>14134</v>
      </c>
      <c r="CH96" s="50" t="s">
        <v>102</v>
      </c>
      <c r="CI96" s="50" t="s">
        <v>3568</v>
      </c>
      <c r="CK96" s="50" t="s">
        <v>3569</v>
      </c>
      <c r="CM96" s="50" t="s">
        <v>2327</v>
      </c>
      <c r="CN96" s="50" t="s">
        <v>730</v>
      </c>
      <c r="CO96" s="50" t="s">
        <v>3569</v>
      </c>
      <c r="CQ96" s="50" t="s">
        <v>3568</v>
      </c>
      <c r="CR96" s="50" t="s">
        <v>3568</v>
      </c>
      <c r="CS96" s="50" t="s">
        <v>26042</v>
      </c>
    </row>
    <row r="97" spans="1:97" hidden="1">
      <c r="A97" s="50" t="s">
        <v>93</v>
      </c>
      <c r="B97" s="50">
        <v>354838</v>
      </c>
      <c r="C97" s="50" t="e">
        <f>VLOOKUP(B97,'Drop schools 2026'!B:C,2,0)</f>
        <v>#N/A</v>
      </c>
      <c r="D97" s="50" t="s">
        <v>174</v>
      </c>
      <c r="E97" s="50" t="s">
        <v>1111</v>
      </c>
      <c r="F97" s="50" t="s">
        <v>16418</v>
      </c>
      <c r="G97" s="50" t="str">
        <f>VLOOKUP(B97,aa!B:F,5,0)</f>
        <v>Ei CARES</v>
      </c>
      <c r="H97" s="50">
        <f>VLOOKUP(B97,aa!B:J,9,0)</f>
        <v>1333168</v>
      </c>
      <c r="I97" s="50">
        <f>VLOOKUP(B97,aa!B:L,11,0)</f>
        <v>0</v>
      </c>
      <c r="J97" s="50">
        <f>VLOOKUP(B97,aa!B:O,14,0)</f>
        <v>1333168</v>
      </c>
      <c r="K97" s="50">
        <f>VLOOKUP(B97,aa!B:R,17,0)</f>
        <v>0</v>
      </c>
      <c r="L97" s="50" t="s">
        <v>152</v>
      </c>
      <c r="M97" s="50">
        <v>1325870</v>
      </c>
      <c r="N97" s="50">
        <v>1325870</v>
      </c>
      <c r="O97" s="50">
        <v>0</v>
      </c>
      <c r="P97" s="50">
        <v>0</v>
      </c>
      <c r="R97" s="50">
        <v>1325870</v>
      </c>
      <c r="S97" s="50">
        <v>806</v>
      </c>
      <c r="T97" s="50" t="s">
        <v>16419</v>
      </c>
      <c r="U97" s="50">
        <v>0</v>
      </c>
      <c r="V97" s="50">
        <v>0</v>
      </c>
      <c r="X97" s="50" t="s">
        <v>102</v>
      </c>
      <c r="Y97" s="50" t="s">
        <v>103</v>
      </c>
      <c r="Z97" s="50" t="s">
        <v>155</v>
      </c>
      <c r="AB97" s="50" t="s">
        <v>13435</v>
      </c>
      <c r="AC97" s="50" t="s">
        <v>16420</v>
      </c>
      <c r="AD97" s="50" t="s">
        <v>12887</v>
      </c>
      <c r="AE97" s="50" t="s">
        <v>16420</v>
      </c>
      <c r="AF97" s="50" t="s">
        <v>16421</v>
      </c>
      <c r="AG97" s="50" t="s">
        <v>16420</v>
      </c>
      <c r="AH97" s="50" t="s">
        <v>11902</v>
      </c>
      <c r="AI97" s="50" t="s">
        <v>16420</v>
      </c>
      <c r="AJ97" s="50" t="s">
        <v>102</v>
      </c>
      <c r="AK97" s="50" t="s">
        <v>12100</v>
      </c>
      <c r="AL97" s="50" t="s">
        <v>11952</v>
      </c>
      <c r="AM97" s="50" t="s">
        <v>16422</v>
      </c>
      <c r="AN97" s="50" t="s">
        <v>16423</v>
      </c>
      <c r="AO97" s="50" t="s">
        <v>16424</v>
      </c>
      <c r="AP97" s="50" t="s">
        <v>5019</v>
      </c>
      <c r="AQ97" s="50" t="s">
        <v>5019</v>
      </c>
      <c r="AV97" s="50" t="s">
        <v>102</v>
      </c>
      <c r="AX97" s="50" t="s">
        <v>155</v>
      </c>
      <c r="AY97" s="50" t="s">
        <v>119</v>
      </c>
      <c r="AZ97" s="50" t="s">
        <v>170</v>
      </c>
      <c r="BA97" s="50" t="s">
        <v>118</v>
      </c>
      <c r="BC97" s="50" t="s">
        <v>209</v>
      </c>
      <c r="BD97" s="50" t="s">
        <v>6594</v>
      </c>
      <c r="BE97" s="50" t="s">
        <v>6595</v>
      </c>
      <c r="BF97" s="50" t="s">
        <v>174</v>
      </c>
      <c r="BG97" s="50" t="s">
        <v>4405</v>
      </c>
      <c r="BH97" s="50" t="s">
        <v>124</v>
      </c>
      <c r="BI97" s="50" t="s">
        <v>16425</v>
      </c>
      <c r="BJ97" s="50" t="s">
        <v>11886</v>
      </c>
      <c r="BK97" s="50" t="s">
        <v>127</v>
      </c>
      <c r="BL97" s="50" t="s">
        <v>16426</v>
      </c>
      <c r="BM97" s="50" t="s">
        <v>6597</v>
      </c>
      <c r="BN97" s="50" t="s">
        <v>16427</v>
      </c>
      <c r="BO97" s="50" t="s">
        <v>1201</v>
      </c>
      <c r="BP97" s="50" t="s">
        <v>5531</v>
      </c>
      <c r="BQ97" s="50" t="s">
        <v>180</v>
      </c>
      <c r="BR97" s="50" t="s">
        <v>5532</v>
      </c>
      <c r="BS97" s="50" t="s">
        <v>5533</v>
      </c>
      <c r="BT97" s="50" t="s">
        <v>4413</v>
      </c>
      <c r="BV97" s="50" t="s">
        <v>16428</v>
      </c>
      <c r="BW97" s="50" t="s">
        <v>16429</v>
      </c>
      <c r="BX97" s="50" t="s">
        <v>138</v>
      </c>
      <c r="BY97" s="50" t="s">
        <v>6601</v>
      </c>
      <c r="BZ97" s="50" t="s">
        <v>6602</v>
      </c>
      <c r="CA97" s="50" t="s">
        <v>6601</v>
      </c>
      <c r="CB97" s="50" t="s">
        <v>16429</v>
      </c>
      <c r="CC97" s="50" t="s">
        <v>6601</v>
      </c>
      <c r="CD97" s="50" t="s">
        <v>6602</v>
      </c>
      <c r="CE97" s="50" t="s">
        <v>16429</v>
      </c>
      <c r="CF97" s="50" t="s">
        <v>6601</v>
      </c>
      <c r="CG97" s="50" t="s">
        <v>6602</v>
      </c>
      <c r="CH97" s="50" t="s">
        <v>6604</v>
      </c>
      <c r="CI97" s="50" t="s">
        <v>16430</v>
      </c>
      <c r="CK97" s="50" t="s">
        <v>6606</v>
      </c>
      <c r="CL97" s="50" t="s">
        <v>16431</v>
      </c>
      <c r="CM97" s="50" t="s">
        <v>6594</v>
      </c>
      <c r="CN97" s="50" t="s">
        <v>6595</v>
      </c>
      <c r="CO97" s="50" t="s">
        <v>6606</v>
      </c>
      <c r="CQ97" s="50" t="s">
        <v>6608</v>
      </c>
      <c r="CR97" s="50" t="s">
        <v>6608</v>
      </c>
    </row>
    <row r="98" spans="1:97" hidden="1">
      <c r="A98" s="50" t="s">
        <v>149</v>
      </c>
      <c r="B98" s="50">
        <v>416793</v>
      </c>
      <c r="C98" s="50" t="e">
        <f>VLOOKUP(B98,'Drop schools 2026'!B:C,2,0)</f>
        <v>#N/A</v>
      </c>
      <c r="D98" s="50" t="s">
        <v>174</v>
      </c>
      <c r="E98" s="50" t="s">
        <v>1111</v>
      </c>
      <c r="F98" s="50" t="s">
        <v>8870</v>
      </c>
      <c r="G98" s="50" t="str">
        <f>VLOOKUP(B98,aa!B:F,5,0)</f>
        <v>Ei ASSET, Ei ASSET,Ei CARES</v>
      </c>
      <c r="H98" s="50">
        <f>VLOOKUP(B98,aa!B:J,9,0)</f>
        <v>1132798</v>
      </c>
      <c r="I98" s="50">
        <f>VLOOKUP(B98,aa!B:L,11,0)</f>
        <v>867424</v>
      </c>
      <c r="J98" s="50">
        <f>VLOOKUP(B98,aa!B:O,14,0)</f>
        <v>265374</v>
      </c>
      <c r="K98" s="50">
        <f>VLOOKUP(B98,aa!B:R,17,0)</f>
        <v>0</v>
      </c>
      <c r="L98" s="50" t="s">
        <v>97</v>
      </c>
      <c r="M98" s="50">
        <v>1319828</v>
      </c>
      <c r="N98" s="50">
        <v>1319828</v>
      </c>
      <c r="O98" s="50">
        <v>1319828</v>
      </c>
      <c r="P98" s="50">
        <v>980</v>
      </c>
      <c r="Q98" s="50" t="s">
        <v>18273</v>
      </c>
      <c r="R98" s="50">
        <v>0</v>
      </c>
      <c r="S98" s="50">
        <v>0</v>
      </c>
      <c r="U98" s="50">
        <v>0</v>
      </c>
      <c r="V98" s="50">
        <v>0</v>
      </c>
      <c r="X98" s="50" t="s">
        <v>102</v>
      </c>
      <c r="Y98" s="50" t="s">
        <v>275</v>
      </c>
      <c r="AA98" s="50" t="s">
        <v>18274</v>
      </c>
      <c r="AB98" s="50" t="s">
        <v>109</v>
      </c>
      <c r="AC98" s="50" t="s">
        <v>102</v>
      </c>
      <c r="AD98" s="50" t="s">
        <v>109</v>
      </c>
      <c r="AE98" s="50" t="s">
        <v>102</v>
      </c>
      <c r="AF98" s="50" t="s">
        <v>109</v>
      </c>
      <c r="AG98" s="50" t="s">
        <v>102</v>
      </c>
      <c r="AH98" s="50" t="s">
        <v>109</v>
      </c>
      <c r="AI98" s="50" t="s">
        <v>102</v>
      </c>
      <c r="AJ98" s="50" t="s">
        <v>102</v>
      </c>
      <c r="AK98" s="50" t="s">
        <v>7439</v>
      </c>
      <c r="AL98" s="50" t="s">
        <v>7439</v>
      </c>
      <c r="AM98" s="50" t="s">
        <v>18275</v>
      </c>
      <c r="AN98" s="50" t="s">
        <v>18276</v>
      </c>
      <c r="AO98" s="50" t="s">
        <v>18277</v>
      </c>
      <c r="AP98" s="50" t="s">
        <v>18278</v>
      </c>
      <c r="AQ98" s="50" t="s">
        <v>18278</v>
      </c>
      <c r="AV98" s="50" t="s">
        <v>318</v>
      </c>
      <c r="AW98" s="50" t="s">
        <v>118</v>
      </c>
      <c r="AX98" s="50" t="s">
        <v>102</v>
      </c>
      <c r="AY98" s="50" t="s">
        <v>119</v>
      </c>
      <c r="BC98" s="50" t="s">
        <v>171</v>
      </c>
      <c r="BD98" s="50" t="s">
        <v>4403</v>
      </c>
      <c r="BE98" s="50" t="s">
        <v>4404</v>
      </c>
      <c r="BF98" s="50" t="s">
        <v>174</v>
      </c>
      <c r="BG98" s="50" t="s">
        <v>4405</v>
      </c>
      <c r="BH98" s="50" t="s">
        <v>124</v>
      </c>
      <c r="BI98" s="50" t="s">
        <v>18279</v>
      </c>
      <c r="BJ98" s="50" t="s">
        <v>11889</v>
      </c>
      <c r="BK98" s="50" t="s">
        <v>127</v>
      </c>
      <c r="BL98" s="50" t="s">
        <v>18280</v>
      </c>
      <c r="BM98" s="50" t="s">
        <v>8880</v>
      </c>
      <c r="BN98" s="50" t="s">
        <v>18281</v>
      </c>
      <c r="BO98" s="50" t="s">
        <v>18272</v>
      </c>
      <c r="BP98" s="50" t="s">
        <v>1108</v>
      </c>
      <c r="BQ98" s="50" t="s">
        <v>180</v>
      </c>
      <c r="BR98" s="50" t="s">
        <v>1109</v>
      </c>
      <c r="BS98" s="50" t="s">
        <v>1110</v>
      </c>
      <c r="BT98" s="50" t="s">
        <v>1111</v>
      </c>
      <c r="BV98" s="50" t="s">
        <v>18282</v>
      </c>
      <c r="BW98" s="50" t="s">
        <v>8883</v>
      </c>
      <c r="BX98" s="50" t="s">
        <v>354</v>
      </c>
      <c r="BY98" s="50" t="s">
        <v>8884</v>
      </c>
      <c r="BZ98" s="50" t="s">
        <v>18283</v>
      </c>
      <c r="CA98" s="50" t="s">
        <v>8884</v>
      </c>
      <c r="CB98" s="50" t="s">
        <v>8883</v>
      </c>
      <c r="CC98" s="50" t="s">
        <v>8884</v>
      </c>
      <c r="CD98" s="50" t="s">
        <v>18283</v>
      </c>
      <c r="CE98" s="50" t="s">
        <v>8883</v>
      </c>
      <c r="CF98" s="50" t="s">
        <v>8884</v>
      </c>
      <c r="CG98" s="50" t="s">
        <v>18283</v>
      </c>
      <c r="CH98" s="50" t="s">
        <v>102</v>
      </c>
      <c r="CI98" s="50" t="s">
        <v>18284</v>
      </c>
      <c r="CK98" s="50" t="s">
        <v>8893</v>
      </c>
      <c r="CM98" s="50" t="s">
        <v>4403</v>
      </c>
      <c r="CN98" s="50" t="s">
        <v>4404</v>
      </c>
      <c r="CO98" s="50" t="s">
        <v>8893</v>
      </c>
      <c r="CQ98" s="50" t="s">
        <v>8892</v>
      </c>
      <c r="CR98" s="50" t="s">
        <v>8892</v>
      </c>
    </row>
    <row r="99" spans="1:97" hidden="1">
      <c r="A99" s="50" t="s">
        <v>149</v>
      </c>
      <c r="B99" s="50">
        <v>42625</v>
      </c>
      <c r="C99" s="50" t="e">
        <f>VLOOKUP(B99,'Drop schools 2026'!B:C,2,0)</f>
        <v>#N/A</v>
      </c>
      <c r="D99" s="50" t="s">
        <v>122</v>
      </c>
      <c r="E99" s="50" t="s">
        <v>12030</v>
      </c>
      <c r="F99" s="50" t="s">
        <v>8921</v>
      </c>
      <c r="G99" s="50" t="str">
        <f>VLOOKUP(B99,aa!B:F,5,0)</f>
        <v>Ei CARES</v>
      </c>
      <c r="H99" s="50">
        <f>VLOOKUP(B99,aa!B:J,9,0)</f>
        <v>1713333</v>
      </c>
      <c r="I99" s="50">
        <f>VLOOKUP(B99,aa!B:L,11,0)</f>
        <v>0</v>
      </c>
      <c r="J99" s="50">
        <f>VLOOKUP(B99,aa!B:O,14,0)</f>
        <v>1713333</v>
      </c>
      <c r="K99" s="50">
        <f>VLOOKUP(B99,aa!B:R,17,0)</f>
        <v>0</v>
      </c>
      <c r="L99" s="50" t="s">
        <v>152</v>
      </c>
      <c r="M99" s="50">
        <v>1314840</v>
      </c>
      <c r="N99" s="50">
        <v>1314840</v>
      </c>
      <c r="O99" s="50">
        <v>0</v>
      </c>
      <c r="P99" s="50">
        <v>0</v>
      </c>
      <c r="R99" s="50">
        <v>1314840</v>
      </c>
      <c r="S99" s="50">
        <v>915</v>
      </c>
      <c r="T99" s="50" t="s">
        <v>18300</v>
      </c>
      <c r="U99" s="50">
        <v>0</v>
      </c>
      <c r="V99" s="50">
        <v>0</v>
      </c>
      <c r="X99" s="50" t="s">
        <v>102</v>
      </c>
      <c r="Y99" s="50" t="s">
        <v>103</v>
      </c>
      <c r="Z99" s="50" t="s">
        <v>398</v>
      </c>
      <c r="AB99" s="50" t="s">
        <v>12289</v>
      </c>
      <c r="AC99" s="50" t="s">
        <v>18301</v>
      </c>
      <c r="AD99" s="50" t="s">
        <v>1427</v>
      </c>
      <c r="AE99" s="50" t="s">
        <v>18302</v>
      </c>
      <c r="AF99" s="50" t="s">
        <v>6895</v>
      </c>
      <c r="AG99" s="50" t="s">
        <v>18302</v>
      </c>
      <c r="AH99" s="50" t="s">
        <v>109</v>
      </c>
      <c r="AI99" s="50" t="s">
        <v>102</v>
      </c>
      <c r="AJ99" s="50" t="s">
        <v>18303</v>
      </c>
      <c r="AK99" s="50" t="s">
        <v>12838</v>
      </c>
      <c r="AL99" s="50" t="s">
        <v>15733</v>
      </c>
      <c r="AM99" s="50" t="s">
        <v>18304</v>
      </c>
      <c r="AN99" s="50" t="s">
        <v>18305</v>
      </c>
      <c r="AO99" s="50" t="s">
        <v>18306</v>
      </c>
      <c r="AP99" s="50" t="s">
        <v>18307</v>
      </c>
      <c r="AQ99" s="50" t="s">
        <v>18307</v>
      </c>
      <c r="AV99" s="50" t="s">
        <v>102</v>
      </c>
      <c r="AX99" s="50" t="s">
        <v>1758</v>
      </c>
      <c r="AY99" s="50" t="s">
        <v>119</v>
      </c>
      <c r="AZ99" s="50" t="s">
        <v>170</v>
      </c>
      <c r="BA99" s="50" t="s">
        <v>118</v>
      </c>
      <c r="BC99" s="50" t="s">
        <v>120</v>
      </c>
      <c r="BD99" s="50" t="s">
        <v>8930</v>
      </c>
      <c r="BE99" s="50" t="s">
        <v>2800</v>
      </c>
      <c r="BF99" s="50" t="s">
        <v>122</v>
      </c>
      <c r="BG99" s="50" t="s">
        <v>346</v>
      </c>
      <c r="BH99" s="50" t="s">
        <v>124</v>
      </c>
      <c r="BI99" s="50" t="s">
        <v>12023</v>
      </c>
      <c r="BJ99" s="50" t="s">
        <v>11889</v>
      </c>
      <c r="BK99" s="50" t="s">
        <v>127</v>
      </c>
      <c r="BL99" s="50" t="s">
        <v>18308</v>
      </c>
      <c r="BM99" s="50" t="s">
        <v>8932</v>
      </c>
      <c r="BN99" s="50" t="s">
        <v>18309</v>
      </c>
      <c r="BO99" s="50" t="s">
        <v>12429</v>
      </c>
      <c r="BP99" s="50" t="s">
        <v>593</v>
      </c>
      <c r="BQ99" s="50" t="s">
        <v>505</v>
      </c>
      <c r="BR99" s="50" t="s">
        <v>594</v>
      </c>
      <c r="BS99" s="50" t="s">
        <v>595</v>
      </c>
      <c r="BT99" s="50" t="s">
        <v>328</v>
      </c>
      <c r="BV99" s="50" t="s">
        <v>18310</v>
      </c>
      <c r="BW99" s="50" t="s">
        <v>8935</v>
      </c>
      <c r="BX99" s="50" t="s">
        <v>598</v>
      </c>
      <c r="BY99" s="50" t="s">
        <v>8936</v>
      </c>
      <c r="BZ99" s="50" t="s">
        <v>8937</v>
      </c>
      <c r="CA99" s="50" t="s">
        <v>8938</v>
      </c>
      <c r="CB99" s="50" t="s">
        <v>18311</v>
      </c>
      <c r="CC99" s="50" t="s">
        <v>18312</v>
      </c>
      <c r="CD99" s="50" t="s">
        <v>18313</v>
      </c>
      <c r="CE99" s="50" t="s">
        <v>18314</v>
      </c>
      <c r="CF99" s="50" t="s">
        <v>18315</v>
      </c>
      <c r="CG99" s="50" t="s">
        <v>18316</v>
      </c>
      <c r="CH99" s="50" t="s">
        <v>102</v>
      </c>
      <c r="CI99" s="50" t="s">
        <v>8939</v>
      </c>
      <c r="CK99" s="50" t="s">
        <v>8940</v>
      </c>
      <c r="CM99" s="50" t="s">
        <v>8930</v>
      </c>
      <c r="CN99" s="50" t="s">
        <v>2800</v>
      </c>
      <c r="CO99" s="50" t="s">
        <v>8940</v>
      </c>
      <c r="CP99" s="50" t="s">
        <v>8941</v>
      </c>
      <c r="CQ99" s="50" t="s">
        <v>8939</v>
      </c>
      <c r="CR99" s="50" t="s">
        <v>8939</v>
      </c>
    </row>
    <row r="100" spans="1:97" hidden="1">
      <c r="A100" s="50" t="s">
        <v>93</v>
      </c>
      <c r="B100" s="50">
        <v>5017936</v>
      </c>
      <c r="C100" s="50" t="str">
        <f>VLOOKUP(B100,RISK!B:C,2,0)</f>
        <v>Risk</v>
      </c>
      <c r="D100" s="50" t="s">
        <v>622</v>
      </c>
      <c r="E100" s="50" t="s">
        <v>14664</v>
      </c>
      <c r="F100" s="50" t="s">
        <v>10322</v>
      </c>
      <c r="G100" s="50" t="e">
        <f>VLOOKUP(B100,aa!B:F,5,0)</f>
        <v>#N/A</v>
      </c>
      <c r="H100" s="50" t="e">
        <f>VLOOKUP(B100,aa!B:J,9,0)</f>
        <v>#N/A</v>
      </c>
      <c r="I100" s="50" t="e">
        <f>VLOOKUP(B100,aa!B:L,11,0)</f>
        <v>#N/A</v>
      </c>
      <c r="J100" s="50" t="e">
        <f>VLOOKUP(B100,aa!B:O,14,0)</f>
        <v>#N/A</v>
      </c>
      <c r="K100" s="50" t="e">
        <f>VLOOKUP(B100,aa!B:R,17,0)</f>
        <v>#N/A</v>
      </c>
      <c r="L100" s="50" t="s">
        <v>152</v>
      </c>
      <c r="M100" s="50">
        <v>1306678</v>
      </c>
      <c r="N100" s="50">
        <v>1306678</v>
      </c>
      <c r="O100" s="50">
        <v>0</v>
      </c>
      <c r="P100" s="50">
        <v>0</v>
      </c>
      <c r="R100" s="50">
        <v>1306678</v>
      </c>
      <c r="S100" s="50">
        <v>1510</v>
      </c>
      <c r="T100" s="50" t="s">
        <v>19281</v>
      </c>
      <c r="U100" s="50">
        <v>0</v>
      </c>
      <c r="V100" s="50">
        <v>0</v>
      </c>
      <c r="X100" s="50" t="s">
        <v>102</v>
      </c>
      <c r="Y100" s="50" t="s">
        <v>679</v>
      </c>
      <c r="Z100" s="50" t="s">
        <v>104</v>
      </c>
      <c r="AA100" s="50" t="s">
        <v>11888</v>
      </c>
      <c r="AB100" s="50" t="s">
        <v>19282</v>
      </c>
      <c r="AC100" s="50" t="s">
        <v>19283</v>
      </c>
      <c r="AD100" s="50" t="s">
        <v>19284</v>
      </c>
      <c r="AE100" s="50" t="s">
        <v>19283</v>
      </c>
      <c r="AF100" s="50" t="s">
        <v>109</v>
      </c>
      <c r="AG100" s="50" t="s">
        <v>102</v>
      </c>
      <c r="AH100" s="50" t="s">
        <v>109</v>
      </c>
      <c r="AI100" s="50" t="s">
        <v>102</v>
      </c>
      <c r="AJ100" s="50" t="s">
        <v>19285</v>
      </c>
      <c r="AK100" s="50" t="s">
        <v>4813</v>
      </c>
      <c r="AL100" s="50" t="s">
        <v>11888</v>
      </c>
      <c r="AM100" s="50" t="s">
        <v>19286</v>
      </c>
      <c r="AN100" s="50" t="s">
        <v>19287</v>
      </c>
      <c r="AO100" s="50" t="s">
        <v>19288</v>
      </c>
      <c r="AP100" s="50" t="s">
        <v>19289</v>
      </c>
      <c r="AQ100" s="50" t="s">
        <v>19289</v>
      </c>
      <c r="AV100" s="50" t="s">
        <v>102</v>
      </c>
      <c r="AX100" s="50" t="s">
        <v>19290</v>
      </c>
      <c r="AY100" s="50" t="s">
        <v>119</v>
      </c>
      <c r="AZ100" s="50" t="s">
        <v>170</v>
      </c>
      <c r="BA100" s="50" t="s">
        <v>118</v>
      </c>
      <c r="BC100" s="50" t="s">
        <v>1964</v>
      </c>
      <c r="BD100" s="50" t="s">
        <v>623</v>
      </c>
      <c r="BE100" s="50" t="s">
        <v>621</v>
      </c>
      <c r="BF100" s="50" t="s">
        <v>622</v>
      </c>
      <c r="BG100" s="50" t="s">
        <v>623</v>
      </c>
      <c r="BH100" s="50" t="s">
        <v>124</v>
      </c>
      <c r="BI100" s="50" t="s">
        <v>6918</v>
      </c>
      <c r="BJ100" s="50" t="s">
        <v>19291</v>
      </c>
      <c r="BK100" s="50" t="s">
        <v>127</v>
      </c>
      <c r="BL100" s="50" t="s">
        <v>19292</v>
      </c>
      <c r="BM100" s="50" t="s">
        <v>10334</v>
      </c>
      <c r="BN100" s="50" t="s">
        <v>19293</v>
      </c>
      <c r="BO100" s="50" t="s">
        <v>19280</v>
      </c>
      <c r="BP100" s="50" t="s">
        <v>1670</v>
      </c>
      <c r="BQ100" s="50" t="s">
        <v>13875</v>
      </c>
      <c r="BR100" s="50" t="s">
        <v>1671</v>
      </c>
      <c r="BS100" s="50" t="s">
        <v>1672</v>
      </c>
      <c r="BT100" s="50" t="s">
        <v>507</v>
      </c>
      <c r="BV100" s="50" t="s">
        <v>19294</v>
      </c>
      <c r="BW100" s="50" t="s">
        <v>19295</v>
      </c>
      <c r="BX100" s="50" t="s">
        <v>138</v>
      </c>
      <c r="BY100" s="50" t="s">
        <v>10338</v>
      </c>
      <c r="BZ100" s="50" t="s">
        <v>10343</v>
      </c>
      <c r="CA100" s="50" t="s">
        <v>10340</v>
      </c>
      <c r="CB100" s="50" t="s">
        <v>19295</v>
      </c>
      <c r="CC100" s="50" t="s">
        <v>19296</v>
      </c>
      <c r="CD100" s="50" t="s">
        <v>19297</v>
      </c>
      <c r="CE100" s="50" t="s">
        <v>19298</v>
      </c>
      <c r="CF100" s="50" t="s">
        <v>19299</v>
      </c>
      <c r="CG100" s="50" t="s">
        <v>19297</v>
      </c>
      <c r="CH100" s="50" t="s">
        <v>10344</v>
      </c>
      <c r="CI100" s="50" t="s">
        <v>10345</v>
      </c>
      <c r="CK100" s="50" t="s">
        <v>3177</v>
      </c>
      <c r="CL100" s="50" t="s">
        <v>10345</v>
      </c>
      <c r="CM100" s="50" t="s">
        <v>623</v>
      </c>
      <c r="CN100" s="50" t="s">
        <v>621</v>
      </c>
      <c r="CO100" s="50" t="s">
        <v>3177</v>
      </c>
      <c r="CP100" s="50" t="s">
        <v>3178</v>
      </c>
      <c r="CQ100" s="50" t="s">
        <v>10345</v>
      </c>
      <c r="CR100" s="50" t="s">
        <v>10345</v>
      </c>
      <c r="CS100" s="50" t="s">
        <v>26042</v>
      </c>
    </row>
    <row r="101" spans="1:97" hidden="1">
      <c r="A101" s="50" t="s">
        <v>337</v>
      </c>
      <c r="B101" s="50">
        <v>5000918</v>
      </c>
      <c r="C101" s="50" t="e">
        <f>VLOOKUP(B101,'Drop schools 2026'!B:C,2,0)</f>
        <v>#N/A</v>
      </c>
      <c r="D101" s="50" t="s">
        <v>622</v>
      </c>
      <c r="E101" s="50" t="s">
        <v>985</v>
      </c>
      <c r="F101" s="50" t="s">
        <v>18438</v>
      </c>
      <c r="G101" s="50" t="str">
        <f>VLOOKUP(B101,aa!B:F,5,0)</f>
        <v>Ei ASSET</v>
      </c>
      <c r="H101" s="50">
        <f>VLOOKUP(B101,aa!B:J,9,0)</f>
        <v>1294802</v>
      </c>
      <c r="I101" s="50">
        <f>VLOOKUP(B101,aa!B:L,11,0)</f>
        <v>1294802</v>
      </c>
      <c r="J101" s="50">
        <f>VLOOKUP(B101,aa!B:O,14,0)</f>
        <v>0</v>
      </c>
      <c r="K101" s="50">
        <f>VLOOKUP(B101,aa!B:R,17,0)</f>
        <v>0</v>
      </c>
      <c r="L101" s="50" t="s">
        <v>97</v>
      </c>
      <c r="M101" s="50">
        <v>1294802</v>
      </c>
      <c r="N101" s="50">
        <v>1294802</v>
      </c>
      <c r="O101" s="50">
        <v>1294802</v>
      </c>
      <c r="P101" s="50">
        <v>1423</v>
      </c>
      <c r="Q101" s="50" t="s">
        <v>1798</v>
      </c>
      <c r="R101" s="50">
        <v>0</v>
      </c>
      <c r="S101" s="50">
        <v>0</v>
      </c>
      <c r="U101" s="50">
        <v>0</v>
      </c>
      <c r="V101" s="50">
        <v>0</v>
      </c>
      <c r="X101" s="50" t="s">
        <v>102</v>
      </c>
      <c r="Y101" s="50" t="s">
        <v>275</v>
      </c>
      <c r="AA101" s="50" t="s">
        <v>13863</v>
      </c>
      <c r="AB101" s="50" t="s">
        <v>109</v>
      </c>
      <c r="AC101" s="50" t="s">
        <v>102</v>
      </c>
      <c r="AD101" s="50" t="s">
        <v>109</v>
      </c>
      <c r="AE101" s="50" t="s">
        <v>102</v>
      </c>
      <c r="AF101" s="50" t="s">
        <v>109</v>
      </c>
      <c r="AG101" s="50" t="s">
        <v>102</v>
      </c>
      <c r="AH101" s="50" t="s">
        <v>109</v>
      </c>
      <c r="AI101" s="50" t="s">
        <v>102</v>
      </c>
      <c r="AJ101" s="50" t="s">
        <v>18440</v>
      </c>
      <c r="AK101" s="50" t="s">
        <v>12084</v>
      </c>
      <c r="AL101" s="50" t="s">
        <v>12752</v>
      </c>
      <c r="AM101" s="50" t="s">
        <v>18441</v>
      </c>
      <c r="AN101" s="50" t="s">
        <v>18442</v>
      </c>
      <c r="AO101" s="50" t="s">
        <v>102</v>
      </c>
      <c r="AP101" s="50" t="s">
        <v>18443</v>
      </c>
      <c r="AQ101" s="50" t="s">
        <v>18443</v>
      </c>
      <c r="AV101" s="50" t="s">
        <v>117</v>
      </c>
      <c r="AW101" s="50" t="s">
        <v>118</v>
      </c>
      <c r="AX101" s="50" t="s">
        <v>102</v>
      </c>
      <c r="AY101" s="50" t="s">
        <v>119</v>
      </c>
      <c r="BC101" s="50" t="s">
        <v>120</v>
      </c>
      <c r="BD101" s="50" t="s">
        <v>2127</v>
      </c>
      <c r="BE101" s="50" t="s">
        <v>621</v>
      </c>
      <c r="BF101" s="50" t="s">
        <v>622</v>
      </c>
      <c r="BG101" s="50" t="s">
        <v>976</v>
      </c>
      <c r="BH101" s="50" t="s">
        <v>124</v>
      </c>
      <c r="BI101" s="50" t="s">
        <v>13863</v>
      </c>
      <c r="BJ101" s="50" t="s">
        <v>11889</v>
      </c>
      <c r="BK101" s="50" t="s">
        <v>127</v>
      </c>
      <c r="BL101" s="50" t="s">
        <v>18444</v>
      </c>
      <c r="BM101" s="50" t="s">
        <v>18445</v>
      </c>
      <c r="BN101" s="50" t="s">
        <v>18446</v>
      </c>
      <c r="BO101" s="50" t="s">
        <v>18439</v>
      </c>
      <c r="BP101" s="50" t="s">
        <v>13638</v>
      </c>
      <c r="BQ101" s="50" t="s">
        <v>132</v>
      </c>
      <c r="BR101" s="50" t="s">
        <v>13639</v>
      </c>
      <c r="BS101" s="50" t="s">
        <v>13640</v>
      </c>
      <c r="BT101" s="50" t="s">
        <v>2847</v>
      </c>
      <c r="BV101" s="50" t="s">
        <v>18447</v>
      </c>
      <c r="BW101" s="50" t="s">
        <v>18448</v>
      </c>
      <c r="BX101" s="50" t="s">
        <v>598</v>
      </c>
      <c r="BY101" s="50" t="s">
        <v>18449</v>
      </c>
      <c r="BZ101" s="50" t="s">
        <v>18450</v>
      </c>
      <c r="CA101" s="50" t="s">
        <v>18451</v>
      </c>
      <c r="CB101" s="50" t="s">
        <v>18452</v>
      </c>
      <c r="CC101" s="50" t="s">
        <v>18453</v>
      </c>
      <c r="CD101" s="50" t="s">
        <v>18454</v>
      </c>
      <c r="CE101" s="50" t="s">
        <v>18455</v>
      </c>
      <c r="CF101" s="50" t="s">
        <v>18456</v>
      </c>
      <c r="CG101" s="50" t="s">
        <v>18454</v>
      </c>
      <c r="CH101" s="50" t="s">
        <v>18457</v>
      </c>
      <c r="CI101" s="50" t="s">
        <v>18458</v>
      </c>
      <c r="CK101" s="50" t="s">
        <v>18459</v>
      </c>
      <c r="CL101" s="50" t="s">
        <v>18460</v>
      </c>
      <c r="CM101" s="50" t="s">
        <v>2127</v>
      </c>
      <c r="CN101" s="50" t="s">
        <v>621</v>
      </c>
      <c r="CO101" s="50" t="s">
        <v>18459</v>
      </c>
      <c r="CP101" s="50" t="s">
        <v>18461</v>
      </c>
      <c r="CQ101" s="50" t="s">
        <v>18462</v>
      </c>
      <c r="CR101" s="50" t="s">
        <v>18463</v>
      </c>
    </row>
    <row r="102" spans="1:97" hidden="1">
      <c r="A102" s="50" t="s">
        <v>149</v>
      </c>
      <c r="B102" s="50">
        <v>370457</v>
      </c>
      <c r="C102" s="50" t="e">
        <f>VLOOKUP(B102,'Drop schools 2026'!B:C,2,0)</f>
        <v>#N/A</v>
      </c>
      <c r="D102" s="50" t="s">
        <v>212</v>
      </c>
      <c r="E102" s="50" t="s">
        <v>2151</v>
      </c>
      <c r="F102" s="50" t="s">
        <v>7166</v>
      </c>
      <c r="G102" s="50" t="e">
        <f>VLOOKUP(B102,aa!B:F,5,0)</f>
        <v>#N/A</v>
      </c>
      <c r="H102" s="50" t="e">
        <f>VLOOKUP(B102,aa!B:J,9,0)</f>
        <v>#N/A</v>
      </c>
      <c r="I102" s="50" t="e">
        <f>VLOOKUP(B102,aa!B:L,11,0)</f>
        <v>#N/A</v>
      </c>
      <c r="J102" s="50" t="e">
        <f>VLOOKUP(B102,aa!B:O,14,0)</f>
        <v>#N/A</v>
      </c>
      <c r="K102" s="50" t="e">
        <f>VLOOKUP(B102,aa!B:R,17,0)</f>
        <v>#N/A</v>
      </c>
      <c r="L102" s="50" t="s">
        <v>2163</v>
      </c>
      <c r="M102" s="50">
        <v>1285779</v>
      </c>
      <c r="N102" s="50">
        <v>1383095</v>
      </c>
      <c r="O102" s="50">
        <v>597297</v>
      </c>
      <c r="P102" s="50">
        <v>808</v>
      </c>
      <c r="Q102" s="50" t="s">
        <v>16754</v>
      </c>
      <c r="R102" s="50">
        <v>147840</v>
      </c>
      <c r="S102" s="50">
        <v>112</v>
      </c>
      <c r="T102" s="50" t="s">
        <v>16755</v>
      </c>
      <c r="U102" s="50">
        <v>540642</v>
      </c>
      <c r="V102" s="50">
        <v>232</v>
      </c>
      <c r="W102" s="50" t="s">
        <v>14987</v>
      </c>
      <c r="X102" s="50" t="s">
        <v>102</v>
      </c>
      <c r="Y102" s="50" t="s">
        <v>103</v>
      </c>
      <c r="Z102" s="50" t="s">
        <v>155</v>
      </c>
      <c r="AB102" s="50" t="s">
        <v>12023</v>
      </c>
      <c r="AC102" s="50" t="s">
        <v>16756</v>
      </c>
      <c r="AD102" s="50" t="s">
        <v>1408</v>
      </c>
      <c r="AE102" s="50" t="s">
        <v>16756</v>
      </c>
      <c r="AF102" s="50" t="s">
        <v>12888</v>
      </c>
      <c r="AG102" s="50" t="s">
        <v>16756</v>
      </c>
      <c r="AH102" s="50" t="s">
        <v>1427</v>
      </c>
      <c r="AI102" s="50" t="s">
        <v>16756</v>
      </c>
      <c r="AJ102" s="50" t="s">
        <v>16757</v>
      </c>
      <c r="AK102" s="50" t="s">
        <v>6443</v>
      </c>
      <c r="AL102" s="50" t="s">
        <v>16758</v>
      </c>
      <c r="AM102" s="50" t="s">
        <v>16759</v>
      </c>
      <c r="AN102" s="50" t="s">
        <v>16760</v>
      </c>
      <c r="AO102" s="50" t="s">
        <v>16761</v>
      </c>
      <c r="AP102" s="50" t="s">
        <v>16762</v>
      </c>
      <c r="AQ102" s="50" t="s">
        <v>16762</v>
      </c>
      <c r="AV102" s="50" t="s">
        <v>247</v>
      </c>
      <c r="AW102" s="50" t="s">
        <v>250</v>
      </c>
      <c r="AX102" s="50" t="s">
        <v>655</v>
      </c>
      <c r="AY102" s="50" t="s">
        <v>119</v>
      </c>
      <c r="BA102" s="50" t="s">
        <v>250</v>
      </c>
      <c r="BB102" s="50" t="s">
        <v>250</v>
      </c>
      <c r="BC102" s="50" t="s">
        <v>171</v>
      </c>
      <c r="BD102" s="50" t="s">
        <v>920</v>
      </c>
      <c r="BE102" s="50" t="s">
        <v>211</v>
      </c>
      <c r="BF102" s="50" t="s">
        <v>212</v>
      </c>
      <c r="BG102" s="50" t="s">
        <v>213</v>
      </c>
      <c r="BH102" s="50" t="s">
        <v>124</v>
      </c>
      <c r="BI102" s="50" t="s">
        <v>12492</v>
      </c>
      <c r="BJ102" s="50" t="s">
        <v>11889</v>
      </c>
      <c r="BK102" s="50" t="s">
        <v>127</v>
      </c>
      <c r="BL102" s="50" t="s">
        <v>16763</v>
      </c>
      <c r="BM102" s="50" t="s">
        <v>7179</v>
      </c>
      <c r="BN102" s="50" t="s">
        <v>16764</v>
      </c>
      <c r="BO102" s="50" t="s">
        <v>4909</v>
      </c>
      <c r="BP102" s="50" t="s">
        <v>415</v>
      </c>
      <c r="BQ102" s="50" t="s">
        <v>180</v>
      </c>
      <c r="BR102" s="50" t="s">
        <v>416</v>
      </c>
      <c r="BS102" s="50" t="s">
        <v>417</v>
      </c>
      <c r="BT102" s="50" t="s">
        <v>222</v>
      </c>
      <c r="BV102" s="50" t="s">
        <v>16765</v>
      </c>
      <c r="BW102" s="50" t="s">
        <v>7182</v>
      </c>
      <c r="BX102" s="50" t="s">
        <v>138</v>
      </c>
      <c r="BY102" s="50" t="s">
        <v>7183</v>
      </c>
      <c r="BZ102" s="50" t="s">
        <v>7184</v>
      </c>
      <c r="CA102" s="50" t="s">
        <v>7185</v>
      </c>
      <c r="CB102" s="50" t="s">
        <v>7182</v>
      </c>
      <c r="CC102" s="50" t="s">
        <v>7183</v>
      </c>
      <c r="CD102" s="50" t="s">
        <v>16766</v>
      </c>
      <c r="CE102" s="50" t="s">
        <v>16767</v>
      </c>
      <c r="CF102" s="50" t="s">
        <v>16768</v>
      </c>
      <c r="CG102" s="50" t="s">
        <v>16769</v>
      </c>
      <c r="CH102" s="50" t="s">
        <v>102</v>
      </c>
      <c r="CI102" s="50" t="s">
        <v>7186</v>
      </c>
      <c r="CK102" s="50" t="s">
        <v>3982</v>
      </c>
      <c r="CM102" s="50" t="s">
        <v>920</v>
      </c>
      <c r="CN102" s="50" t="s">
        <v>211</v>
      </c>
      <c r="CO102" s="50" t="s">
        <v>3982</v>
      </c>
      <c r="CP102" s="50" t="s">
        <v>7187</v>
      </c>
      <c r="CQ102" s="50" t="s">
        <v>7186</v>
      </c>
      <c r="CR102" s="50" t="s">
        <v>7186</v>
      </c>
      <c r="CS102" s="50" t="s">
        <v>26040</v>
      </c>
    </row>
    <row r="103" spans="1:97" hidden="1">
      <c r="A103" s="50" t="s">
        <v>149</v>
      </c>
      <c r="B103" s="50">
        <v>3407332</v>
      </c>
      <c r="C103" s="50" t="e">
        <f>VLOOKUP(B103,'Drop schools 2026'!B:C,2,0)</f>
        <v>#N/A</v>
      </c>
      <c r="D103" s="50" t="s">
        <v>122</v>
      </c>
      <c r="E103" s="50" t="s">
        <v>13158</v>
      </c>
      <c r="F103" s="50" t="s">
        <v>14582</v>
      </c>
      <c r="G103" s="50" t="e">
        <f>VLOOKUP(B103,aa!B:F,5,0)</f>
        <v>#N/A</v>
      </c>
      <c r="H103" s="50" t="e">
        <f>VLOOKUP(B103,aa!B:J,9,0)</f>
        <v>#N/A</v>
      </c>
      <c r="I103" s="50" t="e">
        <f>VLOOKUP(B103,aa!B:L,11,0)</f>
        <v>#N/A</v>
      </c>
      <c r="J103" s="50" t="e">
        <f>VLOOKUP(B103,aa!B:O,14,0)</f>
        <v>#N/A</v>
      </c>
      <c r="K103" s="50" t="e">
        <f>VLOOKUP(B103,aa!B:R,17,0)</f>
        <v>#N/A</v>
      </c>
      <c r="L103" s="50" t="s">
        <v>193</v>
      </c>
      <c r="M103" s="50">
        <v>1274174</v>
      </c>
      <c r="N103" s="50">
        <v>1503525</v>
      </c>
      <c r="O103" s="50">
        <v>0</v>
      </c>
      <c r="P103" s="50">
        <v>367</v>
      </c>
      <c r="Q103" s="50" t="s">
        <v>102</v>
      </c>
      <c r="R103" s="50">
        <v>0</v>
      </c>
      <c r="S103" s="50">
        <v>0</v>
      </c>
      <c r="U103" s="50">
        <v>1274174</v>
      </c>
      <c r="V103" s="50">
        <v>537</v>
      </c>
      <c r="W103" s="50" t="s">
        <v>11158</v>
      </c>
      <c r="X103" s="50" t="s">
        <v>102</v>
      </c>
      <c r="Y103" s="50" t="s">
        <v>275</v>
      </c>
      <c r="AA103" s="50" t="s">
        <v>15889</v>
      </c>
      <c r="AB103" s="50" t="s">
        <v>109</v>
      </c>
      <c r="AC103" s="50" t="s">
        <v>102</v>
      </c>
      <c r="AD103" s="50" t="s">
        <v>109</v>
      </c>
      <c r="AE103" s="50" t="s">
        <v>102</v>
      </c>
      <c r="AF103" s="50" t="s">
        <v>109</v>
      </c>
      <c r="AG103" s="50" t="s">
        <v>102</v>
      </c>
      <c r="AH103" s="50" t="s">
        <v>109</v>
      </c>
      <c r="AI103" s="50" t="s">
        <v>102</v>
      </c>
      <c r="AJ103" s="50" t="s">
        <v>15890</v>
      </c>
      <c r="AK103" s="50" t="s">
        <v>11599</v>
      </c>
      <c r="AL103" s="50" t="s">
        <v>11599</v>
      </c>
      <c r="AM103" s="50" t="s">
        <v>15891</v>
      </c>
      <c r="AN103" s="50" t="s">
        <v>15892</v>
      </c>
      <c r="AO103" s="50" t="s">
        <v>2202</v>
      </c>
      <c r="AP103" s="50" t="s">
        <v>15893</v>
      </c>
      <c r="AQ103" s="50" t="s">
        <v>15893</v>
      </c>
      <c r="AV103" s="50" t="s">
        <v>247</v>
      </c>
      <c r="AW103" s="50" t="s">
        <v>118</v>
      </c>
      <c r="AX103" s="50" t="s">
        <v>102</v>
      </c>
      <c r="AY103" s="50" t="s">
        <v>119</v>
      </c>
      <c r="BB103" s="50" t="s">
        <v>250</v>
      </c>
      <c r="BC103" s="50" t="s">
        <v>120</v>
      </c>
      <c r="BD103" s="50" t="s">
        <v>3058</v>
      </c>
      <c r="BE103" s="50" t="s">
        <v>320</v>
      </c>
      <c r="BF103" s="50" t="s">
        <v>122</v>
      </c>
      <c r="BG103" s="50" t="s">
        <v>123</v>
      </c>
      <c r="BH103" s="50" t="s">
        <v>124</v>
      </c>
      <c r="BI103" s="50" t="s">
        <v>15894</v>
      </c>
      <c r="BJ103" s="50" t="s">
        <v>11889</v>
      </c>
      <c r="BK103" s="50" t="s">
        <v>127</v>
      </c>
      <c r="BL103" s="50" t="s">
        <v>15895</v>
      </c>
      <c r="BM103" s="50" t="s">
        <v>5914</v>
      </c>
      <c r="BN103" s="50" t="s">
        <v>15896</v>
      </c>
      <c r="BO103" s="50" t="s">
        <v>15888</v>
      </c>
      <c r="BP103" s="50" t="s">
        <v>1108</v>
      </c>
      <c r="BQ103" s="50" t="s">
        <v>350</v>
      </c>
      <c r="BR103" s="50" t="s">
        <v>1109</v>
      </c>
      <c r="BS103" s="50" t="s">
        <v>1110</v>
      </c>
      <c r="BT103" s="50" t="s">
        <v>1111</v>
      </c>
      <c r="BV103" s="50" t="s">
        <v>15897</v>
      </c>
      <c r="BW103" s="50" t="s">
        <v>15898</v>
      </c>
      <c r="BX103" s="50" t="s">
        <v>598</v>
      </c>
      <c r="BY103" s="50" t="s">
        <v>15899</v>
      </c>
      <c r="BZ103" s="50" t="s">
        <v>15900</v>
      </c>
      <c r="CA103" s="50" t="s">
        <v>5917</v>
      </c>
      <c r="CB103" s="50" t="s">
        <v>15901</v>
      </c>
      <c r="CC103" s="50" t="s">
        <v>10519</v>
      </c>
      <c r="CD103" s="50" t="s">
        <v>15902</v>
      </c>
      <c r="CE103" s="50" t="s">
        <v>15903</v>
      </c>
      <c r="CF103" s="50" t="s">
        <v>15904</v>
      </c>
      <c r="CG103" s="50" t="s">
        <v>15905</v>
      </c>
      <c r="CH103" s="50" t="s">
        <v>102</v>
      </c>
      <c r="CI103" s="50" t="s">
        <v>15906</v>
      </c>
      <c r="CK103" s="50" t="s">
        <v>3070</v>
      </c>
      <c r="CM103" s="50" t="s">
        <v>3058</v>
      </c>
      <c r="CN103" s="50" t="s">
        <v>320</v>
      </c>
      <c r="CO103" s="50" t="s">
        <v>3070</v>
      </c>
      <c r="CP103" s="50" t="s">
        <v>5919</v>
      </c>
      <c r="CQ103" s="50" t="s">
        <v>5918</v>
      </c>
      <c r="CR103" s="50" t="s">
        <v>5918</v>
      </c>
    </row>
    <row r="104" spans="1:97" hidden="1">
      <c r="A104" s="50" t="s">
        <v>149</v>
      </c>
      <c r="B104" s="50">
        <v>3745576</v>
      </c>
      <c r="C104" s="50" t="e">
        <f>VLOOKUP(B104,'Drop schools 2026'!B:C,2,0)</f>
        <v>#N/A</v>
      </c>
      <c r="D104" s="50" t="s">
        <v>622</v>
      </c>
      <c r="E104" s="50" t="s">
        <v>2525</v>
      </c>
      <c r="F104" s="50" t="s">
        <v>7252</v>
      </c>
      <c r="G104" s="50" t="e">
        <f>VLOOKUP(B104,aa!B:F,5,0)</f>
        <v>#N/A</v>
      </c>
      <c r="H104" s="50" t="e">
        <f>VLOOKUP(B104,aa!B:J,9,0)</f>
        <v>#N/A</v>
      </c>
      <c r="I104" s="50" t="e">
        <f>VLOOKUP(B104,aa!B:L,11,0)</f>
        <v>#N/A</v>
      </c>
      <c r="J104" s="50" t="e">
        <f>VLOOKUP(B104,aa!B:O,14,0)</f>
        <v>#N/A</v>
      </c>
      <c r="K104" s="50" t="e">
        <f>VLOOKUP(B104,aa!B:R,17,0)</f>
        <v>#N/A</v>
      </c>
      <c r="L104" s="50" t="s">
        <v>193</v>
      </c>
      <c r="M104" s="50">
        <v>1272931</v>
      </c>
      <c r="N104" s="50">
        <v>1444808</v>
      </c>
      <c r="O104" s="50">
        <v>318060</v>
      </c>
      <c r="P104" s="50">
        <v>540</v>
      </c>
      <c r="Q104" s="50" t="s">
        <v>16809</v>
      </c>
      <c r="R104" s="50">
        <v>0</v>
      </c>
      <c r="S104" s="50">
        <v>0</v>
      </c>
      <c r="U104" s="50">
        <v>954871</v>
      </c>
      <c r="V104" s="50">
        <v>682</v>
      </c>
      <c r="W104" s="50" t="s">
        <v>4289</v>
      </c>
      <c r="X104" s="50" t="s">
        <v>102</v>
      </c>
      <c r="Y104" s="50" t="s">
        <v>679</v>
      </c>
      <c r="Z104" s="50" t="s">
        <v>398</v>
      </c>
      <c r="AA104" s="50" t="s">
        <v>126</v>
      </c>
      <c r="AB104" s="50" t="s">
        <v>16810</v>
      </c>
      <c r="AC104" s="50" t="s">
        <v>16811</v>
      </c>
      <c r="AD104" s="50" t="s">
        <v>12593</v>
      </c>
      <c r="AE104" s="50" t="s">
        <v>16812</v>
      </c>
      <c r="AF104" s="50" t="s">
        <v>12216</v>
      </c>
      <c r="AG104" s="50" t="s">
        <v>16812</v>
      </c>
      <c r="AH104" s="50" t="s">
        <v>109</v>
      </c>
      <c r="AI104" s="50" t="s">
        <v>102</v>
      </c>
      <c r="AJ104" s="50" t="s">
        <v>102</v>
      </c>
      <c r="AK104" s="50" t="s">
        <v>12063</v>
      </c>
      <c r="AL104" s="50" t="s">
        <v>12063</v>
      </c>
      <c r="AM104" s="50" t="s">
        <v>16813</v>
      </c>
      <c r="AN104" s="50" t="s">
        <v>16814</v>
      </c>
      <c r="AO104" s="50" t="s">
        <v>16815</v>
      </c>
      <c r="AP104" s="50" t="s">
        <v>16816</v>
      </c>
      <c r="AQ104" s="50" t="s">
        <v>16817</v>
      </c>
      <c r="AR104" s="50" t="s">
        <v>343</v>
      </c>
      <c r="AU104" s="50" t="s">
        <v>169</v>
      </c>
      <c r="AV104" s="50" t="s">
        <v>207</v>
      </c>
      <c r="AW104" s="50" t="s">
        <v>250</v>
      </c>
      <c r="AX104" s="50" t="s">
        <v>102</v>
      </c>
      <c r="AY104" s="50" t="s">
        <v>119</v>
      </c>
      <c r="BB104" s="50" t="s">
        <v>250</v>
      </c>
      <c r="BC104" s="50" t="s">
        <v>120</v>
      </c>
      <c r="BD104" s="50" t="s">
        <v>7266</v>
      </c>
      <c r="BE104" s="50" t="s">
        <v>730</v>
      </c>
      <c r="BF104" s="50" t="s">
        <v>622</v>
      </c>
      <c r="BG104" s="50" t="s">
        <v>730</v>
      </c>
      <c r="BH104" s="50" t="s">
        <v>124</v>
      </c>
      <c r="BI104" s="50" t="s">
        <v>16818</v>
      </c>
      <c r="BJ104" s="50" t="s">
        <v>11889</v>
      </c>
      <c r="BK104" s="50" t="s">
        <v>127</v>
      </c>
      <c r="BL104" s="50" t="s">
        <v>16819</v>
      </c>
      <c r="BM104" s="50" t="s">
        <v>7268</v>
      </c>
      <c r="BN104" s="50" t="s">
        <v>16820</v>
      </c>
      <c r="BO104" s="50" t="s">
        <v>16808</v>
      </c>
      <c r="BP104" s="50" t="s">
        <v>3606</v>
      </c>
      <c r="BQ104" s="50" t="s">
        <v>350</v>
      </c>
      <c r="BR104" s="50" t="s">
        <v>3607</v>
      </c>
      <c r="BS104" s="50" t="s">
        <v>3608</v>
      </c>
      <c r="BT104" s="50" t="s">
        <v>2525</v>
      </c>
      <c r="BV104" s="50" t="s">
        <v>16821</v>
      </c>
      <c r="BW104" s="50" t="s">
        <v>16822</v>
      </c>
      <c r="BX104" s="50" t="s">
        <v>354</v>
      </c>
      <c r="BY104" s="50" t="s">
        <v>7274</v>
      </c>
      <c r="BZ104" s="50" t="s">
        <v>10188</v>
      </c>
      <c r="CA104" s="50" t="s">
        <v>7274</v>
      </c>
      <c r="CB104" s="50" t="s">
        <v>16823</v>
      </c>
      <c r="CC104" s="50" t="s">
        <v>16824</v>
      </c>
      <c r="CD104" s="50" t="s">
        <v>16825</v>
      </c>
      <c r="CE104" s="50" t="s">
        <v>16826</v>
      </c>
      <c r="CF104" s="50" t="s">
        <v>16827</v>
      </c>
      <c r="CG104" s="50" t="s">
        <v>16828</v>
      </c>
      <c r="CH104" s="50" t="s">
        <v>102</v>
      </c>
      <c r="CI104" s="50" t="s">
        <v>7281</v>
      </c>
      <c r="CK104" s="50" t="s">
        <v>7282</v>
      </c>
      <c r="CM104" s="50" t="s">
        <v>7266</v>
      </c>
      <c r="CN104" s="50" t="s">
        <v>730</v>
      </c>
      <c r="CO104" s="50" t="s">
        <v>7282</v>
      </c>
      <c r="CQ104" s="50" t="s">
        <v>7281</v>
      </c>
      <c r="CR104" s="50" t="s">
        <v>7281</v>
      </c>
    </row>
    <row r="105" spans="1:97" hidden="1">
      <c r="A105" s="50" t="s">
        <v>93</v>
      </c>
      <c r="B105" s="50">
        <v>1324480</v>
      </c>
      <c r="C105" s="50" t="e">
        <f>VLOOKUP(B105,'Drop schools 2026'!B:C,2,0)</f>
        <v>#N/A</v>
      </c>
      <c r="D105" s="50" t="s">
        <v>122</v>
      </c>
      <c r="E105" s="50" t="s">
        <v>11898</v>
      </c>
      <c r="F105" s="50" t="s">
        <v>796</v>
      </c>
      <c r="G105" s="50" t="str">
        <f>VLOOKUP(B105,aa!B:F,5,0)</f>
        <v>Ei ASSET,Ei Mindspark</v>
      </c>
      <c r="H105" s="50">
        <f>VLOOKUP(B105,aa!B:J,9,0)</f>
        <v>747960</v>
      </c>
      <c r="I105" s="50">
        <f>VLOOKUP(B105,aa!B:L,11,0)</f>
        <v>170378</v>
      </c>
      <c r="J105" s="50">
        <f>VLOOKUP(B105,aa!B:O,14,0)</f>
        <v>0</v>
      </c>
      <c r="K105" s="50">
        <f>VLOOKUP(B105,aa!B:R,17,0)</f>
        <v>577582</v>
      </c>
      <c r="L105" s="50" t="s">
        <v>3549</v>
      </c>
      <c r="M105" s="50">
        <v>1251424</v>
      </c>
      <c r="N105" s="50">
        <v>1407583</v>
      </c>
      <c r="O105" s="50">
        <v>383872</v>
      </c>
      <c r="P105" s="50">
        <v>450</v>
      </c>
      <c r="Q105" s="50" t="s">
        <v>12381</v>
      </c>
      <c r="R105" s="50">
        <v>0</v>
      </c>
      <c r="S105" s="50">
        <v>0</v>
      </c>
      <c r="U105" s="50">
        <v>867552</v>
      </c>
      <c r="V105" s="50">
        <v>500</v>
      </c>
      <c r="W105" s="50" t="s">
        <v>7476</v>
      </c>
      <c r="X105" s="50" t="s">
        <v>102</v>
      </c>
      <c r="Y105" s="50" t="s">
        <v>103</v>
      </c>
      <c r="Z105" s="50" t="s">
        <v>155</v>
      </c>
      <c r="AB105" s="50" t="s">
        <v>411</v>
      </c>
      <c r="AC105" s="50" t="s">
        <v>12382</v>
      </c>
      <c r="AD105" s="50" t="s">
        <v>12040</v>
      </c>
      <c r="AE105" s="50" t="s">
        <v>12382</v>
      </c>
      <c r="AF105" s="50" t="s">
        <v>12099</v>
      </c>
      <c r="AG105" s="50" t="s">
        <v>12382</v>
      </c>
      <c r="AH105" s="50" t="s">
        <v>11886</v>
      </c>
      <c r="AI105" s="50" t="s">
        <v>12382</v>
      </c>
      <c r="AJ105" s="50" t="s">
        <v>102</v>
      </c>
      <c r="AK105" s="50" t="s">
        <v>9840</v>
      </c>
      <c r="AL105" s="50" t="s">
        <v>12383</v>
      </c>
      <c r="AM105" s="50" t="s">
        <v>12384</v>
      </c>
      <c r="AN105" s="50" t="s">
        <v>1081</v>
      </c>
      <c r="AO105" s="50" t="s">
        <v>12385</v>
      </c>
      <c r="AP105" s="50" t="s">
        <v>12386</v>
      </c>
      <c r="AQ105" s="50" t="s">
        <v>12386</v>
      </c>
      <c r="AV105" s="50" t="s">
        <v>117</v>
      </c>
      <c r="AW105" s="50" t="s">
        <v>118</v>
      </c>
      <c r="AX105" s="50" t="s">
        <v>102</v>
      </c>
      <c r="AY105" s="50" t="s">
        <v>119</v>
      </c>
      <c r="BB105" s="50" t="s">
        <v>250</v>
      </c>
      <c r="BC105" s="50" t="s">
        <v>120</v>
      </c>
      <c r="BD105" s="50" t="s">
        <v>814</v>
      </c>
      <c r="BE105" s="50" t="s">
        <v>320</v>
      </c>
      <c r="BF105" s="50" t="s">
        <v>122</v>
      </c>
      <c r="BG105" s="50" t="s">
        <v>123</v>
      </c>
      <c r="BH105" s="50" t="s">
        <v>124</v>
      </c>
      <c r="BI105" s="50" t="s">
        <v>12023</v>
      </c>
      <c r="BJ105" s="50" t="s">
        <v>11889</v>
      </c>
      <c r="BK105" s="50" t="s">
        <v>127</v>
      </c>
      <c r="BL105" s="50" t="s">
        <v>12387</v>
      </c>
      <c r="BM105" s="50" t="s">
        <v>817</v>
      </c>
      <c r="BN105" s="50" t="s">
        <v>12388</v>
      </c>
      <c r="BO105" s="50" t="s">
        <v>5928</v>
      </c>
      <c r="BP105" s="50" t="s">
        <v>695</v>
      </c>
      <c r="BQ105" s="50" t="s">
        <v>350</v>
      </c>
      <c r="BR105" s="50" t="s">
        <v>697</v>
      </c>
      <c r="BS105" s="50" t="s">
        <v>698</v>
      </c>
      <c r="BT105" s="50" t="s">
        <v>819</v>
      </c>
      <c r="BU105" s="50" t="s">
        <v>261</v>
      </c>
      <c r="BV105" s="50" t="s">
        <v>12389</v>
      </c>
      <c r="BW105" s="50" t="s">
        <v>821</v>
      </c>
      <c r="BX105" s="50" t="s">
        <v>354</v>
      </c>
      <c r="BY105" s="50" t="s">
        <v>822</v>
      </c>
      <c r="BZ105" s="50" t="s">
        <v>823</v>
      </c>
      <c r="CA105" s="50" t="s">
        <v>824</v>
      </c>
      <c r="CB105" s="50" t="s">
        <v>12390</v>
      </c>
      <c r="CC105" s="50" t="s">
        <v>822</v>
      </c>
      <c r="CD105" s="50" t="s">
        <v>823</v>
      </c>
      <c r="CE105" s="50" t="s">
        <v>12390</v>
      </c>
      <c r="CF105" s="50" t="s">
        <v>822</v>
      </c>
      <c r="CG105" s="50" t="s">
        <v>823</v>
      </c>
      <c r="CH105" s="50" t="s">
        <v>828</v>
      </c>
      <c r="CI105" s="50" t="s">
        <v>829</v>
      </c>
      <c r="CK105" s="50" t="s">
        <v>830</v>
      </c>
      <c r="CL105" s="50" t="s">
        <v>12391</v>
      </c>
      <c r="CM105" s="50" t="s">
        <v>814</v>
      </c>
      <c r="CN105" s="50" t="s">
        <v>320</v>
      </c>
      <c r="CO105" s="50" t="s">
        <v>830</v>
      </c>
      <c r="CQ105" s="50" t="s">
        <v>829</v>
      </c>
      <c r="CR105" s="50" t="s">
        <v>829</v>
      </c>
    </row>
    <row r="106" spans="1:97" hidden="1">
      <c r="A106" s="50" t="s">
        <v>337</v>
      </c>
      <c r="B106" s="50">
        <v>5018144</v>
      </c>
      <c r="C106" s="50" t="e">
        <f>VLOOKUP(B106,'Drop schools 2026'!B:C,2,0)</f>
        <v>#N/A</v>
      </c>
      <c r="D106" s="50" t="s">
        <v>174</v>
      </c>
      <c r="E106" s="50" t="s">
        <v>16575</v>
      </c>
      <c r="F106" s="50" t="s">
        <v>19400</v>
      </c>
      <c r="G106" s="50" t="e">
        <f>VLOOKUP(B106,aa!B:F,5,0)</f>
        <v>#N/A</v>
      </c>
      <c r="H106" s="50" t="e">
        <f>VLOOKUP(B106,aa!B:J,9,0)</f>
        <v>#N/A</v>
      </c>
      <c r="I106" s="50" t="e">
        <f>VLOOKUP(B106,aa!B:L,11,0)</f>
        <v>#N/A</v>
      </c>
      <c r="J106" s="50" t="e">
        <f>VLOOKUP(B106,aa!B:O,14,0)</f>
        <v>#N/A</v>
      </c>
      <c r="K106" s="50" t="e">
        <f>VLOOKUP(B106,aa!B:R,17,0)</f>
        <v>#N/A</v>
      </c>
      <c r="L106" s="50" t="s">
        <v>2163</v>
      </c>
      <c r="M106" s="50">
        <v>1244273</v>
      </c>
      <c r="N106" s="50">
        <v>1378822</v>
      </c>
      <c r="O106" s="50">
        <v>202653</v>
      </c>
      <c r="P106" s="50">
        <v>253</v>
      </c>
      <c r="Q106" s="50" t="s">
        <v>19169</v>
      </c>
      <c r="R106" s="50">
        <v>294125</v>
      </c>
      <c r="S106" s="50">
        <v>245</v>
      </c>
      <c r="T106" s="50" t="s">
        <v>19156</v>
      </c>
      <c r="U106" s="50">
        <v>747495</v>
      </c>
      <c r="V106" s="50">
        <v>245</v>
      </c>
      <c r="W106" s="50" t="s">
        <v>1652</v>
      </c>
      <c r="X106" s="50" t="s">
        <v>102</v>
      </c>
      <c r="Y106" s="50" t="s">
        <v>103</v>
      </c>
      <c r="Z106" s="50" t="s">
        <v>938</v>
      </c>
      <c r="AB106" s="50" t="s">
        <v>16918</v>
      </c>
      <c r="AC106" s="50" t="s">
        <v>19401</v>
      </c>
      <c r="AD106" s="50" t="s">
        <v>11976</v>
      </c>
      <c r="AE106" s="50" t="s">
        <v>19401</v>
      </c>
      <c r="AF106" s="50" t="s">
        <v>5651</v>
      </c>
      <c r="AG106" s="50" t="s">
        <v>19402</v>
      </c>
      <c r="AH106" s="50" t="s">
        <v>12595</v>
      </c>
      <c r="AI106" s="50" t="s">
        <v>19403</v>
      </c>
      <c r="AJ106" s="50" t="s">
        <v>19404</v>
      </c>
      <c r="AK106" s="50" t="s">
        <v>4813</v>
      </c>
      <c r="AL106" s="50" t="s">
        <v>19174</v>
      </c>
      <c r="AM106" s="50" t="s">
        <v>19405</v>
      </c>
      <c r="AN106" s="50" t="s">
        <v>19406</v>
      </c>
      <c r="AO106" s="50" t="s">
        <v>19407</v>
      </c>
      <c r="AP106" s="50" t="s">
        <v>19408</v>
      </c>
      <c r="AQ106" s="50" t="s">
        <v>19408</v>
      </c>
      <c r="AV106" s="50" t="s">
        <v>247</v>
      </c>
      <c r="AW106" s="50" t="s">
        <v>118</v>
      </c>
      <c r="AX106" s="50" t="s">
        <v>1103</v>
      </c>
      <c r="AY106" s="50" t="s">
        <v>249</v>
      </c>
      <c r="AZ106" s="50" t="s">
        <v>170</v>
      </c>
      <c r="BA106" s="50" t="s">
        <v>118</v>
      </c>
      <c r="BB106" s="50" t="s">
        <v>208</v>
      </c>
      <c r="BC106" s="50" t="s">
        <v>1964</v>
      </c>
      <c r="BD106" s="50" t="s">
        <v>375</v>
      </c>
      <c r="BE106" s="50" t="s">
        <v>376</v>
      </c>
      <c r="BF106" s="50" t="s">
        <v>174</v>
      </c>
      <c r="BG106" s="50" t="s">
        <v>376</v>
      </c>
      <c r="BH106" s="50" t="s">
        <v>124</v>
      </c>
      <c r="BI106" s="50" t="s">
        <v>19409</v>
      </c>
      <c r="BJ106" s="50" t="s">
        <v>19180</v>
      </c>
      <c r="BK106" s="50" t="s">
        <v>127</v>
      </c>
      <c r="BL106" s="50" t="s">
        <v>19410</v>
      </c>
      <c r="BM106" s="50" t="s">
        <v>19411</v>
      </c>
      <c r="BN106" s="50" t="s">
        <v>19412</v>
      </c>
      <c r="BO106" s="50" t="s">
        <v>12100</v>
      </c>
      <c r="BP106" s="50" t="s">
        <v>13780</v>
      </c>
      <c r="BQ106" s="50" t="s">
        <v>180</v>
      </c>
      <c r="BR106" s="50" t="s">
        <v>13781</v>
      </c>
      <c r="BS106" s="50" t="s">
        <v>13782</v>
      </c>
      <c r="BT106" s="50" t="s">
        <v>13783</v>
      </c>
      <c r="BV106" s="50" t="s">
        <v>19413</v>
      </c>
      <c r="BW106" s="50" t="s">
        <v>16588</v>
      </c>
      <c r="BX106" s="50" t="s">
        <v>354</v>
      </c>
      <c r="BY106" s="50" t="s">
        <v>16589</v>
      </c>
      <c r="BZ106" s="50" t="s">
        <v>16590</v>
      </c>
      <c r="CA106" s="50" t="s">
        <v>6802</v>
      </c>
      <c r="CB106" s="50" t="s">
        <v>16588</v>
      </c>
      <c r="CC106" s="50" t="s">
        <v>16589</v>
      </c>
      <c r="CD106" s="50" t="s">
        <v>16590</v>
      </c>
      <c r="CE106" s="50" t="s">
        <v>16588</v>
      </c>
      <c r="CF106" s="50" t="s">
        <v>16589</v>
      </c>
      <c r="CG106" s="50" t="s">
        <v>16590</v>
      </c>
      <c r="CH106" s="50" t="s">
        <v>1538</v>
      </c>
      <c r="CI106" s="50" t="s">
        <v>19414</v>
      </c>
      <c r="CK106" s="50" t="s">
        <v>14371</v>
      </c>
      <c r="CL106" s="50" t="s">
        <v>19415</v>
      </c>
      <c r="CM106" s="50" t="s">
        <v>375</v>
      </c>
      <c r="CN106" s="50" t="s">
        <v>376</v>
      </c>
      <c r="CO106" s="50" t="s">
        <v>14371</v>
      </c>
      <c r="CP106" s="50" t="s">
        <v>6808</v>
      </c>
      <c r="CQ106" s="50" t="s">
        <v>19415</v>
      </c>
      <c r="CR106" s="50" t="s">
        <v>19415</v>
      </c>
      <c r="CS106" s="50" t="s">
        <v>26043</v>
      </c>
    </row>
    <row r="107" spans="1:97" hidden="1">
      <c r="A107" s="50" t="s">
        <v>93</v>
      </c>
      <c r="B107" s="50">
        <v>207093</v>
      </c>
      <c r="C107" s="50" t="e">
        <f>VLOOKUP(B107,'Drop schools 2026'!B:C,2,0)</f>
        <v>#N/A</v>
      </c>
      <c r="D107" s="50" t="s">
        <v>122</v>
      </c>
      <c r="E107" s="50" t="s">
        <v>12121</v>
      </c>
      <c r="F107" s="50" t="s">
        <v>2626</v>
      </c>
      <c r="G107" s="50" t="e">
        <f>VLOOKUP(B107,aa!B:F,5,0)</f>
        <v>#N/A</v>
      </c>
      <c r="H107" s="50" t="e">
        <f>VLOOKUP(B107,aa!B:J,9,0)</f>
        <v>#N/A</v>
      </c>
      <c r="I107" s="50" t="e">
        <f>VLOOKUP(B107,aa!B:L,11,0)</f>
        <v>#N/A</v>
      </c>
      <c r="J107" s="50" t="e">
        <f>VLOOKUP(B107,aa!B:O,14,0)</f>
        <v>#N/A</v>
      </c>
      <c r="K107" s="50" t="e">
        <f>VLOOKUP(B107,aa!B:R,17,0)</f>
        <v>#N/A</v>
      </c>
      <c r="L107" s="50" t="s">
        <v>152</v>
      </c>
      <c r="M107" s="50">
        <v>1241100</v>
      </c>
      <c r="N107" s="50">
        <v>1241100</v>
      </c>
      <c r="O107" s="50">
        <v>0</v>
      </c>
      <c r="P107" s="50">
        <v>0</v>
      </c>
      <c r="R107" s="50">
        <v>1241100</v>
      </c>
      <c r="S107" s="50">
        <v>591</v>
      </c>
      <c r="T107" s="50" t="s">
        <v>2987</v>
      </c>
      <c r="U107" s="50">
        <v>0</v>
      </c>
      <c r="V107" s="50">
        <v>0</v>
      </c>
      <c r="X107" s="50" t="s">
        <v>102</v>
      </c>
      <c r="Y107" s="50" t="s">
        <v>103</v>
      </c>
      <c r="Z107" s="50" t="s">
        <v>398</v>
      </c>
      <c r="AB107" s="50" t="s">
        <v>6918</v>
      </c>
      <c r="AC107" s="50" t="s">
        <v>13483</v>
      </c>
      <c r="AD107" s="50" t="s">
        <v>12427</v>
      </c>
      <c r="AE107" s="50" t="s">
        <v>13484</v>
      </c>
      <c r="AF107" s="50" t="s">
        <v>12713</v>
      </c>
      <c r="AG107" s="50" t="s">
        <v>13484</v>
      </c>
      <c r="AH107" s="50" t="s">
        <v>109</v>
      </c>
      <c r="AI107" s="50" t="s">
        <v>102</v>
      </c>
      <c r="AJ107" s="50" t="s">
        <v>13485</v>
      </c>
      <c r="AK107" s="50" t="s">
        <v>857</v>
      </c>
      <c r="AL107" s="50" t="s">
        <v>13486</v>
      </c>
      <c r="AM107" s="50" t="s">
        <v>13487</v>
      </c>
      <c r="AN107" s="50" t="s">
        <v>13488</v>
      </c>
      <c r="AO107" s="50" t="s">
        <v>13489</v>
      </c>
      <c r="AP107" s="50" t="s">
        <v>554</v>
      </c>
      <c r="AQ107" s="50" t="s">
        <v>554</v>
      </c>
      <c r="AV107" s="50" t="s">
        <v>102</v>
      </c>
      <c r="AX107" s="50" t="s">
        <v>155</v>
      </c>
      <c r="AY107" s="50" t="s">
        <v>119</v>
      </c>
      <c r="AZ107" s="50" t="s">
        <v>170</v>
      </c>
      <c r="BA107" s="50" t="s">
        <v>118</v>
      </c>
      <c r="BC107" s="50" t="s">
        <v>120</v>
      </c>
      <c r="BD107" s="50" t="s">
        <v>555</v>
      </c>
      <c r="BE107" s="50" t="s">
        <v>556</v>
      </c>
      <c r="BF107" s="50" t="s">
        <v>122</v>
      </c>
      <c r="BG107" s="50" t="s">
        <v>557</v>
      </c>
      <c r="BH107" s="50" t="s">
        <v>124</v>
      </c>
      <c r="BI107" s="50" t="s">
        <v>12023</v>
      </c>
      <c r="BJ107" s="50" t="s">
        <v>11889</v>
      </c>
      <c r="BK107" s="50" t="s">
        <v>127</v>
      </c>
      <c r="BL107" s="50" t="s">
        <v>13490</v>
      </c>
      <c r="BM107" s="50" t="s">
        <v>2637</v>
      </c>
      <c r="BN107" s="50" t="s">
        <v>13491</v>
      </c>
      <c r="BO107" s="50" t="s">
        <v>5928</v>
      </c>
      <c r="BP107" s="50" t="s">
        <v>563</v>
      </c>
      <c r="BQ107" s="50" t="s">
        <v>350</v>
      </c>
      <c r="BR107" s="50" t="s">
        <v>564</v>
      </c>
      <c r="BS107" s="50" t="s">
        <v>565</v>
      </c>
      <c r="BT107" s="50" t="s">
        <v>563</v>
      </c>
      <c r="BV107" s="50" t="s">
        <v>13492</v>
      </c>
      <c r="BW107" s="50" t="s">
        <v>13493</v>
      </c>
      <c r="BX107" s="50" t="s">
        <v>138</v>
      </c>
      <c r="BY107" s="50" t="s">
        <v>2641</v>
      </c>
      <c r="BZ107" s="50" t="s">
        <v>2642</v>
      </c>
      <c r="CA107" s="50" t="s">
        <v>2641</v>
      </c>
      <c r="CB107" s="50" t="s">
        <v>13493</v>
      </c>
      <c r="CC107" s="50" t="s">
        <v>2641</v>
      </c>
      <c r="CD107" s="50" t="s">
        <v>2642</v>
      </c>
      <c r="CE107" s="50" t="s">
        <v>2643</v>
      </c>
      <c r="CF107" s="50" t="s">
        <v>2641</v>
      </c>
      <c r="CG107" s="50" t="s">
        <v>13494</v>
      </c>
      <c r="CH107" s="50" t="s">
        <v>2645</v>
      </c>
      <c r="CI107" s="50" t="s">
        <v>13495</v>
      </c>
      <c r="CK107" s="50" t="s">
        <v>2447</v>
      </c>
      <c r="CL107" s="50" t="s">
        <v>13495</v>
      </c>
      <c r="CM107" s="50" t="s">
        <v>555</v>
      </c>
      <c r="CN107" s="50" t="s">
        <v>556</v>
      </c>
      <c r="CO107" s="50" t="s">
        <v>2447</v>
      </c>
      <c r="CP107" s="50" t="s">
        <v>2647</v>
      </c>
      <c r="CQ107" s="50" t="s">
        <v>2646</v>
      </c>
      <c r="CR107" s="50" t="s">
        <v>2646</v>
      </c>
    </row>
    <row r="108" spans="1:97" hidden="1">
      <c r="A108" s="50" t="s">
        <v>149</v>
      </c>
      <c r="B108" s="50">
        <v>2385289</v>
      </c>
      <c r="C108" s="50" t="e">
        <f>VLOOKUP(B108,'Drop schools 2026'!B:C,2,0)</f>
        <v>#N/A</v>
      </c>
      <c r="D108" s="50" t="s">
        <v>174</v>
      </c>
      <c r="E108" s="50" t="s">
        <v>384</v>
      </c>
      <c r="F108" s="50" t="s">
        <v>3131</v>
      </c>
      <c r="G108" s="50" t="str">
        <f>VLOOKUP(B108,aa!B:F,5,0)</f>
        <v>Ei Mindspark</v>
      </c>
      <c r="H108" s="50">
        <f>VLOOKUP(B108,aa!B:J,9,0)</f>
        <v>1208556</v>
      </c>
      <c r="I108" s="50">
        <f>VLOOKUP(B108,aa!B:L,11,0)</f>
        <v>0</v>
      </c>
      <c r="J108" s="50">
        <f>VLOOKUP(B108,aa!B:O,14,0)</f>
        <v>0</v>
      </c>
      <c r="K108" s="50">
        <f>VLOOKUP(B108,aa!B:R,17,0)</f>
        <v>1208556</v>
      </c>
      <c r="L108" s="50" t="s">
        <v>848</v>
      </c>
      <c r="M108" s="50">
        <v>1235653</v>
      </c>
      <c r="N108" s="50">
        <v>1458071</v>
      </c>
      <c r="O108" s="50">
        <v>0</v>
      </c>
      <c r="P108" s="50">
        <v>0</v>
      </c>
      <c r="R108" s="50">
        <v>0</v>
      </c>
      <c r="S108" s="50">
        <v>0</v>
      </c>
      <c r="U108" s="50">
        <v>1235653</v>
      </c>
      <c r="V108" s="50">
        <v>634</v>
      </c>
      <c r="W108" s="50" t="s">
        <v>13830</v>
      </c>
      <c r="X108" s="50" t="s">
        <v>102</v>
      </c>
      <c r="Y108" s="50" t="s">
        <v>103</v>
      </c>
      <c r="Z108" s="50" t="s">
        <v>155</v>
      </c>
      <c r="AB108" s="50" t="s">
        <v>6341</v>
      </c>
      <c r="AC108" s="50" t="s">
        <v>13831</v>
      </c>
      <c r="AD108" s="50" t="s">
        <v>13832</v>
      </c>
      <c r="AE108" s="50" t="s">
        <v>13831</v>
      </c>
      <c r="AF108" s="50" t="s">
        <v>13833</v>
      </c>
      <c r="AG108" s="50" t="s">
        <v>13831</v>
      </c>
      <c r="AH108" s="50" t="s">
        <v>11886</v>
      </c>
      <c r="AI108" s="50" t="s">
        <v>13831</v>
      </c>
      <c r="AJ108" s="50" t="s">
        <v>13834</v>
      </c>
      <c r="AK108" s="50" t="s">
        <v>1097</v>
      </c>
      <c r="AL108" s="50" t="s">
        <v>13245</v>
      </c>
      <c r="AM108" s="50" t="s">
        <v>13835</v>
      </c>
      <c r="AN108" s="50" t="s">
        <v>13836</v>
      </c>
      <c r="AO108" s="50" t="s">
        <v>13837</v>
      </c>
      <c r="AP108" s="50" t="s">
        <v>13838</v>
      </c>
      <c r="AQ108" s="50" t="s">
        <v>13838</v>
      </c>
      <c r="AV108" s="50" t="s">
        <v>102</v>
      </c>
      <c r="AX108" s="50" t="s">
        <v>102</v>
      </c>
      <c r="AY108" s="50" t="s">
        <v>119</v>
      </c>
      <c r="BB108" s="50" t="s">
        <v>250</v>
      </c>
      <c r="BC108" s="50" t="s">
        <v>171</v>
      </c>
      <c r="BD108" s="50" t="s">
        <v>375</v>
      </c>
      <c r="BE108" s="50" t="s">
        <v>376</v>
      </c>
      <c r="BF108" s="50" t="s">
        <v>174</v>
      </c>
      <c r="BG108" s="50" t="s">
        <v>376</v>
      </c>
      <c r="BH108" s="50" t="s">
        <v>124</v>
      </c>
      <c r="BI108" s="50" t="s">
        <v>12023</v>
      </c>
      <c r="BJ108" s="50" t="s">
        <v>11889</v>
      </c>
      <c r="BK108" s="50" t="s">
        <v>127</v>
      </c>
      <c r="BL108" s="50" t="s">
        <v>13839</v>
      </c>
      <c r="BM108" s="50" t="s">
        <v>3142</v>
      </c>
      <c r="BN108" s="50" t="s">
        <v>13840</v>
      </c>
      <c r="BO108" s="50" t="s">
        <v>1202</v>
      </c>
      <c r="BP108" s="50" t="s">
        <v>1917</v>
      </c>
      <c r="BQ108" s="50" t="s">
        <v>350</v>
      </c>
      <c r="BR108" s="50" t="s">
        <v>1918</v>
      </c>
      <c r="BS108" s="50" t="s">
        <v>1919</v>
      </c>
      <c r="BT108" s="50" t="s">
        <v>183</v>
      </c>
      <c r="BV108" s="50" t="s">
        <v>13841</v>
      </c>
      <c r="BW108" s="50" t="s">
        <v>3145</v>
      </c>
      <c r="BX108" s="50" t="s">
        <v>138</v>
      </c>
      <c r="BY108" s="50" t="s">
        <v>3146</v>
      </c>
      <c r="BZ108" s="50" t="s">
        <v>3147</v>
      </c>
      <c r="CA108" s="50" t="s">
        <v>3146</v>
      </c>
      <c r="CB108" s="50" t="s">
        <v>3145</v>
      </c>
      <c r="CC108" s="50" t="s">
        <v>3146</v>
      </c>
      <c r="CD108" s="50" t="s">
        <v>3147</v>
      </c>
      <c r="CE108" s="50" t="s">
        <v>13842</v>
      </c>
      <c r="CF108" s="50" t="s">
        <v>13843</v>
      </c>
      <c r="CG108" s="50" t="s">
        <v>13844</v>
      </c>
      <c r="CH108" s="50" t="s">
        <v>102</v>
      </c>
      <c r="CI108" s="50" t="s">
        <v>3131</v>
      </c>
      <c r="CK108" s="50" t="s">
        <v>3152</v>
      </c>
      <c r="CM108" s="50" t="s">
        <v>375</v>
      </c>
      <c r="CN108" s="50" t="s">
        <v>376</v>
      </c>
      <c r="CO108" s="50" t="s">
        <v>3152</v>
      </c>
      <c r="CP108" s="50" t="s">
        <v>3153</v>
      </c>
      <c r="CQ108" s="50" t="s">
        <v>3151</v>
      </c>
      <c r="CR108" s="50" t="s">
        <v>3151</v>
      </c>
    </row>
    <row r="109" spans="1:97" hidden="1">
      <c r="A109" s="50" t="s">
        <v>149</v>
      </c>
      <c r="B109" s="50">
        <v>2066385</v>
      </c>
      <c r="C109" s="50" t="e">
        <f>VLOOKUP(B109,'Drop schools 2026'!B:C,2,0)</f>
        <v>#N/A</v>
      </c>
      <c r="D109" s="50" t="s">
        <v>212</v>
      </c>
      <c r="E109" s="50" t="s">
        <v>11995</v>
      </c>
      <c r="F109" s="50" t="s">
        <v>2601</v>
      </c>
      <c r="G109" s="50" t="e">
        <f>VLOOKUP(B109,aa!B:F,5,0)</f>
        <v>#N/A</v>
      </c>
      <c r="H109" s="50" t="e">
        <f>VLOOKUP(B109,aa!B:J,9,0)</f>
        <v>#N/A</v>
      </c>
      <c r="I109" s="50" t="e">
        <f>VLOOKUP(B109,aa!B:L,11,0)</f>
        <v>#N/A</v>
      </c>
      <c r="J109" s="50" t="e">
        <f>VLOOKUP(B109,aa!B:O,14,0)</f>
        <v>#N/A</v>
      </c>
      <c r="K109" s="50" t="e">
        <f>VLOOKUP(B109,aa!B:R,17,0)</f>
        <v>#N/A</v>
      </c>
      <c r="L109" s="50" t="s">
        <v>152</v>
      </c>
      <c r="M109" s="50">
        <v>1221775</v>
      </c>
      <c r="N109" s="50">
        <v>1221775</v>
      </c>
      <c r="O109" s="50">
        <v>0</v>
      </c>
      <c r="P109" s="50">
        <v>0</v>
      </c>
      <c r="R109" s="50">
        <v>1221775</v>
      </c>
      <c r="S109" s="50">
        <v>879</v>
      </c>
      <c r="T109" s="50" t="s">
        <v>13473</v>
      </c>
      <c r="U109" s="50">
        <v>0</v>
      </c>
      <c r="V109" s="50">
        <v>0</v>
      </c>
      <c r="X109" s="50" t="s">
        <v>102</v>
      </c>
      <c r="Y109" s="50" t="s">
        <v>103</v>
      </c>
      <c r="Z109" s="50" t="s">
        <v>155</v>
      </c>
      <c r="AB109" s="50" t="s">
        <v>12040</v>
      </c>
      <c r="AC109" s="50" t="s">
        <v>13474</v>
      </c>
      <c r="AD109" s="50" t="s">
        <v>12427</v>
      </c>
      <c r="AE109" s="50" t="s">
        <v>13474</v>
      </c>
      <c r="AF109" s="50" t="s">
        <v>13395</v>
      </c>
      <c r="AG109" s="50" t="s">
        <v>13474</v>
      </c>
      <c r="AH109" s="50" t="s">
        <v>12713</v>
      </c>
      <c r="AI109" s="50" t="s">
        <v>13474</v>
      </c>
      <c r="AJ109" s="50" t="s">
        <v>102</v>
      </c>
      <c r="AK109" s="50" t="s">
        <v>13340</v>
      </c>
      <c r="AL109" s="50" t="s">
        <v>13302</v>
      </c>
      <c r="AM109" s="50" t="s">
        <v>13475</v>
      </c>
      <c r="AN109" s="50" t="s">
        <v>13476</v>
      </c>
      <c r="AO109" s="50" t="s">
        <v>13477</v>
      </c>
      <c r="AP109" s="50" t="s">
        <v>13478</v>
      </c>
      <c r="AQ109" s="50" t="s">
        <v>13478</v>
      </c>
      <c r="AV109" s="50" t="s">
        <v>102</v>
      </c>
      <c r="AX109" s="50" t="s">
        <v>155</v>
      </c>
      <c r="AY109" s="50" t="s">
        <v>119</v>
      </c>
      <c r="AZ109" s="50" t="s">
        <v>170</v>
      </c>
      <c r="BA109" s="50" t="s">
        <v>118</v>
      </c>
      <c r="BC109" s="50" t="s">
        <v>120</v>
      </c>
      <c r="BD109" s="50" t="s">
        <v>2611</v>
      </c>
      <c r="BE109" s="50" t="s">
        <v>285</v>
      </c>
      <c r="BF109" s="50" t="s">
        <v>212</v>
      </c>
      <c r="BG109" s="50" t="s">
        <v>286</v>
      </c>
      <c r="BH109" s="50" t="s">
        <v>124</v>
      </c>
      <c r="BI109" s="50" t="s">
        <v>11976</v>
      </c>
      <c r="BJ109" s="50" t="s">
        <v>11889</v>
      </c>
      <c r="BK109" s="50" t="s">
        <v>127</v>
      </c>
      <c r="BL109" s="50" t="s">
        <v>13479</v>
      </c>
      <c r="BM109" s="50" t="s">
        <v>2613</v>
      </c>
      <c r="BN109" s="50" t="s">
        <v>13480</v>
      </c>
      <c r="BO109" s="50" t="s">
        <v>2483</v>
      </c>
      <c r="BP109" s="50" t="s">
        <v>956</v>
      </c>
      <c r="BQ109" s="50" t="s">
        <v>505</v>
      </c>
      <c r="BR109" s="50" t="s">
        <v>958</v>
      </c>
      <c r="BS109" s="50" t="s">
        <v>959</v>
      </c>
      <c r="BT109" s="50" t="s">
        <v>293</v>
      </c>
      <c r="BV109" s="50" t="s">
        <v>13481</v>
      </c>
      <c r="BW109" s="50" t="s">
        <v>2619</v>
      </c>
      <c r="BX109" s="50" t="s">
        <v>354</v>
      </c>
      <c r="BY109" s="50" t="s">
        <v>2620</v>
      </c>
      <c r="BZ109" s="50" t="s">
        <v>2621</v>
      </c>
      <c r="CA109" s="50" t="s">
        <v>2622</v>
      </c>
      <c r="CB109" s="50" t="s">
        <v>13482</v>
      </c>
      <c r="CC109" s="50" t="s">
        <v>2620</v>
      </c>
      <c r="CD109" s="50" t="s">
        <v>2621</v>
      </c>
      <c r="CE109" s="50" t="s">
        <v>13482</v>
      </c>
      <c r="CF109" s="50" t="s">
        <v>2620</v>
      </c>
      <c r="CG109" s="50" t="s">
        <v>2621</v>
      </c>
      <c r="CH109" s="50" t="s">
        <v>2623</v>
      </c>
      <c r="CI109" s="50" t="s">
        <v>2601</v>
      </c>
      <c r="CK109" s="50" t="s">
        <v>2625</v>
      </c>
      <c r="CL109" s="50" t="s">
        <v>2624</v>
      </c>
      <c r="CM109" s="50" t="s">
        <v>2611</v>
      </c>
      <c r="CN109" s="50" t="s">
        <v>285</v>
      </c>
      <c r="CO109" s="50" t="s">
        <v>2625</v>
      </c>
      <c r="CQ109" s="50" t="s">
        <v>2624</v>
      </c>
      <c r="CR109" s="50" t="s">
        <v>2624</v>
      </c>
      <c r="CS109" s="50" t="s">
        <v>26045</v>
      </c>
    </row>
    <row r="110" spans="1:97" hidden="1">
      <c r="A110" s="50" t="s">
        <v>149</v>
      </c>
      <c r="B110" s="50">
        <v>2470596</v>
      </c>
      <c r="C110" s="50" t="e">
        <f>VLOOKUP(B110,'Drop schools 2026'!B:C,2,0)</f>
        <v>#N/A</v>
      </c>
      <c r="D110" s="50" t="s">
        <v>212</v>
      </c>
      <c r="E110" s="50" t="s">
        <v>12423</v>
      </c>
      <c r="F110" s="50" t="s">
        <v>3522</v>
      </c>
      <c r="G110" s="50" t="str">
        <f>VLOOKUP(B110,aa!B:F,5,0)</f>
        <v>Ei ASSET,Ei CARES,Ei Mindspark, Ei Mindspark</v>
      </c>
      <c r="H110" s="50">
        <f>VLOOKUP(B110,aa!B:J,9,0)</f>
        <v>1523364</v>
      </c>
      <c r="I110" s="50">
        <f>VLOOKUP(B110,aa!B:L,11,0)</f>
        <v>163139</v>
      </c>
      <c r="J110" s="50">
        <f>VLOOKUP(B110,aa!B:O,14,0)</f>
        <v>556940</v>
      </c>
      <c r="K110" s="50">
        <f>VLOOKUP(B110,aa!B:R,17,0)</f>
        <v>803285</v>
      </c>
      <c r="L110" s="50" t="s">
        <v>1086</v>
      </c>
      <c r="M110" s="50">
        <v>1203995</v>
      </c>
      <c r="N110" s="50">
        <v>1328052</v>
      </c>
      <c r="O110" s="50">
        <v>116293</v>
      </c>
      <c r="P110" s="50">
        <v>381</v>
      </c>
      <c r="Q110" s="50" t="s">
        <v>14107</v>
      </c>
      <c r="R110" s="50">
        <v>398496</v>
      </c>
      <c r="S110" s="50">
        <v>381</v>
      </c>
      <c r="T110" s="50" t="s">
        <v>14108</v>
      </c>
      <c r="U110" s="50">
        <v>689206</v>
      </c>
      <c r="V110" s="50">
        <v>518</v>
      </c>
      <c r="W110" s="50" t="s">
        <v>14109</v>
      </c>
      <c r="X110" s="50" t="s">
        <v>102</v>
      </c>
      <c r="Y110" s="50" t="s">
        <v>103</v>
      </c>
      <c r="Z110" s="50" t="s">
        <v>104</v>
      </c>
      <c r="AB110" s="50" t="s">
        <v>8708</v>
      </c>
      <c r="AC110" s="50" t="s">
        <v>14110</v>
      </c>
      <c r="AD110" s="50" t="s">
        <v>11886</v>
      </c>
      <c r="AE110" s="50" t="s">
        <v>14110</v>
      </c>
      <c r="AF110" s="50" t="s">
        <v>109</v>
      </c>
      <c r="AG110" s="50" t="s">
        <v>102</v>
      </c>
      <c r="AH110" s="50" t="s">
        <v>109</v>
      </c>
      <c r="AI110" s="50" t="s">
        <v>102</v>
      </c>
      <c r="AJ110" s="50" t="s">
        <v>14111</v>
      </c>
      <c r="AK110" s="50" t="s">
        <v>12923</v>
      </c>
      <c r="AL110" s="50" t="s">
        <v>12923</v>
      </c>
      <c r="AM110" s="50" t="s">
        <v>14112</v>
      </c>
      <c r="AN110" s="50" t="s">
        <v>14113</v>
      </c>
      <c r="AO110" s="50" t="s">
        <v>14114</v>
      </c>
      <c r="AP110" s="50" t="s">
        <v>14115</v>
      </c>
      <c r="AQ110" s="50" t="s">
        <v>14115</v>
      </c>
      <c r="AV110" s="50" t="s">
        <v>207</v>
      </c>
      <c r="AW110" s="50" t="s">
        <v>250</v>
      </c>
      <c r="AX110" s="50" t="s">
        <v>3536</v>
      </c>
      <c r="AY110" s="50" t="s">
        <v>119</v>
      </c>
      <c r="BA110" s="50" t="s">
        <v>250</v>
      </c>
      <c r="BB110" s="50" t="s">
        <v>250</v>
      </c>
      <c r="BC110" s="50" t="s">
        <v>171</v>
      </c>
      <c r="BD110" s="50" t="s">
        <v>3537</v>
      </c>
      <c r="BE110" s="50" t="s">
        <v>410</v>
      </c>
      <c r="BF110" s="50" t="s">
        <v>212</v>
      </c>
      <c r="BG110" s="50" t="s">
        <v>410</v>
      </c>
      <c r="BH110" s="50" t="s">
        <v>124</v>
      </c>
      <c r="BI110" s="50" t="s">
        <v>11959</v>
      </c>
      <c r="BJ110" s="50" t="s">
        <v>11960</v>
      </c>
      <c r="BK110" s="50" t="s">
        <v>127</v>
      </c>
      <c r="BL110" s="50" t="s">
        <v>14116</v>
      </c>
      <c r="BM110" s="50" t="s">
        <v>3539</v>
      </c>
      <c r="BN110" s="50" t="s">
        <v>14117</v>
      </c>
      <c r="BO110" s="50" t="s">
        <v>13202</v>
      </c>
      <c r="BP110" s="50" t="s">
        <v>866</v>
      </c>
      <c r="BQ110" s="50" t="s">
        <v>13875</v>
      </c>
      <c r="BR110" s="50" t="s">
        <v>867</v>
      </c>
      <c r="BS110" s="50" t="s">
        <v>868</v>
      </c>
      <c r="BT110" s="50" t="s">
        <v>418</v>
      </c>
      <c r="BV110" s="50" t="s">
        <v>14118</v>
      </c>
      <c r="BW110" s="50" t="s">
        <v>14119</v>
      </c>
      <c r="BY110" s="50" t="s">
        <v>3545</v>
      </c>
      <c r="BZ110" s="50" t="s">
        <v>14120</v>
      </c>
      <c r="CA110" s="50" t="s">
        <v>3545</v>
      </c>
      <c r="CB110" s="50" t="s">
        <v>14119</v>
      </c>
      <c r="CC110" s="50" t="s">
        <v>3545</v>
      </c>
      <c r="CD110" s="50" t="s">
        <v>14120</v>
      </c>
      <c r="CE110" s="50" t="s">
        <v>14121</v>
      </c>
      <c r="CF110" s="50" t="s">
        <v>3545</v>
      </c>
      <c r="CG110" s="50" t="s">
        <v>14120</v>
      </c>
      <c r="CH110" s="50" t="s">
        <v>102</v>
      </c>
      <c r="CI110" s="50" t="s">
        <v>3546</v>
      </c>
      <c r="CK110" s="50" t="s">
        <v>3547</v>
      </c>
      <c r="CM110" s="50" t="s">
        <v>3537</v>
      </c>
      <c r="CN110" s="50" t="s">
        <v>410</v>
      </c>
      <c r="CO110" s="50" t="s">
        <v>3547</v>
      </c>
      <c r="CQ110" s="50" t="s">
        <v>3546</v>
      </c>
      <c r="CR110" s="50" t="s">
        <v>3546</v>
      </c>
      <c r="CS110" s="50" t="s">
        <v>26040</v>
      </c>
    </row>
    <row r="111" spans="1:97" hidden="1">
      <c r="A111" s="50" t="s">
        <v>93</v>
      </c>
      <c r="B111" s="50">
        <v>500529</v>
      </c>
      <c r="C111" s="50" t="e">
        <f>VLOOKUP(B111,'Drop schools 2026'!B:C,2,0)</f>
        <v>#N/A</v>
      </c>
      <c r="D111" s="50" t="s">
        <v>622</v>
      </c>
      <c r="E111" s="50" t="s">
        <v>985</v>
      </c>
      <c r="F111" s="50" t="s">
        <v>9262</v>
      </c>
      <c r="G111" s="50" t="e">
        <f>VLOOKUP(B111,aa!B:F,5,0)</f>
        <v>#N/A</v>
      </c>
      <c r="H111" s="50" t="e">
        <f>VLOOKUP(B111,aa!B:J,9,0)</f>
        <v>#N/A</v>
      </c>
      <c r="I111" s="50" t="e">
        <f>VLOOKUP(B111,aa!B:L,11,0)</f>
        <v>#N/A</v>
      </c>
      <c r="J111" s="50" t="e">
        <f>VLOOKUP(B111,aa!B:O,14,0)</f>
        <v>#N/A</v>
      </c>
      <c r="K111" s="50" t="e">
        <f>VLOOKUP(B111,aa!B:R,17,0)</f>
        <v>#N/A</v>
      </c>
      <c r="L111" s="50" t="s">
        <v>97</v>
      </c>
      <c r="M111" s="50">
        <v>1191769</v>
      </c>
      <c r="N111" s="50">
        <v>1191769</v>
      </c>
      <c r="O111" s="50">
        <v>1191769</v>
      </c>
      <c r="P111" s="50">
        <v>1041</v>
      </c>
      <c r="Q111" s="50" t="s">
        <v>18588</v>
      </c>
      <c r="R111" s="50">
        <v>0</v>
      </c>
      <c r="S111" s="50">
        <v>0</v>
      </c>
      <c r="U111" s="50">
        <v>0</v>
      </c>
      <c r="V111" s="50">
        <v>0</v>
      </c>
      <c r="X111" s="50" t="s">
        <v>102</v>
      </c>
      <c r="Y111" s="50" t="s">
        <v>103</v>
      </c>
      <c r="Z111" s="50" t="s">
        <v>104</v>
      </c>
      <c r="AB111" s="50" t="s">
        <v>12312</v>
      </c>
      <c r="AC111" s="50" t="s">
        <v>18589</v>
      </c>
      <c r="AD111" s="50" t="s">
        <v>12289</v>
      </c>
      <c r="AE111" s="50" t="s">
        <v>18589</v>
      </c>
      <c r="AF111" s="50" t="s">
        <v>109</v>
      </c>
      <c r="AG111" s="50" t="s">
        <v>102</v>
      </c>
      <c r="AH111" s="50" t="s">
        <v>109</v>
      </c>
      <c r="AI111" s="50" t="s">
        <v>102</v>
      </c>
      <c r="AJ111" s="50" t="s">
        <v>18590</v>
      </c>
      <c r="AK111" s="50" t="s">
        <v>15470</v>
      </c>
      <c r="AL111" s="50" t="s">
        <v>12713</v>
      </c>
      <c r="AM111" s="50" t="s">
        <v>18591</v>
      </c>
      <c r="AN111" s="50" t="s">
        <v>18592</v>
      </c>
      <c r="AO111" s="50" t="s">
        <v>5926</v>
      </c>
      <c r="AP111" s="50" t="s">
        <v>18593</v>
      </c>
      <c r="AQ111" s="50" t="s">
        <v>18593</v>
      </c>
      <c r="AV111" s="50" t="s">
        <v>318</v>
      </c>
      <c r="AW111" s="50" t="s">
        <v>118</v>
      </c>
      <c r="AX111" s="50" t="s">
        <v>102</v>
      </c>
      <c r="AY111" s="50" t="s">
        <v>119</v>
      </c>
      <c r="BC111" s="50" t="s">
        <v>120</v>
      </c>
      <c r="BD111" s="50" t="s">
        <v>9268</v>
      </c>
      <c r="BE111" s="50" t="s">
        <v>9269</v>
      </c>
      <c r="BF111" s="50" t="s">
        <v>622</v>
      </c>
      <c r="BG111" s="50" t="s">
        <v>976</v>
      </c>
      <c r="BH111" s="50" t="s">
        <v>124</v>
      </c>
      <c r="BI111" s="50" t="s">
        <v>12082</v>
      </c>
      <c r="BJ111" s="50" t="s">
        <v>14059</v>
      </c>
      <c r="BK111" s="50" t="s">
        <v>127</v>
      </c>
      <c r="BL111" s="50" t="s">
        <v>18594</v>
      </c>
      <c r="BM111" s="50" t="s">
        <v>9271</v>
      </c>
      <c r="BN111" s="50" t="s">
        <v>18595</v>
      </c>
      <c r="BO111" s="50" t="s">
        <v>14292</v>
      </c>
      <c r="BP111" s="50" t="s">
        <v>18506</v>
      </c>
      <c r="BQ111" s="50" t="s">
        <v>350</v>
      </c>
      <c r="BR111" s="50" t="s">
        <v>18507</v>
      </c>
      <c r="BS111" s="50" t="s">
        <v>18508</v>
      </c>
      <c r="BT111" s="50" t="s">
        <v>2847</v>
      </c>
      <c r="BV111" s="50" t="s">
        <v>18596</v>
      </c>
      <c r="BW111" s="50" t="s">
        <v>9274</v>
      </c>
      <c r="BX111" s="50" t="s">
        <v>138</v>
      </c>
      <c r="BY111" s="50" t="s">
        <v>9275</v>
      </c>
      <c r="BZ111" s="50" t="s">
        <v>9276</v>
      </c>
      <c r="CA111" s="50" t="s">
        <v>9275</v>
      </c>
      <c r="CB111" s="50" t="s">
        <v>9274</v>
      </c>
      <c r="CC111" s="50" t="s">
        <v>9275</v>
      </c>
      <c r="CD111" s="50" t="s">
        <v>9276</v>
      </c>
      <c r="CE111" s="50" t="s">
        <v>9274</v>
      </c>
      <c r="CF111" s="50" t="s">
        <v>9275</v>
      </c>
      <c r="CG111" s="50" t="s">
        <v>9276</v>
      </c>
      <c r="CH111" s="50" t="s">
        <v>9277</v>
      </c>
      <c r="CI111" s="50" t="s">
        <v>18597</v>
      </c>
      <c r="CK111" s="50" t="s">
        <v>9278</v>
      </c>
      <c r="CL111" s="50" t="s">
        <v>18598</v>
      </c>
      <c r="CM111" s="50" t="s">
        <v>9268</v>
      </c>
      <c r="CN111" s="50" t="s">
        <v>9269</v>
      </c>
      <c r="CO111" s="50" t="s">
        <v>9278</v>
      </c>
      <c r="CP111" s="50" t="s">
        <v>9279</v>
      </c>
      <c r="CQ111" s="50" t="s">
        <v>9268</v>
      </c>
      <c r="CR111" s="50" t="s">
        <v>9268</v>
      </c>
      <c r="CS111" s="50" t="s">
        <v>26048</v>
      </c>
    </row>
    <row r="112" spans="1:97" hidden="1">
      <c r="A112" s="50" t="s">
        <v>149</v>
      </c>
      <c r="B112" s="50">
        <v>364480</v>
      </c>
      <c r="C112" s="50" t="e">
        <f>VLOOKUP(B112,'Drop schools 2026'!B:C,2,0)</f>
        <v>#N/A</v>
      </c>
      <c r="D112" s="50" t="s">
        <v>122</v>
      </c>
      <c r="E112" s="50" t="s">
        <v>11882</v>
      </c>
      <c r="F112" s="50" t="s">
        <v>6974</v>
      </c>
      <c r="G112" s="50" t="str">
        <f>VLOOKUP(B112,aa!B:F,5,0)</f>
        <v>Ei ASSET, Ei Mindspark</v>
      </c>
      <c r="H112" s="50">
        <f>VLOOKUP(B112,aa!B:J,9,0)</f>
        <v>1638854</v>
      </c>
      <c r="I112" s="50">
        <f>VLOOKUP(B112,aa!B:L,11,0)</f>
        <v>689283</v>
      </c>
      <c r="J112" s="50">
        <f>VLOOKUP(B112,aa!B:O,14,0)</f>
        <v>0</v>
      </c>
      <c r="K112" s="50">
        <f>VLOOKUP(B112,aa!B:R,17,0)</f>
        <v>949571</v>
      </c>
      <c r="L112" s="50" t="s">
        <v>193</v>
      </c>
      <c r="M112" s="50">
        <v>1174629</v>
      </c>
      <c r="N112" s="50">
        <v>1260809</v>
      </c>
      <c r="O112" s="50">
        <v>695854</v>
      </c>
      <c r="P112" s="50">
        <v>716</v>
      </c>
      <c r="Q112" s="50" t="s">
        <v>3951</v>
      </c>
      <c r="R112" s="50">
        <v>0</v>
      </c>
      <c r="S112" s="50">
        <v>0</v>
      </c>
      <c r="U112" s="50">
        <v>478775</v>
      </c>
      <c r="V112" s="50">
        <v>180</v>
      </c>
      <c r="W112" s="50" t="s">
        <v>13651</v>
      </c>
      <c r="X112" s="50" t="s">
        <v>102</v>
      </c>
      <c r="Y112" s="50" t="s">
        <v>103</v>
      </c>
      <c r="Z112" s="50" t="s">
        <v>155</v>
      </c>
      <c r="AB112" s="50" t="s">
        <v>13652</v>
      </c>
      <c r="AC112" s="50" t="s">
        <v>16697</v>
      </c>
      <c r="AD112" s="50" t="s">
        <v>11976</v>
      </c>
      <c r="AE112" s="50" t="s">
        <v>16697</v>
      </c>
      <c r="AF112" s="50" t="s">
        <v>11888</v>
      </c>
      <c r="AG112" s="50" t="s">
        <v>16697</v>
      </c>
      <c r="AH112" s="50" t="s">
        <v>12084</v>
      </c>
      <c r="AI112" s="50" t="s">
        <v>16697</v>
      </c>
      <c r="AJ112" s="50" t="s">
        <v>16698</v>
      </c>
      <c r="AK112" s="50" t="s">
        <v>8783</v>
      </c>
      <c r="AL112" s="50" t="s">
        <v>11902</v>
      </c>
      <c r="AM112" s="50" t="s">
        <v>16699</v>
      </c>
      <c r="AN112" s="50" t="s">
        <v>16700</v>
      </c>
      <c r="AO112" s="50" t="s">
        <v>16701</v>
      </c>
      <c r="AP112" s="50" t="s">
        <v>16702</v>
      </c>
      <c r="AQ112" s="50" t="s">
        <v>16702</v>
      </c>
      <c r="AV112" s="50" t="s">
        <v>207</v>
      </c>
      <c r="AW112" s="50" t="s">
        <v>118</v>
      </c>
      <c r="AX112" s="50" t="s">
        <v>102</v>
      </c>
      <c r="AY112" s="50" t="s">
        <v>119</v>
      </c>
      <c r="BB112" s="50" t="s">
        <v>250</v>
      </c>
      <c r="BC112" s="50" t="s">
        <v>120</v>
      </c>
      <c r="BD112" s="50" t="s">
        <v>4153</v>
      </c>
      <c r="BE112" s="50" t="s">
        <v>320</v>
      </c>
      <c r="BF112" s="50" t="s">
        <v>122</v>
      </c>
      <c r="BG112" s="50" t="s">
        <v>123</v>
      </c>
      <c r="BH112" s="50" t="s">
        <v>124</v>
      </c>
      <c r="BI112" s="50" t="s">
        <v>16703</v>
      </c>
      <c r="BJ112" s="50" t="s">
        <v>13662</v>
      </c>
      <c r="BK112" s="50" t="s">
        <v>127</v>
      </c>
      <c r="BL112" s="50" t="s">
        <v>16704</v>
      </c>
      <c r="BM112" s="50" t="s">
        <v>6983</v>
      </c>
      <c r="BN112" s="50" t="s">
        <v>16705</v>
      </c>
      <c r="BO112" s="50" t="s">
        <v>16696</v>
      </c>
      <c r="BP112" s="50" t="s">
        <v>3267</v>
      </c>
      <c r="BQ112" s="50" t="s">
        <v>350</v>
      </c>
      <c r="BR112" s="50" t="s">
        <v>3268</v>
      </c>
      <c r="BS112" s="50" t="s">
        <v>3269</v>
      </c>
      <c r="BT112" s="50" t="s">
        <v>135</v>
      </c>
      <c r="BV112" s="50" t="s">
        <v>16706</v>
      </c>
      <c r="BW112" s="50" t="s">
        <v>2932</v>
      </c>
      <c r="BX112" s="50" t="s">
        <v>296</v>
      </c>
      <c r="BY112" s="50" t="s">
        <v>2933</v>
      </c>
      <c r="BZ112" s="50" t="s">
        <v>2934</v>
      </c>
      <c r="CA112" s="50" t="s">
        <v>6986</v>
      </c>
      <c r="CB112" s="50" t="s">
        <v>16707</v>
      </c>
      <c r="CC112" s="50" t="s">
        <v>16708</v>
      </c>
      <c r="CD112" s="50" t="s">
        <v>16709</v>
      </c>
      <c r="CE112" s="50" t="s">
        <v>16710</v>
      </c>
      <c r="CF112" s="50" t="s">
        <v>16711</v>
      </c>
      <c r="CG112" s="50" t="s">
        <v>16709</v>
      </c>
      <c r="CH112" s="50" t="s">
        <v>102</v>
      </c>
      <c r="CI112" s="50" t="s">
        <v>16712</v>
      </c>
      <c r="CK112" s="50" t="s">
        <v>5161</v>
      </c>
      <c r="CM112" s="50" t="s">
        <v>4153</v>
      </c>
      <c r="CN112" s="50" t="s">
        <v>320</v>
      </c>
      <c r="CO112" s="50" t="s">
        <v>5161</v>
      </c>
      <c r="CP112" s="50" t="s">
        <v>3178</v>
      </c>
      <c r="CQ112" s="50" t="s">
        <v>6992</v>
      </c>
      <c r="CR112" s="50" t="s">
        <v>6992</v>
      </c>
    </row>
    <row r="113" spans="1:97" hidden="1">
      <c r="A113" s="50" t="s">
        <v>93</v>
      </c>
      <c r="B113" s="50">
        <v>3765958</v>
      </c>
      <c r="C113" s="50" t="e">
        <f>VLOOKUP(B113,'Drop schools 2026'!B:C,2,0)</f>
        <v>#N/A</v>
      </c>
      <c r="D113" s="50" t="s">
        <v>174</v>
      </c>
      <c r="E113" s="50" t="s">
        <v>12155</v>
      </c>
      <c r="F113" s="50" t="s">
        <v>7367</v>
      </c>
      <c r="G113" s="50" t="e">
        <f>VLOOKUP(B113,aa!B:F,5,0)</f>
        <v>#N/A</v>
      </c>
      <c r="H113" s="50" t="e">
        <f>VLOOKUP(B113,aa!B:J,9,0)</f>
        <v>#N/A</v>
      </c>
      <c r="I113" s="50" t="e">
        <f>VLOOKUP(B113,aa!B:L,11,0)</f>
        <v>#N/A</v>
      </c>
      <c r="J113" s="50" t="e">
        <f>VLOOKUP(B113,aa!B:O,14,0)</f>
        <v>#N/A</v>
      </c>
      <c r="K113" s="50" t="e">
        <f>VLOOKUP(B113,aa!B:R,17,0)</f>
        <v>#N/A</v>
      </c>
      <c r="L113" s="50" t="s">
        <v>152</v>
      </c>
      <c r="M113" s="50">
        <v>1170000</v>
      </c>
      <c r="N113" s="50">
        <v>1170000</v>
      </c>
      <c r="O113" s="50">
        <v>0</v>
      </c>
      <c r="P113" s="50">
        <v>0</v>
      </c>
      <c r="R113" s="50">
        <v>1170000</v>
      </c>
      <c r="S113" s="50">
        <v>1000</v>
      </c>
      <c r="T113" s="50" t="s">
        <v>16898</v>
      </c>
      <c r="U113" s="50">
        <v>0</v>
      </c>
      <c r="V113" s="50">
        <v>0</v>
      </c>
      <c r="X113" s="50" t="s">
        <v>102</v>
      </c>
      <c r="Y113" s="50" t="s">
        <v>103</v>
      </c>
      <c r="Z113" s="50" t="s">
        <v>155</v>
      </c>
      <c r="AB113" s="50" t="s">
        <v>14272</v>
      </c>
      <c r="AC113" s="50" t="s">
        <v>16899</v>
      </c>
      <c r="AD113" s="50" t="s">
        <v>12082</v>
      </c>
      <c r="AE113" s="50" t="s">
        <v>16899</v>
      </c>
      <c r="AF113" s="50" t="s">
        <v>12327</v>
      </c>
      <c r="AG113" s="50" t="s">
        <v>16899</v>
      </c>
      <c r="AH113" s="50" t="s">
        <v>11886</v>
      </c>
      <c r="AI113" s="50" t="s">
        <v>16899</v>
      </c>
      <c r="AJ113" s="50" t="s">
        <v>16900</v>
      </c>
      <c r="AK113" s="50" t="s">
        <v>4520</v>
      </c>
      <c r="AL113" s="50" t="s">
        <v>12680</v>
      </c>
      <c r="AM113" s="50" t="s">
        <v>16901</v>
      </c>
      <c r="AN113" s="50" t="s">
        <v>16902</v>
      </c>
      <c r="AO113" s="50" t="s">
        <v>16903</v>
      </c>
      <c r="AP113" s="50" t="s">
        <v>2147</v>
      </c>
      <c r="AQ113" s="50" t="s">
        <v>2147</v>
      </c>
      <c r="AV113" s="50" t="s">
        <v>102</v>
      </c>
      <c r="AX113" s="50" t="s">
        <v>155</v>
      </c>
      <c r="AY113" s="50" t="s">
        <v>119</v>
      </c>
      <c r="AZ113" s="50" t="s">
        <v>170</v>
      </c>
      <c r="BA113" s="50" t="s">
        <v>118</v>
      </c>
      <c r="BC113" s="50" t="s">
        <v>120</v>
      </c>
      <c r="BD113" s="50" t="s">
        <v>1170</v>
      </c>
      <c r="BE113" s="50" t="s">
        <v>1171</v>
      </c>
      <c r="BF113" s="50" t="s">
        <v>174</v>
      </c>
      <c r="BG113" s="50" t="s">
        <v>1172</v>
      </c>
      <c r="BH113" s="50" t="s">
        <v>124</v>
      </c>
      <c r="BI113" s="50" t="s">
        <v>12023</v>
      </c>
      <c r="BJ113" s="50" t="s">
        <v>11889</v>
      </c>
      <c r="BK113" s="50" t="s">
        <v>127</v>
      </c>
      <c r="BL113" s="50" t="s">
        <v>16904</v>
      </c>
      <c r="BM113" s="50" t="s">
        <v>7376</v>
      </c>
      <c r="BN113" s="50" t="s">
        <v>16905</v>
      </c>
      <c r="BO113" s="50" t="s">
        <v>14272</v>
      </c>
      <c r="BP113" s="50" t="s">
        <v>5557</v>
      </c>
      <c r="BQ113" s="50" t="s">
        <v>180</v>
      </c>
      <c r="BR113" s="50" t="s">
        <v>5558</v>
      </c>
      <c r="BS113" s="50" t="s">
        <v>5559</v>
      </c>
      <c r="BT113" s="50" t="s">
        <v>5560</v>
      </c>
      <c r="BU113" s="50" t="s">
        <v>7378</v>
      </c>
      <c r="BV113" s="50" t="s">
        <v>16906</v>
      </c>
      <c r="BW113" s="50" t="s">
        <v>16907</v>
      </c>
      <c r="BX113" s="50" t="s">
        <v>354</v>
      </c>
      <c r="BY113" s="50" t="s">
        <v>7381</v>
      </c>
      <c r="BZ113" s="50" t="s">
        <v>7382</v>
      </c>
      <c r="CA113" s="50" t="s">
        <v>7383</v>
      </c>
      <c r="CB113" s="50" t="s">
        <v>16908</v>
      </c>
      <c r="CC113" s="50" t="s">
        <v>7381</v>
      </c>
      <c r="CD113" s="50" t="s">
        <v>16909</v>
      </c>
      <c r="CE113" s="50" t="s">
        <v>16910</v>
      </c>
      <c r="CF113" s="50" t="s">
        <v>7381</v>
      </c>
      <c r="CG113" s="50" t="s">
        <v>16911</v>
      </c>
      <c r="CH113" s="50" t="s">
        <v>7386</v>
      </c>
      <c r="CI113" s="50" t="s">
        <v>7390</v>
      </c>
      <c r="CK113" s="50" t="s">
        <v>16912</v>
      </c>
      <c r="CL113" s="50" t="s">
        <v>16913</v>
      </c>
      <c r="CM113" s="50" t="s">
        <v>1170</v>
      </c>
      <c r="CN113" s="50" t="s">
        <v>1171</v>
      </c>
      <c r="CO113" s="50" t="s">
        <v>16912</v>
      </c>
      <c r="CP113" s="50" t="s">
        <v>7389</v>
      </c>
      <c r="CQ113" s="50" t="s">
        <v>7390</v>
      </c>
      <c r="CR113" s="50" t="s">
        <v>7390</v>
      </c>
      <c r="CS113" s="52" t="s">
        <v>26042</v>
      </c>
    </row>
    <row r="114" spans="1:97" hidden="1">
      <c r="A114" s="50" t="s">
        <v>93</v>
      </c>
      <c r="B114" s="50">
        <v>3475635</v>
      </c>
      <c r="C114" s="50" t="e">
        <f>VLOOKUP(B114,'Drop schools 2026'!B:C,2,0)</f>
        <v>#N/A</v>
      </c>
      <c r="D114" s="50" t="s">
        <v>622</v>
      </c>
      <c r="E114" s="50" t="s">
        <v>1279</v>
      </c>
      <c r="F114" s="50" t="s">
        <v>16179</v>
      </c>
      <c r="G114" s="50" t="str">
        <f>VLOOKUP(B114,aa!B:F,5,0)</f>
        <v>Ei ASSET</v>
      </c>
      <c r="H114" s="50">
        <f>VLOOKUP(B114,aa!B:J,9,0)</f>
        <v>758175</v>
      </c>
      <c r="I114" s="50">
        <f>VLOOKUP(B114,aa!B:L,11,0)</f>
        <v>758175</v>
      </c>
      <c r="J114" s="50">
        <f>VLOOKUP(B114,aa!B:O,14,0)</f>
        <v>0</v>
      </c>
      <c r="K114" s="50">
        <f>VLOOKUP(B114,aa!B:R,17,0)</f>
        <v>0</v>
      </c>
      <c r="L114" s="50" t="s">
        <v>193</v>
      </c>
      <c r="M114" s="50">
        <v>1167673</v>
      </c>
      <c r="N114" s="50">
        <v>1229600</v>
      </c>
      <c r="O114" s="50">
        <v>823632</v>
      </c>
      <c r="P114" s="50">
        <v>1098</v>
      </c>
      <c r="Q114" s="50" t="s">
        <v>101</v>
      </c>
      <c r="R114" s="50">
        <v>0</v>
      </c>
      <c r="S114" s="50">
        <v>0</v>
      </c>
      <c r="U114" s="50">
        <v>344041</v>
      </c>
      <c r="V114" s="50">
        <v>172</v>
      </c>
      <c r="W114" s="50" t="s">
        <v>7192</v>
      </c>
      <c r="X114" s="50" t="s">
        <v>102</v>
      </c>
      <c r="Y114" s="50" t="s">
        <v>103</v>
      </c>
      <c r="Z114" s="50" t="s">
        <v>104</v>
      </c>
      <c r="AB114" s="50" t="s">
        <v>16181</v>
      </c>
      <c r="AC114" s="50" t="s">
        <v>16182</v>
      </c>
      <c r="AD114" s="50" t="s">
        <v>16183</v>
      </c>
      <c r="AE114" s="50" t="s">
        <v>16182</v>
      </c>
      <c r="AF114" s="50" t="s">
        <v>109</v>
      </c>
      <c r="AG114" s="50" t="s">
        <v>102</v>
      </c>
      <c r="AH114" s="50" t="s">
        <v>109</v>
      </c>
      <c r="AI114" s="50" t="s">
        <v>102</v>
      </c>
      <c r="AJ114" s="50" t="s">
        <v>16184</v>
      </c>
      <c r="AK114" s="50" t="s">
        <v>8488</v>
      </c>
      <c r="AL114" s="50" t="s">
        <v>16185</v>
      </c>
      <c r="AM114" s="50" t="s">
        <v>16186</v>
      </c>
      <c r="AN114" s="50" t="s">
        <v>16187</v>
      </c>
      <c r="AO114" s="50" t="s">
        <v>16188</v>
      </c>
      <c r="AP114" s="50" t="s">
        <v>16189</v>
      </c>
      <c r="AQ114" s="50" t="s">
        <v>16189</v>
      </c>
      <c r="AV114" s="50" t="s">
        <v>247</v>
      </c>
      <c r="AW114" s="50" t="s">
        <v>118</v>
      </c>
      <c r="AX114" s="50" t="s">
        <v>102</v>
      </c>
      <c r="AY114" s="50" t="s">
        <v>119</v>
      </c>
      <c r="BB114" s="50" t="s">
        <v>250</v>
      </c>
      <c r="BC114" s="50" t="s">
        <v>171</v>
      </c>
      <c r="BD114" s="50" t="s">
        <v>6280</v>
      </c>
      <c r="BE114" s="50" t="s">
        <v>621</v>
      </c>
      <c r="BF114" s="50" t="s">
        <v>622</v>
      </c>
      <c r="BG114" s="50" t="s">
        <v>976</v>
      </c>
      <c r="BH114" s="50" t="s">
        <v>124</v>
      </c>
      <c r="BI114" s="50" t="s">
        <v>16190</v>
      </c>
      <c r="BJ114" s="50" t="s">
        <v>16191</v>
      </c>
      <c r="BK114" s="50" t="s">
        <v>127</v>
      </c>
      <c r="BL114" s="50" t="s">
        <v>16192</v>
      </c>
      <c r="BM114" s="50" t="s">
        <v>6282</v>
      </c>
      <c r="BN114" s="50" t="s">
        <v>16193</v>
      </c>
      <c r="BO114" s="50" t="s">
        <v>16180</v>
      </c>
      <c r="BP114" s="50" t="s">
        <v>13638</v>
      </c>
      <c r="BQ114" s="50" t="s">
        <v>16194</v>
      </c>
      <c r="BR114" s="50" t="s">
        <v>13639</v>
      </c>
      <c r="BS114" s="50" t="s">
        <v>13640</v>
      </c>
      <c r="BT114" s="50" t="s">
        <v>1342</v>
      </c>
      <c r="BV114" s="50" t="s">
        <v>16195</v>
      </c>
      <c r="BW114" s="50" t="s">
        <v>16196</v>
      </c>
      <c r="BX114" s="50" t="s">
        <v>598</v>
      </c>
      <c r="BY114" s="50" t="s">
        <v>6286</v>
      </c>
      <c r="BZ114" s="50" t="s">
        <v>16197</v>
      </c>
      <c r="CA114" s="50" t="s">
        <v>6286</v>
      </c>
      <c r="CB114" s="50" t="s">
        <v>16198</v>
      </c>
      <c r="CC114" s="50" t="s">
        <v>6286</v>
      </c>
      <c r="CD114" s="50" t="s">
        <v>16199</v>
      </c>
      <c r="CE114" s="50" t="s">
        <v>16200</v>
      </c>
      <c r="CF114" s="50" t="s">
        <v>16201</v>
      </c>
      <c r="CG114" s="50" t="s">
        <v>16202</v>
      </c>
      <c r="CH114" s="50" t="s">
        <v>6290</v>
      </c>
      <c r="CI114" s="50" t="s">
        <v>16203</v>
      </c>
      <c r="CK114" s="50" t="s">
        <v>11203</v>
      </c>
      <c r="CL114" s="50" t="s">
        <v>16203</v>
      </c>
      <c r="CM114" s="50" t="s">
        <v>6280</v>
      </c>
      <c r="CN114" s="50" t="s">
        <v>621</v>
      </c>
      <c r="CO114" s="50" t="s">
        <v>11203</v>
      </c>
      <c r="CP114" s="50" t="s">
        <v>6293</v>
      </c>
      <c r="CQ114" s="50" t="s">
        <v>6294</v>
      </c>
      <c r="CR114" s="50" t="s">
        <v>6295</v>
      </c>
    </row>
    <row r="115" spans="1:97" hidden="1">
      <c r="A115" s="50" t="s">
        <v>149</v>
      </c>
      <c r="B115" s="50">
        <v>3883519</v>
      </c>
      <c r="C115" s="50" t="e">
        <f>VLOOKUP(B115,'Drop schools 2026'!B:C,2,0)</f>
        <v>#N/A</v>
      </c>
      <c r="D115" s="50" t="s">
        <v>122</v>
      </c>
      <c r="E115" s="50" t="s">
        <v>12491</v>
      </c>
      <c r="F115" s="50" t="s">
        <v>7786</v>
      </c>
      <c r="G115" s="50" t="str">
        <f>VLOOKUP(B115,aa!B:F,5,0)</f>
        <v>Ei ASSET, Ei CARES</v>
      </c>
      <c r="H115" s="50">
        <f>VLOOKUP(B115,aa!B:J,9,0)</f>
        <v>1504335</v>
      </c>
      <c r="I115" s="50">
        <f>VLOOKUP(B115,aa!B:L,11,0)</f>
        <v>492523</v>
      </c>
      <c r="J115" s="50">
        <f>VLOOKUP(B115,aa!B:O,14,0)</f>
        <v>1011812</v>
      </c>
      <c r="K115" s="50">
        <f>VLOOKUP(B115,aa!B:R,17,0)</f>
        <v>0</v>
      </c>
      <c r="L115" s="50" t="s">
        <v>675</v>
      </c>
      <c r="M115" s="50">
        <v>1164872</v>
      </c>
      <c r="N115" s="50">
        <v>1164872</v>
      </c>
      <c r="O115" s="50">
        <v>408151</v>
      </c>
      <c r="P115" s="50">
        <v>535</v>
      </c>
      <c r="Q115" s="50" t="s">
        <v>17225</v>
      </c>
      <c r="R115" s="50">
        <v>756721</v>
      </c>
      <c r="S115" s="50">
        <v>340</v>
      </c>
      <c r="T115" s="50" t="s">
        <v>17226</v>
      </c>
      <c r="U115" s="50">
        <v>0</v>
      </c>
      <c r="V115" s="50">
        <v>0</v>
      </c>
      <c r="X115" s="50" t="s">
        <v>102</v>
      </c>
      <c r="Y115" s="50" t="s">
        <v>103</v>
      </c>
      <c r="Z115" s="50" t="s">
        <v>155</v>
      </c>
      <c r="AB115" s="50" t="s">
        <v>14914</v>
      </c>
      <c r="AC115" s="50" t="s">
        <v>17227</v>
      </c>
      <c r="AD115" s="50" t="s">
        <v>17228</v>
      </c>
      <c r="AE115" s="50" t="s">
        <v>17227</v>
      </c>
      <c r="AF115" s="50" t="s">
        <v>17229</v>
      </c>
      <c r="AG115" s="50" t="s">
        <v>17227</v>
      </c>
      <c r="AH115" s="50" t="s">
        <v>11886</v>
      </c>
      <c r="AI115" s="50" t="s">
        <v>17227</v>
      </c>
      <c r="AJ115" s="50" t="s">
        <v>17230</v>
      </c>
      <c r="AK115" s="50" t="s">
        <v>15221</v>
      </c>
      <c r="AL115" s="50" t="s">
        <v>17231</v>
      </c>
      <c r="AM115" s="50" t="s">
        <v>17232</v>
      </c>
      <c r="AN115" s="50" t="s">
        <v>17233</v>
      </c>
      <c r="AO115" s="50" t="s">
        <v>17234</v>
      </c>
      <c r="AP115" s="50" t="s">
        <v>17235</v>
      </c>
      <c r="AQ115" s="50" t="s">
        <v>17235</v>
      </c>
      <c r="AV115" s="50" t="s">
        <v>207</v>
      </c>
      <c r="AW115" s="50" t="s">
        <v>118</v>
      </c>
      <c r="AX115" s="50" t="s">
        <v>655</v>
      </c>
      <c r="AY115" s="50" t="s">
        <v>119</v>
      </c>
      <c r="AZ115" s="50" t="s">
        <v>1138</v>
      </c>
      <c r="BA115" s="50" t="s">
        <v>118</v>
      </c>
      <c r="BC115" s="50" t="s">
        <v>120</v>
      </c>
      <c r="BD115" s="50" t="s">
        <v>3854</v>
      </c>
      <c r="BE115" s="50" t="s">
        <v>449</v>
      </c>
      <c r="BF115" s="50" t="s">
        <v>122</v>
      </c>
      <c r="BG115" s="50" t="s">
        <v>450</v>
      </c>
      <c r="BH115" s="50" t="s">
        <v>124</v>
      </c>
      <c r="BI115" s="50" t="s">
        <v>12023</v>
      </c>
      <c r="BJ115" s="50" t="s">
        <v>11889</v>
      </c>
      <c r="BK115" s="50" t="s">
        <v>127</v>
      </c>
      <c r="BL115" s="50" t="s">
        <v>17236</v>
      </c>
      <c r="BM115" s="50" t="s">
        <v>7800</v>
      </c>
      <c r="BN115" s="50" t="s">
        <v>17237</v>
      </c>
      <c r="BO115" s="50" t="s">
        <v>17207</v>
      </c>
      <c r="BP115" s="50" t="s">
        <v>8788</v>
      </c>
      <c r="BQ115" s="50" t="s">
        <v>350</v>
      </c>
      <c r="BR115" s="50" t="s">
        <v>8789</v>
      </c>
      <c r="BS115" s="50" t="s">
        <v>8790</v>
      </c>
      <c r="BT115" s="50" t="s">
        <v>1006</v>
      </c>
      <c r="BV115" s="50" t="s">
        <v>17238</v>
      </c>
      <c r="BW115" s="50" t="s">
        <v>7803</v>
      </c>
      <c r="BX115" s="50" t="s">
        <v>354</v>
      </c>
      <c r="BY115" s="50" t="s">
        <v>17239</v>
      </c>
      <c r="BZ115" s="50" t="s">
        <v>17240</v>
      </c>
      <c r="CA115" s="50" t="s">
        <v>7806</v>
      </c>
      <c r="CB115" s="50" t="s">
        <v>17241</v>
      </c>
      <c r="CC115" s="50" t="s">
        <v>17242</v>
      </c>
      <c r="CD115" s="50" t="s">
        <v>17243</v>
      </c>
      <c r="CE115" s="50" t="s">
        <v>17244</v>
      </c>
      <c r="CF115" s="50" t="s">
        <v>17245</v>
      </c>
      <c r="CG115" s="50" t="s">
        <v>17243</v>
      </c>
      <c r="CH115" s="50" t="s">
        <v>102</v>
      </c>
      <c r="CI115" s="50" t="s">
        <v>17246</v>
      </c>
      <c r="CK115" s="50" t="s">
        <v>7810</v>
      </c>
      <c r="CM115" s="50" t="s">
        <v>3854</v>
      </c>
      <c r="CN115" s="50" t="s">
        <v>449</v>
      </c>
      <c r="CO115" s="50" t="s">
        <v>7810</v>
      </c>
      <c r="CP115" s="50" t="s">
        <v>7811</v>
      </c>
      <c r="CQ115" s="50" t="s">
        <v>7809</v>
      </c>
      <c r="CR115" s="50" t="s">
        <v>7809</v>
      </c>
    </row>
    <row r="116" spans="1:97" hidden="1">
      <c r="A116" s="50" t="s">
        <v>149</v>
      </c>
      <c r="B116" s="50">
        <v>3705528</v>
      </c>
      <c r="C116" s="50" t="e">
        <f>VLOOKUP(B116,'Drop schools 2026'!B:C,2,0)</f>
        <v>#N/A</v>
      </c>
      <c r="D116" s="50" t="s">
        <v>212</v>
      </c>
      <c r="E116" s="50" t="s">
        <v>11995</v>
      </c>
      <c r="F116" s="50" t="s">
        <v>7188</v>
      </c>
      <c r="G116" s="50" t="str">
        <f>VLOOKUP(B116,aa!B:F,5,0)</f>
        <v>Ei ASSET,Ei CARES</v>
      </c>
      <c r="H116" s="50">
        <f>VLOOKUP(B116,aa!B:J,9,0)</f>
        <v>1364191</v>
      </c>
      <c r="I116" s="50">
        <f>VLOOKUP(B116,aa!B:L,11,0)</f>
        <v>643558</v>
      </c>
      <c r="J116" s="50">
        <f>VLOOKUP(B116,aa!B:O,14,0)</f>
        <v>720633</v>
      </c>
      <c r="K116" s="50">
        <f>VLOOKUP(B116,aa!B:R,17,0)</f>
        <v>0</v>
      </c>
      <c r="L116" s="50" t="s">
        <v>675</v>
      </c>
      <c r="M116" s="50">
        <v>1151533</v>
      </c>
      <c r="N116" s="50">
        <v>1151533</v>
      </c>
      <c r="O116" s="50">
        <v>407563</v>
      </c>
      <c r="P116" s="50">
        <v>586</v>
      </c>
      <c r="Q116" s="50" t="s">
        <v>7191</v>
      </c>
      <c r="R116" s="50">
        <v>743970</v>
      </c>
      <c r="S116" s="50">
        <v>372</v>
      </c>
      <c r="T116" s="50" t="s">
        <v>7192</v>
      </c>
      <c r="U116" s="50">
        <v>0</v>
      </c>
      <c r="V116" s="50">
        <v>0</v>
      </c>
      <c r="X116" s="50" t="s">
        <v>102</v>
      </c>
      <c r="Y116" s="50" t="s">
        <v>103</v>
      </c>
      <c r="Z116" s="50" t="s">
        <v>801</v>
      </c>
      <c r="AB116" s="50" t="s">
        <v>16770</v>
      </c>
      <c r="AC116" s="50" t="s">
        <v>16771</v>
      </c>
      <c r="AD116" s="50" t="s">
        <v>16772</v>
      </c>
      <c r="AE116" s="50" t="s">
        <v>16771</v>
      </c>
      <c r="AF116" s="50" t="s">
        <v>14349</v>
      </c>
      <c r="AG116" s="50" t="s">
        <v>16773</v>
      </c>
      <c r="AH116" s="50" t="s">
        <v>13263</v>
      </c>
      <c r="AI116" s="50" t="s">
        <v>16773</v>
      </c>
      <c r="AJ116" s="50" t="s">
        <v>16774</v>
      </c>
      <c r="AK116" s="50" t="s">
        <v>16775</v>
      </c>
      <c r="AL116" s="50" t="s">
        <v>11952</v>
      </c>
      <c r="AM116" s="50" t="s">
        <v>16776</v>
      </c>
      <c r="AN116" s="50" t="s">
        <v>16777</v>
      </c>
      <c r="AO116" s="50" t="s">
        <v>16778</v>
      </c>
      <c r="AP116" s="50" t="s">
        <v>16779</v>
      </c>
      <c r="AQ116" s="50" t="s">
        <v>16779</v>
      </c>
      <c r="AV116" s="50" t="s">
        <v>207</v>
      </c>
      <c r="AW116" s="50" t="s">
        <v>118</v>
      </c>
      <c r="AX116" s="50" t="s">
        <v>655</v>
      </c>
      <c r="AY116" s="50" t="s">
        <v>119</v>
      </c>
      <c r="AZ116" s="50" t="s">
        <v>170</v>
      </c>
      <c r="BA116" s="50" t="s">
        <v>118</v>
      </c>
      <c r="BC116" s="50" t="s">
        <v>120</v>
      </c>
      <c r="BD116" s="50" t="s">
        <v>284</v>
      </c>
      <c r="BE116" s="50" t="s">
        <v>285</v>
      </c>
      <c r="BF116" s="50" t="s">
        <v>212</v>
      </c>
      <c r="BG116" s="50" t="s">
        <v>286</v>
      </c>
      <c r="BH116" s="50" t="s">
        <v>124</v>
      </c>
      <c r="BI116" s="50" t="s">
        <v>12023</v>
      </c>
      <c r="BJ116" s="50" t="s">
        <v>16780</v>
      </c>
      <c r="BK116" s="50" t="s">
        <v>127</v>
      </c>
      <c r="BL116" s="50" t="s">
        <v>16781</v>
      </c>
      <c r="BM116" s="50" t="s">
        <v>7204</v>
      </c>
      <c r="BN116" s="50" t="s">
        <v>16782</v>
      </c>
      <c r="BO116" s="50" t="s">
        <v>3258</v>
      </c>
      <c r="BP116" s="50" t="s">
        <v>290</v>
      </c>
      <c r="BQ116" s="50" t="s">
        <v>132</v>
      </c>
      <c r="BR116" s="50" t="s">
        <v>291</v>
      </c>
      <c r="BS116" s="50" t="s">
        <v>292</v>
      </c>
      <c r="BT116" s="50" t="s">
        <v>293</v>
      </c>
      <c r="BV116" s="50" t="s">
        <v>16783</v>
      </c>
      <c r="BW116" s="50" t="s">
        <v>16784</v>
      </c>
      <c r="BX116" s="50" t="s">
        <v>354</v>
      </c>
      <c r="BY116" s="50" t="s">
        <v>7208</v>
      </c>
      <c r="BZ116" s="50" t="s">
        <v>7209</v>
      </c>
      <c r="CA116" s="50" t="s">
        <v>7210</v>
      </c>
      <c r="CB116" s="50" t="s">
        <v>16785</v>
      </c>
      <c r="CC116" s="50" t="s">
        <v>16786</v>
      </c>
      <c r="CD116" s="50" t="s">
        <v>16787</v>
      </c>
      <c r="CE116" s="50" t="s">
        <v>16788</v>
      </c>
      <c r="CF116" s="50" t="s">
        <v>7212</v>
      </c>
      <c r="CG116" s="50" t="s">
        <v>7213</v>
      </c>
      <c r="CH116" s="50" t="s">
        <v>102</v>
      </c>
      <c r="CI116" s="50" t="s">
        <v>16789</v>
      </c>
      <c r="CK116" s="50" t="s">
        <v>6729</v>
      </c>
      <c r="CM116" s="50" t="s">
        <v>284</v>
      </c>
      <c r="CN116" s="50" t="s">
        <v>285</v>
      </c>
      <c r="CO116" s="50" t="s">
        <v>6729</v>
      </c>
      <c r="CP116" s="50" t="s">
        <v>7215</v>
      </c>
      <c r="CQ116" s="50" t="s">
        <v>7216</v>
      </c>
      <c r="CR116" s="50" t="s">
        <v>7216</v>
      </c>
    </row>
    <row r="117" spans="1:97" hidden="1">
      <c r="A117" s="50" t="s">
        <v>149</v>
      </c>
      <c r="B117" s="50">
        <v>971627</v>
      </c>
      <c r="C117" s="50" t="e">
        <f>VLOOKUP(B117,'Drop schools 2026'!B:C,2,0)</f>
        <v>#N/A</v>
      </c>
      <c r="D117" s="50" t="s">
        <v>622</v>
      </c>
      <c r="E117" s="50" t="s">
        <v>1279</v>
      </c>
      <c r="F117" s="50" t="s">
        <v>11820</v>
      </c>
      <c r="G117" s="50" t="str">
        <f>VLOOKUP(B117,aa!B:F,5,0)</f>
        <v>Ei CARES, Ei Mindspark</v>
      </c>
      <c r="H117" s="50">
        <f>VLOOKUP(B117,aa!B:J,9,0)</f>
        <v>1328404</v>
      </c>
      <c r="I117" s="50">
        <f>VLOOKUP(B117,aa!B:L,11,0)</f>
        <v>0</v>
      </c>
      <c r="J117" s="50">
        <f>VLOOKUP(B117,aa!B:O,14,0)</f>
        <v>856826</v>
      </c>
      <c r="K117" s="50">
        <f>VLOOKUP(B117,aa!B:R,17,0)</f>
        <v>471578</v>
      </c>
      <c r="L117" s="50" t="s">
        <v>643</v>
      </c>
      <c r="M117" s="50">
        <v>1140040</v>
      </c>
      <c r="N117" s="50">
        <v>1214422</v>
      </c>
      <c r="O117" s="50">
        <v>0</v>
      </c>
      <c r="P117" s="50">
        <v>0</v>
      </c>
      <c r="R117" s="50">
        <v>726808</v>
      </c>
      <c r="S117" s="50">
        <v>395</v>
      </c>
      <c r="T117" s="50" t="s">
        <v>21629</v>
      </c>
      <c r="U117" s="50">
        <v>413232</v>
      </c>
      <c r="V117" s="50">
        <v>265</v>
      </c>
      <c r="W117" s="50" t="s">
        <v>21630</v>
      </c>
      <c r="X117" s="50" t="s">
        <v>102</v>
      </c>
      <c r="Y117" s="50" t="s">
        <v>103</v>
      </c>
      <c r="Z117" s="50" t="s">
        <v>104</v>
      </c>
      <c r="AB117" s="50" t="s">
        <v>13680</v>
      </c>
      <c r="AC117" s="50" t="s">
        <v>21631</v>
      </c>
      <c r="AD117" s="50" t="s">
        <v>12082</v>
      </c>
      <c r="AE117" s="50" t="s">
        <v>21632</v>
      </c>
      <c r="AF117" s="50" t="s">
        <v>109</v>
      </c>
      <c r="AG117" s="50" t="s">
        <v>102</v>
      </c>
      <c r="AH117" s="50" t="s">
        <v>109</v>
      </c>
      <c r="AI117" s="50" t="s">
        <v>102</v>
      </c>
      <c r="AJ117" s="50" t="s">
        <v>102</v>
      </c>
      <c r="AK117" s="50" t="s">
        <v>8537</v>
      </c>
      <c r="AL117" s="50" t="s">
        <v>12816</v>
      </c>
      <c r="AM117" s="50" t="s">
        <v>21633</v>
      </c>
      <c r="AN117" s="50" t="s">
        <v>21634</v>
      </c>
      <c r="AO117" s="50" t="s">
        <v>21635</v>
      </c>
      <c r="AP117" s="50" t="s">
        <v>21636</v>
      </c>
      <c r="AQ117" s="50" t="s">
        <v>21636</v>
      </c>
      <c r="AV117" s="50" t="s">
        <v>102</v>
      </c>
      <c r="AX117" s="50" t="s">
        <v>655</v>
      </c>
      <c r="AY117" s="50" t="s">
        <v>119</v>
      </c>
      <c r="AZ117" s="50" t="s">
        <v>1138</v>
      </c>
      <c r="BA117" s="50" t="s">
        <v>118</v>
      </c>
      <c r="BB117" s="50" t="s">
        <v>250</v>
      </c>
      <c r="BC117" s="50" t="s">
        <v>209</v>
      </c>
      <c r="BD117" s="50" t="s">
        <v>623</v>
      </c>
      <c r="BE117" s="50" t="s">
        <v>621</v>
      </c>
      <c r="BF117" s="50" t="s">
        <v>622</v>
      </c>
      <c r="BG117" s="50" t="s">
        <v>623</v>
      </c>
      <c r="BH117" s="50" t="s">
        <v>124</v>
      </c>
      <c r="BI117" s="50" t="s">
        <v>12023</v>
      </c>
      <c r="BJ117" s="50" t="s">
        <v>12963</v>
      </c>
      <c r="BK117" s="50" t="s">
        <v>127</v>
      </c>
      <c r="BL117" s="50" t="s">
        <v>21637</v>
      </c>
      <c r="BM117" s="50" t="s">
        <v>11830</v>
      </c>
      <c r="BN117" s="50" t="s">
        <v>21638</v>
      </c>
      <c r="BO117" s="50" t="s">
        <v>21628</v>
      </c>
      <c r="BP117" s="50" t="s">
        <v>629</v>
      </c>
      <c r="BQ117" s="50" t="s">
        <v>2901</v>
      </c>
      <c r="BR117" s="50" t="s">
        <v>630</v>
      </c>
      <c r="BS117" s="50" t="s">
        <v>631</v>
      </c>
      <c r="BT117" s="50" t="s">
        <v>8262</v>
      </c>
      <c r="BV117" s="50" t="s">
        <v>21639</v>
      </c>
      <c r="BW117" s="50" t="s">
        <v>21640</v>
      </c>
      <c r="BY117" s="50" t="s">
        <v>11834</v>
      </c>
      <c r="BZ117" s="50" t="s">
        <v>11835</v>
      </c>
      <c r="CA117" s="50" t="s">
        <v>11834</v>
      </c>
      <c r="CB117" s="50" t="s">
        <v>21640</v>
      </c>
      <c r="CC117" s="50" t="s">
        <v>11834</v>
      </c>
      <c r="CD117" s="50" t="s">
        <v>11835</v>
      </c>
      <c r="CE117" s="50" t="s">
        <v>21641</v>
      </c>
      <c r="CF117" s="50" t="s">
        <v>21642</v>
      </c>
      <c r="CG117" s="50" t="s">
        <v>11841</v>
      </c>
      <c r="CH117" s="50" t="s">
        <v>11842</v>
      </c>
      <c r="CI117" s="50" t="s">
        <v>11843</v>
      </c>
      <c r="CK117" s="50" t="s">
        <v>11844</v>
      </c>
      <c r="CM117" s="50" t="s">
        <v>623</v>
      </c>
      <c r="CN117" s="50" t="s">
        <v>621</v>
      </c>
      <c r="CO117" s="50" t="s">
        <v>11844</v>
      </c>
      <c r="CQ117" s="50" t="s">
        <v>11843</v>
      </c>
      <c r="CR117" s="50" t="s">
        <v>11843</v>
      </c>
    </row>
    <row r="118" spans="1:97" hidden="1">
      <c r="A118" s="50" t="s">
        <v>149</v>
      </c>
      <c r="B118" s="50">
        <v>3634161</v>
      </c>
      <c r="C118" s="50" t="e">
        <f>VLOOKUP(B118,'Drop schools 2026'!B:C,2,0)</f>
        <v>#N/A</v>
      </c>
      <c r="D118" s="50" t="s">
        <v>622</v>
      </c>
      <c r="E118" s="50" t="s">
        <v>985</v>
      </c>
      <c r="F118" s="50" t="s">
        <v>6936</v>
      </c>
      <c r="G118" s="50" t="str">
        <f>VLOOKUP(B118,aa!B:F,5,0)</f>
        <v>Ei CARES</v>
      </c>
      <c r="H118" s="50">
        <f>VLOOKUP(B118,aa!B:J,9,0)</f>
        <v>1806963</v>
      </c>
      <c r="I118" s="50">
        <f>VLOOKUP(B118,aa!B:L,11,0)</f>
        <v>0</v>
      </c>
      <c r="J118" s="50">
        <f>VLOOKUP(B118,aa!B:O,14,0)</f>
        <v>1806963</v>
      </c>
      <c r="K118" s="50">
        <f>VLOOKUP(B118,aa!B:R,17,0)</f>
        <v>0</v>
      </c>
      <c r="L118" s="50" t="s">
        <v>152</v>
      </c>
      <c r="M118" s="50">
        <v>1132779</v>
      </c>
      <c r="N118" s="50">
        <v>1132779</v>
      </c>
      <c r="O118" s="50">
        <v>0</v>
      </c>
      <c r="P118" s="50">
        <v>0</v>
      </c>
      <c r="R118" s="50">
        <v>1132779</v>
      </c>
      <c r="S118" s="50">
        <v>468</v>
      </c>
      <c r="T118" s="50" t="s">
        <v>16658</v>
      </c>
      <c r="U118" s="50">
        <v>0</v>
      </c>
      <c r="V118" s="50">
        <v>0</v>
      </c>
      <c r="X118" s="50" t="s">
        <v>102</v>
      </c>
      <c r="Y118" s="50" t="s">
        <v>679</v>
      </c>
      <c r="Z118" s="50" t="s">
        <v>155</v>
      </c>
      <c r="AA118" s="50" t="s">
        <v>14267</v>
      </c>
      <c r="AB118" s="50" t="s">
        <v>16659</v>
      </c>
      <c r="AC118" s="50" t="s">
        <v>16660</v>
      </c>
      <c r="AD118" s="50" t="s">
        <v>15486</v>
      </c>
      <c r="AE118" s="50" t="s">
        <v>16660</v>
      </c>
      <c r="AF118" s="50" t="s">
        <v>14349</v>
      </c>
      <c r="AG118" s="50" t="s">
        <v>16660</v>
      </c>
      <c r="AH118" s="50" t="s">
        <v>13263</v>
      </c>
      <c r="AI118" s="50" t="s">
        <v>16660</v>
      </c>
      <c r="AJ118" s="50" t="s">
        <v>16661</v>
      </c>
      <c r="AK118" s="50" t="s">
        <v>5755</v>
      </c>
      <c r="AL118" s="50" t="s">
        <v>15011</v>
      </c>
      <c r="AM118" s="50" t="s">
        <v>16662</v>
      </c>
      <c r="AN118" s="50" t="s">
        <v>16663</v>
      </c>
      <c r="AO118" s="50" t="s">
        <v>16664</v>
      </c>
      <c r="AP118" s="50" t="s">
        <v>16665</v>
      </c>
      <c r="AQ118" s="50" t="s">
        <v>16665</v>
      </c>
      <c r="AV118" s="50" t="s">
        <v>102</v>
      </c>
      <c r="AX118" s="50" t="s">
        <v>16666</v>
      </c>
      <c r="AY118" s="50" t="s">
        <v>447</v>
      </c>
      <c r="AZ118" s="50" t="s">
        <v>170</v>
      </c>
      <c r="BA118" s="50" t="s">
        <v>118</v>
      </c>
      <c r="BC118" s="50" t="s">
        <v>120</v>
      </c>
      <c r="BD118" s="50" t="s">
        <v>2127</v>
      </c>
      <c r="BE118" s="50" t="s">
        <v>621</v>
      </c>
      <c r="BF118" s="50" t="s">
        <v>622</v>
      </c>
      <c r="BG118" s="50" t="s">
        <v>976</v>
      </c>
      <c r="BH118" s="50" t="s">
        <v>124</v>
      </c>
      <c r="BI118" s="50" t="s">
        <v>12023</v>
      </c>
      <c r="BJ118" s="50" t="s">
        <v>11889</v>
      </c>
      <c r="BK118" s="50" t="s">
        <v>127</v>
      </c>
      <c r="BL118" s="50" t="s">
        <v>16667</v>
      </c>
      <c r="BM118" s="50" t="s">
        <v>6945</v>
      </c>
      <c r="BN118" s="50" t="s">
        <v>16668</v>
      </c>
      <c r="BO118" s="50" t="s">
        <v>16657</v>
      </c>
      <c r="BP118" s="50" t="s">
        <v>981</v>
      </c>
      <c r="BQ118" s="50" t="s">
        <v>132</v>
      </c>
      <c r="BR118" s="50" t="s">
        <v>982</v>
      </c>
      <c r="BS118" s="50" t="s">
        <v>983</v>
      </c>
      <c r="BT118" s="50" t="s">
        <v>984</v>
      </c>
      <c r="BV118" s="50" t="s">
        <v>16669</v>
      </c>
      <c r="BW118" s="50" t="s">
        <v>16670</v>
      </c>
      <c r="BY118" s="50" t="s">
        <v>6949</v>
      </c>
      <c r="BZ118" s="50" t="s">
        <v>6950</v>
      </c>
      <c r="CA118" s="50" t="s">
        <v>6949</v>
      </c>
      <c r="CB118" s="50" t="s">
        <v>16671</v>
      </c>
      <c r="CC118" s="50" t="s">
        <v>16672</v>
      </c>
      <c r="CD118" s="50" t="s">
        <v>16673</v>
      </c>
      <c r="CE118" s="50" t="s">
        <v>16671</v>
      </c>
      <c r="CF118" s="50" t="s">
        <v>16672</v>
      </c>
      <c r="CG118" s="50" t="s">
        <v>16673</v>
      </c>
      <c r="CH118" s="50" t="s">
        <v>6951</v>
      </c>
      <c r="CI118" s="50" t="s">
        <v>16674</v>
      </c>
      <c r="CK118" s="50" t="s">
        <v>6953</v>
      </c>
      <c r="CL118" s="50" t="s">
        <v>16675</v>
      </c>
      <c r="CM118" s="50" t="s">
        <v>2127</v>
      </c>
      <c r="CN118" s="50" t="s">
        <v>621</v>
      </c>
      <c r="CO118" s="50" t="s">
        <v>6953</v>
      </c>
      <c r="CP118" s="50" t="s">
        <v>6954</v>
      </c>
      <c r="CQ118" s="50" t="s">
        <v>6952</v>
      </c>
      <c r="CR118" s="50" t="s">
        <v>6952</v>
      </c>
    </row>
    <row r="119" spans="1:97" hidden="1">
      <c r="A119" s="50" t="s">
        <v>93</v>
      </c>
      <c r="B119" s="50">
        <v>27245</v>
      </c>
      <c r="C119" s="50" t="str">
        <f>VLOOKUP(B119,RISK!B:C,2,0)</f>
        <v>Risk</v>
      </c>
      <c r="D119" s="50" t="s">
        <v>622</v>
      </c>
      <c r="E119" s="50" t="s">
        <v>14664</v>
      </c>
      <c r="F119" s="50" t="s">
        <v>4308</v>
      </c>
      <c r="G119" s="50" t="e">
        <f>VLOOKUP(B119,aa!B:F,5,0)</f>
        <v>#N/A</v>
      </c>
      <c r="H119" s="50" t="e">
        <f>VLOOKUP(B119,aa!B:J,9,0)</f>
        <v>#N/A</v>
      </c>
      <c r="I119" s="50" t="e">
        <f>VLOOKUP(B119,aa!B:L,11,0)</f>
        <v>#N/A</v>
      </c>
      <c r="J119" s="50" t="e">
        <f>VLOOKUP(B119,aa!B:O,14,0)</f>
        <v>#N/A</v>
      </c>
      <c r="K119" s="50" t="e">
        <f>VLOOKUP(B119,aa!B:R,17,0)</f>
        <v>#N/A</v>
      </c>
      <c r="L119" s="50" t="s">
        <v>193</v>
      </c>
      <c r="M119" s="50">
        <v>1132051</v>
      </c>
      <c r="N119" s="50">
        <v>1237972</v>
      </c>
      <c r="O119" s="50">
        <v>543600</v>
      </c>
      <c r="P119" s="50">
        <v>1308</v>
      </c>
      <c r="Q119" s="50" t="s">
        <v>14346</v>
      </c>
      <c r="R119" s="50">
        <v>0</v>
      </c>
      <c r="S119" s="50">
        <v>0</v>
      </c>
      <c r="U119" s="50">
        <v>588451</v>
      </c>
      <c r="V119" s="50">
        <v>213</v>
      </c>
      <c r="W119" s="50" t="s">
        <v>4311</v>
      </c>
      <c r="X119" s="50" t="s">
        <v>102</v>
      </c>
      <c r="Y119" s="50" t="s">
        <v>679</v>
      </c>
      <c r="Z119" s="50" t="s">
        <v>104</v>
      </c>
      <c r="AA119" s="50" t="s">
        <v>11899</v>
      </c>
      <c r="AB119" s="50" t="s">
        <v>14666</v>
      </c>
      <c r="AC119" s="50" t="s">
        <v>14667</v>
      </c>
      <c r="AD119" s="50" t="s">
        <v>14668</v>
      </c>
      <c r="AE119" s="50" t="s">
        <v>14669</v>
      </c>
      <c r="AF119" s="50" t="s">
        <v>109</v>
      </c>
      <c r="AG119" s="50" t="s">
        <v>102</v>
      </c>
      <c r="AH119" s="50" t="s">
        <v>109</v>
      </c>
      <c r="AI119" s="50" t="s">
        <v>102</v>
      </c>
      <c r="AJ119" s="50" t="s">
        <v>14670</v>
      </c>
      <c r="AK119" s="50" t="s">
        <v>14671</v>
      </c>
      <c r="AL119" s="50" t="s">
        <v>14672</v>
      </c>
      <c r="AM119" s="50" t="s">
        <v>14673</v>
      </c>
      <c r="AN119" s="50" t="s">
        <v>14674</v>
      </c>
      <c r="AO119" s="50" t="s">
        <v>14675</v>
      </c>
      <c r="AP119" s="50" t="s">
        <v>14676</v>
      </c>
      <c r="AQ119" s="50" t="s">
        <v>14676</v>
      </c>
      <c r="AV119" s="50" t="s">
        <v>207</v>
      </c>
      <c r="AW119" s="50" t="s">
        <v>118</v>
      </c>
      <c r="AX119" s="50" t="s">
        <v>102</v>
      </c>
      <c r="AY119" s="50" t="s">
        <v>119</v>
      </c>
      <c r="BB119" s="50" t="s">
        <v>250</v>
      </c>
      <c r="BC119" s="50" t="s">
        <v>171</v>
      </c>
      <c r="BD119" s="50" t="s">
        <v>623</v>
      </c>
      <c r="BE119" s="50" t="s">
        <v>621</v>
      </c>
      <c r="BF119" s="50" t="s">
        <v>622</v>
      </c>
      <c r="BG119" s="50" t="s">
        <v>623</v>
      </c>
      <c r="BH119" s="50" t="s">
        <v>124</v>
      </c>
      <c r="BI119" s="50" t="s">
        <v>14677</v>
      </c>
      <c r="BJ119" s="50" t="s">
        <v>14678</v>
      </c>
      <c r="BK119" s="50" t="s">
        <v>127</v>
      </c>
      <c r="BL119" s="50" t="s">
        <v>14679</v>
      </c>
      <c r="BM119" s="50" t="s">
        <v>4324</v>
      </c>
      <c r="BN119" s="50" t="s">
        <v>14680</v>
      </c>
      <c r="BO119" s="50" t="s">
        <v>14665</v>
      </c>
      <c r="BP119" s="50" t="s">
        <v>1670</v>
      </c>
      <c r="BQ119" s="50" t="s">
        <v>132</v>
      </c>
      <c r="BR119" s="50" t="s">
        <v>1671</v>
      </c>
      <c r="BS119" s="50" t="s">
        <v>1672</v>
      </c>
      <c r="BT119" s="50" t="s">
        <v>507</v>
      </c>
      <c r="BV119" s="50" t="s">
        <v>14681</v>
      </c>
      <c r="BW119" s="50" t="s">
        <v>14682</v>
      </c>
      <c r="BX119" s="50" t="s">
        <v>138</v>
      </c>
      <c r="BY119" s="50" t="s">
        <v>4331</v>
      </c>
      <c r="BZ119" s="50" t="s">
        <v>14683</v>
      </c>
      <c r="CA119" s="50" t="s">
        <v>4333</v>
      </c>
      <c r="CB119" s="50" t="s">
        <v>14684</v>
      </c>
      <c r="CC119" s="50" t="s">
        <v>4335</v>
      </c>
      <c r="CD119" s="50" t="s">
        <v>14683</v>
      </c>
      <c r="CE119" s="50" t="s">
        <v>14685</v>
      </c>
      <c r="CF119" s="50" t="s">
        <v>14686</v>
      </c>
      <c r="CG119" s="50" t="s">
        <v>4339</v>
      </c>
      <c r="CH119" s="50" t="s">
        <v>4340</v>
      </c>
      <c r="CI119" s="50" t="s">
        <v>14687</v>
      </c>
      <c r="CK119" s="50" t="s">
        <v>4342</v>
      </c>
      <c r="CL119" s="50" t="s">
        <v>14687</v>
      </c>
      <c r="CM119" s="50" t="s">
        <v>623</v>
      </c>
      <c r="CN119" s="50" t="s">
        <v>621</v>
      </c>
      <c r="CO119" s="50" t="s">
        <v>4342</v>
      </c>
      <c r="CP119" s="50" t="s">
        <v>4344</v>
      </c>
      <c r="CQ119" s="50" t="s">
        <v>4345</v>
      </c>
      <c r="CR119" s="50" t="s">
        <v>4343</v>
      </c>
      <c r="CS119" s="50" t="s">
        <v>26042</v>
      </c>
    </row>
    <row r="120" spans="1:97" hidden="1">
      <c r="A120" s="50" t="s">
        <v>149</v>
      </c>
      <c r="B120" s="50">
        <v>440751</v>
      </c>
      <c r="C120" s="50" t="e">
        <f>VLOOKUP(B120,'Drop schools 2026'!B:C,2,0)</f>
        <v>#N/A</v>
      </c>
      <c r="D120" s="50" t="s">
        <v>174</v>
      </c>
      <c r="E120" s="50" t="s">
        <v>1111</v>
      </c>
      <c r="F120" s="50" t="s">
        <v>8967</v>
      </c>
      <c r="G120" s="50" t="str">
        <f>VLOOKUP(B120,aa!B:F,5,0)</f>
        <v>Ei CARES, Ei Mindspark</v>
      </c>
      <c r="H120" s="50">
        <f>VLOOKUP(B120,aa!B:J,9,0)</f>
        <v>1450859</v>
      </c>
      <c r="I120" s="50">
        <f>VLOOKUP(B120,aa!B:L,11,0)</f>
        <v>0</v>
      </c>
      <c r="J120" s="50">
        <f>VLOOKUP(B120,aa!B:O,14,0)</f>
        <v>782444</v>
      </c>
      <c r="K120" s="50">
        <f>VLOOKUP(B120,aa!B:R,17,0)</f>
        <v>668415</v>
      </c>
      <c r="L120" s="50" t="s">
        <v>643</v>
      </c>
      <c r="M120" s="50">
        <v>1125872</v>
      </c>
      <c r="N120" s="50">
        <v>1216042</v>
      </c>
      <c r="O120" s="50">
        <v>0</v>
      </c>
      <c r="P120" s="50">
        <v>0</v>
      </c>
      <c r="R120" s="50">
        <v>624930</v>
      </c>
      <c r="S120" s="50">
        <v>253</v>
      </c>
      <c r="T120" s="50" t="s">
        <v>18335</v>
      </c>
      <c r="U120" s="50">
        <v>500942</v>
      </c>
      <c r="V120" s="50">
        <v>319</v>
      </c>
      <c r="W120" s="50" t="s">
        <v>18336</v>
      </c>
      <c r="X120" s="50" t="s">
        <v>102</v>
      </c>
      <c r="Y120" s="50" t="s">
        <v>103</v>
      </c>
      <c r="Z120" s="50" t="s">
        <v>155</v>
      </c>
      <c r="AB120" s="50" t="s">
        <v>18337</v>
      </c>
      <c r="AC120" s="50" t="s">
        <v>18338</v>
      </c>
      <c r="AD120" s="50" t="s">
        <v>13033</v>
      </c>
      <c r="AE120" s="50" t="s">
        <v>18338</v>
      </c>
      <c r="AF120" s="50" t="s">
        <v>13863</v>
      </c>
      <c r="AG120" s="50" t="s">
        <v>18338</v>
      </c>
      <c r="AH120" s="50" t="s">
        <v>11886</v>
      </c>
      <c r="AI120" s="50" t="s">
        <v>18338</v>
      </c>
      <c r="AJ120" s="50" t="s">
        <v>18339</v>
      </c>
      <c r="AK120" s="50" t="s">
        <v>13769</v>
      </c>
      <c r="AL120" s="50" t="s">
        <v>12330</v>
      </c>
      <c r="AM120" s="50" t="s">
        <v>18340</v>
      </c>
      <c r="AN120" s="50" t="s">
        <v>18341</v>
      </c>
      <c r="AO120" s="50" t="s">
        <v>18342</v>
      </c>
      <c r="AP120" s="50" t="s">
        <v>18343</v>
      </c>
      <c r="AQ120" s="50" t="s">
        <v>18343</v>
      </c>
      <c r="AV120" s="50" t="s">
        <v>102</v>
      </c>
      <c r="AX120" s="50" t="s">
        <v>3536</v>
      </c>
      <c r="AY120" s="50" t="s">
        <v>249</v>
      </c>
      <c r="AZ120" s="50" t="s">
        <v>170</v>
      </c>
      <c r="BA120" s="50" t="s">
        <v>250</v>
      </c>
      <c r="BB120" s="50" t="s">
        <v>250</v>
      </c>
      <c r="BC120" s="50" t="s">
        <v>120</v>
      </c>
      <c r="BD120" s="50" t="s">
        <v>8978</v>
      </c>
      <c r="BE120" s="50" t="s">
        <v>5879</v>
      </c>
      <c r="BF120" s="50" t="s">
        <v>174</v>
      </c>
      <c r="BG120" s="50" t="s">
        <v>4405</v>
      </c>
      <c r="BH120" s="50" t="s">
        <v>124</v>
      </c>
      <c r="BI120" s="50" t="s">
        <v>7145</v>
      </c>
      <c r="BJ120" s="50" t="s">
        <v>11889</v>
      </c>
      <c r="BK120" s="50" t="s">
        <v>127</v>
      </c>
      <c r="BL120" s="50" t="s">
        <v>18344</v>
      </c>
      <c r="BM120" s="50" t="s">
        <v>8980</v>
      </c>
      <c r="BN120" s="50" t="s">
        <v>18345</v>
      </c>
      <c r="BO120" s="50" t="s">
        <v>7145</v>
      </c>
      <c r="BP120" s="50" t="s">
        <v>1108</v>
      </c>
      <c r="BQ120" s="50" t="s">
        <v>180</v>
      </c>
      <c r="BR120" s="50" t="s">
        <v>1109</v>
      </c>
      <c r="BS120" s="50" t="s">
        <v>1110</v>
      </c>
      <c r="BT120" s="50" t="s">
        <v>1111</v>
      </c>
      <c r="BV120" s="50" t="s">
        <v>18346</v>
      </c>
      <c r="BW120" s="50" t="s">
        <v>8983</v>
      </c>
      <c r="BX120" s="50" t="s">
        <v>138</v>
      </c>
      <c r="BY120" s="50" t="s">
        <v>8984</v>
      </c>
      <c r="BZ120" s="50" t="s">
        <v>8985</v>
      </c>
      <c r="CA120" s="50" t="s">
        <v>8984</v>
      </c>
      <c r="CB120" s="50" t="s">
        <v>8983</v>
      </c>
      <c r="CC120" s="50" t="s">
        <v>8984</v>
      </c>
      <c r="CD120" s="50" t="s">
        <v>8985</v>
      </c>
      <c r="CE120" s="50" t="s">
        <v>18347</v>
      </c>
      <c r="CF120" s="50" t="s">
        <v>8984</v>
      </c>
      <c r="CG120" s="50" t="s">
        <v>18348</v>
      </c>
      <c r="CH120" s="50" t="s">
        <v>102</v>
      </c>
      <c r="CI120" s="50" t="s">
        <v>18349</v>
      </c>
      <c r="CK120" s="50" t="s">
        <v>8989</v>
      </c>
      <c r="CM120" s="50" t="s">
        <v>8978</v>
      </c>
      <c r="CN120" s="50" t="s">
        <v>5879</v>
      </c>
      <c r="CO120" s="50" t="s">
        <v>8989</v>
      </c>
      <c r="CP120" s="50" t="s">
        <v>8990</v>
      </c>
      <c r="CQ120" s="50" t="s">
        <v>8991</v>
      </c>
      <c r="CR120" s="50" t="s">
        <v>8988</v>
      </c>
    </row>
    <row r="121" spans="1:97" hidden="1">
      <c r="A121" s="50" t="s">
        <v>337</v>
      </c>
      <c r="B121" s="50">
        <v>414020</v>
      </c>
      <c r="C121" s="50" t="e">
        <f>VLOOKUP(B121,'Drop schools 2026'!B:C,2,0)</f>
        <v>#N/A</v>
      </c>
      <c r="D121" s="50" t="s">
        <v>174</v>
      </c>
      <c r="E121" s="50" t="s">
        <v>384</v>
      </c>
      <c r="F121" s="50" t="s">
        <v>18168</v>
      </c>
      <c r="G121" s="50" t="str">
        <f>VLOOKUP(B121,aa!B:F,5,0)</f>
        <v>Ei CARES</v>
      </c>
      <c r="H121" s="50">
        <f>VLOOKUP(B121,aa!B:J,9,0)</f>
        <v>1440285</v>
      </c>
      <c r="I121" s="50">
        <f>VLOOKUP(B121,aa!B:L,11,0)</f>
        <v>0</v>
      </c>
      <c r="J121" s="50">
        <f>VLOOKUP(B121,aa!B:O,14,0)</f>
        <v>1440285</v>
      </c>
      <c r="K121" s="50">
        <f>VLOOKUP(B121,aa!B:R,17,0)</f>
        <v>0</v>
      </c>
      <c r="L121" s="50" t="s">
        <v>152</v>
      </c>
      <c r="M121" s="50">
        <v>1125540</v>
      </c>
      <c r="N121" s="50">
        <v>1125540</v>
      </c>
      <c r="O121" s="50">
        <v>0</v>
      </c>
      <c r="P121" s="50">
        <v>0</v>
      </c>
      <c r="R121" s="50">
        <v>1125540</v>
      </c>
      <c r="S121" s="50">
        <v>750</v>
      </c>
      <c r="T121" s="50" t="s">
        <v>15175</v>
      </c>
      <c r="U121" s="50">
        <v>0</v>
      </c>
      <c r="V121" s="50">
        <v>0</v>
      </c>
      <c r="X121" s="50" t="s">
        <v>102</v>
      </c>
      <c r="Y121" s="50" t="s">
        <v>103</v>
      </c>
      <c r="Z121" s="50" t="s">
        <v>155</v>
      </c>
      <c r="AB121" s="50" t="s">
        <v>12023</v>
      </c>
      <c r="AC121" s="50" t="s">
        <v>18169</v>
      </c>
      <c r="AD121" s="50" t="s">
        <v>11976</v>
      </c>
      <c r="AE121" s="50" t="s">
        <v>18169</v>
      </c>
      <c r="AF121" s="50" t="s">
        <v>5651</v>
      </c>
      <c r="AG121" s="50" t="s">
        <v>18169</v>
      </c>
      <c r="AH121" s="50" t="s">
        <v>12084</v>
      </c>
      <c r="AI121" s="50" t="s">
        <v>18169</v>
      </c>
      <c r="AJ121" s="50" t="s">
        <v>18170</v>
      </c>
      <c r="AK121" s="50" t="s">
        <v>12494</v>
      </c>
      <c r="AL121" s="50" t="s">
        <v>13245</v>
      </c>
      <c r="AM121" s="50" t="s">
        <v>18171</v>
      </c>
      <c r="AN121" s="50" t="s">
        <v>18172</v>
      </c>
      <c r="AO121" s="50" t="s">
        <v>18173</v>
      </c>
      <c r="AP121" s="50" t="s">
        <v>18174</v>
      </c>
      <c r="AQ121" s="50" t="s">
        <v>18174</v>
      </c>
      <c r="AV121" s="50" t="s">
        <v>102</v>
      </c>
      <c r="AX121" s="50" t="s">
        <v>104</v>
      </c>
      <c r="AY121" s="50" t="s">
        <v>119</v>
      </c>
      <c r="BA121" s="50" t="s">
        <v>118</v>
      </c>
      <c r="BC121" s="50" t="s">
        <v>171</v>
      </c>
      <c r="BD121" s="50" t="s">
        <v>18175</v>
      </c>
      <c r="BE121" s="50" t="s">
        <v>376</v>
      </c>
      <c r="BF121" s="50" t="s">
        <v>174</v>
      </c>
      <c r="BG121" s="50" t="s">
        <v>376</v>
      </c>
      <c r="BH121" s="50" t="s">
        <v>124</v>
      </c>
      <c r="BI121" s="50" t="s">
        <v>8186</v>
      </c>
      <c r="BJ121" s="50" t="s">
        <v>11889</v>
      </c>
      <c r="BK121" s="50" t="s">
        <v>127</v>
      </c>
      <c r="BL121" s="50" t="s">
        <v>18176</v>
      </c>
      <c r="BM121" s="50" t="s">
        <v>18177</v>
      </c>
      <c r="BN121" s="50" t="s">
        <v>18178</v>
      </c>
      <c r="BO121" s="50" t="s">
        <v>404</v>
      </c>
      <c r="BP121" s="50" t="s">
        <v>6926</v>
      </c>
      <c r="BQ121" s="50" t="s">
        <v>350</v>
      </c>
      <c r="BR121" s="50" t="s">
        <v>6927</v>
      </c>
      <c r="BS121" s="50" t="s">
        <v>6928</v>
      </c>
      <c r="BT121" s="50" t="s">
        <v>1858</v>
      </c>
      <c r="BV121" s="50" t="s">
        <v>18179</v>
      </c>
      <c r="BW121" s="50" t="s">
        <v>18180</v>
      </c>
      <c r="BX121" s="50" t="s">
        <v>138</v>
      </c>
      <c r="BY121" s="50" t="s">
        <v>18181</v>
      </c>
      <c r="BZ121" s="50" t="s">
        <v>18182</v>
      </c>
      <c r="CA121" s="50" t="s">
        <v>18181</v>
      </c>
      <c r="CB121" s="50" t="s">
        <v>18180</v>
      </c>
      <c r="CC121" s="50" t="s">
        <v>18181</v>
      </c>
      <c r="CD121" s="50" t="s">
        <v>18182</v>
      </c>
      <c r="CE121" s="50" t="s">
        <v>18180</v>
      </c>
      <c r="CF121" s="50" t="s">
        <v>18181</v>
      </c>
      <c r="CG121" s="50" t="s">
        <v>18182</v>
      </c>
      <c r="CH121" s="50" t="s">
        <v>18183</v>
      </c>
      <c r="CI121" s="50" t="s">
        <v>18184</v>
      </c>
      <c r="CK121" s="50" t="s">
        <v>18185</v>
      </c>
      <c r="CL121" s="50" t="s">
        <v>18184</v>
      </c>
      <c r="CM121" s="50" t="s">
        <v>18175</v>
      </c>
      <c r="CN121" s="50" t="s">
        <v>376</v>
      </c>
      <c r="CO121" s="50" t="s">
        <v>18185</v>
      </c>
      <c r="CP121" s="50" t="s">
        <v>18186</v>
      </c>
      <c r="CQ121" s="50" t="s">
        <v>18184</v>
      </c>
      <c r="CR121" s="50" t="s">
        <v>18184</v>
      </c>
    </row>
    <row r="122" spans="1:97" hidden="1">
      <c r="A122" s="50" t="s">
        <v>149</v>
      </c>
      <c r="B122" s="50">
        <v>529319</v>
      </c>
      <c r="C122" s="50" t="e">
        <f>VLOOKUP(B122,'Drop schools 2026'!B:C,2,0)</f>
        <v>#N/A</v>
      </c>
      <c r="D122" s="50" t="s">
        <v>122</v>
      </c>
      <c r="E122" s="50" t="s">
        <v>12018</v>
      </c>
      <c r="F122" s="50" t="s">
        <v>21029</v>
      </c>
      <c r="G122" s="50" t="e">
        <f>VLOOKUP(B122,aa!B:F,5,0)</f>
        <v>#N/A</v>
      </c>
      <c r="H122" s="50" t="e">
        <f>VLOOKUP(B122,aa!B:J,9,0)</f>
        <v>#N/A</v>
      </c>
      <c r="I122" s="50" t="e">
        <f>VLOOKUP(B122,aa!B:L,11,0)</f>
        <v>#N/A</v>
      </c>
      <c r="J122" s="50" t="e">
        <f>VLOOKUP(B122,aa!B:O,14,0)</f>
        <v>#N/A</v>
      </c>
      <c r="K122" s="50" t="e">
        <f>VLOOKUP(B122,aa!B:R,17,0)</f>
        <v>#N/A</v>
      </c>
      <c r="L122" s="50" t="s">
        <v>97</v>
      </c>
      <c r="M122" s="50">
        <v>1124134</v>
      </c>
      <c r="N122" s="50">
        <v>1124134</v>
      </c>
      <c r="O122" s="50">
        <v>1124134</v>
      </c>
      <c r="P122" s="50">
        <v>868</v>
      </c>
      <c r="Q122" s="50" t="s">
        <v>21031</v>
      </c>
      <c r="R122" s="50">
        <v>0</v>
      </c>
      <c r="S122" s="50">
        <v>0</v>
      </c>
      <c r="U122" s="50">
        <v>0</v>
      </c>
      <c r="V122" s="50">
        <v>0</v>
      </c>
      <c r="X122" s="50" t="s">
        <v>102</v>
      </c>
      <c r="Y122" s="50" t="s">
        <v>103</v>
      </c>
      <c r="Z122" s="50" t="s">
        <v>104</v>
      </c>
      <c r="AB122" s="50" t="s">
        <v>1305</v>
      </c>
      <c r="AC122" s="50" t="s">
        <v>21032</v>
      </c>
      <c r="AD122" s="50" t="s">
        <v>13033</v>
      </c>
      <c r="AE122" s="50" t="s">
        <v>21033</v>
      </c>
      <c r="AF122" s="50" t="s">
        <v>109</v>
      </c>
      <c r="AG122" s="50" t="s">
        <v>102</v>
      </c>
      <c r="AH122" s="50" t="s">
        <v>109</v>
      </c>
      <c r="AI122" s="50" t="s">
        <v>102</v>
      </c>
      <c r="AJ122" s="50" t="s">
        <v>21034</v>
      </c>
      <c r="AK122" s="50" t="s">
        <v>13036</v>
      </c>
      <c r="AL122" s="50" t="s">
        <v>11933</v>
      </c>
      <c r="AM122" s="50" t="s">
        <v>21035</v>
      </c>
      <c r="AN122" s="50" t="s">
        <v>21036</v>
      </c>
      <c r="AO122" s="50" t="s">
        <v>14295</v>
      </c>
      <c r="AP122" s="50" t="s">
        <v>21037</v>
      </c>
      <c r="AQ122" s="50" t="s">
        <v>21037</v>
      </c>
      <c r="AV122" s="50" t="s">
        <v>318</v>
      </c>
      <c r="AW122" s="50" t="s">
        <v>118</v>
      </c>
      <c r="AX122" s="50" t="s">
        <v>102</v>
      </c>
      <c r="AY122" s="50" t="s">
        <v>119</v>
      </c>
      <c r="BC122" s="50" t="s">
        <v>120</v>
      </c>
      <c r="BD122" s="50" t="s">
        <v>8930</v>
      </c>
      <c r="BE122" s="50" t="s">
        <v>8930</v>
      </c>
      <c r="BF122" s="50" t="s">
        <v>122</v>
      </c>
      <c r="BG122" s="50" t="s">
        <v>346</v>
      </c>
      <c r="BH122" s="50" t="s">
        <v>124</v>
      </c>
      <c r="BI122" s="50" t="s">
        <v>12023</v>
      </c>
      <c r="BJ122" s="50" t="s">
        <v>11889</v>
      </c>
      <c r="BK122" s="50" t="s">
        <v>127</v>
      </c>
      <c r="BL122" s="50" t="s">
        <v>21038</v>
      </c>
      <c r="BM122" s="50" t="s">
        <v>10961</v>
      </c>
      <c r="BN122" s="50" t="s">
        <v>21039</v>
      </c>
      <c r="BO122" s="50" t="s">
        <v>21030</v>
      </c>
      <c r="BP122" s="50" t="s">
        <v>593</v>
      </c>
      <c r="BQ122" s="50" t="s">
        <v>350</v>
      </c>
      <c r="BR122" s="50" t="s">
        <v>594</v>
      </c>
      <c r="BS122" s="50" t="s">
        <v>595</v>
      </c>
      <c r="BT122" s="50" t="s">
        <v>328</v>
      </c>
      <c r="BV122" s="50" t="s">
        <v>21040</v>
      </c>
      <c r="BW122" s="50" t="s">
        <v>21041</v>
      </c>
      <c r="BX122" s="50" t="s">
        <v>598</v>
      </c>
      <c r="BY122" s="50" t="s">
        <v>21042</v>
      </c>
      <c r="BZ122" s="50" t="s">
        <v>21043</v>
      </c>
      <c r="CA122" s="50" t="s">
        <v>10965</v>
      </c>
      <c r="CB122" s="50" t="s">
        <v>21044</v>
      </c>
      <c r="CC122" s="50" t="s">
        <v>10965</v>
      </c>
      <c r="CD122" s="50" t="s">
        <v>21043</v>
      </c>
      <c r="CE122" s="50" t="s">
        <v>21041</v>
      </c>
      <c r="CF122" s="50" t="s">
        <v>21042</v>
      </c>
      <c r="CG122" s="50" t="s">
        <v>21043</v>
      </c>
      <c r="CH122" s="50" t="s">
        <v>102</v>
      </c>
      <c r="CI122" s="50" t="s">
        <v>21045</v>
      </c>
      <c r="CK122" s="50" t="s">
        <v>10968</v>
      </c>
      <c r="CM122" s="50" t="s">
        <v>8930</v>
      </c>
      <c r="CN122" s="50" t="s">
        <v>8930</v>
      </c>
      <c r="CO122" s="50" t="s">
        <v>10968</v>
      </c>
      <c r="CP122" s="50" t="s">
        <v>10969</v>
      </c>
      <c r="CQ122" s="50" t="s">
        <v>10967</v>
      </c>
      <c r="CR122" s="50" t="s">
        <v>10967</v>
      </c>
    </row>
    <row r="123" spans="1:97" hidden="1">
      <c r="A123" s="50" t="s">
        <v>337</v>
      </c>
      <c r="B123" s="50">
        <v>5018349</v>
      </c>
      <c r="C123" s="50" t="e">
        <f>VLOOKUP(B123,'Drop schools 2026'!B:C,2,0)</f>
        <v>#N/A</v>
      </c>
      <c r="D123" s="50" t="s">
        <v>622</v>
      </c>
      <c r="E123" s="50" t="s">
        <v>632</v>
      </c>
      <c r="F123" s="50" t="s">
        <v>19650</v>
      </c>
      <c r="G123" s="50" t="str">
        <f>VLOOKUP(B123,aa!B:F,5,0)</f>
        <v>Ei ASSET</v>
      </c>
      <c r="H123" s="50">
        <f>VLOOKUP(B123,aa!B:J,9,0)</f>
        <v>1203888</v>
      </c>
      <c r="I123" s="50">
        <f>VLOOKUP(B123,aa!B:L,11,0)</f>
        <v>1203888</v>
      </c>
      <c r="J123" s="50">
        <f>VLOOKUP(B123,aa!B:O,14,0)</f>
        <v>0</v>
      </c>
      <c r="K123" s="50">
        <f>VLOOKUP(B123,aa!B:R,17,0)</f>
        <v>0</v>
      </c>
      <c r="L123" s="50" t="s">
        <v>97</v>
      </c>
      <c r="M123" s="50">
        <v>1119888</v>
      </c>
      <c r="N123" s="50">
        <v>1119888</v>
      </c>
      <c r="O123" s="50">
        <v>1119888</v>
      </c>
      <c r="P123" s="50">
        <v>1400</v>
      </c>
      <c r="Q123" s="50" t="s">
        <v>1297</v>
      </c>
      <c r="R123" s="50">
        <v>0</v>
      </c>
      <c r="S123" s="50">
        <v>0</v>
      </c>
      <c r="U123" s="50">
        <v>0</v>
      </c>
      <c r="V123" s="50">
        <v>0</v>
      </c>
      <c r="X123" s="50" t="s">
        <v>102</v>
      </c>
      <c r="Y123" s="50" t="s">
        <v>103</v>
      </c>
      <c r="Z123" s="50" t="s">
        <v>104</v>
      </c>
      <c r="AB123" s="50" t="s">
        <v>14689</v>
      </c>
      <c r="AC123" s="50" t="s">
        <v>19651</v>
      </c>
      <c r="AD123" s="50" t="s">
        <v>11976</v>
      </c>
      <c r="AE123" s="50" t="s">
        <v>19651</v>
      </c>
      <c r="AF123" s="50" t="s">
        <v>109</v>
      </c>
      <c r="AG123" s="50" t="s">
        <v>102</v>
      </c>
      <c r="AH123" s="50" t="s">
        <v>109</v>
      </c>
      <c r="AI123" s="50" t="s">
        <v>102</v>
      </c>
      <c r="AJ123" s="50" t="s">
        <v>102</v>
      </c>
      <c r="AK123" s="50" t="s">
        <v>499</v>
      </c>
      <c r="AL123" s="50" t="s">
        <v>12430</v>
      </c>
      <c r="AM123" s="50" t="s">
        <v>19652</v>
      </c>
      <c r="AN123" s="50" t="s">
        <v>19653</v>
      </c>
      <c r="AO123" s="50" t="s">
        <v>19654</v>
      </c>
      <c r="AP123" s="50" t="s">
        <v>13989</v>
      </c>
      <c r="AQ123" s="50" t="s">
        <v>13989</v>
      </c>
      <c r="AV123" s="50" t="s">
        <v>318</v>
      </c>
      <c r="AW123" s="50" t="s">
        <v>250</v>
      </c>
      <c r="AX123" s="50" t="s">
        <v>102</v>
      </c>
      <c r="AY123" s="50" t="s">
        <v>119</v>
      </c>
      <c r="BC123" s="50" t="s">
        <v>1964</v>
      </c>
      <c r="BD123" s="50" t="s">
        <v>623</v>
      </c>
      <c r="BE123" s="50" t="s">
        <v>621</v>
      </c>
      <c r="BF123" s="50" t="s">
        <v>622</v>
      </c>
      <c r="BG123" s="50" t="s">
        <v>623</v>
      </c>
      <c r="BH123" s="50" t="s">
        <v>124</v>
      </c>
      <c r="BI123" s="50" t="s">
        <v>11959</v>
      </c>
      <c r="BJ123" s="50" t="s">
        <v>11889</v>
      </c>
      <c r="BK123" s="50" t="s">
        <v>127</v>
      </c>
      <c r="BL123" s="50" t="s">
        <v>19655</v>
      </c>
      <c r="BM123" s="50" t="s">
        <v>19656</v>
      </c>
      <c r="BN123" s="50" t="s">
        <v>19657</v>
      </c>
      <c r="BO123" s="50" t="s">
        <v>14689</v>
      </c>
      <c r="BP123" s="50" t="s">
        <v>1670</v>
      </c>
      <c r="BQ123" s="50" t="s">
        <v>132</v>
      </c>
      <c r="BR123" s="50" t="s">
        <v>1671</v>
      </c>
      <c r="BS123" s="50" t="s">
        <v>1672</v>
      </c>
      <c r="BT123" s="50" t="s">
        <v>507</v>
      </c>
      <c r="BV123" s="50" t="s">
        <v>19658</v>
      </c>
      <c r="BW123" s="50" t="s">
        <v>14694</v>
      </c>
      <c r="BX123" s="50" t="s">
        <v>569</v>
      </c>
      <c r="BY123" s="50" t="s">
        <v>14698</v>
      </c>
      <c r="BZ123" s="50" t="s">
        <v>14695</v>
      </c>
      <c r="CA123" s="50" t="s">
        <v>14698</v>
      </c>
      <c r="CB123" s="50" t="s">
        <v>19659</v>
      </c>
      <c r="CC123" s="50" t="s">
        <v>19660</v>
      </c>
      <c r="CD123" s="50" t="s">
        <v>19661</v>
      </c>
      <c r="CE123" s="50" t="s">
        <v>19662</v>
      </c>
      <c r="CF123" s="50" t="s">
        <v>14698</v>
      </c>
      <c r="CG123" s="50" t="s">
        <v>14695</v>
      </c>
      <c r="CH123" s="50" t="s">
        <v>19663</v>
      </c>
      <c r="CI123" s="50" t="s">
        <v>19664</v>
      </c>
      <c r="CK123" s="50" t="s">
        <v>14703</v>
      </c>
      <c r="CL123" s="50" t="s">
        <v>19664</v>
      </c>
      <c r="CM123" s="50" t="s">
        <v>623</v>
      </c>
      <c r="CN123" s="50" t="s">
        <v>621</v>
      </c>
      <c r="CO123" s="50" t="s">
        <v>14703</v>
      </c>
      <c r="CP123" s="50" t="s">
        <v>19665</v>
      </c>
      <c r="CQ123" s="50" t="s">
        <v>19664</v>
      </c>
      <c r="CR123" s="50" t="s">
        <v>19664</v>
      </c>
    </row>
    <row r="124" spans="1:97" hidden="1">
      <c r="A124" s="50" t="s">
        <v>337</v>
      </c>
      <c r="B124" s="50">
        <v>5029152</v>
      </c>
      <c r="C124" s="50" t="str">
        <f>VLOOKUP(B124,RISK!B:C,2,0)</f>
        <v>Risk</v>
      </c>
      <c r="D124" s="50" t="s">
        <v>212</v>
      </c>
      <c r="E124" s="50" t="s">
        <v>2151</v>
      </c>
      <c r="F124" s="50" t="s">
        <v>20185</v>
      </c>
      <c r="G124" s="50" t="e">
        <f>VLOOKUP(B124,aa!B:F,5,0)</f>
        <v>#N/A</v>
      </c>
      <c r="H124" s="50" t="e">
        <f>VLOOKUP(B124,aa!B:J,9,0)</f>
        <v>#N/A</v>
      </c>
      <c r="I124" s="50" t="e">
        <f>VLOOKUP(B124,aa!B:L,11,0)</f>
        <v>#N/A</v>
      </c>
      <c r="J124" s="50" t="e">
        <f>VLOOKUP(B124,aa!B:O,14,0)</f>
        <v>#N/A</v>
      </c>
      <c r="K124" s="50" t="e">
        <f>VLOOKUP(B124,aa!B:R,17,0)</f>
        <v>#N/A</v>
      </c>
      <c r="L124" s="50" t="s">
        <v>1746</v>
      </c>
      <c r="M124" s="50">
        <v>1116418</v>
      </c>
      <c r="N124" s="50">
        <v>1204623</v>
      </c>
      <c r="O124" s="50">
        <v>240919</v>
      </c>
      <c r="P124" s="50">
        <v>194</v>
      </c>
      <c r="Q124" s="50" t="s">
        <v>20186</v>
      </c>
      <c r="R124" s="50">
        <v>385470</v>
      </c>
      <c r="S124" s="50">
        <v>194</v>
      </c>
      <c r="T124" s="50" t="s">
        <v>20187</v>
      </c>
      <c r="U124" s="50">
        <v>490029</v>
      </c>
      <c r="V124" s="50">
        <v>194</v>
      </c>
      <c r="W124" s="50" t="s">
        <v>20188</v>
      </c>
      <c r="X124" s="50" t="s">
        <v>102</v>
      </c>
      <c r="Y124" s="50" t="s">
        <v>103</v>
      </c>
      <c r="Z124" s="50" t="s">
        <v>155</v>
      </c>
      <c r="AB124" s="50" t="s">
        <v>3679</v>
      </c>
      <c r="AC124" s="50" t="s">
        <v>20189</v>
      </c>
      <c r="AD124" s="50" t="s">
        <v>12289</v>
      </c>
      <c r="AE124" s="50" t="s">
        <v>20189</v>
      </c>
      <c r="AF124" s="50" t="s">
        <v>1427</v>
      </c>
      <c r="AG124" s="50" t="s">
        <v>20189</v>
      </c>
      <c r="AH124" s="50" t="s">
        <v>11886</v>
      </c>
      <c r="AI124" s="50" t="s">
        <v>20189</v>
      </c>
      <c r="AJ124" s="50" t="s">
        <v>102</v>
      </c>
      <c r="AM124" s="50" t="s">
        <v>20190</v>
      </c>
      <c r="AN124" s="50" t="s">
        <v>102</v>
      </c>
      <c r="AO124" s="50" t="s">
        <v>20190</v>
      </c>
      <c r="AP124" s="50" t="s">
        <v>20191</v>
      </c>
      <c r="AQ124" s="50" t="s">
        <v>20191</v>
      </c>
      <c r="AV124" s="50" t="s">
        <v>117</v>
      </c>
      <c r="AW124" s="50" t="s">
        <v>118</v>
      </c>
      <c r="AX124" s="50" t="s">
        <v>155</v>
      </c>
      <c r="AY124" s="50" t="s">
        <v>119</v>
      </c>
      <c r="BA124" s="50" t="s">
        <v>250</v>
      </c>
      <c r="BB124" s="50" t="s">
        <v>250</v>
      </c>
      <c r="BC124" s="50" t="s">
        <v>120</v>
      </c>
      <c r="BD124" s="50" t="s">
        <v>1786</v>
      </c>
      <c r="BE124" s="50" t="s">
        <v>410</v>
      </c>
      <c r="BF124" s="50" t="s">
        <v>212</v>
      </c>
      <c r="BG124" s="50" t="s">
        <v>213</v>
      </c>
      <c r="BH124" s="50" t="s">
        <v>124</v>
      </c>
      <c r="BI124" s="50" t="s">
        <v>6918</v>
      </c>
      <c r="BJ124" s="50" t="s">
        <v>11889</v>
      </c>
      <c r="BK124" s="50" t="s">
        <v>127</v>
      </c>
      <c r="BL124" s="50" t="s">
        <v>20192</v>
      </c>
      <c r="BM124" s="50" t="s">
        <v>20193</v>
      </c>
      <c r="BN124" s="50" t="s">
        <v>20194</v>
      </c>
      <c r="BO124" s="50" t="s">
        <v>12086</v>
      </c>
      <c r="BP124" s="50" t="s">
        <v>7108</v>
      </c>
      <c r="BQ124" s="50" t="s">
        <v>505</v>
      </c>
      <c r="BR124" s="50" t="s">
        <v>7109</v>
      </c>
      <c r="BS124" s="50" t="s">
        <v>2151</v>
      </c>
      <c r="BT124" s="50" t="s">
        <v>2151</v>
      </c>
      <c r="BV124" s="50" t="s">
        <v>20195</v>
      </c>
      <c r="BW124" s="50" t="s">
        <v>13295</v>
      </c>
      <c r="BX124" s="50" t="s">
        <v>138</v>
      </c>
      <c r="BY124" s="50" t="s">
        <v>2403</v>
      </c>
      <c r="BZ124" s="50" t="s">
        <v>2404</v>
      </c>
      <c r="CA124" s="50" t="s">
        <v>2403</v>
      </c>
      <c r="CB124" s="50" t="s">
        <v>13295</v>
      </c>
      <c r="CC124" s="50" t="s">
        <v>2403</v>
      </c>
      <c r="CD124" s="50" t="s">
        <v>2404</v>
      </c>
      <c r="CE124" s="50" t="s">
        <v>20196</v>
      </c>
      <c r="CF124" s="50" t="s">
        <v>20197</v>
      </c>
      <c r="CG124" s="50" t="s">
        <v>20198</v>
      </c>
      <c r="CH124" s="50" t="s">
        <v>2405</v>
      </c>
      <c r="CI124" s="50" t="s">
        <v>13296</v>
      </c>
      <c r="CK124" s="50" t="s">
        <v>2407</v>
      </c>
      <c r="CM124" s="50" t="s">
        <v>1786</v>
      </c>
      <c r="CN124" s="50" t="s">
        <v>410</v>
      </c>
      <c r="CO124" s="50" t="s">
        <v>2407</v>
      </c>
      <c r="CP124" s="50" t="s">
        <v>2408</v>
      </c>
      <c r="CQ124" s="50" t="s">
        <v>2406</v>
      </c>
      <c r="CR124" s="50" t="s">
        <v>2406</v>
      </c>
      <c r="CS124" s="50" t="s">
        <v>26042</v>
      </c>
    </row>
    <row r="125" spans="1:97" hidden="1">
      <c r="A125" s="50" t="s">
        <v>337</v>
      </c>
      <c r="B125" s="50">
        <v>4000011</v>
      </c>
      <c r="C125" s="50" t="e">
        <f>VLOOKUP(B125,'Drop schools 2026'!B:C,2,0)</f>
        <v>#N/A</v>
      </c>
      <c r="D125" s="50" t="s">
        <v>212</v>
      </c>
      <c r="E125" s="50" t="s">
        <v>11995</v>
      </c>
      <c r="F125" s="50" t="s">
        <v>17871</v>
      </c>
      <c r="G125" s="50" t="e">
        <f>VLOOKUP(B125,aa!B:F,5,0)</f>
        <v>#N/A</v>
      </c>
      <c r="H125" s="50" t="e">
        <f>VLOOKUP(B125,aa!B:J,9,0)</f>
        <v>#N/A</v>
      </c>
      <c r="I125" s="50" t="e">
        <f>VLOOKUP(B125,aa!B:L,11,0)</f>
        <v>#N/A</v>
      </c>
      <c r="J125" s="50" t="e">
        <f>VLOOKUP(B125,aa!B:O,14,0)</f>
        <v>#N/A</v>
      </c>
      <c r="K125" s="50" t="e">
        <f>VLOOKUP(B125,aa!B:R,17,0)</f>
        <v>#N/A</v>
      </c>
      <c r="L125" s="50" t="s">
        <v>152</v>
      </c>
      <c r="M125" s="50">
        <v>1115100</v>
      </c>
      <c r="N125" s="50">
        <v>1115100</v>
      </c>
      <c r="O125" s="50">
        <v>0</v>
      </c>
      <c r="P125" s="50">
        <v>0</v>
      </c>
      <c r="R125" s="50">
        <v>1115100</v>
      </c>
      <c r="S125" s="50">
        <v>1062</v>
      </c>
      <c r="T125" s="50" t="s">
        <v>433</v>
      </c>
      <c r="U125" s="50">
        <v>0</v>
      </c>
      <c r="V125" s="50">
        <v>0</v>
      </c>
      <c r="X125" s="50" t="s">
        <v>102</v>
      </c>
      <c r="Y125" s="50" t="s">
        <v>103</v>
      </c>
      <c r="Z125" s="50" t="s">
        <v>398</v>
      </c>
      <c r="AB125" s="50" t="s">
        <v>1827</v>
      </c>
      <c r="AC125" s="50" t="s">
        <v>17873</v>
      </c>
      <c r="AD125" s="50" t="s">
        <v>17874</v>
      </c>
      <c r="AE125" s="50" t="s">
        <v>17873</v>
      </c>
      <c r="AF125" s="50" t="s">
        <v>16007</v>
      </c>
      <c r="AG125" s="50" t="s">
        <v>17875</v>
      </c>
      <c r="AH125" s="50" t="s">
        <v>109</v>
      </c>
      <c r="AI125" s="50" t="s">
        <v>102</v>
      </c>
      <c r="AJ125" s="50" t="s">
        <v>102</v>
      </c>
      <c r="AK125" s="50" t="s">
        <v>1827</v>
      </c>
      <c r="AL125" s="50" t="s">
        <v>1827</v>
      </c>
      <c r="AM125" s="50" t="s">
        <v>17876</v>
      </c>
      <c r="AN125" s="50" t="s">
        <v>17877</v>
      </c>
      <c r="AO125" s="50" t="s">
        <v>17878</v>
      </c>
      <c r="AP125" s="50" t="s">
        <v>17879</v>
      </c>
      <c r="AQ125" s="50" t="s">
        <v>17879</v>
      </c>
      <c r="AV125" s="50" t="s">
        <v>102</v>
      </c>
      <c r="AX125" s="50" t="s">
        <v>155</v>
      </c>
      <c r="AY125" s="50" t="s">
        <v>119</v>
      </c>
      <c r="AZ125" s="50" t="s">
        <v>170</v>
      </c>
      <c r="BA125" s="50" t="s">
        <v>118</v>
      </c>
      <c r="BC125" s="50" t="s">
        <v>120</v>
      </c>
      <c r="BD125" s="50" t="s">
        <v>17880</v>
      </c>
      <c r="BE125" s="50" t="s">
        <v>6390</v>
      </c>
      <c r="BF125" s="50" t="s">
        <v>212</v>
      </c>
      <c r="BG125" s="50" t="s">
        <v>286</v>
      </c>
      <c r="BH125" s="50" t="s">
        <v>124</v>
      </c>
      <c r="BI125" s="50" t="s">
        <v>12023</v>
      </c>
      <c r="BJ125" s="50" t="s">
        <v>11889</v>
      </c>
      <c r="BK125" s="50" t="s">
        <v>127</v>
      </c>
      <c r="BL125" s="50" t="s">
        <v>17881</v>
      </c>
      <c r="BM125" s="50" t="s">
        <v>17882</v>
      </c>
      <c r="BN125" s="50" t="s">
        <v>17883</v>
      </c>
      <c r="BO125" s="50" t="s">
        <v>17872</v>
      </c>
      <c r="BP125" s="50" t="s">
        <v>17884</v>
      </c>
      <c r="BQ125" s="50" t="s">
        <v>505</v>
      </c>
      <c r="BR125" s="50" t="s">
        <v>17885</v>
      </c>
      <c r="BS125" s="50" t="s">
        <v>17886</v>
      </c>
      <c r="BT125" s="50" t="s">
        <v>17887</v>
      </c>
      <c r="BV125" s="50" t="s">
        <v>17888</v>
      </c>
      <c r="BW125" s="50" t="s">
        <v>17889</v>
      </c>
      <c r="BX125" s="50" t="s">
        <v>138</v>
      </c>
      <c r="BY125" s="50" t="s">
        <v>17890</v>
      </c>
      <c r="BZ125" s="50" t="s">
        <v>17891</v>
      </c>
      <c r="CA125" s="50" t="s">
        <v>17892</v>
      </c>
      <c r="CB125" s="50" t="s">
        <v>17893</v>
      </c>
      <c r="CC125" s="50" t="s">
        <v>17894</v>
      </c>
      <c r="CD125" s="50" t="s">
        <v>17895</v>
      </c>
      <c r="CE125" s="50" t="s">
        <v>17896</v>
      </c>
      <c r="CF125" s="50" t="s">
        <v>17892</v>
      </c>
      <c r="CG125" s="50" t="s">
        <v>17897</v>
      </c>
      <c r="CH125" s="50" t="s">
        <v>907</v>
      </c>
      <c r="CI125" s="50" t="s">
        <v>17898</v>
      </c>
      <c r="CK125" s="50" t="s">
        <v>17899</v>
      </c>
      <c r="CL125" s="50" t="s">
        <v>17900</v>
      </c>
      <c r="CM125" s="50" t="s">
        <v>17901</v>
      </c>
      <c r="CN125" s="50" t="s">
        <v>6390</v>
      </c>
      <c r="CO125" s="50" t="s">
        <v>17899</v>
      </c>
      <c r="CQ125" s="50" t="s">
        <v>17902</v>
      </c>
      <c r="CR125" s="50" t="s">
        <v>17902</v>
      </c>
      <c r="CS125" s="50" t="s">
        <v>26042</v>
      </c>
    </row>
    <row r="126" spans="1:97" hidden="1">
      <c r="A126" s="50" t="s">
        <v>93</v>
      </c>
      <c r="B126" s="50">
        <v>3187497</v>
      </c>
      <c r="C126" s="50" t="e">
        <f>VLOOKUP(B126,'Drop schools 2026'!B:C,2,0)</f>
        <v>#N/A</v>
      </c>
      <c r="D126" s="50" t="s">
        <v>212</v>
      </c>
      <c r="E126" s="50" t="s">
        <v>418</v>
      </c>
      <c r="F126" s="50" t="s">
        <v>4939</v>
      </c>
      <c r="G126" s="50" t="str">
        <f>VLOOKUP(B126,aa!B:F,5,0)</f>
        <v>Ei ASSET, Ei CARES</v>
      </c>
      <c r="H126" s="50">
        <f>VLOOKUP(B126,aa!B:J,9,0)</f>
        <v>1307820</v>
      </c>
      <c r="I126" s="50">
        <f>VLOOKUP(B126,aa!B:L,11,0)</f>
        <v>967624</v>
      </c>
      <c r="J126" s="50">
        <f>VLOOKUP(B126,aa!B:O,14,0)</f>
        <v>340196</v>
      </c>
      <c r="K126" s="50">
        <f>VLOOKUP(B126,aa!B:R,17,0)</f>
        <v>0</v>
      </c>
      <c r="L126" s="50" t="s">
        <v>97</v>
      </c>
      <c r="M126" s="50">
        <v>1113742</v>
      </c>
      <c r="N126" s="50">
        <v>1113742</v>
      </c>
      <c r="O126" s="50">
        <v>1113742</v>
      </c>
      <c r="P126" s="50">
        <v>742</v>
      </c>
      <c r="Q126" s="50" t="s">
        <v>15175</v>
      </c>
      <c r="R126" s="50">
        <v>0</v>
      </c>
      <c r="S126" s="50">
        <v>0</v>
      </c>
      <c r="U126" s="50">
        <v>0</v>
      </c>
      <c r="V126" s="50">
        <v>0</v>
      </c>
      <c r="X126" s="50" t="s">
        <v>102</v>
      </c>
      <c r="Y126" s="50" t="s">
        <v>103</v>
      </c>
      <c r="Z126" s="50" t="s">
        <v>104</v>
      </c>
      <c r="AB126" s="50" t="s">
        <v>1941</v>
      </c>
      <c r="AC126" s="50" t="s">
        <v>15176</v>
      </c>
      <c r="AD126" s="50" t="s">
        <v>15177</v>
      </c>
      <c r="AE126" s="50" t="s">
        <v>15176</v>
      </c>
      <c r="AF126" s="50" t="s">
        <v>109</v>
      </c>
      <c r="AG126" s="50" t="s">
        <v>102</v>
      </c>
      <c r="AH126" s="50" t="s">
        <v>109</v>
      </c>
      <c r="AI126" s="50" t="s">
        <v>102</v>
      </c>
      <c r="AJ126" s="50" t="s">
        <v>15178</v>
      </c>
      <c r="AK126" s="50" t="s">
        <v>15179</v>
      </c>
      <c r="AL126" s="50" t="s">
        <v>15179</v>
      </c>
      <c r="AM126" s="50" t="s">
        <v>15180</v>
      </c>
      <c r="AN126" s="50" t="s">
        <v>15181</v>
      </c>
      <c r="AO126" s="50" t="s">
        <v>15176</v>
      </c>
      <c r="AP126" s="50" t="s">
        <v>15182</v>
      </c>
      <c r="AQ126" s="50" t="s">
        <v>15182</v>
      </c>
      <c r="AV126" s="50" t="s">
        <v>318</v>
      </c>
      <c r="AW126" s="50" t="s">
        <v>118</v>
      </c>
      <c r="AX126" s="50" t="s">
        <v>102</v>
      </c>
      <c r="AY126" s="50" t="s">
        <v>119</v>
      </c>
      <c r="BC126" s="50" t="s">
        <v>120</v>
      </c>
      <c r="BD126" s="50" t="s">
        <v>4951</v>
      </c>
      <c r="BE126" s="50" t="s">
        <v>410</v>
      </c>
      <c r="BF126" s="50" t="s">
        <v>212</v>
      </c>
      <c r="BG126" s="50" t="s">
        <v>410</v>
      </c>
      <c r="BH126" s="50" t="s">
        <v>124</v>
      </c>
      <c r="BI126" s="50" t="s">
        <v>12023</v>
      </c>
      <c r="BJ126" s="50" t="s">
        <v>11889</v>
      </c>
      <c r="BK126" s="50" t="s">
        <v>127</v>
      </c>
      <c r="BL126" s="50" t="s">
        <v>15183</v>
      </c>
      <c r="BM126" s="50" t="s">
        <v>4953</v>
      </c>
      <c r="BN126" s="50" t="s">
        <v>15184</v>
      </c>
      <c r="BO126" s="50" t="s">
        <v>1941</v>
      </c>
      <c r="BP126" s="50" t="s">
        <v>4955</v>
      </c>
      <c r="BQ126" s="50" t="s">
        <v>132</v>
      </c>
      <c r="BR126" s="50" t="s">
        <v>4956</v>
      </c>
      <c r="BS126" s="50" t="s">
        <v>4957</v>
      </c>
      <c r="BT126" s="50" t="s">
        <v>1702</v>
      </c>
      <c r="BV126" s="50" t="s">
        <v>15185</v>
      </c>
      <c r="BW126" s="50" t="s">
        <v>15186</v>
      </c>
      <c r="BX126" s="50" t="s">
        <v>138</v>
      </c>
      <c r="BY126" s="50" t="s">
        <v>4960</v>
      </c>
      <c r="BZ126" s="50" t="s">
        <v>15187</v>
      </c>
      <c r="CA126" s="50" t="s">
        <v>4962</v>
      </c>
      <c r="CB126" s="50" t="s">
        <v>4959</v>
      </c>
      <c r="CC126" s="50" t="s">
        <v>4960</v>
      </c>
      <c r="CD126" s="50" t="s">
        <v>4961</v>
      </c>
      <c r="CE126" s="50" t="s">
        <v>15188</v>
      </c>
      <c r="CF126" s="50" t="s">
        <v>4960</v>
      </c>
      <c r="CG126" s="50" t="s">
        <v>15189</v>
      </c>
      <c r="CH126" s="50" t="s">
        <v>2270</v>
      </c>
      <c r="CI126" s="50" t="s">
        <v>15190</v>
      </c>
      <c r="CK126" s="50" t="s">
        <v>4964</v>
      </c>
      <c r="CL126" s="50" t="s">
        <v>15190</v>
      </c>
      <c r="CM126" s="50" t="s">
        <v>4951</v>
      </c>
      <c r="CN126" s="50" t="s">
        <v>410</v>
      </c>
      <c r="CO126" s="50" t="s">
        <v>4964</v>
      </c>
      <c r="CQ126" s="50" t="s">
        <v>4963</v>
      </c>
      <c r="CR126" s="50" t="s">
        <v>4963</v>
      </c>
    </row>
    <row r="127" spans="1:97" hidden="1">
      <c r="A127" s="50" t="s">
        <v>337</v>
      </c>
      <c r="B127" s="50">
        <v>3825980</v>
      </c>
      <c r="C127" s="50" t="e">
        <f>VLOOKUP(B127,'Drop schools 2026'!B:C,2,0)</f>
        <v>#N/A</v>
      </c>
      <c r="D127" s="50" t="s">
        <v>622</v>
      </c>
      <c r="E127" s="50" t="s">
        <v>3562</v>
      </c>
      <c r="F127" s="50" t="s">
        <v>17042</v>
      </c>
      <c r="G127" s="50" t="e">
        <f>VLOOKUP(B127,aa!B:F,5,0)</f>
        <v>#N/A</v>
      </c>
      <c r="H127" s="50" t="e">
        <f>VLOOKUP(B127,aa!B:J,9,0)</f>
        <v>#N/A</v>
      </c>
      <c r="I127" s="50" t="e">
        <f>VLOOKUP(B127,aa!B:L,11,0)</f>
        <v>#N/A</v>
      </c>
      <c r="J127" s="50" t="e">
        <f>VLOOKUP(B127,aa!B:O,14,0)</f>
        <v>#N/A</v>
      </c>
      <c r="K127" s="50" t="e">
        <f>VLOOKUP(B127,aa!B:R,17,0)</f>
        <v>#N/A</v>
      </c>
      <c r="L127" s="50" t="s">
        <v>193</v>
      </c>
      <c r="M127" s="50">
        <v>1112265</v>
      </c>
      <c r="N127" s="50">
        <v>1248205</v>
      </c>
      <c r="O127" s="50">
        <v>357045</v>
      </c>
      <c r="P127" s="50">
        <v>595</v>
      </c>
      <c r="Q127" s="50" t="s">
        <v>310</v>
      </c>
      <c r="R127" s="50">
        <v>0</v>
      </c>
      <c r="S127" s="50">
        <v>0</v>
      </c>
      <c r="U127" s="50">
        <v>755220</v>
      </c>
      <c r="V127" s="50">
        <v>302</v>
      </c>
      <c r="W127" s="50" t="s">
        <v>17044</v>
      </c>
      <c r="X127" s="50" t="s">
        <v>102</v>
      </c>
      <c r="Y127" s="50" t="s">
        <v>679</v>
      </c>
      <c r="Z127" s="50" t="s">
        <v>398</v>
      </c>
      <c r="AA127" s="50" t="s">
        <v>126</v>
      </c>
      <c r="AB127" s="50" t="s">
        <v>17045</v>
      </c>
      <c r="AC127" s="50" t="s">
        <v>17046</v>
      </c>
      <c r="AD127" s="50" t="s">
        <v>17047</v>
      </c>
      <c r="AE127" s="50" t="s">
        <v>17048</v>
      </c>
      <c r="AF127" s="50" t="s">
        <v>17049</v>
      </c>
      <c r="AG127" s="50" t="s">
        <v>17046</v>
      </c>
      <c r="AH127" s="50" t="s">
        <v>109</v>
      </c>
      <c r="AI127" s="50" t="s">
        <v>102</v>
      </c>
      <c r="AJ127" s="50" t="s">
        <v>102</v>
      </c>
      <c r="AK127" s="50" t="s">
        <v>17050</v>
      </c>
      <c r="AL127" s="50" t="s">
        <v>14238</v>
      </c>
      <c r="AM127" s="50" t="s">
        <v>17051</v>
      </c>
      <c r="AN127" s="50" t="s">
        <v>17052</v>
      </c>
      <c r="AO127" s="50" t="s">
        <v>17053</v>
      </c>
      <c r="AP127" s="50" t="s">
        <v>17054</v>
      </c>
      <c r="AQ127" s="50" t="s">
        <v>17055</v>
      </c>
      <c r="AR127" s="50" t="s">
        <v>343</v>
      </c>
      <c r="AV127" s="50" t="s">
        <v>247</v>
      </c>
      <c r="AW127" s="50" t="s">
        <v>118</v>
      </c>
      <c r="AX127" s="50" t="s">
        <v>102</v>
      </c>
      <c r="AY127" s="50" t="s">
        <v>119</v>
      </c>
      <c r="BB127" s="50" t="s">
        <v>250</v>
      </c>
      <c r="BC127" s="50" t="s">
        <v>120</v>
      </c>
      <c r="BD127" s="50" t="s">
        <v>1729</v>
      </c>
      <c r="BE127" s="50" t="s">
        <v>730</v>
      </c>
      <c r="BF127" s="50" t="s">
        <v>622</v>
      </c>
      <c r="BG127" s="50" t="s">
        <v>730</v>
      </c>
      <c r="BH127" s="50" t="s">
        <v>124</v>
      </c>
      <c r="BI127" s="50" t="s">
        <v>12636</v>
      </c>
      <c r="BJ127" s="50" t="s">
        <v>17056</v>
      </c>
      <c r="BK127" s="50" t="s">
        <v>127</v>
      </c>
      <c r="BL127" s="50" t="s">
        <v>17057</v>
      </c>
      <c r="BM127" s="50" t="s">
        <v>17058</v>
      </c>
      <c r="BN127" s="50" t="s">
        <v>17059</v>
      </c>
      <c r="BO127" s="50" t="s">
        <v>17043</v>
      </c>
      <c r="BP127" s="50" t="s">
        <v>3910</v>
      </c>
      <c r="BQ127" s="50" t="s">
        <v>350</v>
      </c>
      <c r="BR127" s="50" t="s">
        <v>3911</v>
      </c>
      <c r="BS127" s="50" t="s">
        <v>3912</v>
      </c>
      <c r="BT127" s="50" t="s">
        <v>7862</v>
      </c>
      <c r="BV127" s="50" t="s">
        <v>17060</v>
      </c>
      <c r="BW127" s="50" t="s">
        <v>17061</v>
      </c>
      <c r="BX127" s="50" t="s">
        <v>17062</v>
      </c>
      <c r="BY127" s="50" t="s">
        <v>17063</v>
      </c>
      <c r="BZ127" s="50" t="s">
        <v>17064</v>
      </c>
      <c r="CA127" s="50" t="s">
        <v>17065</v>
      </c>
      <c r="CB127" s="50" t="s">
        <v>17066</v>
      </c>
      <c r="CC127" s="50" t="s">
        <v>17067</v>
      </c>
      <c r="CD127" s="50" t="s">
        <v>17068</v>
      </c>
      <c r="CE127" s="50" t="s">
        <v>17069</v>
      </c>
      <c r="CF127" s="50" t="s">
        <v>17070</v>
      </c>
      <c r="CG127" s="50" t="s">
        <v>17071</v>
      </c>
      <c r="CH127" s="50" t="s">
        <v>1016</v>
      </c>
      <c r="CI127" s="50" t="s">
        <v>17072</v>
      </c>
      <c r="CK127" s="50" t="s">
        <v>6855</v>
      </c>
      <c r="CL127" s="50" t="s">
        <v>17073</v>
      </c>
      <c r="CM127" s="50" t="s">
        <v>1729</v>
      </c>
      <c r="CN127" s="50" t="s">
        <v>730</v>
      </c>
      <c r="CO127" s="50" t="s">
        <v>6855</v>
      </c>
      <c r="CQ127" s="50" t="s">
        <v>17074</v>
      </c>
      <c r="CR127" s="50" t="s">
        <v>17074</v>
      </c>
    </row>
    <row r="128" spans="1:97" hidden="1">
      <c r="A128" s="50" t="s">
        <v>149</v>
      </c>
      <c r="B128" s="50">
        <v>5016613</v>
      </c>
      <c r="C128" s="50" t="e">
        <f>VLOOKUP(B128,'Drop schools 2026'!B:C,2,0)</f>
        <v>#N/A</v>
      </c>
      <c r="D128" s="50" t="s">
        <v>212</v>
      </c>
      <c r="E128" s="50" t="s">
        <v>11995</v>
      </c>
      <c r="F128" s="50" t="s">
        <v>9761</v>
      </c>
      <c r="G128" s="50" t="str">
        <f>VLOOKUP(B128,aa!B:F,5,0)</f>
        <v>Ei Mindspark</v>
      </c>
      <c r="H128" s="50">
        <f>VLOOKUP(B128,aa!B:J,9,0)</f>
        <v>1159868</v>
      </c>
      <c r="I128" s="50">
        <f>VLOOKUP(B128,aa!B:L,11,0)</f>
        <v>0</v>
      </c>
      <c r="J128" s="50">
        <f>VLOOKUP(B128,aa!B:O,14,0)</f>
        <v>0</v>
      </c>
      <c r="K128" s="50">
        <f>VLOOKUP(B128,aa!B:R,17,0)</f>
        <v>1159868</v>
      </c>
      <c r="L128" s="50" t="s">
        <v>848</v>
      </c>
      <c r="M128" s="50">
        <v>1110453</v>
      </c>
      <c r="N128" s="50">
        <v>1310335</v>
      </c>
      <c r="O128" s="50">
        <v>0</v>
      </c>
      <c r="P128" s="50">
        <v>0</v>
      </c>
      <c r="R128" s="50">
        <v>0</v>
      </c>
      <c r="S128" s="50">
        <v>0</v>
      </c>
      <c r="U128" s="50">
        <v>1110453</v>
      </c>
      <c r="V128" s="50">
        <v>819</v>
      </c>
      <c r="W128" s="50" t="s">
        <v>4518</v>
      </c>
      <c r="X128" s="50" t="s">
        <v>102</v>
      </c>
      <c r="Y128" s="50" t="s">
        <v>103</v>
      </c>
      <c r="Z128" s="50" t="s">
        <v>398</v>
      </c>
      <c r="AB128" s="50" t="s">
        <v>3993</v>
      </c>
      <c r="AC128" s="50" t="s">
        <v>18919</v>
      </c>
      <c r="AD128" s="50" t="s">
        <v>12040</v>
      </c>
      <c r="AE128" s="50" t="s">
        <v>18920</v>
      </c>
      <c r="AF128" s="50" t="s">
        <v>12099</v>
      </c>
      <c r="AG128" s="50" t="s">
        <v>18920</v>
      </c>
      <c r="AH128" s="50" t="s">
        <v>109</v>
      </c>
      <c r="AI128" s="50" t="s">
        <v>102</v>
      </c>
      <c r="AJ128" s="50" t="s">
        <v>18921</v>
      </c>
      <c r="AK128" s="50" t="s">
        <v>857</v>
      </c>
      <c r="AL128" s="50" t="s">
        <v>18922</v>
      </c>
      <c r="AM128" s="50" t="s">
        <v>18923</v>
      </c>
      <c r="AN128" s="50" t="s">
        <v>18924</v>
      </c>
      <c r="AO128" s="50" t="s">
        <v>18925</v>
      </c>
      <c r="AP128" s="50" t="s">
        <v>18926</v>
      </c>
      <c r="AQ128" s="50" t="s">
        <v>18926</v>
      </c>
      <c r="AV128" s="50" t="s">
        <v>102</v>
      </c>
      <c r="AX128" s="50" t="s">
        <v>102</v>
      </c>
      <c r="AY128" s="50" t="s">
        <v>119</v>
      </c>
      <c r="BB128" s="50" t="s">
        <v>250</v>
      </c>
      <c r="BC128" s="50" t="s">
        <v>8521</v>
      </c>
      <c r="BD128" s="50" t="s">
        <v>284</v>
      </c>
      <c r="BE128" s="50" t="s">
        <v>285</v>
      </c>
      <c r="BF128" s="50" t="s">
        <v>212</v>
      </c>
      <c r="BG128" s="50" t="s">
        <v>286</v>
      </c>
      <c r="BH128" s="50" t="s">
        <v>124</v>
      </c>
      <c r="BI128" s="50" t="s">
        <v>7020</v>
      </c>
      <c r="BJ128" s="50" t="s">
        <v>18927</v>
      </c>
      <c r="BK128" s="50" t="s">
        <v>127</v>
      </c>
      <c r="BL128" s="50" t="s">
        <v>18928</v>
      </c>
      <c r="BM128" s="50" t="s">
        <v>9772</v>
      </c>
      <c r="BN128" s="50" t="s">
        <v>18929</v>
      </c>
      <c r="BO128" s="50" t="s">
        <v>945</v>
      </c>
      <c r="BP128" s="50" t="s">
        <v>956</v>
      </c>
      <c r="BQ128" s="50" t="s">
        <v>132</v>
      </c>
      <c r="BR128" s="50" t="s">
        <v>958</v>
      </c>
      <c r="BS128" s="50" t="s">
        <v>959</v>
      </c>
      <c r="BT128" s="50" t="s">
        <v>4765</v>
      </c>
      <c r="BV128" s="50" t="s">
        <v>18930</v>
      </c>
      <c r="BW128" s="50" t="s">
        <v>18931</v>
      </c>
      <c r="BX128" s="50" t="s">
        <v>296</v>
      </c>
      <c r="BY128" s="50" t="s">
        <v>18932</v>
      </c>
      <c r="BZ128" s="50" t="s">
        <v>6877</v>
      </c>
      <c r="CB128" s="50" t="s">
        <v>18931</v>
      </c>
      <c r="CC128" s="50" t="s">
        <v>6876</v>
      </c>
      <c r="CD128" s="50" t="s">
        <v>6877</v>
      </c>
      <c r="CE128" s="50" t="s">
        <v>18933</v>
      </c>
      <c r="CF128" s="50" t="s">
        <v>9807</v>
      </c>
      <c r="CG128" s="50" t="s">
        <v>9808</v>
      </c>
      <c r="CH128" s="50" t="s">
        <v>102</v>
      </c>
      <c r="CI128" s="50" t="s">
        <v>18934</v>
      </c>
      <c r="CK128" s="50" t="s">
        <v>6729</v>
      </c>
      <c r="CM128" s="50" t="s">
        <v>284</v>
      </c>
      <c r="CN128" s="50" t="s">
        <v>285</v>
      </c>
      <c r="CO128" s="50" t="s">
        <v>6729</v>
      </c>
      <c r="CP128" s="50" t="s">
        <v>6886</v>
      </c>
      <c r="CQ128" s="50" t="s">
        <v>9776</v>
      </c>
      <c r="CR128" s="50" t="s">
        <v>9775</v>
      </c>
    </row>
    <row r="129" spans="1:97" hidden="1">
      <c r="A129" s="50" t="s">
        <v>149</v>
      </c>
      <c r="B129" s="50">
        <v>3591328</v>
      </c>
      <c r="C129" s="50" t="str">
        <f>VLOOKUP(B129,'Drop schools 2026'!B:C,2,0)</f>
        <v>Drop</v>
      </c>
      <c r="D129" s="50" t="s">
        <v>174</v>
      </c>
      <c r="E129" s="50" t="s">
        <v>16575</v>
      </c>
      <c r="F129" s="50" t="s">
        <v>6779</v>
      </c>
      <c r="G129" s="50" t="e">
        <f>VLOOKUP(B129,aa!B:F,5,0)</f>
        <v>#N/A</v>
      </c>
      <c r="H129" s="50" t="e">
        <f>VLOOKUP(B129,aa!B:J,9,0)</f>
        <v>#N/A</v>
      </c>
      <c r="I129" s="50" t="e">
        <f>VLOOKUP(B129,aa!B:L,11,0)</f>
        <v>#N/A</v>
      </c>
      <c r="J129" s="50" t="e">
        <f>VLOOKUP(B129,aa!B:O,14,0)</f>
        <v>#N/A</v>
      </c>
      <c r="K129" s="50" t="e">
        <f>VLOOKUP(B129,aa!B:R,17,0)</f>
        <v>#N/A</v>
      </c>
      <c r="L129" s="50" t="s">
        <v>2163</v>
      </c>
      <c r="M129" s="50">
        <v>1109546</v>
      </c>
      <c r="N129" s="50">
        <v>1268227</v>
      </c>
      <c r="O129" s="50">
        <v>112793</v>
      </c>
      <c r="P129" s="50">
        <v>141</v>
      </c>
      <c r="Q129" s="50" t="s">
        <v>1297</v>
      </c>
      <c r="R129" s="50">
        <v>115190</v>
      </c>
      <c r="S129" s="50">
        <v>96</v>
      </c>
      <c r="T129" s="50" t="s">
        <v>880</v>
      </c>
      <c r="U129" s="50">
        <v>881563</v>
      </c>
      <c r="V129" s="50">
        <v>289</v>
      </c>
      <c r="W129" s="50" t="s">
        <v>16576</v>
      </c>
      <c r="X129" s="50" t="s">
        <v>102</v>
      </c>
      <c r="Y129" s="50" t="s">
        <v>103</v>
      </c>
      <c r="Z129" s="50" t="s">
        <v>155</v>
      </c>
      <c r="AB129" s="50" t="s">
        <v>4813</v>
      </c>
      <c r="AC129" s="50" t="s">
        <v>16577</v>
      </c>
      <c r="AD129" s="50" t="s">
        <v>1408</v>
      </c>
      <c r="AE129" s="50" t="s">
        <v>16577</v>
      </c>
      <c r="AF129" s="50" t="s">
        <v>12289</v>
      </c>
      <c r="AG129" s="50" t="s">
        <v>16577</v>
      </c>
      <c r="AH129" s="50" t="s">
        <v>11886</v>
      </c>
      <c r="AI129" s="50" t="s">
        <v>16577</v>
      </c>
      <c r="AJ129" s="50" t="s">
        <v>16578</v>
      </c>
      <c r="AK129" s="50" t="s">
        <v>4813</v>
      </c>
      <c r="AL129" s="50" t="s">
        <v>16579</v>
      </c>
      <c r="AM129" s="50" t="s">
        <v>16580</v>
      </c>
      <c r="AN129" s="50" t="s">
        <v>16581</v>
      </c>
      <c r="AO129" s="50" t="s">
        <v>16582</v>
      </c>
      <c r="AP129" s="50" t="s">
        <v>16583</v>
      </c>
      <c r="AQ129" s="50" t="s">
        <v>16583</v>
      </c>
      <c r="AV129" s="50" t="s">
        <v>247</v>
      </c>
      <c r="AW129" s="50" t="s">
        <v>118</v>
      </c>
      <c r="AX129" s="50" t="s">
        <v>1103</v>
      </c>
      <c r="AY129" s="50" t="s">
        <v>249</v>
      </c>
      <c r="AZ129" s="50" t="s">
        <v>170</v>
      </c>
      <c r="BA129" s="50" t="s">
        <v>118</v>
      </c>
      <c r="BB129" s="50" t="s">
        <v>250</v>
      </c>
      <c r="BC129" s="50" t="s">
        <v>120</v>
      </c>
      <c r="BD129" s="50" t="s">
        <v>375</v>
      </c>
      <c r="BE129" s="50" t="s">
        <v>376</v>
      </c>
      <c r="BF129" s="50" t="s">
        <v>174</v>
      </c>
      <c r="BG129" s="50" t="s">
        <v>376</v>
      </c>
      <c r="BH129" s="50" t="s">
        <v>124</v>
      </c>
      <c r="BI129" s="50" t="s">
        <v>16584</v>
      </c>
      <c r="BJ129" s="50" t="s">
        <v>11889</v>
      </c>
      <c r="BK129" s="50" t="s">
        <v>127</v>
      </c>
      <c r="BL129" s="50" t="s">
        <v>16585</v>
      </c>
      <c r="BM129" s="50" t="s">
        <v>6796</v>
      </c>
      <c r="BN129" s="50" t="s">
        <v>16586</v>
      </c>
      <c r="BO129" s="50" t="s">
        <v>12100</v>
      </c>
      <c r="BP129" s="50" t="s">
        <v>179</v>
      </c>
      <c r="BQ129" s="50" t="s">
        <v>180</v>
      </c>
      <c r="BR129" s="50" t="s">
        <v>181</v>
      </c>
      <c r="BS129" s="50" t="s">
        <v>182</v>
      </c>
      <c r="BT129" s="50" t="s">
        <v>5177</v>
      </c>
      <c r="BV129" s="50" t="s">
        <v>16587</v>
      </c>
      <c r="BW129" s="50" t="s">
        <v>16588</v>
      </c>
      <c r="BX129" s="50" t="s">
        <v>569</v>
      </c>
      <c r="BY129" s="50" t="s">
        <v>16589</v>
      </c>
      <c r="BZ129" s="50" t="s">
        <v>16590</v>
      </c>
      <c r="CA129" s="50" t="s">
        <v>6802</v>
      </c>
      <c r="CB129" s="50" t="s">
        <v>16588</v>
      </c>
      <c r="CC129" s="50" t="s">
        <v>16589</v>
      </c>
      <c r="CD129" s="50" t="s">
        <v>16590</v>
      </c>
      <c r="CE129" s="50" t="s">
        <v>16588</v>
      </c>
      <c r="CF129" s="50" t="s">
        <v>16589</v>
      </c>
      <c r="CG129" s="50" t="s">
        <v>16590</v>
      </c>
      <c r="CH129" s="50" t="s">
        <v>334</v>
      </c>
      <c r="CI129" s="50" t="s">
        <v>16591</v>
      </c>
      <c r="CK129" s="50" t="s">
        <v>6807</v>
      </c>
      <c r="CL129" s="50" t="s">
        <v>6806</v>
      </c>
      <c r="CM129" s="50" t="s">
        <v>375</v>
      </c>
      <c r="CN129" s="50" t="s">
        <v>376</v>
      </c>
      <c r="CO129" s="50" t="s">
        <v>6807</v>
      </c>
      <c r="CP129" s="50" t="s">
        <v>6808</v>
      </c>
      <c r="CQ129" s="50" t="s">
        <v>6809</v>
      </c>
      <c r="CR129" s="50" t="s">
        <v>6809</v>
      </c>
      <c r="CS129" s="50" t="s">
        <v>26043</v>
      </c>
    </row>
    <row r="130" spans="1:97" hidden="1">
      <c r="A130" s="50" t="s">
        <v>149</v>
      </c>
      <c r="B130" s="50">
        <v>632896</v>
      </c>
      <c r="C130" s="50" t="e">
        <f>VLOOKUP(B130,'Drop schools 2026'!B:C,2,0)</f>
        <v>#N/A</v>
      </c>
      <c r="D130" s="50" t="s">
        <v>212</v>
      </c>
      <c r="E130" s="50" t="s">
        <v>11947</v>
      </c>
      <c r="F130" s="50" t="s">
        <v>11434</v>
      </c>
      <c r="G130" s="50" t="str">
        <f>VLOOKUP(B130,aa!B:F,5,0)</f>
        <v>Ei ASSET,Ei Mindspark</v>
      </c>
      <c r="H130" s="50">
        <f>VLOOKUP(B130,aa!B:J,9,0)</f>
        <v>0</v>
      </c>
      <c r="I130" s="50">
        <f>VLOOKUP(B130,aa!B:L,11,0)</f>
        <v>0</v>
      </c>
      <c r="J130" s="50">
        <f>VLOOKUP(B130,aa!B:O,14,0)</f>
        <v>0</v>
      </c>
      <c r="K130" s="50">
        <f>VLOOKUP(B130,aa!B:R,17,0)</f>
        <v>0</v>
      </c>
      <c r="L130" s="50" t="s">
        <v>193</v>
      </c>
      <c r="M130" s="50">
        <v>1101370</v>
      </c>
      <c r="N130" s="50">
        <v>1236034</v>
      </c>
      <c r="O130" s="50">
        <v>353239</v>
      </c>
      <c r="P130" s="50">
        <v>1136</v>
      </c>
      <c r="Q130" s="50" t="s">
        <v>195</v>
      </c>
      <c r="R130" s="50">
        <v>0</v>
      </c>
      <c r="S130" s="50">
        <v>0</v>
      </c>
      <c r="U130" s="50">
        <v>748131</v>
      </c>
      <c r="V130" s="50">
        <v>1177</v>
      </c>
      <c r="W130" s="50" t="s">
        <v>11949</v>
      </c>
      <c r="X130" s="50" t="s">
        <v>102</v>
      </c>
      <c r="Y130" s="50" t="s">
        <v>103</v>
      </c>
      <c r="Z130" s="50" t="s">
        <v>104</v>
      </c>
      <c r="AB130" s="50" t="s">
        <v>11950</v>
      </c>
      <c r="AC130" s="50" t="s">
        <v>21333</v>
      </c>
      <c r="AD130" s="50" t="s">
        <v>15652</v>
      </c>
      <c r="AE130" s="50" t="s">
        <v>21333</v>
      </c>
      <c r="AF130" s="50" t="s">
        <v>109</v>
      </c>
      <c r="AG130" s="50" t="s">
        <v>102</v>
      </c>
      <c r="AH130" s="50" t="s">
        <v>109</v>
      </c>
      <c r="AI130" s="50" t="s">
        <v>102</v>
      </c>
      <c r="AJ130" s="50" t="s">
        <v>21334</v>
      </c>
      <c r="AK130" s="50" t="s">
        <v>11954</v>
      </c>
      <c r="AL130" s="50" t="s">
        <v>11954</v>
      </c>
      <c r="AM130" s="50" t="s">
        <v>21335</v>
      </c>
      <c r="AN130" s="50" t="s">
        <v>21336</v>
      </c>
      <c r="AO130" s="50" t="s">
        <v>21337</v>
      </c>
      <c r="AP130" s="50" t="s">
        <v>11958</v>
      </c>
      <c r="AQ130" s="50" t="s">
        <v>11958</v>
      </c>
      <c r="AV130" s="50" t="s">
        <v>207</v>
      </c>
      <c r="AW130" s="50" t="s">
        <v>118</v>
      </c>
      <c r="AX130" s="50" t="s">
        <v>102</v>
      </c>
      <c r="AY130" s="50" t="s">
        <v>119</v>
      </c>
      <c r="BB130" s="50" t="s">
        <v>250</v>
      </c>
      <c r="BC130" s="50" t="s">
        <v>120</v>
      </c>
      <c r="BD130" s="50" t="s">
        <v>5637</v>
      </c>
      <c r="BE130" s="50" t="s">
        <v>211</v>
      </c>
      <c r="BF130" s="50" t="s">
        <v>212</v>
      </c>
      <c r="BG130" s="50" t="s">
        <v>213</v>
      </c>
      <c r="BH130" s="50" t="s">
        <v>124</v>
      </c>
      <c r="BI130" s="50" t="s">
        <v>11959</v>
      </c>
      <c r="BJ130" s="50" t="s">
        <v>11960</v>
      </c>
      <c r="BK130" s="50" t="s">
        <v>127</v>
      </c>
      <c r="BL130" s="50" t="s">
        <v>21338</v>
      </c>
      <c r="BM130" s="50" t="s">
        <v>11442</v>
      </c>
      <c r="BN130" s="50" t="s">
        <v>21339</v>
      </c>
      <c r="BO130" s="50" t="s">
        <v>11948</v>
      </c>
      <c r="BP130" s="50" t="s">
        <v>1880</v>
      </c>
      <c r="BQ130" s="50" t="s">
        <v>7992</v>
      </c>
      <c r="BR130" s="50" t="s">
        <v>1882</v>
      </c>
      <c r="BS130" s="50" t="s">
        <v>1883</v>
      </c>
      <c r="BT130" s="50" t="s">
        <v>222</v>
      </c>
      <c r="BV130" s="50" t="s">
        <v>21340</v>
      </c>
      <c r="BW130" s="50" t="s">
        <v>15660</v>
      </c>
      <c r="BX130" s="50" t="s">
        <v>138</v>
      </c>
      <c r="BY130" s="50" t="s">
        <v>225</v>
      </c>
      <c r="BZ130" s="50" t="s">
        <v>226</v>
      </c>
      <c r="CA130" s="50" t="s">
        <v>11445</v>
      </c>
      <c r="CB130" s="50" t="s">
        <v>21341</v>
      </c>
      <c r="CC130" s="50" t="s">
        <v>21342</v>
      </c>
      <c r="CD130" s="50" t="s">
        <v>21343</v>
      </c>
      <c r="CE130" s="50" t="s">
        <v>21344</v>
      </c>
      <c r="CF130" s="50" t="s">
        <v>21342</v>
      </c>
      <c r="CG130" s="50" t="s">
        <v>21345</v>
      </c>
      <c r="CH130" s="50" t="s">
        <v>102</v>
      </c>
      <c r="CI130" s="50" t="s">
        <v>11446</v>
      </c>
      <c r="CK130" s="50" t="s">
        <v>7644</v>
      </c>
      <c r="CM130" s="50" t="s">
        <v>5637</v>
      </c>
      <c r="CN130" s="50" t="s">
        <v>211</v>
      </c>
      <c r="CO130" s="50" t="s">
        <v>7644</v>
      </c>
      <c r="CP130" s="50" t="s">
        <v>230</v>
      </c>
      <c r="CQ130" s="50" t="s">
        <v>11446</v>
      </c>
      <c r="CR130" s="50" t="s">
        <v>11446</v>
      </c>
    </row>
    <row r="131" spans="1:97" hidden="1">
      <c r="A131" s="50" t="s">
        <v>337</v>
      </c>
      <c r="B131" s="50">
        <v>4082390</v>
      </c>
      <c r="C131" s="50" t="e">
        <f>VLOOKUP(B131,'Drop schools 2026'!B:C,2,0)</f>
        <v>#N/A</v>
      </c>
      <c r="D131" s="50" t="s">
        <v>122</v>
      </c>
      <c r="E131" s="50" t="s">
        <v>12507</v>
      </c>
      <c r="F131" s="50" t="s">
        <v>18043</v>
      </c>
      <c r="G131" s="50" t="str">
        <f>VLOOKUP(B131,aa!B:F,5,0)</f>
        <v>Ei ASSET,Ei CARES</v>
      </c>
      <c r="H131" s="50">
        <f>VLOOKUP(B131,aa!B:J,9,0)</f>
        <v>1156995</v>
      </c>
      <c r="I131" s="50">
        <f>VLOOKUP(B131,aa!B:L,11,0)</f>
        <v>321124</v>
      </c>
      <c r="J131" s="50">
        <f>VLOOKUP(B131,aa!B:O,14,0)</f>
        <v>835871</v>
      </c>
      <c r="K131" s="50">
        <f>VLOOKUP(B131,aa!B:R,17,0)</f>
        <v>0</v>
      </c>
      <c r="L131" s="50" t="s">
        <v>2044</v>
      </c>
      <c r="M131" s="50">
        <v>1093650</v>
      </c>
      <c r="N131" s="50">
        <v>1093650</v>
      </c>
      <c r="O131" s="50">
        <v>253244</v>
      </c>
      <c r="P131" s="50">
        <v>327</v>
      </c>
      <c r="Q131" s="50" t="s">
        <v>18044</v>
      </c>
      <c r="R131" s="50">
        <v>840406</v>
      </c>
      <c r="S131" s="50">
        <v>487</v>
      </c>
      <c r="T131" s="50" t="s">
        <v>18045</v>
      </c>
      <c r="U131" s="50">
        <v>0</v>
      </c>
      <c r="V131" s="50">
        <v>0</v>
      </c>
      <c r="X131" s="50" t="s">
        <v>102</v>
      </c>
      <c r="Y131" s="50" t="s">
        <v>103</v>
      </c>
      <c r="Z131" s="50" t="s">
        <v>155</v>
      </c>
      <c r="AB131" s="50" t="s">
        <v>7695</v>
      </c>
      <c r="AC131" s="50" t="s">
        <v>18046</v>
      </c>
      <c r="AD131" s="50" t="s">
        <v>1547</v>
      </c>
      <c r="AE131" s="50" t="s">
        <v>18046</v>
      </c>
      <c r="AF131" s="50" t="s">
        <v>12427</v>
      </c>
      <c r="AG131" s="50" t="s">
        <v>18046</v>
      </c>
      <c r="AH131" s="50" t="s">
        <v>16007</v>
      </c>
      <c r="AI131" s="50" t="s">
        <v>18046</v>
      </c>
      <c r="AJ131" s="50" t="s">
        <v>18047</v>
      </c>
      <c r="AK131" s="50" t="s">
        <v>3988</v>
      </c>
      <c r="AL131" s="50" t="s">
        <v>15755</v>
      </c>
      <c r="AM131" s="50" t="s">
        <v>18048</v>
      </c>
      <c r="AN131" s="50" t="s">
        <v>18049</v>
      </c>
      <c r="AO131" s="50" t="s">
        <v>18050</v>
      </c>
      <c r="AP131" s="50" t="s">
        <v>18051</v>
      </c>
      <c r="AQ131" s="50" t="s">
        <v>18052</v>
      </c>
      <c r="AT131" s="50" t="s">
        <v>169</v>
      </c>
      <c r="AV131" s="50" t="s">
        <v>117</v>
      </c>
      <c r="AW131" s="50" t="s">
        <v>118</v>
      </c>
      <c r="AX131" s="50" t="s">
        <v>1758</v>
      </c>
      <c r="AY131" s="50" t="s">
        <v>447</v>
      </c>
      <c r="AZ131" s="50" t="s">
        <v>170</v>
      </c>
      <c r="BA131" s="50" t="s">
        <v>118</v>
      </c>
      <c r="BC131" s="50" t="s">
        <v>120</v>
      </c>
      <c r="BD131" s="50" t="s">
        <v>4216</v>
      </c>
      <c r="BE131" s="50" t="s">
        <v>556</v>
      </c>
      <c r="BF131" s="50" t="s">
        <v>122</v>
      </c>
      <c r="BG131" s="50" t="s">
        <v>557</v>
      </c>
      <c r="BH131" s="50" t="s">
        <v>124</v>
      </c>
      <c r="BI131" s="50" t="s">
        <v>4665</v>
      </c>
      <c r="BJ131" s="50" t="s">
        <v>17605</v>
      </c>
      <c r="BK131" s="50" t="s">
        <v>127</v>
      </c>
      <c r="BL131" s="50" t="s">
        <v>18053</v>
      </c>
      <c r="BM131" s="50" t="s">
        <v>18054</v>
      </c>
      <c r="BN131" s="50" t="s">
        <v>18055</v>
      </c>
      <c r="BO131" s="50" t="s">
        <v>370</v>
      </c>
      <c r="BP131" s="50" t="s">
        <v>1071</v>
      </c>
      <c r="BQ131" s="50" t="s">
        <v>350</v>
      </c>
      <c r="BR131" s="50" t="s">
        <v>1072</v>
      </c>
      <c r="BS131" s="50" t="s">
        <v>1073</v>
      </c>
      <c r="BT131" s="50" t="s">
        <v>1074</v>
      </c>
      <c r="BV131" s="50" t="s">
        <v>18056</v>
      </c>
      <c r="BW131" s="50" t="s">
        <v>18057</v>
      </c>
      <c r="BY131" s="50" t="s">
        <v>18058</v>
      </c>
      <c r="BZ131" s="50" t="s">
        <v>18059</v>
      </c>
      <c r="CA131" s="50" t="s">
        <v>18060</v>
      </c>
      <c r="CB131" s="50" t="s">
        <v>18061</v>
      </c>
      <c r="CC131" s="50" t="s">
        <v>18062</v>
      </c>
      <c r="CD131" s="50" t="s">
        <v>18059</v>
      </c>
      <c r="CE131" s="50" t="s">
        <v>18061</v>
      </c>
      <c r="CF131" s="50" t="s">
        <v>18058</v>
      </c>
      <c r="CG131" s="50" t="s">
        <v>18059</v>
      </c>
      <c r="CH131" s="50" t="s">
        <v>18063</v>
      </c>
      <c r="CI131" s="50" t="s">
        <v>18064</v>
      </c>
      <c r="CK131" s="50" t="s">
        <v>18065</v>
      </c>
      <c r="CL131" s="50" t="s">
        <v>18066</v>
      </c>
      <c r="CM131" s="50" t="s">
        <v>4216</v>
      </c>
      <c r="CN131" s="50" t="s">
        <v>556</v>
      </c>
      <c r="CO131" s="50" t="s">
        <v>18065</v>
      </c>
      <c r="CP131" s="50" t="s">
        <v>18067</v>
      </c>
      <c r="CQ131" s="50" t="s">
        <v>18068</v>
      </c>
      <c r="CR131" s="50" t="s">
        <v>18068</v>
      </c>
    </row>
    <row r="132" spans="1:97" hidden="1">
      <c r="A132" s="50" t="s">
        <v>337</v>
      </c>
      <c r="B132" s="50">
        <v>5058694</v>
      </c>
      <c r="C132" s="50" t="e">
        <f>VLOOKUP(B132,'Drop schools 2026'!B:C,2,0)</f>
        <v>#N/A</v>
      </c>
      <c r="D132" s="50" t="s">
        <v>622</v>
      </c>
      <c r="E132" s="50" t="s">
        <v>3562</v>
      </c>
      <c r="F132" s="50" t="s">
        <v>20671</v>
      </c>
      <c r="G132" s="50" t="e">
        <f>VLOOKUP(B132,aa!B:F,5,0)</f>
        <v>#N/A</v>
      </c>
      <c r="H132" s="50" t="e">
        <f>VLOOKUP(B132,aa!B:J,9,0)</f>
        <v>#N/A</v>
      </c>
      <c r="I132" s="50" t="e">
        <f>VLOOKUP(B132,aa!B:L,11,0)</f>
        <v>#N/A</v>
      </c>
      <c r="J132" s="50" t="e">
        <f>VLOOKUP(B132,aa!B:O,14,0)</f>
        <v>#N/A</v>
      </c>
      <c r="K132" s="50" t="e">
        <f>VLOOKUP(B132,aa!B:R,17,0)</f>
        <v>#N/A</v>
      </c>
      <c r="L132" s="50" t="s">
        <v>2163</v>
      </c>
      <c r="M132" s="50">
        <v>1083722</v>
      </c>
      <c r="N132" s="50">
        <v>1198231</v>
      </c>
      <c r="O132" s="50">
        <v>183811</v>
      </c>
      <c r="P132" s="50">
        <v>230</v>
      </c>
      <c r="Q132" s="50" t="s">
        <v>20673</v>
      </c>
      <c r="R132" s="50">
        <v>263751</v>
      </c>
      <c r="S132" s="50">
        <v>189</v>
      </c>
      <c r="T132" s="50" t="s">
        <v>20674</v>
      </c>
      <c r="U132" s="50">
        <v>636160</v>
      </c>
      <c r="V132" s="50">
        <v>293</v>
      </c>
      <c r="W132" s="50" t="s">
        <v>20675</v>
      </c>
      <c r="X132" s="50" t="s">
        <v>102</v>
      </c>
      <c r="Y132" s="50" t="s">
        <v>275</v>
      </c>
      <c r="AA132" s="50" t="s">
        <v>14547</v>
      </c>
      <c r="AB132" s="50" t="s">
        <v>109</v>
      </c>
      <c r="AC132" s="50" t="s">
        <v>102</v>
      </c>
      <c r="AD132" s="50" t="s">
        <v>109</v>
      </c>
      <c r="AE132" s="50" t="s">
        <v>102</v>
      </c>
      <c r="AF132" s="50" t="s">
        <v>109</v>
      </c>
      <c r="AG132" s="50" t="s">
        <v>102</v>
      </c>
      <c r="AH132" s="50" t="s">
        <v>109</v>
      </c>
      <c r="AI132" s="50" t="s">
        <v>102</v>
      </c>
      <c r="AJ132" s="50" t="s">
        <v>102</v>
      </c>
      <c r="AK132" s="50" t="s">
        <v>15195</v>
      </c>
      <c r="AL132" s="50" t="s">
        <v>15195</v>
      </c>
      <c r="AM132" s="50" t="s">
        <v>20676</v>
      </c>
      <c r="AN132" s="50" t="s">
        <v>20677</v>
      </c>
      <c r="AO132" s="50" t="s">
        <v>20678</v>
      </c>
      <c r="AP132" s="50" t="s">
        <v>20679</v>
      </c>
      <c r="AQ132" s="50" t="s">
        <v>20679</v>
      </c>
      <c r="AV132" s="50" t="s">
        <v>207</v>
      </c>
      <c r="AW132" s="50" t="s">
        <v>118</v>
      </c>
      <c r="AX132" s="50" t="s">
        <v>1103</v>
      </c>
      <c r="AY132" s="50" t="s">
        <v>249</v>
      </c>
      <c r="AZ132" s="50" t="s">
        <v>170</v>
      </c>
      <c r="BA132" s="50" t="s">
        <v>118</v>
      </c>
      <c r="BB132" s="50" t="s">
        <v>250</v>
      </c>
      <c r="BC132" s="50" t="s">
        <v>1964</v>
      </c>
      <c r="BD132" s="50" t="s">
        <v>1729</v>
      </c>
      <c r="BE132" s="50" t="s">
        <v>730</v>
      </c>
      <c r="BF132" s="50" t="s">
        <v>622</v>
      </c>
      <c r="BG132" s="50" t="s">
        <v>730</v>
      </c>
      <c r="BH132" s="50" t="s">
        <v>124</v>
      </c>
      <c r="BI132" s="50" t="s">
        <v>11976</v>
      </c>
      <c r="BJ132" s="50" t="s">
        <v>12720</v>
      </c>
      <c r="BK132" s="50" t="s">
        <v>127</v>
      </c>
      <c r="BL132" s="50" t="s">
        <v>20680</v>
      </c>
      <c r="BM132" s="50" t="s">
        <v>20681</v>
      </c>
      <c r="BN132" s="50" t="s">
        <v>20682</v>
      </c>
      <c r="BO132" s="50" t="s">
        <v>20672</v>
      </c>
      <c r="BP132" s="50" t="s">
        <v>734</v>
      </c>
      <c r="BQ132" s="50" t="s">
        <v>350</v>
      </c>
      <c r="BR132" s="50" t="s">
        <v>735</v>
      </c>
      <c r="BS132" s="50" t="s">
        <v>736</v>
      </c>
      <c r="BT132" s="50" t="s">
        <v>737</v>
      </c>
      <c r="BV132" s="50" t="s">
        <v>20683</v>
      </c>
      <c r="BW132" s="50" t="s">
        <v>6852</v>
      </c>
      <c r="BX132" s="50" t="s">
        <v>569</v>
      </c>
      <c r="BY132" s="50" t="s">
        <v>4098</v>
      </c>
      <c r="BZ132" s="50" t="s">
        <v>4099</v>
      </c>
      <c r="CA132" s="50" t="s">
        <v>4098</v>
      </c>
      <c r="CB132" s="50" t="s">
        <v>6852</v>
      </c>
      <c r="CC132" s="50" t="s">
        <v>4098</v>
      </c>
      <c r="CD132" s="50" t="s">
        <v>4099</v>
      </c>
      <c r="CE132" s="50" t="s">
        <v>6852</v>
      </c>
      <c r="CF132" s="50" t="s">
        <v>4098</v>
      </c>
      <c r="CG132" s="50" t="s">
        <v>4099</v>
      </c>
      <c r="CH132" s="50" t="s">
        <v>907</v>
      </c>
      <c r="CI132" s="50" t="s">
        <v>20684</v>
      </c>
      <c r="CK132" s="50" t="s">
        <v>1743</v>
      </c>
      <c r="CL132" s="50" t="s">
        <v>1742</v>
      </c>
      <c r="CM132" s="50" t="s">
        <v>1729</v>
      </c>
      <c r="CN132" s="50" t="s">
        <v>730</v>
      </c>
      <c r="CO132" s="50" t="s">
        <v>1743</v>
      </c>
      <c r="CQ132" s="50" t="s">
        <v>20685</v>
      </c>
      <c r="CR132" s="50" t="s">
        <v>20685</v>
      </c>
    </row>
    <row r="133" spans="1:97" hidden="1">
      <c r="A133" s="50" t="s">
        <v>149</v>
      </c>
      <c r="B133" s="50">
        <v>2057359</v>
      </c>
      <c r="C133" s="50" t="e">
        <f>VLOOKUP(B133,'Drop schools 2026'!B:C,2,0)</f>
        <v>#N/A</v>
      </c>
      <c r="D133" s="50" t="s">
        <v>122</v>
      </c>
      <c r="E133" s="50" t="s">
        <v>12507</v>
      </c>
      <c r="F133" s="50" t="s">
        <v>2534</v>
      </c>
      <c r="G133" s="50" t="str">
        <f>VLOOKUP(B133,aa!B:F,5,0)</f>
        <v>Ei CARES, Ei Mindspark</v>
      </c>
      <c r="H133" s="50">
        <f>VLOOKUP(B133,aa!B:J,9,0)</f>
        <v>1776018</v>
      </c>
      <c r="I133" s="50">
        <f>VLOOKUP(B133,aa!B:L,11,0)</f>
        <v>0</v>
      </c>
      <c r="J133" s="50">
        <f>VLOOKUP(B133,aa!B:O,14,0)</f>
        <v>1083017</v>
      </c>
      <c r="K133" s="50">
        <f>VLOOKUP(B133,aa!B:R,17,0)</f>
        <v>693001</v>
      </c>
      <c r="L133" s="50" t="s">
        <v>152</v>
      </c>
      <c r="M133" s="50">
        <v>1083017</v>
      </c>
      <c r="N133" s="50">
        <v>1083017</v>
      </c>
      <c r="O133" s="50">
        <v>0</v>
      </c>
      <c r="P133" s="50">
        <v>0</v>
      </c>
      <c r="R133" s="50">
        <v>1083017</v>
      </c>
      <c r="S133" s="50">
        <v>570</v>
      </c>
      <c r="T133" s="50" t="s">
        <v>13436</v>
      </c>
      <c r="U133" s="50">
        <v>0</v>
      </c>
      <c r="V133" s="50">
        <v>0</v>
      </c>
      <c r="X133" s="50" t="s">
        <v>102</v>
      </c>
      <c r="Y133" s="50" t="s">
        <v>103</v>
      </c>
      <c r="Z133" s="50" t="s">
        <v>104</v>
      </c>
      <c r="AB133" s="50" t="s">
        <v>1941</v>
      </c>
      <c r="AC133" s="50" t="s">
        <v>13437</v>
      </c>
      <c r="AD133" s="50" t="s">
        <v>13395</v>
      </c>
      <c r="AE133" s="50" t="s">
        <v>13437</v>
      </c>
      <c r="AF133" s="50" t="s">
        <v>109</v>
      </c>
      <c r="AG133" s="50" t="s">
        <v>102</v>
      </c>
      <c r="AH133" s="50" t="s">
        <v>109</v>
      </c>
      <c r="AI133" s="50" t="s">
        <v>102</v>
      </c>
      <c r="AJ133" s="50" t="s">
        <v>13438</v>
      </c>
      <c r="AK133" s="50" t="s">
        <v>10729</v>
      </c>
      <c r="AL133" s="50" t="s">
        <v>13439</v>
      </c>
      <c r="AM133" s="50" t="s">
        <v>13440</v>
      </c>
      <c r="AN133" s="50" t="s">
        <v>13441</v>
      </c>
      <c r="AO133" s="50" t="s">
        <v>13442</v>
      </c>
      <c r="AP133" s="50" t="s">
        <v>13443</v>
      </c>
      <c r="AQ133" s="50" t="s">
        <v>13443</v>
      </c>
      <c r="AV133" s="50" t="s">
        <v>102</v>
      </c>
      <c r="AX133" s="50" t="s">
        <v>104</v>
      </c>
      <c r="AY133" s="50" t="s">
        <v>447</v>
      </c>
      <c r="AZ133" s="50" t="s">
        <v>170</v>
      </c>
      <c r="BA133" s="50" t="s">
        <v>118</v>
      </c>
      <c r="BC133" s="50" t="s">
        <v>120</v>
      </c>
      <c r="BD133" s="50" t="s">
        <v>2542</v>
      </c>
      <c r="BE133" s="50" t="s">
        <v>2543</v>
      </c>
      <c r="BF133" s="50" t="s">
        <v>122</v>
      </c>
      <c r="BG133" s="50" t="s">
        <v>557</v>
      </c>
      <c r="BH133" s="50" t="s">
        <v>124</v>
      </c>
      <c r="BI133" s="50" t="s">
        <v>12023</v>
      </c>
      <c r="BJ133" s="50" t="s">
        <v>11889</v>
      </c>
      <c r="BK133" s="50" t="s">
        <v>127</v>
      </c>
      <c r="BL133" s="50" t="s">
        <v>13444</v>
      </c>
      <c r="BM133" s="50" t="s">
        <v>2545</v>
      </c>
      <c r="BN133" s="50" t="s">
        <v>13445</v>
      </c>
      <c r="BO133" s="50" t="s">
        <v>13435</v>
      </c>
      <c r="BP133" s="50" t="s">
        <v>12743</v>
      </c>
      <c r="BQ133" s="50" t="s">
        <v>350</v>
      </c>
      <c r="BR133" s="50" t="s">
        <v>12744</v>
      </c>
      <c r="BS133" s="50" t="s">
        <v>12745</v>
      </c>
      <c r="BT133" s="50" t="s">
        <v>1075</v>
      </c>
      <c r="BV133" s="50" t="s">
        <v>13446</v>
      </c>
      <c r="BW133" s="50" t="s">
        <v>13447</v>
      </c>
      <c r="BX133" s="50" t="s">
        <v>569</v>
      </c>
      <c r="BY133" s="50" t="s">
        <v>13448</v>
      </c>
      <c r="BZ133" s="50" t="s">
        <v>13449</v>
      </c>
      <c r="CA133" s="50" t="s">
        <v>2554</v>
      </c>
      <c r="CB133" s="50" t="s">
        <v>13450</v>
      </c>
      <c r="CC133" s="50" t="s">
        <v>2554</v>
      </c>
      <c r="CD133" s="50" t="s">
        <v>13451</v>
      </c>
      <c r="CE133" s="50" t="s">
        <v>13452</v>
      </c>
      <c r="CF133" s="50" t="s">
        <v>13453</v>
      </c>
      <c r="CG133" s="50" t="s">
        <v>2553</v>
      </c>
      <c r="CH133" s="50" t="s">
        <v>2555</v>
      </c>
      <c r="CI133" s="50" t="s">
        <v>13454</v>
      </c>
      <c r="CK133" s="50" t="s">
        <v>2557</v>
      </c>
      <c r="CL133" s="50" t="s">
        <v>2556</v>
      </c>
      <c r="CM133" s="50" t="s">
        <v>2542</v>
      </c>
      <c r="CN133" s="50" t="s">
        <v>2543</v>
      </c>
      <c r="CO133" s="50" t="s">
        <v>2557</v>
      </c>
      <c r="CP133" s="50" t="s">
        <v>2558</v>
      </c>
      <c r="CQ133" s="50" t="s">
        <v>2556</v>
      </c>
      <c r="CR133" s="50" t="s">
        <v>2556</v>
      </c>
    </row>
    <row r="134" spans="1:97">
      <c r="A134" s="50" t="s">
        <v>337</v>
      </c>
      <c r="B134" s="50">
        <v>5018417</v>
      </c>
      <c r="C134" s="50" t="e">
        <f>VLOOKUP(B134,'Drop schools 2026'!B:C,2,0)</f>
        <v>#N/A</v>
      </c>
      <c r="D134" s="50" t="s">
        <v>122</v>
      </c>
      <c r="E134" s="50" t="s">
        <v>12121</v>
      </c>
      <c r="F134" s="50" t="s">
        <v>19720</v>
      </c>
      <c r="G134" s="50" t="e">
        <f>VLOOKUP(B134,aa!B:F,5,0)</f>
        <v>#N/A</v>
      </c>
      <c r="H134" s="50" t="e">
        <f>VLOOKUP(B134,aa!B:J,9,0)</f>
        <v>#N/A</v>
      </c>
      <c r="I134" s="50" t="e">
        <f>VLOOKUP(B134,aa!B:L,11,0)</f>
        <v>#N/A</v>
      </c>
      <c r="J134" s="50" t="e">
        <f>VLOOKUP(B134,aa!B:O,14,0)</f>
        <v>#N/A</v>
      </c>
      <c r="K134" s="50" t="e">
        <f>VLOOKUP(B134,aa!B:R,17,0)</f>
        <v>#N/A</v>
      </c>
      <c r="L134" s="50" t="s">
        <v>152</v>
      </c>
      <c r="M134" s="50">
        <v>1082400</v>
      </c>
      <c r="N134" s="50">
        <v>1082400</v>
      </c>
      <c r="O134" s="50">
        <v>0</v>
      </c>
      <c r="P134" s="50">
        <v>0</v>
      </c>
      <c r="R134" s="50">
        <v>1082400</v>
      </c>
      <c r="S134" s="50">
        <v>492</v>
      </c>
      <c r="T134" s="50" t="s">
        <v>10371</v>
      </c>
      <c r="U134" s="50">
        <v>0</v>
      </c>
      <c r="V134" s="50">
        <v>0</v>
      </c>
      <c r="X134" s="50" t="s">
        <v>102</v>
      </c>
      <c r="Y134" s="50" t="s">
        <v>103</v>
      </c>
      <c r="Z134" s="50" t="s">
        <v>155</v>
      </c>
      <c r="AB134" s="50" t="s">
        <v>3207</v>
      </c>
      <c r="AC134" s="50" t="s">
        <v>19721</v>
      </c>
      <c r="AD134" s="50" t="s">
        <v>4665</v>
      </c>
      <c r="AE134" s="50" t="s">
        <v>19721</v>
      </c>
      <c r="AF134" s="50" t="s">
        <v>1547</v>
      </c>
      <c r="AG134" s="50" t="s">
        <v>19721</v>
      </c>
      <c r="AH134" s="50" t="s">
        <v>13110</v>
      </c>
      <c r="AI134" s="50" t="s">
        <v>19721</v>
      </c>
      <c r="AJ134" s="50" t="s">
        <v>19722</v>
      </c>
      <c r="AK134" s="50" t="s">
        <v>1719</v>
      </c>
      <c r="AL134" s="50" t="s">
        <v>19723</v>
      </c>
      <c r="AM134" s="50" t="s">
        <v>19724</v>
      </c>
      <c r="AN134" s="50" t="s">
        <v>19725</v>
      </c>
      <c r="AO134" s="50" t="s">
        <v>19726</v>
      </c>
      <c r="AP134" s="50" t="s">
        <v>116</v>
      </c>
      <c r="AQ134" s="50" t="s">
        <v>116</v>
      </c>
      <c r="AV134" s="50" t="s">
        <v>102</v>
      </c>
      <c r="AX134" s="50" t="s">
        <v>155</v>
      </c>
      <c r="AY134" s="50" t="s">
        <v>447</v>
      </c>
      <c r="AZ134" s="50" t="s">
        <v>170</v>
      </c>
      <c r="BA134" s="50" t="s">
        <v>118</v>
      </c>
      <c r="BC134" s="50" t="s">
        <v>120</v>
      </c>
      <c r="BD134" s="50" t="s">
        <v>19727</v>
      </c>
      <c r="BE134" s="50" t="s">
        <v>449</v>
      </c>
      <c r="BF134" s="50" t="s">
        <v>122</v>
      </c>
      <c r="BG134" s="50" t="s">
        <v>253</v>
      </c>
      <c r="BH134" s="50" t="s">
        <v>124</v>
      </c>
      <c r="BI134" s="50" t="s">
        <v>12023</v>
      </c>
      <c r="BJ134" s="50" t="s">
        <v>11889</v>
      </c>
      <c r="BK134" s="50" t="s">
        <v>127</v>
      </c>
      <c r="BL134" s="50" t="s">
        <v>19728</v>
      </c>
      <c r="BM134" s="50" t="s">
        <v>19729</v>
      </c>
      <c r="BN134" s="50" t="s">
        <v>19730</v>
      </c>
      <c r="BO134" s="50" t="s">
        <v>9129</v>
      </c>
      <c r="BP134" s="50" t="s">
        <v>10675</v>
      </c>
      <c r="BQ134" s="50" t="s">
        <v>350</v>
      </c>
      <c r="BR134" s="50" t="s">
        <v>10676</v>
      </c>
      <c r="BS134" s="50" t="s">
        <v>10677</v>
      </c>
      <c r="BT134" s="50" t="s">
        <v>10678</v>
      </c>
      <c r="BV134" s="50" t="s">
        <v>19731</v>
      </c>
      <c r="BW134" s="50" t="s">
        <v>19732</v>
      </c>
      <c r="BX134" s="50" t="s">
        <v>569</v>
      </c>
      <c r="BY134" s="50" t="s">
        <v>19733</v>
      </c>
      <c r="BZ134" s="50" t="s">
        <v>19734</v>
      </c>
      <c r="CA134" s="50" t="s">
        <v>19733</v>
      </c>
      <c r="CB134" s="50" t="s">
        <v>19732</v>
      </c>
      <c r="CC134" s="50" t="s">
        <v>19733</v>
      </c>
      <c r="CD134" s="50" t="s">
        <v>19734</v>
      </c>
      <c r="CE134" s="50" t="s">
        <v>19732</v>
      </c>
      <c r="CF134" s="50" t="s">
        <v>19733</v>
      </c>
      <c r="CG134" s="50" t="s">
        <v>19734</v>
      </c>
      <c r="CH134" s="50" t="s">
        <v>19735</v>
      </c>
      <c r="CI134" s="50" t="s">
        <v>19736</v>
      </c>
      <c r="CK134" s="50" t="s">
        <v>19737</v>
      </c>
      <c r="CL134" s="50" t="s">
        <v>19738</v>
      </c>
      <c r="CM134" s="50" t="s">
        <v>19727</v>
      </c>
      <c r="CN134" s="50" t="s">
        <v>449</v>
      </c>
      <c r="CO134" s="50" t="s">
        <v>19737</v>
      </c>
      <c r="CP134" s="50" t="s">
        <v>19739</v>
      </c>
      <c r="CQ134" s="50" t="s">
        <v>19736</v>
      </c>
      <c r="CR134" s="50" t="s">
        <v>19738</v>
      </c>
    </row>
    <row r="135" spans="1:97" hidden="1">
      <c r="A135" s="50" t="s">
        <v>149</v>
      </c>
      <c r="B135" s="50">
        <v>258293</v>
      </c>
      <c r="C135" s="50" t="e">
        <f>VLOOKUP(B135,'Drop schools 2026'!B:C,2,0)</f>
        <v>#N/A</v>
      </c>
      <c r="D135" s="50" t="s">
        <v>212</v>
      </c>
      <c r="E135" s="50" t="s">
        <v>418</v>
      </c>
      <c r="F135" s="50" t="s">
        <v>4183</v>
      </c>
      <c r="G135" s="50" t="e">
        <f>VLOOKUP(B135,aa!B:F,5,0)</f>
        <v>#N/A</v>
      </c>
      <c r="H135" s="50" t="e">
        <f>VLOOKUP(B135,aa!B:J,9,0)</f>
        <v>#N/A</v>
      </c>
      <c r="I135" s="50" t="e">
        <f>VLOOKUP(B135,aa!B:L,11,0)</f>
        <v>#N/A</v>
      </c>
      <c r="J135" s="50" t="e">
        <f>VLOOKUP(B135,aa!B:O,14,0)</f>
        <v>#N/A</v>
      </c>
      <c r="K135" s="50" t="e">
        <f>VLOOKUP(B135,aa!B:R,17,0)</f>
        <v>#N/A</v>
      </c>
      <c r="L135" s="50" t="s">
        <v>675</v>
      </c>
      <c r="M135" s="50">
        <v>1082287</v>
      </c>
      <c r="N135" s="50">
        <v>1082287</v>
      </c>
      <c r="O135" s="50">
        <v>955927</v>
      </c>
      <c r="P135" s="50">
        <v>1081</v>
      </c>
      <c r="Q135" s="50" t="s">
        <v>14605</v>
      </c>
      <c r="R135" s="50">
        <v>126360</v>
      </c>
      <c r="S135" s="50">
        <v>156</v>
      </c>
      <c r="T135" s="50" t="s">
        <v>6750</v>
      </c>
      <c r="U135" s="50">
        <v>0</v>
      </c>
      <c r="V135" s="50">
        <v>0</v>
      </c>
      <c r="X135" s="50" t="s">
        <v>102</v>
      </c>
      <c r="Y135" s="50" t="s">
        <v>103</v>
      </c>
      <c r="Z135" s="50" t="s">
        <v>104</v>
      </c>
      <c r="AB135" s="50" t="s">
        <v>11927</v>
      </c>
      <c r="AC135" s="50" t="s">
        <v>14606</v>
      </c>
      <c r="AD135" s="50" t="s">
        <v>1427</v>
      </c>
      <c r="AE135" s="50" t="s">
        <v>14607</v>
      </c>
      <c r="AF135" s="50" t="s">
        <v>109</v>
      </c>
      <c r="AG135" s="50" t="s">
        <v>102</v>
      </c>
      <c r="AH135" s="50" t="s">
        <v>109</v>
      </c>
      <c r="AI135" s="50" t="s">
        <v>102</v>
      </c>
      <c r="AJ135" s="50" t="s">
        <v>14608</v>
      </c>
      <c r="AK135" s="50" t="s">
        <v>7484</v>
      </c>
      <c r="AL135" s="50" t="s">
        <v>14609</v>
      </c>
      <c r="AM135" s="50" t="s">
        <v>14610</v>
      </c>
      <c r="AN135" s="50" t="s">
        <v>14611</v>
      </c>
      <c r="AO135" s="50" t="s">
        <v>14612</v>
      </c>
      <c r="AP135" s="50" t="s">
        <v>14613</v>
      </c>
      <c r="AQ135" s="50" t="s">
        <v>14613</v>
      </c>
      <c r="AV135" s="50" t="s">
        <v>207</v>
      </c>
      <c r="AW135" s="50" t="s">
        <v>118</v>
      </c>
      <c r="AX135" s="50" t="s">
        <v>1103</v>
      </c>
      <c r="AY135" s="50" t="s">
        <v>119</v>
      </c>
      <c r="AZ135" s="50" t="s">
        <v>170</v>
      </c>
      <c r="BA135" s="50" t="s">
        <v>118</v>
      </c>
      <c r="BC135" s="50" t="s">
        <v>120</v>
      </c>
      <c r="BD135" s="50" t="s">
        <v>409</v>
      </c>
      <c r="BE135" s="50" t="s">
        <v>410</v>
      </c>
      <c r="BF135" s="50" t="s">
        <v>212</v>
      </c>
      <c r="BG135" s="50" t="s">
        <v>410</v>
      </c>
      <c r="BH135" s="50" t="s">
        <v>124</v>
      </c>
      <c r="BI135" s="50" t="s">
        <v>11959</v>
      </c>
      <c r="BJ135" s="50" t="s">
        <v>12047</v>
      </c>
      <c r="BK135" s="50" t="s">
        <v>127</v>
      </c>
      <c r="BL135" s="50" t="s">
        <v>14614</v>
      </c>
      <c r="BM135" s="50" t="s">
        <v>4196</v>
      </c>
      <c r="BN135" s="50" t="s">
        <v>14615</v>
      </c>
      <c r="BO135" s="50" t="s">
        <v>11925</v>
      </c>
      <c r="BP135" s="50" t="s">
        <v>866</v>
      </c>
      <c r="BQ135" s="50" t="s">
        <v>350</v>
      </c>
      <c r="BR135" s="50" t="s">
        <v>867</v>
      </c>
      <c r="BS135" s="50" t="s">
        <v>868</v>
      </c>
      <c r="BT135" s="50" t="s">
        <v>418</v>
      </c>
      <c r="BV135" s="50" t="s">
        <v>14616</v>
      </c>
      <c r="BW135" s="50" t="s">
        <v>14617</v>
      </c>
      <c r="BX135" s="50" t="s">
        <v>138</v>
      </c>
      <c r="BY135" s="50" t="s">
        <v>4200</v>
      </c>
      <c r="BZ135" s="50" t="s">
        <v>14618</v>
      </c>
      <c r="CA135" s="50" t="s">
        <v>4202</v>
      </c>
      <c r="CB135" s="50" t="s">
        <v>14617</v>
      </c>
      <c r="CC135" s="50" t="s">
        <v>4200</v>
      </c>
      <c r="CD135" s="50" t="s">
        <v>14618</v>
      </c>
      <c r="CE135" s="50" t="s">
        <v>14619</v>
      </c>
      <c r="CF135" s="50" t="s">
        <v>14620</v>
      </c>
      <c r="CG135" s="50" t="s">
        <v>14621</v>
      </c>
      <c r="CH135" s="50" t="s">
        <v>102</v>
      </c>
      <c r="CI135" s="50" t="s">
        <v>4203</v>
      </c>
      <c r="CK135" s="50" t="s">
        <v>4204</v>
      </c>
      <c r="CM135" s="50" t="s">
        <v>409</v>
      </c>
      <c r="CN135" s="50" t="s">
        <v>410</v>
      </c>
      <c r="CO135" s="50" t="s">
        <v>4204</v>
      </c>
      <c r="CP135" s="50" t="s">
        <v>4205</v>
      </c>
      <c r="CQ135" s="50" t="s">
        <v>4203</v>
      </c>
      <c r="CR135" s="50" t="s">
        <v>4203</v>
      </c>
      <c r="CS135" s="50" t="s">
        <v>26040</v>
      </c>
    </row>
    <row r="136" spans="1:97" hidden="1">
      <c r="A136" s="50" t="s">
        <v>93</v>
      </c>
      <c r="B136" s="50">
        <v>20577</v>
      </c>
      <c r="C136" s="50" t="e">
        <f>VLOOKUP(B136,'Drop schools 2026'!B:C,2,0)</f>
        <v>#N/A</v>
      </c>
      <c r="D136" s="50" t="s">
        <v>622</v>
      </c>
      <c r="E136" s="50" t="s">
        <v>3562</v>
      </c>
      <c r="F136" s="50" t="s">
        <v>2559</v>
      </c>
      <c r="G136" s="50" t="e">
        <f>VLOOKUP(B136,aa!B:F,5,0)</f>
        <v>#N/A</v>
      </c>
      <c r="H136" s="50" t="e">
        <f>VLOOKUP(B136,aa!B:J,9,0)</f>
        <v>#N/A</v>
      </c>
      <c r="I136" s="50" t="e">
        <f>VLOOKUP(B136,aa!B:L,11,0)</f>
        <v>#N/A</v>
      </c>
      <c r="J136" s="50" t="e">
        <f>VLOOKUP(B136,aa!B:O,14,0)</f>
        <v>#N/A</v>
      </c>
      <c r="K136" s="50" t="e">
        <f>VLOOKUP(B136,aa!B:R,17,0)</f>
        <v>#N/A</v>
      </c>
      <c r="L136" s="50" t="s">
        <v>848</v>
      </c>
      <c r="M136" s="50">
        <v>1076566</v>
      </c>
      <c r="N136" s="50">
        <v>1270348</v>
      </c>
      <c r="O136" s="50">
        <v>0</v>
      </c>
      <c r="P136" s="50">
        <v>0</v>
      </c>
      <c r="R136" s="50">
        <v>0</v>
      </c>
      <c r="S136" s="50">
        <v>0</v>
      </c>
      <c r="U136" s="50">
        <v>1076566</v>
      </c>
      <c r="V136" s="50">
        <v>508</v>
      </c>
      <c r="W136" s="50" t="s">
        <v>2166</v>
      </c>
      <c r="X136" s="50" t="s">
        <v>102</v>
      </c>
      <c r="Y136" s="50" t="s">
        <v>275</v>
      </c>
      <c r="AA136" s="50" t="s">
        <v>11959</v>
      </c>
      <c r="AB136" s="50" t="s">
        <v>109</v>
      </c>
      <c r="AC136" s="50" t="s">
        <v>102</v>
      </c>
      <c r="AD136" s="50" t="s">
        <v>109</v>
      </c>
      <c r="AE136" s="50" t="s">
        <v>102</v>
      </c>
      <c r="AF136" s="50" t="s">
        <v>109</v>
      </c>
      <c r="AG136" s="50" t="s">
        <v>102</v>
      </c>
      <c r="AH136" s="50" t="s">
        <v>109</v>
      </c>
      <c r="AI136" s="50" t="s">
        <v>102</v>
      </c>
      <c r="AJ136" s="50" t="s">
        <v>102</v>
      </c>
      <c r="AK136" s="50" t="s">
        <v>13455</v>
      </c>
      <c r="AL136" s="50" t="s">
        <v>12609</v>
      </c>
      <c r="AM136" s="50" t="s">
        <v>13456</v>
      </c>
      <c r="AN136" s="50" t="s">
        <v>13457</v>
      </c>
      <c r="AO136" s="50" t="s">
        <v>13458</v>
      </c>
      <c r="AP136" s="50" t="s">
        <v>13459</v>
      </c>
      <c r="AQ136" s="50" t="s">
        <v>13460</v>
      </c>
      <c r="AU136" s="50" t="s">
        <v>169</v>
      </c>
      <c r="AV136" s="50" t="s">
        <v>102</v>
      </c>
      <c r="AX136" s="50" t="s">
        <v>102</v>
      </c>
      <c r="AY136" s="50" t="s">
        <v>119</v>
      </c>
      <c r="BB136" s="50" t="s">
        <v>250</v>
      </c>
      <c r="BC136" s="50" t="s">
        <v>2565</v>
      </c>
      <c r="BD136" s="50" t="s">
        <v>2327</v>
      </c>
      <c r="BE136" s="50" t="s">
        <v>730</v>
      </c>
      <c r="BF136" s="50" t="s">
        <v>622</v>
      </c>
      <c r="BG136" s="50" t="s">
        <v>730</v>
      </c>
      <c r="BH136" s="50" t="s">
        <v>124</v>
      </c>
      <c r="BI136" s="50" t="s">
        <v>11959</v>
      </c>
      <c r="BJ136" s="50" t="s">
        <v>11960</v>
      </c>
      <c r="BK136" s="50" t="s">
        <v>127</v>
      </c>
      <c r="BL136" s="50" t="s">
        <v>13461</v>
      </c>
      <c r="BM136" s="50" t="s">
        <v>2567</v>
      </c>
      <c r="BN136" s="50" t="s">
        <v>13462</v>
      </c>
      <c r="BO136" s="50" t="s">
        <v>11927</v>
      </c>
      <c r="BP136" s="50" t="s">
        <v>2262</v>
      </c>
      <c r="BQ136" s="50" t="s">
        <v>350</v>
      </c>
      <c r="BR136" s="50" t="s">
        <v>2263</v>
      </c>
      <c r="BS136" s="50" t="s">
        <v>2264</v>
      </c>
      <c r="BT136" s="50" t="s">
        <v>2569</v>
      </c>
      <c r="BV136" s="50" t="s">
        <v>13463</v>
      </c>
      <c r="BW136" s="50" t="s">
        <v>13464</v>
      </c>
      <c r="BX136" s="50" t="s">
        <v>354</v>
      </c>
      <c r="BY136" s="50" t="s">
        <v>13465</v>
      </c>
      <c r="BZ136" s="50" t="s">
        <v>2573</v>
      </c>
      <c r="CA136" s="50" t="s">
        <v>2574</v>
      </c>
      <c r="CB136" s="50" t="s">
        <v>13466</v>
      </c>
      <c r="CC136" s="50" t="s">
        <v>13467</v>
      </c>
      <c r="CD136" s="50" t="s">
        <v>13468</v>
      </c>
      <c r="CE136" s="50" t="s">
        <v>13469</v>
      </c>
      <c r="CF136" s="50" t="s">
        <v>13470</v>
      </c>
      <c r="CG136" s="50" t="s">
        <v>13471</v>
      </c>
      <c r="CH136" s="50" t="s">
        <v>2575</v>
      </c>
      <c r="CI136" s="50" t="s">
        <v>13472</v>
      </c>
      <c r="CK136" s="50" t="s">
        <v>2272</v>
      </c>
      <c r="CL136" s="50" t="s">
        <v>2576</v>
      </c>
      <c r="CM136" s="50" t="s">
        <v>2327</v>
      </c>
      <c r="CN136" s="50" t="s">
        <v>730</v>
      </c>
      <c r="CO136" s="50" t="s">
        <v>2272</v>
      </c>
      <c r="CP136" s="50" t="s">
        <v>2577</v>
      </c>
      <c r="CQ136" s="50" t="s">
        <v>2576</v>
      </c>
      <c r="CR136" s="50" t="s">
        <v>2576</v>
      </c>
      <c r="CS136" s="50" t="s">
        <v>26055</v>
      </c>
    </row>
    <row r="137" spans="1:97" hidden="1">
      <c r="A137" s="50" t="s">
        <v>149</v>
      </c>
      <c r="B137" s="50">
        <v>5017017</v>
      </c>
      <c r="C137" s="50" t="str">
        <f>VLOOKUP(B137,'Drop schools 2026'!B:C,2,0)</f>
        <v>Drop</v>
      </c>
      <c r="D137" s="50" t="s">
        <v>174</v>
      </c>
      <c r="E137" s="50" t="s">
        <v>12155</v>
      </c>
      <c r="F137" s="50" t="s">
        <v>9835</v>
      </c>
      <c r="G137" s="50" t="e">
        <f>VLOOKUP(B137,aa!B:F,5,0)</f>
        <v>#N/A</v>
      </c>
      <c r="H137" s="50" t="e">
        <f>VLOOKUP(B137,aa!B:J,9,0)</f>
        <v>#N/A</v>
      </c>
      <c r="I137" s="50" t="e">
        <f>VLOOKUP(B137,aa!B:L,11,0)</f>
        <v>#N/A</v>
      </c>
      <c r="J137" s="50" t="e">
        <f>VLOOKUP(B137,aa!B:O,14,0)</f>
        <v>#N/A</v>
      </c>
      <c r="K137" s="50" t="e">
        <f>VLOOKUP(B137,aa!B:R,17,0)</f>
        <v>#N/A</v>
      </c>
      <c r="L137" s="50" t="s">
        <v>152</v>
      </c>
      <c r="M137" s="50">
        <v>1069614</v>
      </c>
      <c r="N137" s="50">
        <v>1069614</v>
      </c>
      <c r="O137" s="50">
        <v>0</v>
      </c>
      <c r="P137" s="50">
        <v>0</v>
      </c>
      <c r="R137" s="50">
        <v>1069614</v>
      </c>
      <c r="S137" s="50">
        <v>520</v>
      </c>
      <c r="T137" s="50" t="s">
        <v>12607</v>
      </c>
      <c r="U137" s="50">
        <v>0</v>
      </c>
      <c r="V137" s="50">
        <v>0</v>
      </c>
      <c r="X137" s="50" t="s">
        <v>102</v>
      </c>
      <c r="Y137" s="50" t="s">
        <v>103</v>
      </c>
      <c r="Z137" s="50" t="s">
        <v>155</v>
      </c>
      <c r="AB137" s="50" t="s">
        <v>8186</v>
      </c>
      <c r="AC137" s="50" t="s">
        <v>18971</v>
      </c>
      <c r="AD137" s="50" t="s">
        <v>1165</v>
      </c>
      <c r="AE137" s="50" t="s">
        <v>18971</v>
      </c>
      <c r="AF137" s="50" t="s">
        <v>12609</v>
      </c>
      <c r="AG137" s="50" t="s">
        <v>18971</v>
      </c>
      <c r="AH137" s="50" t="s">
        <v>11886</v>
      </c>
      <c r="AI137" s="50" t="s">
        <v>18971</v>
      </c>
      <c r="AJ137" s="50" t="s">
        <v>18972</v>
      </c>
      <c r="AK137" s="50" t="s">
        <v>11933</v>
      </c>
      <c r="AL137" s="50" t="s">
        <v>11933</v>
      </c>
      <c r="AM137" s="50" t="s">
        <v>18973</v>
      </c>
      <c r="AN137" s="50" t="s">
        <v>18974</v>
      </c>
      <c r="AO137" s="50" t="s">
        <v>18975</v>
      </c>
      <c r="AP137" s="50" t="s">
        <v>12614</v>
      </c>
      <c r="AQ137" s="50" t="s">
        <v>12614</v>
      </c>
      <c r="AV137" s="50" t="s">
        <v>102</v>
      </c>
      <c r="AX137" s="50" t="s">
        <v>155</v>
      </c>
      <c r="AY137" s="50" t="s">
        <v>447</v>
      </c>
      <c r="AZ137" s="50" t="s">
        <v>170</v>
      </c>
      <c r="BA137" s="50" t="s">
        <v>118</v>
      </c>
      <c r="BC137" s="50" t="s">
        <v>120</v>
      </c>
      <c r="BD137" s="50" t="s">
        <v>1036</v>
      </c>
      <c r="BE137" s="50" t="s">
        <v>173</v>
      </c>
      <c r="BF137" s="50" t="s">
        <v>174</v>
      </c>
      <c r="BG137" s="50" t="s">
        <v>173</v>
      </c>
      <c r="BH137" s="50" t="s">
        <v>124</v>
      </c>
      <c r="BI137" s="50" t="s">
        <v>8186</v>
      </c>
      <c r="BJ137" s="50" t="s">
        <v>11889</v>
      </c>
      <c r="BK137" s="50" t="s">
        <v>127</v>
      </c>
      <c r="BL137" s="50" t="s">
        <v>18976</v>
      </c>
      <c r="BM137" s="50" t="s">
        <v>9846</v>
      </c>
      <c r="BN137" s="50" t="s">
        <v>18977</v>
      </c>
      <c r="BO137" s="50" t="s">
        <v>1722</v>
      </c>
      <c r="BP137" s="50" t="s">
        <v>179</v>
      </c>
      <c r="BQ137" s="50" t="s">
        <v>180</v>
      </c>
      <c r="BR137" s="50" t="s">
        <v>181</v>
      </c>
      <c r="BS137" s="50" t="s">
        <v>182</v>
      </c>
      <c r="BT137" s="50" t="s">
        <v>1176</v>
      </c>
      <c r="BV137" s="50" t="s">
        <v>18978</v>
      </c>
      <c r="BW137" s="50" t="s">
        <v>12618</v>
      </c>
      <c r="BX137" s="50" t="s">
        <v>354</v>
      </c>
      <c r="BY137" s="50" t="s">
        <v>12619</v>
      </c>
      <c r="BZ137" s="50" t="s">
        <v>12620</v>
      </c>
      <c r="CB137" s="50" t="s">
        <v>18979</v>
      </c>
      <c r="CC137" s="50" t="s">
        <v>12622</v>
      </c>
      <c r="CD137" s="50" t="s">
        <v>18980</v>
      </c>
      <c r="CE137" s="50" t="s">
        <v>18981</v>
      </c>
      <c r="CF137" s="50" t="s">
        <v>18982</v>
      </c>
      <c r="CG137" s="50" t="s">
        <v>18983</v>
      </c>
      <c r="CH137" s="50" t="s">
        <v>102</v>
      </c>
      <c r="CI137" s="50" t="s">
        <v>9835</v>
      </c>
      <c r="CK137" s="50" t="s">
        <v>1054</v>
      </c>
      <c r="CM137" s="50" t="s">
        <v>1036</v>
      </c>
      <c r="CN137" s="50" t="s">
        <v>173</v>
      </c>
      <c r="CO137" s="50" t="s">
        <v>1054</v>
      </c>
      <c r="CP137" s="50" t="s">
        <v>1191</v>
      </c>
      <c r="CQ137" s="50" t="s">
        <v>9850</v>
      </c>
      <c r="CR137" s="50" t="s">
        <v>9849</v>
      </c>
      <c r="CS137" s="50" t="s">
        <v>26046</v>
      </c>
    </row>
    <row r="138" spans="1:97" hidden="1">
      <c r="A138" s="50" t="s">
        <v>93</v>
      </c>
      <c r="B138" s="50">
        <v>5015049</v>
      </c>
      <c r="C138" s="50" t="e">
        <f>VLOOKUP(B138,'Drop schools 2026'!B:C,2,0)</f>
        <v>#N/A</v>
      </c>
      <c r="D138" s="50" t="s">
        <v>212</v>
      </c>
      <c r="E138" s="50" t="s">
        <v>293</v>
      </c>
      <c r="F138" s="50" t="s">
        <v>9407</v>
      </c>
      <c r="G138" s="50" t="e">
        <f>VLOOKUP(B138,aa!B:F,5,0)</f>
        <v>#N/A</v>
      </c>
      <c r="H138" s="50" t="e">
        <f>VLOOKUP(B138,aa!B:J,9,0)</f>
        <v>#N/A</v>
      </c>
      <c r="I138" s="50" t="e">
        <f>VLOOKUP(B138,aa!B:L,11,0)</f>
        <v>#N/A</v>
      </c>
      <c r="J138" s="50" t="e">
        <f>VLOOKUP(B138,aa!B:O,14,0)</f>
        <v>#N/A</v>
      </c>
      <c r="K138" s="50" t="e">
        <f>VLOOKUP(B138,aa!B:R,17,0)</f>
        <v>#N/A</v>
      </c>
      <c r="L138" s="50" t="s">
        <v>3549</v>
      </c>
      <c r="M138" s="50">
        <v>1051198</v>
      </c>
      <c r="N138" s="50">
        <v>1178794</v>
      </c>
      <c r="O138" s="50">
        <v>342332</v>
      </c>
      <c r="P138" s="50">
        <v>388</v>
      </c>
      <c r="Q138" s="50" t="s">
        <v>9410</v>
      </c>
      <c r="R138" s="50">
        <v>0</v>
      </c>
      <c r="S138" s="50">
        <v>0</v>
      </c>
      <c r="U138" s="50">
        <v>708866</v>
      </c>
      <c r="V138" s="50">
        <v>395</v>
      </c>
      <c r="W138" s="50" t="s">
        <v>9411</v>
      </c>
      <c r="X138" s="50" t="s">
        <v>102</v>
      </c>
      <c r="Y138" s="50" t="s">
        <v>103</v>
      </c>
      <c r="Z138" s="50" t="s">
        <v>398</v>
      </c>
      <c r="AB138" s="50" t="s">
        <v>15564</v>
      </c>
      <c r="AC138" s="50" t="s">
        <v>18683</v>
      </c>
      <c r="AD138" s="50" t="s">
        <v>13242</v>
      </c>
      <c r="AE138" s="50" t="s">
        <v>18684</v>
      </c>
      <c r="AF138" s="50" t="s">
        <v>11886</v>
      </c>
      <c r="AG138" s="50" t="s">
        <v>18684</v>
      </c>
      <c r="AH138" s="50" t="s">
        <v>109</v>
      </c>
      <c r="AI138" s="50" t="s">
        <v>102</v>
      </c>
      <c r="AJ138" s="50" t="s">
        <v>102</v>
      </c>
      <c r="AK138" s="50" t="s">
        <v>1165</v>
      </c>
      <c r="AL138" s="50" t="s">
        <v>12875</v>
      </c>
      <c r="AM138" s="50" t="s">
        <v>18685</v>
      </c>
      <c r="AN138" s="50" t="s">
        <v>18686</v>
      </c>
      <c r="AO138" s="50" t="s">
        <v>18687</v>
      </c>
      <c r="AP138" s="50" t="s">
        <v>18688</v>
      </c>
      <c r="AQ138" s="50" t="s">
        <v>18689</v>
      </c>
      <c r="AT138" s="50" t="s">
        <v>169</v>
      </c>
      <c r="AV138" s="50" t="s">
        <v>117</v>
      </c>
      <c r="AW138" s="50" t="s">
        <v>118</v>
      </c>
      <c r="AX138" s="50" t="s">
        <v>102</v>
      </c>
      <c r="AY138" s="50" t="s">
        <v>119</v>
      </c>
      <c r="BB138" s="50" t="s">
        <v>250</v>
      </c>
      <c r="BC138" s="50" t="s">
        <v>120</v>
      </c>
      <c r="BD138" s="50" t="s">
        <v>920</v>
      </c>
      <c r="BE138" s="50" t="s">
        <v>211</v>
      </c>
      <c r="BF138" s="50" t="s">
        <v>212</v>
      </c>
      <c r="BG138" s="50" t="s">
        <v>213</v>
      </c>
      <c r="BH138" s="50" t="s">
        <v>124</v>
      </c>
      <c r="BI138" s="50" t="s">
        <v>11927</v>
      </c>
      <c r="BJ138" s="50" t="s">
        <v>18690</v>
      </c>
      <c r="BK138" s="50" t="s">
        <v>127</v>
      </c>
      <c r="BL138" s="50" t="s">
        <v>18691</v>
      </c>
      <c r="BM138" s="50" t="s">
        <v>9427</v>
      </c>
      <c r="BN138" s="50" t="s">
        <v>18692</v>
      </c>
      <c r="BO138" s="50" t="s">
        <v>126</v>
      </c>
      <c r="BP138" s="50" t="s">
        <v>15574</v>
      </c>
      <c r="BQ138" s="50" t="s">
        <v>180</v>
      </c>
      <c r="BR138" s="50" t="s">
        <v>15575</v>
      </c>
      <c r="BS138" s="50" t="s">
        <v>15576</v>
      </c>
      <c r="BT138" s="50" t="s">
        <v>7225</v>
      </c>
      <c r="BV138" s="50" t="s">
        <v>18693</v>
      </c>
      <c r="BW138" s="50" t="s">
        <v>18694</v>
      </c>
      <c r="BX138" s="50" t="s">
        <v>138</v>
      </c>
      <c r="BY138" s="50" t="s">
        <v>18695</v>
      </c>
      <c r="BZ138" s="50" t="s">
        <v>9432</v>
      </c>
      <c r="CA138" s="50" t="s">
        <v>9433</v>
      </c>
      <c r="CB138" s="50" t="s">
        <v>18696</v>
      </c>
      <c r="CC138" s="50" t="s">
        <v>18695</v>
      </c>
      <c r="CD138" s="50" t="s">
        <v>9432</v>
      </c>
      <c r="CE138" s="50" t="s">
        <v>18697</v>
      </c>
      <c r="CF138" s="50" t="s">
        <v>18695</v>
      </c>
      <c r="CG138" s="50" t="s">
        <v>9437</v>
      </c>
      <c r="CH138" s="50" t="s">
        <v>4802</v>
      </c>
      <c r="CI138" s="50" t="s">
        <v>18698</v>
      </c>
      <c r="CK138" s="50" t="s">
        <v>9439</v>
      </c>
      <c r="CL138" s="50" t="s">
        <v>9438</v>
      </c>
      <c r="CM138" s="50" t="s">
        <v>920</v>
      </c>
      <c r="CN138" s="50" t="s">
        <v>211</v>
      </c>
      <c r="CO138" s="50" t="s">
        <v>9439</v>
      </c>
      <c r="CQ138" s="50" t="s">
        <v>9438</v>
      </c>
      <c r="CR138" s="50" t="s">
        <v>9438</v>
      </c>
      <c r="CS138" s="50" t="s">
        <v>26047</v>
      </c>
    </row>
    <row r="139" spans="1:97" hidden="1">
      <c r="A139" s="50" t="s">
        <v>149</v>
      </c>
      <c r="B139" s="50">
        <v>3799725</v>
      </c>
      <c r="C139" s="50" t="e">
        <f>VLOOKUP(B139,'Drop schools 2026'!B:C,2,0)</f>
        <v>#N/A</v>
      </c>
      <c r="D139" s="50" t="s">
        <v>122</v>
      </c>
      <c r="E139" s="50" t="s">
        <v>11898</v>
      </c>
      <c r="F139" s="50" t="s">
        <v>7449</v>
      </c>
      <c r="G139" s="50" t="str">
        <f>VLOOKUP(B139,aa!B:F,5,0)</f>
        <v>Ei ASSET,Ei CARES</v>
      </c>
      <c r="H139" s="50">
        <f>VLOOKUP(B139,aa!B:J,9,0)</f>
        <v>1602182</v>
      </c>
      <c r="I139" s="50">
        <f>VLOOKUP(B139,aa!B:L,11,0)</f>
        <v>624897</v>
      </c>
      <c r="J139" s="50">
        <f>VLOOKUP(B139,aa!B:O,14,0)</f>
        <v>977285</v>
      </c>
      <c r="K139" s="50">
        <f>VLOOKUP(B139,aa!B:R,17,0)</f>
        <v>0</v>
      </c>
      <c r="L139" s="50" t="s">
        <v>2044</v>
      </c>
      <c r="M139" s="50">
        <v>1050181</v>
      </c>
      <c r="N139" s="50">
        <v>1050181</v>
      </c>
      <c r="O139" s="50">
        <v>409800</v>
      </c>
      <c r="P139" s="50">
        <v>500</v>
      </c>
      <c r="Q139" s="50" t="s">
        <v>17018</v>
      </c>
      <c r="R139" s="50">
        <v>640381</v>
      </c>
      <c r="S139" s="50">
        <v>500</v>
      </c>
      <c r="T139" s="50" t="s">
        <v>10554</v>
      </c>
      <c r="U139" s="50">
        <v>0</v>
      </c>
      <c r="V139" s="50">
        <v>0</v>
      </c>
      <c r="X139" s="50" t="s">
        <v>102</v>
      </c>
      <c r="Y139" s="50" t="s">
        <v>103</v>
      </c>
      <c r="Z139" s="50" t="s">
        <v>155</v>
      </c>
      <c r="AB139" s="50" t="s">
        <v>13680</v>
      </c>
      <c r="AC139" s="50" t="s">
        <v>17019</v>
      </c>
      <c r="AD139" s="50" t="s">
        <v>11976</v>
      </c>
      <c r="AE139" s="50" t="s">
        <v>17019</v>
      </c>
      <c r="AF139" s="50" t="s">
        <v>11888</v>
      </c>
      <c r="AG139" s="50" t="s">
        <v>17019</v>
      </c>
      <c r="AH139" s="50" t="s">
        <v>12084</v>
      </c>
      <c r="AI139" s="50" t="s">
        <v>17019</v>
      </c>
      <c r="AJ139" s="50" t="s">
        <v>17020</v>
      </c>
      <c r="AK139" s="50" t="s">
        <v>13602</v>
      </c>
      <c r="AL139" s="50" t="s">
        <v>17021</v>
      </c>
      <c r="AM139" s="50" t="s">
        <v>17022</v>
      </c>
      <c r="AN139" s="50" t="s">
        <v>17023</v>
      </c>
      <c r="AO139" s="50" t="s">
        <v>17024</v>
      </c>
      <c r="AP139" s="50" t="s">
        <v>17025</v>
      </c>
      <c r="AQ139" s="50" t="s">
        <v>17026</v>
      </c>
      <c r="AU139" s="50" t="s">
        <v>169</v>
      </c>
      <c r="AV139" s="50" t="s">
        <v>318</v>
      </c>
      <c r="AW139" s="50" t="s">
        <v>118</v>
      </c>
      <c r="AX139" s="50" t="s">
        <v>104</v>
      </c>
      <c r="AY139" s="50" t="s">
        <v>447</v>
      </c>
      <c r="AZ139" s="50" t="s">
        <v>170</v>
      </c>
      <c r="BA139" s="50" t="s">
        <v>118</v>
      </c>
      <c r="BC139" s="50" t="s">
        <v>120</v>
      </c>
      <c r="BD139" s="50" t="s">
        <v>3854</v>
      </c>
      <c r="BE139" s="50" t="s">
        <v>449</v>
      </c>
      <c r="BF139" s="50" t="s">
        <v>122</v>
      </c>
      <c r="BG139" s="50" t="s">
        <v>450</v>
      </c>
      <c r="BH139" s="50" t="s">
        <v>124</v>
      </c>
      <c r="BI139" s="50" t="s">
        <v>13036</v>
      </c>
      <c r="BJ139" s="50" t="s">
        <v>11889</v>
      </c>
      <c r="BK139" s="50" t="s">
        <v>127</v>
      </c>
      <c r="BL139" s="50" t="s">
        <v>17027</v>
      </c>
      <c r="BM139" s="50" t="s">
        <v>7461</v>
      </c>
      <c r="BN139" s="50" t="s">
        <v>17028</v>
      </c>
      <c r="BO139" s="50" t="s">
        <v>411</v>
      </c>
      <c r="BP139" s="50" t="s">
        <v>3267</v>
      </c>
      <c r="BQ139" s="50" t="s">
        <v>350</v>
      </c>
      <c r="BR139" s="50" t="s">
        <v>3268</v>
      </c>
      <c r="BS139" s="50" t="s">
        <v>3269</v>
      </c>
      <c r="BT139" s="50" t="s">
        <v>261</v>
      </c>
      <c r="BV139" s="50" t="s">
        <v>17029</v>
      </c>
      <c r="BW139" s="50" t="s">
        <v>7464</v>
      </c>
      <c r="BX139" s="50" t="s">
        <v>138</v>
      </c>
      <c r="BY139" s="50" t="s">
        <v>7465</v>
      </c>
      <c r="BZ139" s="50" t="s">
        <v>7466</v>
      </c>
      <c r="CA139" s="50" t="s">
        <v>7467</v>
      </c>
      <c r="CB139" s="50" t="s">
        <v>7464</v>
      </c>
      <c r="CC139" s="50" t="s">
        <v>7465</v>
      </c>
      <c r="CD139" s="50" t="s">
        <v>7466</v>
      </c>
      <c r="CE139" s="50" t="s">
        <v>7464</v>
      </c>
      <c r="CF139" s="50" t="s">
        <v>7465</v>
      </c>
      <c r="CG139" s="50" t="s">
        <v>7466</v>
      </c>
      <c r="CH139" s="50" t="s">
        <v>5768</v>
      </c>
      <c r="CI139" s="50" t="s">
        <v>17030</v>
      </c>
      <c r="CK139" s="50" t="s">
        <v>7472</v>
      </c>
      <c r="CL139" s="50" t="s">
        <v>17031</v>
      </c>
      <c r="CM139" s="50" t="s">
        <v>3854</v>
      </c>
      <c r="CN139" s="50" t="s">
        <v>449</v>
      </c>
      <c r="CO139" s="50" t="s">
        <v>7472</v>
      </c>
      <c r="CP139" s="50" t="s">
        <v>7473</v>
      </c>
      <c r="CQ139" s="50" t="s">
        <v>7471</v>
      </c>
      <c r="CR139" s="50" t="s">
        <v>7471</v>
      </c>
    </row>
    <row r="140" spans="1:97" hidden="1">
      <c r="A140" s="50" t="s">
        <v>149</v>
      </c>
      <c r="B140" s="50">
        <v>19872</v>
      </c>
      <c r="C140" s="50" t="e">
        <f>VLOOKUP(B140,'Drop schools 2026'!B:C,2,0)</f>
        <v>#N/A</v>
      </c>
      <c r="D140" s="50" t="s">
        <v>212</v>
      </c>
      <c r="E140" s="50" t="s">
        <v>418</v>
      </c>
      <c r="F140" s="50" t="s">
        <v>2297</v>
      </c>
      <c r="G140" s="50" t="e">
        <f>VLOOKUP(B140,aa!B:F,5,0)</f>
        <v>#N/A</v>
      </c>
      <c r="H140" s="50" t="e">
        <f>VLOOKUP(B140,aa!B:J,9,0)</f>
        <v>#N/A</v>
      </c>
      <c r="I140" s="50" t="e">
        <f>VLOOKUP(B140,aa!B:L,11,0)</f>
        <v>#N/A</v>
      </c>
      <c r="J140" s="50" t="e">
        <f>VLOOKUP(B140,aa!B:O,14,0)</f>
        <v>#N/A</v>
      </c>
      <c r="K140" s="50" t="e">
        <f>VLOOKUP(B140,aa!B:R,17,0)</f>
        <v>#N/A</v>
      </c>
      <c r="L140" s="50" t="s">
        <v>97</v>
      </c>
      <c r="M140" s="50">
        <v>1040396</v>
      </c>
      <c r="N140" s="50">
        <v>1040396</v>
      </c>
      <c r="O140" s="50">
        <v>1040396</v>
      </c>
      <c r="P140" s="50">
        <v>2081</v>
      </c>
      <c r="Q140" s="50" t="s">
        <v>364</v>
      </c>
      <c r="R140" s="50">
        <v>0</v>
      </c>
      <c r="S140" s="50">
        <v>0</v>
      </c>
      <c r="U140" s="50">
        <v>0</v>
      </c>
      <c r="V140" s="50">
        <v>0</v>
      </c>
      <c r="X140" s="50" t="s">
        <v>102</v>
      </c>
      <c r="Y140" s="50" t="s">
        <v>103</v>
      </c>
      <c r="Z140" s="50" t="s">
        <v>104</v>
      </c>
      <c r="AB140" s="50" t="s">
        <v>8708</v>
      </c>
      <c r="AC140" s="50" t="s">
        <v>13217</v>
      </c>
      <c r="AD140" s="50" t="s">
        <v>5651</v>
      </c>
      <c r="AE140" s="50" t="s">
        <v>13218</v>
      </c>
      <c r="AF140" s="50" t="s">
        <v>109</v>
      </c>
      <c r="AG140" s="50" t="s">
        <v>102</v>
      </c>
      <c r="AH140" s="50" t="s">
        <v>109</v>
      </c>
      <c r="AI140" s="50" t="s">
        <v>102</v>
      </c>
      <c r="AJ140" s="50" t="s">
        <v>13219</v>
      </c>
      <c r="AK140" s="50" t="s">
        <v>12019</v>
      </c>
      <c r="AL140" s="50" t="s">
        <v>11899</v>
      </c>
      <c r="AM140" s="50" t="s">
        <v>13220</v>
      </c>
      <c r="AN140" s="50" t="s">
        <v>13221</v>
      </c>
      <c r="AO140" s="50" t="s">
        <v>13222</v>
      </c>
      <c r="AP140" s="50" t="s">
        <v>2307</v>
      </c>
      <c r="AQ140" s="50" t="s">
        <v>2307</v>
      </c>
      <c r="AV140" s="50" t="s">
        <v>318</v>
      </c>
      <c r="AW140" s="50" t="s">
        <v>118</v>
      </c>
      <c r="AX140" s="50" t="s">
        <v>102</v>
      </c>
      <c r="AY140" s="50" t="s">
        <v>119</v>
      </c>
      <c r="BC140" s="50" t="s">
        <v>120</v>
      </c>
      <c r="BD140" s="50" t="s">
        <v>409</v>
      </c>
      <c r="BE140" s="50" t="s">
        <v>410</v>
      </c>
      <c r="BF140" s="50" t="s">
        <v>212</v>
      </c>
      <c r="BG140" s="50" t="s">
        <v>410</v>
      </c>
      <c r="BH140" s="50" t="s">
        <v>124</v>
      </c>
      <c r="BI140" s="50" t="s">
        <v>5351</v>
      </c>
      <c r="BJ140" s="50" t="s">
        <v>12250</v>
      </c>
      <c r="BK140" s="50" t="s">
        <v>127</v>
      </c>
      <c r="BL140" s="50" t="s">
        <v>13223</v>
      </c>
      <c r="BM140" s="50" t="s">
        <v>2309</v>
      </c>
      <c r="BN140" s="50" t="s">
        <v>13224</v>
      </c>
      <c r="BO140" s="50" t="s">
        <v>13216</v>
      </c>
      <c r="BP140" s="50" t="s">
        <v>866</v>
      </c>
      <c r="BQ140" s="50" t="s">
        <v>132</v>
      </c>
      <c r="BR140" s="50" t="s">
        <v>867</v>
      </c>
      <c r="BS140" s="50" t="s">
        <v>868</v>
      </c>
      <c r="BT140" s="50" t="s">
        <v>222</v>
      </c>
      <c r="BV140" s="50" t="s">
        <v>13225</v>
      </c>
      <c r="BW140" s="50" t="s">
        <v>2312</v>
      </c>
      <c r="BX140" s="50" t="s">
        <v>598</v>
      </c>
      <c r="BY140" s="50" t="s">
        <v>2313</v>
      </c>
      <c r="BZ140" s="50" t="s">
        <v>2314</v>
      </c>
      <c r="CA140" s="50" t="s">
        <v>2315</v>
      </c>
      <c r="CB140" s="50" t="s">
        <v>13226</v>
      </c>
      <c r="CC140" s="50" t="s">
        <v>2316</v>
      </c>
      <c r="CD140" s="50" t="s">
        <v>13227</v>
      </c>
      <c r="CE140" s="50" t="s">
        <v>13226</v>
      </c>
      <c r="CF140" s="50" t="s">
        <v>2316</v>
      </c>
      <c r="CG140" s="50" t="s">
        <v>13227</v>
      </c>
      <c r="CH140" s="50" t="s">
        <v>102</v>
      </c>
      <c r="CI140" s="50" t="s">
        <v>2317</v>
      </c>
      <c r="CK140" s="50" t="s">
        <v>2318</v>
      </c>
      <c r="CM140" s="50" t="s">
        <v>409</v>
      </c>
      <c r="CN140" s="50" t="s">
        <v>410</v>
      </c>
      <c r="CO140" s="50" t="s">
        <v>2318</v>
      </c>
      <c r="CP140" s="50" t="s">
        <v>2319</v>
      </c>
      <c r="CQ140" s="50" t="s">
        <v>2317</v>
      </c>
      <c r="CR140" s="50" t="s">
        <v>2317</v>
      </c>
      <c r="CS140" s="50" t="s">
        <v>26040</v>
      </c>
    </row>
    <row r="141" spans="1:97" hidden="1">
      <c r="A141" s="50" t="s">
        <v>337</v>
      </c>
      <c r="B141" s="50">
        <v>251230</v>
      </c>
      <c r="C141" s="50" t="e">
        <f>VLOOKUP(B141,'Drop schools 2026'!B:C,2,0)</f>
        <v>#N/A</v>
      </c>
      <c r="D141" s="50" t="s">
        <v>174</v>
      </c>
      <c r="E141" s="50" t="s">
        <v>183</v>
      </c>
      <c r="F141" s="50" t="s">
        <v>14345</v>
      </c>
      <c r="G141" s="50" t="str">
        <f>VLOOKUP(B141,aa!B:F,5,0)</f>
        <v>Ei ASSET, Ei Mindspark</v>
      </c>
      <c r="H141" s="50">
        <f>VLOOKUP(B141,aa!B:J,9,0)</f>
        <v>2307717</v>
      </c>
      <c r="I141" s="50">
        <f>VLOOKUP(B141,aa!B:L,11,0)</f>
        <v>577800</v>
      </c>
      <c r="J141" s="50">
        <f>VLOOKUP(B141,aa!B:O,14,0)</f>
        <v>0</v>
      </c>
      <c r="K141" s="50">
        <f>VLOOKUP(B141,aa!B:R,17,0)</f>
        <v>1729917</v>
      </c>
      <c r="L141" s="50" t="s">
        <v>1715</v>
      </c>
      <c r="M141" s="50">
        <v>1035220</v>
      </c>
      <c r="N141" s="50">
        <v>1115126</v>
      </c>
      <c r="O141" s="50">
        <v>591300</v>
      </c>
      <c r="P141" s="50">
        <v>659</v>
      </c>
      <c r="Q141" s="50" t="s">
        <v>14346</v>
      </c>
      <c r="R141" s="50">
        <v>0</v>
      </c>
      <c r="S141" s="50">
        <v>0</v>
      </c>
      <c r="U141" s="50">
        <v>443920</v>
      </c>
      <c r="V141" s="50">
        <v>778</v>
      </c>
      <c r="W141" s="50" t="s">
        <v>14347</v>
      </c>
      <c r="X141" s="50" t="s">
        <v>102</v>
      </c>
      <c r="Y141" s="50" t="s">
        <v>679</v>
      </c>
      <c r="Z141" s="50" t="s">
        <v>104</v>
      </c>
      <c r="AA141" s="50" t="s">
        <v>14348</v>
      </c>
      <c r="AB141" s="50" t="s">
        <v>14349</v>
      </c>
      <c r="AC141" s="50" t="s">
        <v>14350</v>
      </c>
      <c r="AD141" s="50" t="s">
        <v>13263</v>
      </c>
      <c r="AE141" s="50" t="s">
        <v>14350</v>
      </c>
      <c r="AF141" s="50" t="s">
        <v>109</v>
      </c>
      <c r="AG141" s="50" t="s">
        <v>102</v>
      </c>
      <c r="AH141" s="50" t="s">
        <v>109</v>
      </c>
      <c r="AI141" s="50" t="s">
        <v>102</v>
      </c>
      <c r="AJ141" s="50" t="s">
        <v>102</v>
      </c>
      <c r="AK141" s="50" t="s">
        <v>14351</v>
      </c>
      <c r="AL141" s="50" t="s">
        <v>13344</v>
      </c>
      <c r="AM141" s="50" t="s">
        <v>14352</v>
      </c>
      <c r="AN141" s="50" t="s">
        <v>14353</v>
      </c>
      <c r="AO141" s="50" t="s">
        <v>14354</v>
      </c>
      <c r="AP141" s="50" t="s">
        <v>14355</v>
      </c>
      <c r="AQ141" s="50" t="s">
        <v>14355</v>
      </c>
      <c r="AV141" s="50" t="s">
        <v>207</v>
      </c>
      <c r="AW141" s="50" t="s">
        <v>118</v>
      </c>
      <c r="AX141" s="50" t="s">
        <v>102</v>
      </c>
      <c r="AY141" s="50" t="s">
        <v>119</v>
      </c>
      <c r="BB141" s="50" t="s">
        <v>250</v>
      </c>
      <c r="BC141" s="50" t="s">
        <v>120</v>
      </c>
      <c r="BD141" s="50" t="s">
        <v>375</v>
      </c>
      <c r="BE141" s="50" t="s">
        <v>376</v>
      </c>
      <c r="BF141" s="50" t="s">
        <v>174</v>
      </c>
      <c r="BG141" s="50" t="s">
        <v>376</v>
      </c>
      <c r="BH141" s="50" t="s">
        <v>124</v>
      </c>
      <c r="BI141" s="50" t="s">
        <v>11888</v>
      </c>
      <c r="BJ141" s="50" t="s">
        <v>11889</v>
      </c>
      <c r="BK141" s="50" t="s">
        <v>127</v>
      </c>
      <c r="BL141" s="50" t="s">
        <v>14356</v>
      </c>
      <c r="BM141" s="50" t="s">
        <v>14357</v>
      </c>
      <c r="BN141" s="50" t="s">
        <v>14358</v>
      </c>
      <c r="BO141" s="50" t="s">
        <v>12838</v>
      </c>
      <c r="BP141" s="50" t="s">
        <v>6926</v>
      </c>
      <c r="BQ141" s="50" t="s">
        <v>180</v>
      </c>
      <c r="BR141" s="50" t="s">
        <v>6927</v>
      </c>
      <c r="BS141" s="50" t="s">
        <v>6928</v>
      </c>
      <c r="BT141" s="50" t="s">
        <v>1858</v>
      </c>
      <c r="BV141" s="50" t="s">
        <v>14359</v>
      </c>
      <c r="BW141" s="50" t="s">
        <v>14360</v>
      </c>
      <c r="BX141" s="50" t="s">
        <v>296</v>
      </c>
      <c r="BY141" s="50" t="s">
        <v>14361</v>
      </c>
      <c r="BZ141" s="50" t="s">
        <v>14362</v>
      </c>
      <c r="CA141" s="50" t="s">
        <v>14363</v>
      </c>
      <c r="CB141" s="50" t="s">
        <v>14364</v>
      </c>
      <c r="CC141" s="50" t="s">
        <v>14363</v>
      </c>
      <c r="CD141" s="50" t="s">
        <v>14365</v>
      </c>
      <c r="CE141" s="50" t="s">
        <v>14366</v>
      </c>
      <c r="CF141" s="50" t="s">
        <v>14367</v>
      </c>
      <c r="CG141" s="50" t="s">
        <v>14368</v>
      </c>
      <c r="CH141" s="50" t="s">
        <v>14369</v>
      </c>
      <c r="CI141" s="50" t="s">
        <v>14370</v>
      </c>
      <c r="CK141" s="50" t="s">
        <v>14371</v>
      </c>
      <c r="CL141" s="50" t="s">
        <v>14370</v>
      </c>
      <c r="CM141" s="50" t="s">
        <v>375</v>
      </c>
      <c r="CN141" s="50" t="s">
        <v>376</v>
      </c>
      <c r="CO141" s="50" t="s">
        <v>14371</v>
      </c>
      <c r="CQ141" s="50" t="s">
        <v>14370</v>
      </c>
      <c r="CR141" s="50" t="s">
        <v>14370</v>
      </c>
    </row>
    <row r="142" spans="1:97" hidden="1">
      <c r="A142" s="50" t="s">
        <v>149</v>
      </c>
      <c r="B142" s="50">
        <v>3284326</v>
      </c>
      <c r="C142" s="50" t="e">
        <f>VLOOKUP(B142,'Drop schools 2026'!B:C,2,0)</f>
        <v>#N/A</v>
      </c>
      <c r="D142" s="50" t="s">
        <v>174</v>
      </c>
      <c r="E142" s="50" t="s">
        <v>384</v>
      </c>
      <c r="F142" s="50" t="s">
        <v>5237</v>
      </c>
      <c r="G142" s="50" t="str">
        <f>VLOOKUP(B142,aa!B:F,5,0)</f>
        <v>Ei ASSET, Ei CARES, Ei Mindspark</v>
      </c>
      <c r="H142" s="50">
        <f>VLOOKUP(B142,aa!B:J,9,0)</f>
        <v>1251138</v>
      </c>
      <c r="I142" s="50">
        <f>VLOOKUP(B142,aa!B:L,11,0)</f>
        <v>151308</v>
      </c>
      <c r="J142" s="50">
        <f>VLOOKUP(B142,aa!B:O,14,0)</f>
        <v>281227</v>
      </c>
      <c r="K142" s="50">
        <f>VLOOKUP(B142,aa!B:R,17,0)</f>
        <v>818603</v>
      </c>
      <c r="L142" s="50" t="s">
        <v>2163</v>
      </c>
      <c r="M142" s="50">
        <v>1031051</v>
      </c>
      <c r="N142" s="50">
        <v>1163046</v>
      </c>
      <c r="O142" s="50">
        <v>121626</v>
      </c>
      <c r="P142" s="50">
        <v>174</v>
      </c>
      <c r="Q142" s="50" t="s">
        <v>15347</v>
      </c>
      <c r="R142" s="50">
        <v>176117</v>
      </c>
      <c r="S142" s="50">
        <v>267</v>
      </c>
      <c r="T142" s="50" t="s">
        <v>4273</v>
      </c>
      <c r="U142" s="50">
        <v>733308</v>
      </c>
      <c r="V142" s="50">
        <v>437</v>
      </c>
      <c r="W142" s="50" t="s">
        <v>15348</v>
      </c>
      <c r="X142" s="50" t="s">
        <v>102</v>
      </c>
      <c r="Y142" s="50" t="s">
        <v>275</v>
      </c>
      <c r="AA142" s="50" t="s">
        <v>15349</v>
      </c>
      <c r="AB142" s="50" t="s">
        <v>109</v>
      </c>
      <c r="AC142" s="50" t="s">
        <v>102</v>
      </c>
      <c r="AD142" s="50" t="s">
        <v>109</v>
      </c>
      <c r="AE142" s="50" t="s">
        <v>102</v>
      </c>
      <c r="AF142" s="50" t="s">
        <v>109</v>
      </c>
      <c r="AG142" s="50" t="s">
        <v>102</v>
      </c>
      <c r="AH142" s="50" t="s">
        <v>109</v>
      </c>
      <c r="AI142" s="50" t="s">
        <v>102</v>
      </c>
      <c r="AJ142" s="50" t="s">
        <v>102</v>
      </c>
      <c r="AK142" s="50" t="s">
        <v>15350</v>
      </c>
      <c r="AL142" s="50" t="s">
        <v>15351</v>
      </c>
      <c r="AM142" s="50" t="s">
        <v>15352</v>
      </c>
      <c r="AN142" s="50" t="s">
        <v>15353</v>
      </c>
      <c r="AO142" s="50" t="s">
        <v>15354</v>
      </c>
      <c r="AP142" s="50" t="s">
        <v>15355</v>
      </c>
      <c r="AQ142" s="50" t="s">
        <v>15355</v>
      </c>
      <c r="AV142" s="50" t="s">
        <v>207</v>
      </c>
      <c r="AW142" s="50" t="s">
        <v>118</v>
      </c>
      <c r="AX142" s="50" t="s">
        <v>3536</v>
      </c>
      <c r="AY142" s="50" t="s">
        <v>249</v>
      </c>
      <c r="AZ142" s="50" t="s">
        <v>1138</v>
      </c>
      <c r="BA142" s="50" t="s">
        <v>250</v>
      </c>
      <c r="BB142" s="50" t="s">
        <v>250</v>
      </c>
      <c r="BC142" s="50" t="s">
        <v>171</v>
      </c>
      <c r="BD142" s="50" t="s">
        <v>5248</v>
      </c>
      <c r="BE142" s="50" t="s">
        <v>1208</v>
      </c>
      <c r="BF142" s="50" t="s">
        <v>174</v>
      </c>
      <c r="BG142" s="50" t="s">
        <v>1172</v>
      </c>
      <c r="BH142" s="50" t="s">
        <v>124</v>
      </c>
      <c r="BI142" s="50" t="s">
        <v>15356</v>
      </c>
      <c r="BJ142" s="50" t="s">
        <v>11889</v>
      </c>
      <c r="BK142" s="50" t="s">
        <v>127</v>
      </c>
      <c r="BL142" s="50" t="s">
        <v>15357</v>
      </c>
      <c r="BM142" s="50" t="s">
        <v>5250</v>
      </c>
      <c r="BN142" s="50" t="s">
        <v>15358</v>
      </c>
      <c r="BO142" s="50" t="s">
        <v>15346</v>
      </c>
      <c r="BP142" s="50" t="s">
        <v>1917</v>
      </c>
      <c r="BQ142" s="50" t="s">
        <v>180</v>
      </c>
      <c r="BR142" s="50" t="s">
        <v>1918</v>
      </c>
      <c r="BS142" s="50" t="s">
        <v>1919</v>
      </c>
      <c r="BT142" s="50" t="s">
        <v>384</v>
      </c>
      <c r="BV142" s="50" t="s">
        <v>15359</v>
      </c>
      <c r="BW142" s="50" t="s">
        <v>5253</v>
      </c>
      <c r="BX142" s="50" t="s">
        <v>138</v>
      </c>
      <c r="BY142" s="50" t="s">
        <v>5254</v>
      </c>
      <c r="BZ142" s="50" t="s">
        <v>5255</v>
      </c>
      <c r="CA142" s="50" t="s">
        <v>5256</v>
      </c>
      <c r="CB142" s="50" t="s">
        <v>5253</v>
      </c>
      <c r="CC142" s="50" t="s">
        <v>5254</v>
      </c>
      <c r="CD142" s="50" t="s">
        <v>5255</v>
      </c>
      <c r="CE142" s="50" t="s">
        <v>5253</v>
      </c>
      <c r="CF142" s="50" t="s">
        <v>5254</v>
      </c>
      <c r="CG142" s="50" t="s">
        <v>5255</v>
      </c>
      <c r="CH142" s="50" t="s">
        <v>102</v>
      </c>
      <c r="CI142" s="50" t="s">
        <v>15360</v>
      </c>
      <c r="CK142" s="50" t="s">
        <v>5262</v>
      </c>
      <c r="CM142" s="50" t="s">
        <v>5248</v>
      </c>
      <c r="CN142" s="50" t="s">
        <v>1208</v>
      </c>
      <c r="CO142" s="50" t="s">
        <v>5262</v>
      </c>
      <c r="CQ142" s="50" t="s">
        <v>5263</v>
      </c>
      <c r="CR142" s="50" t="s">
        <v>5261</v>
      </c>
    </row>
    <row r="143" spans="1:97" hidden="1">
      <c r="A143" s="50" t="s">
        <v>149</v>
      </c>
      <c r="B143" s="50">
        <v>2565760</v>
      </c>
      <c r="C143" s="50" t="e">
        <f>VLOOKUP(B143,'Drop schools 2026'!B:C,2,0)</f>
        <v>#N/A</v>
      </c>
      <c r="D143" s="50" t="s">
        <v>212</v>
      </c>
      <c r="E143" s="50" t="s">
        <v>11995</v>
      </c>
      <c r="F143" s="50" t="s">
        <v>4161</v>
      </c>
      <c r="G143" s="50" t="e">
        <f>VLOOKUP(B143,aa!B:F,5,0)</f>
        <v>#N/A</v>
      </c>
      <c r="H143" s="50" t="e">
        <f>VLOOKUP(B143,aa!B:J,9,0)</f>
        <v>#N/A</v>
      </c>
      <c r="I143" s="50" t="e">
        <f>VLOOKUP(B143,aa!B:L,11,0)</f>
        <v>#N/A</v>
      </c>
      <c r="J143" s="50" t="e">
        <f>VLOOKUP(B143,aa!B:O,14,0)</f>
        <v>#N/A</v>
      </c>
      <c r="K143" s="50" t="e">
        <f>VLOOKUP(B143,aa!B:R,17,0)</f>
        <v>#N/A</v>
      </c>
      <c r="L143" s="50" t="s">
        <v>97</v>
      </c>
      <c r="M143" s="50">
        <v>1027051</v>
      </c>
      <c r="N143" s="50">
        <v>1027051</v>
      </c>
      <c r="O143" s="50">
        <v>1027051</v>
      </c>
      <c r="P143" s="50">
        <v>1388</v>
      </c>
      <c r="Q143" s="50" t="s">
        <v>14598</v>
      </c>
      <c r="R143" s="50">
        <v>0</v>
      </c>
      <c r="S143" s="50">
        <v>0</v>
      </c>
      <c r="U143" s="50">
        <v>0</v>
      </c>
      <c r="V143" s="50">
        <v>0</v>
      </c>
      <c r="X143" s="50" t="s">
        <v>102</v>
      </c>
      <c r="Y143" s="50" t="s">
        <v>275</v>
      </c>
      <c r="AA143" s="50" t="s">
        <v>12099</v>
      </c>
      <c r="AB143" s="50" t="s">
        <v>109</v>
      </c>
      <c r="AC143" s="50" t="s">
        <v>102</v>
      </c>
      <c r="AD143" s="50" t="s">
        <v>109</v>
      </c>
      <c r="AE143" s="50" t="s">
        <v>102</v>
      </c>
      <c r="AF143" s="50" t="s">
        <v>109</v>
      </c>
      <c r="AG143" s="50" t="s">
        <v>102</v>
      </c>
      <c r="AH143" s="50" t="s">
        <v>109</v>
      </c>
      <c r="AI143" s="50" t="s">
        <v>102</v>
      </c>
      <c r="AJ143" s="50" t="s">
        <v>102</v>
      </c>
      <c r="AM143" s="50" t="s">
        <v>14599</v>
      </c>
      <c r="AN143" s="50" t="s">
        <v>102</v>
      </c>
      <c r="AO143" s="50" t="s">
        <v>14599</v>
      </c>
      <c r="AP143" s="50" t="s">
        <v>14600</v>
      </c>
      <c r="AQ143" s="50" t="s">
        <v>14600</v>
      </c>
      <c r="AV143" s="50" t="s">
        <v>117</v>
      </c>
      <c r="AW143" s="50" t="s">
        <v>118</v>
      </c>
      <c r="AX143" s="50" t="s">
        <v>102</v>
      </c>
      <c r="AY143" s="50" t="s">
        <v>119</v>
      </c>
      <c r="BC143" s="50" t="s">
        <v>120</v>
      </c>
      <c r="BD143" s="50" t="s">
        <v>284</v>
      </c>
      <c r="BE143" s="50" t="s">
        <v>285</v>
      </c>
      <c r="BF143" s="50" t="s">
        <v>212</v>
      </c>
      <c r="BG143" s="50" t="s">
        <v>286</v>
      </c>
      <c r="BH143" s="50" t="s">
        <v>124</v>
      </c>
      <c r="BI143" s="50" t="s">
        <v>11959</v>
      </c>
      <c r="BJ143" s="50" t="s">
        <v>11889</v>
      </c>
      <c r="BK143" s="50" t="s">
        <v>127</v>
      </c>
      <c r="BL143" s="50" t="s">
        <v>14601</v>
      </c>
      <c r="BM143" s="50" t="s">
        <v>4170</v>
      </c>
      <c r="BN143" s="50" t="s">
        <v>14602</v>
      </c>
      <c r="BO143" s="50" t="s">
        <v>14597</v>
      </c>
      <c r="BP143" s="50" t="s">
        <v>956</v>
      </c>
      <c r="BQ143" s="50" t="s">
        <v>350</v>
      </c>
      <c r="BR143" s="50" t="s">
        <v>958</v>
      </c>
      <c r="BS143" s="50" t="s">
        <v>959</v>
      </c>
      <c r="BT143" s="50" t="s">
        <v>293</v>
      </c>
      <c r="BV143" s="50" t="s">
        <v>14603</v>
      </c>
      <c r="BW143" s="50" t="s">
        <v>14604</v>
      </c>
      <c r="BX143" s="50" t="s">
        <v>138</v>
      </c>
      <c r="BY143" s="50" t="s">
        <v>4174</v>
      </c>
      <c r="BZ143" s="50" t="s">
        <v>4175</v>
      </c>
      <c r="CA143" s="50" t="s">
        <v>4176</v>
      </c>
      <c r="CB143" s="50" t="s">
        <v>14604</v>
      </c>
      <c r="CC143" s="50" t="s">
        <v>4174</v>
      </c>
      <c r="CD143" s="50" t="s">
        <v>4175</v>
      </c>
      <c r="CE143" s="50" t="s">
        <v>14604</v>
      </c>
      <c r="CF143" s="50" t="s">
        <v>4174</v>
      </c>
      <c r="CG143" s="50" t="s">
        <v>4175</v>
      </c>
      <c r="CH143" s="50" t="s">
        <v>102</v>
      </c>
      <c r="CI143" s="50" t="s">
        <v>4181</v>
      </c>
      <c r="CK143" s="50" t="s">
        <v>4182</v>
      </c>
      <c r="CM143" s="50" t="s">
        <v>284</v>
      </c>
      <c r="CN143" s="50" t="s">
        <v>285</v>
      </c>
      <c r="CO143" s="50" t="s">
        <v>4182</v>
      </c>
      <c r="CQ143" s="50" t="s">
        <v>4181</v>
      </c>
      <c r="CR143" s="50" t="s">
        <v>4181</v>
      </c>
      <c r="CS143" s="50" t="s">
        <v>26040</v>
      </c>
    </row>
    <row r="144" spans="1:97" hidden="1">
      <c r="A144" s="50" t="s">
        <v>149</v>
      </c>
      <c r="B144" s="50">
        <v>47745</v>
      </c>
      <c r="C144" s="50" t="e">
        <f>VLOOKUP(B144,'Drop schools 2026'!B:C,2,0)</f>
        <v>#N/A</v>
      </c>
      <c r="D144" s="50" t="s">
        <v>122</v>
      </c>
      <c r="E144" s="50" t="s">
        <v>12491</v>
      </c>
      <c r="F144" s="50" t="s">
        <v>8992</v>
      </c>
      <c r="G144" s="50" t="str">
        <f>VLOOKUP(B144,aa!B:F,5,0)</f>
        <v>Ei ASSET</v>
      </c>
      <c r="H144" s="50">
        <f>VLOOKUP(B144,aa!B:J,9,0)</f>
        <v>1039920</v>
      </c>
      <c r="I144" s="50">
        <f>VLOOKUP(B144,aa!B:L,11,0)</f>
        <v>1039920</v>
      </c>
      <c r="J144" s="50">
        <f>VLOOKUP(B144,aa!B:O,14,0)</f>
        <v>0</v>
      </c>
      <c r="K144" s="50">
        <f>VLOOKUP(B144,aa!B:R,17,0)</f>
        <v>0</v>
      </c>
      <c r="L144" s="50" t="s">
        <v>97</v>
      </c>
      <c r="M144" s="50">
        <v>1026271</v>
      </c>
      <c r="N144" s="50">
        <v>1026271</v>
      </c>
      <c r="O144" s="50">
        <v>1026271</v>
      </c>
      <c r="P144" s="50">
        <v>1579</v>
      </c>
      <c r="Q144" s="50" t="s">
        <v>1122</v>
      </c>
      <c r="R144" s="50">
        <v>0</v>
      </c>
      <c r="S144" s="50">
        <v>0</v>
      </c>
      <c r="U144" s="50">
        <v>0</v>
      </c>
      <c r="V144" s="50">
        <v>0</v>
      </c>
      <c r="X144" s="50" t="s">
        <v>102</v>
      </c>
      <c r="Y144" s="50" t="s">
        <v>103</v>
      </c>
      <c r="Z144" s="50" t="s">
        <v>104</v>
      </c>
      <c r="AB144" s="50" t="s">
        <v>14250</v>
      </c>
      <c r="AC144" s="50" t="s">
        <v>18407</v>
      </c>
      <c r="AD144" s="50" t="s">
        <v>11929</v>
      </c>
      <c r="AE144" s="50" t="s">
        <v>18408</v>
      </c>
      <c r="AF144" s="50" t="s">
        <v>109</v>
      </c>
      <c r="AG144" s="50" t="s">
        <v>102</v>
      </c>
      <c r="AH144" s="50" t="s">
        <v>109</v>
      </c>
      <c r="AI144" s="50" t="s">
        <v>102</v>
      </c>
      <c r="AJ144" s="50" t="s">
        <v>18409</v>
      </c>
      <c r="AK144" s="50" t="s">
        <v>15939</v>
      </c>
      <c r="AL144" s="50" t="s">
        <v>946</v>
      </c>
      <c r="AM144" s="50" t="s">
        <v>18410</v>
      </c>
      <c r="AN144" s="50" t="s">
        <v>18411</v>
      </c>
      <c r="AO144" s="50" t="s">
        <v>18412</v>
      </c>
      <c r="AP144" s="50" t="s">
        <v>5355</v>
      </c>
      <c r="AQ144" s="50" t="s">
        <v>5355</v>
      </c>
      <c r="AV144" s="50" t="s">
        <v>318</v>
      </c>
      <c r="AW144" s="50" t="s">
        <v>118</v>
      </c>
      <c r="AX144" s="50" t="s">
        <v>102</v>
      </c>
      <c r="AY144" s="50" t="s">
        <v>119</v>
      </c>
      <c r="BC144" s="50" t="s">
        <v>120</v>
      </c>
      <c r="BD144" s="50" t="s">
        <v>2204</v>
      </c>
      <c r="BE144" s="50" t="s">
        <v>121</v>
      </c>
      <c r="BF144" s="50" t="s">
        <v>122</v>
      </c>
      <c r="BG144" s="50" t="s">
        <v>123</v>
      </c>
      <c r="BH144" s="50" t="s">
        <v>124</v>
      </c>
      <c r="BI144" s="50" t="s">
        <v>12023</v>
      </c>
      <c r="BJ144" s="50" t="s">
        <v>11889</v>
      </c>
      <c r="BK144" s="50" t="s">
        <v>127</v>
      </c>
      <c r="BL144" s="50" t="s">
        <v>18413</v>
      </c>
      <c r="BM144" s="50" t="s">
        <v>9001</v>
      </c>
      <c r="BN144" s="50" t="s">
        <v>18414</v>
      </c>
      <c r="BO144" s="50" t="s">
        <v>13216</v>
      </c>
      <c r="BP144" s="50" t="s">
        <v>8788</v>
      </c>
      <c r="BQ144" s="50" t="s">
        <v>350</v>
      </c>
      <c r="BR144" s="50" t="s">
        <v>8789</v>
      </c>
      <c r="BS144" s="50" t="s">
        <v>8790</v>
      </c>
      <c r="BT144" s="50" t="s">
        <v>1006</v>
      </c>
      <c r="BV144" s="50" t="s">
        <v>18415</v>
      </c>
      <c r="BW144" s="50" t="s">
        <v>9004</v>
      </c>
      <c r="BX144" s="50" t="s">
        <v>138</v>
      </c>
      <c r="BY144" s="50" t="s">
        <v>9005</v>
      </c>
      <c r="BZ144" s="50" t="s">
        <v>9006</v>
      </c>
      <c r="CA144" s="50" t="s">
        <v>9007</v>
      </c>
      <c r="CB144" s="50" t="s">
        <v>9004</v>
      </c>
      <c r="CC144" s="50" t="s">
        <v>9005</v>
      </c>
      <c r="CD144" s="50" t="s">
        <v>9006</v>
      </c>
      <c r="CE144" s="50" t="s">
        <v>18416</v>
      </c>
      <c r="CF144" s="50" t="s">
        <v>9009</v>
      </c>
      <c r="CG144" s="50" t="s">
        <v>9010</v>
      </c>
      <c r="CH144" s="50" t="s">
        <v>102</v>
      </c>
      <c r="CI144" s="50" t="s">
        <v>9011</v>
      </c>
      <c r="CK144" s="50" t="s">
        <v>5311</v>
      </c>
      <c r="CM144" s="50" t="s">
        <v>2204</v>
      </c>
      <c r="CN144" s="50" t="s">
        <v>121</v>
      </c>
      <c r="CO144" s="50" t="s">
        <v>5311</v>
      </c>
      <c r="CQ144" s="50" t="s">
        <v>9011</v>
      </c>
      <c r="CR144" s="50" t="s">
        <v>9011</v>
      </c>
    </row>
    <row r="145" spans="1:97" hidden="1">
      <c r="A145" s="50" t="s">
        <v>149</v>
      </c>
      <c r="B145" s="50">
        <v>374785</v>
      </c>
      <c r="C145" s="50" t="e">
        <f>VLOOKUP(B145,'Drop schools 2026'!B:C,2,0)</f>
        <v>#N/A</v>
      </c>
      <c r="D145" s="50" t="s">
        <v>212</v>
      </c>
      <c r="E145" s="50" t="s">
        <v>222</v>
      </c>
      <c r="F145" s="50" t="s">
        <v>7283</v>
      </c>
      <c r="G145" s="50" t="e">
        <f>VLOOKUP(B145,aa!B:F,5,0)</f>
        <v>#N/A</v>
      </c>
      <c r="H145" s="50" t="e">
        <f>VLOOKUP(B145,aa!B:J,9,0)</f>
        <v>#N/A</v>
      </c>
      <c r="I145" s="50" t="e">
        <f>VLOOKUP(B145,aa!B:L,11,0)</f>
        <v>#N/A</v>
      </c>
      <c r="J145" s="50" t="e">
        <f>VLOOKUP(B145,aa!B:O,14,0)</f>
        <v>#N/A</v>
      </c>
      <c r="K145" s="50" t="e">
        <f>VLOOKUP(B145,aa!B:R,17,0)</f>
        <v>#N/A</v>
      </c>
      <c r="L145" s="50" t="s">
        <v>3549</v>
      </c>
      <c r="M145" s="50">
        <v>1021314</v>
      </c>
      <c r="N145" s="50">
        <v>1162948</v>
      </c>
      <c r="O145" s="50">
        <v>234456</v>
      </c>
      <c r="P145" s="50">
        <v>160</v>
      </c>
      <c r="Q145" s="50" t="s">
        <v>16829</v>
      </c>
      <c r="R145" s="50">
        <v>0</v>
      </c>
      <c r="S145" s="50">
        <v>0</v>
      </c>
      <c r="U145" s="50">
        <v>786858</v>
      </c>
      <c r="V145" s="50">
        <v>264</v>
      </c>
      <c r="W145" s="50" t="s">
        <v>16830</v>
      </c>
      <c r="X145" s="50" t="s">
        <v>102</v>
      </c>
      <c r="Y145" s="50" t="s">
        <v>103</v>
      </c>
      <c r="Z145" s="50" t="s">
        <v>398</v>
      </c>
      <c r="AB145" s="50" t="s">
        <v>625</v>
      </c>
      <c r="AC145" s="50" t="s">
        <v>16831</v>
      </c>
      <c r="AD145" s="50" t="s">
        <v>3679</v>
      </c>
      <c r="AE145" s="50" t="s">
        <v>16832</v>
      </c>
      <c r="AF145" s="50" t="s">
        <v>1427</v>
      </c>
      <c r="AG145" s="50" t="s">
        <v>16832</v>
      </c>
      <c r="AH145" s="50" t="s">
        <v>109</v>
      </c>
      <c r="AI145" s="50" t="s">
        <v>102</v>
      </c>
      <c r="AJ145" s="50" t="s">
        <v>16833</v>
      </c>
      <c r="AK145" s="50" t="s">
        <v>12923</v>
      </c>
      <c r="AL145" s="50" t="s">
        <v>13245</v>
      </c>
      <c r="AM145" s="50" t="s">
        <v>16834</v>
      </c>
      <c r="AN145" s="50" t="s">
        <v>16835</v>
      </c>
      <c r="AO145" s="50" t="s">
        <v>16836</v>
      </c>
      <c r="AP145" s="50" t="s">
        <v>16837</v>
      </c>
      <c r="AQ145" s="50" t="s">
        <v>16837</v>
      </c>
      <c r="AV145" s="50" t="s">
        <v>117</v>
      </c>
      <c r="AW145" s="50" t="s">
        <v>118</v>
      </c>
      <c r="AX145" s="50" t="s">
        <v>102</v>
      </c>
      <c r="AY145" s="50" t="s">
        <v>119</v>
      </c>
      <c r="BB145" s="50" t="s">
        <v>250</v>
      </c>
      <c r="BC145" s="50" t="s">
        <v>171</v>
      </c>
      <c r="BD145" s="50" t="s">
        <v>920</v>
      </c>
      <c r="BE145" s="50" t="s">
        <v>211</v>
      </c>
      <c r="BF145" s="50" t="s">
        <v>212</v>
      </c>
      <c r="BG145" s="50" t="s">
        <v>213</v>
      </c>
      <c r="BH145" s="50" t="s">
        <v>124</v>
      </c>
      <c r="BI145" s="50" t="s">
        <v>11959</v>
      </c>
      <c r="BJ145" s="50" t="s">
        <v>11889</v>
      </c>
      <c r="BK145" s="50" t="s">
        <v>127</v>
      </c>
      <c r="BL145" s="50" t="s">
        <v>16838</v>
      </c>
      <c r="BM145" s="50" t="s">
        <v>7299</v>
      </c>
      <c r="BN145" s="50" t="s">
        <v>16839</v>
      </c>
      <c r="BO145" s="50" t="s">
        <v>1305</v>
      </c>
      <c r="BP145" s="50" t="s">
        <v>7108</v>
      </c>
      <c r="BQ145" s="50" t="s">
        <v>132</v>
      </c>
      <c r="BR145" s="50" t="s">
        <v>7109</v>
      </c>
      <c r="BS145" s="50" t="s">
        <v>2151</v>
      </c>
      <c r="BT145" s="50" t="s">
        <v>2151</v>
      </c>
      <c r="BV145" s="50" t="s">
        <v>16840</v>
      </c>
      <c r="BW145" s="50" t="s">
        <v>16841</v>
      </c>
      <c r="BX145" s="50" t="s">
        <v>598</v>
      </c>
      <c r="BY145" s="50" t="s">
        <v>7310</v>
      </c>
      <c r="BZ145" s="50" t="s">
        <v>7311</v>
      </c>
      <c r="CA145" s="50" t="s">
        <v>7308</v>
      </c>
      <c r="CB145" s="50" t="s">
        <v>16841</v>
      </c>
      <c r="CC145" s="50" t="s">
        <v>7310</v>
      </c>
      <c r="CD145" s="50" t="s">
        <v>7311</v>
      </c>
      <c r="CE145" s="50" t="s">
        <v>16841</v>
      </c>
      <c r="CF145" s="50" t="s">
        <v>7310</v>
      </c>
      <c r="CG145" s="50" t="s">
        <v>7311</v>
      </c>
      <c r="CH145" s="50" t="s">
        <v>102</v>
      </c>
      <c r="CI145" s="50" t="s">
        <v>7312</v>
      </c>
      <c r="CK145" s="50" t="s">
        <v>7313</v>
      </c>
      <c r="CM145" s="50" t="s">
        <v>920</v>
      </c>
      <c r="CN145" s="50" t="s">
        <v>2474</v>
      </c>
      <c r="CO145" s="50" t="s">
        <v>7313</v>
      </c>
      <c r="CP145" s="50" t="s">
        <v>7314</v>
      </c>
      <c r="CQ145" s="50" t="s">
        <v>7312</v>
      </c>
      <c r="CR145" s="50" t="s">
        <v>7312</v>
      </c>
      <c r="CS145" s="50" t="s">
        <v>26043</v>
      </c>
    </row>
    <row r="146" spans="1:97" hidden="1">
      <c r="A146" s="50" t="s">
        <v>149</v>
      </c>
      <c r="B146" s="50">
        <v>1649456</v>
      </c>
      <c r="C146" s="50" t="e">
        <f>VLOOKUP(B146,'Drop schools 2026'!B:C,2,0)</f>
        <v>#N/A</v>
      </c>
      <c r="D146" s="50" t="s">
        <v>122</v>
      </c>
      <c r="E146" s="50" t="s">
        <v>12121</v>
      </c>
      <c r="F146" s="50" t="s">
        <v>1421</v>
      </c>
      <c r="G146" s="50" t="e">
        <f>VLOOKUP(B146,aa!B:F,5,0)</f>
        <v>#N/A</v>
      </c>
      <c r="H146" s="50" t="e">
        <f>VLOOKUP(B146,aa!B:J,9,0)</f>
        <v>#N/A</v>
      </c>
      <c r="I146" s="50" t="e">
        <f>VLOOKUP(B146,aa!B:L,11,0)</f>
        <v>#N/A</v>
      </c>
      <c r="J146" s="50" t="e">
        <f>VLOOKUP(B146,aa!B:O,14,0)</f>
        <v>#N/A</v>
      </c>
      <c r="K146" s="50" t="e">
        <f>VLOOKUP(B146,aa!B:R,17,0)</f>
        <v>#N/A</v>
      </c>
      <c r="L146" s="50" t="s">
        <v>152</v>
      </c>
      <c r="M146" s="50">
        <v>1015162</v>
      </c>
      <c r="N146" s="50">
        <v>1015162</v>
      </c>
      <c r="O146" s="50">
        <v>0</v>
      </c>
      <c r="P146" s="50">
        <v>0</v>
      </c>
      <c r="R146" s="50">
        <v>1015162</v>
      </c>
      <c r="S146" s="50">
        <v>752</v>
      </c>
      <c r="T146" s="50" t="s">
        <v>397</v>
      </c>
      <c r="U146" s="50">
        <v>0</v>
      </c>
      <c r="V146" s="50">
        <v>0</v>
      </c>
      <c r="X146" s="50" t="s">
        <v>102</v>
      </c>
      <c r="Y146" s="50" t="s">
        <v>103</v>
      </c>
      <c r="Z146" s="50" t="s">
        <v>155</v>
      </c>
      <c r="AB146" s="50" t="s">
        <v>11976</v>
      </c>
      <c r="AC146" s="50" t="s">
        <v>12727</v>
      </c>
      <c r="AD146" s="50" t="s">
        <v>12082</v>
      </c>
      <c r="AE146" s="50" t="s">
        <v>12727</v>
      </c>
      <c r="AF146" s="50" t="s">
        <v>5651</v>
      </c>
      <c r="AG146" s="50" t="s">
        <v>12727</v>
      </c>
      <c r="AH146" s="50" t="s">
        <v>11888</v>
      </c>
      <c r="AI146" s="50" t="s">
        <v>12727</v>
      </c>
      <c r="AJ146" s="50" t="s">
        <v>102</v>
      </c>
      <c r="AK146" s="50" t="s">
        <v>12728</v>
      </c>
      <c r="AL146" s="50" t="s">
        <v>12729</v>
      </c>
      <c r="AM146" s="50" t="s">
        <v>12730</v>
      </c>
      <c r="AN146" s="50" t="s">
        <v>12731</v>
      </c>
      <c r="AO146" s="50" t="s">
        <v>12732</v>
      </c>
      <c r="AP146" s="50" t="s">
        <v>12733</v>
      </c>
      <c r="AQ146" s="50" t="s">
        <v>12733</v>
      </c>
      <c r="AV146" s="50" t="s">
        <v>102</v>
      </c>
      <c r="AX146" s="50" t="s">
        <v>155</v>
      </c>
      <c r="AY146" s="50" t="s">
        <v>119</v>
      </c>
      <c r="AZ146" s="50" t="s">
        <v>170</v>
      </c>
      <c r="BA146" s="50" t="s">
        <v>118</v>
      </c>
      <c r="BC146" s="50" t="s">
        <v>120</v>
      </c>
      <c r="BD146" s="50" t="s">
        <v>1433</v>
      </c>
      <c r="BE146" s="50" t="s">
        <v>556</v>
      </c>
      <c r="BF146" s="50" t="s">
        <v>122</v>
      </c>
      <c r="BG146" s="50" t="s">
        <v>557</v>
      </c>
      <c r="BH146" s="50" t="s">
        <v>124</v>
      </c>
      <c r="BI146" s="50" t="s">
        <v>11959</v>
      </c>
      <c r="BJ146" s="50" t="s">
        <v>11889</v>
      </c>
      <c r="BK146" s="50" t="s">
        <v>127</v>
      </c>
      <c r="BL146" s="50" t="s">
        <v>12734</v>
      </c>
      <c r="BM146" s="50" t="s">
        <v>1435</v>
      </c>
      <c r="BN146" s="50" t="s">
        <v>12735</v>
      </c>
      <c r="BO146" s="50" t="s">
        <v>7439</v>
      </c>
      <c r="BP146" s="50" t="s">
        <v>1142</v>
      </c>
      <c r="BQ146" s="50" t="s">
        <v>350</v>
      </c>
      <c r="BR146" s="50" t="s">
        <v>1143</v>
      </c>
      <c r="BS146" s="50" t="s">
        <v>1144</v>
      </c>
      <c r="BT146" s="50" t="s">
        <v>566</v>
      </c>
      <c r="BV146" s="50" t="s">
        <v>12736</v>
      </c>
      <c r="BW146" s="50" t="s">
        <v>1438</v>
      </c>
      <c r="BX146" s="50" t="s">
        <v>138</v>
      </c>
      <c r="BY146" s="50" t="s">
        <v>1439</v>
      </c>
      <c r="BZ146" s="50" t="s">
        <v>1440</v>
      </c>
      <c r="CA146" s="50" t="s">
        <v>1441</v>
      </c>
      <c r="CB146" s="50" t="s">
        <v>1438</v>
      </c>
      <c r="CC146" s="50" t="s">
        <v>1439</v>
      </c>
      <c r="CD146" s="50" t="s">
        <v>1440</v>
      </c>
      <c r="CE146" s="50" t="s">
        <v>1438</v>
      </c>
      <c r="CF146" s="50" t="s">
        <v>1439</v>
      </c>
      <c r="CG146" s="50" t="s">
        <v>1440</v>
      </c>
      <c r="CH146" s="50" t="s">
        <v>102</v>
      </c>
      <c r="CI146" s="50" t="s">
        <v>1421</v>
      </c>
      <c r="CK146" s="50" t="s">
        <v>1445</v>
      </c>
      <c r="CM146" s="50" t="s">
        <v>1433</v>
      </c>
      <c r="CN146" s="50" t="s">
        <v>556</v>
      </c>
      <c r="CO146" s="50" t="s">
        <v>1445</v>
      </c>
      <c r="CQ146" s="50" t="s">
        <v>1444</v>
      </c>
      <c r="CR146" s="50" t="s">
        <v>1444</v>
      </c>
    </row>
    <row r="147" spans="1:97" hidden="1">
      <c r="A147" s="50" t="s">
        <v>337</v>
      </c>
      <c r="B147" s="50">
        <v>1155556</v>
      </c>
      <c r="C147" s="50" t="str">
        <f>VLOOKUP(B147,'Drop schools 2026'!B:C,2,0)</f>
        <v>Drop</v>
      </c>
      <c r="D147" s="50" t="s">
        <v>174</v>
      </c>
      <c r="E147" s="50" t="s">
        <v>12155</v>
      </c>
      <c r="F147" s="50" t="s">
        <v>12175</v>
      </c>
      <c r="G147" s="50" t="e">
        <f>VLOOKUP(B147,aa!B:F,5,0)</f>
        <v>#N/A</v>
      </c>
      <c r="H147" s="50" t="e">
        <f>VLOOKUP(B147,aa!B:J,9,0)</f>
        <v>#N/A</v>
      </c>
      <c r="I147" s="50" t="e">
        <f>VLOOKUP(B147,aa!B:L,11,0)</f>
        <v>#N/A</v>
      </c>
      <c r="J147" s="50" t="e">
        <f>VLOOKUP(B147,aa!B:O,14,0)</f>
        <v>#N/A</v>
      </c>
      <c r="K147" s="50" t="e">
        <f>VLOOKUP(B147,aa!B:R,17,0)</f>
        <v>#N/A</v>
      </c>
      <c r="L147" s="50" t="s">
        <v>152</v>
      </c>
      <c r="M147" s="50">
        <v>1014000</v>
      </c>
      <c r="N147" s="50">
        <v>1014000</v>
      </c>
      <c r="O147" s="50">
        <v>0</v>
      </c>
      <c r="P147" s="50">
        <v>0</v>
      </c>
      <c r="R147" s="50">
        <v>1014000</v>
      </c>
      <c r="S147" s="50">
        <v>780</v>
      </c>
      <c r="T147" s="50" t="s">
        <v>8534</v>
      </c>
      <c r="U147" s="50">
        <v>0</v>
      </c>
      <c r="V147" s="50">
        <v>0</v>
      </c>
      <c r="X147" s="50" t="s">
        <v>102</v>
      </c>
      <c r="Y147" s="50" t="s">
        <v>103</v>
      </c>
      <c r="Z147" s="50" t="s">
        <v>155</v>
      </c>
      <c r="AB147" s="50" t="s">
        <v>2392</v>
      </c>
      <c r="AC147" s="50" t="s">
        <v>12176</v>
      </c>
      <c r="AD147" s="50" t="s">
        <v>12157</v>
      </c>
      <c r="AE147" s="50" t="s">
        <v>12176</v>
      </c>
      <c r="AF147" s="50" t="s">
        <v>12043</v>
      </c>
      <c r="AG147" s="50" t="s">
        <v>12176</v>
      </c>
      <c r="AH147" s="50" t="s">
        <v>6895</v>
      </c>
      <c r="AI147" s="50" t="s">
        <v>12176</v>
      </c>
      <c r="AJ147" s="50" t="s">
        <v>102</v>
      </c>
      <c r="AK147" s="50" t="s">
        <v>8783</v>
      </c>
      <c r="AL147" s="50" t="s">
        <v>5351</v>
      </c>
      <c r="AM147" s="50" t="s">
        <v>12177</v>
      </c>
      <c r="AN147" s="50" t="s">
        <v>12178</v>
      </c>
      <c r="AO147" s="50" t="s">
        <v>12179</v>
      </c>
      <c r="AP147" s="50" t="s">
        <v>116</v>
      </c>
      <c r="AQ147" s="50" t="s">
        <v>116</v>
      </c>
      <c r="AV147" s="50" t="s">
        <v>102</v>
      </c>
      <c r="AX147" s="50" t="s">
        <v>155</v>
      </c>
      <c r="AY147" s="50" t="s">
        <v>119</v>
      </c>
      <c r="AZ147" s="50" t="s">
        <v>170</v>
      </c>
      <c r="BA147" s="50" t="s">
        <v>118</v>
      </c>
      <c r="BC147" s="50" t="s">
        <v>120</v>
      </c>
      <c r="BD147" s="50" t="s">
        <v>12162</v>
      </c>
      <c r="BE147" s="50" t="s">
        <v>1171</v>
      </c>
      <c r="BF147" s="50" t="s">
        <v>174</v>
      </c>
      <c r="BG147" s="50" t="s">
        <v>1172</v>
      </c>
      <c r="BH147" s="50" t="s">
        <v>124</v>
      </c>
      <c r="BI147" s="50" t="s">
        <v>5694</v>
      </c>
      <c r="BJ147" s="50" t="s">
        <v>11889</v>
      </c>
      <c r="BK147" s="50" t="s">
        <v>127</v>
      </c>
      <c r="BL147" s="50" t="s">
        <v>12180</v>
      </c>
      <c r="BM147" s="50" t="s">
        <v>12181</v>
      </c>
      <c r="BN147" s="50" t="s">
        <v>12182</v>
      </c>
      <c r="BO147" s="50" t="s">
        <v>6134</v>
      </c>
      <c r="BP147" s="50" t="s">
        <v>5557</v>
      </c>
      <c r="BQ147" s="50" t="s">
        <v>180</v>
      </c>
      <c r="BR147" s="50" t="s">
        <v>5558</v>
      </c>
      <c r="BS147" s="50" t="s">
        <v>5559</v>
      </c>
      <c r="BT147" s="50" t="s">
        <v>5560</v>
      </c>
      <c r="BV147" s="50" t="s">
        <v>12183</v>
      </c>
      <c r="BW147" s="50" t="s">
        <v>12184</v>
      </c>
      <c r="BX147" s="50" t="s">
        <v>138</v>
      </c>
      <c r="BY147" s="50" t="s">
        <v>12185</v>
      </c>
      <c r="BZ147" s="50" t="s">
        <v>12169</v>
      </c>
      <c r="CA147" s="50" t="s">
        <v>12186</v>
      </c>
      <c r="CB147" s="50" t="s">
        <v>12187</v>
      </c>
      <c r="CC147" s="50" t="s">
        <v>12185</v>
      </c>
      <c r="CD147" s="50" t="s">
        <v>12169</v>
      </c>
      <c r="CE147" s="50" t="s">
        <v>12187</v>
      </c>
      <c r="CF147" s="50" t="s">
        <v>12185</v>
      </c>
      <c r="CG147" s="50" t="s">
        <v>12169</v>
      </c>
      <c r="CH147" s="50" t="s">
        <v>12188</v>
      </c>
      <c r="CI147" s="50" t="s">
        <v>12189</v>
      </c>
      <c r="CK147" s="50" t="s">
        <v>12190</v>
      </c>
      <c r="CL147" s="50" t="s">
        <v>12191</v>
      </c>
      <c r="CM147" s="50" t="s">
        <v>12162</v>
      </c>
      <c r="CN147" s="50" t="s">
        <v>1171</v>
      </c>
      <c r="CO147" s="50" t="s">
        <v>12190</v>
      </c>
      <c r="CQ147" s="50" t="s">
        <v>12191</v>
      </c>
      <c r="CR147" s="50" t="s">
        <v>12191</v>
      </c>
      <c r="CS147" s="50" t="s">
        <v>26046</v>
      </c>
    </row>
    <row r="148" spans="1:97" hidden="1">
      <c r="A148" s="50" t="s">
        <v>149</v>
      </c>
      <c r="B148" s="50">
        <v>559045</v>
      </c>
      <c r="C148" s="50" t="e">
        <f>VLOOKUP(B148,'Drop schools 2026'!B:C,2,0)</f>
        <v>#N/A</v>
      </c>
      <c r="D148" s="50" t="s">
        <v>122</v>
      </c>
      <c r="E148" s="50" t="s">
        <v>11882</v>
      </c>
      <c r="F148" s="50" t="s">
        <v>11124</v>
      </c>
      <c r="G148" s="50" t="str">
        <f>VLOOKUP(B148,aa!B:F,5,0)</f>
        <v>Ei ASSET, Ei Mindspark</v>
      </c>
      <c r="H148" s="50">
        <f>VLOOKUP(B148,aa!B:J,9,0)</f>
        <v>1028968</v>
      </c>
      <c r="I148" s="50">
        <f>VLOOKUP(B148,aa!B:L,11,0)</f>
        <v>608710</v>
      </c>
      <c r="J148" s="50">
        <f>VLOOKUP(B148,aa!B:O,14,0)</f>
        <v>0</v>
      </c>
      <c r="K148" s="50">
        <f>VLOOKUP(B148,aa!B:R,17,0)</f>
        <v>420258</v>
      </c>
      <c r="L148" s="50" t="s">
        <v>193</v>
      </c>
      <c r="M148" s="50">
        <v>1013161</v>
      </c>
      <c r="N148" s="50">
        <v>1086892</v>
      </c>
      <c r="O148" s="50">
        <v>603542</v>
      </c>
      <c r="P148" s="50">
        <v>621</v>
      </c>
      <c r="Q148" s="50" t="s">
        <v>3951</v>
      </c>
      <c r="R148" s="50">
        <v>0</v>
      </c>
      <c r="S148" s="50">
        <v>0</v>
      </c>
      <c r="U148" s="50">
        <v>409619</v>
      </c>
      <c r="V148" s="50">
        <v>154</v>
      </c>
      <c r="W148" s="50" t="s">
        <v>13651</v>
      </c>
      <c r="X148" s="50" t="s">
        <v>102</v>
      </c>
      <c r="Y148" s="50" t="s">
        <v>103</v>
      </c>
      <c r="Z148" s="50" t="s">
        <v>155</v>
      </c>
      <c r="AB148" s="50" t="s">
        <v>13652</v>
      </c>
      <c r="AC148" s="50" t="s">
        <v>21116</v>
      </c>
      <c r="AD148" s="50" t="s">
        <v>11976</v>
      </c>
      <c r="AE148" s="50" t="s">
        <v>21116</v>
      </c>
      <c r="AF148" s="50" t="s">
        <v>11888</v>
      </c>
      <c r="AG148" s="50" t="s">
        <v>21116</v>
      </c>
      <c r="AH148" s="50" t="s">
        <v>12084</v>
      </c>
      <c r="AI148" s="50" t="s">
        <v>21116</v>
      </c>
      <c r="AJ148" s="50" t="s">
        <v>21117</v>
      </c>
      <c r="AK148" s="50" t="s">
        <v>8783</v>
      </c>
      <c r="AL148" s="50" t="s">
        <v>21118</v>
      </c>
      <c r="AM148" s="50" t="s">
        <v>21119</v>
      </c>
      <c r="AN148" s="50" t="s">
        <v>21120</v>
      </c>
      <c r="AO148" s="50" t="s">
        <v>21121</v>
      </c>
      <c r="AP148" s="50" t="s">
        <v>21122</v>
      </c>
      <c r="AQ148" s="50" t="s">
        <v>21122</v>
      </c>
      <c r="AV148" s="50" t="s">
        <v>207</v>
      </c>
      <c r="AW148" s="50" t="s">
        <v>118</v>
      </c>
      <c r="AX148" s="50" t="s">
        <v>102</v>
      </c>
      <c r="AY148" s="50" t="s">
        <v>119</v>
      </c>
      <c r="BB148" s="50" t="s">
        <v>14957</v>
      </c>
      <c r="BC148" s="50" t="s">
        <v>120</v>
      </c>
      <c r="BD148" s="50" t="s">
        <v>4153</v>
      </c>
      <c r="BE148" s="50" t="s">
        <v>320</v>
      </c>
      <c r="BF148" s="50" t="s">
        <v>122</v>
      </c>
      <c r="BG148" s="50" t="s">
        <v>123</v>
      </c>
      <c r="BH148" s="50" t="s">
        <v>124</v>
      </c>
      <c r="BI148" s="50" t="s">
        <v>16703</v>
      </c>
      <c r="BJ148" s="50" t="s">
        <v>21123</v>
      </c>
      <c r="BK148" s="50" t="s">
        <v>127</v>
      </c>
      <c r="BL148" s="50" t="s">
        <v>21124</v>
      </c>
      <c r="BM148" s="50" t="s">
        <v>11133</v>
      </c>
      <c r="BN148" s="50" t="s">
        <v>21125</v>
      </c>
      <c r="BO148" s="50" t="s">
        <v>16696</v>
      </c>
      <c r="BP148" s="50" t="s">
        <v>3267</v>
      </c>
      <c r="BQ148" s="50" t="s">
        <v>350</v>
      </c>
      <c r="BR148" s="50" t="s">
        <v>3268</v>
      </c>
      <c r="BS148" s="50" t="s">
        <v>3269</v>
      </c>
      <c r="BT148" s="50" t="s">
        <v>135</v>
      </c>
      <c r="BU148" s="50" t="s">
        <v>135</v>
      </c>
      <c r="BV148" s="50" t="s">
        <v>21126</v>
      </c>
      <c r="BW148" s="50" t="s">
        <v>2932</v>
      </c>
      <c r="BX148" s="50" t="s">
        <v>296</v>
      </c>
      <c r="BY148" s="50" t="s">
        <v>2933</v>
      </c>
      <c r="BZ148" s="50" t="s">
        <v>2934</v>
      </c>
      <c r="CA148" s="50" t="s">
        <v>11136</v>
      </c>
      <c r="CB148" s="50" t="s">
        <v>21127</v>
      </c>
      <c r="CC148" s="50" t="s">
        <v>21128</v>
      </c>
      <c r="CD148" s="50" t="s">
        <v>2934</v>
      </c>
      <c r="CE148" s="50" t="s">
        <v>21127</v>
      </c>
      <c r="CF148" s="50" t="s">
        <v>21128</v>
      </c>
      <c r="CG148" s="50" t="s">
        <v>2934</v>
      </c>
      <c r="CH148" s="50" t="s">
        <v>102</v>
      </c>
      <c r="CI148" s="50" t="s">
        <v>11124</v>
      </c>
      <c r="CK148" s="50" t="s">
        <v>5161</v>
      </c>
      <c r="CM148" s="50" t="s">
        <v>4153</v>
      </c>
      <c r="CN148" s="50" t="s">
        <v>320</v>
      </c>
      <c r="CO148" s="50" t="s">
        <v>5161</v>
      </c>
      <c r="CP148" s="50" t="s">
        <v>3178</v>
      </c>
      <c r="CQ148" s="50" t="s">
        <v>11142</v>
      </c>
      <c r="CR148" s="50" t="s">
        <v>11142</v>
      </c>
    </row>
    <row r="149" spans="1:97" hidden="1">
      <c r="A149" s="50" t="s">
        <v>149</v>
      </c>
      <c r="B149" s="50">
        <v>1424516</v>
      </c>
      <c r="C149" s="50" t="e">
        <f>VLOOKUP(B149,'Drop schools 2026'!B:C,2,0)</f>
        <v>#N/A</v>
      </c>
      <c r="D149" s="50" t="s">
        <v>212</v>
      </c>
      <c r="E149" s="50" t="s">
        <v>11947</v>
      </c>
      <c r="F149" s="50" t="s">
        <v>910</v>
      </c>
      <c r="G149" s="50" t="e">
        <f>VLOOKUP(B149,aa!B:F,5,0)</f>
        <v>#N/A</v>
      </c>
      <c r="H149" s="50" t="e">
        <f>VLOOKUP(B149,aa!B:J,9,0)</f>
        <v>#N/A</v>
      </c>
      <c r="I149" s="50" t="e">
        <f>VLOOKUP(B149,aa!B:L,11,0)</f>
        <v>#N/A</v>
      </c>
      <c r="J149" s="50" t="e">
        <f>VLOOKUP(B149,aa!B:O,14,0)</f>
        <v>#N/A</v>
      </c>
      <c r="K149" s="50" t="e">
        <f>VLOOKUP(B149,aa!B:R,17,0)</f>
        <v>#N/A</v>
      </c>
      <c r="L149" s="50" t="s">
        <v>97</v>
      </c>
      <c r="M149" s="50">
        <v>1008504</v>
      </c>
      <c r="N149" s="50">
        <v>1008504</v>
      </c>
      <c r="O149" s="50">
        <v>1008504</v>
      </c>
      <c r="P149" s="50">
        <v>1003</v>
      </c>
      <c r="Q149" s="50" t="s">
        <v>12466</v>
      </c>
      <c r="R149" s="50">
        <v>0</v>
      </c>
      <c r="S149" s="50">
        <v>0</v>
      </c>
      <c r="U149" s="50">
        <v>0</v>
      </c>
      <c r="V149" s="50">
        <v>0</v>
      </c>
      <c r="X149" s="50" t="s">
        <v>102</v>
      </c>
      <c r="Y149" s="50" t="s">
        <v>103</v>
      </c>
      <c r="Z149" s="50" t="s">
        <v>104</v>
      </c>
      <c r="AB149" s="50" t="s">
        <v>12467</v>
      </c>
      <c r="AC149" s="50" t="s">
        <v>12468</v>
      </c>
      <c r="AD149" s="50" t="s">
        <v>11952</v>
      </c>
      <c r="AE149" s="50" t="s">
        <v>12469</v>
      </c>
      <c r="AF149" s="50" t="s">
        <v>109</v>
      </c>
      <c r="AG149" s="50" t="s">
        <v>102</v>
      </c>
      <c r="AH149" s="50" t="s">
        <v>109</v>
      </c>
      <c r="AI149" s="50" t="s">
        <v>102</v>
      </c>
      <c r="AJ149" s="50" t="s">
        <v>102</v>
      </c>
      <c r="AK149" s="50" t="s">
        <v>11930</v>
      </c>
      <c r="AL149" s="50" t="s">
        <v>12470</v>
      </c>
      <c r="AM149" s="50" t="s">
        <v>12471</v>
      </c>
      <c r="AN149" s="50" t="s">
        <v>12471</v>
      </c>
      <c r="AO149" s="50" t="s">
        <v>102</v>
      </c>
      <c r="AP149" s="50" t="s">
        <v>12472</v>
      </c>
      <c r="AQ149" s="50" t="s">
        <v>12472</v>
      </c>
      <c r="AV149" s="50" t="s">
        <v>117</v>
      </c>
      <c r="AW149" s="50" t="s">
        <v>118</v>
      </c>
      <c r="AX149" s="50" t="s">
        <v>102</v>
      </c>
      <c r="AY149" s="50" t="s">
        <v>119</v>
      </c>
      <c r="BC149" s="50" t="s">
        <v>120</v>
      </c>
      <c r="BD149" s="50" t="s">
        <v>920</v>
      </c>
      <c r="BE149" s="50" t="s">
        <v>211</v>
      </c>
      <c r="BF149" s="50" t="s">
        <v>212</v>
      </c>
      <c r="BG149" s="50" t="s">
        <v>213</v>
      </c>
      <c r="BH149" s="50" t="s">
        <v>124</v>
      </c>
      <c r="BI149" s="50" t="s">
        <v>11976</v>
      </c>
      <c r="BJ149" s="50" t="s">
        <v>12047</v>
      </c>
      <c r="BK149" s="50" t="s">
        <v>127</v>
      </c>
      <c r="BL149" s="50" t="s">
        <v>12473</v>
      </c>
      <c r="BM149" s="50" t="s">
        <v>922</v>
      </c>
      <c r="BN149" s="50" t="s">
        <v>12474</v>
      </c>
      <c r="BO149" s="50" t="s">
        <v>11954</v>
      </c>
      <c r="BP149" s="50" t="s">
        <v>415</v>
      </c>
      <c r="BQ149" s="50" t="s">
        <v>350</v>
      </c>
      <c r="BR149" s="50" t="s">
        <v>416</v>
      </c>
      <c r="BS149" s="50" t="s">
        <v>417</v>
      </c>
      <c r="BT149" s="50" t="s">
        <v>293</v>
      </c>
      <c r="BV149" s="50" t="s">
        <v>12475</v>
      </c>
      <c r="BW149" s="50" t="s">
        <v>12476</v>
      </c>
      <c r="BX149" s="50" t="s">
        <v>138</v>
      </c>
      <c r="BY149" s="50" t="s">
        <v>12477</v>
      </c>
      <c r="BZ149" s="50" t="s">
        <v>12478</v>
      </c>
      <c r="CA149" s="50" t="s">
        <v>929</v>
      </c>
      <c r="CB149" s="50" t="s">
        <v>12476</v>
      </c>
      <c r="CC149" s="50" t="s">
        <v>12477</v>
      </c>
      <c r="CD149" s="50" t="s">
        <v>12478</v>
      </c>
      <c r="CE149" s="50" t="s">
        <v>12476</v>
      </c>
      <c r="CF149" s="50" t="s">
        <v>12477</v>
      </c>
      <c r="CG149" s="50" t="s">
        <v>12478</v>
      </c>
      <c r="CH149" s="50" t="s">
        <v>102</v>
      </c>
      <c r="CI149" s="50" t="s">
        <v>931</v>
      </c>
      <c r="CK149" s="50" t="s">
        <v>932</v>
      </c>
      <c r="CM149" s="50" t="s">
        <v>920</v>
      </c>
      <c r="CN149" s="50" t="s">
        <v>211</v>
      </c>
      <c r="CO149" s="50" t="s">
        <v>932</v>
      </c>
      <c r="CQ149" s="50" t="s">
        <v>931</v>
      </c>
      <c r="CR149" s="50" t="s">
        <v>931</v>
      </c>
      <c r="CS149" s="50" t="s">
        <v>26044</v>
      </c>
    </row>
    <row r="150" spans="1:97" hidden="1">
      <c r="A150" s="50" t="s">
        <v>93</v>
      </c>
      <c r="B150" s="50">
        <v>437634</v>
      </c>
      <c r="C150" s="50" t="e">
        <f>VLOOKUP(B150,'Drop schools 2026'!B:C,2,0)</f>
        <v>#N/A</v>
      </c>
      <c r="D150" s="50" t="s">
        <v>622</v>
      </c>
      <c r="E150" s="50" t="s">
        <v>3562</v>
      </c>
      <c r="F150" s="50" t="s">
        <v>8946</v>
      </c>
      <c r="G150" s="50" t="str">
        <f>VLOOKUP(B150,aa!B:F,5,0)</f>
        <v>Ei CARES</v>
      </c>
      <c r="H150" s="50">
        <f>VLOOKUP(B150,aa!B:J,9,0)</f>
        <v>1000288</v>
      </c>
      <c r="I150" s="50">
        <f>VLOOKUP(B150,aa!B:L,11,0)</f>
        <v>0</v>
      </c>
      <c r="J150" s="50">
        <f>VLOOKUP(B150,aa!B:O,14,0)</f>
        <v>1000288</v>
      </c>
      <c r="K150" s="50">
        <f>VLOOKUP(B150,aa!B:R,17,0)</f>
        <v>0</v>
      </c>
      <c r="L150" s="50" t="s">
        <v>152</v>
      </c>
      <c r="M150" s="50">
        <v>1002047</v>
      </c>
      <c r="N150" s="50">
        <v>1002047</v>
      </c>
      <c r="O150" s="50">
        <v>0</v>
      </c>
      <c r="P150" s="50">
        <v>0</v>
      </c>
      <c r="R150" s="50">
        <v>1002047</v>
      </c>
      <c r="S150" s="50">
        <v>2419</v>
      </c>
      <c r="T150" s="50" t="s">
        <v>18324</v>
      </c>
      <c r="U150" s="50">
        <v>0</v>
      </c>
      <c r="V150" s="50">
        <v>0</v>
      </c>
      <c r="X150" s="50" t="s">
        <v>102</v>
      </c>
      <c r="Y150" s="50" t="s">
        <v>103</v>
      </c>
      <c r="Z150" s="50" t="s">
        <v>104</v>
      </c>
      <c r="AB150" s="50" t="s">
        <v>1941</v>
      </c>
      <c r="AC150" s="50" t="s">
        <v>18325</v>
      </c>
      <c r="AD150" s="50" t="s">
        <v>12800</v>
      </c>
      <c r="AE150" s="50" t="s">
        <v>18326</v>
      </c>
      <c r="AF150" s="50" t="s">
        <v>109</v>
      </c>
      <c r="AG150" s="50" t="s">
        <v>102</v>
      </c>
      <c r="AH150" s="50" t="s">
        <v>109</v>
      </c>
      <c r="AI150" s="50" t="s">
        <v>102</v>
      </c>
      <c r="AJ150" s="50" t="s">
        <v>907</v>
      </c>
      <c r="AK150" s="50" t="s">
        <v>13036</v>
      </c>
      <c r="AL150" s="50" t="s">
        <v>13340</v>
      </c>
      <c r="AM150" s="50" t="s">
        <v>18327</v>
      </c>
      <c r="AN150" s="50" t="s">
        <v>8952</v>
      </c>
      <c r="AO150" s="50" t="s">
        <v>18328</v>
      </c>
      <c r="AP150" s="50" t="s">
        <v>18329</v>
      </c>
      <c r="AQ150" s="50" t="s">
        <v>18329</v>
      </c>
      <c r="AV150" s="50" t="s">
        <v>102</v>
      </c>
      <c r="AX150" s="50" t="s">
        <v>155</v>
      </c>
      <c r="AY150" s="50" t="s">
        <v>119</v>
      </c>
      <c r="AZ150" s="50" t="s">
        <v>1138</v>
      </c>
      <c r="BA150" s="50" t="s">
        <v>250</v>
      </c>
      <c r="BC150" s="50" t="s">
        <v>120</v>
      </c>
      <c r="BD150" s="50" t="s">
        <v>3714</v>
      </c>
      <c r="BE150" s="50" t="s">
        <v>730</v>
      </c>
      <c r="BF150" s="50" t="s">
        <v>622</v>
      </c>
      <c r="BG150" s="50" t="s">
        <v>730</v>
      </c>
      <c r="BH150" s="50" t="s">
        <v>124</v>
      </c>
      <c r="BI150" s="50" t="s">
        <v>12023</v>
      </c>
      <c r="BJ150" s="50" t="s">
        <v>11889</v>
      </c>
      <c r="BK150" s="50" t="s">
        <v>127</v>
      </c>
      <c r="BL150" s="50" t="s">
        <v>18330</v>
      </c>
      <c r="BM150" s="50" t="s">
        <v>8956</v>
      </c>
      <c r="BN150" s="50" t="s">
        <v>18331</v>
      </c>
      <c r="BO150" s="50" t="s">
        <v>857</v>
      </c>
      <c r="BP150" s="50" t="s">
        <v>3910</v>
      </c>
      <c r="BQ150" s="50" t="s">
        <v>505</v>
      </c>
      <c r="BR150" s="50" t="s">
        <v>3911</v>
      </c>
      <c r="BS150" s="50" t="s">
        <v>3912</v>
      </c>
      <c r="BT150" s="50" t="s">
        <v>2569</v>
      </c>
      <c r="BV150" s="50" t="s">
        <v>18332</v>
      </c>
      <c r="BW150" s="50" t="s">
        <v>8959</v>
      </c>
      <c r="BX150" s="50" t="s">
        <v>138</v>
      </c>
      <c r="BY150" s="50" t="s">
        <v>8960</v>
      </c>
      <c r="BZ150" s="50" t="s">
        <v>10288</v>
      </c>
      <c r="CA150" s="50" t="s">
        <v>8962</v>
      </c>
      <c r="CB150" s="50" t="s">
        <v>8959</v>
      </c>
      <c r="CC150" s="50" t="s">
        <v>18333</v>
      </c>
      <c r="CD150" s="50" t="s">
        <v>18334</v>
      </c>
      <c r="CE150" s="50" t="s">
        <v>8959</v>
      </c>
      <c r="CF150" s="50" t="s">
        <v>18333</v>
      </c>
      <c r="CG150" s="50" t="s">
        <v>18334</v>
      </c>
      <c r="CH150" s="50" t="s">
        <v>8963</v>
      </c>
      <c r="CI150" s="50" t="s">
        <v>8964</v>
      </c>
      <c r="CK150" s="50" t="s">
        <v>8965</v>
      </c>
      <c r="CL150" s="50" t="s">
        <v>8964</v>
      </c>
      <c r="CM150" s="50" t="s">
        <v>3714</v>
      </c>
      <c r="CN150" s="50" t="s">
        <v>730</v>
      </c>
      <c r="CO150" s="50" t="s">
        <v>8965</v>
      </c>
      <c r="CP150" s="50" t="s">
        <v>8966</v>
      </c>
      <c r="CQ150" s="50" t="s">
        <v>8964</v>
      </c>
      <c r="CR150" s="50" t="s">
        <v>8964</v>
      </c>
    </row>
    <row r="151" spans="1:97" hidden="1">
      <c r="A151" s="50" t="s">
        <v>93</v>
      </c>
      <c r="B151" s="50">
        <v>3780526</v>
      </c>
      <c r="C151" s="50" t="str">
        <f>VLOOKUP(B151,'Drop schools 2026'!B:C,2,0)</f>
        <v>Drop</v>
      </c>
      <c r="D151" s="50" t="s">
        <v>174</v>
      </c>
      <c r="E151" s="50" t="s">
        <v>12096</v>
      </c>
      <c r="F151" s="50" t="s">
        <v>7429</v>
      </c>
      <c r="G151" s="50" t="e">
        <f>VLOOKUP(B151,aa!B:F,5,0)</f>
        <v>#N/A</v>
      </c>
      <c r="H151" s="50" t="e">
        <f>VLOOKUP(B151,aa!B:J,9,0)</f>
        <v>#N/A</v>
      </c>
      <c r="I151" s="50" t="e">
        <f>VLOOKUP(B151,aa!B:L,11,0)</f>
        <v>#N/A</v>
      </c>
      <c r="J151" s="50" t="e">
        <f>VLOOKUP(B151,aa!B:O,14,0)</f>
        <v>#N/A</v>
      </c>
      <c r="K151" s="50" t="e">
        <f>VLOOKUP(B151,aa!B:R,17,0)</f>
        <v>#N/A</v>
      </c>
      <c r="L151" s="50" t="s">
        <v>643</v>
      </c>
      <c r="M151" s="50">
        <v>1001106</v>
      </c>
      <c r="N151" s="50">
        <v>1039395</v>
      </c>
      <c r="O151" s="50">
        <v>0</v>
      </c>
      <c r="P151" s="50">
        <v>0</v>
      </c>
      <c r="R151" s="50">
        <v>788390</v>
      </c>
      <c r="S151" s="50">
        <v>448</v>
      </c>
      <c r="T151" s="50" t="s">
        <v>5818</v>
      </c>
      <c r="U151" s="50">
        <v>212716</v>
      </c>
      <c r="V151" s="50">
        <v>168</v>
      </c>
      <c r="W151" s="50" t="s">
        <v>16944</v>
      </c>
      <c r="X151" s="50" t="s">
        <v>102</v>
      </c>
      <c r="Y151" s="50" t="s">
        <v>103</v>
      </c>
      <c r="Z151" s="50" t="s">
        <v>155</v>
      </c>
      <c r="AB151" s="50" t="s">
        <v>1305</v>
      </c>
      <c r="AC151" s="50" t="s">
        <v>16945</v>
      </c>
      <c r="AD151" s="50" t="s">
        <v>13033</v>
      </c>
      <c r="AE151" s="50" t="s">
        <v>16945</v>
      </c>
      <c r="AF151" s="50" t="s">
        <v>13034</v>
      </c>
      <c r="AG151" s="50" t="s">
        <v>16945</v>
      </c>
      <c r="AH151" s="50" t="s">
        <v>12430</v>
      </c>
      <c r="AI151" s="50" t="s">
        <v>16945</v>
      </c>
      <c r="AJ151" s="50" t="s">
        <v>102</v>
      </c>
      <c r="AK151" s="50" t="s">
        <v>2950</v>
      </c>
      <c r="AL151" s="50" t="s">
        <v>13000</v>
      </c>
      <c r="AM151" s="50" t="s">
        <v>16946</v>
      </c>
      <c r="AN151" s="50" t="s">
        <v>16947</v>
      </c>
      <c r="AO151" s="50" t="s">
        <v>16948</v>
      </c>
      <c r="AP151" s="50" t="s">
        <v>16949</v>
      </c>
      <c r="AQ151" s="50" t="s">
        <v>16949</v>
      </c>
      <c r="AV151" s="50" t="s">
        <v>102</v>
      </c>
      <c r="AX151" s="50" t="s">
        <v>655</v>
      </c>
      <c r="AY151" s="50" t="s">
        <v>249</v>
      </c>
      <c r="AZ151" s="50" t="s">
        <v>170</v>
      </c>
      <c r="BA151" s="50" t="s">
        <v>118</v>
      </c>
      <c r="BB151" s="50" t="s">
        <v>250</v>
      </c>
      <c r="BC151" s="50" t="s">
        <v>120</v>
      </c>
      <c r="BD151" s="50" t="s">
        <v>7438</v>
      </c>
      <c r="BE151" s="50" t="s">
        <v>376</v>
      </c>
      <c r="BF151" s="50" t="s">
        <v>174</v>
      </c>
      <c r="BG151" s="50" t="s">
        <v>376</v>
      </c>
      <c r="BH151" s="50" t="s">
        <v>124</v>
      </c>
      <c r="BI151" s="50" t="s">
        <v>8186</v>
      </c>
      <c r="BJ151" s="50" t="s">
        <v>11889</v>
      </c>
      <c r="BK151" s="50" t="s">
        <v>127</v>
      </c>
      <c r="BL151" s="50" t="s">
        <v>16950</v>
      </c>
      <c r="BM151" s="50" t="s">
        <v>7441</v>
      </c>
      <c r="BN151" s="50" t="s">
        <v>16951</v>
      </c>
      <c r="BO151" s="50" t="s">
        <v>11300</v>
      </c>
      <c r="BP151" s="50" t="s">
        <v>1831</v>
      </c>
      <c r="BQ151" s="50" t="s">
        <v>180</v>
      </c>
      <c r="BR151" s="50" t="s">
        <v>1832</v>
      </c>
      <c r="BS151" s="50" t="s">
        <v>1833</v>
      </c>
      <c r="BT151" s="50" t="s">
        <v>1834</v>
      </c>
      <c r="BV151" s="50" t="s">
        <v>16952</v>
      </c>
      <c r="BW151" s="50" t="s">
        <v>16953</v>
      </c>
      <c r="BX151" s="50" t="s">
        <v>354</v>
      </c>
      <c r="BY151" s="50" t="s">
        <v>16954</v>
      </c>
      <c r="BZ151" s="50" t="s">
        <v>16955</v>
      </c>
      <c r="CA151" s="50" t="s">
        <v>7446</v>
      </c>
      <c r="CB151" s="50" t="s">
        <v>16956</v>
      </c>
      <c r="CC151" s="50" t="s">
        <v>16954</v>
      </c>
      <c r="CD151" s="50" t="s">
        <v>16957</v>
      </c>
      <c r="CE151" s="50" t="s">
        <v>16956</v>
      </c>
      <c r="CF151" s="50" t="s">
        <v>16954</v>
      </c>
      <c r="CG151" s="50" t="s">
        <v>16957</v>
      </c>
      <c r="CH151" s="50" t="s">
        <v>1538</v>
      </c>
      <c r="CI151" s="50" t="s">
        <v>7447</v>
      </c>
      <c r="CK151" s="50" t="s">
        <v>7448</v>
      </c>
      <c r="CL151" s="50" t="s">
        <v>7447</v>
      </c>
      <c r="CM151" s="50" t="s">
        <v>7438</v>
      </c>
      <c r="CN151" s="50" t="s">
        <v>376</v>
      </c>
      <c r="CO151" s="50" t="s">
        <v>7448</v>
      </c>
      <c r="CQ151" s="50" t="s">
        <v>7447</v>
      </c>
      <c r="CR151" s="50" t="s">
        <v>7447</v>
      </c>
      <c r="CS151" s="50" t="s">
        <v>26046</v>
      </c>
    </row>
    <row r="152" spans="1:97" hidden="1">
      <c r="A152" s="50" t="s">
        <v>149</v>
      </c>
      <c r="B152" s="50">
        <v>2472480</v>
      </c>
      <c r="C152" s="50" t="e">
        <f>VLOOKUP(B152,'Drop schools 2026'!B:C,2,0)</f>
        <v>#N/A</v>
      </c>
      <c r="D152" s="50" t="s">
        <v>622</v>
      </c>
      <c r="E152" s="50" t="s">
        <v>2525</v>
      </c>
      <c r="F152" s="50" t="s">
        <v>3590</v>
      </c>
      <c r="G152" s="50" t="str">
        <f>VLOOKUP(B152,aa!B:F,5,0)</f>
        <v>Ei ASSET, Ei Mindspark</v>
      </c>
      <c r="H152" s="50">
        <f>VLOOKUP(B152,aa!B:J,9,0)</f>
        <v>565810</v>
      </c>
      <c r="I152" s="50">
        <f>VLOOKUP(B152,aa!B:L,11,0)</f>
        <v>292013</v>
      </c>
      <c r="J152" s="50">
        <f>VLOOKUP(B152,aa!B:O,14,0)</f>
        <v>0</v>
      </c>
      <c r="K152" s="50">
        <f>VLOOKUP(B152,aa!B:R,17,0)</f>
        <v>273797</v>
      </c>
      <c r="L152" s="50" t="s">
        <v>1746</v>
      </c>
      <c r="M152" s="50">
        <v>999543</v>
      </c>
      <c r="N152" s="50">
        <v>1124137</v>
      </c>
      <c r="O152" s="50">
        <v>200312</v>
      </c>
      <c r="P152" s="50">
        <v>517</v>
      </c>
      <c r="Q152" s="50" t="s">
        <v>14152</v>
      </c>
      <c r="R152" s="50">
        <v>107040</v>
      </c>
      <c r="S152" s="50">
        <v>296</v>
      </c>
      <c r="T152" s="50" t="s">
        <v>14153</v>
      </c>
      <c r="U152" s="50">
        <v>692191</v>
      </c>
      <c r="V152" s="50">
        <v>527</v>
      </c>
      <c r="W152" s="50" t="s">
        <v>3747</v>
      </c>
      <c r="X152" s="50" t="s">
        <v>102</v>
      </c>
      <c r="Y152" s="50" t="s">
        <v>103</v>
      </c>
      <c r="Z152" s="50" t="s">
        <v>155</v>
      </c>
      <c r="AB152" s="50" t="s">
        <v>4665</v>
      </c>
      <c r="AC152" s="50" t="s">
        <v>14154</v>
      </c>
      <c r="AD152" s="50" t="s">
        <v>1547</v>
      </c>
      <c r="AE152" s="50" t="s">
        <v>14154</v>
      </c>
      <c r="AF152" s="50" t="s">
        <v>13110</v>
      </c>
      <c r="AG152" s="50" t="s">
        <v>14154</v>
      </c>
      <c r="AH152" s="50" t="s">
        <v>14024</v>
      </c>
      <c r="AI152" s="50" t="s">
        <v>14154</v>
      </c>
      <c r="AJ152" s="50" t="s">
        <v>14155</v>
      </c>
      <c r="AK152" s="50" t="s">
        <v>1202</v>
      </c>
      <c r="AL152" s="50" t="s">
        <v>12696</v>
      </c>
      <c r="AM152" s="50" t="s">
        <v>14156</v>
      </c>
      <c r="AN152" s="50" t="s">
        <v>14157</v>
      </c>
      <c r="AO152" s="50" t="s">
        <v>14158</v>
      </c>
      <c r="AP152" s="50" t="s">
        <v>14159</v>
      </c>
      <c r="AQ152" s="50" t="s">
        <v>14160</v>
      </c>
      <c r="AT152" s="50" t="s">
        <v>169</v>
      </c>
      <c r="AU152" s="50" t="s">
        <v>169</v>
      </c>
      <c r="AV152" s="50" t="s">
        <v>318</v>
      </c>
      <c r="AW152" s="50" t="s">
        <v>118</v>
      </c>
      <c r="AX152" s="50" t="s">
        <v>104</v>
      </c>
      <c r="AY152" s="50" t="s">
        <v>119</v>
      </c>
      <c r="AZ152" s="50" t="s">
        <v>170</v>
      </c>
      <c r="BA152" s="50" t="s">
        <v>118</v>
      </c>
      <c r="BB152" s="50" t="s">
        <v>250</v>
      </c>
      <c r="BC152" s="50" t="s">
        <v>120</v>
      </c>
      <c r="BD152" s="50" t="s">
        <v>2327</v>
      </c>
      <c r="BE152" s="50" t="s">
        <v>730</v>
      </c>
      <c r="BF152" s="50" t="s">
        <v>622</v>
      </c>
      <c r="BG152" s="50" t="s">
        <v>730</v>
      </c>
      <c r="BH152" s="50" t="s">
        <v>124</v>
      </c>
      <c r="BI152" s="50" t="s">
        <v>1202</v>
      </c>
      <c r="BJ152" s="50" t="s">
        <v>14161</v>
      </c>
      <c r="BK152" s="50" t="s">
        <v>127</v>
      </c>
      <c r="BL152" s="50" t="s">
        <v>14162</v>
      </c>
      <c r="BM152" s="50" t="s">
        <v>3604</v>
      </c>
      <c r="BN152" s="50" t="s">
        <v>14163</v>
      </c>
      <c r="BO152" s="50" t="s">
        <v>7020</v>
      </c>
      <c r="BP152" s="50" t="s">
        <v>3606</v>
      </c>
      <c r="BQ152" s="50" t="s">
        <v>350</v>
      </c>
      <c r="BR152" s="50" t="s">
        <v>3607</v>
      </c>
      <c r="BS152" s="50" t="s">
        <v>3608</v>
      </c>
      <c r="BT152" s="50" t="s">
        <v>3562</v>
      </c>
      <c r="BV152" s="50" t="s">
        <v>14164</v>
      </c>
      <c r="BW152" s="50" t="s">
        <v>3610</v>
      </c>
      <c r="BX152" s="50" t="s">
        <v>138</v>
      </c>
      <c r="BY152" s="50" t="s">
        <v>3611</v>
      </c>
      <c r="BZ152" s="50" t="s">
        <v>3612</v>
      </c>
      <c r="CA152" s="50" t="s">
        <v>3613</v>
      </c>
      <c r="CB152" s="50" t="s">
        <v>10629</v>
      </c>
      <c r="CC152" s="50" t="s">
        <v>3611</v>
      </c>
      <c r="CD152" s="50" t="s">
        <v>3612</v>
      </c>
      <c r="CE152" s="50" t="s">
        <v>14165</v>
      </c>
      <c r="CF152" s="50" t="s">
        <v>14166</v>
      </c>
      <c r="CG152" s="50" t="s">
        <v>14167</v>
      </c>
      <c r="CH152" s="50" t="s">
        <v>102</v>
      </c>
      <c r="CI152" s="50" t="s">
        <v>3614</v>
      </c>
      <c r="CK152" s="50" t="s">
        <v>3615</v>
      </c>
      <c r="CM152" s="50" t="s">
        <v>2327</v>
      </c>
      <c r="CN152" s="50" t="s">
        <v>730</v>
      </c>
      <c r="CO152" s="50" t="s">
        <v>3615</v>
      </c>
      <c r="CP152" s="50" t="s">
        <v>3616</v>
      </c>
      <c r="CQ152" s="50" t="s">
        <v>3614</v>
      </c>
      <c r="CR152" s="50" t="s">
        <v>3614</v>
      </c>
    </row>
    <row r="153" spans="1:97" hidden="1">
      <c r="A153" s="50" t="s">
        <v>337</v>
      </c>
      <c r="B153" s="50">
        <v>3970895</v>
      </c>
      <c r="C153" s="50" t="e">
        <f>VLOOKUP(B153,'Drop schools 2026'!B:C,2,0)</f>
        <v>#N/A</v>
      </c>
      <c r="D153" s="50" t="s">
        <v>122</v>
      </c>
      <c r="E153" s="50" t="s">
        <v>12507</v>
      </c>
      <c r="F153" s="50" t="s">
        <v>17416</v>
      </c>
      <c r="G153" s="50" t="str">
        <f>VLOOKUP(B153,aa!B:F,5,0)</f>
        <v>Ei Mindspark</v>
      </c>
      <c r="H153" s="50">
        <f>VLOOKUP(B153,aa!B:J,9,0)</f>
        <v>855348</v>
      </c>
      <c r="I153" s="50">
        <f>VLOOKUP(B153,aa!B:L,11,0)</f>
        <v>0</v>
      </c>
      <c r="J153" s="50">
        <f>VLOOKUP(B153,aa!B:O,14,0)</f>
        <v>0</v>
      </c>
      <c r="K153" s="50">
        <f>VLOOKUP(B153,aa!B:R,17,0)</f>
        <v>855348</v>
      </c>
      <c r="L153" s="50" t="s">
        <v>848</v>
      </c>
      <c r="M153" s="50">
        <v>998011</v>
      </c>
      <c r="N153" s="50">
        <v>1177653</v>
      </c>
      <c r="O153" s="50">
        <v>0</v>
      </c>
      <c r="P153" s="50">
        <v>0</v>
      </c>
      <c r="R153" s="50">
        <v>0</v>
      </c>
      <c r="S153" s="50">
        <v>0</v>
      </c>
      <c r="U153" s="50">
        <v>998011</v>
      </c>
      <c r="V153" s="50">
        <v>785</v>
      </c>
      <c r="W153" s="50" t="s">
        <v>850</v>
      </c>
      <c r="X153" s="50" t="s">
        <v>102</v>
      </c>
      <c r="Y153" s="50" t="s">
        <v>103</v>
      </c>
      <c r="Z153" s="50" t="s">
        <v>104</v>
      </c>
      <c r="AB153" s="50" t="s">
        <v>11655</v>
      </c>
      <c r="AC153" s="50" t="s">
        <v>17417</v>
      </c>
      <c r="AD153" s="50" t="s">
        <v>9840</v>
      </c>
      <c r="AE153" s="50" t="s">
        <v>17417</v>
      </c>
      <c r="AF153" s="50" t="s">
        <v>109</v>
      </c>
      <c r="AG153" s="50" t="s">
        <v>102</v>
      </c>
      <c r="AH153" s="50" t="s">
        <v>109</v>
      </c>
      <c r="AI153" s="50" t="s">
        <v>102</v>
      </c>
      <c r="AJ153" s="50" t="s">
        <v>17418</v>
      </c>
      <c r="AK153" s="50" t="s">
        <v>160</v>
      </c>
      <c r="AL153" s="50" t="s">
        <v>15733</v>
      </c>
      <c r="AM153" s="50" t="s">
        <v>17419</v>
      </c>
      <c r="AN153" s="50" t="s">
        <v>17420</v>
      </c>
      <c r="AO153" s="50" t="s">
        <v>17421</v>
      </c>
      <c r="AP153" s="50" t="s">
        <v>1785</v>
      </c>
      <c r="AQ153" s="50" t="s">
        <v>1785</v>
      </c>
      <c r="AV153" s="50" t="s">
        <v>102</v>
      </c>
      <c r="AX153" s="50" t="s">
        <v>102</v>
      </c>
      <c r="AY153" s="50" t="s">
        <v>119</v>
      </c>
      <c r="BB153" s="50" t="s">
        <v>250</v>
      </c>
      <c r="BC153" s="50" t="s">
        <v>120</v>
      </c>
      <c r="BD153" s="50" t="s">
        <v>17422</v>
      </c>
      <c r="BE153" s="50" t="s">
        <v>2543</v>
      </c>
      <c r="BF153" s="50" t="s">
        <v>122</v>
      </c>
      <c r="BG153" s="50" t="s">
        <v>557</v>
      </c>
      <c r="BH153" s="50" t="s">
        <v>124</v>
      </c>
      <c r="BI153" s="50" t="s">
        <v>5694</v>
      </c>
      <c r="BJ153" s="50" t="s">
        <v>11889</v>
      </c>
      <c r="BK153" s="50" t="s">
        <v>127</v>
      </c>
      <c r="BL153" s="50" t="s">
        <v>17423</v>
      </c>
      <c r="BM153" s="50" t="s">
        <v>17424</v>
      </c>
      <c r="BN153" s="50" t="s">
        <v>17425</v>
      </c>
      <c r="BO153" s="50" t="s">
        <v>1328</v>
      </c>
      <c r="BP153" s="50" t="s">
        <v>13402</v>
      </c>
      <c r="BQ153" s="50" t="s">
        <v>350</v>
      </c>
      <c r="BR153" s="50" t="s">
        <v>13403</v>
      </c>
      <c r="BS153" s="50" t="s">
        <v>13404</v>
      </c>
      <c r="BT153" s="50" t="s">
        <v>13405</v>
      </c>
      <c r="BU153" s="50" t="s">
        <v>1075</v>
      </c>
      <c r="BV153" s="50" t="s">
        <v>17426</v>
      </c>
      <c r="BW153" s="50" t="s">
        <v>17427</v>
      </c>
      <c r="BX153" s="50" t="s">
        <v>354</v>
      </c>
      <c r="BY153" s="50" t="s">
        <v>17428</v>
      </c>
      <c r="BZ153" s="50" t="s">
        <v>17429</v>
      </c>
      <c r="CA153" s="50" t="s">
        <v>17430</v>
      </c>
      <c r="CB153" s="50" t="s">
        <v>17431</v>
      </c>
      <c r="CC153" s="50" t="s">
        <v>17432</v>
      </c>
      <c r="CD153" s="50" t="s">
        <v>17433</v>
      </c>
      <c r="CE153" s="50" t="s">
        <v>17434</v>
      </c>
      <c r="CF153" s="50" t="s">
        <v>17435</v>
      </c>
      <c r="CG153" s="50" t="s">
        <v>17436</v>
      </c>
      <c r="CH153" s="50" t="s">
        <v>102</v>
      </c>
      <c r="CI153" s="50" t="s">
        <v>17437</v>
      </c>
      <c r="CK153" s="50" t="s">
        <v>17438</v>
      </c>
      <c r="CM153" s="50" t="s">
        <v>17422</v>
      </c>
      <c r="CN153" s="50" t="s">
        <v>2543</v>
      </c>
      <c r="CO153" s="50" t="s">
        <v>17438</v>
      </c>
      <c r="CP153" s="50" t="s">
        <v>17439</v>
      </c>
      <c r="CQ153" s="50" t="s">
        <v>17437</v>
      </c>
      <c r="CR153" s="50" t="s">
        <v>17437</v>
      </c>
    </row>
    <row r="154" spans="1:97" hidden="1">
      <c r="A154" s="50" t="s">
        <v>337</v>
      </c>
      <c r="B154" s="50">
        <v>5018473</v>
      </c>
      <c r="C154" s="50" t="e">
        <f>VLOOKUP(B154,'Drop schools 2026'!B:C,2,0)</f>
        <v>#N/A</v>
      </c>
      <c r="D154" s="50" t="s">
        <v>174</v>
      </c>
      <c r="E154" s="50" t="s">
        <v>19847</v>
      </c>
      <c r="F154" s="50" t="s">
        <v>19846</v>
      </c>
      <c r="G154" s="50" t="str">
        <f>VLOOKUP(B154,aa!B:F,5,0)</f>
        <v>Ei ASSET, Ei CARES, Ei Mindspark</v>
      </c>
      <c r="H154" s="50">
        <f>VLOOKUP(B154,aa!B:J,9,0)</f>
        <v>1622333</v>
      </c>
      <c r="I154" s="50">
        <f>VLOOKUP(B154,aa!B:L,11,0)</f>
        <v>135000</v>
      </c>
      <c r="J154" s="50">
        <f>VLOOKUP(B154,aa!B:O,14,0)</f>
        <v>841538</v>
      </c>
      <c r="K154" s="50">
        <f>VLOOKUP(B154,aa!B:R,17,0)</f>
        <v>645795</v>
      </c>
      <c r="L154" s="50" t="s">
        <v>643</v>
      </c>
      <c r="M154" s="50">
        <v>997128</v>
      </c>
      <c r="N154" s="50">
        <v>1045456</v>
      </c>
      <c r="O154" s="50">
        <v>0</v>
      </c>
      <c r="P154" s="50">
        <v>0</v>
      </c>
      <c r="R154" s="50">
        <v>728640</v>
      </c>
      <c r="S154" s="50">
        <v>1137</v>
      </c>
      <c r="T154" s="50" t="s">
        <v>19849</v>
      </c>
      <c r="U154" s="50">
        <v>268488</v>
      </c>
      <c r="V154" s="50">
        <v>220</v>
      </c>
      <c r="W154" s="50" t="s">
        <v>19850</v>
      </c>
      <c r="X154" s="50" t="s">
        <v>102</v>
      </c>
      <c r="Y154" s="50" t="s">
        <v>679</v>
      </c>
      <c r="Z154" s="50" t="s">
        <v>938</v>
      </c>
      <c r="AA154" s="50" t="s">
        <v>19851</v>
      </c>
      <c r="AB154" s="50" t="s">
        <v>19852</v>
      </c>
      <c r="AC154" s="50" t="s">
        <v>19853</v>
      </c>
      <c r="AD154" s="50" t="s">
        <v>19854</v>
      </c>
      <c r="AE154" s="50" t="s">
        <v>19855</v>
      </c>
      <c r="AF154" s="50" t="s">
        <v>19856</v>
      </c>
      <c r="AG154" s="50" t="s">
        <v>19855</v>
      </c>
      <c r="AH154" s="50" t="s">
        <v>19857</v>
      </c>
      <c r="AI154" s="50" t="s">
        <v>19858</v>
      </c>
      <c r="AJ154" s="50" t="s">
        <v>102</v>
      </c>
      <c r="AK154" s="50" t="s">
        <v>19859</v>
      </c>
      <c r="AL154" s="50" t="s">
        <v>19860</v>
      </c>
      <c r="AM154" s="50" t="s">
        <v>19861</v>
      </c>
      <c r="AN154" s="50" t="s">
        <v>19862</v>
      </c>
      <c r="AO154" s="50" t="s">
        <v>19863</v>
      </c>
      <c r="AP154" s="50" t="s">
        <v>19864</v>
      </c>
      <c r="AQ154" s="50" t="s">
        <v>19864</v>
      </c>
      <c r="AV154" s="50" t="s">
        <v>102</v>
      </c>
      <c r="AX154" s="50" t="s">
        <v>1103</v>
      </c>
      <c r="AY154" s="50" t="s">
        <v>249</v>
      </c>
      <c r="AZ154" s="50" t="s">
        <v>170</v>
      </c>
      <c r="BA154" s="50" t="s">
        <v>118</v>
      </c>
      <c r="BB154" s="50" t="s">
        <v>250</v>
      </c>
      <c r="BC154" s="50" t="s">
        <v>120</v>
      </c>
      <c r="BD154" s="50" t="s">
        <v>19865</v>
      </c>
      <c r="BE154" s="50" t="s">
        <v>376</v>
      </c>
      <c r="BF154" s="50" t="s">
        <v>174</v>
      </c>
      <c r="BG154" s="50" t="s">
        <v>376</v>
      </c>
      <c r="BH154" s="50" t="s">
        <v>124</v>
      </c>
      <c r="BI154" s="50" t="s">
        <v>19866</v>
      </c>
      <c r="BJ154" s="50" t="s">
        <v>11889</v>
      </c>
      <c r="BK154" s="50" t="s">
        <v>127</v>
      </c>
      <c r="BL154" s="50" t="s">
        <v>19867</v>
      </c>
      <c r="BM154" s="50" t="s">
        <v>19868</v>
      </c>
      <c r="BN154" s="50" t="s">
        <v>19869</v>
      </c>
      <c r="BO154" s="50" t="s">
        <v>19848</v>
      </c>
      <c r="BP154" s="50" t="s">
        <v>19870</v>
      </c>
      <c r="BQ154" s="50" t="s">
        <v>7992</v>
      </c>
      <c r="BR154" s="50" t="s">
        <v>19871</v>
      </c>
      <c r="BS154" s="50" t="s">
        <v>19872</v>
      </c>
      <c r="BT154" s="50" t="s">
        <v>13783</v>
      </c>
      <c r="BV154" s="50" t="s">
        <v>19873</v>
      </c>
      <c r="BW154" s="50" t="s">
        <v>19874</v>
      </c>
      <c r="BX154" s="50" t="s">
        <v>354</v>
      </c>
      <c r="BY154" s="50" t="s">
        <v>19875</v>
      </c>
      <c r="BZ154" s="50" t="s">
        <v>19876</v>
      </c>
      <c r="CA154" s="50" t="s">
        <v>19877</v>
      </c>
      <c r="CB154" s="50" t="s">
        <v>19878</v>
      </c>
      <c r="CC154" s="50" t="s">
        <v>19879</v>
      </c>
      <c r="CD154" s="50" t="s">
        <v>19880</v>
      </c>
      <c r="CE154" s="50" t="s">
        <v>19878</v>
      </c>
      <c r="CF154" s="50" t="s">
        <v>19879</v>
      </c>
      <c r="CG154" s="50" t="s">
        <v>19880</v>
      </c>
      <c r="CH154" s="50" t="s">
        <v>6370</v>
      </c>
      <c r="CI154" s="50" t="s">
        <v>19881</v>
      </c>
      <c r="CK154" s="50" t="s">
        <v>19882</v>
      </c>
      <c r="CL154" s="50" t="s">
        <v>19883</v>
      </c>
      <c r="CM154" s="50" t="s">
        <v>19865</v>
      </c>
      <c r="CN154" s="50" t="s">
        <v>376</v>
      </c>
      <c r="CO154" s="50" t="s">
        <v>19882</v>
      </c>
      <c r="CQ154" s="50" t="s">
        <v>19881</v>
      </c>
      <c r="CR154" s="50" t="s">
        <v>19881</v>
      </c>
    </row>
    <row r="155" spans="1:97" hidden="1">
      <c r="A155" s="50" t="s">
        <v>149</v>
      </c>
      <c r="B155" s="50">
        <v>10251</v>
      </c>
      <c r="C155" s="50" t="e">
        <f>VLOOKUP(B155,'Drop schools 2026'!B:C,2,0)</f>
        <v>#N/A</v>
      </c>
      <c r="D155" s="50" t="s">
        <v>212</v>
      </c>
      <c r="E155" s="50" t="s">
        <v>11995</v>
      </c>
      <c r="F155" s="50" t="s">
        <v>271</v>
      </c>
      <c r="G155" s="50" t="str">
        <f>VLOOKUP(B155,aa!B:F,5,0)</f>
        <v>Ei CARES</v>
      </c>
      <c r="H155" s="50">
        <f>VLOOKUP(B155,aa!B:J,9,0)</f>
        <v>1110525</v>
      </c>
      <c r="I155" s="50">
        <f>VLOOKUP(B155,aa!B:L,11,0)</f>
        <v>0</v>
      </c>
      <c r="J155" s="50">
        <f>VLOOKUP(B155,aa!B:O,14,0)</f>
        <v>1110525</v>
      </c>
      <c r="K155" s="50">
        <f>VLOOKUP(B155,aa!B:R,17,0)</f>
        <v>0</v>
      </c>
      <c r="L155" s="50" t="s">
        <v>152</v>
      </c>
      <c r="M155" s="50">
        <v>992708</v>
      </c>
      <c r="N155" s="50">
        <v>992708</v>
      </c>
      <c r="O155" s="50">
        <v>0</v>
      </c>
      <c r="P155" s="50">
        <v>0</v>
      </c>
      <c r="R155" s="50">
        <v>992708</v>
      </c>
      <c r="S155" s="50">
        <v>737</v>
      </c>
      <c r="T155" s="50" t="s">
        <v>11997</v>
      </c>
      <c r="U155" s="50">
        <v>0</v>
      </c>
      <c r="V155" s="50">
        <v>0</v>
      </c>
      <c r="X155" s="50" t="s">
        <v>102</v>
      </c>
      <c r="Y155" s="50" t="s">
        <v>275</v>
      </c>
      <c r="AA155" s="50" t="s">
        <v>126</v>
      </c>
      <c r="AB155" s="50" t="s">
        <v>109</v>
      </c>
      <c r="AC155" s="50" t="s">
        <v>102</v>
      </c>
      <c r="AD155" s="50" t="s">
        <v>109</v>
      </c>
      <c r="AE155" s="50" t="s">
        <v>102</v>
      </c>
      <c r="AF155" s="50" t="s">
        <v>109</v>
      </c>
      <c r="AG155" s="50" t="s">
        <v>102</v>
      </c>
      <c r="AH155" s="50" t="s">
        <v>109</v>
      </c>
      <c r="AI155" s="50" t="s">
        <v>102</v>
      </c>
      <c r="AJ155" s="50" t="s">
        <v>11998</v>
      </c>
      <c r="AK155" s="50" t="s">
        <v>11999</v>
      </c>
      <c r="AL155" s="50" t="s">
        <v>11999</v>
      </c>
      <c r="AM155" s="50" t="s">
        <v>12000</v>
      </c>
      <c r="AN155" s="50" t="s">
        <v>12001</v>
      </c>
      <c r="AO155" s="50" t="s">
        <v>12002</v>
      </c>
      <c r="AP155" s="50" t="s">
        <v>12003</v>
      </c>
      <c r="AQ155" s="50" t="s">
        <v>12004</v>
      </c>
      <c r="AR155" s="50" t="s">
        <v>169</v>
      </c>
      <c r="AV155" s="50" t="s">
        <v>102</v>
      </c>
      <c r="AX155" s="50" t="s">
        <v>283</v>
      </c>
      <c r="AY155" s="50" t="s">
        <v>119</v>
      </c>
      <c r="BA155" s="50" t="s">
        <v>250</v>
      </c>
      <c r="BC155" s="50" t="s">
        <v>171</v>
      </c>
      <c r="BD155" s="50" t="s">
        <v>284</v>
      </c>
      <c r="BE155" s="50" t="s">
        <v>285</v>
      </c>
      <c r="BF155" s="50" t="s">
        <v>212</v>
      </c>
      <c r="BG155" s="50" t="s">
        <v>286</v>
      </c>
      <c r="BH155" s="50" t="s">
        <v>124</v>
      </c>
      <c r="BI155" s="50" t="s">
        <v>12005</v>
      </c>
      <c r="BJ155" s="50" t="s">
        <v>11889</v>
      </c>
      <c r="BK155" s="50" t="s">
        <v>127</v>
      </c>
      <c r="BL155" s="50" t="s">
        <v>12006</v>
      </c>
      <c r="BM155" s="50" t="s">
        <v>288</v>
      </c>
      <c r="BN155" s="50" t="s">
        <v>12007</v>
      </c>
      <c r="BO155" s="50" t="s">
        <v>11996</v>
      </c>
      <c r="BP155" s="50" t="s">
        <v>12008</v>
      </c>
      <c r="BQ155" s="50" t="s">
        <v>132</v>
      </c>
      <c r="BR155" s="50" t="s">
        <v>12009</v>
      </c>
      <c r="BS155" s="50" t="s">
        <v>12010</v>
      </c>
      <c r="BT155" s="50" t="s">
        <v>293</v>
      </c>
      <c r="BV155" s="50" t="s">
        <v>12011</v>
      </c>
      <c r="BW155" s="50" t="s">
        <v>295</v>
      </c>
      <c r="BX155" s="50" t="s">
        <v>296</v>
      </c>
      <c r="BY155" s="50" t="s">
        <v>297</v>
      </c>
      <c r="BZ155" s="50" t="s">
        <v>298</v>
      </c>
      <c r="CB155" s="50" t="s">
        <v>12012</v>
      </c>
      <c r="CC155" s="50" t="s">
        <v>300</v>
      </c>
      <c r="CD155" s="50" t="s">
        <v>12013</v>
      </c>
      <c r="CE155" s="50" t="s">
        <v>12014</v>
      </c>
      <c r="CF155" s="50" t="s">
        <v>12015</v>
      </c>
      <c r="CG155" s="50" t="s">
        <v>12016</v>
      </c>
      <c r="CH155" s="50" t="s">
        <v>102</v>
      </c>
      <c r="CI155" s="50" t="s">
        <v>12017</v>
      </c>
      <c r="CK155" s="50" t="s">
        <v>305</v>
      </c>
      <c r="CM155" s="50" t="s">
        <v>284</v>
      </c>
      <c r="CN155" s="50" t="s">
        <v>285</v>
      </c>
      <c r="CO155" s="50" t="s">
        <v>305</v>
      </c>
      <c r="CP155" s="50" t="s">
        <v>306</v>
      </c>
      <c r="CQ155" s="50" t="s">
        <v>307</v>
      </c>
      <c r="CR155" s="50" t="s">
        <v>307</v>
      </c>
    </row>
    <row r="156" spans="1:97" hidden="1">
      <c r="A156" s="50" t="s">
        <v>149</v>
      </c>
      <c r="B156" s="50">
        <v>1722766</v>
      </c>
      <c r="C156" s="50" t="e">
        <f>VLOOKUP(B156,'Drop schools 2026'!B:C,2,0)</f>
        <v>#N/A</v>
      </c>
      <c r="D156" s="50" t="s">
        <v>212</v>
      </c>
      <c r="E156" s="50" t="s">
        <v>11995</v>
      </c>
      <c r="F156" s="50" t="s">
        <v>1597</v>
      </c>
      <c r="G156" s="50" t="str">
        <f>VLOOKUP(B156,aa!B:F,5,0)</f>
        <v>Ei CARES</v>
      </c>
      <c r="H156" s="50">
        <f>VLOOKUP(B156,aa!B:J,9,0)</f>
        <v>1164481</v>
      </c>
      <c r="I156" s="50">
        <f>VLOOKUP(B156,aa!B:L,11,0)</f>
        <v>0</v>
      </c>
      <c r="J156" s="50">
        <f>VLOOKUP(B156,aa!B:O,14,0)</f>
        <v>1164481</v>
      </c>
      <c r="K156" s="50">
        <f>VLOOKUP(B156,aa!B:R,17,0)</f>
        <v>0</v>
      </c>
      <c r="L156" s="50" t="s">
        <v>152</v>
      </c>
      <c r="M156" s="50">
        <v>989996</v>
      </c>
      <c r="N156" s="50">
        <v>989996</v>
      </c>
      <c r="O156" s="50">
        <v>0</v>
      </c>
      <c r="P156" s="50">
        <v>0</v>
      </c>
      <c r="R156" s="50">
        <v>989996</v>
      </c>
      <c r="S156" s="50">
        <v>630</v>
      </c>
      <c r="T156" s="50" t="s">
        <v>12856</v>
      </c>
      <c r="U156" s="50">
        <v>0</v>
      </c>
      <c r="V156" s="50">
        <v>0</v>
      </c>
      <c r="X156" s="50" t="s">
        <v>102</v>
      </c>
      <c r="Y156" s="50" t="s">
        <v>103</v>
      </c>
      <c r="Z156" s="50" t="s">
        <v>155</v>
      </c>
      <c r="AB156" s="50" t="s">
        <v>12492</v>
      </c>
      <c r="AC156" s="50" t="s">
        <v>12857</v>
      </c>
      <c r="AD156" s="50" t="s">
        <v>12800</v>
      </c>
      <c r="AE156" s="50" t="s">
        <v>12857</v>
      </c>
      <c r="AF156" s="50" t="s">
        <v>12099</v>
      </c>
      <c r="AG156" s="50" t="s">
        <v>12857</v>
      </c>
      <c r="AH156" s="50" t="s">
        <v>12713</v>
      </c>
      <c r="AI156" s="50" t="s">
        <v>12857</v>
      </c>
      <c r="AJ156" s="50" t="s">
        <v>102</v>
      </c>
      <c r="AK156" s="50" t="s">
        <v>12858</v>
      </c>
      <c r="AL156" s="50" t="s">
        <v>12859</v>
      </c>
      <c r="AM156" s="50" t="s">
        <v>12860</v>
      </c>
      <c r="AN156" s="50" t="s">
        <v>12861</v>
      </c>
      <c r="AO156" s="50" t="s">
        <v>12862</v>
      </c>
      <c r="AP156" s="50" t="s">
        <v>12863</v>
      </c>
      <c r="AQ156" s="50" t="s">
        <v>12863</v>
      </c>
      <c r="AV156" s="50" t="s">
        <v>102</v>
      </c>
      <c r="AX156" s="50" t="s">
        <v>155</v>
      </c>
      <c r="AY156" s="50" t="s">
        <v>119</v>
      </c>
      <c r="AZ156" s="50" t="s">
        <v>1138</v>
      </c>
      <c r="BA156" s="50" t="s">
        <v>118</v>
      </c>
      <c r="BC156" s="50" t="s">
        <v>120</v>
      </c>
      <c r="BD156" s="50" t="s">
        <v>1609</v>
      </c>
      <c r="BE156" s="50" t="s">
        <v>285</v>
      </c>
      <c r="BF156" s="50" t="s">
        <v>212</v>
      </c>
      <c r="BG156" s="50" t="s">
        <v>286</v>
      </c>
      <c r="BH156" s="50" t="s">
        <v>124</v>
      </c>
      <c r="BI156" s="50" t="s">
        <v>11959</v>
      </c>
      <c r="BJ156" s="50" t="s">
        <v>11889</v>
      </c>
      <c r="BK156" s="50" t="s">
        <v>127</v>
      </c>
      <c r="BL156" s="50" t="s">
        <v>12864</v>
      </c>
      <c r="BM156" s="50" t="s">
        <v>1611</v>
      </c>
      <c r="BN156" s="50" t="s">
        <v>12865</v>
      </c>
      <c r="BO156" s="50" t="s">
        <v>3988</v>
      </c>
      <c r="BP156" s="50" t="s">
        <v>956</v>
      </c>
      <c r="BQ156" s="50" t="s">
        <v>132</v>
      </c>
      <c r="BR156" s="50" t="s">
        <v>958</v>
      </c>
      <c r="BS156" s="50" t="s">
        <v>959</v>
      </c>
      <c r="BT156" s="50" t="s">
        <v>293</v>
      </c>
      <c r="BV156" s="50" t="s">
        <v>12866</v>
      </c>
      <c r="BW156" s="50" t="s">
        <v>12867</v>
      </c>
      <c r="BY156" s="50" t="s">
        <v>12868</v>
      </c>
      <c r="BZ156" s="50" t="s">
        <v>1616</v>
      </c>
      <c r="CA156" s="50" t="s">
        <v>1617</v>
      </c>
      <c r="CB156" s="50" t="s">
        <v>12869</v>
      </c>
      <c r="CC156" s="50" t="s">
        <v>1618</v>
      </c>
      <c r="CD156" s="50" t="s">
        <v>1619</v>
      </c>
      <c r="CE156" s="50" t="s">
        <v>12867</v>
      </c>
      <c r="CF156" s="50" t="s">
        <v>12868</v>
      </c>
      <c r="CG156" s="50" t="s">
        <v>1616</v>
      </c>
      <c r="CH156" s="50" t="s">
        <v>102</v>
      </c>
      <c r="CI156" s="50" t="s">
        <v>12870</v>
      </c>
      <c r="CK156" s="50" t="s">
        <v>1622</v>
      </c>
      <c r="CM156" s="50" t="s">
        <v>1609</v>
      </c>
      <c r="CN156" s="50" t="s">
        <v>285</v>
      </c>
      <c r="CO156" s="50" t="s">
        <v>1622</v>
      </c>
      <c r="CQ156" s="50" t="s">
        <v>1621</v>
      </c>
      <c r="CR156" s="50" t="s">
        <v>1621</v>
      </c>
    </row>
    <row r="157" spans="1:97" hidden="1">
      <c r="A157" s="50" t="s">
        <v>149</v>
      </c>
      <c r="B157" s="50">
        <v>2472169</v>
      </c>
      <c r="C157" s="50" t="e">
        <f>VLOOKUP(B157,'Drop schools 2026'!B:C,2,0)</f>
        <v>#N/A</v>
      </c>
      <c r="D157" s="50" t="s">
        <v>212</v>
      </c>
      <c r="E157" s="50" t="s">
        <v>418</v>
      </c>
      <c r="F157" s="50" t="s">
        <v>14135</v>
      </c>
      <c r="G157" s="50" t="e">
        <f>VLOOKUP(B157,aa!B:F,5,0)</f>
        <v>#N/A</v>
      </c>
      <c r="H157" s="50" t="e">
        <f>VLOOKUP(B157,aa!B:J,9,0)</f>
        <v>#N/A</v>
      </c>
      <c r="I157" s="50" t="e">
        <f>VLOOKUP(B157,aa!B:L,11,0)</f>
        <v>#N/A</v>
      </c>
      <c r="J157" s="50" t="e">
        <f>VLOOKUP(B157,aa!B:O,14,0)</f>
        <v>#N/A</v>
      </c>
      <c r="K157" s="50" t="e">
        <f>VLOOKUP(B157,aa!B:R,17,0)</f>
        <v>#N/A</v>
      </c>
      <c r="L157" s="50" t="s">
        <v>97</v>
      </c>
      <c r="M157" s="50">
        <v>989169</v>
      </c>
      <c r="N157" s="50">
        <v>989169</v>
      </c>
      <c r="O157" s="50">
        <v>989169</v>
      </c>
      <c r="P157" s="50">
        <v>1161</v>
      </c>
      <c r="Q157" s="50" t="s">
        <v>14136</v>
      </c>
      <c r="R157" s="50">
        <v>0</v>
      </c>
      <c r="S157" s="50">
        <v>0</v>
      </c>
      <c r="U157" s="50">
        <v>0</v>
      </c>
      <c r="V157" s="50">
        <v>0</v>
      </c>
      <c r="X157" s="50" t="s">
        <v>102</v>
      </c>
      <c r="Y157" s="50" t="s">
        <v>103</v>
      </c>
      <c r="Z157" s="50" t="s">
        <v>104</v>
      </c>
      <c r="AB157" s="50" t="s">
        <v>1165</v>
      </c>
      <c r="AC157" s="50" t="s">
        <v>14137</v>
      </c>
      <c r="AD157" s="50" t="s">
        <v>12888</v>
      </c>
      <c r="AE157" s="50" t="s">
        <v>14138</v>
      </c>
      <c r="AF157" s="50" t="s">
        <v>109</v>
      </c>
      <c r="AG157" s="50" t="s">
        <v>102</v>
      </c>
      <c r="AH157" s="50" t="s">
        <v>109</v>
      </c>
      <c r="AI157" s="50" t="s">
        <v>102</v>
      </c>
      <c r="AJ157" s="50" t="s">
        <v>14139</v>
      </c>
      <c r="AK157" s="50" t="s">
        <v>12783</v>
      </c>
      <c r="AL157" s="50" t="s">
        <v>12873</v>
      </c>
      <c r="AM157" s="50" t="s">
        <v>14140</v>
      </c>
      <c r="AN157" s="50" t="s">
        <v>14141</v>
      </c>
      <c r="AO157" s="50" t="s">
        <v>115</v>
      </c>
      <c r="AP157" s="50" t="s">
        <v>14142</v>
      </c>
      <c r="AQ157" s="50" t="s">
        <v>14142</v>
      </c>
      <c r="AV157" s="50" t="s">
        <v>318</v>
      </c>
      <c r="AW157" s="50" t="s">
        <v>118</v>
      </c>
      <c r="AX157" s="50" t="s">
        <v>102</v>
      </c>
      <c r="AY157" s="50" t="s">
        <v>119</v>
      </c>
      <c r="BC157" s="50" t="s">
        <v>120</v>
      </c>
      <c r="BD157" s="50" t="s">
        <v>409</v>
      </c>
      <c r="BE157" s="50" t="s">
        <v>410</v>
      </c>
      <c r="BF157" s="50" t="s">
        <v>212</v>
      </c>
      <c r="BG157" s="50" t="s">
        <v>410</v>
      </c>
      <c r="BH157" s="50" t="s">
        <v>124</v>
      </c>
      <c r="BI157" s="50" t="s">
        <v>12082</v>
      </c>
      <c r="BJ157" s="50" t="s">
        <v>11889</v>
      </c>
      <c r="BK157" s="50" t="s">
        <v>127</v>
      </c>
      <c r="BL157" s="50" t="s">
        <v>14143</v>
      </c>
      <c r="BM157" s="50" t="s">
        <v>3582</v>
      </c>
      <c r="BN157" s="50" t="s">
        <v>14144</v>
      </c>
      <c r="BO157" s="50" t="s">
        <v>12023</v>
      </c>
      <c r="BP157" s="50" t="s">
        <v>866</v>
      </c>
      <c r="BQ157" s="50" t="s">
        <v>132</v>
      </c>
      <c r="BR157" s="50" t="s">
        <v>867</v>
      </c>
      <c r="BS157" s="50" t="s">
        <v>868</v>
      </c>
      <c r="BT157" s="50" t="s">
        <v>418</v>
      </c>
      <c r="BV157" s="50" t="s">
        <v>14145</v>
      </c>
      <c r="BW157" s="50" t="s">
        <v>3585</v>
      </c>
      <c r="BX157" s="50" t="s">
        <v>598</v>
      </c>
      <c r="BY157" s="50" t="s">
        <v>225</v>
      </c>
      <c r="BZ157" s="50" t="s">
        <v>226</v>
      </c>
      <c r="CA157" s="50" t="s">
        <v>3586</v>
      </c>
      <c r="CB157" s="50" t="s">
        <v>14146</v>
      </c>
      <c r="CC157" s="50" t="s">
        <v>14147</v>
      </c>
      <c r="CD157" s="50" t="s">
        <v>14148</v>
      </c>
      <c r="CE157" s="50" t="s">
        <v>14149</v>
      </c>
      <c r="CF157" s="50" t="s">
        <v>14150</v>
      </c>
      <c r="CG157" s="50" t="s">
        <v>14151</v>
      </c>
      <c r="CH157" s="50" t="s">
        <v>102</v>
      </c>
      <c r="CI157" s="50" t="s">
        <v>3587</v>
      </c>
      <c r="CK157" s="50" t="s">
        <v>3588</v>
      </c>
      <c r="CM157" s="50" t="s">
        <v>409</v>
      </c>
      <c r="CN157" s="50" t="s">
        <v>410</v>
      </c>
      <c r="CO157" s="50" t="s">
        <v>3588</v>
      </c>
      <c r="CP157" s="50" t="s">
        <v>3589</v>
      </c>
      <c r="CQ157" s="50" t="s">
        <v>3587</v>
      </c>
      <c r="CR157" s="50" t="s">
        <v>3587</v>
      </c>
      <c r="CS157" s="50" t="s">
        <v>26040</v>
      </c>
    </row>
    <row r="158" spans="1:97" hidden="1">
      <c r="A158" s="50" t="s">
        <v>149</v>
      </c>
      <c r="B158" s="50">
        <v>3399635</v>
      </c>
      <c r="C158" s="50" t="e">
        <f>VLOOKUP(B158,'Drop schools 2026'!B:C,2,0)</f>
        <v>#N/A</v>
      </c>
      <c r="D158" s="50" t="s">
        <v>212</v>
      </c>
      <c r="E158" s="50" t="s">
        <v>11947</v>
      </c>
      <c r="F158" s="50" t="s">
        <v>5861</v>
      </c>
      <c r="G158" s="50" t="str">
        <f>VLOOKUP(B158,aa!B:F,5,0)</f>
        <v>Ei ASSET,Ei Mindspark</v>
      </c>
      <c r="H158" s="50">
        <f>VLOOKUP(B158,aa!B:J,9,0)</f>
        <v>0</v>
      </c>
      <c r="I158" s="50">
        <f>VLOOKUP(B158,aa!B:L,11,0)</f>
        <v>0</v>
      </c>
      <c r="J158" s="50">
        <f>VLOOKUP(B158,aa!B:O,14,0)</f>
        <v>0</v>
      </c>
      <c r="K158" s="50">
        <f>VLOOKUP(B158,aa!B:R,17,0)</f>
        <v>0</v>
      </c>
      <c r="L158" s="50" t="s">
        <v>193</v>
      </c>
      <c r="M158" s="50">
        <v>978758</v>
      </c>
      <c r="N158" s="50">
        <v>1097060</v>
      </c>
      <c r="O158" s="50">
        <v>321522</v>
      </c>
      <c r="P158" s="50">
        <v>1034</v>
      </c>
      <c r="Q158" s="50" t="s">
        <v>195</v>
      </c>
      <c r="R158" s="50">
        <v>0</v>
      </c>
      <c r="S158" s="50">
        <v>0</v>
      </c>
      <c r="U158" s="50">
        <v>657236</v>
      </c>
      <c r="V158" s="50">
        <v>1034</v>
      </c>
      <c r="W158" s="50" t="s">
        <v>11949</v>
      </c>
      <c r="X158" s="50" t="s">
        <v>102</v>
      </c>
      <c r="Y158" s="50" t="s">
        <v>103</v>
      </c>
      <c r="Z158" s="50" t="s">
        <v>104</v>
      </c>
      <c r="AB158" s="50" t="s">
        <v>11950</v>
      </c>
      <c r="AC158" s="50" t="s">
        <v>15842</v>
      </c>
      <c r="AD158" s="50" t="s">
        <v>11952</v>
      </c>
      <c r="AE158" s="50" t="s">
        <v>15842</v>
      </c>
      <c r="AF158" s="50" t="s">
        <v>109</v>
      </c>
      <c r="AG158" s="50" t="s">
        <v>102</v>
      </c>
      <c r="AH158" s="50" t="s">
        <v>109</v>
      </c>
      <c r="AI158" s="50" t="s">
        <v>102</v>
      </c>
      <c r="AJ158" s="50" t="s">
        <v>15843</v>
      </c>
      <c r="AK158" s="50" t="s">
        <v>11954</v>
      </c>
      <c r="AL158" s="50" t="s">
        <v>11954</v>
      </c>
      <c r="AM158" s="50" t="s">
        <v>15844</v>
      </c>
      <c r="AN158" s="50" t="s">
        <v>15845</v>
      </c>
      <c r="AO158" s="50" t="s">
        <v>15846</v>
      </c>
      <c r="AP158" s="50" t="s">
        <v>11958</v>
      </c>
      <c r="AQ158" s="50" t="s">
        <v>11958</v>
      </c>
      <c r="AV158" s="50" t="s">
        <v>207</v>
      </c>
      <c r="AW158" s="50" t="s">
        <v>118</v>
      </c>
      <c r="AX158" s="50" t="s">
        <v>102</v>
      </c>
      <c r="AY158" s="50" t="s">
        <v>119</v>
      </c>
      <c r="BB158" s="50" t="s">
        <v>250</v>
      </c>
      <c r="BC158" s="50" t="s">
        <v>120</v>
      </c>
      <c r="BD158" s="50" t="s">
        <v>758</v>
      </c>
      <c r="BE158" s="50" t="s">
        <v>211</v>
      </c>
      <c r="BF158" s="50" t="s">
        <v>212</v>
      </c>
      <c r="BG158" s="50" t="s">
        <v>213</v>
      </c>
      <c r="BH158" s="50" t="s">
        <v>124</v>
      </c>
      <c r="BI158" s="50" t="s">
        <v>11959</v>
      </c>
      <c r="BJ158" s="50" t="s">
        <v>11960</v>
      </c>
      <c r="BK158" s="50" t="s">
        <v>127</v>
      </c>
      <c r="BL158" s="50" t="s">
        <v>15847</v>
      </c>
      <c r="BM158" s="50" t="s">
        <v>5869</v>
      </c>
      <c r="BN158" s="50" t="s">
        <v>15848</v>
      </c>
      <c r="BO158" s="50" t="s">
        <v>12339</v>
      </c>
      <c r="BP158" s="50" t="s">
        <v>1880</v>
      </c>
      <c r="BQ158" s="50" t="s">
        <v>7992</v>
      </c>
      <c r="BR158" s="50" t="s">
        <v>1882</v>
      </c>
      <c r="BS158" s="50" t="s">
        <v>1883</v>
      </c>
      <c r="BT158" s="50" t="s">
        <v>222</v>
      </c>
      <c r="BV158" s="50" t="s">
        <v>15849</v>
      </c>
      <c r="BW158" s="50" t="s">
        <v>11964</v>
      </c>
      <c r="BX158" s="50" t="s">
        <v>138</v>
      </c>
      <c r="BY158" s="50" t="s">
        <v>225</v>
      </c>
      <c r="BZ158" s="50" t="s">
        <v>226</v>
      </c>
      <c r="CA158" s="50" t="s">
        <v>5872</v>
      </c>
      <c r="CB158" s="50" t="s">
        <v>15850</v>
      </c>
      <c r="CC158" s="50" t="s">
        <v>15851</v>
      </c>
      <c r="CD158" s="50" t="s">
        <v>15852</v>
      </c>
      <c r="CE158" s="50" t="s">
        <v>15853</v>
      </c>
      <c r="CF158" s="50" t="s">
        <v>15851</v>
      </c>
      <c r="CG158" s="50" t="s">
        <v>15854</v>
      </c>
      <c r="CH158" s="50" t="s">
        <v>102</v>
      </c>
      <c r="CI158" s="50" t="s">
        <v>5873</v>
      </c>
      <c r="CK158" s="50" t="s">
        <v>765</v>
      </c>
      <c r="CM158" s="50" t="s">
        <v>758</v>
      </c>
      <c r="CN158" s="50" t="s">
        <v>211</v>
      </c>
      <c r="CO158" s="50" t="s">
        <v>765</v>
      </c>
      <c r="CP158" s="50" t="s">
        <v>230</v>
      </c>
      <c r="CQ158" s="50" t="s">
        <v>5873</v>
      </c>
      <c r="CR158" s="50" t="s">
        <v>5873</v>
      </c>
    </row>
    <row r="159" spans="1:97" hidden="1">
      <c r="A159" s="50" t="s">
        <v>149</v>
      </c>
      <c r="B159" s="50">
        <v>366777</v>
      </c>
      <c r="C159" s="50" t="e">
        <f>VLOOKUP(B159,'Drop schools 2026'!B:C,2,0)</f>
        <v>#N/A</v>
      </c>
      <c r="D159" s="50" t="s">
        <v>622</v>
      </c>
      <c r="E159" s="50" t="s">
        <v>2525</v>
      </c>
      <c r="F159" s="50" t="s">
        <v>7048</v>
      </c>
      <c r="G159" s="50" t="str">
        <f>VLOOKUP(B159,aa!B:F,5,0)</f>
        <v>Ei ASSET,Ei CARES</v>
      </c>
      <c r="H159" s="50">
        <f>VLOOKUP(B159,aa!B:J,9,0)</f>
        <v>1030249</v>
      </c>
      <c r="I159" s="50">
        <f>VLOOKUP(B159,aa!B:L,11,0)</f>
        <v>423781</v>
      </c>
      <c r="J159" s="50">
        <f>VLOOKUP(B159,aa!B:O,14,0)</f>
        <v>606468</v>
      </c>
      <c r="K159" s="50">
        <f>VLOOKUP(B159,aa!B:R,17,0)</f>
        <v>0</v>
      </c>
      <c r="L159" s="50" t="s">
        <v>2044</v>
      </c>
      <c r="M159" s="50">
        <v>969368</v>
      </c>
      <c r="N159" s="50">
        <v>969368</v>
      </c>
      <c r="O159" s="50">
        <v>412296</v>
      </c>
      <c r="P159" s="50">
        <v>636</v>
      </c>
      <c r="Q159" s="50" t="s">
        <v>16722</v>
      </c>
      <c r="R159" s="50">
        <v>557072</v>
      </c>
      <c r="S159" s="50">
        <v>354</v>
      </c>
      <c r="T159" s="50" t="s">
        <v>16723</v>
      </c>
      <c r="U159" s="50">
        <v>0</v>
      </c>
      <c r="V159" s="50">
        <v>0</v>
      </c>
      <c r="X159" s="50" t="s">
        <v>102</v>
      </c>
      <c r="Y159" s="50" t="s">
        <v>275</v>
      </c>
      <c r="AA159" s="50" t="s">
        <v>126</v>
      </c>
      <c r="AB159" s="50" t="s">
        <v>109</v>
      </c>
      <c r="AC159" s="50" t="s">
        <v>102</v>
      </c>
      <c r="AD159" s="50" t="s">
        <v>109</v>
      </c>
      <c r="AE159" s="50" t="s">
        <v>102</v>
      </c>
      <c r="AF159" s="50" t="s">
        <v>109</v>
      </c>
      <c r="AG159" s="50" t="s">
        <v>102</v>
      </c>
      <c r="AH159" s="50" t="s">
        <v>109</v>
      </c>
      <c r="AI159" s="50" t="s">
        <v>102</v>
      </c>
      <c r="AJ159" s="50" t="s">
        <v>16724</v>
      </c>
      <c r="AK159" s="50" t="s">
        <v>13202</v>
      </c>
      <c r="AL159" s="50" t="s">
        <v>13202</v>
      </c>
      <c r="AM159" s="50" t="s">
        <v>16725</v>
      </c>
      <c r="AN159" s="50" t="s">
        <v>16726</v>
      </c>
      <c r="AO159" s="50" t="s">
        <v>16727</v>
      </c>
      <c r="AP159" s="50" t="s">
        <v>16728</v>
      </c>
      <c r="AQ159" s="50" t="s">
        <v>16729</v>
      </c>
      <c r="AR159" s="50" t="s">
        <v>343</v>
      </c>
      <c r="AT159" s="50" t="s">
        <v>169</v>
      </c>
      <c r="AU159" s="50" t="s">
        <v>169</v>
      </c>
      <c r="AV159" s="50" t="s">
        <v>117</v>
      </c>
      <c r="AW159" s="50" t="s">
        <v>118</v>
      </c>
      <c r="AX159" s="50" t="s">
        <v>1384</v>
      </c>
      <c r="AY159" s="50" t="s">
        <v>119</v>
      </c>
      <c r="AZ159" s="50" t="s">
        <v>1138</v>
      </c>
      <c r="BA159" s="50" t="s">
        <v>118</v>
      </c>
      <c r="BC159" s="50" t="s">
        <v>120</v>
      </c>
      <c r="BD159" s="50" t="s">
        <v>2327</v>
      </c>
      <c r="BE159" s="50" t="s">
        <v>730</v>
      </c>
      <c r="BF159" s="50" t="s">
        <v>622</v>
      </c>
      <c r="BG159" s="50" t="s">
        <v>730</v>
      </c>
      <c r="BH159" s="50" t="s">
        <v>124</v>
      </c>
      <c r="BI159" s="50" t="s">
        <v>12023</v>
      </c>
      <c r="BJ159" s="50" t="s">
        <v>11889</v>
      </c>
      <c r="BK159" s="50" t="s">
        <v>127</v>
      </c>
      <c r="BL159" s="50" t="s">
        <v>16730</v>
      </c>
      <c r="BM159" s="50" t="s">
        <v>7057</v>
      </c>
      <c r="BN159" s="50" t="s">
        <v>16731</v>
      </c>
      <c r="BO159" s="50" t="s">
        <v>13216</v>
      </c>
      <c r="BP159" s="50" t="s">
        <v>3606</v>
      </c>
      <c r="BQ159" s="50" t="s">
        <v>350</v>
      </c>
      <c r="BR159" s="50" t="s">
        <v>3607</v>
      </c>
      <c r="BS159" s="50" t="s">
        <v>3608</v>
      </c>
      <c r="BT159" s="50" t="s">
        <v>2525</v>
      </c>
      <c r="BV159" s="50" t="s">
        <v>16732</v>
      </c>
      <c r="BW159" s="50" t="s">
        <v>7060</v>
      </c>
      <c r="BX159" s="50" t="s">
        <v>138</v>
      </c>
      <c r="BY159" s="50" t="s">
        <v>7061</v>
      </c>
      <c r="BZ159" s="50" t="s">
        <v>16733</v>
      </c>
      <c r="CA159" s="50" t="s">
        <v>7061</v>
      </c>
      <c r="CB159" s="50" t="s">
        <v>7060</v>
      </c>
      <c r="CC159" s="50" t="s">
        <v>7061</v>
      </c>
      <c r="CD159" s="50" t="s">
        <v>16733</v>
      </c>
      <c r="CE159" s="50" t="s">
        <v>16734</v>
      </c>
      <c r="CF159" s="50" t="s">
        <v>7061</v>
      </c>
      <c r="CG159" s="50" t="s">
        <v>16735</v>
      </c>
      <c r="CH159" s="50" t="s">
        <v>102</v>
      </c>
      <c r="CI159" s="50" t="s">
        <v>7062</v>
      </c>
      <c r="CK159" s="50" t="s">
        <v>2532</v>
      </c>
      <c r="CM159" s="50" t="s">
        <v>2327</v>
      </c>
      <c r="CN159" s="50" t="s">
        <v>730</v>
      </c>
      <c r="CO159" s="50" t="s">
        <v>2532</v>
      </c>
      <c r="CP159" s="50" t="s">
        <v>7063</v>
      </c>
      <c r="CQ159" s="50" t="s">
        <v>7062</v>
      </c>
      <c r="CR159" s="50" t="s">
        <v>7062</v>
      </c>
    </row>
    <row r="160" spans="1:97" hidden="1">
      <c r="A160" s="50" t="s">
        <v>337</v>
      </c>
      <c r="B160" s="50">
        <v>1035646</v>
      </c>
      <c r="C160" s="50" t="e">
        <f>VLOOKUP(B160,'Drop schools 2026'!B:C,2,0)</f>
        <v>#N/A</v>
      </c>
      <c r="D160" s="50" t="s">
        <v>622</v>
      </c>
      <c r="E160" s="50" t="s">
        <v>1279</v>
      </c>
      <c r="F160" s="50" t="s">
        <v>12038</v>
      </c>
      <c r="G160" s="50" t="str">
        <f>VLOOKUP(B160,aa!B:F,5,0)</f>
        <v>Ei CARES</v>
      </c>
      <c r="H160" s="50">
        <f>VLOOKUP(B160,aa!B:J,9,0)</f>
        <v>927112</v>
      </c>
      <c r="I160" s="50">
        <f>VLOOKUP(B160,aa!B:L,11,0)</f>
        <v>0</v>
      </c>
      <c r="J160" s="50">
        <f>VLOOKUP(B160,aa!B:O,14,0)</f>
        <v>927112</v>
      </c>
      <c r="K160" s="50">
        <f>VLOOKUP(B160,aa!B:R,17,0)</f>
        <v>0</v>
      </c>
      <c r="L160" s="50" t="s">
        <v>152</v>
      </c>
      <c r="M160" s="50">
        <v>961962</v>
      </c>
      <c r="N160" s="50">
        <v>961962</v>
      </c>
      <c r="O160" s="50">
        <v>0</v>
      </c>
      <c r="P160" s="50">
        <v>0</v>
      </c>
      <c r="R160" s="50">
        <v>961962</v>
      </c>
      <c r="S160" s="50">
        <v>481</v>
      </c>
      <c r="T160" s="50" t="s">
        <v>7192</v>
      </c>
      <c r="U160" s="50">
        <v>0</v>
      </c>
      <c r="V160" s="50">
        <v>0</v>
      </c>
      <c r="X160" s="50" t="s">
        <v>102</v>
      </c>
      <c r="Y160" s="50" t="s">
        <v>103</v>
      </c>
      <c r="Z160" s="50" t="s">
        <v>155</v>
      </c>
      <c r="AB160" s="50" t="s">
        <v>10771</v>
      </c>
      <c r="AC160" s="50" t="s">
        <v>12039</v>
      </c>
      <c r="AD160" s="50" t="s">
        <v>1331</v>
      </c>
      <c r="AE160" s="50" t="s">
        <v>12039</v>
      </c>
      <c r="AF160" s="50" t="s">
        <v>12040</v>
      </c>
      <c r="AG160" s="50" t="s">
        <v>12039</v>
      </c>
      <c r="AH160" s="50" t="s">
        <v>12041</v>
      </c>
      <c r="AI160" s="50" t="s">
        <v>12039</v>
      </c>
      <c r="AJ160" s="50" t="s">
        <v>12042</v>
      </c>
      <c r="AK160" s="50" t="s">
        <v>313</v>
      </c>
      <c r="AL160" s="50" t="s">
        <v>12043</v>
      </c>
      <c r="AM160" s="50" t="s">
        <v>12044</v>
      </c>
      <c r="AN160" s="50" t="s">
        <v>12045</v>
      </c>
      <c r="AO160" s="50" t="s">
        <v>12046</v>
      </c>
      <c r="AP160" s="50" t="s">
        <v>2922</v>
      </c>
      <c r="AQ160" s="50" t="s">
        <v>2922</v>
      </c>
      <c r="AV160" s="50" t="s">
        <v>102</v>
      </c>
      <c r="AX160" s="50" t="s">
        <v>155</v>
      </c>
      <c r="AY160" s="50" t="s">
        <v>119</v>
      </c>
      <c r="AZ160" s="50" t="s">
        <v>170</v>
      </c>
      <c r="BA160" s="50" t="s">
        <v>118</v>
      </c>
      <c r="BC160" s="50" t="s">
        <v>171</v>
      </c>
      <c r="BD160" s="50" t="s">
        <v>623</v>
      </c>
      <c r="BE160" s="50" t="s">
        <v>621</v>
      </c>
      <c r="BF160" s="50" t="s">
        <v>622</v>
      </c>
      <c r="BG160" s="50" t="s">
        <v>623</v>
      </c>
      <c r="BH160" s="50" t="s">
        <v>124</v>
      </c>
      <c r="BI160" s="50" t="s">
        <v>11959</v>
      </c>
      <c r="BJ160" s="50" t="s">
        <v>12047</v>
      </c>
      <c r="BK160" s="50" t="s">
        <v>127</v>
      </c>
      <c r="BL160" s="50" t="s">
        <v>12048</v>
      </c>
      <c r="BM160" s="50" t="s">
        <v>12049</v>
      </c>
      <c r="BN160" s="50" t="s">
        <v>12050</v>
      </c>
      <c r="BO160" s="50" t="s">
        <v>1603</v>
      </c>
      <c r="BP160" s="50" t="s">
        <v>1670</v>
      </c>
      <c r="BQ160" s="50" t="s">
        <v>132</v>
      </c>
      <c r="BR160" s="50" t="s">
        <v>1671</v>
      </c>
      <c r="BS160" s="50" t="s">
        <v>1672</v>
      </c>
      <c r="BT160" s="50" t="s">
        <v>8262</v>
      </c>
      <c r="BU160" s="50" t="s">
        <v>1279</v>
      </c>
      <c r="BV160" s="50" t="s">
        <v>12051</v>
      </c>
      <c r="BW160" s="50" t="s">
        <v>12052</v>
      </c>
      <c r="BX160" s="50" t="s">
        <v>354</v>
      </c>
      <c r="BY160" s="50" t="s">
        <v>12053</v>
      </c>
      <c r="BZ160" s="50" t="s">
        <v>12054</v>
      </c>
      <c r="CA160" s="50" t="s">
        <v>12055</v>
      </c>
      <c r="CH160" s="50" t="s">
        <v>3223</v>
      </c>
      <c r="CI160" s="50" t="s">
        <v>12056</v>
      </c>
      <c r="CK160" s="50" t="s">
        <v>11862</v>
      </c>
      <c r="CL160" s="50" t="s">
        <v>12056</v>
      </c>
      <c r="CM160" s="50" t="s">
        <v>623</v>
      </c>
      <c r="CN160" s="50" t="s">
        <v>621</v>
      </c>
      <c r="CO160" s="50" t="s">
        <v>11862</v>
      </c>
      <c r="CP160" s="50" t="s">
        <v>12057</v>
      </c>
      <c r="CQ160" s="50" t="s">
        <v>12056</v>
      </c>
      <c r="CR160" s="50" t="s">
        <v>12056</v>
      </c>
    </row>
    <row r="161" spans="1:97" hidden="1">
      <c r="A161" s="50" t="s">
        <v>149</v>
      </c>
      <c r="B161" s="50">
        <v>1805376</v>
      </c>
      <c r="C161" s="50" t="e">
        <f>VLOOKUP(B161,'Drop schools 2026'!B:C,2,0)</f>
        <v>#N/A</v>
      </c>
      <c r="D161" s="50" t="s">
        <v>622</v>
      </c>
      <c r="E161" s="50" t="s">
        <v>11947</v>
      </c>
      <c r="F161" s="50" t="s">
        <v>1890</v>
      </c>
      <c r="G161" s="50" t="str">
        <f>VLOOKUP(B161,aa!B:F,5,0)</f>
        <v>Ei ASSET,Ei Mindspark</v>
      </c>
      <c r="H161" s="50">
        <f>VLOOKUP(B161,aa!B:J,9,0)</f>
        <v>0</v>
      </c>
      <c r="I161" s="50">
        <f>VLOOKUP(B161,aa!B:L,11,0)</f>
        <v>0</v>
      </c>
      <c r="J161" s="50">
        <f>VLOOKUP(B161,aa!B:O,14,0)</f>
        <v>0</v>
      </c>
      <c r="K161" s="50">
        <f>VLOOKUP(B161,aa!B:R,17,0)</f>
        <v>0</v>
      </c>
      <c r="L161" s="50" t="s">
        <v>193</v>
      </c>
      <c r="M161" s="50">
        <v>955527</v>
      </c>
      <c r="N161" s="50">
        <v>1070991</v>
      </c>
      <c r="O161" s="50">
        <v>314059</v>
      </c>
      <c r="P161" s="50">
        <v>1010</v>
      </c>
      <c r="Q161" s="50" t="s">
        <v>195</v>
      </c>
      <c r="R161" s="50">
        <v>0</v>
      </c>
      <c r="S161" s="50">
        <v>0</v>
      </c>
      <c r="U161" s="50">
        <v>641468</v>
      </c>
      <c r="V161" s="50">
        <v>1010</v>
      </c>
      <c r="W161" s="50" t="s">
        <v>12956</v>
      </c>
      <c r="X161" s="50" t="s">
        <v>102</v>
      </c>
      <c r="Y161" s="50" t="s">
        <v>103</v>
      </c>
      <c r="Z161" s="50" t="s">
        <v>104</v>
      </c>
      <c r="AB161" s="50" t="s">
        <v>11950</v>
      </c>
      <c r="AC161" s="50" t="s">
        <v>12957</v>
      </c>
      <c r="AD161" s="50" t="s">
        <v>11952</v>
      </c>
      <c r="AE161" s="50" t="s">
        <v>12957</v>
      </c>
      <c r="AF161" s="50" t="s">
        <v>109</v>
      </c>
      <c r="AG161" s="50" t="s">
        <v>102</v>
      </c>
      <c r="AH161" s="50" t="s">
        <v>109</v>
      </c>
      <c r="AI161" s="50" t="s">
        <v>102</v>
      </c>
      <c r="AJ161" s="50" t="s">
        <v>12958</v>
      </c>
      <c r="AK161" s="50" t="s">
        <v>11954</v>
      </c>
      <c r="AL161" s="50" t="s">
        <v>11954</v>
      </c>
      <c r="AM161" s="50" t="s">
        <v>12959</v>
      </c>
      <c r="AN161" s="50" t="s">
        <v>12960</v>
      </c>
      <c r="AO161" s="50" t="s">
        <v>12961</v>
      </c>
      <c r="AP161" s="50" t="s">
        <v>12962</v>
      </c>
      <c r="AQ161" s="50" t="s">
        <v>12962</v>
      </c>
      <c r="AV161" s="50" t="s">
        <v>207</v>
      </c>
      <c r="AW161" s="50" t="s">
        <v>118</v>
      </c>
      <c r="AX161" s="50" t="s">
        <v>102</v>
      </c>
      <c r="AY161" s="50" t="s">
        <v>119</v>
      </c>
      <c r="BB161" s="50" t="s">
        <v>250</v>
      </c>
      <c r="BC161" s="50" t="s">
        <v>120</v>
      </c>
      <c r="BD161" s="50" t="s">
        <v>1897</v>
      </c>
      <c r="BE161" s="50" t="s">
        <v>621</v>
      </c>
      <c r="BF161" s="50" t="s">
        <v>622</v>
      </c>
      <c r="BG161" s="50" t="s">
        <v>976</v>
      </c>
      <c r="BH161" s="50" t="s">
        <v>124</v>
      </c>
      <c r="BI161" s="50" t="s">
        <v>11948</v>
      </c>
      <c r="BJ161" s="50" t="s">
        <v>12963</v>
      </c>
      <c r="BK161" s="50" t="s">
        <v>127</v>
      </c>
      <c r="BL161" s="50" t="s">
        <v>12964</v>
      </c>
      <c r="BM161" s="50" t="s">
        <v>1899</v>
      </c>
      <c r="BN161" s="50" t="s">
        <v>12965</v>
      </c>
      <c r="BO161" s="50" t="s">
        <v>11948</v>
      </c>
      <c r="BP161" s="50" t="s">
        <v>415</v>
      </c>
      <c r="BQ161" s="50" t="s">
        <v>7992</v>
      </c>
      <c r="BR161" s="50" t="s">
        <v>416</v>
      </c>
      <c r="BS161" s="50" t="s">
        <v>417</v>
      </c>
      <c r="BT161" s="50" t="s">
        <v>984</v>
      </c>
      <c r="BV161" s="50" t="s">
        <v>12966</v>
      </c>
      <c r="BW161" s="50" t="s">
        <v>3585</v>
      </c>
      <c r="BX161" s="50" t="s">
        <v>598</v>
      </c>
      <c r="BY161" s="50" t="s">
        <v>225</v>
      </c>
      <c r="BZ161" s="50" t="s">
        <v>226</v>
      </c>
      <c r="CB161" s="50" t="s">
        <v>12967</v>
      </c>
      <c r="CC161" s="50" t="s">
        <v>12968</v>
      </c>
      <c r="CD161" s="50" t="s">
        <v>12969</v>
      </c>
      <c r="CE161" s="50" t="s">
        <v>12970</v>
      </c>
      <c r="CF161" s="50" t="s">
        <v>12971</v>
      </c>
      <c r="CG161" s="50" t="s">
        <v>12969</v>
      </c>
      <c r="CH161" s="50" t="s">
        <v>102</v>
      </c>
      <c r="CI161" s="50" t="s">
        <v>1902</v>
      </c>
      <c r="CK161" s="50" t="s">
        <v>1903</v>
      </c>
      <c r="CM161" s="50" t="s">
        <v>1897</v>
      </c>
      <c r="CN161" s="50" t="s">
        <v>621</v>
      </c>
      <c r="CO161" s="50" t="s">
        <v>1903</v>
      </c>
      <c r="CP161" s="50" t="s">
        <v>230</v>
      </c>
      <c r="CQ161" s="50" t="s">
        <v>1902</v>
      </c>
      <c r="CR161" s="50" t="s">
        <v>1902</v>
      </c>
    </row>
    <row r="162" spans="1:97" hidden="1">
      <c r="A162" s="50" t="s">
        <v>149</v>
      </c>
      <c r="B162" s="50">
        <v>628551</v>
      </c>
      <c r="C162" s="50" t="e">
        <f>VLOOKUP(B162,'Drop schools 2026'!B:C,2,0)</f>
        <v>#N/A</v>
      </c>
      <c r="D162" s="50" t="s">
        <v>174</v>
      </c>
      <c r="E162" s="50" t="s">
        <v>384</v>
      </c>
      <c r="F162" s="50" t="s">
        <v>21311</v>
      </c>
      <c r="G162" s="50" t="str">
        <f>VLOOKUP(B162,aa!B:F,5,0)</f>
        <v>Ei ASSET, Ei CARES, Ei Mindspark</v>
      </c>
      <c r="H162" s="50">
        <f>VLOOKUP(B162,aa!B:J,9,0)</f>
        <v>915788</v>
      </c>
      <c r="I162" s="50">
        <f>VLOOKUP(B162,aa!B:L,11,0)</f>
        <v>72800</v>
      </c>
      <c r="J162" s="50">
        <f>VLOOKUP(B162,aa!B:O,14,0)</f>
        <v>324461</v>
      </c>
      <c r="K162" s="50">
        <f>VLOOKUP(B162,aa!B:R,17,0)</f>
        <v>518527</v>
      </c>
      <c r="L162" s="50" t="s">
        <v>193</v>
      </c>
      <c r="M162" s="50">
        <v>951688</v>
      </c>
      <c r="N162" s="50">
        <v>1111760</v>
      </c>
      <c r="O162" s="50">
        <v>62400</v>
      </c>
      <c r="P162" s="50">
        <v>156</v>
      </c>
      <c r="Q162" s="50" t="s">
        <v>6051</v>
      </c>
      <c r="R162" s="50">
        <v>0</v>
      </c>
      <c r="S162" s="50">
        <v>0</v>
      </c>
      <c r="U162" s="50">
        <v>889288</v>
      </c>
      <c r="V162" s="50">
        <v>434</v>
      </c>
      <c r="W162" s="50" t="s">
        <v>21313</v>
      </c>
      <c r="X162" s="50" t="s">
        <v>102</v>
      </c>
      <c r="Y162" s="50" t="s">
        <v>103</v>
      </c>
      <c r="Z162" s="50" t="s">
        <v>801</v>
      </c>
      <c r="AB162" s="50" t="s">
        <v>21314</v>
      </c>
      <c r="AC162" s="50" t="s">
        <v>21315</v>
      </c>
      <c r="AD162" s="50" t="s">
        <v>21316</v>
      </c>
      <c r="AE162" s="50" t="s">
        <v>21315</v>
      </c>
      <c r="AF162" s="50" t="s">
        <v>21317</v>
      </c>
      <c r="AG162" s="50" t="s">
        <v>21318</v>
      </c>
      <c r="AH162" s="50" t="s">
        <v>12216</v>
      </c>
      <c r="AI162" s="50" t="s">
        <v>21318</v>
      </c>
      <c r="AJ162" s="50" t="s">
        <v>21319</v>
      </c>
      <c r="AK162" s="50" t="s">
        <v>21320</v>
      </c>
      <c r="AL162" s="50" t="s">
        <v>21321</v>
      </c>
      <c r="AM162" s="50" t="s">
        <v>21322</v>
      </c>
      <c r="AN162" s="50" t="s">
        <v>21323</v>
      </c>
      <c r="AO162" s="50" t="s">
        <v>21324</v>
      </c>
      <c r="AP162" s="50" t="s">
        <v>21325</v>
      </c>
      <c r="AQ162" s="50" t="s">
        <v>21326</v>
      </c>
      <c r="AV162" s="50" t="s">
        <v>247</v>
      </c>
      <c r="AW162" s="50" t="s">
        <v>118</v>
      </c>
      <c r="AX162" s="50" t="s">
        <v>102</v>
      </c>
      <c r="AY162" s="50" t="s">
        <v>119</v>
      </c>
      <c r="BB162" s="50" t="s">
        <v>250</v>
      </c>
      <c r="BC162" s="50" t="s">
        <v>171</v>
      </c>
      <c r="BD162" s="50" t="s">
        <v>1913</v>
      </c>
      <c r="BE162" s="50" t="s">
        <v>376</v>
      </c>
      <c r="BF162" s="50" t="s">
        <v>174</v>
      </c>
      <c r="BG162" s="50" t="s">
        <v>376</v>
      </c>
      <c r="BH162" s="50" t="s">
        <v>124</v>
      </c>
      <c r="BI162" s="50" t="s">
        <v>12023</v>
      </c>
      <c r="BJ162" s="50" t="s">
        <v>11889</v>
      </c>
      <c r="BK162" s="50" t="s">
        <v>127</v>
      </c>
      <c r="BL162" s="50" t="s">
        <v>21327</v>
      </c>
      <c r="BM162" s="50" t="s">
        <v>11418</v>
      </c>
      <c r="BN162" s="50" t="s">
        <v>21328</v>
      </c>
      <c r="BO162" s="50" t="s">
        <v>21312</v>
      </c>
      <c r="BP162" s="50" t="s">
        <v>1917</v>
      </c>
      <c r="BQ162" s="50" t="s">
        <v>180</v>
      </c>
      <c r="BR162" s="50" t="s">
        <v>1918</v>
      </c>
      <c r="BS162" s="50" t="s">
        <v>1919</v>
      </c>
      <c r="BT162" s="50" t="s">
        <v>384</v>
      </c>
      <c r="BV162" s="50" t="s">
        <v>21329</v>
      </c>
      <c r="BW162" s="50" t="s">
        <v>21330</v>
      </c>
      <c r="BX162" s="50" t="s">
        <v>138</v>
      </c>
      <c r="BY162" s="50" t="s">
        <v>11427</v>
      </c>
      <c r="BZ162" s="50" t="s">
        <v>11426</v>
      </c>
      <c r="CA162" s="50" t="s">
        <v>11427</v>
      </c>
      <c r="CB162" s="50" t="s">
        <v>21330</v>
      </c>
      <c r="CC162" s="50" t="s">
        <v>21331</v>
      </c>
      <c r="CD162" s="50" t="s">
        <v>11426</v>
      </c>
      <c r="CE162" s="50" t="s">
        <v>21330</v>
      </c>
      <c r="CF162" s="50" t="s">
        <v>21331</v>
      </c>
      <c r="CG162" s="50" t="s">
        <v>11426</v>
      </c>
      <c r="CH162" s="50" t="s">
        <v>102</v>
      </c>
      <c r="CI162" s="50" t="s">
        <v>21332</v>
      </c>
      <c r="CK162" s="50" t="s">
        <v>11432</v>
      </c>
      <c r="CM162" s="50" t="s">
        <v>1913</v>
      </c>
      <c r="CN162" s="50" t="s">
        <v>376</v>
      </c>
      <c r="CO162" s="50" t="s">
        <v>11432</v>
      </c>
      <c r="CP162" s="50" t="s">
        <v>11433</v>
      </c>
      <c r="CQ162" s="50" t="s">
        <v>11431</v>
      </c>
      <c r="CR162" s="50" t="s">
        <v>11431</v>
      </c>
    </row>
    <row r="163" spans="1:97" hidden="1">
      <c r="A163" s="50" t="s">
        <v>337</v>
      </c>
      <c r="B163" s="50">
        <v>3565966</v>
      </c>
      <c r="C163" s="50" t="e">
        <f>VLOOKUP(B163,'Drop schools 2026'!B:C,2,0)</f>
        <v>#N/A</v>
      </c>
      <c r="D163" s="50" t="s">
        <v>174</v>
      </c>
      <c r="E163" s="50" t="s">
        <v>12155</v>
      </c>
      <c r="F163" s="50" t="s">
        <v>16462</v>
      </c>
      <c r="G163" s="50" t="str">
        <f>VLOOKUP(B163,aa!B:F,5,0)</f>
        <v>Ei ASSET</v>
      </c>
      <c r="H163" s="50">
        <f>VLOOKUP(B163,aa!B:J,9,0)</f>
        <v>930427</v>
      </c>
      <c r="I163" s="50">
        <f>VLOOKUP(B163,aa!B:L,11,0)</f>
        <v>930427</v>
      </c>
      <c r="J163" s="50">
        <f>VLOOKUP(B163,aa!B:O,14,0)</f>
        <v>0</v>
      </c>
      <c r="K163" s="50">
        <f>VLOOKUP(B163,aa!B:R,17,0)</f>
        <v>0</v>
      </c>
      <c r="L163" s="50" t="s">
        <v>2044</v>
      </c>
      <c r="M163" s="50">
        <v>938950</v>
      </c>
      <c r="N163" s="50">
        <v>938950</v>
      </c>
      <c r="O163" s="50">
        <v>775593</v>
      </c>
      <c r="P163" s="50">
        <v>1092</v>
      </c>
      <c r="Q163" s="50" t="s">
        <v>16463</v>
      </c>
      <c r="R163" s="50">
        <v>163357</v>
      </c>
      <c r="S163" s="50">
        <v>150</v>
      </c>
      <c r="T163" s="50" t="s">
        <v>16464</v>
      </c>
      <c r="U163" s="50">
        <v>0</v>
      </c>
      <c r="V163" s="50">
        <v>0</v>
      </c>
      <c r="X163" s="50" t="s">
        <v>102</v>
      </c>
      <c r="Y163" s="50" t="s">
        <v>103</v>
      </c>
      <c r="Z163" s="50" t="s">
        <v>155</v>
      </c>
      <c r="AB163" s="50" t="s">
        <v>13435</v>
      </c>
      <c r="AC163" s="50" t="s">
        <v>16465</v>
      </c>
      <c r="AD163" s="50" t="s">
        <v>13455</v>
      </c>
      <c r="AE163" s="50" t="s">
        <v>16465</v>
      </c>
      <c r="AF163" s="50" t="s">
        <v>16421</v>
      </c>
      <c r="AG163" s="50" t="s">
        <v>16465</v>
      </c>
      <c r="AH163" s="50" t="s">
        <v>11902</v>
      </c>
      <c r="AI163" s="50" t="s">
        <v>16465</v>
      </c>
      <c r="AJ163" s="50" t="s">
        <v>102</v>
      </c>
      <c r="AK163" s="50" t="s">
        <v>16466</v>
      </c>
      <c r="AL163" s="50" t="s">
        <v>13302</v>
      </c>
      <c r="AM163" s="50" t="s">
        <v>16467</v>
      </c>
      <c r="AN163" s="50" t="s">
        <v>16468</v>
      </c>
      <c r="AO163" s="50" t="s">
        <v>16469</v>
      </c>
      <c r="AP163" s="50" t="s">
        <v>16470</v>
      </c>
      <c r="AQ163" s="50" t="s">
        <v>16470</v>
      </c>
      <c r="AV163" s="50" t="s">
        <v>318</v>
      </c>
      <c r="AW163" s="50" t="s">
        <v>118</v>
      </c>
      <c r="AX163" s="50" t="s">
        <v>104</v>
      </c>
      <c r="AY163" s="50" t="s">
        <v>447</v>
      </c>
      <c r="AZ163" s="50" t="s">
        <v>170</v>
      </c>
      <c r="BA163" s="50" t="s">
        <v>118</v>
      </c>
      <c r="BC163" s="50" t="s">
        <v>120</v>
      </c>
      <c r="BD163" s="50" t="s">
        <v>16471</v>
      </c>
      <c r="BE163" s="50" t="s">
        <v>376</v>
      </c>
      <c r="BF163" s="50" t="s">
        <v>174</v>
      </c>
      <c r="BG163" s="50" t="s">
        <v>376</v>
      </c>
      <c r="BH163" s="50" t="s">
        <v>124</v>
      </c>
      <c r="BI163" s="50" t="s">
        <v>4836</v>
      </c>
      <c r="BJ163" s="50" t="s">
        <v>13208</v>
      </c>
      <c r="BK163" s="50" t="s">
        <v>127</v>
      </c>
      <c r="BL163" s="50" t="s">
        <v>16472</v>
      </c>
      <c r="BM163" s="50" t="s">
        <v>16473</v>
      </c>
      <c r="BN163" s="50" t="s">
        <v>16474</v>
      </c>
      <c r="BO163" s="50" t="s">
        <v>1827</v>
      </c>
      <c r="BP163" s="50" t="s">
        <v>6926</v>
      </c>
      <c r="BQ163" s="50" t="s">
        <v>180</v>
      </c>
      <c r="BR163" s="50" t="s">
        <v>6927</v>
      </c>
      <c r="BS163" s="50" t="s">
        <v>6928</v>
      </c>
      <c r="BT163" s="50" t="s">
        <v>1858</v>
      </c>
      <c r="BV163" s="50" t="s">
        <v>16475</v>
      </c>
      <c r="BW163" s="50" t="s">
        <v>16476</v>
      </c>
      <c r="BX163" s="50" t="s">
        <v>354</v>
      </c>
      <c r="BY163" s="50" t="s">
        <v>16477</v>
      </c>
      <c r="BZ163" s="50" t="s">
        <v>16478</v>
      </c>
      <c r="CA163" s="50" t="s">
        <v>16479</v>
      </c>
      <c r="CB163" s="50" t="s">
        <v>16476</v>
      </c>
      <c r="CC163" s="50" t="s">
        <v>16477</v>
      </c>
      <c r="CD163" s="50" t="s">
        <v>16478</v>
      </c>
      <c r="CE163" s="50" t="s">
        <v>16476</v>
      </c>
      <c r="CF163" s="50" t="s">
        <v>16477</v>
      </c>
      <c r="CG163" s="50" t="s">
        <v>16478</v>
      </c>
      <c r="CH163" s="50" t="s">
        <v>4372</v>
      </c>
      <c r="CI163" s="50" t="s">
        <v>16480</v>
      </c>
      <c r="CK163" s="50" t="s">
        <v>16481</v>
      </c>
      <c r="CL163" s="50" t="s">
        <v>16480</v>
      </c>
      <c r="CM163" s="50" t="s">
        <v>16471</v>
      </c>
      <c r="CN163" s="50" t="s">
        <v>376</v>
      </c>
      <c r="CO163" s="50" t="s">
        <v>16481</v>
      </c>
      <c r="CP163" s="50" t="s">
        <v>16482</v>
      </c>
      <c r="CQ163" s="50" t="s">
        <v>16480</v>
      </c>
      <c r="CR163" s="50" t="s">
        <v>16480</v>
      </c>
    </row>
    <row r="164" spans="1:97" hidden="1">
      <c r="A164" s="50" t="s">
        <v>149</v>
      </c>
      <c r="B164" s="50">
        <v>2473015</v>
      </c>
      <c r="C164" s="50" t="e">
        <f>VLOOKUP(B164,'Drop schools 2026'!B:C,2,0)</f>
        <v>#N/A</v>
      </c>
      <c r="D164" s="50" t="s">
        <v>122</v>
      </c>
      <c r="E164" s="50" t="s">
        <v>11882</v>
      </c>
      <c r="F164" s="50" t="s">
        <v>3617</v>
      </c>
      <c r="G164" s="50" t="str">
        <f>VLOOKUP(B164,aa!B:F,5,0)</f>
        <v>Ei Mindspark</v>
      </c>
      <c r="H164" s="50">
        <f>VLOOKUP(B164,aa!B:J,9,0)</f>
        <v>907672</v>
      </c>
      <c r="I164" s="50">
        <f>VLOOKUP(B164,aa!B:L,11,0)</f>
        <v>0</v>
      </c>
      <c r="J164" s="50">
        <f>VLOOKUP(B164,aa!B:O,14,0)</f>
        <v>0</v>
      </c>
      <c r="K164" s="50">
        <f>VLOOKUP(B164,aa!B:R,17,0)</f>
        <v>907672</v>
      </c>
      <c r="L164" s="50" t="s">
        <v>848</v>
      </c>
      <c r="M164" s="50">
        <v>935254</v>
      </c>
      <c r="N164" s="50">
        <v>1103600</v>
      </c>
      <c r="O164" s="50">
        <v>0</v>
      </c>
      <c r="P164" s="50">
        <v>0</v>
      </c>
      <c r="R164" s="50">
        <v>0</v>
      </c>
      <c r="S164" s="50">
        <v>0</v>
      </c>
      <c r="U164" s="50">
        <v>935254</v>
      </c>
      <c r="V164" s="50">
        <v>390</v>
      </c>
      <c r="W164" s="50" t="s">
        <v>14168</v>
      </c>
      <c r="X164" s="50" t="s">
        <v>102</v>
      </c>
      <c r="Y164" s="50" t="s">
        <v>103</v>
      </c>
      <c r="Z164" s="50" t="s">
        <v>155</v>
      </c>
      <c r="AB164" s="50" t="s">
        <v>6341</v>
      </c>
      <c r="AC164" s="50" t="s">
        <v>14169</v>
      </c>
      <c r="AD164" s="50" t="s">
        <v>11976</v>
      </c>
      <c r="AE164" s="50" t="s">
        <v>14169</v>
      </c>
      <c r="AF164" s="50" t="s">
        <v>11888</v>
      </c>
      <c r="AG164" s="50" t="s">
        <v>14169</v>
      </c>
      <c r="AH164" s="50" t="s">
        <v>12084</v>
      </c>
      <c r="AI164" s="50" t="s">
        <v>14169</v>
      </c>
      <c r="AJ164" s="50" t="s">
        <v>14170</v>
      </c>
      <c r="AK164" s="50" t="s">
        <v>13496</v>
      </c>
      <c r="AL164" s="50" t="s">
        <v>6895</v>
      </c>
      <c r="AM164" s="50" t="s">
        <v>14171</v>
      </c>
      <c r="AN164" s="50" t="s">
        <v>14172</v>
      </c>
      <c r="AO164" s="50" t="s">
        <v>14173</v>
      </c>
      <c r="AP164" s="50" t="s">
        <v>14174</v>
      </c>
      <c r="AQ164" s="50" t="s">
        <v>14175</v>
      </c>
      <c r="AU164" s="50" t="s">
        <v>169</v>
      </c>
      <c r="AV164" s="50" t="s">
        <v>102</v>
      </c>
      <c r="AX164" s="50" t="s">
        <v>102</v>
      </c>
      <c r="AY164" s="50" t="s">
        <v>119</v>
      </c>
      <c r="BB164" s="50" t="s">
        <v>250</v>
      </c>
      <c r="BC164" s="50" t="s">
        <v>120</v>
      </c>
      <c r="BD164" s="50" t="s">
        <v>2840</v>
      </c>
      <c r="BE164" s="50" t="s">
        <v>449</v>
      </c>
      <c r="BF164" s="50" t="s">
        <v>122</v>
      </c>
      <c r="BG164" s="50" t="s">
        <v>253</v>
      </c>
      <c r="BH164" s="50" t="s">
        <v>124</v>
      </c>
      <c r="BI164" s="50" t="s">
        <v>12023</v>
      </c>
      <c r="BJ164" s="50" t="s">
        <v>11889</v>
      </c>
      <c r="BK164" s="50" t="s">
        <v>127</v>
      </c>
      <c r="BL164" s="50" t="s">
        <v>14176</v>
      </c>
      <c r="BM164" s="50" t="s">
        <v>3628</v>
      </c>
      <c r="BN164" s="50" t="s">
        <v>14177</v>
      </c>
      <c r="BO164" s="50" t="s">
        <v>12023</v>
      </c>
      <c r="BP164" s="50" t="s">
        <v>3267</v>
      </c>
      <c r="BQ164" s="50" t="s">
        <v>350</v>
      </c>
      <c r="BR164" s="50" t="s">
        <v>3268</v>
      </c>
      <c r="BS164" s="50" t="s">
        <v>3269</v>
      </c>
      <c r="BT164" s="50" t="s">
        <v>135</v>
      </c>
      <c r="BV164" s="50" t="s">
        <v>14178</v>
      </c>
      <c r="BW164" s="50" t="s">
        <v>14179</v>
      </c>
      <c r="BX164" s="50" t="s">
        <v>598</v>
      </c>
      <c r="BY164" s="50" t="s">
        <v>14180</v>
      </c>
      <c r="BZ164" s="50" t="s">
        <v>3633</v>
      </c>
      <c r="CA164" s="50" t="s">
        <v>3634</v>
      </c>
      <c r="CB164" s="50" t="s">
        <v>14181</v>
      </c>
      <c r="CC164" s="50" t="s">
        <v>3634</v>
      </c>
      <c r="CD164" s="50" t="s">
        <v>3633</v>
      </c>
      <c r="CE164" s="50" t="s">
        <v>14181</v>
      </c>
      <c r="CF164" s="50" t="s">
        <v>3634</v>
      </c>
      <c r="CG164" s="50" t="s">
        <v>3633</v>
      </c>
      <c r="CH164" s="50" t="s">
        <v>102</v>
      </c>
      <c r="CI164" s="50" t="s">
        <v>14182</v>
      </c>
      <c r="CK164" s="50" t="s">
        <v>2855</v>
      </c>
      <c r="CM164" s="50" t="s">
        <v>2840</v>
      </c>
      <c r="CN164" s="50" t="s">
        <v>449</v>
      </c>
      <c r="CO164" s="50" t="s">
        <v>2855</v>
      </c>
      <c r="CP164" s="50" t="s">
        <v>3637</v>
      </c>
      <c r="CQ164" s="50" t="s">
        <v>3638</v>
      </c>
      <c r="CR164" s="50" t="s">
        <v>3636</v>
      </c>
    </row>
    <row r="165" spans="1:97" hidden="1">
      <c r="A165" s="50" t="s">
        <v>149</v>
      </c>
      <c r="B165" s="50">
        <v>2379270</v>
      </c>
      <c r="C165" s="50" t="e">
        <f>VLOOKUP(B165,'Drop schools 2026'!B:C,2,0)</f>
        <v>#N/A</v>
      </c>
      <c r="D165" s="50" t="s">
        <v>212</v>
      </c>
      <c r="E165" s="50" t="s">
        <v>11947</v>
      </c>
      <c r="F165" s="50" t="s">
        <v>3093</v>
      </c>
      <c r="G165" s="50" t="str">
        <f>VLOOKUP(B165,aa!B:F,5,0)</f>
        <v>Ei ASSET,Ei Mindspark</v>
      </c>
      <c r="H165" s="50">
        <f>VLOOKUP(B165,aa!B:J,9,0)</f>
        <v>0</v>
      </c>
      <c r="I165" s="50">
        <f>VLOOKUP(B165,aa!B:L,11,0)</f>
        <v>0</v>
      </c>
      <c r="J165" s="50">
        <f>VLOOKUP(B165,aa!B:O,14,0)</f>
        <v>0</v>
      </c>
      <c r="K165" s="50">
        <f>VLOOKUP(B165,aa!B:R,17,0)</f>
        <v>0</v>
      </c>
      <c r="L165" s="50" t="s">
        <v>193</v>
      </c>
      <c r="M165" s="50">
        <v>933556</v>
      </c>
      <c r="N165" s="50">
        <v>1048312</v>
      </c>
      <c r="O165" s="50">
        <v>296024</v>
      </c>
      <c r="P165" s="50">
        <v>952</v>
      </c>
      <c r="Q165" s="50" t="s">
        <v>195</v>
      </c>
      <c r="R165" s="50">
        <v>0</v>
      </c>
      <c r="S165" s="50">
        <v>0</v>
      </c>
      <c r="U165" s="50">
        <v>637532</v>
      </c>
      <c r="V165" s="50">
        <v>1003</v>
      </c>
      <c r="W165" s="50" t="s">
        <v>11949</v>
      </c>
      <c r="X165" s="50" t="s">
        <v>102</v>
      </c>
      <c r="Y165" s="50" t="s">
        <v>103</v>
      </c>
      <c r="Z165" s="50" t="s">
        <v>104</v>
      </c>
      <c r="AB165" s="50" t="s">
        <v>11950</v>
      </c>
      <c r="AC165" s="50" t="s">
        <v>13791</v>
      </c>
      <c r="AD165" s="50" t="s">
        <v>11952</v>
      </c>
      <c r="AE165" s="50" t="s">
        <v>13791</v>
      </c>
      <c r="AF165" s="50" t="s">
        <v>109</v>
      </c>
      <c r="AG165" s="50" t="s">
        <v>102</v>
      </c>
      <c r="AH165" s="50" t="s">
        <v>109</v>
      </c>
      <c r="AI165" s="50" t="s">
        <v>102</v>
      </c>
      <c r="AJ165" s="50" t="s">
        <v>13792</v>
      </c>
      <c r="AK165" s="50" t="s">
        <v>11954</v>
      </c>
      <c r="AL165" s="50" t="s">
        <v>11954</v>
      </c>
      <c r="AM165" s="50" t="s">
        <v>13793</v>
      </c>
      <c r="AN165" s="50" t="s">
        <v>13794</v>
      </c>
      <c r="AO165" s="50" t="s">
        <v>13795</v>
      </c>
      <c r="AP165" s="50" t="s">
        <v>11958</v>
      </c>
      <c r="AQ165" s="50" t="s">
        <v>11958</v>
      </c>
      <c r="AV165" s="50" t="s">
        <v>207</v>
      </c>
      <c r="AW165" s="50" t="s">
        <v>118</v>
      </c>
      <c r="AX165" s="50" t="s">
        <v>102</v>
      </c>
      <c r="AY165" s="50" t="s">
        <v>119</v>
      </c>
      <c r="BB165" s="50" t="s">
        <v>250</v>
      </c>
      <c r="BC165" s="50" t="s">
        <v>120</v>
      </c>
      <c r="BD165" s="50" t="s">
        <v>920</v>
      </c>
      <c r="BE165" s="50" t="s">
        <v>211</v>
      </c>
      <c r="BF165" s="50" t="s">
        <v>212</v>
      </c>
      <c r="BG165" s="50" t="s">
        <v>213</v>
      </c>
      <c r="BH165" s="50" t="s">
        <v>124</v>
      </c>
      <c r="BI165" s="50" t="s">
        <v>11959</v>
      </c>
      <c r="BJ165" s="50" t="s">
        <v>11960</v>
      </c>
      <c r="BK165" s="50" t="s">
        <v>127</v>
      </c>
      <c r="BL165" s="50" t="s">
        <v>13796</v>
      </c>
      <c r="BM165" s="50" t="s">
        <v>3101</v>
      </c>
      <c r="BN165" s="50" t="s">
        <v>13797</v>
      </c>
      <c r="BO165" s="50" t="s">
        <v>11948</v>
      </c>
      <c r="BP165" s="50" t="s">
        <v>1880</v>
      </c>
      <c r="BQ165" s="50" t="s">
        <v>180</v>
      </c>
      <c r="BR165" s="50" t="s">
        <v>1882</v>
      </c>
      <c r="BS165" s="50" t="s">
        <v>1883</v>
      </c>
      <c r="BT165" s="50" t="s">
        <v>222</v>
      </c>
      <c r="BV165" s="50" t="s">
        <v>13798</v>
      </c>
      <c r="BW165" s="50" t="s">
        <v>224</v>
      </c>
      <c r="BX165" s="50" t="s">
        <v>138</v>
      </c>
      <c r="BY165" s="50" t="s">
        <v>225</v>
      </c>
      <c r="BZ165" s="50" t="s">
        <v>226</v>
      </c>
      <c r="CA165" s="50" t="s">
        <v>3104</v>
      </c>
      <c r="CB165" s="50" t="s">
        <v>13799</v>
      </c>
      <c r="CC165" s="50" t="s">
        <v>13800</v>
      </c>
      <c r="CD165" s="50" t="s">
        <v>13801</v>
      </c>
      <c r="CE165" s="50" t="s">
        <v>13802</v>
      </c>
      <c r="CF165" s="50" t="s">
        <v>13803</v>
      </c>
      <c r="CG165" s="50" t="s">
        <v>13801</v>
      </c>
      <c r="CH165" s="50" t="s">
        <v>102</v>
      </c>
      <c r="CI165" s="50" t="s">
        <v>3105</v>
      </c>
      <c r="CK165" s="50" t="s">
        <v>3106</v>
      </c>
      <c r="CM165" s="50" t="s">
        <v>920</v>
      </c>
      <c r="CN165" s="50" t="s">
        <v>211</v>
      </c>
      <c r="CO165" s="50" t="s">
        <v>3106</v>
      </c>
      <c r="CP165" s="50" t="s">
        <v>230</v>
      </c>
      <c r="CQ165" s="50" t="s">
        <v>3105</v>
      </c>
      <c r="CR165" s="50" t="s">
        <v>3105</v>
      </c>
    </row>
    <row r="166" spans="1:97" hidden="1">
      <c r="A166" s="50" t="s">
        <v>149</v>
      </c>
      <c r="B166" s="50">
        <v>532393</v>
      </c>
      <c r="C166" s="50" t="e">
        <f>VLOOKUP(B166,'Drop schools 2026'!B:C,2,0)</f>
        <v>#N/A</v>
      </c>
      <c r="D166" s="50" t="s">
        <v>122</v>
      </c>
      <c r="E166" s="50" t="s">
        <v>11898</v>
      </c>
      <c r="F166" s="50" t="s">
        <v>10986</v>
      </c>
      <c r="G166" s="50" t="str">
        <f>VLOOKUP(B166,aa!B:F,5,0)</f>
        <v>Ei ASSET,Ei CARES</v>
      </c>
      <c r="H166" s="50">
        <f>VLOOKUP(B166,aa!B:J,9,0)</f>
        <v>999095</v>
      </c>
      <c r="I166" s="50">
        <f>VLOOKUP(B166,aa!B:L,11,0)</f>
        <v>147892</v>
      </c>
      <c r="J166" s="50">
        <f>VLOOKUP(B166,aa!B:O,14,0)</f>
        <v>851203</v>
      </c>
      <c r="K166" s="50">
        <f>VLOOKUP(B166,aa!B:R,17,0)</f>
        <v>0</v>
      </c>
      <c r="L166" s="50" t="s">
        <v>152</v>
      </c>
      <c r="M166" s="50">
        <v>932467</v>
      </c>
      <c r="N166" s="50">
        <v>932467</v>
      </c>
      <c r="O166" s="50">
        <v>0</v>
      </c>
      <c r="P166" s="50">
        <v>0</v>
      </c>
      <c r="R166" s="50">
        <v>932467</v>
      </c>
      <c r="S166" s="50">
        <v>666</v>
      </c>
      <c r="T166" s="50" t="s">
        <v>4289</v>
      </c>
      <c r="U166" s="50">
        <v>0</v>
      </c>
      <c r="V166" s="50">
        <v>0</v>
      </c>
      <c r="X166" s="50" t="s">
        <v>102</v>
      </c>
      <c r="Y166" s="50" t="s">
        <v>103</v>
      </c>
      <c r="Z166" s="50" t="s">
        <v>155</v>
      </c>
      <c r="AB166" s="50" t="s">
        <v>1305</v>
      </c>
      <c r="AC166" s="50" t="s">
        <v>21060</v>
      </c>
      <c r="AD166" s="50" t="s">
        <v>13033</v>
      </c>
      <c r="AE166" s="50" t="s">
        <v>21060</v>
      </c>
      <c r="AF166" s="50" t="s">
        <v>13034</v>
      </c>
      <c r="AG166" s="50" t="s">
        <v>21060</v>
      </c>
      <c r="AH166" s="50" t="s">
        <v>11952</v>
      </c>
      <c r="AI166" s="50" t="s">
        <v>21060</v>
      </c>
      <c r="AJ166" s="50" t="s">
        <v>21061</v>
      </c>
      <c r="AK166" s="50" t="s">
        <v>17126</v>
      </c>
      <c r="AL166" s="50" t="s">
        <v>15141</v>
      </c>
      <c r="AM166" s="50" t="s">
        <v>21062</v>
      </c>
      <c r="AN166" s="50" t="s">
        <v>21063</v>
      </c>
      <c r="AO166" s="50" t="s">
        <v>21064</v>
      </c>
      <c r="AP166" s="50" t="s">
        <v>4298</v>
      </c>
      <c r="AQ166" s="50" t="s">
        <v>4298</v>
      </c>
      <c r="AV166" s="50" t="s">
        <v>102</v>
      </c>
      <c r="AX166" s="50" t="s">
        <v>155</v>
      </c>
      <c r="AY166" s="50" t="s">
        <v>447</v>
      </c>
      <c r="AZ166" s="50" t="s">
        <v>170</v>
      </c>
      <c r="BA166" s="50" t="s">
        <v>118</v>
      </c>
      <c r="BC166" s="50" t="s">
        <v>120</v>
      </c>
      <c r="BD166" s="50" t="s">
        <v>10993</v>
      </c>
      <c r="BE166" s="50" t="s">
        <v>320</v>
      </c>
      <c r="BF166" s="50" t="s">
        <v>122</v>
      </c>
      <c r="BG166" s="50" t="s">
        <v>123</v>
      </c>
      <c r="BH166" s="50" t="s">
        <v>124</v>
      </c>
      <c r="BI166" s="50" t="s">
        <v>12023</v>
      </c>
      <c r="BJ166" s="50" t="s">
        <v>11889</v>
      </c>
      <c r="BK166" s="50" t="s">
        <v>127</v>
      </c>
      <c r="BL166" s="50" t="s">
        <v>21065</v>
      </c>
      <c r="BM166" s="50" t="s">
        <v>10995</v>
      </c>
      <c r="BN166" s="50" t="s">
        <v>21066</v>
      </c>
      <c r="BO166" s="50" t="s">
        <v>3993</v>
      </c>
      <c r="BP166" s="50" t="s">
        <v>593</v>
      </c>
      <c r="BQ166" s="50" t="s">
        <v>132</v>
      </c>
      <c r="BR166" s="50" t="s">
        <v>594</v>
      </c>
      <c r="BS166" s="50" t="s">
        <v>595</v>
      </c>
      <c r="BT166" s="50" t="s">
        <v>261</v>
      </c>
      <c r="BV166" s="50" t="s">
        <v>21067</v>
      </c>
      <c r="BW166" s="50" t="s">
        <v>10998</v>
      </c>
      <c r="BX166" s="50" t="s">
        <v>354</v>
      </c>
      <c r="BY166" s="50" t="s">
        <v>10999</v>
      </c>
      <c r="BZ166" s="50" t="s">
        <v>11000</v>
      </c>
      <c r="CA166" s="50" t="s">
        <v>11001</v>
      </c>
      <c r="CB166" s="50" t="s">
        <v>10998</v>
      </c>
      <c r="CC166" s="50" t="s">
        <v>11001</v>
      </c>
      <c r="CD166" s="50" t="s">
        <v>11000</v>
      </c>
      <c r="CE166" s="50" t="s">
        <v>11004</v>
      </c>
      <c r="CF166" s="50" t="s">
        <v>21068</v>
      </c>
      <c r="CG166" s="50" t="s">
        <v>11005</v>
      </c>
      <c r="CH166" s="50" t="s">
        <v>11006</v>
      </c>
      <c r="CI166" s="50" t="s">
        <v>21069</v>
      </c>
      <c r="CK166" s="50" t="s">
        <v>11008</v>
      </c>
      <c r="CL166" s="50" t="s">
        <v>21070</v>
      </c>
      <c r="CM166" s="50" t="s">
        <v>10993</v>
      </c>
      <c r="CN166" s="50" t="s">
        <v>320</v>
      </c>
      <c r="CO166" s="50" t="s">
        <v>11008</v>
      </c>
      <c r="CP166" s="50" t="s">
        <v>11009</v>
      </c>
      <c r="CQ166" s="50" t="s">
        <v>11007</v>
      </c>
      <c r="CR166" s="50" t="s">
        <v>11007</v>
      </c>
    </row>
    <row r="167" spans="1:97" hidden="1">
      <c r="A167" s="50" t="s">
        <v>93</v>
      </c>
      <c r="B167" s="50">
        <v>5017812</v>
      </c>
      <c r="C167" s="50" t="str">
        <f>VLOOKUP(B167,'Drop schools 2026'!B:C,2,0)</f>
        <v>Drop</v>
      </c>
      <c r="D167" s="50" t="s">
        <v>174</v>
      </c>
      <c r="E167" s="50" t="s">
        <v>16575</v>
      </c>
      <c r="F167" s="50" t="s">
        <v>10240</v>
      </c>
      <c r="G167" s="50" t="e">
        <f>VLOOKUP(B167,aa!B:F,5,0)</f>
        <v>#N/A</v>
      </c>
      <c r="H167" s="50" t="e">
        <f>VLOOKUP(B167,aa!B:J,9,0)</f>
        <v>#N/A</v>
      </c>
      <c r="I167" s="50" t="e">
        <f>VLOOKUP(B167,aa!B:L,11,0)</f>
        <v>#N/A</v>
      </c>
      <c r="J167" s="50" t="e">
        <f>VLOOKUP(B167,aa!B:O,14,0)</f>
        <v>#N/A</v>
      </c>
      <c r="K167" s="50" t="e">
        <f>VLOOKUP(B167,aa!B:R,17,0)</f>
        <v>#N/A</v>
      </c>
      <c r="L167" s="50" t="s">
        <v>2163</v>
      </c>
      <c r="M167" s="50">
        <v>930446</v>
      </c>
      <c r="N167" s="50">
        <v>1067741</v>
      </c>
      <c r="O167" s="50">
        <v>75294</v>
      </c>
      <c r="P167" s="50">
        <v>94</v>
      </c>
      <c r="Q167" s="50" t="s">
        <v>19169</v>
      </c>
      <c r="R167" s="50">
        <v>92402</v>
      </c>
      <c r="S167" s="50">
        <v>77</v>
      </c>
      <c r="T167" s="50" t="s">
        <v>880</v>
      </c>
      <c r="U167" s="50">
        <v>762750</v>
      </c>
      <c r="V167" s="50">
        <v>250</v>
      </c>
      <c r="W167" s="50" t="s">
        <v>1652</v>
      </c>
      <c r="X167" s="50" t="s">
        <v>102</v>
      </c>
      <c r="Y167" s="50" t="s">
        <v>103</v>
      </c>
      <c r="Z167" s="50" t="s">
        <v>938</v>
      </c>
      <c r="AB167" s="50" t="s">
        <v>16918</v>
      </c>
      <c r="AC167" s="50" t="s">
        <v>19170</v>
      </c>
      <c r="AD167" s="50" t="s">
        <v>11976</v>
      </c>
      <c r="AE167" s="50" t="s">
        <v>19170</v>
      </c>
      <c r="AF167" s="50" t="s">
        <v>5651</v>
      </c>
      <c r="AG167" s="50" t="s">
        <v>19171</v>
      </c>
      <c r="AH167" s="50" t="s">
        <v>12595</v>
      </c>
      <c r="AI167" s="50" t="s">
        <v>19172</v>
      </c>
      <c r="AJ167" s="50" t="s">
        <v>19173</v>
      </c>
      <c r="AK167" s="50" t="s">
        <v>4813</v>
      </c>
      <c r="AL167" s="50" t="s">
        <v>19174</v>
      </c>
      <c r="AM167" s="50" t="s">
        <v>19175</v>
      </c>
      <c r="AN167" s="50" t="s">
        <v>19176</v>
      </c>
      <c r="AO167" s="50" t="s">
        <v>19177</v>
      </c>
      <c r="AP167" s="50" t="s">
        <v>19178</v>
      </c>
      <c r="AQ167" s="50" t="s">
        <v>19178</v>
      </c>
      <c r="AV167" s="50" t="s">
        <v>247</v>
      </c>
      <c r="AW167" s="50" t="s">
        <v>118</v>
      </c>
      <c r="AX167" s="50" t="s">
        <v>1103</v>
      </c>
      <c r="AY167" s="50" t="s">
        <v>249</v>
      </c>
      <c r="AZ167" s="50" t="s">
        <v>170</v>
      </c>
      <c r="BA167" s="50" t="s">
        <v>118</v>
      </c>
      <c r="BB167" s="50" t="s">
        <v>250</v>
      </c>
      <c r="BC167" s="50" t="s">
        <v>120</v>
      </c>
      <c r="BD167" s="50" t="s">
        <v>375</v>
      </c>
      <c r="BE167" s="50" t="s">
        <v>376</v>
      </c>
      <c r="BF167" s="50" t="s">
        <v>174</v>
      </c>
      <c r="BG167" s="50" t="s">
        <v>376</v>
      </c>
      <c r="BH167" s="50" t="s">
        <v>124</v>
      </c>
      <c r="BI167" s="50" t="s">
        <v>19179</v>
      </c>
      <c r="BJ167" s="50" t="s">
        <v>19180</v>
      </c>
      <c r="BK167" s="50" t="s">
        <v>127</v>
      </c>
      <c r="BL167" s="50" t="s">
        <v>19181</v>
      </c>
      <c r="BM167" s="50" t="s">
        <v>10250</v>
      </c>
      <c r="BN167" s="50" t="s">
        <v>19182</v>
      </c>
      <c r="BO167" s="50" t="s">
        <v>12100</v>
      </c>
      <c r="BP167" s="50" t="s">
        <v>6926</v>
      </c>
      <c r="BQ167" s="50" t="s">
        <v>180</v>
      </c>
      <c r="BR167" s="50" t="s">
        <v>6927</v>
      </c>
      <c r="BS167" s="50" t="s">
        <v>6928</v>
      </c>
      <c r="BT167" s="50" t="s">
        <v>1858</v>
      </c>
      <c r="BU167" s="50" t="s">
        <v>5534</v>
      </c>
      <c r="BV167" s="50" t="s">
        <v>19183</v>
      </c>
      <c r="BW167" s="50" t="s">
        <v>19184</v>
      </c>
      <c r="BX167" s="50" t="s">
        <v>354</v>
      </c>
      <c r="BY167" s="50" t="s">
        <v>16589</v>
      </c>
      <c r="BZ167" s="50" t="s">
        <v>16590</v>
      </c>
      <c r="CA167" s="50" t="s">
        <v>6802</v>
      </c>
      <c r="CB167" s="50" t="s">
        <v>19184</v>
      </c>
      <c r="CC167" s="50" t="s">
        <v>16589</v>
      </c>
      <c r="CD167" s="50" t="s">
        <v>16590</v>
      </c>
      <c r="CE167" s="50" t="s">
        <v>19184</v>
      </c>
      <c r="CF167" s="50" t="s">
        <v>16589</v>
      </c>
      <c r="CG167" s="50" t="s">
        <v>16590</v>
      </c>
      <c r="CH167" s="50" t="s">
        <v>10258</v>
      </c>
      <c r="CI167" s="50" t="s">
        <v>10259</v>
      </c>
      <c r="CK167" s="50" t="s">
        <v>10260</v>
      </c>
      <c r="CL167" s="50" t="s">
        <v>10259</v>
      </c>
      <c r="CM167" s="50" t="s">
        <v>375</v>
      </c>
      <c r="CN167" s="50" t="s">
        <v>376</v>
      </c>
      <c r="CO167" s="50" t="s">
        <v>10260</v>
      </c>
      <c r="CP167" s="50" t="s">
        <v>6808</v>
      </c>
      <c r="CQ167" s="50" t="s">
        <v>10259</v>
      </c>
      <c r="CR167" s="50" t="s">
        <v>10259</v>
      </c>
      <c r="CS167" s="50" t="s">
        <v>26043</v>
      </c>
    </row>
    <row r="168" spans="1:97" hidden="1">
      <c r="A168" s="50" t="s">
        <v>337</v>
      </c>
      <c r="B168" s="50">
        <v>5052054</v>
      </c>
      <c r="C168" s="50" t="e">
        <f>VLOOKUP(B168,'Drop schools 2026'!B:C,2,0)</f>
        <v>#N/A</v>
      </c>
      <c r="D168" s="50" t="s">
        <v>622</v>
      </c>
      <c r="E168" s="50" t="s">
        <v>632</v>
      </c>
      <c r="F168" s="50" t="s">
        <v>20537</v>
      </c>
      <c r="G168" s="50" t="e">
        <f>VLOOKUP(B168,aa!B:F,5,0)</f>
        <v>#N/A</v>
      </c>
      <c r="H168" s="50" t="e">
        <f>VLOOKUP(B168,aa!B:J,9,0)</f>
        <v>#N/A</v>
      </c>
      <c r="I168" s="50" t="e">
        <f>VLOOKUP(B168,aa!B:L,11,0)</f>
        <v>#N/A</v>
      </c>
      <c r="J168" s="50" t="e">
        <f>VLOOKUP(B168,aa!B:O,14,0)</f>
        <v>#N/A</v>
      </c>
      <c r="K168" s="50" t="e">
        <f>VLOOKUP(B168,aa!B:R,17,0)</f>
        <v>#N/A</v>
      </c>
      <c r="L168" s="50" t="s">
        <v>97</v>
      </c>
      <c r="M168" s="50">
        <v>926886</v>
      </c>
      <c r="N168" s="50">
        <v>926886</v>
      </c>
      <c r="O168" s="50">
        <v>926886</v>
      </c>
      <c r="P168" s="50">
        <v>1426</v>
      </c>
      <c r="Q168" s="50" t="s">
        <v>1122</v>
      </c>
      <c r="R168" s="50">
        <v>0</v>
      </c>
      <c r="S168" s="50">
        <v>0</v>
      </c>
      <c r="U168" s="50">
        <v>0</v>
      </c>
      <c r="V168" s="50">
        <v>0</v>
      </c>
      <c r="X168" s="50" t="s">
        <v>102</v>
      </c>
      <c r="Y168" s="50" t="s">
        <v>275</v>
      </c>
      <c r="AA168" s="50" t="s">
        <v>17874</v>
      </c>
      <c r="AB168" s="50" t="s">
        <v>109</v>
      </c>
      <c r="AC168" s="50" t="s">
        <v>102</v>
      </c>
      <c r="AD168" s="50" t="s">
        <v>109</v>
      </c>
      <c r="AE168" s="50" t="s">
        <v>102</v>
      </c>
      <c r="AF168" s="50" t="s">
        <v>109</v>
      </c>
      <c r="AG168" s="50" t="s">
        <v>102</v>
      </c>
      <c r="AH168" s="50" t="s">
        <v>109</v>
      </c>
      <c r="AI168" s="50" t="s">
        <v>102</v>
      </c>
      <c r="AJ168" s="50" t="s">
        <v>102</v>
      </c>
      <c r="AM168" s="50" t="s">
        <v>20538</v>
      </c>
      <c r="AN168" s="50" t="s">
        <v>102</v>
      </c>
      <c r="AO168" s="50" t="s">
        <v>20538</v>
      </c>
      <c r="AP168" s="50" t="s">
        <v>20539</v>
      </c>
      <c r="AQ168" s="50" t="s">
        <v>20539</v>
      </c>
      <c r="AV168" s="50" t="s">
        <v>117</v>
      </c>
      <c r="AW168" s="50" t="s">
        <v>118</v>
      </c>
      <c r="AX168" s="50" t="s">
        <v>102</v>
      </c>
      <c r="AY168" s="50" t="s">
        <v>119</v>
      </c>
      <c r="BA168" s="50" t="s">
        <v>118</v>
      </c>
      <c r="BC168" s="50" t="s">
        <v>1964</v>
      </c>
      <c r="BD168" s="50" t="s">
        <v>623</v>
      </c>
      <c r="BE168" s="50" t="s">
        <v>621</v>
      </c>
      <c r="BF168" s="50" t="s">
        <v>622</v>
      </c>
      <c r="BG168" s="50" t="s">
        <v>623</v>
      </c>
      <c r="BH168" s="50" t="s">
        <v>124</v>
      </c>
      <c r="BI168" s="50" t="s">
        <v>9460</v>
      </c>
      <c r="BJ168" s="50" t="s">
        <v>1427</v>
      </c>
      <c r="BK168" s="50" t="s">
        <v>127</v>
      </c>
      <c r="BL168" s="50" t="s">
        <v>20540</v>
      </c>
      <c r="BM168" s="50" t="s">
        <v>20541</v>
      </c>
      <c r="BN168" s="50" t="s">
        <v>20542</v>
      </c>
      <c r="BO168" s="50" t="s">
        <v>8258</v>
      </c>
      <c r="BP168" s="50" t="s">
        <v>2284</v>
      </c>
      <c r="BQ168" s="50" t="s">
        <v>132</v>
      </c>
      <c r="BR168" s="50" t="s">
        <v>2285</v>
      </c>
      <c r="BS168" s="50" t="s">
        <v>2286</v>
      </c>
      <c r="BT168" s="50" t="s">
        <v>1342</v>
      </c>
      <c r="BV168" s="50" t="s">
        <v>20543</v>
      </c>
      <c r="BW168" s="50" t="s">
        <v>20544</v>
      </c>
      <c r="BX168" s="50" t="s">
        <v>138</v>
      </c>
      <c r="BY168" s="50" t="s">
        <v>20545</v>
      </c>
      <c r="BZ168" s="50" t="s">
        <v>20546</v>
      </c>
      <c r="CA168" s="50" t="s">
        <v>20547</v>
      </c>
      <c r="CB168" s="50" t="s">
        <v>20548</v>
      </c>
      <c r="CC168" s="50" t="s">
        <v>20545</v>
      </c>
      <c r="CD168" s="50" t="s">
        <v>20546</v>
      </c>
      <c r="CE168" s="50" t="s">
        <v>20548</v>
      </c>
      <c r="CF168" s="50" t="s">
        <v>20545</v>
      </c>
      <c r="CG168" s="50" t="s">
        <v>20546</v>
      </c>
      <c r="CH168" s="50" t="s">
        <v>9607</v>
      </c>
      <c r="CI168" s="50" t="s">
        <v>20549</v>
      </c>
      <c r="CK168" s="50" t="s">
        <v>20550</v>
      </c>
      <c r="CL168" s="50" t="s">
        <v>20549</v>
      </c>
      <c r="CM168" s="50" t="s">
        <v>623</v>
      </c>
      <c r="CN168" s="50" t="s">
        <v>621</v>
      </c>
      <c r="CO168" s="50" t="s">
        <v>20550</v>
      </c>
      <c r="CQ168" s="50" t="s">
        <v>20549</v>
      </c>
      <c r="CR168" s="50" t="s">
        <v>20549</v>
      </c>
    </row>
    <row r="169" spans="1:97" hidden="1">
      <c r="A169" s="50" t="s">
        <v>337</v>
      </c>
      <c r="B169" s="50">
        <v>3989841</v>
      </c>
      <c r="C169" s="50" t="str">
        <f>VLOOKUP(B169,RISK!B:C,2,0)</f>
        <v>Risk</v>
      </c>
      <c r="D169" s="50" t="s">
        <v>174</v>
      </c>
      <c r="E169" s="50" t="s">
        <v>12155</v>
      </c>
      <c r="F169" s="50" t="s">
        <v>17456</v>
      </c>
      <c r="G169" s="50" t="e">
        <f>VLOOKUP(B169,aa!B:F,5,0)</f>
        <v>#N/A</v>
      </c>
      <c r="H169" s="50" t="e">
        <f>VLOOKUP(B169,aa!B:J,9,0)</f>
        <v>#N/A</v>
      </c>
      <c r="I169" s="50" t="e">
        <f>VLOOKUP(B169,aa!B:L,11,0)</f>
        <v>#N/A</v>
      </c>
      <c r="J169" s="50" t="e">
        <f>VLOOKUP(B169,aa!B:O,14,0)</f>
        <v>#N/A</v>
      </c>
      <c r="K169" s="50" t="e">
        <f>VLOOKUP(B169,aa!B:R,17,0)</f>
        <v>#N/A</v>
      </c>
      <c r="L169" s="50" t="s">
        <v>152</v>
      </c>
      <c r="M169" s="50">
        <v>910315</v>
      </c>
      <c r="N169" s="50">
        <v>910315</v>
      </c>
      <c r="O169" s="50">
        <v>0</v>
      </c>
      <c r="P169" s="50">
        <v>0</v>
      </c>
      <c r="R169" s="50">
        <v>910315</v>
      </c>
      <c r="S169" s="50">
        <v>569</v>
      </c>
      <c r="T169" s="50" t="s">
        <v>678</v>
      </c>
      <c r="U169" s="50">
        <v>0</v>
      </c>
      <c r="V169" s="50">
        <v>0</v>
      </c>
      <c r="X169" s="50" t="s">
        <v>102</v>
      </c>
      <c r="Y169" s="50" t="s">
        <v>103</v>
      </c>
      <c r="Z169" s="50" t="s">
        <v>155</v>
      </c>
      <c r="AB169" s="50" t="s">
        <v>6341</v>
      </c>
      <c r="AC169" s="50" t="s">
        <v>17457</v>
      </c>
      <c r="AD169" s="50" t="s">
        <v>12923</v>
      </c>
      <c r="AE169" s="50" t="s">
        <v>17457</v>
      </c>
      <c r="AF169" s="50" t="s">
        <v>11888</v>
      </c>
      <c r="AG169" s="50" t="s">
        <v>17457</v>
      </c>
      <c r="AH169" s="50" t="s">
        <v>12084</v>
      </c>
      <c r="AI169" s="50" t="s">
        <v>17457</v>
      </c>
      <c r="AJ169" s="50" t="s">
        <v>17458</v>
      </c>
      <c r="AK169" s="50" t="s">
        <v>12494</v>
      </c>
      <c r="AL169" s="50" t="s">
        <v>17126</v>
      </c>
      <c r="AM169" s="50" t="s">
        <v>17459</v>
      </c>
      <c r="AN169" s="50" t="s">
        <v>17460</v>
      </c>
      <c r="AO169" s="50" t="s">
        <v>17461</v>
      </c>
      <c r="AP169" s="50" t="s">
        <v>17462</v>
      </c>
      <c r="AQ169" s="50" t="s">
        <v>17462</v>
      </c>
      <c r="AV169" s="50" t="s">
        <v>102</v>
      </c>
      <c r="AX169" s="50" t="s">
        <v>155</v>
      </c>
      <c r="AY169" s="50" t="s">
        <v>447</v>
      </c>
      <c r="AZ169" s="50" t="s">
        <v>170</v>
      </c>
      <c r="BA169" s="50" t="s">
        <v>118</v>
      </c>
      <c r="BC169" s="50" t="s">
        <v>120</v>
      </c>
      <c r="BD169" s="50" t="s">
        <v>17463</v>
      </c>
      <c r="BE169" s="50" t="s">
        <v>173</v>
      </c>
      <c r="BF169" s="50" t="s">
        <v>174</v>
      </c>
      <c r="BG169" s="50" t="s">
        <v>173</v>
      </c>
      <c r="BH169" s="50" t="s">
        <v>124</v>
      </c>
      <c r="BI169" s="50" t="s">
        <v>12023</v>
      </c>
      <c r="BJ169" s="50" t="s">
        <v>11889</v>
      </c>
      <c r="BK169" s="50" t="s">
        <v>127</v>
      </c>
      <c r="BL169" s="50" t="s">
        <v>17464</v>
      </c>
      <c r="BM169" s="50" t="s">
        <v>17465</v>
      </c>
      <c r="BN169" s="50" t="s">
        <v>17466</v>
      </c>
      <c r="BO169" s="50" t="s">
        <v>3258</v>
      </c>
      <c r="BP169" s="50" t="s">
        <v>9823</v>
      </c>
      <c r="BQ169" s="50" t="s">
        <v>180</v>
      </c>
      <c r="BR169" s="50" t="s">
        <v>9824</v>
      </c>
      <c r="BS169" s="50" t="s">
        <v>9825</v>
      </c>
      <c r="BT169" s="50" t="s">
        <v>1176</v>
      </c>
      <c r="BV169" s="50" t="s">
        <v>17467</v>
      </c>
      <c r="BW169" s="50" t="s">
        <v>17468</v>
      </c>
      <c r="BX169" s="50" t="s">
        <v>138</v>
      </c>
      <c r="BY169" s="50" t="s">
        <v>17469</v>
      </c>
      <c r="BZ169" s="50" t="s">
        <v>17470</v>
      </c>
      <c r="CA169" s="50" t="s">
        <v>17469</v>
      </c>
      <c r="CB169" s="50" t="s">
        <v>17468</v>
      </c>
      <c r="CC169" s="50" t="s">
        <v>17469</v>
      </c>
      <c r="CD169" s="50" t="s">
        <v>17470</v>
      </c>
      <c r="CE169" s="50" t="s">
        <v>17468</v>
      </c>
      <c r="CF169" s="50" t="s">
        <v>17469</v>
      </c>
      <c r="CG169" s="50" t="s">
        <v>17470</v>
      </c>
      <c r="CH169" s="50" t="s">
        <v>15787</v>
      </c>
      <c r="CI169" s="50" t="s">
        <v>17471</v>
      </c>
      <c r="CK169" s="50" t="s">
        <v>17472</v>
      </c>
      <c r="CL169" s="50" t="s">
        <v>17473</v>
      </c>
      <c r="CM169" s="50" t="s">
        <v>17463</v>
      </c>
      <c r="CN169" s="50" t="s">
        <v>173</v>
      </c>
      <c r="CO169" s="50" t="s">
        <v>17472</v>
      </c>
      <c r="CP169" s="50" t="s">
        <v>17474</v>
      </c>
      <c r="CQ169" s="50" t="s">
        <v>17471</v>
      </c>
      <c r="CR169" s="50" t="s">
        <v>17471</v>
      </c>
      <c r="CS169" s="50" t="s">
        <v>26042</v>
      </c>
    </row>
    <row r="170" spans="1:97" hidden="1">
      <c r="A170" s="50" t="s">
        <v>337</v>
      </c>
      <c r="B170" s="50">
        <v>5018337</v>
      </c>
      <c r="C170" s="50" t="e">
        <f>VLOOKUP(B170,'Drop schools 2026'!B:C,2,0)</f>
        <v>#N/A</v>
      </c>
      <c r="D170" s="50" t="s">
        <v>212</v>
      </c>
      <c r="E170" s="50" t="s">
        <v>293</v>
      </c>
      <c r="F170" s="50" t="s">
        <v>19626</v>
      </c>
      <c r="G170" s="50" t="str">
        <f>VLOOKUP(B170,aa!B:F,5,0)</f>
        <v>Ei CARES</v>
      </c>
      <c r="H170" s="50">
        <f>VLOOKUP(B170,aa!B:J,9,0)</f>
        <v>1000314</v>
      </c>
      <c r="I170" s="50">
        <f>VLOOKUP(B170,aa!B:L,11,0)</f>
        <v>0</v>
      </c>
      <c r="J170" s="50">
        <f>VLOOKUP(B170,aa!B:O,14,0)</f>
        <v>1000314</v>
      </c>
      <c r="K170" s="50">
        <f>VLOOKUP(B170,aa!B:R,17,0)</f>
        <v>0</v>
      </c>
      <c r="L170" s="50" t="s">
        <v>152</v>
      </c>
      <c r="M170" s="50">
        <v>909207</v>
      </c>
      <c r="N170" s="50">
        <v>909207</v>
      </c>
      <c r="O170" s="50">
        <v>0</v>
      </c>
      <c r="P170" s="50">
        <v>0</v>
      </c>
      <c r="R170" s="50">
        <v>909207</v>
      </c>
      <c r="S170" s="50">
        <v>505</v>
      </c>
      <c r="T170" s="50" t="s">
        <v>3005</v>
      </c>
      <c r="U170" s="50">
        <v>0</v>
      </c>
      <c r="V170" s="50">
        <v>0</v>
      </c>
      <c r="X170" s="50" t="s">
        <v>102</v>
      </c>
      <c r="Y170" s="50" t="s">
        <v>103</v>
      </c>
      <c r="Z170" s="50" t="s">
        <v>155</v>
      </c>
      <c r="AB170" s="50" t="s">
        <v>11959</v>
      </c>
      <c r="AC170" s="50" t="s">
        <v>19627</v>
      </c>
      <c r="AD170" s="50" t="s">
        <v>5651</v>
      </c>
      <c r="AE170" s="50" t="s">
        <v>19627</v>
      </c>
      <c r="AF170" s="50" t="s">
        <v>12327</v>
      </c>
      <c r="AG170" s="50" t="s">
        <v>19627</v>
      </c>
      <c r="AH170" s="50" t="s">
        <v>12084</v>
      </c>
      <c r="AI170" s="50" t="s">
        <v>19627</v>
      </c>
      <c r="AJ170" s="50" t="s">
        <v>102</v>
      </c>
      <c r="AM170" s="50" t="s">
        <v>19628</v>
      </c>
      <c r="AN170" s="50" t="s">
        <v>102</v>
      </c>
      <c r="AO170" s="50" t="s">
        <v>19628</v>
      </c>
      <c r="AP170" s="50" t="s">
        <v>19629</v>
      </c>
      <c r="AQ170" s="50" t="s">
        <v>19629</v>
      </c>
      <c r="AV170" s="50" t="s">
        <v>102</v>
      </c>
      <c r="AX170" s="50" t="s">
        <v>155</v>
      </c>
      <c r="AY170" s="50" t="s">
        <v>447</v>
      </c>
      <c r="AZ170" s="50" t="s">
        <v>1138</v>
      </c>
      <c r="BA170" s="50" t="s">
        <v>118</v>
      </c>
      <c r="BB170" s="50" t="s">
        <v>208</v>
      </c>
      <c r="BC170" s="50" t="s">
        <v>1964</v>
      </c>
      <c r="BD170" s="50" t="s">
        <v>7718</v>
      </c>
      <c r="BE170" s="50" t="s">
        <v>211</v>
      </c>
      <c r="BF170" s="50" t="s">
        <v>212</v>
      </c>
      <c r="BG170" s="50" t="s">
        <v>213</v>
      </c>
      <c r="BH170" s="50" t="s">
        <v>124</v>
      </c>
      <c r="BI170" s="50" t="s">
        <v>13680</v>
      </c>
      <c r="BJ170" s="50" t="s">
        <v>11960</v>
      </c>
      <c r="BK170" s="50" t="s">
        <v>127</v>
      </c>
      <c r="BL170" s="50" t="s">
        <v>19630</v>
      </c>
      <c r="BM170" s="50" t="s">
        <v>19631</v>
      </c>
      <c r="BN170" s="50" t="s">
        <v>19632</v>
      </c>
      <c r="BO170" s="50" t="s">
        <v>17126</v>
      </c>
      <c r="BP170" s="50" t="s">
        <v>19633</v>
      </c>
      <c r="BQ170" s="50" t="s">
        <v>505</v>
      </c>
      <c r="BR170" s="50" t="s">
        <v>19634</v>
      </c>
      <c r="BS170" s="50" t="s">
        <v>19635</v>
      </c>
      <c r="BT170" s="50" t="s">
        <v>2463</v>
      </c>
      <c r="BV170" s="50" t="s">
        <v>19636</v>
      </c>
      <c r="BW170" s="50" t="s">
        <v>19637</v>
      </c>
      <c r="BX170" s="50" t="s">
        <v>598</v>
      </c>
      <c r="BY170" s="50" t="s">
        <v>225</v>
      </c>
      <c r="BZ170" s="50" t="s">
        <v>19638</v>
      </c>
      <c r="CA170" s="50" t="s">
        <v>19639</v>
      </c>
      <c r="CB170" s="50" t="s">
        <v>19640</v>
      </c>
      <c r="CC170" s="50" t="s">
        <v>225</v>
      </c>
      <c r="CD170" s="50" t="s">
        <v>19638</v>
      </c>
      <c r="CE170" s="50" t="s">
        <v>19641</v>
      </c>
      <c r="CF170" s="50" t="s">
        <v>225</v>
      </c>
      <c r="CG170" s="50" t="s">
        <v>19642</v>
      </c>
      <c r="CH170" s="50" t="s">
        <v>9458</v>
      </c>
      <c r="CI170" s="50" t="s">
        <v>19643</v>
      </c>
      <c r="CK170" s="50" t="s">
        <v>19644</v>
      </c>
      <c r="CL170" s="50" t="s">
        <v>19645</v>
      </c>
      <c r="CM170" s="50" t="s">
        <v>7718</v>
      </c>
      <c r="CN170" s="50" t="s">
        <v>211</v>
      </c>
      <c r="CO170" s="50" t="s">
        <v>19644</v>
      </c>
      <c r="CQ170" s="50" t="s">
        <v>19643</v>
      </c>
      <c r="CR170" s="50" t="s">
        <v>19643</v>
      </c>
    </row>
    <row r="171" spans="1:97" hidden="1">
      <c r="A171" s="50" t="s">
        <v>337</v>
      </c>
      <c r="B171" s="50">
        <v>5018435</v>
      </c>
      <c r="C171" s="50" t="e">
        <f>VLOOKUP(B171,'Drop schools 2026'!B:C,2,0)</f>
        <v>#N/A</v>
      </c>
      <c r="D171" s="50" t="s">
        <v>212</v>
      </c>
      <c r="E171" s="50" t="s">
        <v>293</v>
      </c>
      <c r="F171" s="50" t="s">
        <v>19761</v>
      </c>
      <c r="G171" s="50" t="e">
        <f>VLOOKUP(B171,aa!B:F,5,0)</f>
        <v>#N/A</v>
      </c>
      <c r="H171" s="50" t="e">
        <f>VLOOKUP(B171,aa!B:J,9,0)</f>
        <v>#N/A</v>
      </c>
      <c r="I171" s="50" t="e">
        <f>VLOOKUP(B171,aa!B:L,11,0)</f>
        <v>#N/A</v>
      </c>
      <c r="J171" s="50" t="e">
        <f>VLOOKUP(B171,aa!B:O,14,0)</f>
        <v>#N/A</v>
      </c>
      <c r="K171" s="50" t="e">
        <f>VLOOKUP(B171,aa!B:R,17,0)</f>
        <v>#N/A</v>
      </c>
      <c r="L171" s="50" t="s">
        <v>152</v>
      </c>
      <c r="M171" s="50">
        <v>907025</v>
      </c>
      <c r="N171" s="50">
        <v>907025</v>
      </c>
      <c r="O171" s="50">
        <v>0</v>
      </c>
      <c r="P171" s="50">
        <v>0</v>
      </c>
      <c r="R171" s="50">
        <v>907025</v>
      </c>
      <c r="S171" s="50">
        <v>880</v>
      </c>
      <c r="T171" s="50" t="s">
        <v>19762</v>
      </c>
      <c r="U171" s="50">
        <v>0</v>
      </c>
      <c r="V171" s="50">
        <v>0</v>
      </c>
      <c r="X171" s="50" t="s">
        <v>102</v>
      </c>
      <c r="Y171" s="50" t="s">
        <v>103</v>
      </c>
      <c r="Z171" s="50" t="s">
        <v>155</v>
      </c>
      <c r="AB171" s="50" t="s">
        <v>404</v>
      </c>
      <c r="AC171" s="50" t="s">
        <v>19763</v>
      </c>
      <c r="AD171" s="50" t="s">
        <v>13680</v>
      </c>
      <c r="AE171" s="50" t="s">
        <v>19764</v>
      </c>
      <c r="AF171" s="50" t="s">
        <v>5651</v>
      </c>
      <c r="AG171" s="50" t="s">
        <v>19765</v>
      </c>
      <c r="AH171" s="50" t="s">
        <v>471</v>
      </c>
      <c r="AI171" s="50" t="s">
        <v>19766</v>
      </c>
      <c r="AJ171" s="50" t="s">
        <v>102</v>
      </c>
      <c r="AK171" s="50" t="s">
        <v>19767</v>
      </c>
      <c r="AL171" s="50" t="s">
        <v>15363</v>
      </c>
      <c r="AM171" s="50" t="s">
        <v>19768</v>
      </c>
      <c r="AN171" s="50" t="s">
        <v>19769</v>
      </c>
      <c r="AO171" s="50" t="s">
        <v>19770</v>
      </c>
      <c r="AP171" s="50" t="s">
        <v>19771</v>
      </c>
      <c r="AQ171" s="50" t="s">
        <v>19771</v>
      </c>
      <c r="AV171" s="50" t="s">
        <v>102</v>
      </c>
      <c r="AX171" s="50" t="s">
        <v>1758</v>
      </c>
      <c r="AY171" s="50" t="s">
        <v>119</v>
      </c>
      <c r="AZ171" s="50" t="s">
        <v>170</v>
      </c>
      <c r="BA171" s="50" t="s">
        <v>118</v>
      </c>
      <c r="BC171" s="50" t="s">
        <v>120</v>
      </c>
      <c r="BD171" s="50" t="s">
        <v>19772</v>
      </c>
      <c r="BE171" s="50" t="s">
        <v>211</v>
      </c>
      <c r="BF171" s="50" t="s">
        <v>212</v>
      </c>
      <c r="BG171" s="50" t="s">
        <v>213</v>
      </c>
      <c r="BH171" s="50" t="s">
        <v>124</v>
      </c>
      <c r="BI171" s="50" t="s">
        <v>13680</v>
      </c>
      <c r="BJ171" s="50" t="s">
        <v>12602</v>
      </c>
      <c r="BK171" s="50" t="s">
        <v>127</v>
      </c>
      <c r="BL171" s="50" t="s">
        <v>19773</v>
      </c>
      <c r="BM171" s="50" t="s">
        <v>19774</v>
      </c>
      <c r="BN171" s="50" t="s">
        <v>19775</v>
      </c>
      <c r="BO171" s="50" t="s">
        <v>404</v>
      </c>
      <c r="BP171" s="50" t="s">
        <v>14067</v>
      </c>
      <c r="BQ171" s="50" t="s">
        <v>180</v>
      </c>
      <c r="BR171" s="50" t="s">
        <v>14068</v>
      </c>
      <c r="BS171" s="50" t="s">
        <v>14069</v>
      </c>
      <c r="BT171" s="50" t="s">
        <v>2463</v>
      </c>
      <c r="BV171" s="50" t="s">
        <v>19776</v>
      </c>
      <c r="BW171" s="50" t="s">
        <v>19777</v>
      </c>
      <c r="BX171" s="50" t="s">
        <v>138</v>
      </c>
      <c r="BY171" s="50" t="s">
        <v>19778</v>
      </c>
      <c r="BZ171" s="50" t="s">
        <v>19779</v>
      </c>
      <c r="CA171" s="50" t="s">
        <v>19780</v>
      </c>
      <c r="CB171" s="50" t="s">
        <v>19777</v>
      </c>
      <c r="CC171" s="50" t="s">
        <v>19778</v>
      </c>
      <c r="CD171" s="50" t="s">
        <v>19779</v>
      </c>
      <c r="CE171" s="50" t="s">
        <v>19777</v>
      </c>
      <c r="CF171" s="50" t="s">
        <v>19778</v>
      </c>
      <c r="CG171" s="50" t="s">
        <v>19779</v>
      </c>
      <c r="CH171" s="50" t="s">
        <v>2424</v>
      </c>
      <c r="CI171" s="50" t="s">
        <v>19781</v>
      </c>
      <c r="CK171" s="50" t="s">
        <v>19782</v>
      </c>
      <c r="CL171" s="50" t="s">
        <v>19781</v>
      </c>
      <c r="CM171" s="50" t="s">
        <v>19783</v>
      </c>
      <c r="CN171" s="50" t="s">
        <v>211</v>
      </c>
      <c r="CO171" s="50" t="s">
        <v>19782</v>
      </c>
      <c r="CQ171" s="50" t="s">
        <v>19784</v>
      </c>
      <c r="CR171" s="50" t="s">
        <v>19784</v>
      </c>
      <c r="CS171" s="50" t="s">
        <v>26044</v>
      </c>
    </row>
    <row r="172" spans="1:97" hidden="1">
      <c r="A172" s="50" t="s">
        <v>149</v>
      </c>
      <c r="B172" s="50">
        <v>401650</v>
      </c>
      <c r="C172" s="50" t="e">
        <f>VLOOKUP(B172,'Drop schools 2026'!B:C,2,0)</f>
        <v>#N/A</v>
      </c>
      <c r="D172" s="50" t="s">
        <v>174</v>
      </c>
      <c r="E172" s="50" t="s">
        <v>183</v>
      </c>
      <c r="F172" s="50" t="s">
        <v>8573</v>
      </c>
      <c r="G172" s="50" t="e">
        <f>VLOOKUP(B172,aa!B:F,5,0)</f>
        <v>#N/A</v>
      </c>
      <c r="H172" s="50" t="e">
        <f>VLOOKUP(B172,aa!B:J,9,0)</f>
        <v>#N/A</v>
      </c>
      <c r="I172" s="50" t="e">
        <f>VLOOKUP(B172,aa!B:L,11,0)</f>
        <v>#N/A</v>
      </c>
      <c r="J172" s="50" t="e">
        <f>VLOOKUP(B172,aa!B:O,14,0)</f>
        <v>#N/A</v>
      </c>
      <c r="K172" s="50" t="e">
        <f>VLOOKUP(B172,aa!B:R,17,0)</f>
        <v>#N/A</v>
      </c>
      <c r="L172" s="50" t="s">
        <v>152</v>
      </c>
      <c r="M172" s="50">
        <v>901803</v>
      </c>
      <c r="N172" s="50">
        <v>901803</v>
      </c>
      <c r="O172" s="50">
        <v>0</v>
      </c>
      <c r="P172" s="50">
        <v>0</v>
      </c>
      <c r="R172" s="50">
        <v>901803</v>
      </c>
      <c r="S172" s="50">
        <v>936</v>
      </c>
      <c r="T172" s="50" t="s">
        <v>17971</v>
      </c>
      <c r="U172" s="50">
        <v>0</v>
      </c>
      <c r="V172" s="50">
        <v>0</v>
      </c>
      <c r="X172" s="50" t="s">
        <v>102</v>
      </c>
      <c r="Y172" s="50" t="s">
        <v>103</v>
      </c>
      <c r="Z172" s="50" t="s">
        <v>155</v>
      </c>
      <c r="AB172" s="50" t="s">
        <v>13680</v>
      </c>
      <c r="AC172" s="50" t="s">
        <v>17972</v>
      </c>
      <c r="AD172" s="50" t="s">
        <v>11976</v>
      </c>
      <c r="AE172" s="50" t="s">
        <v>17972</v>
      </c>
      <c r="AF172" s="50" t="s">
        <v>11888</v>
      </c>
      <c r="AG172" s="50" t="s">
        <v>17972</v>
      </c>
      <c r="AH172" s="50" t="s">
        <v>11886</v>
      </c>
      <c r="AI172" s="50" t="s">
        <v>17972</v>
      </c>
      <c r="AJ172" s="50" t="s">
        <v>102</v>
      </c>
      <c r="AM172" s="50" t="s">
        <v>17973</v>
      </c>
      <c r="AN172" s="50" t="s">
        <v>102</v>
      </c>
      <c r="AO172" s="50" t="s">
        <v>17973</v>
      </c>
      <c r="AP172" s="50" t="s">
        <v>17974</v>
      </c>
      <c r="AQ172" s="50" t="s">
        <v>17974</v>
      </c>
      <c r="AV172" s="50" t="s">
        <v>102</v>
      </c>
      <c r="AX172" s="50" t="s">
        <v>104</v>
      </c>
      <c r="AY172" s="50" t="s">
        <v>447</v>
      </c>
      <c r="AZ172" s="50" t="s">
        <v>170</v>
      </c>
      <c r="BA172" s="50" t="s">
        <v>118</v>
      </c>
      <c r="BC172" s="50" t="s">
        <v>171</v>
      </c>
      <c r="BD172" s="50" t="s">
        <v>375</v>
      </c>
      <c r="BE172" s="50" t="s">
        <v>376</v>
      </c>
      <c r="BF172" s="50" t="s">
        <v>174</v>
      </c>
      <c r="BG172" s="50" t="s">
        <v>376</v>
      </c>
      <c r="BH172" s="50" t="s">
        <v>124</v>
      </c>
      <c r="BI172" s="50" t="s">
        <v>13680</v>
      </c>
      <c r="BJ172" s="50" t="s">
        <v>11889</v>
      </c>
      <c r="BK172" s="50" t="s">
        <v>127</v>
      </c>
      <c r="BL172" s="50" t="s">
        <v>17975</v>
      </c>
      <c r="BM172" s="50" t="s">
        <v>8584</v>
      </c>
      <c r="BN172" s="50" t="s">
        <v>17976</v>
      </c>
      <c r="BO172" s="50" t="s">
        <v>8783</v>
      </c>
      <c r="BP172" s="50" t="s">
        <v>179</v>
      </c>
      <c r="BQ172" s="50" t="s">
        <v>180</v>
      </c>
      <c r="BR172" s="50" t="s">
        <v>181</v>
      </c>
      <c r="BS172" s="50" t="s">
        <v>182</v>
      </c>
      <c r="BT172" s="50" t="s">
        <v>5177</v>
      </c>
      <c r="BV172" s="50" t="s">
        <v>17977</v>
      </c>
      <c r="BW172" s="50" t="s">
        <v>17978</v>
      </c>
      <c r="BX172" s="50" t="s">
        <v>569</v>
      </c>
      <c r="BY172" s="50" t="s">
        <v>8590</v>
      </c>
      <c r="BZ172" s="50" t="s">
        <v>17979</v>
      </c>
      <c r="CA172" s="50" t="s">
        <v>8590</v>
      </c>
      <c r="CB172" s="50" t="s">
        <v>17980</v>
      </c>
      <c r="CC172" s="50" t="s">
        <v>8590</v>
      </c>
      <c r="CD172" s="50" t="s">
        <v>17981</v>
      </c>
      <c r="CE172" s="50" t="s">
        <v>17980</v>
      </c>
      <c r="CF172" s="50" t="s">
        <v>8590</v>
      </c>
      <c r="CG172" s="50" t="s">
        <v>17981</v>
      </c>
      <c r="CH172" s="50" t="s">
        <v>334</v>
      </c>
      <c r="CI172" s="50" t="s">
        <v>8573</v>
      </c>
      <c r="CK172" s="50" t="s">
        <v>8592</v>
      </c>
      <c r="CL172" s="50" t="s">
        <v>8591</v>
      </c>
      <c r="CM172" s="50" t="s">
        <v>375</v>
      </c>
      <c r="CN172" s="50" t="s">
        <v>376</v>
      </c>
      <c r="CO172" s="50" t="s">
        <v>8592</v>
      </c>
      <c r="CP172" s="50" t="s">
        <v>8593</v>
      </c>
      <c r="CQ172" s="50" t="s">
        <v>8591</v>
      </c>
      <c r="CR172" s="50" t="s">
        <v>8591</v>
      </c>
      <c r="CS172" s="50" t="s">
        <v>26051</v>
      </c>
    </row>
    <row r="173" spans="1:97">
      <c r="A173" s="50" t="s">
        <v>337</v>
      </c>
      <c r="B173" s="50">
        <v>3757528</v>
      </c>
      <c r="C173" s="50" t="str">
        <f>VLOOKUP(B173,'Drop schools 2026'!B:C,2,0)</f>
        <v>Drop</v>
      </c>
      <c r="D173" s="50" t="s">
        <v>122</v>
      </c>
      <c r="E173" s="50" t="s">
        <v>12491</v>
      </c>
      <c r="F173" s="50" t="s">
        <v>16865</v>
      </c>
      <c r="G173" s="50" t="e">
        <f>VLOOKUP(B173,aa!B:F,5,0)</f>
        <v>#N/A</v>
      </c>
      <c r="H173" s="50" t="e">
        <f>VLOOKUP(B173,aa!B:J,9,0)</f>
        <v>#N/A</v>
      </c>
      <c r="I173" s="50" t="e">
        <f>VLOOKUP(B173,aa!B:L,11,0)</f>
        <v>#N/A</v>
      </c>
      <c r="J173" s="50" t="e">
        <f>VLOOKUP(B173,aa!B:O,14,0)</f>
        <v>#N/A</v>
      </c>
      <c r="K173" s="50" t="e">
        <f>VLOOKUP(B173,aa!B:R,17,0)</f>
        <v>#N/A</v>
      </c>
      <c r="L173" s="50" t="s">
        <v>97</v>
      </c>
      <c r="M173" s="50">
        <v>894687</v>
      </c>
      <c r="N173" s="50">
        <v>894687</v>
      </c>
      <c r="O173" s="50">
        <v>894687</v>
      </c>
      <c r="P173" s="50">
        <v>1627</v>
      </c>
      <c r="Q173" s="50" t="s">
        <v>3431</v>
      </c>
      <c r="R173" s="50">
        <v>0</v>
      </c>
      <c r="S173" s="50">
        <v>0</v>
      </c>
      <c r="U173" s="50">
        <v>0</v>
      </c>
      <c r="V173" s="50">
        <v>0</v>
      </c>
      <c r="X173" s="50" t="s">
        <v>102</v>
      </c>
      <c r="Y173" s="50" t="s">
        <v>103</v>
      </c>
      <c r="Z173" s="50" t="s">
        <v>398</v>
      </c>
      <c r="AB173" s="50" t="s">
        <v>12711</v>
      </c>
      <c r="AC173" s="50" t="s">
        <v>16866</v>
      </c>
      <c r="AD173" s="50" t="s">
        <v>13033</v>
      </c>
      <c r="AE173" s="50" t="s">
        <v>16867</v>
      </c>
      <c r="AF173" s="50" t="s">
        <v>5651</v>
      </c>
      <c r="AG173" s="50" t="s">
        <v>16866</v>
      </c>
      <c r="AH173" s="50" t="s">
        <v>109</v>
      </c>
      <c r="AI173" s="50" t="s">
        <v>102</v>
      </c>
      <c r="AJ173" s="50" t="s">
        <v>102</v>
      </c>
      <c r="AK173" s="50" t="s">
        <v>13186</v>
      </c>
      <c r="AL173" s="50" t="s">
        <v>13110</v>
      </c>
      <c r="AM173" s="50" t="s">
        <v>16868</v>
      </c>
      <c r="AN173" s="50" t="s">
        <v>16869</v>
      </c>
      <c r="AO173" s="50" t="s">
        <v>16870</v>
      </c>
      <c r="AP173" s="50" t="s">
        <v>4840</v>
      </c>
      <c r="AQ173" s="50" t="s">
        <v>861</v>
      </c>
      <c r="AS173" s="50" t="s">
        <v>169</v>
      </c>
      <c r="AV173" s="50" t="s">
        <v>318</v>
      </c>
      <c r="AW173" s="50" t="s">
        <v>118</v>
      </c>
      <c r="AX173" s="50" t="s">
        <v>102</v>
      </c>
      <c r="AY173" s="50" t="s">
        <v>119</v>
      </c>
      <c r="BC173" s="50" t="s">
        <v>120</v>
      </c>
      <c r="BD173" s="50" t="s">
        <v>1407</v>
      </c>
      <c r="BE173" s="50" t="s">
        <v>449</v>
      </c>
      <c r="BF173" s="50" t="s">
        <v>122</v>
      </c>
      <c r="BG173" s="50" t="s">
        <v>450</v>
      </c>
      <c r="BH173" s="50" t="s">
        <v>124</v>
      </c>
      <c r="BI173" s="50" t="s">
        <v>11938</v>
      </c>
      <c r="BJ173" s="50" t="s">
        <v>11889</v>
      </c>
      <c r="BK173" s="50" t="s">
        <v>127</v>
      </c>
      <c r="BL173" s="50" t="s">
        <v>16871</v>
      </c>
      <c r="BM173" s="50" t="s">
        <v>16872</v>
      </c>
      <c r="BN173" s="50" t="s">
        <v>16873</v>
      </c>
      <c r="BO173" s="50" t="s">
        <v>12711</v>
      </c>
      <c r="BP173" s="50" t="s">
        <v>131</v>
      </c>
      <c r="BQ173" s="50" t="s">
        <v>350</v>
      </c>
      <c r="BR173" s="50" t="s">
        <v>133</v>
      </c>
      <c r="BS173" s="50" t="s">
        <v>134</v>
      </c>
      <c r="BT173" s="50" t="s">
        <v>455</v>
      </c>
      <c r="BU173" s="50" t="s">
        <v>4765</v>
      </c>
      <c r="BV173" s="50" t="s">
        <v>16874</v>
      </c>
      <c r="BW173" s="50" t="s">
        <v>16875</v>
      </c>
      <c r="BX173" s="50" t="s">
        <v>138</v>
      </c>
      <c r="BY173" s="50" t="s">
        <v>16876</v>
      </c>
      <c r="BZ173" s="50" t="s">
        <v>16877</v>
      </c>
      <c r="CA173" s="50" t="s">
        <v>16878</v>
      </c>
      <c r="CB173" s="50" t="s">
        <v>16875</v>
      </c>
      <c r="CC173" s="50" t="s">
        <v>16876</v>
      </c>
      <c r="CD173" s="50" t="s">
        <v>16877</v>
      </c>
      <c r="CE173" s="50" t="s">
        <v>16879</v>
      </c>
      <c r="CF173" s="50" t="s">
        <v>16880</v>
      </c>
      <c r="CG173" s="50" t="s">
        <v>16881</v>
      </c>
      <c r="CH173" s="50" t="s">
        <v>16882</v>
      </c>
      <c r="CI173" s="50" t="s">
        <v>16883</v>
      </c>
      <c r="CK173" s="50" t="s">
        <v>1419</v>
      </c>
      <c r="CL173" s="50" t="s">
        <v>16884</v>
      </c>
      <c r="CM173" s="50" t="s">
        <v>1407</v>
      </c>
      <c r="CN173" s="50" t="s">
        <v>449</v>
      </c>
      <c r="CO173" s="50" t="s">
        <v>1419</v>
      </c>
      <c r="CQ173" s="50" t="s">
        <v>16884</v>
      </c>
      <c r="CR173" s="50" t="s">
        <v>16884</v>
      </c>
    </row>
    <row r="174" spans="1:97" hidden="1">
      <c r="A174" s="50" t="s">
        <v>337</v>
      </c>
      <c r="B174" s="50">
        <v>5015855</v>
      </c>
      <c r="C174" s="50" t="str">
        <f>VLOOKUP(B174,RISK!B:C,2,0)</f>
        <v>Risk</v>
      </c>
      <c r="D174" s="50" t="s">
        <v>622</v>
      </c>
      <c r="E174" s="50" t="s">
        <v>632</v>
      </c>
      <c r="F174" s="50" t="s">
        <v>18731</v>
      </c>
      <c r="G174" s="50" t="e">
        <f>VLOOKUP(B174,aa!B:F,5,0)</f>
        <v>#N/A</v>
      </c>
      <c r="H174" s="50" t="e">
        <f>VLOOKUP(B174,aa!B:J,9,0)</f>
        <v>#N/A</v>
      </c>
      <c r="I174" s="50" t="e">
        <f>VLOOKUP(B174,aa!B:L,11,0)</f>
        <v>#N/A</v>
      </c>
      <c r="J174" s="50" t="e">
        <f>VLOOKUP(B174,aa!B:O,14,0)</f>
        <v>#N/A</v>
      </c>
      <c r="K174" s="50" t="e">
        <f>VLOOKUP(B174,aa!B:R,17,0)</f>
        <v>#N/A</v>
      </c>
      <c r="L174" s="50" t="s">
        <v>97</v>
      </c>
      <c r="M174" s="50">
        <v>893132</v>
      </c>
      <c r="N174" s="50">
        <v>893132</v>
      </c>
      <c r="O174" s="50">
        <v>893132</v>
      </c>
      <c r="P174" s="50">
        <v>4046</v>
      </c>
      <c r="Q174" s="50" t="s">
        <v>18732</v>
      </c>
      <c r="R174" s="50">
        <v>0</v>
      </c>
      <c r="S174" s="50">
        <v>0</v>
      </c>
      <c r="U174" s="50">
        <v>0</v>
      </c>
      <c r="V174" s="50">
        <v>0</v>
      </c>
      <c r="X174" s="50" t="s">
        <v>102</v>
      </c>
      <c r="Y174" s="50" t="s">
        <v>103</v>
      </c>
      <c r="Z174" s="50" t="s">
        <v>104</v>
      </c>
      <c r="AB174" s="50" t="s">
        <v>14000</v>
      </c>
      <c r="AC174" s="50" t="s">
        <v>18733</v>
      </c>
      <c r="AD174" s="50" t="s">
        <v>3679</v>
      </c>
      <c r="AE174" s="50" t="s">
        <v>18733</v>
      </c>
      <c r="AF174" s="50" t="s">
        <v>109</v>
      </c>
      <c r="AG174" s="50" t="s">
        <v>102</v>
      </c>
      <c r="AH174" s="50" t="s">
        <v>109</v>
      </c>
      <c r="AI174" s="50" t="s">
        <v>102</v>
      </c>
      <c r="AJ174" s="50" t="s">
        <v>102</v>
      </c>
      <c r="AK174" s="50" t="s">
        <v>14272</v>
      </c>
      <c r="AL174" s="50" t="s">
        <v>11925</v>
      </c>
      <c r="AM174" s="50" t="s">
        <v>18734</v>
      </c>
      <c r="AN174" s="50" t="s">
        <v>18735</v>
      </c>
      <c r="AO174" s="50" t="s">
        <v>18736</v>
      </c>
      <c r="AP174" s="50" t="s">
        <v>18737</v>
      </c>
      <c r="AQ174" s="50" t="s">
        <v>18737</v>
      </c>
      <c r="AV174" s="50" t="s">
        <v>318</v>
      </c>
      <c r="AW174" s="50" t="s">
        <v>118</v>
      </c>
      <c r="AX174" s="50" t="s">
        <v>102</v>
      </c>
      <c r="AY174" s="50" t="s">
        <v>119</v>
      </c>
      <c r="BC174" s="50" t="s">
        <v>120</v>
      </c>
      <c r="BD174" s="50" t="s">
        <v>2127</v>
      </c>
      <c r="BE174" s="50" t="s">
        <v>621</v>
      </c>
      <c r="BF174" s="50" t="s">
        <v>622</v>
      </c>
      <c r="BG174" s="50" t="s">
        <v>976</v>
      </c>
      <c r="BH174" s="50" t="s">
        <v>124</v>
      </c>
      <c r="BI174" s="50" t="s">
        <v>11976</v>
      </c>
      <c r="BJ174" s="50" t="s">
        <v>12289</v>
      </c>
      <c r="BK174" s="50" t="s">
        <v>127</v>
      </c>
      <c r="BL174" s="50" t="s">
        <v>18738</v>
      </c>
      <c r="BM174" s="50" t="s">
        <v>9524</v>
      </c>
      <c r="BN174" s="50" t="s">
        <v>18739</v>
      </c>
      <c r="BO174" s="50" t="s">
        <v>8783</v>
      </c>
      <c r="BP174" s="50" t="s">
        <v>13638</v>
      </c>
      <c r="BQ174" s="50" t="s">
        <v>350</v>
      </c>
      <c r="BR174" s="50" t="s">
        <v>13639</v>
      </c>
      <c r="BS174" s="50" t="s">
        <v>13640</v>
      </c>
      <c r="BT174" s="50" t="s">
        <v>984</v>
      </c>
      <c r="BV174" s="50" t="s">
        <v>18740</v>
      </c>
      <c r="BW174" s="50" t="s">
        <v>18741</v>
      </c>
      <c r="BX174" s="50" t="s">
        <v>4416</v>
      </c>
      <c r="BY174" s="50" t="s">
        <v>18742</v>
      </c>
      <c r="BZ174" s="50" t="s">
        <v>18743</v>
      </c>
      <c r="CA174" s="50" t="s">
        <v>9526</v>
      </c>
      <c r="CB174" s="50" t="s">
        <v>18744</v>
      </c>
      <c r="CC174" s="50" t="s">
        <v>8652</v>
      </c>
      <c r="CD174" s="50" t="s">
        <v>9525</v>
      </c>
      <c r="CE174" s="50" t="s">
        <v>18745</v>
      </c>
      <c r="CF174" s="50" t="s">
        <v>8652</v>
      </c>
      <c r="CG174" s="50" t="s">
        <v>18746</v>
      </c>
      <c r="CH174" s="50" t="s">
        <v>9527</v>
      </c>
      <c r="CI174" s="50" t="s">
        <v>18747</v>
      </c>
      <c r="CK174" s="50" t="s">
        <v>9528</v>
      </c>
      <c r="CL174" s="50" t="s">
        <v>18748</v>
      </c>
      <c r="CM174" s="50" t="s">
        <v>2127</v>
      </c>
      <c r="CN174" s="50" t="s">
        <v>621</v>
      </c>
      <c r="CO174" s="50" t="s">
        <v>9528</v>
      </c>
      <c r="CQ174" s="50" t="s">
        <v>9529</v>
      </c>
      <c r="CR174" s="50" t="s">
        <v>9530</v>
      </c>
      <c r="CS174" s="50" t="s">
        <v>26042</v>
      </c>
    </row>
    <row r="175" spans="1:97" hidden="1">
      <c r="A175" s="50" t="s">
        <v>149</v>
      </c>
      <c r="B175" s="50">
        <v>1316481</v>
      </c>
      <c r="C175" s="50" t="e">
        <f>VLOOKUP(B175,'Drop schools 2026'!B:C,2,0)</f>
        <v>#N/A</v>
      </c>
      <c r="D175" s="50" t="s">
        <v>212</v>
      </c>
      <c r="E175" s="50" t="s">
        <v>11947</v>
      </c>
      <c r="F175" s="50" t="s">
        <v>781</v>
      </c>
      <c r="G175" s="50" t="str">
        <f>VLOOKUP(B175,aa!B:F,5,0)</f>
        <v>Ei ASSET,Ei Mindspark</v>
      </c>
      <c r="H175" s="50">
        <f>VLOOKUP(B175,aa!B:J,9,0)</f>
        <v>0</v>
      </c>
      <c r="I175" s="50">
        <f>VLOOKUP(B175,aa!B:L,11,0)</f>
        <v>0</v>
      </c>
      <c r="J175" s="50">
        <f>VLOOKUP(B175,aa!B:O,14,0)</f>
        <v>0</v>
      </c>
      <c r="K175" s="50">
        <f>VLOOKUP(B175,aa!B:R,17,0)</f>
        <v>0</v>
      </c>
      <c r="L175" s="50" t="s">
        <v>193</v>
      </c>
      <c r="M175" s="50">
        <v>891367</v>
      </c>
      <c r="N175" s="50">
        <v>1000631</v>
      </c>
      <c r="O175" s="50">
        <v>284345</v>
      </c>
      <c r="P175" s="50">
        <v>914</v>
      </c>
      <c r="Q175" s="50" t="s">
        <v>195</v>
      </c>
      <c r="R175" s="50">
        <v>0</v>
      </c>
      <c r="S175" s="50">
        <v>0</v>
      </c>
      <c r="U175" s="50">
        <v>607022</v>
      </c>
      <c r="V175" s="50">
        <v>955</v>
      </c>
      <c r="W175" s="50" t="s">
        <v>11949</v>
      </c>
      <c r="X175" s="50" t="s">
        <v>102</v>
      </c>
      <c r="Y175" s="50" t="s">
        <v>103</v>
      </c>
      <c r="Z175" s="50" t="s">
        <v>104</v>
      </c>
      <c r="AB175" s="50" t="s">
        <v>11950</v>
      </c>
      <c r="AC175" s="50" t="s">
        <v>12367</v>
      </c>
      <c r="AD175" s="50" t="s">
        <v>11952</v>
      </c>
      <c r="AE175" s="50" t="s">
        <v>12367</v>
      </c>
      <c r="AF175" s="50" t="s">
        <v>109</v>
      </c>
      <c r="AG175" s="50" t="s">
        <v>102</v>
      </c>
      <c r="AH175" s="50" t="s">
        <v>109</v>
      </c>
      <c r="AI175" s="50" t="s">
        <v>102</v>
      </c>
      <c r="AJ175" s="50" t="s">
        <v>12368</v>
      </c>
      <c r="AK175" s="50" t="s">
        <v>11954</v>
      </c>
      <c r="AL175" s="50" t="s">
        <v>11954</v>
      </c>
      <c r="AM175" s="50" t="s">
        <v>12369</v>
      </c>
      <c r="AN175" s="50" t="s">
        <v>12370</v>
      </c>
      <c r="AO175" s="50" t="s">
        <v>12371</v>
      </c>
      <c r="AP175" s="50" t="s">
        <v>12372</v>
      </c>
      <c r="AQ175" s="50" t="s">
        <v>12372</v>
      </c>
      <c r="AV175" s="50" t="s">
        <v>207</v>
      </c>
      <c r="AW175" s="50" t="s">
        <v>118</v>
      </c>
      <c r="AX175" s="50" t="s">
        <v>102</v>
      </c>
      <c r="AY175" s="50" t="s">
        <v>119</v>
      </c>
      <c r="BB175" s="50" t="s">
        <v>250</v>
      </c>
      <c r="BC175" s="50" t="s">
        <v>120</v>
      </c>
      <c r="BD175" s="50" t="s">
        <v>788</v>
      </c>
      <c r="BE175" s="50" t="s">
        <v>211</v>
      </c>
      <c r="BF175" s="50" t="s">
        <v>212</v>
      </c>
      <c r="BG175" s="50" t="s">
        <v>213</v>
      </c>
      <c r="BH175" s="50" t="s">
        <v>124</v>
      </c>
      <c r="BI175" s="50" t="s">
        <v>11959</v>
      </c>
      <c r="BJ175" s="50" t="s">
        <v>11960</v>
      </c>
      <c r="BK175" s="50" t="s">
        <v>127</v>
      </c>
      <c r="BL175" s="50" t="s">
        <v>12373</v>
      </c>
      <c r="BM175" s="50" t="s">
        <v>790</v>
      </c>
      <c r="BN175" s="50" t="s">
        <v>12374</v>
      </c>
      <c r="BO175" s="50" t="s">
        <v>11948</v>
      </c>
      <c r="BP175" s="50" t="s">
        <v>1880</v>
      </c>
      <c r="BQ175" s="50" t="s">
        <v>180</v>
      </c>
      <c r="BR175" s="50" t="s">
        <v>1882</v>
      </c>
      <c r="BS175" s="50" t="s">
        <v>1883</v>
      </c>
      <c r="BT175" s="50" t="s">
        <v>222</v>
      </c>
      <c r="BV175" s="50" t="s">
        <v>12375</v>
      </c>
      <c r="BW175" s="50" t="s">
        <v>12376</v>
      </c>
      <c r="BX175" s="50" t="s">
        <v>138</v>
      </c>
      <c r="BY175" s="50" t="s">
        <v>225</v>
      </c>
      <c r="BZ175" s="50" t="s">
        <v>226</v>
      </c>
      <c r="CA175" s="50" t="s">
        <v>793</v>
      </c>
      <c r="CB175" s="50" t="s">
        <v>12377</v>
      </c>
      <c r="CC175" s="50" t="s">
        <v>12378</v>
      </c>
      <c r="CD175" s="50" t="s">
        <v>12379</v>
      </c>
      <c r="CE175" s="50" t="s">
        <v>12380</v>
      </c>
      <c r="CF175" s="50" t="s">
        <v>12378</v>
      </c>
      <c r="CG175" s="50" t="s">
        <v>12379</v>
      </c>
      <c r="CH175" s="50" t="s">
        <v>102</v>
      </c>
      <c r="CI175" s="50" t="s">
        <v>794</v>
      </c>
      <c r="CK175" s="50" t="s">
        <v>795</v>
      </c>
      <c r="CM175" s="50" t="s">
        <v>788</v>
      </c>
      <c r="CN175" s="50" t="s">
        <v>211</v>
      </c>
      <c r="CO175" s="50" t="s">
        <v>795</v>
      </c>
      <c r="CP175" s="50" t="s">
        <v>230</v>
      </c>
      <c r="CQ175" s="50" t="s">
        <v>794</v>
      </c>
      <c r="CR175" s="50" t="s">
        <v>794</v>
      </c>
    </row>
    <row r="176" spans="1:97" hidden="1">
      <c r="A176" s="50" t="s">
        <v>149</v>
      </c>
      <c r="B176" s="50">
        <v>4002148</v>
      </c>
      <c r="C176" s="50" t="e">
        <f>VLOOKUP(B176,'Drop schools 2026'!B:C,2,0)</f>
        <v>#N/A</v>
      </c>
      <c r="D176" s="50" t="s">
        <v>174</v>
      </c>
      <c r="E176" s="50" t="s">
        <v>12155</v>
      </c>
      <c r="F176" s="50" t="s">
        <v>8549</v>
      </c>
      <c r="G176" s="50" t="str">
        <f>VLOOKUP(B176,aa!B:F,5,0)</f>
        <v>Ei ASSET, Ei CARES</v>
      </c>
      <c r="H176" s="50">
        <f>VLOOKUP(B176,aa!B:J,9,0)</f>
        <v>992909</v>
      </c>
      <c r="I176" s="50">
        <f>VLOOKUP(B176,aa!B:L,11,0)</f>
        <v>338052</v>
      </c>
      <c r="J176" s="50">
        <f>VLOOKUP(B176,aa!B:O,14,0)</f>
        <v>654857</v>
      </c>
      <c r="K176" s="50">
        <f>VLOOKUP(B176,aa!B:R,17,0)</f>
        <v>0</v>
      </c>
      <c r="L176" s="50" t="s">
        <v>675</v>
      </c>
      <c r="M176" s="50">
        <v>877471</v>
      </c>
      <c r="N176" s="50">
        <v>877471</v>
      </c>
      <c r="O176" s="50">
        <v>321799</v>
      </c>
      <c r="P176" s="50">
        <v>495</v>
      </c>
      <c r="Q176" s="50" t="s">
        <v>1122</v>
      </c>
      <c r="R176" s="50">
        <v>555672</v>
      </c>
      <c r="S176" s="50">
        <v>411</v>
      </c>
      <c r="T176" s="50" t="s">
        <v>17934</v>
      </c>
      <c r="U176" s="50">
        <v>0</v>
      </c>
      <c r="V176" s="50">
        <v>0</v>
      </c>
      <c r="X176" s="50" t="s">
        <v>102</v>
      </c>
      <c r="Y176" s="50" t="s">
        <v>103</v>
      </c>
      <c r="Z176" s="50" t="s">
        <v>801</v>
      </c>
      <c r="AB176" s="50" t="s">
        <v>17935</v>
      </c>
      <c r="AC176" s="50" t="s">
        <v>17936</v>
      </c>
      <c r="AD176" s="50" t="s">
        <v>17937</v>
      </c>
      <c r="AE176" s="50" t="s">
        <v>17938</v>
      </c>
      <c r="AF176" s="50" t="s">
        <v>17939</v>
      </c>
      <c r="AG176" s="50" t="s">
        <v>17940</v>
      </c>
      <c r="AH176" s="50" t="s">
        <v>12216</v>
      </c>
      <c r="AI176" s="50" t="s">
        <v>17940</v>
      </c>
      <c r="AJ176" s="50" t="s">
        <v>17941</v>
      </c>
      <c r="AK176" s="50" t="s">
        <v>17942</v>
      </c>
      <c r="AL176" s="50" t="s">
        <v>17943</v>
      </c>
      <c r="AM176" s="50" t="s">
        <v>17944</v>
      </c>
      <c r="AN176" s="50" t="s">
        <v>17945</v>
      </c>
      <c r="AO176" s="50" t="s">
        <v>17946</v>
      </c>
      <c r="AP176" s="50" t="s">
        <v>17947</v>
      </c>
      <c r="AQ176" s="50" t="s">
        <v>17947</v>
      </c>
      <c r="AV176" s="50" t="s">
        <v>207</v>
      </c>
      <c r="AW176" s="50" t="s">
        <v>118</v>
      </c>
      <c r="AX176" s="50" t="s">
        <v>655</v>
      </c>
      <c r="AY176" s="50" t="s">
        <v>119</v>
      </c>
      <c r="AZ176" s="50" t="s">
        <v>170</v>
      </c>
      <c r="BA176" s="50" t="s">
        <v>118</v>
      </c>
      <c r="BC176" s="50" t="s">
        <v>120</v>
      </c>
      <c r="BD176" s="50" t="s">
        <v>1036</v>
      </c>
      <c r="BE176" s="50" t="s">
        <v>173</v>
      </c>
      <c r="BF176" s="50" t="s">
        <v>174</v>
      </c>
      <c r="BG176" s="50" t="s">
        <v>173</v>
      </c>
      <c r="BH176" s="50" t="s">
        <v>124</v>
      </c>
      <c r="BI176" s="50" t="s">
        <v>6177</v>
      </c>
      <c r="BJ176" s="50" t="s">
        <v>11889</v>
      </c>
      <c r="BK176" s="50" t="s">
        <v>127</v>
      </c>
      <c r="BL176" s="50" t="s">
        <v>17948</v>
      </c>
      <c r="BM176" s="50" t="s">
        <v>8564</v>
      </c>
      <c r="BN176" s="50" t="s">
        <v>17949</v>
      </c>
      <c r="BO176" s="50" t="s">
        <v>17933</v>
      </c>
      <c r="BP176" s="50" t="s">
        <v>12557</v>
      </c>
      <c r="BQ176" s="50" t="s">
        <v>180</v>
      </c>
      <c r="BR176" s="50" t="s">
        <v>12558</v>
      </c>
      <c r="BS176" s="50" t="s">
        <v>12559</v>
      </c>
      <c r="BT176" s="50" t="s">
        <v>183</v>
      </c>
      <c r="BV176" s="50" t="s">
        <v>17950</v>
      </c>
      <c r="BW176" s="50" t="s">
        <v>17951</v>
      </c>
      <c r="BX176" s="50" t="s">
        <v>138</v>
      </c>
      <c r="BY176" s="50" t="s">
        <v>17952</v>
      </c>
      <c r="BZ176" s="50" t="s">
        <v>17953</v>
      </c>
      <c r="CA176" s="50" t="s">
        <v>8568</v>
      </c>
      <c r="CB176" s="50" t="s">
        <v>17951</v>
      </c>
      <c r="CC176" s="50" t="s">
        <v>17952</v>
      </c>
      <c r="CD176" s="50" t="s">
        <v>17953</v>
      </c>
      <c r="CE176" s="50" t="s">
        <v>17954</v>
      </c>
      <c r="CF176" s="50" t="s">
        <v>17952</v>
      </c>
      <c r="CG176" s="50" t="s">
        <v>17955</v>
      </c>
      <c r="CH176" s="50" t="s">
        <v>102</v>
      </c>
      <c r="CI176" s="50" t="s">
        <v>17956</v>
      </c>
      <c r="CK176" s="50" t="s">
        <v>8571</v>
      </c>
      <c r="CL176" s="50" t="s">
        <v>17956</v>
      </c>
      <c r="CM176" s="50" t="s">
        <v>1036</v>
      </c>
      <c r="CN176" s="50" t="s">
        <v>173</v>
      </c>
      <c r="CO176" s="50" t="s">
        <v>8571</v>
      </c>
      <c r="CP176" s="50" t="s">
        <v>8572</v>
      </c>
      <c r="CQ176" s="50" t="s">
        <v>8570</v>
      </c>
      <c r="CR176" s="50" t="s">
        <v>8570</v>
      </c>
    </row>
    <row r="177" spans="1:97">
      <c r="A177" s="50" t="s">
        <v>337</v>
      </c>
      <c r="B177" s="50">
        <v>621568</v>
      </c>
      <c r="C177" s="50" t="e">
        <f>VLOOKUP(B177,'Drop schools 2026'!B:C,2,0)</f>
        <v>#N/A</v>
      </c>
      <c r="D177" s="50" t="s">
        <v>122</v>
      </c>
      <c r="E177" s="50" t="s">
        <v>12030</v>
      </c>
      <c r="F177" s="53" t="s">
        <v>21281</v>
      </c>
      <c r="G177" s="50" t="e">
        <f>VLOOKUP(B177,aa!B:F,5,0)</f>
        <v>#N/A</v>
      </c>
      <c r="H177" s="50" t="e">
        <f>VLOOKUP(B177,aa!B:J,9,0)</f>
        <v>#N/A</v>
      </c>
      <c r="I177" s="50" t="e">
        <f>VLOOKUP(B177,aa!B:L,11,0)</f>
        <v>#N/A</v>
      </c>
      <c r="J177" s="50" t="e">
        <f>VLOOKUP(B177,aa!B:O,14,0)</f>
        <v>#N/A</v>
      </c>
      <c r="K177" s="50" t="e">
        <f>VLOOKUP(B177,aa!B:R,17,0)</f>
        <v>#N/A</v>
      </c>
      <c r="L177" s="50" t="s">
        <v>152</v>
      </c>
      <c r="M177" s="50">
        <v>871184</v>
      </c>
      <c r="N177" s="50">
        <v>871184</v>
      </c>
      <c r="O177" s="50">
        <v>0</v>
      </c>
      <c r="P177" s="50">
        <v>0</v>
      </c>
      <c r="R177" s="50">
        <v>871184</v>
      </c>
      <c r="S177" s="50">
        <v>672</v>
      </c>
      <c r="T177" s="50" t="s">
        <v>21282</v>
      </c>
      <c r="U177" s="50">
        <v>0</v>
      </c>
      <c r="V177" s="50">
        <v>0</v>
      </c>
      <c r="X177" s="50" t="s">
        <v>102</v>
      </c>
      <c r="Y177" s="50" t="s">
        <v>103</v>
      </c>
      <c r="Z177" s="50" t="s">
        <v>155</v>
      </c>
      <c r="AB177" s="50" t="s">
        <v>3258</v>
      </c>
      <c r="AC177" s="50" t="s">
        <v>21283</v>
      </c>
      <c r="AD177" s="50" t="s">
        <v>1408</v>
      </c>
      <c r="AE177" s="50" t="s">
        <v>21283</v>
      </c>
      <c r="AF177" s="50" t="s">
        <v>12289</v>
      </c>
      <c r="AG177" s="50" t="s">
        <v>21283</v>
      </c>
      <c r="AH177" s="50" t="s">
        <v>12393</v>
      </c>
      <c r="AI177" s="50" t="s">
        <v>21283</v>
      </c>
      <c r="AJ177" s="50" t="s">
        <v>21284</v>
      </c>
      <c r="AK177" s="50" t="s">
        <v>2950</v>
      </c>
      <c r="AL177" s="50" t="s">
        <v>11911</v>
      </c>
      <c r="AM177" s="50" t="s">
        <v>21285</v>
      </c>
      <c r="AN177" s="50" t="s">
        <v>21286</v>
      </c>
      <c r="AO177" s="50" t="s">
        <v>21287</v>
      </c>
      <c r="AP177" s="50" t="s">
        <v>21288</v>
      </c>
      <c r="AQ177" s="50" t="s">
        <v>21288</v>
      </c>
      <c r="AV177" s="50" t="s">
        <v>102</v>
      </c>
      <c r="AX177" s="50" t="s">
        <v>155</v>
      </c>
      <c r="AY177" s="50" t="s">
        <v>447</v>
      </c>
      <c r="AZ177" s="50" t="s">
        <v>170</v>
      </c>
      <c r="BA177" s="50" t="s">
        <v>118</v>
      </c>
      <c r="BC177" s="50" t="s">
        <v>171</v>
      </c>
      <c r="BD177" s="50" t="s">
        <v>3490</v>
      </c>
      <c r="BE177" s="50" t="s">
        <v>345</v>
      </c>
      <c r="BF177" s="50" t="s">
        <v>122</v>
      </c>
      <c r="BG177" s="50" t="s">
        <v>346</v>
      </c>
      <c r="BH177" s="50" t="s">
        <v>124</v>
      </c>
      <c r="BI177" s="50" t="s">
        <v>12023</v>
      </c>
      <c r="BJ177" s="50" t="s">
        <v>11889</v>
      </c>
      <c r="BK177" s="50" t="s">
        <v>127</v>
      </c>
      <c r="BL177" s="50" t="s">
        <v>21289</v>
      </c>
      <c r="BM177" s="50" t="s">
        <v>21290</v>
      </c>
      <c r="BN177" s="50" t="s">
        <v>21291</v>
      </c>
      <c r="BO177" s="50" t="s">
        <v>4045</v>
      </c>
      <c r="BP177" s="50" t="s">
        <v>12226</v>
      </c>
      <c r="BQ177" s="50" t="s">
        <v>350</v>
      </c>
      <c r="BR177" s="50" t="s">
        <v>12228</v>
      </c>
      <c r="BS177" s="50" t="s">
        <v>12229</v>
      </c>
      <c r="BT177" s="50" t="s">
        <v>328</v>
      </c>
      <c r="BV177" s="50" t="s">
        <v>21292</v>
      </c>
      <c r="BW177" s="50" t="s">
        <v>21293</v>
      </c>
      <c r="BX177" s="50" t="s">
        <v>138</v>
      </c>
      <c r="BY177" s="50" t="s">
        <v>21294</v>
      </c>
      <c r="BZ177" s="50" t="s">
        <v>21295</v>
      </c>
      <c r="CA177" s="50" t="s">
        <v>21296</v>
      </c>
      <c r="CB177" s="50" t="s">
        <v>21297</v>
      </c>
      <c r="CC177" s="50" t="s">
        <v>21294</v>
      </c>
      <c r="CD177" s="50" t="s">
        <v>21295</v>
      </c>
      <c r="CE177" s="50" t="s">
        <v>21297</v>
      </c>
      <c r="CF177" s="50" t="s">
        <v>21294</v>
      </c>
      <c r="CG177" s="50" t="s">
        <v>21295</v>
      </c>
      <c r="CH177" s="50" t="s">
        <v>3968</v>
      </c>
      <c r="CI177" s="50" t="s">
        <v>21298</v>
      </c>
      <c r="CK177" s="50" t="s">
        <v>12240</v>
      </c>
      <c r="CL177" s="50" t="s">
        <v>21299</v>
      </c>
      <c r="CM177" s="50" t="s">
        <v>3490</v>
      </c>
      <c r="CN177" s="50" t="s">
        <v>345</v>
      </c>
      <c r="CO177" s="50" t="s">
        <v>12240</v>
      </c>
      <c r="CP177" s="50" t="s">
        <v>21300</v>
      </c>
      <c r="CQ177" s="50" t="s">
        <v>21301</v>
      </c>
      <c r="CR177" s="50" t="s">
        <v>21301</v>
      </c>
    </row>
    <row r="178" spans="1:97" hidden="1">
      <c r="A178" s="50" t="s">
        <v>149</v>
      </c>
      <c r="B178" s="50">
        <v>1330320</v>
      </c>
      <c r="C178" s="50" t="e">
        <f>VLOOKUP(B178,'Drop schools 2026'!B:C,2,0)</f>
        <v>#N/A</v>
      </c>
      <c r="D178" s="50" t="s">
        <v>212</v>
      </c>
      <c r="E178" s="50" t="s">
        <v>11947</v>
      </c>
      <c r="F178" s="50" t="s">
        <v>831</v>
      </c>
      <c r="G178" s="50" t="str">
        <f>VLOOKUP(B178,aa!B:F,5,0)</f>
        <v>Ei ASSET,Ei Mindspark</v>
      </c>
      <c r="H178" s="50">
        <f>VLOOKUP(B178,aa!B:J,9,0)</f>
        <v>0</v>
      </c>
      <c r="I178" s="50">
        <f>VLOOKUP(B178,aa!B:L,11,0)</f>
        <v>0</v>
      </c>
      <c r="J178" s="50">
        <f>VLOOKUP(B178,aa!B:O,14,0)</f>
        <v>0</v>
      </c>
      <c r="K178" s="50">
        <f>VLOOKUP(B178,aa!B:R,17,0)</f>
        <v>0</v>
      </c>
      <c r="L178" s="50" t="s">
        <v>193</v>
      </c>
      <c r="M178" s="50">
        <v>866253</v>
      </c>
      <c r="N178" s="50">
        <v>970940</v>
      </c>
      <c r="O178" s="50">
        <v>284656</v>
      </c>
      <c r="P178" s="50">
        <v>915</v>
      </c>
      <c r="Q178" s="50" t="s">
        <v>195</v>
      </c>
      <c r="R178" s="50">
        <v>0</v>
      </c>
      <c r="S178" s="50">
        <v>0</v>
      </c>
      <c r="U178" s="50">
        <v>581597</v>
      </c>
      <c r="V178" s="50">
        <v>915</v>
      </c>
      <c r="W178" s="50" t="s">
        <v>11949</v>
      </c>
      <c r="X178" s="50" t="s">
        <v>102</v>
      </c>
      <c r="Y178" s="50" t="s">
        <v>103</v>
      </c>
      <c r="Z178" s="50" t="s">
        <v>104</v>
      </c>
      <c r="AB178" s="50" t="s">
        <v>11950</v>
      </c>
      <c r="AC178" s="50" t="s">
        <v>12413</v>
      </c>
      <c r="AD178" s="50" t="s">
        <v>11952</v>
      </c>
      <c r="AE178" s="50" t="s">
        <v>12413</v>
      </c>
      <c r="AF178" s="50" t="s">
        <v>109</v>
      </c>
      <c r="AG178" s="50" t="s">
        <v>102</v>
      </c>
      <c r="AH178" s="50" t="s">
        <v>109</v>
      </c>
      <c r="AI178" s="50" t="s">
        <v>102</v>
      </c>
      <c r="AJ178" s="50" t="s">
        <v>12368</v>
      </c>
      <c r="AK178" s="50" t="s">
        <v>11954</v>
      </c>
      <c r="AL178" s="50" t="s">
        <v>11954</v>
      </c>
      <c r="AM178" s="50" t="s">
        <v>12414</v>
      </c>
      <c r="AN178" s="50" t="s">
        <v>12370</v>
      </c>
      <c r="AO178" s="50" t="s">
        <v>12415</v>
      </c>
      <c r="AP178" s="50" t="s">
        <v>12372</v>
      </c>
      <c r="AQ178" s="50" t="s">
        <v>12372</v>
      </c>
      <c r="AV178" s="50" t="s">
        <v>207</v>
      </c>
      <c r="AW178" s="50" t="s">
        <v>118</v>
      </c>
      <c r="AX178" s="50" t="s">
        <v>102</v>
      </c>
      <c r="AY178" s="50" t="s">
        <v>119</v>
      </c>
      <c r="BB178" s="50" t="s">
        <v>250</v>
      </c>
      <c r="BC178" s="50" t="s">
        <v>120</v>
      </c>
      <c r="BD178" s="50" t="s">
        <v>838</v>
      </c>
      <c r="BE178" s="50" t="s">
        <v>211</v>
      </c>
      <c r="BF178" s="50" t="s">
        <v>212</v>
      </c>
      <c r="BG178" s="50" t="s">
        <v>213</v>
      </c>
      <c r="BH178" s="50" t="s">
        <v>124</v>
      </c>
      <c r="BI178" s="50" t="s">
        <v>11959</v>
      </c>
      <c r="BJ178" s="50" t="s">
        <v>11960</v>
      </c>
      <c r="BK178" s="50" t="s">
        <v>127</v>
      </c>
      <c r="BL178" s="50" t="s">
        <v>12416</v>
      </c>
      <c r="BM178" s="50" t="s">
        <v>840</v>
      </c>
      <c r="BN178" s="50" t="s">
        <v>12417</v>
      </c>
      <c r="BO178" s="50" t="s">
        <v>11948</v>
      </c>
      <c r="BP178" s="50" t="s">
        <v>1880</v>
      </c>
      <c r="BQ178" s="50" t="s">
        <v>7992</v>
      </c>
      <c r="BR178" s="50" t="s">
        <v>1882</v>
      </c>
      <c r="BS178" s="50" t="s">
        <v>1883</v>
      </c>
      <c r="BT178" s="50" t="s">
        <v>222</v>
      </c>
      <c r="BV178" s="50" t="s">
        <v>12418</v>
      </c>
      <c r="BW178" s="50" t="s">
        <v>12376</v>
      </c>
      <c r="BX178" s="50" t="s">
        <v>138</v>
      </c>
      <c r="BY178" s="50" t="s">
        <v>225</v>
      </c>
      <c r="BZ178" s="50" t="s">
        <v>226</v>
      </c>
      <c r="CA178" s="50" t="s">
        <v>843</v>
      </c>
      <c r="CB178" s="50" t="s">
        <v>12419</v>
      </c>
      <c r="CC178" s="50" t="s">
        <v>12420</v>
      </c>
      <c r="CD178" s="50" t="s">
        <v>12421</v>
      </c>
      <c r="CE178" s="50" t="s">
        <v>12422</v>
      </c>
      <c r="CF178" s="50" t="s">
        <v>12420</v>
      </c>
      <c r="CG178" s="50" t="s">
        <v>12421</v>
      </c>
      <c r="CH178" s="50" t="s">
        <v>102</v>
      </c>
      <c r="CI178" s="50" t="s">
        <v>844</v>
      </c>
      <c r="CK178" s="50" t="s">
        <v>845</v>
      </c>
      <c r="CM178" s="50" t="s">
        <v>838</v>
      </c>
      <c r="CN178" s="50" t="s">
        <v>211</v>
      </c>
      <c r="CO178" s="50" t="s">
        <v>845</v>
      </c>
      <c r="CP178" s="50" t="s">
        <v>230</v>
      </c>
      <c r="CQ178" s="50" t="s">
        <v>844</v>
      </c>
      <c r="CR178" s="50" t="s">
        <v>844</v>
      </c>
    </row>
    <row r="179" spans="1:97" hidden="1">
      <c r="A179" s="50" t="s">
        <v>337</v>
      </c>
      <c r="B179" s="50">
        <v>5018247</v>
      </c>
      <c r="C179" s="50" t="e">
        <f>VLOOKUP(B179,'Drop schools 2026'!B:C,2,0)</f>
        <v>#N/A</v>
      </c>
      <c r="D179" s="50" t="s">
        <v>174</v>
      </c>
      <c r="E179" s="50" t="s">
        <v>384</v>
      </c>
      <c r="F179" s="50" t="s">
        <v>19591</v>
      </c>
      <c r="G179" s="50" t="str">
        <f>VLOOKUP(B179,aa!B:F,5,0)</f>
        <v>Ei CARES</v>
      </c>
      <c r="H179" s="50">
        <f>VLOOKUP(B179,aa!B:J,9,0)</f>
        <v>918527</v>
      </c>
      <c r="I179" s="50">
        <f>VLOOKUP(B179,aa!B:L,11,0)</f>
        <v>0</v>
      </c>
      <c r="J179" s="50">
        <f>VLOOKUP(B179,aa!B:O,14,0)</f>
        <v>918527</v>
      </c>
      <c r="K179" s="50">
        <f>VLOOKUP(B179,aa!B:R,17,0)</f>
        <v>0</v>
      </c>
      <c r="L179" s="50" t="s">
        <v>152</v>
      </c>
      <c r="M179" s="50">
        <v>866195</v>
      </c>
      <c r="N179" s="50">
        <v>866195</v>
      </c>
      <c r="O179" s="50">
        <v>0</v>
      </c>
      <c r="P179" s="50">
        <v>0</v>
      </c>
      <c r="R179" s="50">
        <v>866195</v>
      </c>
      <c r="S179" s="50">
        <v>602</v>
      </c>
      <c r="T179" s="50" t="s">
        <v>19592</v>
      </c>
      <c r="U179" s="50">
        <v>0</v>
      </c>
      <c r="V179" s="50">
        <v>0</v>
      </c>
      <c r="X179" s="50" t="s">
        <v>102</v>
      </c>
      <c r="Y179" s="50" t="s">
        <v>103</v>
      </c>
      <c r="Z179" s="50" t="s">
        <v>155</v>
      </c>
      <c r="AB179" s="50" t="s">
        <v>6341</v>
      </c>
      <c r="AC179" s="50" t="s">
        <v>19593</v>
      </c>
      <c r="AD179" s="50" t="s">
        <v>12923</v>
      </c>
      <c r="AE179" s="50" t="s">
        <v>19593</v>
      </c>
      <c r="AF179" s="50" t="s">
        <v>12020</v>
      </c>
      <c r="AG179" s="50" t="s">
        <v>19593</v>
      </c>
      <c r="AH179" s="50" t="s">
        <v>3849</v>
      </c>
      <c r="AI179" s="50" t="s">
        <v>19593</v>
      </c>
      <c r="AJ179" s="50" t="s">
        <v>102</v>
      </c>
      <c r="AK179" s="50" t="s">
        <v>3880</v>
      </c>
      <c r="AL179" s="50" t="s">
        <v>15755</v>
      </c>
      <c r="AM179" s="50" t="s">
        <v>19594</v>
      </c>
      <c r="AN179" s="50" t="s">
        <v>19595</v>
      </c>
      <c r="AO179" s="50" t="s">
        <v>19596</v>
      </c>
      <c r="AP179" s="50" t="s">
        <v>1826</v>
      </c>
      <c r="AQ179" s="50" t="s">
        <v>1826</v>
      </c>
      <c r="AV179" s="50" t="s">
        <v>102</v>
      </c>
      <c r="AX179" s="50" t="s">
        <v>104</v>
      </c>
      <c r="AY179" s="50" t="s">
        <v>447</v>
      </c>
      <c r="AZ179" s="50" t="s">
        <v>170</v>
      </c>
      <c r="BA179" s="50" t="s">
        <v>118</v>
      </c>
      <c r="BC179" s="50" t="s">
        <v>1964</v>
      </c>
      <c r="BD179" s="50" t="s">
        <v>19597</v>
      </c>
      <c r="BE179" s="50" t="s">
        <v>19598</v>
      </c>
      <c r="BF179" s="50" t="s">
        <v>174</v>
      </c>
      <c r="BG179" s="50" t="s">
        <v>376</v>
      </c>
      <c r="BH179" s="50" t="s">
        <v>124</v>
      </c>
      <c r="BI179" s="50" t="s">
        <v>4045</v>
      </c>
      <c r="BJ179" s="50" t="s">
        <v>11889</v>
      </c>
      <c r="BK179" s="50" t="s">
        <v>127</v>
      </c>
      <c r="BL179" s="50" t="s">
        <v>19599</v>
      </c>
      <c r="BM179" s="50" t="s">
        <v>19600</v>
      </c>
      <c r="BN179" s="50" t="s">
        <v>19601</v>
      </c>
      <c r="BO179" s="50" t="s">
        <v>3974</v>
      </c>
      <c r="BP179" s="50" t="s">
        <v>13780</v>
      </c>
      <c r="BQ179" s="50" t="s">
        <v>180</v>
      </c>
      <c r="BR179" s="50" t="s">
        <v>13781</v>
      </c>
      <c r="BS179" s="50" t="s">
        <v>13782</v>
      </c>
      <c r="BT179" s="50" t="s">
        <v>13783</v>
      </c>
      <c r="BV179" s="50" t="s">
        <v>19602</v>
      </c>
      <c r="BW179" s="50" t="s">
        <v>19603</v>
      </c>
      <c r="BX179" s="50" t="s">
        <v>138</v>
      </c>
      <c r="BY179" s="50" t="s">
        <v>19604</v>
      </c>
      <c r="BZ179" s="50" t="s">
        <v>19605</v>
      </c>
      <c r="CA179" s="50" t="s">
        <v>19606</v>
      </c>
      <c r="CB179" s="50" t="s">
        <v>19603</v>
      </c>
      <c r="CC179" s="50" t="s">
        <v>19604</v>
      </c>
      <c r="CD179" s="50" t="s">
        <v>19605</v>
      </c>
      <c r="CE179" s="50" t="s">
        <v>19603</v>
      </c>
      <c r="CF179" s="50" t="s">
        <v>19604</v>
      </c>
      <c r="CG179" s="50" t="s">
        <v>19605</v>
      </c>
      <c r="CH179" s="50" t="s">
        <v>2555</v>
      </c>
      <c r="CI179" s="50" t="s">
        <v>19607</v>
      </c>
      <c r="CK179" s="50" t="s">
        <v>19608</v>
      </c>
      <c r="CL179" s="50" t="s">
        <v>19609</v>
      </c>
      <c r="CM179" s="50" t="s">
        <v>19597</v>
      </c>
      <c r="CN179" s="50" t="s">
        <v>19598</v>
      </c>
      <c r="CO179" s="50" t="s">
        <v>19608</v>
      </c>
      <c r="CQ179" s="50" t="s">
        <v>19607</v>
      </c>
      <c r="CR179" s="50" t="s">
        <v>19607</v>
      </c>
    </row>
    <row r="180" spans="1:97" hidden="1">
      <c r="A180" s="50" t="s">
        <v>337</v>
      </c>
      <c r="B180" s="50">
        <v>3218539</v>
      </c>
      <c r="C180" s="50" t="e">
        <f>VLOOKUP(B180,'Drop schools 2026'!B:C,2,0)</f>
        <v>#N/A</v>
      </c>
      <c r="D180" s="50" t="s">
        <v>174</v>
      </c>
      <c r="E180" s="50" t="s">
        <v>12155</v>
      </c>
      <c r="F180" s="50" t="s">
        <v>15214</v>
      </c>
      <c r="G180" s="50" t="str">
        <f>VLOOKUP(B180,aa!B:F,5,0)</f>
        <v>Ei CARES</v>
      </c>
      <c r="H180" s="50">
        <f>VLOOKUP(B180,aa!B:J,9,0)</f>
        <v>879043</v>
      </c>
      <c r="I180" s="50">
        <f>VLOOKUP(B180,aa!B:L,11,0)</f>
        <v>0</v>
      </c>
      <c r="J180" s="50">
        <f>VLOOKUP(B180,aa!B:O,14,0)</f>
        <v>879043</v>
      </c>
      <c r="K180" s="50">
        <f>VLOOKUP(B180,aa!B:R,17,0)</f>
        <v>0</v>
      </c>
      <c r="L180" s="50" t="s">
        <v>152</v>
      </c>
      <c r="M180" s="50">
        <v>859394</v>
      </c>
      <c r="N180" s="50">
        <v>859394</v>
      </c>
      <c r="O180" s="50">
        <v>0</v>
      </c>
      <c r="P180" s="50">
        <v>0</v>
      </c>
      <c r="R180" s="50">
        <v>859394</v>
      </c>
      <c r="S180" s="50">
        <v>1532</v>
      </c>
      <c r="T180" s="50" t="s">
        <v>15216</v>
      </c>
      <c r="U180" s="50">
        <v>0</v>
      </c>
      <c r="V180" s="50">
        <v>0</v>
      </c>
      <c r="X180" s="50" t="s">
        <v>102</v>
      </c>
      <c r="Y180" s="50" t="s">
        <v>103</v>
      </c>
      <c r="Z180" s="50" t="s">
        <v>801</v>
      </c>
      <c r="AB180" s="50" t="s">
        <v>15217</v>
      </c>
      <c r="AC180" s="50" t="s">
        <v>15218</v>
      </c>
      <c r="AD180" s="50" t="s">
        <v>15219</v>
      </c>
      <c r="AE180" s="50" t="s">
        <v>15218</v>
      </c>
      <c r="AF180" s="50" t="s">
        <v>15220</v>
      </c>
      <c r="AG180" s="50" t="s">
        <v>15218</v>
      </c>
      <c r="AH180" s="50" t="s">
        <v>12516</v>
      </c>
      <c r="AI180" s="50" t="s">
        <v>15218</v>
      </c>
      <c r="AJ180" s="50" t="s">
        <v>102</v>
      </c>
      <c r="AK180" s="50" t="s">
        <v>442</v>
      </c>
      <c r="AL180" s="50" t="s">
        <v>15221</v>
      </c>
      <c r="AM180" s="50" t="s">
        <v>15222</v>
      </c>
      <c r="AN180" s="50" t="s">
        <v>15223</v>
      </c>
      <c r="AO180" s="50" t="s">
        <v>15224</v>
      </c>
      <c r="AP180" s="50" t="s">
        <v>15225</v>
      </c>
      <c r="AQ180" s="50" t="s">
        <v>15225</v>
      </c>
      <c r="AV180" s="50" t="s">
        <v>102</v>
      </c>
      <c r="AX180" s="50" t="s">
        <v>155</v>
      </c>
      <c r="AY180" s="50" t="s">
        <v>447</v>
      </c>
      <c r="AZ180" s="50" t="s">
        <v>170</v>
      </c>
      <c r="BA180" s="50" t="s">
        <v>118</v>
      </c>
      <c r="BC180" s="50" t="s">
        <v>120</v>
      </c>
      <c r="BD180" s="50" t="s">
        <v>3754</v>
      </c>
      <c r="BE180" s="50" t="s">
        <v>173</v>
      </c>
      <c r="BF180" s="50" t="s">
        <v>174</v>
      </c>
      <c r="BG180" s="50" t="s">
        <v>173</v>
      </c>
      <c r="BH180" s="50" t="s">
        <v>124</v>
      </c>
      <c r="BI180" s="50" t="s">
        <v>4909</v>
      </c>
      <c r="BJ180" s="50" t="s">
        <v>14455</v>
      </c>
      <c r="BK180" s="50" t="s">
        <v>127</v>
      </c>
      <c r="BL180" s="50" t="s">
        <v>15226</v>
      </c>
      <c r="BM180" s="50" t="s">
        <v>15227</v>
      </c>
      <c r="BN180" s="50" t="s">
        <v>15228</v>
      </c>
      <c r="BO180" s="50" t="s">
        <v>15215</v>
      </c>
      <c r="BP180" s="50" t="s">
        <v>8447</v>
      </c>
      <c r="BQ180" s="50" t="s">
        <v>7992</v>
      </c>
      <c r="BR180" s="50" t="s">
        <v>8448</v>
      </c>
      <c r="BS180" s="50" t="s">
        <v>8449</v>
      </c>
      <c r="BT180" s="50" t="s">
        <v>8450</v>
      </c>
      <c r="BV180" s="50" t="s">
        <v>15229</v>
      </c>
      <c r="BW180" s="50" t="s">
        <v>15230</v>
      </c>
      <c r="BX180" s="50" t="s">
        <v>354</v>
      </c>
      <c r="BY180" s="50" t="s">
        <v>15231</v>
      </c>
      <c r="BZ180" s="50" t="s">
        <v>15232</v>
      </c>
      <c r="CA180" s="50" t="s">
        <v>15233</v>
      </c>
      <c r="CB180" s="50" t="s">
        <v>15234</v>
      </c>
      <c r="CC180" s="50" t="s">
        <v>15235</v>
      </c>
      <c r="CD180" s="50" t="s">
        <v>15236</v>
      </c>
      <c r="CE180" s="50" t="s">
        <v>15237</v>
      </c>
      <c r="CF180" s="50" t="s">
        <v>15238</v>
      </c>
      <c r="CG180" s="50" t="s">
        <v>15239</v>
      </c>
      <c r="CH180" s="50" t="s">
        <v>14754</v>
      </c>
      <c r="CI180" s="50" t="s">
        <v>15240</v>
      </c>
      <c r="CK180" s="50" t="s">
        <v>15241</v>
      </c>
      <c r="CL180" s="50" t="s">
        <v>15242</v>
      </c>
      <c r="CM180" s="50" t="s">
        <v>3754</v>
      </c>
      <c r="CN180" s="50" t="s">
        <v>173</v>
      </c>
      <c r="CO180" s="50" t="s">
        <v>15241</v>
      </c>
      <c r="CQ180" s="50" t="s">
        <v>15243</v>
      </c>
      <c r="CR180" s="50" t="s">
        <v>15243</v>
      </c>
    </row>
    <row r="181" spans="1:97" hidden="1">
      <c r="A181" s="50" t="s">
        <v>149</v>
      </c>
      <c r="B181" s="50">
        <v>5014914</v>
      </c>
      <c r="C181" s="50" t="e">
        <f>VLOOKUP(B181,'Drop schools 2026'!B:C,2,0)</f>
        <v>#N/A</v>
      </c>
      <c r="D181" s="50" t="s">
        <v>622</v>
      </c>
      <c r="E181" s="50" t="s">
        <v>2525</v>
      </c>
      <c r="F181" s="50" t="s">
        <v>9369</v>
      </c>
      <c r="G181" s="50" t="str">
        <f>VLOOKUP(B181,aa!B:F,5,0)</f>
        <v>Ei ASSET</v>
      </c>
      <c r="H181" s="50">
        <f>VLOOKUP(B181,aa!B:J,9,0)</f>
        <v>554090</v>
      </c>
      <c r="I181" s="50">
        <f>VLOOKUP(B181,aa!B:L,11,0)</f>
        <v>554090</v>
      </c>
      <c r="J181" s="50">
        <f>VLOOKUP(B181,aa!B:O,14,0)</f>
        <v>0</v>
      </c>
      <c r="K181" s="50">
        <f>VLOOKUP(B181,aa!B:R,17,0)</f>
        <v>0</v>
      </c>
      <c r="L181" s="50" t="s">
        <v>193</v>
      </c>
      <c r="M181" s="50">
        <v>852241</v>
      </c>
      <c r="N181" s="50">
        <v>927017</v>
      </c>
      <c r="O181" s="50">
        <v>436817</v>
      </c>
      <c r="P181" s="50">
        <v>480</v>
      </c>
      <c r="Q181" s="50" t="s">
        <v>1798</v>
      </c>
      <c r="R181" s="50">
        <v>0</v>
      </c>
      <c r="S181" s="50">
        <v>0</v>
      </c>
      <c r="U181" s="50">
        <v>415424</v>
      </c>
      <c r="V181" s="50">
        <v>185</v>
      </c>
      <c r="W181" s="50" t="s">
        <v>18653</v>
      </c>
      <c r="X181" s="50" t="s">
        <v>102</v>
      </c>
      <c r="Y181" s="50" t="s">
        <v>679</v>
      </c>
      <c r="Z181" s="50" t="s">
        <v>155</v>
      </c>
      <c r="AA181" s="50" t="s">
        <v>126</v>
      </c>
      <c r="AB181" s="50" t="s">
        <v>18654</v>
      </c>
      <c r="AC181" s="50" t="s">
        <v>18655</v>
      </c>
      <c r="AD181" s="50" t="s">
        <v>12571</v>
      </c>
      <c r="AE181" s="50" t="s">
        <v>18655</v>
      </c>
      <c r="AF181" s="50" t="s">
        <v>18656</v>
      </c>
      <c r="AG181" s="50" t="s">
        <v>18655</v>
      </c>
      <c r="AH181" s="50" t="s">
        <v>18657</v>
      </c>
      <c r="AI181" s="50" t="s">
        <v>18655</v>
      </c>
      <c r="AJ181" s="50" t="s">
        <v>18658</v>
      </c>
      <c r="AK181" s="50" t="s">
        <v>18659</v>
      </c>
      <c r="AL181" s="50" t="s">
        <v>18660</v>
      </c>
      <c r="AM181" s="50" t="s">
        <v>18661</v>
      </c>
      <c r="AN181" s="50" t="s">
        <v>18662</v>
      </c>
      <c r="AO181" s="50" t="s">
        <v>18663</v>
      </c>
      <c r="AP181" s="50" t="s">
        <v>18664</v>
      </c>
      <c r="AQ181" s="50" t="s">
        <v>18665</v>
      </c>
      <c r="AR181" s="50" t="s">
        <v>343</v>
      </c>
      <c r="AU181" s="50" t="s">
        <v>169</v>
      </c>
      <c r="AV181" s="50" t="s">
        <v>247</v>
      </c>
      <c r="AW181" s="50" t="s">
        <v>250</v>
      </c>
      <c r="AX181" s="50" t="s">
        <v>102</v>
      </c>
      <c r="AY181" s="50" t="s">
        <v>119</v>
      </c>
      <c r="BB181" s="50" t="s">
        <v>250</v>
      </c>
      <c r="BC181" s="50" t="s">
        <v>120</v>
      </c>
      <c r="BD181" s="50" t="s">
        <v>5071</v>
      </c>
      <c r="BE181" s="50" t="s">
        <v>730</v>
      </c>
      <c r="BF181" s="50" t="s">
        <v>622</v>
      </c>
      <c r="BG181" s="50" t="s">
        <v>730</v>
      </c>
      <c r="BH181" s="50" t="s">
        <v>124</v>
      </c>
      <c r="BI181" s="50" t="s">
        <v>18666</v>
      </c>
      <c r="BJ181" s="50" t="s">
        <v>18667</v>
      </c>
      <c r="BK181" s="50" t="s">
        <v>127</v>
      </c>
      <c r="BL181" s="50" t="s">
        <v>18668</v>
      </c>
      <c r="BM181" s="50" t="s">
        <v>9377</v>
      </c>
      <c r="BN181" s="50" t="s">
        <v>18669</v>
      </c>
      <c r="BO181" s="50" t="s">
        <v>18652</v>
      </c>
      <c r="BP181" s="50" t="s">
        <v>3606</v>
      </c>
      <c r="BQ181" s="50" t="s">
        <v>350</v>
      </c>
      <c r="BR181" s="50" t="s">
        <v>3607</v>
      </c>
      <c r="BS181" s="50" t="s">
        <v>3608</v>
      </c>
      <c r="BT181" s="50" t="s">
        <v>2525</v>
      </c>
      <c r="BV181" s="50" t="s">
        <v>18670</v>
      </c>
      <c r="BW181" s="50" t="s">
        <v>9380</v>
      </c>
      <c r="BX181" s="50" t="s">
        <v>598</v>
      </c>
      <c r="BY181" s="50" t="s">
        <v>9381</v>
      </c>
      <c r="BZ181" s="50" t="s">
        <v>9382</v>
      </c>
      <c r="CA181" s="50" t="s">
        <v>9383</v>
      </c>
      <c r="CB181" s="50" t="s">
        <v>9380</v>
      </c>
      <c r="CC181" s="50" t="s">
        <v>9381</v>
      </c>
      <c r="CD181" s="50" t="s">
        <v>9382</v>
      </c>
      <c r="CE181" s="50" t="s">
        <v>9380</v>
      </c>
      <c r="CF181" s="50" t="s">
        <v>9381</v>
      </c>
      <c r="CG181" s="50" t="s">
        <v>9382</v>
      </c>
      <c r="CH181" s="50" t="s">
        <v>102</v>
      </c>
      <c r="CI181" s="50" t="s">
        <v>9384</v>
      </c>
      <c r="CK181" s="50" t="s">
        <v>9385</v>
      </c>
      <c r="CM181" s="50" t="s">
        <v>5071</v>
      </c>
      <c r="CN181" s="50" t="s">
        <v>730</v>
      </c>
      <c r="CO181" s="50" t="s">
        <v>9385</v>
      </c>
      <c r="CP181" s="50" t="s">
        <v>9386</v>
      </c>
      <c r="CQ181" s="50" t="s">
        <v>9384</v>
      </c>
      <c r="CR181" s="50" t="s">
        <v>9384</v>
      </c>
    </row>
    <row r="182" spans="1:97" hidden="1">
      <c r="A182" s="50" t="s">
        <v>93</v>
      </c>
      <c r="B182" s="50">
        <v>3167641</v>
      </c>
      <c r="C182" s="50" t="str">
        <f>VLOOKUP(B182,RISK!B:C,2,0)</f>
        <v>Risk</v>
      </c>
      <c r="D182" s="50" t="s">
        <v>622</v>
      </c>
      <c r="E182" s="50" t="s">
        <v>3562</v>
      </c>
      <c r="F182" s="50" t="s">
        <v>4880</v>
      </c>
      <c r="G182" s="50" t="e">
        <f>VLOOKUP(B182,aa!B:F,5,0)</f>
        <v>#N/A</v>
      </c>
      <c r="H182" s="50" t="e">
        <f>VLOOKUP(B182,aa!B:J,9,0)</f>
        <v>#N/A</v>
      </c>
      <c r="I182" s="50" t="e">
        <f>VLOOKUP(B182,aa!B:L,11,0)</f>
        <v>#N/A</v>
      </c>
      <c r="J182" s="50" t="e">
        <f>VLOOKUP(B182,aa!B:O,14,0)</f>
        <v>#N/A</v>
      </c>
      <c r="K182" s="50" t="e">
        <f>VLOOKUP(B182,aa!B:R,17,0)</f>
        <v>#N/A</v>
      </c>
      <c r="L182" s="50" t="s">
        <v>848</v>
      </c>
      <c r="M182" s="50">
        <v>849921</v>
      </c>
      <c r="N182" s="50">
        <v>1002906</v>
      </c>
      <c r="O182" s="50">
        <v>0</v>
      </c>
      <c r="P182" s="50">
        <v>0</v>
      </c>
      <c r="R182" s="50">
        <v>0</v>
      </c>
      <c r="S182" s="50">
        <v>0</v>
      </c>
      <c r="U182" s="50">
        <v>849921</v>
      </c>
      <c r="V182" s="50">
        <v>580</v>
      </c>
      <c r="W182" s="50" t="s">
        <v>15088</v>
      </c>
      <c r="X182" s="50" t="s">
        <v>102</v>
      </c>
      <c r="Y182" s="50" t="s">
        <v>103</v>
      </c>
      <c r="Z182" s="50" t="s">
        <v>938</v>
      </c>
      <c r="AB182" s="50" t="s">
        <v>15089</v>
      </c>
      <c r="AC182" s="50" t="s">
        <v>15090</v>
      </c>
      <c r="AD182" s="50" t="s">
        <v>15091</v>
      </c>
      <c r="AE182" s="50" t="s">
        <v>15092</v>
      </c>
      <c r="AF182" s="50" t="s">
        <v>15093</v>
      </c>
      <c r="AG182" s="50" t="s">
        <v>15092</v>
      </c>
      <c r="AH182" s="50" t="s">
        <v>13263</v>
      </c>
      <c r="AI182" s="50" t="s">
        <v>15094</v>
      </c>
      <c r="AJ182" s="50" t="s">
        <v>102</v>
      </c>
      <c r="AK182" s="50" t="s">
        <v>13034</v>
      </c>
      <c r="AL182" s="50" t="s">
        <v>15054</v>
      </c>
      <c r="AM182" s="50" t="s">
        <v>15095</v>
      </c>
      <c r="AN182" s="50" t="s">
        <v>15096</v>
      </c>
      <c r="AO182" s="50" t="s">
        <v>15097</v>
      </c>
      <c r="AP182" s="50" t="s">
        <v>15098</v>
      </c>
      <c r="AQ182" s="50" t="s">
        <v>15099</v>
      </c>
      <c r="AU182" s="50" t="s">
        <v>169</v>
      </c>
      <c r="AV182" s="50" t="s">
        <v>102</v>
      </c>
      <c r="AX182" s="50" t="s">
        <v>102</v>
      </c>
      <c r="AY182" s="50" t="s">
        <v>119</v>
      </c>
      <c r="BB182" s="50" t="s">
        <v>250</v>
      </c>
      <c r="BC182" s="50" t="s">
        <v>120</v>
      </c>
      <c r="BD182" s="50" t="s">
        <v>4889</v>
      </c>
      <c r="BE182" s="50" t="s">
        <v>730</v>
      </c>
      <c r="BF182" s="50" t="s">
        <v>622</v>
      </c>
      <c r="BG182" s="50" t="s">
        <v>730</v>
      </c>
      <c r="BH182" s="50" t="s">
        <v>124</v>
      </c>
      <c r="BI182" s="50" t="s">
        <v>12275</v>
      </c>
      <c r="BJ182" s="50" t="s">
        <v>11889</v>
      </c>
      <c r="BK182" s="50" t="s">
        <v>127</v>
      </c>
      <c r="BL182" s="50" t="s">
        <v>15100</v>
      </c>
      <c r="BM182" s="50" t="s">
        <v>4891</v>
      </c>
      <c r="BN182" s="50" t="s">
        <v>15101</v>
      </c>
      <c r="BO182" s="50" t="s">
        <v>15087</v>
      </c>
      <c r="BP182" s="50" t="s">
        <v>2262</v>
      </c>
      <c r="BQ182" s="50" t="s">
        <v>2928</v>
      </c>
      <c r="BR182" s="50" t="s">
        <v>2263</v>
      </c>
      <c r="BS182" s="50" t="s">
        <v>2264</v>
      </c>
      <c r="BT182" s="50" t="s">
        <v>2569</v>
      </c>
      <c r="BV182" s="50" t="s">
        <v>15102</v>
      </c>
      <c r="BW182" s="50" t="s">
        <v>4897</v>
      </c>
      <c r="BX182" s="50" t="s">
        <v>354</v>
      </c>
      <c r="BY182" s="50" t="s">
        <v>15103</v>
      </c>
      <c r="BZ182" s="50" t="s">
        <v>15104</v>
      </c>
      <c r="CA182" s="50" t="s">
        <v>4900</v>
      </c>
      <c r="CB182" s="50" t="s">
        <v>15105</v>
      </c>
      <c r="CC182" s="50" t="s">
        <v>15106</v>
      </c>
      <c r="CD182" s="50" t="s">
        <v>15107</v>
      </c>
      <c r="CE182" s="50" t="s">
        <v>15105</v>
      </c>
      <c r="CF182" s="50" t="s">
        <v>15106</v>
      </c>
      <c r="CG182" s="50" t="s">
        <v>15107</v>
      </c>
      <c r="CH182" s="50" t="s">
        <v>4901</v>
      </c>
      <c r="CI182" s="50" t="s">
        <v>15108</v>
      </c>
      <c r="CK182" s="50" t="s">
        <v>4903</v>
      </c>
      <c r="CL182" s="50" t="s">
        <v>15109</v>
      </c>
      <c r="CM182" s="50" t="s">
        <v>4889</v>
      </c>
      <c r="CN182" s="50" t="s">
        <v>730</v>
      </c>
      <c r="CO182" s="50" t="s">
        <v>4903</v>
      </c>
      <c r="CQ182" s="50" t="s">
        <v>4902</v>
      </c>
      <c r="CR182" s="50" t="s">
        <v>4902</v>
      </c>
      <c r="CS182" s="50" t="s">
        <v>26042</v>
      </c>
    </row>
    <row r="183" spans="1:97" hidden="1">
      <c r="A183" s="50" t="s">
        <v>337</v>
      </c>
      <c r="B183" s="50">
        <v>5024546</v>
      </c>
      <c r="C183" s="50" t="e">
        <f>VLOOKUP(B183,'Drop schools 2026'!B:C,2,0)</f>
        <v>#N/A</v>
      </c>
      <c r="D183" s="50" t="s">
        <v>212</v>
      </c>
      <c r="E183" s="50" t="s">
        <v>12423</v>
      </c>
      <c r="F183" s="50" t="s">
        <v>20151</v>
      </c>
      <c r="G183" s="50" t="e">
        <f>VLOOKUP(B183,aa!B:F,5,0)</f>
        <v>#N/A</v>
      </c>
      <c r="H183" s="50" t="e">
        <f>VLOOKUP(B183,aa!B:J,9,0)</f>
        <v>#N/A</v>
      </c>
      <c r="I183" s="50" t="e">
        <f>VLOOKUP(B183,aa!B:L,11,0)</f>
        <v>#N/A</v>
      </c>
      <c r="J183" s="50" t="e">
        <f>VLOOKUP(B183,aa!B:O,14,0)</f>
        <v>#N/A</v>
      </c>
      <c r="K183" s="50" t="e">
        <f>VLOOKUP(B183,aa!B:R,17,0)</f>
        <v>#N/A</v>
      </c>
      <c r="L183" s="50" t="s">
        <v>152</v>
      </c>
      <c r="M183" s="50">
        <v>842566</v>
      </c>
      <c r="N183" s="50">
        <v>842566</v>
      </c>
      <c r="O183" s="50">
        <v>0</v>
      </c>
      <c r="P183" s="50">
        <v>0</v>
      </c>
      <c r="R183" s="50">
        <v>842566</v>
      </c>
      <c r="S183" s="50">
        <v>1040</v>
      </c>
      <c r="T183" s="50" t="s">
        <v>6750</v>
      </c>
      <c r="U183" s="50">
        <v>0</v>
      </c>
      <c r="V183" s="50">
        <v>0</v>
      </c>
      <c r="X183" s="50" t="s">
        <v>102</v>
      </c>
      <c r="Y183" s="50" t="s">
        <v>103</v>
      </c>
      <c r="Z183" s="50" t="s">
        <v>155</v>
      </c>
      <c r="AB183" s="50" t="s">
        <v>6134</v>
      </c>
      <c r="AC183" s="50" t="s">
        <v>20152</v>
      </c>
      <c r="AD183" s="50" t="s">
        <v>13033</v>
      </c>
      <c r="AE183" s="50" t="s">
        <v>20152</v>
      </c>
      <c r="AF183" s="50" t="s">
        <v>12873</v>
      </c>
      <c r="AG183" s="50" t="s">
        <v>20152</v>
      </c>
      <c r="AH183" s="50" t="s">
        <v>6895</v>
      </c>
      <c r="AI183" s="50" t="s">
        <v>20152</v>
      </c>
      <c r="AJ183" s="50" t="s">
        <v>102</v>
      </c>
      <c r="AK183" s="50" t="s">
        <v>6134</v>
      </c>
      <c r="AL183" s="50" t="s">
        <v>12327</v>
      </c>
      <c r="AM183" s="50" t="s">
        <v>20153</v>
      </c>
      <c r="AN183" s="50" t="s">
        <v>20154</v>
      </c>
      <c r="AO183" s="50" t="s">
        <v>20152</v>
      </c>
      <c r="AP183" s="50" t="s">
        <v>20155</v>
      </c>
      <c r="AQ183" s="50" t="s">
        <v>20155</v>
      </c>
      <c r="AV183" s="50" t="s">
        <v>102</v>
      </c>
      <c r="AX183" s="50" t="s">
        <v>155</v>
      </c>
      <c r="AY183" s="50" t="s">
        <v>119</v>
      </c>
      <c r="AZ183" s="50" t="s">
        <v>170</v>
      </c>
      <c r="BA183" s="50" t="s">
        <v>118</v>
      </c>
      <c r="BC183" s="50" t="s">
        <v>120</v>
      </c>
      <c r="BD183" s="50" t="s">
        <v>1552</v>
      </c>
      <c r="BE183" s="50" t="s">
        <v>20156</v>
      </c>
      <c r="BF183" s="50" t="s">
        <v>212</v>
      </c>
      <c r="BG183" s="50" t="s">
        <v>410</v>
      </c>
      <c r="BH183" s="50" t="s">
        <v>124</v>
      </c>
      <c r="BI183" s="50" t="s">
        <v>12023</v>
      </c>
      <c r="BJ183" s="50" t="s">
        <v>11889</v>
      </c>
      <c r="BK183" s="50" t="s">
        <v>127</v>
      </c>
      <c r="BL183" s="50" t="s">
        <v>20157</v>
      </c>
      <c r="BM183" s="50" t="s">
        <v>20158</v>
      </c>
      <c r="BN183" s="50" t="s">
        <v>20159</v>
      </c>
      <c r="BO183" s="50" t="s">
        <v>20110</v>
      </c>
      <c r="BP183" s="50" t="s">
        <v>4053</v>
      </c>
      <c r="BQ183" s="50" t="s">
        <v>132</v>
      </c>
      <c r="BR183" s="50" t="s">
        <v>4054</v>
      </c>
      <c r="BS183" s="50" t="s">
        <v>4055</v>
      </c>
      <c r="BT183" s="50" t="s">
        <v>4056</v>
      </c>
      <c r="BV183" s="50" t="s">
        <v>20160</v>
      </c>
      <c r="BW183" s="50" t="s">
        <v>20161</v>
      </c>
      <c r="BX183" s="50" t="s">
        <v>138</v>
      </c>
      <c r="BY183" s="50" t="s">
        <v>20162</v>
      </c>
      <c r="BZ183" s="50" t="s">
        <v>20163</v>
      </c>
      <c r="CA183" s="50" t="s">
        <v>20162</v>
      </c>
      <c r="CB183" s="50" t="s">
        <v>20164</v>
      </c>
      <c r="CC183" s="50" t="s">
        <v>20165</v>
      </c>
      <c r="CD183" s="50" t="s">
        <v>20163</v>
      </c>
      <c r="CE183" s="50" t="s">
        <v>20166</v>
      </c>
      <c r="CF183" s="50" t="s">
        <v>20165</v>
      </c>
      <c r="CG183" s="50" t="s">
        <v>20163</v>
      </c>
      <c r="CH183" s="50" t="s">
        <v>102</v>
      </c>
      <c r="CI183" s="50" t="s">
        <v>20167</v>
      </c>
      <c r="CK183" s="50" t="s">
        <v>1565</v>
      </c>
      <c r="CL183" s="50" t="s">
        <v>20168</v>
      </c>
      <c r="CM183" s="50" t="s">
        <v>1552</v>
      </c>
      <c r="CN183" s="50" t="s">
        <v>20156</v>
      </c>
      <c r="CO183" s="50" t="s">
        <v>1565</v>
      </c>
      <c r="CQ183" s="50" t="s">
        <v>20169</v>
      </c>
      <c r="CR183" s="50" t="s">
        <v>20169</v>
      </c>
      <c r="CS183" s="50" t="s">
        <v>26043</v>
      </c>
    </row>
    <row r="184" spans="1:97" hidden="1">
      <c r="A184" s="50" t="s">
        <v>93</v>
      </c>
      <c r="B184" s="50">
        <v>1720050</v>
      </c>
      <c r="C184" s="50" t="e">
        <f>VLOOKUP(B184,'Drop schools 2026'!B:C,2,0)</f>
        <v>#N/A</v>
      </c>
      <c r="D184" s="50" t="s">
        <v>212</v>
      </c>
      <c r="E184" s="50" t="s">
        <v>12423</v>
      </c>
      <c r="F184" s="50" t="s">
        <v>1567</v>
      </c>
      <c r="G184" s="50" t="e">
        <f>VLOOKUP(B184,aa!B:F,5,0)</f>
        <v>#N/A</v>
      </c>
      <c r="H184" s="50" t="e">
        <f>VLOOKUP(B184,aa!B:J,9,0)</f>
        <v>#N/A</v>
      </c>
      <c r="I184" s="50" t="e">
        <f>VLOOKUP(B184,aa!B:L,11,0)</f>
        <v>#N/A</v>
      </c>
      <c r="J184" s="50" t="e">
        <f>VLOOKUP(B184,aa!B:O,14,0)</f>
        <v>#N/A</v>
      </c>
      <c r="K184" s="50" t="e">
        <f>VLOOKUP(B184,aa!B:R,17,0)</f>
        <v>#N/A</v>
      </c>
      <c r="L184" s="50" t="s">
        <v>848</v>
      </c>
      <c r="M184" s="50">
        <v>840496</v>
      </c>
      <c r="N184" s="50">
        <v>991785</v>
      </c>
      <c r="O184" s="50">
        <v>0</v>
      </c>
      <c r="P184" s="50">
        <v>0</v>
      </c>
      <c r="R184" s="50">
        <v>0</v>
      </c>
      <c r="S184" s="50">
        <v>0</v>
      </c>
      <c r="U184" s="50">
        <v>840496</v>
      </c>
      <c r="V184" s="50">
        <v>761</v>
      </c>
      <c r="W184" s="50" t="s">
        <v>1569</v>
      </c>
      <c r="X184" s="50" t="s">
        <v>102</v>
      </c>
      <c r="Y184" s="50" t="s">
        <v>103</v>
      </c>
      <c r="Z184" s="50" t="s">
        <v>155</v>
      </c>
      <c r="AB184" s="50" t="s">
        <v>11932</v>
      </c>
      <c r="AC184" s="50" t="s">
        <v>12815</v>
      </c>
      <c r="AD184" s="50" t="s">
        <v>12816</v>
      </c>
      <c r="AE184" s="50" t="s">
        <v>12815</v>
      </c>
      <c r="AF184" s="50" t="s">
        <v>12211</v>
      </c>
      <c r="AG184" s="50" t="s">
        <v>12815</v>
      </c>
      <c r="AH184" s="50" t="s">
        <v>12817</v>
      </c>
      <c r="AI184" s="50" t="s">
        <v>12815</v>
      </c>
      <c r="AJ184" s="50" t="s">
        <v>12818</v>
      </c>
      <c r="AK184" s="50" t="s">
        <v>12819</v>
      </c>
      <c r="AL184" s="50" t="s">
        <v>12820</v>
      </c>
      <c r="AM184" s="50" t="s">
        <v>12821</v>
      </c>
      <c r="AN184" s="50" t="s">
        <v>12822</v>
      </c>
      <c r="AO184" s="50" t="s">
        <v>12823</v>
      </c>
      <c r="AP184" s="50" t="s">
        <v>1578</v>
      </c>
      <c r="AQ184" s="50" t="s">
        <v>1578</v>
      </c>
      <c r="AV184" s="50" t="s">
        <v>102</v>
      </c>
      <c r="AX184" s="50" t="s">
        <v>102</v>
      </c>
      <c r="AY184" s="50" t="s">
        <v>119</v>
      </c>
      <c r="BB184" s="50" t="s">
        <v>250</v>
      </c>
      <c r="BC184" s="50" t="s">
        <v>209</v>
      </c>
      <c r="BD184" s="50" t="s">
        <v>862</v>
      </c>
      <c r="BE184" s="50" t="s">
        <v>410</v>
      </c>
      <c r="BF184" s="50" t="s">
        <v>212</v>
      </c>
      <c r="BG184" s="50" t="s">
        <v>410</v>
      </c>
      <c r="BH184" s="50" t="s">
        <v>124</v>
      </c>
      <c r="BI184" s="50" t="s">
        <v>12128</v>
      </c>
      <c r="BJ184" s="50" t="s">
        <v>11960</v>
      </c>
      <c r="BK184" s="50" t="s">
        <v>127</v>
      </c>
      <c r="BL184" s="50" t="s">
        <v>12824</v>
      </c>
      <c r="BM184" s="50" t="s">
        <v>1580</v>
      </c>
      <c r="BN184" s="50" t="s">
        <v>12825</v>
      </c>
      <c r="BO184" s="50" t="s">
        <v>12128</v>
      </c>
      <c r="BP184" s="50" t="s">
        <v>1582</v>
      </c>
      <c r="BQ184" s="50" t="s">
        <v>132</v>
      </c>
      <c r="BR184" s="50" t="s">
        <v>1583</v>
      </c>
      <c r="BS184" s="50" t="s">
        <v>1584</v>
      </c>
      <c r="BT184" s="50" t="s">
        <v>1585</v>
      </c>
      <c r="BV184" s="50" t="s">
        <v>12826</v>
      </c>
      <c r="BW184" s="50" t="s">
        <v>12827</v>
      </c>
      <c r="BX184" s="50" t="s">
        <v>354</v>
      </c>
      <c r="BY184" s="50" t="s">
        <v>1588</v>
      </c>
      <c r="BZ184" s="50" t="s">
        <v>1593</v>
      </c>
      <c r="CA184" s="50" t="s">
        <v>1590</v>
      </c>
      <c r="CB184" s="50" t="s">
        <v>12828</v>
      </c>
      <c r="CC184" s="50" t="s">
        <v>1588</v>
      </c>
      <c r="CD184" s="50" t="s">
        <v>12829</v>
      </c>
      <c r="CE184" s="50" t="s">
        <v>12830</v>
      </c>
      <c r="CF184" s="50" t="s">
        <v>1588</v>
      </c>
      <c r="CG184" s="50" t="s">
        <v>12829</v>
      </c>
      <c r="CH184" s="50" t="s">
        <v>1594</v>
      </c>
      <c r="CI184" s="50" t="s">
        <v>12831</v>
      </c>
      <c r="CK184" s="50" t="s">
        <v>1371</v>
      </c>
      <c r="CL184" s="50" t="s">
        <v>12832</v>
      </c>
      <c r="CM184" s="50" t="s">
        <v>862</v>
      </c>
      <c r="CN184" s="50" t="s">
        <v>410</v>
      </c>
      <c r="CO184" s="50" t="s">
        <v>1371</v>
      </c>
      <c r="CP184" s="50" t="s">
        <v>1596</v>
      </c>
      <c r="CQ184" s="50" t="s">
        <v>1595</v>
      </c>
      <c r="CR184" s="50" t="s">
        <v>1595</v>
      </c>
      <c r="CS184" s="50" t="s">
        <v>26043</v>
      </c>
    </row>
    <row r="185" spans="1:97" hidden="1">
      <c r="A185" s="50" t="s">
        <v>93</v>
      </c>
      <c r="B185" s="50">
        <v>999141</v>
      </c>
      <c r="C185" s="50" t="e">
        <f>VLOOKUP(B185,'Drop schools 2026'!B:C,2,0)</f>
        <v>#N/A</v>
      </c>
      <c r="D185" s="50" t="s">
        <v>122</v>
      </c>
      <c r="E185" s="50" t="s">
        <v>11898</v>
      </c>
      <c r="F185" s="50" t="s">
        <v>11863</v>
      </c>
      <c r="G185" s="50" t="str">
        <f>VLOOKUP(B185,aa!B:F,5,0)</f>
        <v>Ei CARES</v>
      </c>
      <c r="H185" s="50">
        <f>VLOOKUP(B185,aa!B:J,9,0)</f>
        <v>802734</v>
      </c>
      <c r="I185" s="50">
        <f>VLOOKUP(B185,aa!B:L,11,0)</f>
        <v>0</v>
      </c>
      <c r="J185" s="50">
        <f>VLOOKUP(B185,aa!B:O,14,0)</f>
        <v>802734</v>
      </c>
      <c r="K185" s="50">
        <f>VLOOKUP(B185,aa!B:R,17,0)</f>
        <v>0</v>
      </c>
      <c r="L185" s="50" t="s">
        <v>152</v>
      </c>
      <c r="M185" s="50">
        <v>838086</v>
      </c>
      <c r="N185" s="50">
        <v>838086</v>
      </c>
      <c r="O185" s="50">
        <v>0</v>
      </c>
      <c r="P185" s="50">
        <v>0</v>
      </c>
      <c r="R185" s="50">
        <v>838086</v>
      </c>
      <c r="S185" s="50">
        <v>1185</v>
      </c>
      <c r="T185" s="50" t="s">
        <v>21644</v>
      </c>
      <c r="U185" s="50">
        <v>0</v>
      </c>
      <c r="V185" s="50">
        <v>0</v>
      </c>
      <c r="X185" s="50" t="s">
        <v>102</v>
      </c>
      <c r="Y185" s="50" t="s">
        <v>103</v>
      </c>
      <c r="Z185" s="50" t="s">
        <v>104</v>
      </c>
      <c r="AB185" s="50" t="s">
        <v>21645</v>
      </c>
      <c r="AC185" s="50" t="s">
        <v>21646</v>
      </c>
      <c r="AD185" s="50" t="s">
        <v>12327</v>
      </c>
      <c r="AE185" s="50" t="s">
        <v>21646</v>
      </c>
      <c r="AF185" s="50" t="s">
        <v>109</v>
      </c>
      <c r="AG185" s="50" t="s">
        <v>102</v>
      </c>
      <c r="AH185" s="50" t="s">
        <v>109</v>
      </c>
      <c r="AI185" s="50" t="s">
        <v>102</v>
      </c>
      <c r="AJ185" s="50" t="s">
        <v>21647</v>
      </c>
      <c r="AK185" s="50" t="s">
        <v>6443</v>
      </c>
      <c r="AL185" s="50" t="s">
        <v>12696</v>
      </c>
      <c r="AM185" s="50" t="s">
        <v>21648</v>
      </c>
      <c r="AN185" s="50" t="s">
        <v>21649</v>
      </c>
      <c r="AO185" s="50" t="s">
        <v>21650</v>
      </c>
      <c r="AP185" s="50" t="s">
        <v>21651</v>
      </c>
      <c r="AQ185" s="50" t="s">
        <v>21652</v>
      </c>
      <c r="AS185" s="50" t="s">
        <v>169</v>
      </c>
      <c r="AU185" s="50" t="s">
        <v>169</v>
      </c>
      <c r="AV185" s="50" t="s">
        <v>102</v>
      </c>
      <c r="AX185" s="50" t="s">
        <v>104</v>
      </c>
      <c r="AY185" s="50" t="s">
        <v>447</v>
      </c>
      <c r="AZ185" s="50" t="s">
        <v>170</v>
      </c>
      <c r="BA185" s="50" t="s">
        <v>118</v>
      </c>
      <c r="BC185" s="50" t="s">
        <v>1964</v>
      </c>
      <c r="BD185" s="50" t="s">
        <v>448</v>
      </c>
      <c r="BE185" s="50" t="s">
        <v>449</v>
      </c>
      <c r="BF185" s="50" t="s">
        <v>122</v>
      </c>
      <c r="BG185" s="50" t="s">
        <v>450</v>
      </c>
      <c r="BH185" s="50" t="s">
        <v>124</v>
      </c>
      <c r="BI185" s="50" t="s">
        <v>21653</v>
      </c>
      <c r="BJ185" s="50" t="s">
        <v>11889</v>
      </c>
      <c r="BK185" s="50" t="s">
        <v>127</v>
      </c>
      <c r="BL185" s="50" t="s">
        <v>21654</v>
      </c>
      <c r="BM185" s="50" t="s">
        <v>11874</v>
      </c>
      <c r="BN185" s="50" t="s">
        <v>21655</v>
      </c>
      <c r="BO185" s="50" t="s">
        <v>21643</v>
      </c>
      <c r="BP185" s="50" t="s">
        <v>131</v>
      </c>
      <c r="BQ185" s="50" t="s">
        <v>350</v>
      </c>
      <c r="BR185" s="50" t="s">
        <v>133</v>
      </c>
      <c r="BS185" s="50" t="s">
        <v>134</v>
      </c>
      <c r="BT185" s="50" t="s">
        <v>455</v>
      </c>
      <c r="BV185" s="50" t="s">
        <v>21656</v>
      </c>
      <c r="BW185" s="50" t="s">
        <v>21657</v>
      </c>
      <c r="BX185" s="50" t="s">
        <v>138</v>
      </c>
      <c r="BY185" s="50" t="s">
        <v>11878</v>
      </c>
      <c r="BZ185" s="50" t="s">
        <v>11879</v>
      </c>
      <c r="CA185" s="50" t="s">
        <v>11878</v>
      </c>
      <c r="CB185" s="50" t="s">
        <v>21658</v>
      </c>
      <c r="CC185" s="50" t="s">
        <v>11878</v>
      </c>
      <c r="CD185" s="50" t="s">
        <v>11879</v>
      </c>
      <c r="CE185" s="50" t="s">
        <v>21658</v>
      </c>
      <c r="CF185" s="50" t="s">
        <v>11878</v>
      </c>
      <c r="CG185" s="50" t="s">
        <v>11879</v>
      </c>
      <c r="CH185" s="50" t="s">
        <v>4937</v>
      </c>
      <c r="CI185" s="50" t="s">
        <v>448</v>
      </c>
      <c r="CK185" s="50" t="s">
        <v>8000</v>
      </c>
      <c r="CL185" s="50" t="s">
        <v>21659</v>
      </c>
      <c r="CM185" s="50" t="s">
        <v>448</v>
      </c>
      <c r="CN185" s="50" t="s">
        <v>449</v>
      </c>
      <c r="CO185" s="50" t="s">
        <v>8000</v>
      </c>
      <c r="CP185" s="50" t="s">
        <v>1979</v>
      </c>
      <c r="CQ185" s="50" t="s">
        <v>11880</v>
      </c>
      <c r="CR185" s="50" t="s">
        <v>11880</v>
      </c>
    </row>
    <row r="186" spans="1:97" hidden="1">
      <c r="A186" s="50" t="s">
        <v>337</v>
      </c>
      <c r="B186" s="50">
        <v>3469794</v>
      </c>
      <c r="C186" s="50" t="e">
        <f>VLOOKUP(B186,'Drop schools 2026'!B:C,2,0)</f>
        <v>#N/A</v>
      </c>
      <c r="D186" s="50" t="s">
        <v>122</v>
      </c>
      <c r="E186" s="50" t="s">
        <v>12507</v>
      </c>
      <c r="F186" s="50" t="s">
        <v>16112</v>
      </c>
      <c r="G186" s="50" t="str">
        <f>VLOOKUP(B186,aa!B:F,5,0)</f>
        <v>Ei ASSET,Ei CARES</v>
      </c>
      <c r="H186" s="50">
        <f>VLOOKUP(B186,aa!B:J,9,0)</f>
        <v>1030509</v>
      </c>
      <c r="I186" s="50">
        <f>VLOOKUP(B186,aa!B:L,11,0)</f>
        <v>552058</v>
      </c>
      <c r="J186" s="50">
        <f>VLOOKUP(B186,aa!B:O,14,0)</f>
        <v>478451</v>
      </c>
      <c r="K186" s="50">
        <f>VLOOKUP(B186,aa!B:R,17,0)</f>
        <v>0</v>
      </c>
      <c r="L186" s="50" t="s">
        <v>2044</v>
      </c>
      <c r="M186" s="50">
        <v>837322</v>
      </c>
      <c r="N186" s="50">
        <v>837322</v>
      </c>
      <c r="O186" s="50">
        <v>315315</v>
      </c>
      <c r="P186" s="50">
        <v>735</v>
      </c>
      <c r="Q186" s="50" t="s">
        <v>16113</v>
      </c>
      <c r="R186" s="50">
        <v>522007</v>
      </c>
      <c r="S186" s="50">
        <v>702</v>
      </c>
      <c r="T186" s="50" t="s">
        <v>11865</v>
      </c>
      <c r="U186" s="50">
        <v>0</v>
      </c>
      <c r="V186" s="50">
        <v>0</v>
      </c>
      <c r="X186" s="50" t="s">
        <v>102</v>
      </c>
      <c r="Y186" s="50" t="s">
        <v>103</v>
      </c>
      <c r="Z186" s="50" t="s">
        <v>155</v>
      </c>
      <c r="AB186" s="50" t="s">
        <v>14000</v>
      </c>
      <c r="AC186" s="50" t="s">
        <v>16114</v>
      </c>
      <c r="AD186" s="50" t="s">
        <v>12312</v>
      </c>
      <c r="AE186" s="50" t="s">
        <v>16114</v>
      </c>
      <c r="AF186" s="50" t="s">
        <v>14210</v>
      </c>
      <c r="AG186" s="50" t="s">
        <v>16114</v>
      </c>
      <c r="AH186" s="50" t="s">
        <v>16007</v>
      </c>
      <c r="AI186" s="50" t="s">
        <v>16114</v>
      </c>
      <c r="AJ186" s="50" t="s">
        <v>5007</v>
      </c>
      <c r="AK186" s="50" t="s">
        <v>5015</v>
      </c>
      <c r="AL186" s="50" t="s">
        <v>12931</v>
      </c>
      <c r="AM186" s="50" t="s">
        <v>16115</v>
      </c>
      <c r="AN186" s="50" t="s">
        <v>16116</v>
      </c>
      <c r="AO186" s="50" t="s">
        <v>16117</v>
      </c>
      <c r="AP186" s="50" t="s">
        <v>16118</v>
      </c>
      <c r="AQ186" s="50" t="s">
        <v>16118</v>
      </c>
      <c r="AV186" s="50" t="s">
        <v>318</v>
      </c>
      <c r="AW186" s="50" t="s">
        <v>118</v>
      </c>
      <c r="AX186" s="50" t="s">
        <v>155</v>
      </c>
      <c r="AY186" s="50" t="s">
        <v>119</v>
      </c>
      <c r="AZ186" s="50" t="s">
        <v>170</v>
      </c>
      <c r="BA186" s="50" t="s">
        <v>118</v>
      </c>
      <c r="BC186" s="50" t="s">
        <v>120</v>
      </c>
      <c r="BD186" s="50" t="s">
        <v>7324</v>
      </c>
      <c r="BE186" s="50" t="s">
        <v>556</v>
      </c>
      <c r="BF186" s="50" t="s">
        <v>122</v>
      </c>
      <c r="BG186" s="50" t="s">
        <v>557</v>
      </c>
      <c r="BH186" s="50" t="s">
        <v>124</v>
      </c>
      <c r="BI186" s="50" t="s">
        <v>12023</v>
      </c>
      <c r="BJ186" s="50" t="s">
        <v>11889</v>
      </c>
      <c r="BK186" s="50" t="s">
        <v>127</v>
      </c>
      <c r="BL186" s="50" t="s">
        <v>16119</v>
      </c>
      <c r="BM186" s="50" t="s">
        <v>16120</v>
      </c>
      <c r="BN186" s="50" t="s">
        <v>16121</v>
      </c>
      <c r="BO186" s="50" t="s">
        <v>14000</v>
      </c>
      <c r="BP186" s="50" t="s">
        <v>1071</v>
      </c>
      <c r="BQ186" s="50" t="s">
        <v>350</v>
      </c>
      <c r="BR186" s="50" t="s">
        <v>1072</v>
      </c>
      <c r="BS186" s="50" t="s">
        <v>1073</v>
      </c>
      <c r="BT186" s="50" t="s">
        <v>1074</v>
      </c>
      <c r="BV186" s="50" t="s">
        <v>16122</v>
      </c>
      <c r="BW186" s="50" t="s">
        <v>16123</v>
      </c>
      <c r="BX186" s="50" t="s">
        <v>354</v>
      </c>
      <c r="BY186" s="50" t="s">
        <v>16124</v>
      </c>
      <c r="BZ186" s="50" t="s">
        <v>16125</v>
      </c>
      <c r="CA186" s="50" t="s">
        <v>16126</v>
      </c>
      <c r="CB186" s="50" t="s">
        <v>16127</v>
      </c>
      <c r="CC186" s="50" t="s">
        <v>16124</v>
      </c>
      <c r="CD186" s="50" t="s">
        <v>16125</v>
      </c>
      <c r="CE186" s="50" t="s">
        <v>16127</v>
      </c>
      <c r="CF186" s="50" t="s">
        <v>16124</v>
      </c>
      <c r="CG186" s="50" t="s">
        <v>16125</v>
      </c>
      <c r="CH186" s="50" t="s">
        <v>16128</v>
      </c>
      <c r="CI186" s="50" t="s">
        <v>16129</v>
      </c>
      <c r="CK186" s="50" t="s">
        <v>7334</v>
      </c>
      <c r="CL186" s="50" t="s">
        <v>16130</v>
      </c>
      <c r="CM186" s="50" t="s">
        <v>7324</v>
      </c>
      <c r="CN186" s="50" t="s">
        <v>556</v>
      </c>
      <c r="CO186" s="50" t="s">
        <v>7334</v>
      </c>
      <c r="CQ186" s="50" t="s">
        <v>16131</v>
      </c>
      <c r="CR186" s="50" t="s">
        <v>16131</v>
      </c>
    </row>
    <row r="187" spans="1:97" hidden="1">
      <c r="A187" s="50" t="s">
        <v>337</v>
      </c>
      <c r="B187" s="50">
        <v>5053374</v>
      </c>
      <c r="C187" s="50" t="e">
        <f>VLOOKUP(B187,'Drop schools 2026'!B:C,2,0)</f>
        <v>#N/A</v>
      </c>
      <c r="D187" s="50" t="s">
        <v>212</v>
      </c>
      <c r="E187" s="50" t="s">
        <v>11995</v>
      </c>
      <c r="F187" s="50" t="s">
        <v>20551</v>
      </c>
      <c r="G187" s="50" t="str">
        <f>VLOOKUP(B187,aa!B:F,5,0)</f>
        <v>Ei CARES, Ei Mindspark</v>
      </c>
      <c r="H187" s="50">
        <f>VLOOKUP(B187,aa!B:J,9,0)</f>
        <v>1378278</v>
      </c>
      <c r="I187" s="50">
        <f>VLOOKUP(B187,aa!B:L,11,0)</f>
        <v>0</v>
      </c>
      <c r="J187" s="50">
        <f>VLOOKUP(B187,aa!B:O,14,0)</f>
        <v>839824</v>
      </c>
      <c r="K187" s="50">
        <f>VLOOKUP(B187,aa!B:R,17,0)</f>
        <v>538454</v>
      </c>
      <c r="L187" s="50" t="s">
        <v>17790</v>
      </c>
      <c r="M187" s="50">
        <v>835041</v>
      </c>
      <c r="N187" s="50">
        <v>902023</v>
      </c>
      <c r="O187" s="50">
        <v>0</v>
      </c>
      <c r="P187" s="50">
        <v>0</v>
      </c>
      <c r="R187" s="50">
        <v>462917</v>
      </c>
      <c r="S187" s="50">
        <v>464</v>
      </c>
      <c r="T187" s="50" t="s">
        <v>20553</v>
      </c>
      <c r="U187" s="50">
        <v>372124</v>
      </c>
      <c r="V187" s="50">
        <v>220</v>
      </c>
      <c r="W187" s="50" t="s">
        <v>20554</v>
      </c>
      <c r="X187" s="50" t="s">
        <v>102</v>
      </c>
      <c r="Y187" s="50" t="s">
        <v>679</v>
      </c>
      <c r="Z187" s="50" t="s">
        <v>155</v>
      </c>
      <c r="AA187" s="50" t="s">
        <v>20555</v>
      </c>
      <c r="AB187" s="50" t="s">
        <v>20556</v>
      </c>
      <c r="AC187" s="50" t="s">
        <v>20557</v>
      </c>
      <c r="AD187" s="50" t="s">
        <v>13728</v>
      </c>
      <c r="AE187" s="50" t="s">
        <v>20558</v>
      </c>
      <c r="AF187" s="50" t="s">
        <v>13730</v>
      </c>
      <c r="AG187" s="50" t="s">
        <v>20558</v>
      </c>
      <c r="AH187" s="50" t="s">
        <v>12216</v>
      </c>
      <c r="AI187" s="50" t="s">
        <v>20559</v>
      </c>
      <c r="AJ187" s="50" t="s">
        <v>20560</v>
      </c>
      <c r="AK187" s="50" t="s">
        <v>20561</v>
      </c>
      <c r="AL187" s="50" t="s">
        <v>20562</v>
      </c>
      <c r="AM187" s="50" t="s">
        <v>20563</v>
      </c>
      <c r="AN187" s="50" t="s">
        <v>20564</v>
      </c>
      <c r="AO187" s="50" t="s">
        <v>20565</v>
      </c>
      <c r="AP187" s="50" t="s">
        <v>20566</v>
      </c>
      <c r="AQ187" s="50" t="s">
        <v>20566</v>
      </c>
      <c r="AV187" s="50" t="s">
        <v>102</v>
      </c>
      <c r="AX187" s="50" t="s">
        <v>655</v>
      </c>
      <c r="AY187" s="50" t="s">
        <v>249</v>
      </c>
      <c r="AZ187" s="50" t="s">
        <v>1138</v>
      </c>
      <c r="BA187" s="50" t="s">
        <v>2203</v>
      </c>
      <c r="BB187" s="50" t="s">
        <v>250</v>
      </c>
      <c r="BC187" s="50" t="s">
        <v>120</v>
      </c>
      <c r="BD187" s="50" t="s">
        <v>284</v>
      </c>
      <c r="BE187" s="50" t="s">
        <v>285</v>
      </c>
      <c r="BF187" s="50" t="s">
        <v>212</v>
      </c>
      <c r="BG187" s="50" t="s">
        <v>286</v>
      </c>
      <c r="BH187" s="50" t="s">
        <v>124</v>
      </c>
      <c r="BI187" s="50" t="s">
        <v>12128</v>
      </c>
      <c r="BJ187" s="50" t="s">
        <v>12963</v>
      </c>
      <c r="BK187" s="50" t="s">
        <v>127</v>
      </c>
      <c r="BL187" s="50" t="s">
        <v>20567</v>
      </c>
      <c r="BM187" s="50" t="s">
        <v>20568</v>
      </c>
      <c r="BN187" s="50" t="s">
        <v>20569</v>
      </c>
      <c r="BO187" s="50" t="s">
        <v>20552</v>
      </c>
      <c r="BP187" s="50" t="s">
        <v>17684</v>
      </c>
      <c r="BQ187" s="50" t="s">
        <v>505</v>
      </c>
      <c r="BR187" s="50" t="s">
        <v>17685</v>
      </c>
      <c r="BS187" s="50" t="s">
        <v>17686</v>
      </c>
      <c r="BT187" s="50" t="s">
        <v>17687</v>
      </c>
      <c r="BV187" s="50" t="s">
        <v>20570</v>
      </c>
      <c r="BW187" s="50" t="s">
        <v>20571</v>
      </c>
      <c r="BX187" s="50" t="s">
        <v>138</v>
      </c>
      <c r="BY187" s="50" t="s">
        <v>20572</v>
      </c>
      <c r="BZ187" s="50" t="s">
        <v>20573</v>
      </c>
      <c r="CA187" s="50" t="s">
        <v>20572</v>
      </c>
      <c r="CB187" s="50" t="s">
        <v>20574</v>
      </c>
      <c r="CC187" s="50" t="s">
        <v>20572</v>
      </c>
      <c r="CD187" s="50" t="s">
        <v>20573</v>
      </c>
      <c r="CE187" s="50" t="s">
        <v>20574</v>
      </c>
      <c r="CF187" s="50" t="s">
        <v>20572</v>
      </c>
      <c r="CG187" s="50" t="s">
        <v>20573</v>
      </c>
      <c r="CH187" s="50" t="s">
        <v>8526</v>
      </c>
      <c r="CI187" s="50" t="s">
        <v>20575</v>
      </c>
      <c r="CK187" s="50" t="s">
        <v>20576</v>
      </c>
      <c r="CL187" s="50" t="s">
        <v>20577</v>
      </c>
      <c r="CM187" s="50" t="s">
        <v>284</v>
      </c>
      <c r="CN187" s="50" t="s">
        <v>285</v>
      </c>
      <c r="CO187" s="50" t="s">
        <v>20576</v>
      </c>
      <c r="CQ187" s="50" t="s">
        <v>20578</v>
      </c>
      <c r="CR187" s="50" t="s">
        <v>20578</v>
      </c>
    </row>
    <row r="188" spans="1:97" hidden="1">
      <c r="A188" s="50" t="s">
        <v>93</v>
      </c>
      <c r="B188" s="50">
        <v>174867</v>
      </c>
      <c r="C188" s="50" t="e">
        <f>VLOOKUP(B188,'Drop schools 2026'!B:C,2,0)</f>
        <v>#N/A</v>
      </c>
      <c r="D188" s="50" t="s">
        <v>212</v>
      </c>
      <c r="E188" s="50" t="s">
        <v>418</v>
      </c>
      <c r="F188" s="50" t="s">
        <v>1686</v>
      </c>
      <c r="G188" s="50" t="str">
        <f>VLOOKUP(B188,aa!B:F,5,0)</f>
        <v>Ei ASSET</v>
      </c>
      <c r="H188" s="50">
        <f>VLOOKUP(B188,aa!B:J,9,0)</f>
        <v>834390</v>
      </c>
      <c r="I188" s="50">
        <f>VLOOKUP(B188,aa!B:L,11,0)</f>
        <v>834390</v>
      </c>
      <c r="J188" s="50">
        <f>VLOOKUP(B188,aa!B:O,14,0)</f>
        <v>0</v>
      </c>
      <c r="K188" s="50">
        <f>VLOOKUP(B188,aa!B:R,17,0)</f>
        <v>0</v>
      </c>
      <c r="L188" s="50" t="s">
        <v>97</v>
      </c>
      <c r="M188" s="50">
        <v>832200</v>
      </c>
      <c r="N188" s="50">
        <v>832200</v>
      </c>
      <c r="O188" s="50">
        <v>832200</v>
      </c>
      <c r="P188" s="50">
        <v>760</v>
      </c>
      <c r="Q188" s="50" t="s">
        <v>1689</v>
      </c>
      <c r="R188" s="50">
        <v>0</v>
      </c>
      <c r="S188" s="50">
        <v>0</v>
      </c>
      <c r="U188" s="50">
        <v>0</v>
      </c>
      <c r="V188" s="50">
        <v>0</v>
      </c>
      <c r="X188" s="50" t="s">
        <v>102</v>
      </c>
      <c r="Y188" s="50" t="s">
        <v>103</v>
      </c>
      <c r="Z188" s="50" t="s">
        <v>104</v>
      </c>
      <c r="AB188" s="50" t="s">
        <v>12887</v>
      </c>
      <c r="AC188" s="50" t="s">
        <v>1690</v>
      </c>
      <c r="AD188" s="50" t="s">
        <v>12888</v>
      </c>
      <c r="AE188" s="50" t="s">
        <v>1690</v>
      </c>
      <c r="AF188" s="50" t="s">
        <v>109</v>
      </c>
      <c r="AG188" s="50" t="s">
        <v>102</v>
      </c>
      <c r="AH188" s="50" t="s">
        <v>109</v>
      </c>
      <c r="AI188" s="50" t="s">
        <v>102</v>
      </c>
      <c r="AJ188" s="50" t="s">
        <v>12889</v>
      </c>
      <c r="AK188" s="50" t="s">
        <v>12890</v>
      </c>
      <c r="AL188" s="50" t="s">
        <v>8060</v>
      </c>
      <c r="AM188" s="50" t="s">
        <v>1693</v>
      </c>
      <c r="AN188" s="50" t="s">
        <v>12891</v>
      </c>
      <c r="AO188" s="50" t="s">
        <v>12892</v>
      </c>
      <c r="AP188" s="50" t="s">
        <v>1695</v>
      </c>
      <c r="AQ188" s="50" t="s">
        <v>1695</v>
      </c>
      <c r="AV188" s="50" t="s">
        <v>318</v>
      </c>
      <c r="AW188" s="50" t="s">
        <v>118</v>
      </c>
      <c r="AX188" s="50" t="s">
        <v>102</v>
      </c>
      <c r="AY188" s="50" t="s">
        <v>119</v>
      </c>
      <c r="BC188" s="50" t="s">
        <v>120</v>
      </c>
      <c r="BD188" s="50" t="s">
        <v>409</v>
      </c>
      <c r="BE188" s="50" t="s">
        <v>410</v>
      </c>
      <c r="BF188" s="50" t="s">
        <v>212</v>
      </c>
      <c r="BG188" s="50" t="s">
        <v>410</v>
      </c>
      <c r="BH188" s="50" t="s">
        <v>124</v>
      </c>
      <c r="BI188" s="50" t="s">
        <v>12023</v>
      </c>
      <c r="BJ188" s="50" t="s">
        <v>11889</v>
      </c>
      <c r="BK188" s="50" t="s">
        <v>127</v>
      </c>
      <c r="BL188" s="50" t="s">
        <v>12893</v>
      </c>
      <c r="BM188" s="50" t="s">
        <v>1697</v>
      </c>
      <c r="BN188" s="50" t="s">
        <v>12894</v>
      </c>
      <c r="BO188" s="50" t="s">
        <v>2392</v>
      </c>
      <c r="BP188" s="50" t="s">
        <v>1699</v>
      </c>
      <c r="BQ188" s="50" t="s">
        <v>132</v>
      </c>
      <c r="BR188" s="50" t="s">
        <v>1700</v>
      </c>
      <c r="BS188" s="50" t="s">
        <v>1701</v>
      </c>
      <c r="BT188" s="50" t="s">
        <v>1702</v>
      </c>
      <c r="BV188" s="50" t="s">
        <v>12895</v>
      </c>
      <c r="BW188" s="50" t="s">
        <v>1708</v>
      </c>
      <c r="BX188" s="50" t="s">
        <v>138</v>
      </c>
      <c r="BY188" s="50" t="s">
        <v>1705</v>
      </c>
      <c r="BZ188" s="50" t="s">
        <v>1706</v>
      </c>
      <c r="CA188" s="50" t="s">
        <v>1705</v>
      </c>
      <c r="CB188" s="50" t="s">
        <v>1708</v>
      </c>
      <c r="CC188" s="50" t="s">
        <v>1705</v>
      </c>
      <c r="CD188" s="50" t="s">
        <v>1706</v>
      </c>
      <c r="CE188" s="50" t="s">
        <v>1708</v>
      </c>
      <c r="CF188" s="50" t="s">
        <v>1705</v>
      </c>
      <c r="CG188" s="50" t="s">
        <v>1706</v>
      </c>
      <c r="CH188" s="50" t="s">
        <v>1709</v>
      </c>
      <c r="CI188" s="50" t="s">
        <v>1710</v>
      </c>
      <c r="CK188" s="50" t="s">
        <v>428</v>
      </c>
      <c r="CL188" s="50" t="s">
        <v>12896</v>
      </c>
      <c r="CM188" s="50" t="s">
        <v>409</v>
      </c>
      <c r="CN188" s="50" t="s">
        <v>1711</v>
      </c>
      <c r="CO188" s="50" t="s">
        <v>428</v>
      </c>
      <c r="CP188" s="50" t="s">
        <v>1712</v>
      </c>
      <c r="CQ188" s="50" t="s">
        <v>1710</v>
      </c>
      <c r="CR188" s="50" t="s">
        <v>1710</v>
      </c>
    </row>
    <row r="189" spans="1:97">
      <c r="A189" s="50" t="s">
        <v>337</v>
      </c>
      <c r="B189" s="50">
        <v>1512812</v>
      </c>
      <c r="C189" s="50" t="e">
        <f>VLOOKUP(B189,'Drop schools 2026'!B:C,2,0)</f>
        <v>#N/A</v>
      </c>
      <c r="D189" s="50" t="s">
        <v>122</v>
      </c>
      <c r="E189" s="50" t="s">
        <v>12507</v>
      </c>
      <c r="F189" s="53" t="s">
        <v>12506</v>
      </c>
      <c r="G189" s="50" t="e">
        <f>VLOOKUP(B189,aa!B:F,5,0)</f>
        <v>#N/A</v>
      </c>
      <c r="H189" s="50" t="e">
        <f>VLOOKUP(B189,aa!B:J,9,0)</f>
        <v>#N/A</v>
      </c>
      <c r="I189" s="50" t="e">
        <f>VLOOKUP(B189,aa!B:L,11,0)</f>
        <v>#N/A</v>
      </c>
      <c r="J189" s="50" t="e">
        <f>VLOOKUP(B189,aa!B:O,14,0)</f>
        <v>#N/A</v>
      </c>
      <c r="K189" s="50" t="e">
        <f>VLOOKUP(B189,aa!B:R,17,0)</f>
        <v>#N/A</v>
      </c>
      <c r="L189" s="50" t="s">
        <v>643</v>
      </c>
      <c r="M189" s="50">
        <v>831710</v>
      </c>
      <c r="N189" s="50">
        <v>919750</v>
      </c>
      <c r="O189" s="50">
        <v>0</v>
      </c>
      <c r="P189" s="50">
        <v>0</v>
      </c>
      <c r="R189" s="50">
        <v>342597</v>
      </c>
      <c r="S189" s="50">
        <v>520</v>
      </c>
      <c r="T189" s="50" t="s">
        <v>12509</v>
      </c>
      <c r="U189" s="50">
        <v>489113</v>
      </c>
      <c r="V189" s="50">
        <v>475</v>
      </c>
      <c r="W189" s="50" t="s">
        <v>12510</v>
      </c>
      <c r="X189" s="50" t="s">
        <v>102</v>
      </c>
      <c r="Y189" s="50" t="s">
        <v>103</v>
      </c>
      <c r="Z189" s="50" t="s">
        <v>938</v>
      </c>
      <c r="AB189" s="50" t="s">
        <v>12511</v>
      </c>
      <c r="AC189" s="50" t="s">
        <v>12512</v>
      </c>
      <c r="AD189" s="50" t="s">
        <v>12513</v>
      </c>
      <c r="AE189" s="50" t="s">
        <v>12514</v>
      </c>
      <c r="AF189" s="50" t="s">
        <v>12515</v>
      </c>
      <c r="AG189" s="50" t="s">
        <v>12514</v>
      </c>
      <c r="AH189" s="50" t="s">
        <v>12516</v>
      </c>
      <c r="AI189" s="50" t="s">
        <v>12517</v>
      </c>
      <c r="AJ189" s="50" t="s">
        <v>12518</v>
      </c>
      <c r="AK189" s="50" t="s">
        <v>1604</v>
      </c>
      <c r="AL189" s="50" t="s">
        <v>12519</v>
      </c>
      <c r="AM189" s="50" t="s">
        <v>12520</v>
      </c>
      <c r="AN189" s="50" t="s">
        <v>12521</v>
      </c>
      <c r="AO189" s="50" t="s">
        <v>12522</v>
      </c>
      <c r="AP189" s="50" t="s">
        <v>12523</v>
      </c>
      <c r="AQ189" s="50" t="s">
        <v>12523</v>
      </c>
      <c r="AV189" s="50" t="s">
        <v>102</v>
      </c>
      <c r="AX189" s="50" t="s">
        <v>1103</v>
      </c>
      <c r="AY189" s="50" t="s">
        <v>119</v>
      </c>
      <c r="AZ189" s="50" t="s">
        <v>170</v>
      </c>
      <c r="BA189" s="50" t="s">
        <v>118</v>
      </c>
      <c r="BB189" s="50" t="s">
        <v>250</v>
      </c>
      <c r="BC189" s="50" t="s">
        <v>120</v>
      </c>
      <c r="BD189" s="50" t="s">
        <v>4216</v>
      </c>
      <c r="BE189" s="50" t="s">
        <v>556</v>
      </c>
      <c r="BF189" s="50" t="s">
        <v>122</v>
      </c>
      <c r="BG189" s="50" t="s">
        <v>557</v>
      </c>
      <c r="BH189" s="50" t="s">
        <v>124</v>
      </c>
      <c r="BI189" s="50" t="s">
        <v>11932</v>
      </c>
      <c r="BJ189" s="50" t="s">
        <v>12524</v>
      </c>
      <c r="BK189" s="50" t="s">
        <v>127</v>
      </c>
      <c r="BL189" s="50" t="s">
        <v>12525</v>
      </c>
      <c r="BM189" s="50" t="s">
        <v>12526</v>
      </c>
      <c r="BN189" s="50" t="s">
        <v>12527</v>
      </c>
      <c r="BO189" s="50" t="s">
        <v>12508</v>
      </c>
      <c r="BP189" s="50" t="s">
        <v>1071</v>
      </c>
      <c r="BQ189" s="50" t="s">
        <v>350</v>
      </c>
      <c r="BR189" s="50" t="s">
        <v>1072</v>
      </c>
      <c r="BS189" s="50" t="s">
        <v>1073</v>
      </c>
      <c r="BT189" s="50" t="s">
        <v>1074</v>
      </c>
      <c r="BV189" s="50" t="s">
        <v>12528</v>
      </c>
      <c r="BW189" s="50" t="s">
        <v>12529</v>
      </c>
      <c r="BX189" s="50" t="s">
        <v>138</v>
      </c>
      <c r="BY189" s="50" t="s">
        <v>12530</v>
      </c>
      <c r="BZ189" s="50" t="s">
        <v>12531</v>
      </c>
      <c r="CA189" s="50" t="s">
        <v>12532</v>
      </c>
      <c r="CB189" s="50" t="s">
        <v>12533</v>
      </c>
      <c r="CC189" s="50" t="s">
        <v>12530</v>
      </c>
      <c r="CD189" s="50" t="s">
        <v>12531</v>
      </c>
      <c r="CE189" s="50" t="s">
        <v>12533</v>
      </c>
      <c r="CF189" s="50" t="s">
        <v>12530</v>
      </c>
      <c r="CG189" s="50" t="s">
        <v>12531</v>
      </c>
      <c r="CH189" s="50" t="s">
        <v>12534</v>
      </c>
      <c r="CI189" s="50" t="s">
        <v>12535</v>
      </c>
      <c r="CK189" s="50" t="s">
        <v>12536</v>
      </c>
      <c r="CL189" s="50" t="s">
        <v>12535</v>
      </c>
      <c r="CM189" s="50" t="s">
        <v>4216</v>
      </c>
      <c r="CN189" s="50" t="s">
        <v>556</v>
      </c>
      <c r="CO189" s="50" t="s">
        <v>12536</v>
      </c>
      <c r="CP189" s="50" t="s">
        <v>12537</v>
      </c>
      <c r="CQ189" s="50" t="s">
        <v>12538</v>
      </c>
      <c r="CR189" s="50" t="s">
        <v>12538</v>
      </c>
    </row>
    <row r="190" spans="1:97" hidden="1">
      <c r="A190" s="50" t="s">
        <v>149</v>
      </c>
      <c r="B190" s="50">
        <v>3505875</v>
      </c>
      <c r="C190" s="50" t="e">
        <f>VLOOKUP(B190,'Drop schools 2026'!B:C,2,0)</f>
        <v>#N/A</v>
      </c>
      <c r="D190" s="50" t="s">
        <v>122</v>
      </c>
      <c r="E190" s="50" t="s">
        <v>11882</v>
      </c>
      <c r="F190" s="50" t="s">
        <v>6422</v>
      </c>
      <c r="G190" s="50" t="str">
        <f>VLOOKUP(B190,aa!B:F,5,0)</f>
        <v>Ei ASSET, Ei Mindspark</v>
      </c>
      <c r="H190" s="50">
        <f>VLOOKUP(B190,aa!B:J,9,0)</f>
        <v>830993</v>
      </c>
      <c r="I190" s="50">
        <f>VLOOKUP(B190,aa!B:L,11,0)</f>
        <v>349558</v>
      </c>
      <c r="J190" s="50">
        <f>VLOOKUP(B190,aa!B:O,14,0)</f>
        <v>0</v>
      </c>
      <c r="K190" s="50">
        <f>VLOOKUP(B190,aa!B:R,17,0)</f>
        <v>481435</v>
      </c>
      <c r="L190" s="50" t="s">
        <v>193</v>
      </c>
      <c r="M190" s="50">
        <v>825003</v>
      </c>
      <c r="N190" s="50">
        <v>910704</v>
      </c>
      <c r="O190" s="50">
        <v>348888</v>
      </c>
      <c r="P190" s="50">
        <v>359</v>
      </c>
      <c r="Q190" s="50" t="s">
        <v>3951</v>
      </c>
      <c r="R190" s="50">
        <v>0</v>
      </c>
      <c r="S190" s="50">
        <v>0</v>
      </c>
      <c r="U190" s="50">
        <v>476115</v>
      </c>
      <c r="V190" s="50">
        <v>179</v>
      </c>
      <c r="W190" s="50" t="s">
        <v>13651</v>
      </c>
      <c r="X190" s="50" t="s">
        <v>102</v>
      </c>
      <c r="Y190" s="50" t="s">
        <v>103</v>
      </c>
      <c r="Z190" s="50" t="s">
        <v>801</v>
      </c>
      <c r="AB190" s="50" t="s">
        <v>13652</v>
      </c>
      <c r="AC190" s="50" t="s">
        <v>16282</v>
      </c>
      <c r="AD190" s="50" t="s">
        <v>11976</v>
      </c>
      <c r="AE190" s="50" t="s">
        <v>16282</v>
      </c>
      <c r="AF190" s="50" t="s">
        <v>12571</v>
      </c>
      <c r="AG190" s="50" t="s">
        <v>16283</v>
      </c>
      <c r="AH190" s="50" t="s">
        <v>12595</v>
      </c>
      <c r="AI190" s="50" t="s">
        <v>16283</v>
      </c>
      <c r="AJ190" s="50" t="s">
        <v>16284</v>
      </c>
      <c r="AK190" s="50" t="s">
        <v>13769</v>
      </c>
      <c r="AL190" s="50" t="s">
        <v>1165</v>
      </c>
      <c r="AM190" s="50" t="s">
        <v>16285</v>
      </c>
      <c r="AN190" s="50" t="s">
        <v>16286</v>
      </c>
      <c r="AO190" s="50" t="s">
        <v>16287</v>
      </c>
      <c r="AP190" s="50" t="s">
        <v>16288</v>
      </c>
      <c r="AQ190" s="50" t="s">
        <v>16288</v>
      </c>
      <c r="AV190" s="50" t="s">
        <v>207</v>
      </c>
      <c r="AW190" s="50" t="s">
        <v>118</v>
      </c>
      <c r="AX190" s="50" t="s">
        <v>102</v>
      </c>
      <c r="AY190" s="50" t="s">
        <v>119</v>
      </c>
      <c r="BB190" s="50" t="s">
        <v>250</v>
      </c>
      <c r="BC190" s="50" t="s">
        <v>120</v>
      </c>
      <c r="BD190" s="50" t="s">
        <v>4153</v>
      </c>
      <c r="BE190" s="50" t="s">
        <v>320</v>
      </c>
      <c r="BF190" s="50" t="s">
        <v>122</v>
      </c>
      <c r="BG190" s="50" t="s">
        <v>123</v>
      </c>
      <c r="BH190" s="50" t="s">
        <v>124</v>
      </c>
      <c r="BI190" s="50" t="s">
        <v>16289</v>
      </c>
      <c r="BJ190" s="50" t="s">
        <v>13662</v>
      </c>
      <c r="BK190" s="50" t="s">
        <v>127</v>
      </c>
      <c r="BL190" s="50" t="s">
        <v>16290</v>
      </c>
      <c r="BM190" s="50" t="s">
        <v>6433</v>
      </c>
      <c r="BN190" s="50" t="s">
        <v>16291</v>
      </c>
      <c r="BO190" s="50" t="s">
        <v>16281</v>
      </c>
      <c r="BP190" s="50" t="s">
        <v>3267</v>
      </c>
      <c r="BQ190" s="50" t="s">
        <v>696</v>
      </c>
      <c r="BR190" s="50" t="s">
        <v>3268</v>
      </c>
      <c r="BS190" s="50" t="s">
        <v>3269</v>
      </c>
      <c r="BT190" s="50" t="s">
        <v>135</v>
      </c>
      <c r="BU190" s="50" t="s">
        <v>135</v>
      </c>
      <c r="BV190" s="50" t="s">
        <v>16292</v>
      </c>
      <c r="BW190" s="50" t="s">
        <v>2932</v>
      </c>
      <c r="BX190" s="50" t="s">
        <v>296</v>
      </c>
      <c r="BY190" s="50" t="s">
        <v>2933</v>
      </c>
      <c r="BZ190" s="50" t="s">
        <v>2934</v>
      </c>
      <c r="CA190" s="50" t="s">
        <v>6436</v>
      </c>
      <c r="CB190" s="50" t="s">
        <v>16293</v>
      </c>
      <c r="CC190" s="50" t="s">
        <v>6436</v>
      </c>
      <c r="CD190" s="50" t="s">
        <v>2934</v>
      </c>
      <c r="CE190" s="50" t="s">
        <v>16293</v>
      </c>
      <c r="CF190" s="50" t="s">
        <v>6436</v>
      </c>
      <c r="CG190" s="50" t="s">
        <v>2934</v>
      </c>
      <c r="CH190" s="50" t="s">
        <v>102</v>
      </c>
      <c r="CI190" s="50" t="s">
        <v>16294</v>
      </c>
      <c r="CK190" s="50" t="s">
        <v>5161</v>
      </c>
      <c r="CM190" s="50" t="s">
        <v>4153</v>
      </c>
      <c r="CN190" s="50" t="s">
        <v>320</v>
      </c>
      <c r="CO190" s="50" t="s">
        <v>5161</v>
      </c>
      <c r="CQ190" s="50" t="s">
        <v>6437</v>
      </c>
      <c r="CR190" s="50" t="s">
        <v>6438</v>
      </c>
    </row>
    <row r="191" spans="1:97" hidden="1">
      <c r="A191" s="50" t="s">
        <v>149</v>
      </c>
      <c r="B191" s="50">
        <v>1553466</v>
      </c>
      <c r="C191" s="50" t="str">
        <f>VLOOKUP(B191,'Drop schools 2026'!B:C,2,0)</f>
        <v>Drop</v>
      </c>
      <c r="D191" s="50" t="s">
        <v>174</v>
      </c>
      <c r="E191" s="50" t="s">
        <v>12155</v>
      </c>
      <c r="F191" s="50" t="s">
        <v>1156</v>
      </c>
      <c r="G191" s="50" t="e">
        <f>VLOOKUP(B191,aa!B:F,5,0)</f>
        <v>#N/A</v>
      </c>
      <c r="H191" s="50" t="e">
        <f>VLOOKUP(B191,aa!B:J,9,0)</f>
        <v>#N/A</v>
      </c>
      <c r="I191" s="50" t="e">
        <f>VLOOKUP(B191,aa!B:L,11,0)</f>
        <v>#N/A</v>
      </c>
      <c r="J191" s="50" t="e">
        <f>VLOOKUP(B191,aa!B:O,14,0)</f>
        <v>#N/A</v>
      </c>
      <c r="K191" s="50" t="e">
        <f>VLOOKUP(B191,aa!B:R,17,0)</f>
        <v>#N/A</v>
      </c>
      <c r="L191" s="50" t="s">
        <v>152</v>
      </c>
      <c r="M191" s="50">
        <v>822780</v>
      </c>
      <c r="N191" s="50">
        <v>822780</v>
      </c>
      <c r="O191" s="50">
        <v>0</v>
      </c>
      <c r="P191" s="50">
        <v>0</v>
      </c>
      <c r="R191" s="50">
        <v>822780</v>
      </c>
      <c r="S191" s="50">
        <v>400</v>
      </c>
      <c r="T191" s="50" t="s">
        <v>12607</v>
      </c>
      <c r="U191" s="50">
        <v>0</v>
      </c>
      <c r="V191" s="50">
        <v>0</v>
      </c>
      <c r="X191" s="50" t="s">
        <v>102</v>
      </c>
      <c r="Y191" s="50" t="s">
        <v>103</v>
      </c>
      <c r="Z191" s="50" t="s">
        <v>155</v>
      </c>
      <c r="AB191" s="50" t="s">
        <v>8186</v>
      </c>
      <c r="AC191" s="50" t="s">
        <v>12608</v>
      </c>
      <c r="AD191" s="50" t="s">
        <v>1165</v>
      </c>
      <c r="AE191" s="50" t="s">
        <v>12608</v>
      </c>
      <c r="AF191" s="50" t="s">
        <v>12609</v>
      </c>
      <c r="AG191" s="50" t="s">
        <v>12608</v>
      </c>
      <c r="AH191" s="50" t="s">
        <v>11886</v>
      </c>
      <c r="AI191" s="50" t="s">
        <v>12608</v>
      </c>
      <c r="AJ191" s="50" t="s">
        <v>12610</v>
      </c>
      <c r="AK191" s="50" t="s">
        <v>11933</v>
      </c>
      <c r="AL191" s="50" t="s">
        <v>11933</v>
      </c>
      <c r="AM191" s="50" t="s">
        <v>12611</v>
      </c>
      <c r="AN191" s="50" t="s">
        <v>12612</v>
      </c>
      <c r="AO191" s="50" t="s">
        <v>12613</v>
      </c>
      <c r="AP191" s="50" t="s">
        <v>12614</v>
      </c>
      <c r="AQ191" s="50" t="s">
        <v>12614</v>
      </c>
      <c r="AV191" s="50" t="s">
        <v>102</v>
      </c>
      <c r="AX191" s="50" t="s">
        <v>155</v>
      </c>
      <c r="AY191" s="50" t="s">
        <v>447</v>
      </c>
      <c r="AZ191" s="50" t="s">
        <v>170</v>
      </c>
      <c r="BA191" s="50" t="s">
        <v>118</v>
      </c>
      <c r="BC191" s="50" t="s">
        <v>120</v>
      </c>
      <c r="BD191" s="50" t="s">
        <v>1170</v>
      </c>
      <c r="BE191" s="50" t="s">
        <v>1171</v>
      </c>
      <c r="BF191" s="50" t="s">
        <v>174</v>
      </c>
      <c r="BG191" s="50" t="s">
        <v>1172</v>
      </c>
      <c r="BH191" s="50" t="s">
        <v>124</v>
      </c>
      <c r="BI191" s="50" t="s">
        <v>8186</v>
      </c>
      <c r="BJ191" s="50" t="s">
        <v>11889</v>
      </c>
      <c r="BK191" s="50" t="s">
        <v>127</v>
      </c>
      <c r="BL191" s="50" t="s">
        <v>12615</v>
      </c>
      <c r="BM191" s="50" t="s">
        <v>1174</v>
      </c>
      <c r="BN191" s="50" t="s">
        <v>12616</v>
      </c>
      <c r="BO191" s="50" t="s">
        <v>370</v>
      </c>
      <c r="BP191" s="50" t="s">
        <v>179</v>
      </c>
      <c r="BQ191" s="50" t="s">
        <v>180</v>
      </c>
      <c r="BR191" s="50" t="s">
        <v>181</v>
      </c>
      <c r="BS191" s="50" t="s">
        <v>182</v>
      </c>
      <c r="BT191" s="50" t="s">
        <v>1176</v>
      </c>
      <c r="BV191" s="50" t="s">
        <v>12617</v>
      </c>
      <c r="BW191" s="50" t="s">
        <v>12618</v>
      </c>
      <c r="BX191" s="50" t="s">
        <v>354</v>
      </c>
      <c r="BY191" s="50" t="s">
        <v>12619</v>
      </c>
      <c r="BZ191" s="50" t="s">
        <v>12620</v>
      </c>
      <c r="CA191" s="50" t="s">
        <v>1181</v>
      </c>
      <c r="CB191" s="50" t="s">
        <v>12621</v>
      </c>
      <c r="CC191" s="50" t="s">
        <v>12622</v>
      </c>
      <c r="CD191" s="50" t="s">
        <v>1184</v>
      </c>
      <c r="CE191" s="50" t="s">
        <v>1185</v>
      </c>
      <c r="CF191" s="50" t="s">
        <v>1186</v>
      </c>
      <c r="CG191" s="50" t="s">
        <v>1187</v>
      </c>
      <c r="CH191" s="50" t="s">
        <v>1188</v>
      </c>
      <c r="CI191" s="50" t="s">
        <v>1156</v>
      </c>
      <c r="CK191" s="50" t="s">
        <v>1190</v>
      </c>
      <c r="CL191" s="50" t="s">
        <v>12623</v>
      </c>
      <c r="CM191" s="50" t="s">
        <v>1170</v>
      </c>
      <c r="CN191" s="50" t="s">
        <v>1171</v>
      </c>
      <c r="CO191" s="50" t="s">
        <v>1190</v>
      </c>
      <c r="CP191" s="50" t="s">
        <v>1191</v>
      </c>
      <c r="CQ191" s="50" t="s">
        <v>1192</v>
      </c>
      <c r="CR191" s="50" t="s">
        <v>1193</v>
      </c>
      <c r="CS191" s="50" t="s">
        <v>26046</v>
      </c>
    </row>
    <row r="192" spans="1:97" hidden="1">
      <c r="A192" s="50" t="s">
        <v>337</v>
      </c>
      <c r="B192" s="50">
        <v>255648</v>
      </c>
      <c r="C192" s="50" t="e">
        <f>VLOOKUP(B192,'Drop schools 2026'!B:C,2,0)</f>
        <v>#N/A</v>
      </c>
      <c r="D192" s="50" t="s">
        <v>174</v>
      </c>
      <c r="E192" s="50" t="s">
        <v>384</v>
      </c>
      <c r="F192" s="50" t="s">
        <v>14490</v>
      </c>
      <c r="G192" s="50" t="str">
        <f>VLOOKUP(B192,aa!B:F,5,0)</f>
        <v>Ei ASSET, Ei Mindspark</v>
      </c>
      <c r="H192" s="50">
        <f>VLOOKUP(B192,aa!B:J,9,0)</f>
        <v>1705014</v>
      </c>
      <c r="I192" s="50">
        <f>VLOOKUP(B192,aa!B:L,11,0)</f>
        <v>441900</v>
      </c>
      <c r="J192" s="50">
        <f>VLOOKUP(B192,aa!B:O,14,0)</f>
        <v>0</v>
      </c>
      <c r="K192" s="50">
        <f>VLOOKUP(B192,aa!B:R,17,0)</f>
        <v>1263114</v>
      </c>
      <c r="L192" s="50" t="s">
        <v>1715</v>
      </c>
      <c r="M192" s="50">
        <v>816393</v>
      </c>
      <c r="N192" s="50">
        <v>877970</v>
      </c>
      <c r="O192" s="50">
        <v>474300</v>
      </c>
      <c r="P192" s="50">
        <v>533</v>
      </c>
      <c r="Q192" s="50" t="s">
        <v>14346</v>
      </c>
      <c r="R192" s="50">
        <v>0</v>
      </c>
      <c r="S192" s="50">
        <v>0</v>
      </c>
      <c r="U192" s="50">
        <v>342093</v>
      </c>
      <c r="V192" s="50">
        <v>605</v>
      </c>
      <c r="W192" s="50" t="s">
        <v>14347</v>
      </c>
      <c r="X192" s="50" t="s">
        <v>102</v>
      </c>
      <c r="Y192" s="50" t="s">
        <v>679</v>
      </c>
      <c r="Z192" s="50" t="s">
        <v>104</v>
      </c>
      <c r="AA192" s="50" t="s">
        <v>14348</v>
      </c>
      <c r="AB192" s="50" t="s">
        <v>14349</v>
      </c>
      <c r="AC192" s="50" t="s">
        <v>14491</v>
      </c>
      <c r="AD192" s="50" t="s">
        <v>13263</v>
      </c>
      <c r="AE192" s="50" t="s">
        <v>14491</v>
      </c>
      <c r="AF192" s="50" t="s">
        <v>109</v>
      </c>
      <c r="AG192" s="50" t="s">
        <v>102</v>
      </c>
      <c r="AH192" s="50" t="s">
        <v>109</v>
      </c>
      <c r="AI192" s="50" t="s">
        <v>102</v>
      </c>
      <c r="AJ192" s="50" t="s">
        <v>102</v>
      </c>
      <c r="AK192" s="50" t="s">
        <v>14351</v>
      </c>
      <c r="AL192" s="50" t="s">
        <v>13344</v>
      </c>
      <c r="AM192" s="50" t="s">
        <v>14492</v>
      </c>
      <c r="AN192" s="50" t="s">
        <v>14493</v>
      </c>
      <c r="AO192" s="50" t="s">
        <v>14494</v>
      </c>
      <c r="AP192" s="50" t="s">
        <v>14355</v>
      </c>
      <c r="AQ192" s="50" t="s">
        <v>14355</v>
      </c>
      <c r="AV192" s="50" t="s">
        <v>207</v>
      </c>
      <c r="AW192" s="50" t="s">
        <v>118</v>
      </c>
      <c r="AX192" s="50" t="s">
        <v>102</v>
      </c>
      <c r="AY192" s="50" t="s">
        <v>119</v>
      </c>
      <c r="BB192" s="50" t="s">
        <v>250</v>
      </c>
      <c r="BC192" s="50" t="s">
        <v>120</v>
      </c>
      <c r="BD192" s="50" t="s">
        <v>2820</v>
      </c>
      <c r="BE192" s="50" t="s">
        <v>376</v>
      </c>
      <c r="BF192" s="50" t="s">
        <v>174</v>
      </c>
      <c r="BG192" s="50" t="s">
        <v>376</v>
      </c>
      <c r="BH192" s="50" t="s">
        <v>124</v>
      </c>
      <c r="BI192" s="50" t="s">
        <v>11888</v>
      </c>
      <c r="BJ192" s="50" t="s">
        <v>11889</v>
      </c>
      <c r="BK192" s="50" t="s">
        <v>127</v>
      </c>
      <c r="BL192" s="50" t="s">
        <v>14495</v>
      </c>
      <c r="BM192" s="50" t="s">
        <v>14496</v>
      </c>
      <c r="BN192" s="50" t="s">
        <v>14497</v>
      </c>
      <c r="BO192" s="50" t="s">
        <v>12838</v>
      </c>
      <c r="BP192" s="50" t="s">
        <v>6926</v>
      </c>
      <c r="BQ192" s="50" t="s">
        <v>180</v>
      </c>
      <c r="BR192" s="50" t="s">
        <v>6927</v>
      </c>
      <c r="BS192" s="50" t="s">
        <v>6928</v>
      </c>
      <c r="BT192" s="50" t="s">
        <v>1858</v>
      </c>
      <c r="BV192" s="50" t="s">
        <v>14498</v>
      </c>
      <c r="BW192" s="50" t="s">
        <v>14360</v>
      </c>
      <c r="BX192" s="50" t="s">
        <v>296</v>
      </c>
      <c r="BY192" s="50" t="s">
        <v>14361</v>
      </c>
      <c r="BZ192" s="50" t="s">
        <v>14362</v>
      </c>
      <c r="CA192" s="50" t="s">
        <v>14499</v>
      </c>
      <c r="CB192" s="50" t="s">
        <v>14500</v>
      </c>
      <c r="CC192" s="50" t="s">
        <v>14499</v>
      </c>
      <c r="CD192" s="50" t="s">
        <v>14501</v>
      </c>
      <c r="CE192" s="50" t="s">
        <v>14366</v>
      </c>
      <c r="CF192" s="50" t="s">
        <v>14367</v>
      </c>
      <c r="CG192" s="50" t="s">
        <v>14368</v>
      </c>
      <c r="CH192" s="50" t="s">
        <v>14502</v>
      </c>
      <c r="CI192" s="50" t="s">
        <v>14503</v>
      </c>
      <c r="CK192" s="50" t="s">
        <v>10306</v>
      </c>
      <c r="CL192" s="50" t="s">
        <v>14504</v>
      </c>
      <c r="CM192" s="50" t="s">
        <v>2820</v>
      </c>
      <c r="CN192" s="50" t="s">
        <v>376</v>
      </c>
      <c r="CO192" s="50" t="s">
        <v>10306</v>
      </c>
      <c r="CQ192" s="50" t="s">
        <v>14503</v>
      </c>
      <c r="CR192" s="50" t="s">
        <v>14503</v>
      </c>
    </row>
    <row r="193" spans="1:97" hidden="1">
      <c r="A193" s="50" t="s">
        <v>149</v>
      </c>
      <c r="B193" s="50">
        <v>3520543</v>
      </c>
      <c r="C193" s="50" t="e">
        <f>VLOOKUP(B193,'Drop schools 2026'!B:C,2,0)</f>
        <v>#N/A</v>
      </c>
      <c r="D193" s="50" t="s">
        <v>622</v>
      </c>
      <c r="E193" s="50" t="s">
        <v>985</v>
      </c>
      <c r="F193" s="50" t="s">
        <v>6524</v>
      </c>
      <c r="G193" s="50" t="e">
        <f>VLOOKUP(B193,aa!B:F,5,0)</f>
        <v>#N/A</v>
      </c>
      <c r="H193" s="50" t="e">
        <f>VLOOKUP(B193,aa!B:J,9,0)</f>
        <v>#N/A</v>
      </c>
      <c r="I193" s="50" t="e">
        <f>VLOOKUP(B193,aa!B:L,11,0)</f>
        <v>#N/A</v>
      </c>
      <c r="J193" s="50" t="e">
        <f>VLOOKUP(B193,aa!B:O,14,0)</f>
        <v>#N/A</v>
      </c>
      <c r="K193" s="50" t="e">
        <f>VLOOKUP(B193,aa!B:R,17,0)</f>
        <v>#N/A</v>
      </c>
      <c r="L193" s="50" t="s">
        <v>97</v>
      </c>
      <c r="M193" s="50">
        <v>813894</v>
      </c>
      <c r="N193" s="50">
        <v>813894</v>
      </c>
      <c r="O193" s="50">
        <v>813894</v>
      </c>
      <c r="P193" s="50">
        <v>1011</v>
      </c>
      <c r="Q193" s="50" t="s">
        <v>2141</v>
      </c>
      <c r="R193" s="50">
        <v>0</v>
      </c>
      <c r="S193" s="50">
        <v>0</v>
      </c>
      <c r="U193" s="50">
        <v>0</v>
      </c>
      <c r="V193" s="50">
        <v>0</v>
      </c>
      <c r="X193" s="50" t="s">
        <v>102</v>
      </c>
      <c r="Y193" s="50" t="s">
        <v>103</v>
      </c>
      <c r="Z193" s="50" t="s">
        <v>104</v>
      </c>
      <c r="AB193" s="50" t="s">
        <v>11976</v>
      </c>
      <c r="AC193" s="50" t="s">
        <v>16383</v>
      </c>
      <c r="AD193" s="50" t="s">
        <v>5651</v>
      </c>
      <c r="AE193" s="50" t="s">
        <v>16383</v>
      </c>
      <c r="AF193" s="50" t="s">
        <v>109</v>
      </c>
      <c r="AG193" s="50" t="s">
        <v>102</v>
      </c>
      <c r="AH193" s="50" t="s">
        <v>109</v>
      </c>
      <c r="AI193" s="50" t="s">
        <v>102</v>
      </c>
      <c r="AJ193" s="50" t="s">
        <v>102</v>
      </c>
      <c r="AK193" s="50" t="s">
        <v>12838</v>
      </c>
      <c r="AL193" s="50" t="s">
        <v>12041</v>
      </c>
      <c r="AM193" s="50" t="s">
        <v>16384</v>
      </c>
      <c r="AN193" s="50" t="s">
        <v>16385</v>
      </c>
      <c r="AO193" s="50" t="s">
        <v>16386</v>
      </c>
      <c r="AP193" s="50" t="s">
        <v>16387</v>
      </c>
      <c r="AQ193" s="50" t="s">
        <v>16387</v>
      </c>
      <c r="AV193" s="50" t="s">
        <v>318</v>
      </c>
      <c r="AW193" s="50" t="s">
        <v>118</v>
      </c>
      <c r="AX193" s="50" t="s">
        <v>102</v>
      </c>
      <c r="AY193" s="50" t="s">
        <v>119</v>
      </c>
      <c r="BC193" s="50" t="s">
        <v>120</v>
      </c>
      <c r="BD193" s="50" t="s">
        <v>2127</v>
      </c>
      <c r="BE193" s="50" t="s">
        <v>621</v>
      </c>
      <c r="BF193" s="50" t="s">
        <v>622</v>
      </c>
      <c r="BG193" s="50" t="s">
        <v>976</v>
      </c>
      <c r="BH193" s="50" t="s">
        <v>124</v>
      </c>
      <c r="BI193" s="50" t="s">
        <v>13680</v>
      </c>
      <c r="BJ193" s="50" t="s">
        <v>11889</v>
      </c>
      <c r="BK193" s="50" t="s">
        <v>127</v>
      </c>
      <c r="BL193" s="50" t="s">
        <v>16388</v>
      </c>
      <c r="BM193" s="50" t="s">
        <v>6532</v>
      </c>
      <c r="BN193" s="50" t="s">
        <v>16389</v>
      </c>
      <c r="BO193" s="50" t="s">
        <v>16382</v>
      </c>
      <c r="BP193" s="50" t="s">
        <v>981</v>
      </c>
      <c r="BQ193" s="50" t="s">
        <v>505</v>
      </c>
      <c r="BR193" s="50" t="s">
        <v>982</v>
      </c>
      <c r="BS193" s="50" t="s">
        <v>983</v>
      </c>
      <c r="BT193" s="50" t="s">
        <v>984</v>
      </c>
      <c r="BV193" s="50" t="s">
        <v>16390</v>
      </c>
      <c r="BW193" s="50" t="s">
        <v>6535</v>
      </c>
      <c r="BX193" s="50" t="s">
        <v>138</v>
      </c>
      <c r="BY193" s="50" t="s">
        <v>6536</v>
      </c>
      <c r="BZ193" s="50" t="s">
        <v>6537</v>
      </c>
      <c r="CA193" s="50" t="s">
        <v>6538</v>
      </c>
      <c r="CB193" s="50" t="s">
        <v>16391</v>
      </c>
      <c r="CC193" s="50" t="s">
        <v>6536</v>
      </c>
      <c r="CD193" s="50" t="s">
        <v>6537</v>
      </c>
      <c r="CE193" s="50" t="s">
        <v>16392</v>
      </c>
      <c r="CF193" s="50" t="s">
        <v>16393</v>
      </c>
      <c r="CG193" s="50" t="s">
        <v>16394</v>
      </c>
      <c r="CH193" s="50" t="s">
        <v>102</v>
      </c>
      <c r="CI193" s="50" t="s">
        <v>16395</v>
      </c>
      <c r="CK193" s="50" t="s">
        <v>6540</v>
      </c>
      <c r="CM193" s="50" t="s">
        <v>2127</v>
      </c>
      <c r="CN193" s="50" t="s">
        <v>621</v>
      </c>
      <c r="CO193" s="50" t="s">
        <v>6540</v>
      </c>
      <c r="CQ193" s="50" t="s">
        <v>6539</v>
      </c>
      <c r="CR193" s="50" t="s">
        <v>6539</v>
      </c>
      <c r="CS193" s="50" t="s">
        <v>26043</v>
      </c>
    </row>
    <row r="194" spans="1:97" hidden="1">
      <c r="A194" s="50" t="s">
        <v>149</v>
      </c>
      <c r="B194" s="50">
        <v>3150210</v>
      </c>
      <c r="C194" s="50" t="str">
        <f>VLOOKUP(B194,RISK!B:C,2,0)</f>
        <v>Risk</v>
      </c>
      <c r="D194" s="50" t="s">
        <v>212</v>
      </c>
      <c r="E194" s="50" t="s">
        <v>13158</v>
      </c>
      <c r="F194" s="50" t="s">
        <v>4754</v>
      </c>
      <c r="G194" s="50" t="e">
        <f>VLOOKUP(B194,aa!B:F,5,0)</f>
        <v>#N/A</v>
      </c>
      <c r="H194" s="50" t="e">
        <f>VLOOKUP(B194,aa!B:J,9,0)</f>
        <v>#N/A</v>
      </c>
      <c r="I194" s="50" t="e">
        <f>VLOOKUP(B194,aa!B:L,11,0)</f>
        <v>#N/A</v>
      </c>
      <c r="J194" s="50" t="e">
        <f>VLOOKUP(B194,aa!B:O,14,0)</f>
        <v>#N/A</v>
      </c>
      <c r="K194" s="50" t="e">
        <f>VLOOKUP(B194,aa!B:R,17,0)</f>
        <v>#N/A</v>
      </c>
      <c r="L194" s="50" t="s">
        <v>152</v>
      </c>
      <c r="M194" s="50">
        <v>811526</v>
      </c>
      <c r="N194" s="50">
        <v>811526</v>
      </c>
      <c r="O194" s="50">
        <v>0</v>
      </c>
      <c r="P194" s="50">
        <v>0</v>
      </c>
      <c r="R194" s="50">
        <v>811526</v>
      </c>
      <c r="S194" s="50">
        <v>773</v>
      </c>
      <c r="T194" s="50" t="s">
        <v>433</v>
      </c>
      <c r="U194" s="50">
        <v>0</v>
      </c>
      <c r="V194" s="50">
        <v>0</v>
      </c>
      <c r="X194" s="50" t="s">
        <v>102</v>
      </c>
      <c r="Y194" s="50" t="s">
        <v>103</v>
      </c>
      <c r="Z194" s="50" t="s">
        <v>155</v>
      </c>
      <c r="AB194" s="50" t="s">
        <v>8708</v>
      </c>
      <c r="AC194" s="50" t="s">
        <v>15010</v>
      </c>
      <c r="AD194" s="50" t="s">
        <v>12800</v>
      </c>
      <c r="AE194" s="50" t="s">
        <v>15010</v>
      </c>
      <c r="AF194" s="50" t="s">
        <v>12099</v>
      </c>
      <c r="AG194" s="50" t="s">
        <v>15010</v>
      </c>
      <c r="AH194" s="50" t="s">
        <v>12713</v>
      </c>
      <c r="AI194" s="50" t="s">
        <v>15010</v>
      </c>
      <c r="AJ194" s="50" t="s">
        <v>102</v>
      </c>
      <c r="AK194" s="50" t="s">
        <v>7419</v>
      </c>
      <c r="AL194" s="50" t="s">
        <v>15011</v>
      </c>
      <c r="AM194" s="50" t="s">
        <v>15012</v>
      </c>
      <c r="AN194" s="50" t="s">
        <v>15013</v>
      </c>
      <c r="AO194" s="50" t="s">
        <v>15014</v>
      </c>
      <c r="AP194" s="50" t="s">
        <v>15015</v>
      </c>
      <c r="AQ194" s="50" t="s">
        <v>15015</v>
      </c>
      <c r="AV194" s="50" t="s">
        <v>102</v>
      </c>
      <c r="AX194" s="50" t="s">
        <v>155</v>
      </c>
      <c r="AY194" s="50" t="s">
        <v>119</v>
      </c>
      <c r="AZ194" s="50" t="s">
        <v>170</v>
      </c>
      <c r="BA194" s="50" t="s">
        <v>118</v>
      </c>
      <c r="BC194" s="50" t="s">
        <v>120</v>
      </c>
      <c r="BD194" s="50" t="s">
        <v>284</v>
      </c>
      <c r="BE194" s="50" t="s">
        <v>285</v>
      </c>
      <c r="BF194" s="50" t="s">
        <v>212</v>
      </c>
      <c r="BG194" s="50" t="s">
        <v>286</v>
      </c>
      <c r="BH194" s="50" t="s">
        <v>124</v>
      </c>
      <c r="BI194" s="50" t="s">
        <v>11959</v>
      </c>
      <c r="BJ194" s="50" t="s">
        <v>11889</v>
      </c>
      <c r="BK194" s="50" t="s">
        <v>127</v>
      </c>
      <c r="BL194" s="50" t="s">
        <v>15016</v>
      </c>
      <c r="BM194" s="50" t="s">
        <v>4763</v>
      </c>
      <c r="BN194" s="50" t="s">
        <v>15017</v>
      </c>
      <c r="BO194" s="50" t="s">
        <v>1097</v>
      </c>
      <c r="BP194" s="50" t="s">
        <v>290</v>
      </c>
      <c r="BQ194" s="50" t="s">
        <v>132</v>
      </c>
      <c r="BR194" s="50" t="s">
        <v>291</v>
      </c>
      <c r="BS194" s="50" t="s">
        <v>292</v>
      </c>
      <c r="BT194" s="50" t="s">
        <v>4765</v>
      </c>
      <c r="BV194" s="50" t="s">
        <v>15018</v>
      </c>
      <c r="BW194" s="50" t="s">
        <v>4767</v>
      </c>
      <c r="BX194" s="50" t="s">
        <v>138</v>
      </c>
      <c r="BY194" s="50" t="s">
        <v>4768</v>
      </c>
      <c r="BZ194" s="50" t="s">
        <v>15019</v>
      </c>
      <c r="CB194" s="50" t="s">
        <v>4767</v>
      </c>
      <c r="CC194" s="50" t="s">
        <v>4768</v>
      </c>
      <c r="CD194" s="50" t="s">
        <v>15019</v>
      </c>
      <c r="CE194" s="50" t="s">
        <v>15020</v>
      </c>
      <c r="CF194" s="50" t="s">
        <v>4771</v>
      </c>
      <c r="CG194" s="50" t="s">
        <v>4769</v>
      </c>
      <c r="CH194" s="50" t="s">
        <v>102</v>
      </c>
      <c r="CI194" s="50" t="s">
        <v>15021</v>
      </c>
      <c r="CK194" s="50" t="s">
        <v>4774</v>
      </c>
      <c r="CM194" s="50" t="s">
        <v>284</v>
      </c>
      <c r="CN194" s="50" t="s">
        <v>285</v>
      </c>
      <c r="CO194" s="50" t="s">
        <v>4774</v>
      </c>
      <c r="CQ194" s="50" t="s">
        <v>4773</v>
      </c>
      <c r="CR194" s="50" t="s">
        <v>4773</v>
      </c>
    </row>
    <row r="195" spans="1:97" hidden="1">
      <c r="A195" s="50" t="s">
        <v>149</v>
      </c>
      <c r="B195" s="50">
        <v>210666</v>
      </c>
      <c r="C195" s="50" t="e">
        <f>VLOOKUP(B195,'Drop schools 2026'!B:C,2,0)</f>
        <v>#N/A</v>
      </c>
      <c r="D195" s="50" t="s">
        <v>212</v>
      </c>
      <c r="E195" s="50" t="s">
        <v>12423</v>
      </c>
      <c r="F195" s="50" t="s">
        <v>2711</v>
      </c>
      <c r="G195" s="50" t="e">
        <f>VLOOKUP(B195,aa!B:F,5,0)</f>
        <v>#N/A</v>
      </c>
      <c r="H195" s="50" t="e">
        <f>VLOOKUP(B195,aa!B:J,9,0)</f>
        <v>#N/A</v>
      </c>
      <c r="I195" s="50" t="e">
        <f>VLOOKUP(B195,aa!B:L,11,0)</f>
        <v>#N/A</v>
      </c>
      <c r="J195" s="50" t="e">
        <f>VLOOKUP(B195,aa!B:O,14,0)</f>
        <v>#N/A</v>
      </c>
      <c r="K195" s="50" t="e">
        <f>VLOOKUP(B195,aa!B:R,17,0)</f>
        <v>#N/A</v>
      </c>
      <c r="L195" s="50" t="s">
        <v>2713</v>
      </c>
      <c r="M195" s="50">
        <v>809581</v>
      </c>
      <c r="N195" s="50">
        <v>851907</v>
      </c>
      <c r="O195" s="50">
        <v>574437</v>
      </c>
      <c r="P195" s="50">
        <v>1149</v>
      </c>
      <c r="Q195" s="50" t="s">
        <v>364</v>
      </c>
      <c r="R195" s="50">
        <v>0</v>
      </c>
      <c r="S195" s="50">
        <v>0</v>
      </c>
      <c r="U195" s="50">
        <v>235144</v>
      </c>
      <c r="V195" s="50">
        <v>185</v>
      </c>
      <c r="W195" s="50" t="s">
        <v>850</v>
      </c>
      <c r="X195" s="50" t="s">
        <v>102</v>
      </c>
      <c r="Y195" s="50" t="s">
        <v>103</v>
      </c>
      <c r="Z195" s="50" t="s">
        <v>155</v>
      </c>
      <c r="AB195" s="50" t="s">
        <v>11959</v>
      </c>
      <c r="AC195" s="50" t="s">
        <v>13553</v>
      </c>
      <c r="AD195" s="50" t="s">
        <v>5651</v>
      </c>
      <c r="AE195" s="50" t="s">
        <v>13553</v>
      </c>
      <c r="AF195" s="50" t="s">
        <v>12084</v>
      </c>
      <c r="AG195" s="50" t="s">
        <v>13553</v>
      </c>
      <c r="AH195" s="50" t="s">
        <v>11886</v>
      </c>
      <c r="AI195" s="50" t="s">
        <v>13553</v>
      </c>
      <c r="AJ195" s="50" t="s">
        <v>13554</v>
      </c>
      <c r="AK195" s="50" t="s">
        <v>12425</v>
      </c>
      <c r="AL195" s="50" t="s">
        <v>13555</v>
      </c>
      <c r="AM195" s="50" t="s">
        <v>13556</v>
      </c>
      <c r="AN195" s="50" t="s">
        <v>13557</v>
      </c>
      <c r="AO195" s="50" t="s">
        <v>13558</v>
      </c>
      <c r="AP195" s="50" t="s">
        <v>13559</v>
      </c>
      <c r="AQ195" s="50" t="s">
        <v>13559</v>
      </c>
      <c r="AV195" s="50" t="s">
        <v>117</v>
      </c>
      <c r="AW195" s="50" t="s">
        <v>118</v>
      </c>
      <c r="AX195" s="50" t="s">
        <v>102</v>
      </c>
      <c r="AY195" s="50" t="s">
        <v>119</v>
      </c>
      <c r="BB195" s="50" t="s">
        <v>250</v>
      </c>
      <c r="BC195" s="50" t="s">
        <v>171</v>
      </c>
      <c r="BD195" s="50" t="s">
        <v>1759</v>
      </c>
      <c r="BE195" s="50" t="s">
        <v>410</v>
      </c>
      <c r="BF195" s="50" t="s">
        <v>212</v>
      </c>
      <c r="BG195" s="50" t="s">
        <v>410</v>
      </c>
      <c r="BH195" s="50" t="s">
        <v>124</v>
      </c>
      <c r="BI195" s="50" t="s">
        <v>11959</v>
      </c>
      <c r="BJ195" s="50" t="s">
        <v>11960</v>
      </c>
      <c r="BK195" s="50" t="s">
        <v>127</v>
      </c>
      <c r="BL195" s="50" t="s">
        <v>13560</v>
      </c>
      <c r="BM195" s="50" t="s">
        <v>2730</v>
      </c>
      <c r="BN195" s="50" t="s">
        <v>13561</v>
      </c>
      <c r="BO195" s="50" t="s">
        <v>7145</v>
      </c>
      <c r="BP195" s="50" t="s">
        <v>1880</v>
      </c>
      <c r="BQ195" s="50" t="s">
        <v>132</v>
      </c>
      <c r="BR195" s="50" t="s">
        <v>1882</v>
      </c>
      <c r="BS195" s="50" t="s">
        <v>1883</v>
      </c>
      <c r="BT195" s="50" t="s">
        <v>222</v>
      </c>
      <c r="BV195" s="50" t="s">
        <v>13562</v>
      </c>
      <c r="BW195" s="50" t="s">
        <v>13563</v>
      </c>
      <c r="BX195" s="50" t="s">
        <v>138</v>
      </c>
      <c r="BY195" s="50" t="s">
        <v>2734</v>
      </c>
      <c r="BZ195" s="50" t="s">
        <v>13564</v>
      </c>
      <c r="CA195" s="50" t="s">
        <v>2734</v>
      </c>
      <c r="CB195" s="50" t="s">
        <v>13563</v>
      </c>
      <c r="CC195" s="50" t="s">
        <v>2734</v>
      </c>
      <c r="CD195" s="50" t="s">
        <v>13564</v>
      </c>
      <c r="CE195" s="50" t="s">
        <v>13565</v>
      </c>
      <c r="CF195" s="50" t="s">
        <v>13566</v>
      </c>
      <c r="CG195" s="50" t="s">
        <v>13567</v>
      </c>
      <c r="CH195" s="50" t="s">
        <v>102</v>
      </c>
      <c r="CI195" s="50" t="s">
        <v>2711</v>
      </c>
      <c r="CK195" s="50" t="s">
        <v>2740</v>
      </c>
      <c r="CL195" s="50" t="s">
        <v>13568</v>
      </c>
      <c r="CM195" s="50" t="s">
        <v>1759</v>
      </c>
      <c r="CN195" s="50" t="s">
        <v>410</v>
      </c>
      <c r="CO195" s="50" t="s">
        <v>2740</v>
      </c>
      <c r="CP195" s="50" t="s">
        <v>1775</v>
      </c>
      <c r="CQ195" s="50" t="s">
        <v>2739</v>
      </c>
      <c r="CR195" s="50" t="s">
        <v>1773</v>
      </c>
      <c r="CS195" s="50" t="s">
        <v>26040</v>
      </c>
    </row>
    <row r="196" spans="1:97" hidden="1">
      <c r="A196" s="50" t="s">
        <v>149</v>
      </c>
      <c r="B196" s="50">
        <v>2291851</v>
      </c>
      <c r="C196" s="50" t="e">
        <f>VLOOKUP(B196,'Drop schools 2026'!B:C,2,0)</f>
        <v>#N/A</v>
      </c>
      <c r="D196" s="50" t="s">
        <v>622</v>
      </c>
      <c r="E196" s="50" t="s">
        <v>2525</v>
      </c>
      <c r="F196" s="50" t="s">
        <v>2985</v>
      </c>
      <c r="G196" s="50" t="str">
        <f>VLOOKUP(B196,aa!B:F,5,0)</f>
        <v>Ei ASSET, Ei CARES</v>
      </c>
      <c r="H196" s="50">
        <f>VLOOKUP(B196,aa!B:J,9,0)</f>
        <v>2455448</v>
      </c>
      <c r="I196" s="50">
        <f>VLOOKUP(B196,aa!B:L,11,0)</f>
        <v>695520</v>
      </c>
      <c r="J196" s="50">
        <f>VLOOKUP(B196,aa!B:O,14,0)</f>
        <v>1759928</v>
      </c>
      <c r="K196" s="50">
        <f>VLOOKUP(B196,aa!B:R,17,0)</f>
        <v>0</v>
      </c>
      <c r="L196" s="50" t="s">
        <v>152</v>
      </c>
      <c r="M196" s="50">
        <v>801948</v>
      </c>
      <c r="N196" s="50">
        <v>801948</v>
      </c>
      <c r="O196" s="50">
        <v>0</v>
      </c>
      <c r="P196" s="50">
        <v>0</v>
      </c>
      <c r="R196" s="50">
        <v>801948</v>
      </c>
      <c r="S196" s="50">
        <v>330</v>
      </c>
      <c r="T196" s="50" t="s">
        <v>13698</v>
      </c>
      <c r="U196" s="50">
        <v>0</v>
      </c>
      <c r="V196" s="50">
        <v>0</v>
      </c>
      <c r="X196" s="50" t="s">
        <v>102</v>
      </c>
      <c r="Y196" s="50" t="s">
        <v>275</v>
      </c>
      <c r="AA196" s="50" t="s">
        <v>126</v>
      </c>
      <c r="AB196" s="50" t="s">
        <v>109</v>
      </c>
      <c r="AC196" s="50" t="s">
        <v>102</v>
      </c>
      <c r="AD196" s="50" t="s">
        <v>109</v>
      </c>
      <c r="AE196" s="50" t="s">
        <v>102</v>
      </c>
      <c r="AF196" s="50" t="s">
        <v>109</v>
      </c>
      <c r="AG196" s="50" t="s">
        <v>102</v>
      </c>
      <c r="AH196" s="50" t="s">
        <v>109</v>
      </c>
      <c r="AI196" s="50" t="s">
        <v>102</v>
      </c>
      <c r="AJ196" s="50" t="s">
        <v>13699</v>
      </c>
      <c r="AK196" s="50" t="s">
        <v>1403</v>
      </c>
      <c r="AL196" s="50" t="s">
        <v>1403</v>
      </c>
      <c r="AM196" s="50" t="s">
        <v>13700</v>
      </c>
      <c r="AN196" s="50" t="s">
        <v>13701</v>
      </c>
      <c r="AO196" s="50" t="s">
        <v>115</v>
      </c>
      <c r="AP196" s="50" t="s">
        <v>13702</v>
      </c>
      <c r="AQ196" s="50" t="s">
        <v>13703</v>
      </c>
      <c r="AR196" s="50" t="s">
        <v>343</v>
      </c>
      <c r="AU196" s="50" t="s">
        <v>169</v>
      </c>
      <c r="AV196" s="50" t="s">
        <v>102</v>
      </c>
      <c r="AX196" s="50" t="s">
        <v>1758</v>
      </c>
      <c r="AY196" s="50" t="s">
        <v>447</v>
      </c>
      <c r="AZ196" s="50" t="s">
        <v>170</v>
      </c>
      <c r="BA196" s="50" t="s">
        <v>118</v>
      </c>
      <c r="BC196" s="50" t="s">
        <v>209</v>
      </c>
      <c r="BD196" s="50" t="s">
        <v>2327</v>
      </c>
      <c r="BE196" s="50" t="s">
        <v>730</v>
      </c>
      <c r="BF196" s="50" t="s">
        <v>622</v>
      </c>
      <c r="BG196" s="50" t="s">
        <v>730</v>
      </c>
      <c r="BH196" s="50" t="s">
        <v>124</v>
      </c>
      <c r="BI196" s="50" t="s">
        <v>12023</v>
      </c>
      <c r="BJ196" s="50" t="s">
        <v>11889</v>
      </c>
      <c r="BK196" s="50" t="s">
        <v>127</v>
      </c>
      <c r="BL196" s="50" t="s">
        <v>13704</v>
      </c>
      <c r="BM196" s="50" t="s">
        <v>2995</v>
      </c>
      <c r="BN196" s="50" t="s">
        <v>13705</v>
      </c>
      <c r="BO196" s="50" t="s">
        <v>945</v>
      </c>
      <c r="BP196" s="50" t="s">
        <v>3606</v>
      </c>
      <c r="BQ196" s="50" t="s">
        <v>258</v>
      </c>
      <c r="BR196" s="50" t="s">
        <v>3607</v>
      </c>
      <c r="BS196" s="50" t="s">
        <v>3608</v>
      </c>
      <c r="BT196" s="50" t="s">
        <v>2525</v>
      </c>
      <c r="BV196" s="50" t="s">
        <v>13706</v>
      </c>
      <c r="BW196" s="50" t="s">
        <v>2998</v>
      </c>
      <c r="BX196" s="50" t="s">
        <v>296</v>
      </c>
      <c r="BY196" s="50" t="s">
        <v>13707</v>
      </c>
      <c r="BZ196" s="50" t="s">
        <v>3000</v>
      </c>
      <c r="CB196" s="50" t="s">
        <v>2998</v>
      </c>
      <c r="CC196" s="50" t="s">
        <v>13707</v>
      </c>
      <c r="CD196" s="50" t="s">
        <v>3000</v>
      </c>
      <c r="CE196" s="50" t="s">
        <v>2998</v>
      </c>
      <c r="CF196" s="50" t="s">
        <v>13707</v>
      </c>
      <c r="CG196" s="50" t="s">
        <v>3000</v>
      </c>
      <c r="CH196" s="50" t="s">
        <v>102</v>
      </c>
      <c r="CI196" s="50" t="s">
        <v>13708</v>
      </c>
      <c r="CK196" s="50" t="s">
        <v>2272</v>
      </c>
      <c r="CM196" s="50" t="s">
        <v>2327</v>
      </c>
      <c r="CN196" s="50" t="s">
        <v>730</v>
      </c>
      <c r="CO196" s="50" t="s">
        <v>2272</v>
      </c>
      <c r="CQ196" s="50" t="s">
        <v>3001</v>
      </c>
      <c r="CR196" s="50" t="s">
        <v>3001</v>
      </c>
    </row>
    <row r="197" spans="1:97">
      <c r="A197" s="50" t="s">
        <v>337</v>
      </c>
      <c r="B197" s="50">
        <v>856520</v>
      </c>
      <c r="C197" s="50" t="e">
        <f>VLOOKUP(B197,'Drop schools 2026'!B:C,2,0)</f>
        <v>#N/A</v>
      </c>
      <c r="D197" s="50" t="s">
        <v>122</v>
      </c>
      <c r="E197" s="50" t="s">
        <v>12491</v>
      </c>
      <c r="F197" s="53" t="s">
        <v>21540</v>
      </c>
      <c r="G197" s="50" t="e">
        <f>VLOOKUP(B197,aa!B:F,5,0)</f>
        <v>#N/A</v>
      </c>
      <c r="H197" s="50" t="e">
        <f>VLOOKUP(B197,aa!B:J,9,0)</f>
        <v>#N/A</v>
      </c>
      <c r="I197" s="50" t="e">
        <f>VLOOKUP(B197,aa!B:L,11,0)</f>
        <v>#N/A</v>
      </c>
      <c r="J197" s="50" t="e">
        <f>VLOOKUP(B197,aa!B:O,14,0)</f>
        <v>#N/A</v>
      </c>
      <c r="K197" s="50" t="e">
        <f>VLOOKUP(B197,aa!B:R,17,0)</f>
        <v>#N/A</v>
      </c>
      <c r="L197" s="50" t="s">
        <v>848</v>
      </c>
      <c r="M197" s="50">
        <v>799972</v>
      </c>
      <c r="N197" s="50">
        <v>943967</v>
      </c>
      <c r="O197" s="50">
        <v>0</v>
      </c>
      <c r="P197" s="50">
        <v>0</v>
      </c>
      <c r="R197" s="50">
        <v>0</v>
      </c>
      <c r="S197" s="50">
        <v>0</v>
      </c>
      <c r="U197" s="50">
        <v>799972</v>
      </c>
      <c r="V197" s="50">
        <v>400</v>
      </c>
      <c r="W197" s="50" t="s">
        <v>7192</v>
      </c>
      <c r="X197" s="50" t="s">
        <v>102</v>
      </c>
      <c r="Y197" s="50" t="s">
        <v>103</v>
      </c>
      <c r="Z197" s="50" t="s">
        <v>398</v>
      </c>
      <c r="AB197" s="50" t="s">
        <v>13033</v>
      </c>
      <c r="AC197" s="50" t="s">
        <v>21541</v>
      </c>
      <c r="AD197" s="50" t="s">
        <v>13034</v>
      </c>
      <c r="AE197" s="50" t="s">
        <v>21542</v>
      </c>
      <c r="AF197" s="50" t="s">
        <v>6895</v>
      </c>
      <c r="AG197" s="50" t="s">
        <v>21542</v>
      </c>
      <c r="AH197" s="50" t="s">
        <v>109</v>
      </c>
      <c r="AI197" s="50" t="s">
        <v>102</v>
      </c>
      <c r="AJ197" s="50" t="s">
        <v>21543</v>
      </c>
      <c r="AK197" s="50" t="s">
        <v>8258</v>
      </c>
      <c r="AL197" s="50" t="s">
        <v>8258</v>
      </c>
      <c r="AM197" s="50" t="s">
        <v>21544</v>
      </c>
      <c r="AN197" s="50" t="s">
        <v>21545</v>
      </c>
      <c r="AO197" s="50" t="s">
        <v>21546</v>
      </c>
      <c r="AP197" s="50" t="s">
        <v>21253</v>
      </c>
      <c r="AQ197" s="50" t="s">
        <v>21253</v>
      </c>
      <c r="AV197" s="50" t="s">
        <v>102</v>
      </c>
      <c r="AX197" s="50" t="s">
        <v>102</v>
      </c>
      <c r="AY197" s="50" t="s">
        <v>119</v>
      </c>
      <c r="BB197" s="50" t="s">
        <v>250</v>
      </c>
      <c r="BC197" s="50" t="s">
        <v>120</v>
      </c>
      <c r="BD197" s="50" t="s">
        <v>21547</v>
      </c>
      <c r="BE197" s="50" t="s">
        <v>1244</v>
      </c>
      <c r="BF197" s="50" t="s">
        <v>122</v>
      </c>
      <c r="BG197" s="50" t="s">
        <v>1244</v>
      </c>
      <c r="BH197" s="50" t="s">
        <v>124</v>
      </c>
      <c r="BI197" s="50" t="s">
        <v>11976</v>
      </c>
      <c r="BJ197" s="50" t="s">
        <v>11889</v>
      </c>
      <c r="BK197" s="50" t="s">
        <v>127</v>
      </c>
      <c r="BL197" s="50" t="s">
        <v>21548</v>
      </c>
      <c r="BM197" s="50" t="s">
        <v>21549</v>
      </c>
      <c r="BN197" s="50" t="s">
        <v>21550</v>
      </c>
      <c r="BO197" s="50" t="s">
        <v>5351</v>
      </c>
      <c r="BP197" s="50" t="s">
        <v>19163</v>
      </c>
      <c r="BQ197" s="50" t="s">
        <v>505</v>
      </c>
      <c r="BR197" s="50" t="s">
        <v>19164</v>
      </c>
      <c r="BS197" s="50" t="s">
        <v>19165</v>
      </c>
      <c r="BT197" s="50" t="s">
        <v>21551</v>
      </c>
      <c r="BV197" s="50" t="s">
        <v>21552</v>
      </c>
      <c r="BW197" s="50" t="s">
        <v>21553</v>
      </c>
      <c r="BX197" s="50" t="s">
        <v>138</v>
      </c>
      <c r="BY197" s="50" t="s">
        <v>225</v>
      </c>
      <c r="BZ197" s="50" t="s">
        <v>21554</v>
      </c>
      <c r="CA197" s="50" t="s">
        <v>21555</v>
      </c>
      <c r="CB197" s="50" t="s">
        <v>21553</v>
      </c>
      <c r="CC197" s="50" t="s">
        <v>225</v>
      </c>
      <c r="CD197" s="50" t="s">
        <v>21554</v>
      </c>
      <c r="CE197" s="50" t="s">
        <v>21553</v>
      </c>
      <c r="CF197" s="50" t="s">
        <v>225</v>
      </c>
      <c r="CG197" s="50" t="s">
        <v>21554</v>
      </c>
      <c r="CH197" s="50" t="s">
        <v>21556</v>
      </c>
      <c r="CI197" s="50" t="s">
        <v>21557</v>
      </c>
      <c r="CK197" s="50" t="s">
        <v>21558</v>
      </c>
      <c r="CL197" s="50" t="s">
        <v>21557</v>
      </c>
      <c r="CM197" s="50" t="s">
        <v>21547</v>
      </c>
      <c r="CN197" s="50" t="s">
        <v>1244</v>
      </c>
      <c r="CO197" s="50" t="s">
        <v>21558</v>
      </c>
      <c r="CQ197" s="50" t="s">
        <v>21559</v>
      </c>
      <c r="CR197" s="50" t="s">
        <v>21559</v>
      </c>
    </row>
    <row r="198" spans="1:97" hidden="1">
      <c r="A198" s="50" t="s">
        <v>149</v>
      </c>
      <c r="B198" s="50">
        <v>3769775</v>
      </c>
      <c r="C198" s="50" t="e">
        <f>VLOOKUP(B198,'Drop schools 2026'!B:C,2,0)</f>
        <v>#N/A</v>
      </c>
      <c r="D198" s="50" t="s">
        <v>174</v>
      </c>
      <c r="E198" s="50" t="s">
        <v>1111</v>
      </c>
      <c r="F198" s="83" t="s">
        <v>7391</v>
      </c>
      <c r="G198" s="50" t="str">
        <f>VLOOKUP(B198,aa!B:F,5,0)</f>
        <v>Ei ASSET,Ei CARES,Ei Mindspark, Ei Mindspark</v>
      </c>
      <c r="H198" s="50">
        <f>VLOOKUP(B198,aa!B:J,9,0)</f>
        <v>915922</v>
      </c>
      <c r="I198" s="50">
        <f>VLOOKUP(B198,aa!B:L,11,0)</f>
        <v>98501</v>
      </c>
      <c r="J198" s="50">
        <f>VLOOKUP(B198,aa!B:O,14,0)</f>
        <v>232567</v>
      </c>
      <c r="K198" s="50">
        <f>VLOOKUP(B198,aa!B:R,17,0)</f>
        <v>584854</v>
      </c>
      <c r="L198" s="50" t="s">
        <v>1086</v>
      </c>
      <c r="M198" s="50">
        <v>792787</v>
      </c>
      <c r="N198" s="50">
        <v>892087</v>
      </c>
      <c r="O198" s="50">
        <v>72192</v>
      </c>
      <c r="P198" s="50">
        <v>173</v>
      </c>
      <c r="Q198" s="50" t="s">
        <v>16915</v>
      </c>
      <c r="R198" s="50">
        <v>168929</v>
      </c>
      <c r="S198" s="50">
        <v>173</v>
      </c>
      <c r="T198" s="50" t="s">
        <v>16916</v>
      </c>
      <c r="U198" s="50">
        <v>551666</v>
      </c>
      <c r="V198" s="50">
        <v>258</v>
      </c>
      <c r="W198" s="50" t="s">
        <v>16917</v>
      </c>
      <c r="X198" s="50" t="s">
        <v>102</v>
      </c>
      <c r="Y198" s="50" t="s">
        <v>103</v>
      </c>
      <c r="Z198" s="50" t="s">
        <v>155</v>
      </c>
      <c r="AB198" s="50" t="s">
        <v>16918</v>
      </c>
      <c r="AC198" s="50" t="s">
        <v>16919</v>
      </c>
      <c r="AD198" s="50" t="s">
        <v>14023</v>
      </c>
      <c r="AE198" s="50" t="s">
        <v>16919</v>
      </c>
      <c r="AF198" s="50" t="s">
        <v>11930</v>
      </c>
      <c r="AG198" s="50" t="s">
        <v>16919</v>
      </c>
      <c r="AH198" s="50" t="s">
        <v>11886</v>
      </c>
      <c r="AI198" s="50" t="s">
        <v>16919</v>
      </c>
      <c r="AJ198" s="50" t="s">
        <v>102</v>
      </c>
      <c r="AK198" s="50" t="s">
        <v>13602</v>
      </c>
      <c r="AL198" s="50" t="s">
        <v>16920</v>
      </c>
      <c r="AM198" s="50" t="s">
        <v>16921</v>
      </c>
      <c r="AN198" s="50" t="s">
        <v>16922</v>
      </c>
      <c r="AO198" s="50" t="s">
        <v>16923</v>
      </c>
      <c r="AP198" s="50" t="s">
        <v>16924</v>
      </c>
      <c r="AQ198" s="50" t="s">
        <v>16924</v>
      </c>
      <c r="AV198" s="50" t="s">
        <v>207</v>
      </c>
      <c r="AW198" s="50" t="s">
        <v>250</v>
      </c>
      <c r="AX198" s="50" t="s">
        <v>655</v>
      </c>
      <c r="AY198" s="50" t="s">
        <v>249</v>
      </c>
      <c r="BA198" s="50" t="s">
        <v>250</v>
      </c>
      <c r="BB198" s="50" t="s">
        <v>250</v>
      </c>
      <c r="BC198" s="50" t="s">
        <v>120</v>
      </c>
      <c r="BD198" s="50" t="s">
        <v>7403</v>
      </c>
      <c r="BE198" s="50" t="s">
        <v>4404</v>
      </c>
      <c r="BF198" s="50" t="s">
        <v>174</v>
      </c>
      <c r="BG198" s="50" t="s">
        <v>4405</v>
      </c>
      <c r="BH198" s="50" t="s">
        <v>124</v>
      </c>
      <c r="BI198" s="50" t="s">
        <v>12023</v>
      </c>
      <c r="BJ198" s="50" t="s">
        <v>11889</v>
      </c>
      <c r="BK198" s="50" t="s">
        <v>127</v>
      </c>
      <c r="BL198" s="50" t="s">
        <v>16925</v>
      </c>
      <c r="BM198" s="50" t="s">
        <v>7405</v>
      </c>
      <c r="BN198" s="50" t="s">
        <v>16926</v>
      </c>
      <c r="BO198" s="50" t="s">
        <v>16914</v>
      </c>
      <c r="BP198" s="50" t="s">
        <v>1108</v>
      </c>
      <c r="BQ198" s="50" t="s">
        <v>180</v>
      </c>
      <c r="BR198" s="50" t="s">
        <v>1109</v>
      </c>
      <c r="BS198" s="50" t="s">
        <v>1110</v>
      </c>
      <c r="BT198" s="50" t="s">
        <v>4413</v>
      </c>
      <c r="BV198" s="50" t="s">
        <v>16927</v>
      </c>
      <c r="BW198" s="50" t="s">
        <v>7408</v>
      </c>
      <c r="BX198" s="50" t="s">
        <v>138</v>
      </c>
      <c r="BY198" s="50" t="s">
        <v>7409</v>
      </c>
      <c r="BZ198" s="50" t="s">
        <v>7410</v>
      </c>
      <c r="CA198" s="50" t="s">
        <v>7409</v>
      </c>
      <c r="CB198" s="50" t="s">
        <v>16928</v>
      </c>
      <c r="CC198" s="50" t="s">
        <v>7409</v>
      </c>
      <c r="CD198" s="50" t="s">
        <v>7410</v>
      </c>
      <c r="CE198" s="50" t="s">
        <v>16929</v>
      </c>
      <c r="CF198" s="50" t="s">
        <v>7412</v>
      </c>
      <c r="CG198" s="50" t="s">
        <v>16930</v>
      </c>
      <c r="CH198" s="50" t="s">
        <v>102</v>
      </c>
      <c r="CI198" s="50" t="s">
        <v>16931</v>
      </c>
      <c r="CK198" s="50" t="s">
        <v>7415</v>
      </c>
      <c r="CM198" s="50" t="s">
        <v>7403</v>
      </c>
      <c r="CN198" s="50" t="s">
        <v>4404</v>
      </c>
      <c r="CO198" s="50" t="s">
        <v>7415</v>
      </c>
      <c r="CQ198" s="50" t="s">
        <v>7416</v>
      </c>
      <c r="CR198" s="50" t="s">
        <v>7414</v>
      </c>
    </row>
    <row r="199" spans="1:97" hidden="1">
      <c r="A199" s="50" t="s">
        <v>149</v>
      </c>
      <c r="B199" s="50">
        <v>3944825</v>
      </c>
      <c r="C199" s="50" t="e">
        <f>VLOOKUP(B199,'Drop schools 2026'!B:C,2,0)</f>
        <v>#N/A</v>
      </c>
      <c r="D199" s="50" t="s">
        <v>622</v>
      </c>
      <c r="E199" s="50" t="s">
        <v>2525</v>
      </c>
      <c r="F199" s="50" t="s">
        <v>7916</v>
      </c>
      <c r="G199" s="50" t="str">
        <f>VLOOKUP(B199,aa!B:F,5,0)</f>
        <v>Ei ASSET</v>
      </c>
      <c r="H199" s="50">
        <f>VLOOKUP(B199,aa!B:J,9,0)</f>
        <v>919074</v>
      </c>
      <c r="I199" s="50">
        <f>VLOOKUP(B199,aa!B:L,11,0)</f>
        <v>919074</v>
      </c>
      <c r="J199" s="50">
        <f>VLOOKUP(B199,aa!B:O,14,0)</f>
        <v>0</v>
      </c>
      <c r="K199" s="50">
        <f>VLOOKUP(B199,aa!B:R,17,0)</f>
        <v>0</v>
      </c>
      <c r="L199" s="50" t="s">
        <v>97</v>
      </c>
      <c r="M199" s="50">
        <v>789063</v>
      </c>
      <c r="N199" s="50">
        <v>789063</v>
      </c>
      <c r="O199" s="50">
        <v>789063</v>
      </c>
      <c r="P199" s="50">
        <v>789</v>
      </c>
      <c r="Q199" s="50" t="s">
        <v>5042</v>
      </c>
      <c r="R199" s="50">
        <v>0</v>
      </c>
      <c r="S199" s="50">
        <v>0</v>
      </c>
      <c r="U199" s="50">
        <v>0</v>
      </c>
      <c r="V199" s="50">
        <v>0</v>
      </c>
      <c r="X199" s="50" t="s">
        <v>102</v>
      </c>
      <c r="Y199" s="50" t="s">
        <v>275</v>
      </c>
      <c r="AA199" s="50" t="s">
        <v>126</v>
      </c>
      <c r="AB199" s="50" t="s">
        <v>109</v>
      </c>
      <c r="AC199" s="50" t="s">
        <v>102</v>
      </c>
      <c r="AD199" s="50" t="s">
        <v>109</v>
      </c>
      <c r="AE199" s="50" t="s">
        <v>102</v>
      </c>
      <c r="AF199" s="50" t="s">
        <v>109</v>
      </c>
      <c r="AG199" s="50" t="s">
        <v>102</v>
      </c>
      <c r="AH199" s="50" t="s">
        <v>109</v>
      </c>
      <c r="AI199" s="50" t="s">
        <v>102</v>
      </c>
      <c r="AJ199" s="50" t="s">
        <v>102</v>
      </c>
      <c r="AK199" s="50" t="s">
        <v>7145</v>
      </c>
      <c r="AL199" s="50" t="s">
        <v>7145</v>
      </c>
      <c r="AM199" s="50" t="s">
        <v>17357</v>
      </c>
      <c r="AN199" s="50" t="s">
        <v>17358</v>
      </c>
      <c r="AO199" s="50" t="s">
        <v>17359</v>
      </c>
      <c r="AP199" s="50" t="s">
        <v>17360</v>
      </c>
      <c r="AQ199" s="50" t="s">
        <v>17361</v>
      </c>
      <c r="AR199" s="50" t="s">
        <v>343</v>
      </c>
      <c r="AS199" s="50" t="s">
        <v>169</v>
      </c>
      <c r="AU199" s="50" t="s">
        <v>169</v>
      </c>
      <c r="AV199" s="50" t="s">
        <v>318</v>
      </c>
      <c r="AW199" s="50" t="s">
        <v>118</v>
      </c>
      <c r="AX199" s="50" t="s">
        <v>102</v>
      </c>
      <c r="AY199" s="50" t="s">
        <v>119</v>
      </c>
      <c r="BC199" s="50" t="s">
        <v>120</v>
      </c>
      <c r="BD199" s="50" t="s">
        <v>1729</v>
      </c>
      <c r="BE199" s="50" t="s">
        <v>730</v>
      </c>
      <c r="BF199" s="50" t="s">
        <v>622</v>
      </c>
      <c r="BG199" s="50" t="s">
        <v>730</v>
      </c>
      <c r="BH199" s="50" t="s">
        <v>124</v>
      </c>
      <c r="BI199" s="50" t="s">
        <v>12023</v>
      </c>
      <c r="BJ199" s="50" t="s">
        <v>11889</v>
      </c>
      <c r="BK199" s="50" t="s">
        <v>127</v>
      </c>
      <c r="BL199" s="50" t="s">
        <v>17362</v>
      </c>
      <c r="BM199" s="50" t="s">
        <v>7922</v>
      </c>
      <c r="BN199" s="50" t="s">
        <v>17363</v>
      </c>
      <c r="BO199" s="50" t="s">
        <v>12100</v>
      </c>
      <c r="BP199" s="50" t="s">
        <v>3606</v>
      </c>
      <c r="BQ199" s="50" t="s">
        <v>350</v>
      </c>
      <c r="BR199" s="50" t="s">
        <v>3607</v>
      </c>
      <c r="BS199" s="50" t="s">
        <v>3608</v>
      </c>
      <c r="BT199" s="50" t="s">
        <v>2569</v>
      </c>
      <c r="BV199" s="50" t="s">
        <v>17364</v>
      </c>
      <c r="BW199" s="50" t="s">
        <v>17365</v>
      </c>
      <c r="BX199" s="50" t="s">
        <v>138</v>
      </c>
      <c r="BY199" s="50" t="s">
        <v>7926</v>
      </c>
      <c r="BZ199" s="50" t="s">
        <v>17366</v>
      </c>
      <c r="CA199" s="50" t="s">
        <v>7928</v>
      </c>
      <c r="CB199" s="50" t="s">
        <v>17365</v>
      </c>
      <c r="CC199" s="50" t="s">
        <v>7926</v>
      </c>
      <c r="CD199" s="50" t="s">
        <v>17366</v>
      </c>
      <c r="CE199" s="50" t="s">
        <v>17365</v>
      </c>
      <c r="CF199" s="50" t="s">
        <v>7926</v>
      </c>
      <c r="CG199" s="50" t="s">
        <v>17366</v>
      </c>
      <c r="CH199" s="50" t="s">
        <v>3841</v>
      </c>
      <c r="CI199" s="50" t="s">
        <v>7933</v>
      </c>
      <c r="CK199" s="50" t="s">
        <v>7930</v>
      </c>
      <c r="CL199" s="50" t="s">
        <v>17367</v>
      </c>
      <c r="CM199" s="50" t="s">
        <v>1729</v>
      </c>
      <c r="CN199" s="50" t="s">
        <v>730</v>
      </c>
      <c r="CO199" s="50" t="s">
        <v>7932</v>
      </c>
      <c r="CQ199" s="50" t="s">
        <v>7933</v>
      </c>
      <c r="CR199" s="50" t="s">
        <v>7931</v>
      </c>
    </row>
    <row r="200" spans="1:97" hidden="1">
      <c r="A200" s="50" t="s">
        <v>149</v>
      </c>
      <c r="B200" s="50">
        <v>3182761</v>
      </c>
      <c r="C200" s="50" t="e">
        <f>VLOOKUP(B200,'Drop schools 2026'!B:C,2,0)</f>
        <v>#N/A</v>
      </c>
      <c r="D200" s="50" t="s">
        <v>122</v>
      </c>
      <c r="E200" s="50" t="s">
        <v>12121</v>
      </c>
      <c r="F200" s="50" t="s">
        <v>4924</v>
      </c>
      <c r="G200" s="50" t="e">
        <f>VLOOKUP(B200,aa!B:F,5,0)</f>
        <v>#N/A</v>
      </c>
      <c r="H200" s="50" t="e">
        <f>VLOOKUP(B200,aa!B:J,9,0)</f>
        <v>#N/A</v>
      </c>
      <c r="I200" s="50" t="e">
        <f>VLOOKUP(B200,aa!B:L,11,0)</f>
        <v>#N/A</v>
      </c>
      <c r="J200" s="50" t="e">
        <f>VLOOKUP(B200,aa!B:O,14,0)</f>
        <v>#N/A</v>
      </c>
      <c r="K200" s="50" t="e">
        <f>VLOOKUP(B200,aa!B:R,17,0)</f>
        <v>#N/A</v>
      </c>
      <c r="L200" s="50" t="s">
        <v>152</v>
      </c>
      <c r="M200" s="50">
        <v>787800</v>
      </c>
      <c r="N200" s="50">
        <v>787800</v>
      </c>
      <c r="O200" s="50">
        <v>0</v>
      </c>
      <c r="P200" s="50">
        <v>0</v>
      </c>
      <c r="R200" s="50">
        <v>787800</v>
      </c>
      <c r="S200" s="50">
        <v>505</v>
      </c>
      <c r="T200" s="50" t="s">
        <v>544</v>
      </c>
      <c r="U200" s="50">
        <v>0</v>
      </c>
      <c r="V200" s="50">
        <v>0</v>
      </c>
      <c r="X200" s="50" t="s">
        <v>102</v>
      </c>
      <c r="Y200" s="50" t="s">
        <v>103</v>
      </c>
      <c r="Z200" s="50" t="s">
        <v>155</v>
      </c>
      <c r="AB200" s="50" t="s">
        <v>11976</v>
      </c>
      <c r="AC200" s="50" t="s">
        <v>15140</v>
      </c>
      <c r="AD200" s="50" t="s">
        <v>5651</v>
      </c>
      <c r="AE200" s="50" t="s">
        <v>15140</v>
      </c>
      <c r="AF200" s="50" t="s">
        <v>12327</v>
      </c>
      <c r="AG200" s="50" t="s">
        <v>15140</v>
      </c>
      <c r="AH200" s="50" t="s">
        <v>11886</v>
      </c>
      <c r="AI200" s="50" t="s">
        <v>15140</v>
      </c>
      <c r="AJ200" s="50" t="s">
        <v>102</v>
      </c>
      <c r="AK200" s="50" t="s">
        <v>12430</v>
      </c>
      <c r="AL200" s="50" t="s">
        <v>15141</v>
      </c>
      <c r="AM200" s="50" t="s">
        <v>15142</v>
      </c>
      <c r="AN200" s="50" t="s">
        <v>15143</v>
      </c>
      <c r="AO200" s="50" t="s">
        <v>15144</v>
      </c>
      <c r="AP200" s="50" t="s">
        <v>554</v>
      </c>
      <c r="AQ200" s="50" t="s">
        <v>554</v>
      </c>
      <c r="AV200" s="50" t="s">
        <v>102</v>
      </c>
      <c r="AX200" s="50" t="s">
        <v>155</v>
      </c>
      <c r="AY200" s="50" t="s">
        <v>119</v>
      </c>
      <c r="AZ200" s="50" t="s">
        <v>170</v>
      </c>
      <c r="BA200" s="50" t="s">
        <v>118</v>
      </c>
      <c r="BC200" s="50" t="s">
        <v>120</v>
      </c>
      <c r="BD200" s="50" t="s">
        <v>555</v>
      </c>
      <c r="BE200" s="50" t="s">
        <v>556</v>
      </c>
      <c r="BF200" s="50" t="s">
        <v>122</v>
      </c>
      <c r="BG200" s="50" t="s">
        <v>557</v>
      </c>
      <c r="BH200" s="50" t="s">
        <v>124</v>
      </c>
      <c r="BI200" s="50" t="s">
        <v>11959</v>
      </c>
      <c r="BJ200" s="50" t="s">
        <v>11889</v>
      </c>
      <c r="BK200" s="50" t="s">
        <v>127</v>
      </c>
      <c r="BL200" s="50" t="s">
        <v>15145</v>
      </c>
      <c r="BM200" s="50" t="s">
        <v>4931</v>
      </c>
      <c r="BN200" s="50" t="s">
        <v>15146</v>
      </c>
      <c r="BO200" s="50" t="s">
        <v>15139</v>
      </c>
      <c r="BP200" s="50" t="s">
        <v>1142</v>
      </c>
      <c r="BQ200" s="50" t="s">
        <v>350</v>
      </c>
      <c r="BR200" s="50" t="s">
        <v>1143</v>
      </c>
      <c r="BS200" s="50" t="s">
        <v>1144</v>
      </c>
      <c r="BT200" s="50" t="s">
        <v>566</v>
      </c>
      <c r="BV200" s="50" t="s">
        <v>15147</v>
      </c>
      <c r="BW200" s="50" t="s">
        <v>4934</v>
      </c>
      <c r="BX200" s="50" t="s">
        <v>138</v>
      </c>
      <c r="BY200" s="50" t="s">
        <v>4935</v>
      </c>
      <c r="BZ200" s="50" t="s">
        <v>4936</v>
      </c>
      <c r="CA200" s="50" t="s">
        <v>4935</v>
      </c>
      <c r="CB200" s="50" t="s">
        <v>4934</v>
      </c>
      <c r="CC200" s="50" t="s">
        <v>4935</v>
      </c>
      <c r="CD200" s="50" t="s">
        <v>4936</v>
      </c>
      <c r="CE200" s="50" t="s">
        <v>4934</v>
      </c>
      <c r="CF200" s="50" t="s">
        <v>4935</v>
      </c>
      <c r="CG200" s="50" t="s">
        <v>4936</v>
      </c>
      <c r="CH200" s="50" t="s">
        <v>4937</v>
      </c>
      <c r="CI200" s="50" t="s">
        <v>15148</v>
      </c>
      <c r="CK200" s="50" t="s">
        <v>1154</v>
      </c>
      <c r="CL200" s="50" t="s">
        <v>15149</v>
      </c>
      <c r="CM200" s="50" t="s">
        <v>555</v>
      </c>
      <c r="CN200" s="50" t="s">
        <v>556</v>
      </c>
      <c r="CO200" s="50" t="s">
        <v>1154</v>
      </c>
      <c r="CQ200" s="50" t="s">
        <v>4938</v>
      </c>
      <c r="CR200" s="50" t="s">
        <v>4938</v>
      </c>
    </row>
    <row r="201" spans="1:97" hidden="1">
      <c r="A201" s="50" t="s">
        <v>337</v>
      </c>
      <c r="B201" s="50">
        <v>5018499</v>
      </c>
      <c r="C201" s="50" t="e">
        <f>VLOOKUP(B201,'Drop schools 2026'!B:C,2,0)</f>
        <v>#N/A</v>
      </c>
      <c r="D201" s="50" t="s">
        <v>122</v>
      </c>
      <c r="E201" s="50" t="s">
        <v>11898</v>
      </c>
      <c r="F201" s="50" t="s">
        <v>19919</v>
      </c>
      <c r="G201" s="50" t="str">
        <f>VLOOKUP(B201,aa!B:F,5,0)</f>
        <v>Ei ASSET</v>
      </c>
      <c r="H201" s="50">
        <f>VLOOKUP(B201,aa!B:J,9,0)</f>
        <v>438375</v>
      </c>
      <c r="I201" s="50">
        <f>VLOOKUP(B201,aa!B:L,11,0)</f>
        <v>438375</v>
      </c>
      <c r="J201" s="50">
        <f>VLOOKUP(B201,aa!B:O,14,0)</f>
        <v>0</v>
      </c>
      <c r="K201" s="50">
        <f>VLOOKUP(B201,aa!B:R,17,0)</f>
        <v>0</v>
      </c>
      <c r="L201" s="50" t="s">
        <v>675</v>
      </c>
      <c r="M201" s="50">
        <v>777687</v>
      </c>
      <c r="N201" s="50">
        <v>777687</v>
      </c>
      <c r="O201" s="50">
        <v>419958</v>
      </c>
      <c r="P201" s="50">
        <v>840</v>
      </c>
      <c r="Q201" s="50" t="s">
        <v>364</v>
      </c>
      <c r="R201" s="50">
        <v>357729</v>
      </c>
      <c r="S201" s="50">
        <v>265</v>
      </c>
      <c r="T201" s="50" t="s">
        <v>397</v>
      </c>
      <c r="U201" s="50">
        <v>0</v>
      </c>
      <c r="V201" s="50">
        <v>0</v>
      </c>
      <c r="X201" s="50" t="s">
        <v>102</v>
      </c>
      <c r="Y201" s="50" t="s">
        <v>103</v>
      </c>
      <c r="Z201" s="50" t="s">
        <v>938</v>
      </c>
      <c r="AB201" s="50" t="s">
        <v>19920</v>
      </c>
      <c r="AC201" s="50" t="s">
        <v>19921</v>
      </c>
      <c r="AD201" s="50" t="s">
        <v>19922</v>
      </c>
      <c r="AE201" s="50" t="s">
        <v>19923</v>
      </c>
      <c r="AF201" s="50" t="s">
        <v>19924</v>
      </c>
      <c r="AG201" s="50" t="s">
        <v>19921</v>
      </c>
      <c r="AH201" s="50" t="s">
        <v>12216</v>
      </c>
      <c r="AI201" s="50" t="s">
        <v>19925</v>
      </c>
      <c r="AJ201" s="50" t="s">
        <v>19926</v>
      </c>
      <c r="AK201" s="50" t="s">
        <v>559</v>
      </c>
      <c r="AL201" s="50" t="s">
        <v>19927</v>
      </c>
      <c r="AM201" s="50" t="s">
        <v>19928</v>
      </c>
      <c r="AN201" s="50" t="s">
        <v>19929</v>
      </c>
      <c r="AO201" s="50" t="s">
        <v>19930</v>
      </c>
      <c r="AP201" s="50" t="s">
        <v>19931</v>
      </c>
      <c r="AQ201" s="50" t="s">
        <v>19931</v>
      </c>
      <c r="AV201" s="50" t="s">
        <v>247</v>
      </c>
      <c r="AW201" s="50" t="s">
        <v>118</v>
      </c>
      <c r="AX201" s="50" t="s">
        <v>655</v>
      </c>
      <c r="AY201" s="50" t="s">
        <v>249</v>
      </c>
      <c r="AZ201" s="50" t="s">
        <v>170</v>
      </c>
      <c r="BA201" s="50" t="s">
        <v>118</v>
      </c>
      <c r="BC201" s="50" t="s">
        <v>120</v>
      </c>
      <c r="BD201" s="50" t="s">
        <v>8930</v>
      </c>
      <c r="BE201" s="50" t="s">
        <v>8930</v>
      </c>
      <c r="BF201" s="50" t="s">
        <v>122</v>
      </c>
      <c r="BG201" s="50" t="s">
        <v>346</v>
      </c>
      <c r="BH201" s="50" t="s">
        <v>124</v>
      </c>
      <c r="BI201" s="50" t="s">
        <v>12023</v>
      </c>
      <c r="BJ201" s="50" t="s">
        <v>11889</v>
      </c>
      <c r="BK201" s="50" t="s">
        <v>127</v>
      </c>
      <c r="BL201" s="50" t="s">
        <v>19932</v>
      </c>
      <c r="BM201" s="50" t="s">
        <v>19933</v>
      </c>
      <c r="BN201" s="50" t="s">
        <v>19934</v>
      </c>
      <c r="BO201" s="50" t="s">
        <v>19920</v>
      </c>
      <c r="BP201" s="50" t="s">
        <v>349</v>
      </c>
      <c r="BQ201" s="50" t="s">
        <v>2928</v>
      </c>
      <c r="BR201" s="50" t="s">
        <v>351</v>
      </c>
      <c r="BS201" s="50" t="s">
        <v>352</v>
      </c>
      <c r="BT201" s="50" t="s">
        <v>6249</v>
      </c>
      <c r="BV201" s="50" t="s">
        <v>19935</v>
      </c>
      <c r="BW201" s="50" t="s">
        <v>19936</v>
      </c>
      <c r="BX201" s="50" t="s">
        <v>138</v>
      </c>
      <c r="BY201" s="50" t="s">
        <v>19937</v>
      </c>
      <c r="BZ201" s="50" t="s">
        <v>19938</v>
      </c>
      <c r="CA201" s="50" t="s">
        <v>19939</v>
      </c>
      <c r="CB201" s="50" t="s">
        <v>19940</v>
      </c>
      <c r="CC201" s="50" t="s">
        <v>19941</v>
      </c>
      <c r="CD201" s="50" t="s">
        <v>19942</v>
      </c>
      <c r="CE201" s="50" t="s">
        <v>19940</v>
      </c>
      <c r="CF201" s="50" t="s">
        <v>19941</v>
      </c>
      <c r="CG201" s="50" t="s">
        <v>19942</v>
      </c>
      <c r="CH201" s="50" t="s">
        <v>19943</v>
      </c>
      <c r="CI201" s="50" t="s">
        <v>19944</v>
      </c>
      <c r="CK201" s="50" t="s">
        <v>19945</v>
      </c>
      <c r="CL201" s="50" t="s">
        <v>19946</v>
      </c>
      <c r="CM201" s="50" t="s">
        <v>8930</v>
      </c>
      <c r="CN201" s="50" t="s">
        <v>8930</v>
      </c>
      <c r="CO201" s="50" t="s">
        <v>19945</v>
      </c>
      <c r="CQ201" s="50" t="s">
        <v>19947</v>
      </c>
      <c r="CR201" s="50" t="s">
        <v>19947</v>
      </c>
    </row>
    <row r="202" spans="1:97" hidden="1">
      <c r="A202" s="50" t="s">
        <v>149</v>
      </c>
      <c r="B202" s="50">
        <v>181976</v>
      </c>
      <c r="C202" s="50" t="e">
        <f>VLOOKUP(B202,'Drop schools 2026'!B:C,2,0)</f>
        <v>#N/A</v>
      </c>
      <c r="D202" s="50" t="s">
        <v>122</v>
      </c>
      <c r="E202" s="50" t="s">
        <v>11898</v>
      </c>
      <c r="F202" s="50" t="s">
        <v>1952</v>
      </c>
      <c r="G202" s="50" t="str">
        <f>VLOOKUP(B202,aa!B:F,5,0)</f>
        <v>Ei CARES</v>
      </c>
      <c r="H202" s="50">
        <f>VLOOKUP(B202,aa!B:J,9,0)</f>
        <v>790312</v>
      </c>
      <c r="I202" s="50">
        <f>VLOOKUP(B202,aa!B:L,11,0)</f>
        <v>0</v>
      </c>
      <c r="J202" s="50">
        <f>VLOOKUP(B202,aa!B:O,14,0)</f>
        <v>790312</v>
      </c>
      <c r="K202" s="50">
        <f>VLOOKUP(B202,aa!B:R,17,0)</f>
        <v>0</v>
      </c>
      <c r="L202" s="50" t="s">
        <v>152</v>
      </c>
      <c r="M202" s="50">
        <v>761974</v>
      </c>
      <c r="N202" s="50">
        <v>761974</v>
      </c>
      <c r="O202" s="50">
        <v>0</v>
      </c>
      <c r="P202" s="50">
        <v>0</v>
      </c>
      <c r="R202" s="50">
        <v>761974</v>
      </c>
      <c r="S202" s="50">
        <v>1027</v>
      </c>
      <c r="T202" s="50" t="s">
        <v>12972</v>
      </c>
      <c r="U202" s="50">
        <v>0</v>
      </c>
      <c r="V202" s="50">
        <v>0</v>
      </c>
      <c r="X202" s="50" t="s">
        <v>102</v>
      </c>
      <c r="Y202" s="50" t="s">
        <v>103</v>
      </c>
      <c r="Z202" s="50" t="s">
        <v>104</v>
      </c>
      <c r="AB202" s="50" t="s">
        <v>11927</v>
      </c>
      <c r="AC202" s="50" t="s">
        <v>12973</v>
      </c>
      <c r="AD202" s="50" t="s">
        <v>11884</v>
      </c>
      <c r="AE202" s="50" t="s">
        <v>12973</v>
      </c>
      <c r="AF202" s="50" t="s">
        <v>109</v>
      </c>
      <c r="AG202" s="50" t="s">
        <v>102</v>
      </c>
      <c r="AH202" s="50" t="s">
        <v>109</v>
      </c>
      <c r="AI202" s="50" t="s">
        <v>102</v>
      </c>
      <c r="AJ202" s="50" t="s">
        <v>12974</v>
      </c>
      <c r="AK202" s="50" t="s">
        <v>9460</v>
      </c>
      <c r="AL202" s="50" t="s">
        <v>12975</v>
      </c>
      <c r="AM202" s="50" t="s">
        <v>12976</v>
      </c>
      <c r="AN202" s="50" t="s">
        <v>12977</v>
      </c>
      <c r="AO202" s="50" t="s">
        <v>12978</v>
      </c>
      <c r="AP202" s="50" t="s">
        <v>11871</v>
      </c>
      <c r="AQ202" s="50" t="s">
        <v>11872</v>
      </c>
      <c r="AS202" s="50" t="s">
        <v>169</v>
      </c>
      <c r="AV202" s="50" t="s">
        <v>102</v>
      </c>
      <c r="AX202" s="50" t="s">
        <v>155</v>
      </c>
      <c r="AY202" s="50" t="s">
        <v>447</v>
      </c>
      <c r="AZ202" s="50" t="s">
        <v>170</v>
      </c>
      <c r="BA202" s="50" t="s">
        <v>118</v>
      </c>
      <c r="BC202" s="50" t="s">
        <v>1964</v>
      </c>
      <c r="BD202" s="50" t="s">
        <v>448</v>
      </c>
      <c r="BE202" s="50" t="s">
        <v>449</v>
      </c>
      <c r="BF202" s="50" t="s">
        <v>122</v>
      </c>
      <c r="BG202" s="50" t="s">
        <v>450</v>
      </c>
      <c r="BH202" s="50" t="s">
        <v>124</v>
      </c>
      <c r="BI202" s="50" t="s">
        <v>12023</v>
      </c>
      <c r="BJ202" s="50" t="s">
        <v>11889</v>
      </c>
      <c r="BK202" s="50" t="s">
        <v>127</v>
      </c>
      <c r="BL202" s="50" t="s">
        <v>12979</v>
      </c>
      <c r="BM202" s="50" t="s">
        <v>1966</v>
      </c>
      <c r="BN202" s="50" t="s">
        <v>12980</v>
      </c>
      <c r="BO202" s="50" t="s">
        <v>7145</v>
      </c>
      <c r="BP202" s="50" t="s">
        <v>8788</v>
      </c>
      <c r="BQ202" s="50" t="s">
        <v>350</v>
      </c>
      <c r="BR202" s="50" t="s">
        <v>8789</v>
      </c>
      <c r="BS202" s="50" t="s">
        <v>8790</v>
      </c>
      <c r="BT202" s="50" t="s">
        <v>261</v>
      </c>
      <c r="BV202" s="50" t="s">
        <v>12981</v>
      </c>
      <c r="BW202" s="50" t="s">
        <v>1969</v>
      </c>
      <c r="BX202" s="50" t="s">
        <v>138</v>
      </c>
      <c r="BY202" s="50" t="s">
        <v>1970</v>
      </c>
      <c r="BZ202" s="50" t="s">
        <v>1971</v>
      </c>
      <c r="CA202" s="50" t="s">
        <v>1972</v>
      </c>
      <c r="CB202" s="50" t="s">
        <v>12982</v>
      </c>
      <c r="CC202" s="50" t="s">
        <v>1970</v>
      </c>
      <c r="CD202" s="50" t="s">
        <v>1971</v>
      </c>
      <c r="CE202" s="50" t="s">
        <v>1973</v>
      </c>
      <c r="CF202" s="50" t="s">
        <v>1970</v>
      </c>
      <c r="CG202" s="50" t="s">
        <v>1975</v>
      </c>
      <c r="CH202" s="50" t="s">
        <v>334</v>
      </c>
      <c r="CI202" s="50" t="s">
        <v>1976</v>
      </c>
      <c r="CK202" s="50" t="s">
        <v>1977</v>
      </c>
      <c r="CL202" s="50" t="s">
        <v>12983</v>
      </c>
      <c r="CM202" s="50" t="s">
        <v>448</v>
      </c>
      <c r="CN202" s="50" t="s">
        <v>449</v>
      </c>
      <c r="CO202" s="50" t="s">
        <v>1977</v>
      </c>
      <c r="CP202" s="50" t="s">
        <v>1979</v>
      </c>
      <c r="CQ202" s="50" t="s">
        <v>1976</v>
      </c>
      <c r="CR202" s="50" t="s">
        <v>1978</v>
      </c>
    </row>
    <row r="203" spans="1:97" hidden="1">
      <c r="A203" s="50" t="s">
        <v>149</v>
      </c>
      <c r="B203" s="50">
        <v>3283922</v>
      </c>
      <c r="C203" s="50" t="e">
        <f>VLOOKUP(B203,'Drop schools 2026'!B:C,2,0)</f>
        <v>#N/A</v>
      </c>
      <c r="D203" s="50" t="s">
        <v>122</v>
      </c>
      <c r="E203" s="50" t="s">
        <v>12491</v>
      </c>
      <c r="F203" s="50" t="s">
        <v>5212</v>
      </c>
      <c r="G203" s="50" t="e">
        <f>VLOOKUP(B203,aa!B:F,5,0)</f>
        <v>#N/A</v>
      </c>
      <c r="H203" s="50" t="e">
        <f>VLOOKUP(B203,aa!B:J,9,0)</f>
        <v>#N/A</v>
      </c>
      <c r="I203" s="50" t="e">
        <f>VLOOKUP(B203,aa!B:L,11,0)</f>
        <v>#N/A</v>
      </c>
      <c r="J203" s="50" t="e">
        <f>VLOOKUP(B203,aa!B:O,14,0)</f>
        <v>#N/A</v>
      </c>
      <c r="K203" s="50" t="e">
        <f>VLOOKUP(B203,aa!B:R,17,0)</f>
        <v>#N/A</v>
      </c>
      <c r="L203" s="50" t="s">
        <v>97</v>
      </c>
      <c r="M203" s="50">
        <v>761294</v>
      </c>
      <c r="N203" s="50">
        <v>761294</v>
      </c>
      <c r="O203" s="50">
        <v>761294</v>
      </c>
      <c r="P203" s="50">
        <v>1022</v>
      </c>
      <c r="Q203" s="50" t="s">
        <v>15329</v>
      </c>
      <c r="R203" s="50">
        <v>0</v>
      </c>
      <c r="S203" s="50">
        <v>0</v>
      </c>
      <c r="U203" s="50">
        <v>0</v>
      </c>
      <c r="V203" s="50">
        <v>0</v>
      </c>
      <c r="X203" s="50" t="s">
        <v>102</v>
      </c>
      <c r="Y203" s="50" t="s">
        <v>103</v>
      </c>
      <c r="Z203" s="50" t="s">
        <v>104</v>
      </c>
      <c r="AB203" s="50" t="s">
        <v>11938</v>
      </c>
      <c r="AC203" s="50" t="s">
        <v>15330</v>
      </c>
      <c r="AD203" s="50" t="s">
        <v>12082</v>
      </c>
      <c r="AE203" s="50" t="s">
        <v>15330</v>
      </c>
      <c r="AF203" s="50" t="s">
        <v>109</v>
      </c>
      <c r="AG203" s="50" t="s">
        <v>102</v>
      </c>
      <c r="AH203" s="50" t="s">
        <v>109</v>
      </c>
      <c r="AI203" s="50" t="s">
        <v>102</v>
      </c>
      <c r="AJ203" s="50" t="s">
        <v>15331</v>
      </c>
      <c r="AK203" s="50" t="s">
        <v>15332</v>
      </c>
      <c r="AL203" s="50" t="s">
        <v>14415</v>
      </c>
      <c r="AM203" s="50" t="s">
        <v>15333</v>
      </c>
      <c r="AN203" s="50" t="s">
        <v>15334</v>
      </c>
      <c r="AO203" s="50" t="s">
        <v>15335</v>
      </c>
      <c r="AP203" s="50" t="s">
        <v>15336</v>
      </c>
      <c r="AQ203" s="50" t="s">
        <v>15336</v>
      </c>
      <c r="AV203" s="50" t="s">
        <v>318</v>
      </c>
      <c r="AW203" s="50" t="s">
        <v>118</v>
      </c>
      <c r="AX203" s="50" t="s">
        <v>102</v>
      </c>
      <c r="AY203" s="50" t="s">
        <v>119</v>
      </c>
      <c r="BC203" s="50" t="s">
        <v>120</v>
      </c>
      <c r="BD203" s="50" t="s">
        <v>1407</v>
      </c>
      <c r="BE203" s="50" t="s">
        <v>449</v>
      </c>
      <c r="BF203" s="50" t="s">
        <v>122</v>
      </c>
      <c r="BG203" s="50" t="s">
        <v>450</v>
      </c>
      <c r="BH203" s="50" t="s">
        <v>124</v>
      </c>
      <c r="BI203" s="50" t="s">
        <v>12023</v>
      </c>
      <c r="BJ203" s="50" t="s">
        <v>11889</v>
      </c>
      <c r="BK203" s="50" t="s">
        <v>127</v>
      </c>
      <c r="BL203" s="50" t="s">
        <v>15337</v>
      </c>
      <c r="BM203" s="50" t="s">
        <v>5227</v>
      </c>
      <c r="BN203" s="50" t="s">
        <v>15338</v>
      </c>
      <c r="BO203" s="50" t="s">
        <v>13602</v>
      </c>
      <c r="BP203" s="50" t="s">
        <v>8788</v>
      </c>
      <c r="BQ203" s="50" t="s">
        <v>350</v>
      </c>
      <c r="BR203" s="50" t="s">
        <v>8789</v>
      </c>
      <c r="BS203" s="50" t="s">
        <v>8790</v>
      </c>
      <c r="BT203" s="50" t="s">
        <v>1006</v>
      </c>
      <c r="BV203" s="50" t="s">
        <v>15339</v>
      </c>
      <c r="BW203" s="50" t="s">
        <v>15340</v>
      </c>
      <c r="BX203" s="50" t="s">
        <v>138</v>
      </c>
      <c r="BY203" s="50" t="s">
        <v>15341</v>
      </c>
      <c r="BZ203" s="50" t="s">
        <v>15342</v>
      </c>
      <c r="CA203" s="50" t="s">
        <v>5233</v>
      </c>
      <c r="CB203" s="50" t="s">
        <v>15340</v>
      </c>
      <c r="CC203" s="50" t="s">
        <v>15341</v>
      </c>
      <c r="CD203" s="50" t="s">
        <v>15342</v>
      </c>
      <c r="CE203" s="50" t="s">
        <v>15343</v>
      </c>
      <c r="CF203" s="50" t="s">
        <v>15344</v>
      </c>
      <c r="CG203" s="50" t="s">
        <v>15345</v>
      </c>
      <c r="CH203" s="50" t="s">
        <v>102</v>
      </c>
      <c r="CI203" s="50" t="s">
        <v>5234</v>
      </c>
      <c r="CK203" s="50" t="s">
        <v>5235</v>
      </c>
      <c r="CM203" s="50" t="s">
        <v>1407</v>
      </c>
      <c r="CN203" s="50" t="s">
        <v>449</v>
      </c>
      <c r="CO203" s="50" t="s">
        <v>5235</v>
      </c>
      <c r="CP203" s="50" t="s">
        <v>5236</v>
      </c>
      <c r="CQ203" s="50" t="s">
        <v>5234</v>
      </c>
      <c r="CR203" s="50" t="s">
        <v>5234</v>
      </c>
    </row>
    <row r="204" spans="1:97" hidden="1">
      <c r="A204" s="50" t="s">
        <v>149</v>
      </c>
      <c r="B204" s="50">
        <v>771752</v>
      </c>
      <c r="C204" s="50" t="e">
        <f>VLOOKUP(B204,'Drop schools 2026'!B:C,2,0)</f>
        <v>#N/A</v>
      </c>
      <c r="D204" s="50" t="s">
        <v>212</v>
      </c>
      <c r="E204" s="50" t="s">
        <v>11947</v>
      </c>
      <c r="F204" s="50" t="s">
        <v>11670</v>
      </c>
      <c r="G204" s="50" t="e">
        <f>VLOOKUP(B204,aa!B:F,5,0)</f>
        <v>#N/A</v>
      </c>
      <c r="H204" s="50" t="e">
        <f>VLOOKUP(B204,aa!B:J,9,0)</f>
        <v>#N/A</v>
      </c>
      <c r="I204" s="50" t="e">
        <f>VLOOKUP(B204,aa!B:L,11,0)</f>
        <v>#N/A</v>
      </c>
      <c r="J204" s="50" t="e">
        <f>VLOOKUP(B204,aa!B:O,14,0)</f>
        <v>#N/A</v>
      </c>
      <c r="K204" s="50" t="e">
        <f>VLOOKUP(B204,aa!B:R,17,0)</f>
        <v>#N/A</v>
      </c>
      <c r="L204" s="50" t="s">
        <v>193</v>
      </c>
      <c r="M204" s="50">
        <v>759153</v>
      </c>
      <c r="N204" s="50">
        <v>850912</v>
      </c>
      <c r="O204" s="50">
        <v>249382</v>
      </c>
      <c r="P204" s="50">
        <v>802</v>
      </c>
      <c r="Q204" s="50" t="s">
        <v>195</v>
      </c>
      <c r="R204" s="50">
        <v>0</v>
      </c>
      <c r="S204" s="50">
        <v>0</v>
      </c>
      <c r="U204" s="50">
        <v>509771</v>
      </c>
      <c r="V204" s="50">
        <v>802</v>
      </c>
      <c r="W204" s="50" t="s">
        <v>11949</v>
      </c>
      <c r="X204" s="50" t="s">
        <v>102</v>
      </c>
      <c r="Y204" s="50" t="s">
        <v>103</v>
      </c>
      <c r="Z204" s="50" t="s">
        <v>104</v>
      </c>
      <c r="AB204" s="50" t="s">
        <v>11950</v>
      </c>
      <c r="AC204" s="50" t="s">
        <v>21491</v>
      </c>
      <c r="AD204" s="50" t="s">
        <v>11952</v>
      </c>
      <c r="AE204" s="50" t="s">
        <v>21491</v>
      </c>
      <c r="AF204" s="50" t="s">
        <v>109</v>
      </c>
      <c r="AG204" s="50" t="s">
        <v>102</v>
      </c>
      <c r="AH204" s="50" t="s">
        <v>109</v>
      </c>
      <c r="AI204" s="50" t="s">
        <v>102</v>
      </c>
      <c r="AJ204" s="50" t="s">
        <v>21492</v>
      </c>
      <c r="AK204" s="50" t="s">
        <v>11954</v>
      </c>
      <c r="AL204" s="50" t="s">
        <v>11954</v>
      </c>
      <c r="AM204" s="50" t="s">
        <v>21493</v>
      </c>
      <c r="AN204" s="50" t="s">
        <v>21494</v>
      </c>
      <c r="AO204" s="50" t="s">
        <v>21495</v>
      </c>
      <c r="AP204" s="50" t="s">
        <v>11958</v>
      </c>
      <c r="AQ204" s="50" t="s">
        <v>11958</v>
      </c>
      <c r="AV204" s="50" t="s">
        <v>207</v>
      </c>
      <c r="AW204" s="50" t="s">
        <v>118</v>
      </c>
      <c r="AX204" s="50" t="s">
        <v>102</v>
      </c>
      <c r="AY204" s="50" t="s">
        <v>119</v>
      </c>
      <c r="BB204" s="50" t="s">
        <v>250</v>
      </c>
      <c r="BC204" s="50" t="s">
        <v>120</v>
      </c>
      <c r="BD204" s="50" t="s">
        <v>920</v>
      </c>
      <c r="BE204" s="50" t="s">
        <v>211</v>
      </c>
      <c r="BF204" s="50" t="s">
        <v>212</v>
      </c>
      <c r="BG204" s="50" t="s">
        <v>213</v>
      </c>
      <c r="BH204" s="50" t="s">
        <v>124</v>
      </c>
      <c r="BI204" s="50" t="s">
        <v>11959</v>
      </c>
      <c r="BJ204" s="50" t="s">
        <v>11960</v>
      </c>
      <c r="BK204" s="50" t="s">
        <v>127</v>
      </c>
      <c r="BL204" s="50" t="s">
        <v>21496</v>
      </c>
      <c r="BM204" s="50" t="s">
        <v>11678</v>
      </c>
      <c r="BN204" s="50" t="s">
        <v>21497</v>
      </c>
      <c r="BO204" s="50" t="s">
        <v>11948</v>
      </c>
      <c r="BP204" s="50" t="s">
        <v>1880</v>
      </c>
      <c r="BQ204" s="50" t="s">
        <v>7992</v>
      </c>
      <c r="BR204" s="50" t="s">
        <v>1882</v>
      </c>
      <c r="BS204" s="50" t="s">
        <v>1883</v>
      </c>
      <c r="BT204" s="50" t="s">
        <v>222</v>
      </c>
      <c r="BV204" s="50" t="s">
        <v>21498</v>
      </c>
      <c r="BW204" s="50" t="s">
        <v>224</v>
      </c>
      <c r="BX204" s="50" t="s">
        <v>138</v>
      </c>
      <c r="BY204" s="50" t="s">
        <v>225</v>
      </c>
      <c r="BZ204" s="50" t="s">
        <v>226</v>
      </c>
      <c r="CA204" s="50" t="s">
        <v>11681</v>
      </c>
      <c r="CB204" s="50" t="s">
        <v>21499</v>
      </c>
      <c r="CC204" s="50" t="s">
        <v>21500</v>
      </c>
      <c r="CD204" s="50" t="s">
        <v>21501</v>
      </c>
      <c r="CE204" s="50" t="s">
        <v>21502</v>
      </c>
      <c r="CF204" s="50" t="s">
        <v>21503</v>
      </c>
      <c r="CG204" s="50" t="s">
        <v>21501</v>
      </c>
      <c r="CH204" s="50" t="s">
        <v>102</v>
      </c>
      <c r="CI204" s="50" t="s">
        <v>11682</v>
      </c>
      <c r="CK204" s="50" t="s">
        <v>5985</v>
      </c>
      <c r="CM204" s="50" t="s">
        <v>920</v>
      </c>
      <c r="CN204" s="50" t="s">
        <v>211</v>
      </c>
      <c r="CO204" s="50" t="s">
        <v>5985</v>
      </c>
      <c r="CP204" s="50" t="s">
        <v>230</v>
      </c>
      <c r="CQ204" s="50" t="s">
        <v>11682</v>
      </c>
      <c r="CR204" s="50" t="s">
        <v>11682</v>
      </c>
    </row>
    <row r="205" spans="1:97" hidden="1">
      <c r="A205" s="50" t="s">
        <v>93</v>
      </c>
      <c r="B205" s="50">
        <v>5017818</v>
      </c>
      <c r="C205" s="50" t="e">
        <f>VLOOKUP(B205,'Drop schools 2026'!B:C,2,0)</f>
        <v>#N/A</v>
      </c>
      <c r="D205" s="50" t="s">
        <v>212</v>
      </c>
      <c r="E205" s="50" t="s">
        <v>11995</v>
      </c>
      <c r="F205" s="50" t="s">
        <v>10261</v>
      </c>
      <c r="G205" s="50" t="str">
        <f>VLOOKUP(B205,aa!B:F,5,0)</f>
        <v>Ei Mindspark</v>
      </c>
      <c r="H205" s="50">
        <f>VLOOKUP(B205,aa!B:J,9,0)</f>
        <v>1640218</v>
      </c>
      <c r="I205" s="50">
        <f>VLOOKUP(B205,aa!B:L,11,0)</f>
        <v>0</v>
      </c>
      <c r="J205" s="50">
        <f>VLOOKUP(B205,aa!B:O,14,0)</f>
        <v>0</v>
      </c>
      <c r="K205" s="50">
        <f>VLOOKUP(B205,aa!B:R,17,0)</f>
        <v>1640218</v>
      </c>
      <c r="L205" s="50" t="s">
        <v>848</v>
      </c>
      <c r="M205" s="50">
        <v>755216</v>
      </c>
      <c r="N205" s="50">
        <v>891155</v>
      </c>
      <c r="O205" s="50">
        <v>0</v>
      </c>
      <c r="P205" s="50">
        <v>0</v>
      </c>
      <c r="R205" s="50">
        <v>0</v>
      </c>
      <c r="S205" s="50">
        <v>0</v>
      </c>
      <c r="U205" s="50">
        <v>755216</v>
      </c>
      <c r="V205" s="50">
        <v>557</v>
      </c>
      <c r="W205" s="50" t="s">
        <v>4518</v>
      </c>
      <c r="X205" s="50" t="s">
        <v>102</v>
      </c>
      <c r="Y205" s="50" t="s">
        <v>103</v>
      </c>
      <c r="Z205" s="50" t="s">
        <v>398</v>
      </c>
      <c r="AB205" s="50" t="s">
        <v>3993</v>
      </c>
      <c r="AC205" s="50" t="s">
        <v>19208</v>
      </c>
      <c r="AD205" s="50" t="s">
        <v>12040</v>
      </c>
      <c r="AE205" s="50" t="s">
        <v>19209</v>
      </c>
      <c r="AF205" s="50" t="s">
        <v>12099</v>
      </c>
      <c r="AG205" s="50" t="s">
        <v>19209</v>
      </c>
      <c r="AH205" s="50" t="s">
        <v>109</v>
      </c>
      <c r="AI205" s="50" t="s">
        <v>102</v>
      </c>
      <c r="AJ205" s="50" t="s">
        <v>19210</v>
      </c>
      <c r="AK205" s="50" t="s">
        <v>857</v>
      </c>
      <c r="AL205" s="50" t="s">
        <v>19211</v>
      </c>
      <c r="AM205" s="50" t="s">
        <v>19212</v>
      </c>
      <c r="AN205" s="50" t="s">
        <v>19213</v>
      </c>
      <c r="AO205" s="50" t="s">
        <v>19214</v>
      </c>
      <c r="AP205" s="50" t="s">
        <v>18926</v>
      </c>
      <c r="AQ205" s="50" t="s">
        <v>18926</v>
      </c>
      <c r="AV205" s="50" t="s">
        <v>102</v>
      </c>
      <c r="AX205" s="50" t="s">
        <v>102</v>
      </c>
      <c r="AY205" s="50" t="s">
        <v>119</v>
      </c>
      <c r="BB205" s="50" t="s">
        <v>250</v>
      </c>
      <c r="BC205" s="50" t="s">
        <v>8521</v>
      </c>
      <c r="BD205" s="50" t="s">
        <v>284</v>
      </c>
      <c r="BE205" s="50" t="s">
        <v>285</v>
      </c>
      <c r="BF205" s="50" t="s">
        <v>212</v>
      </c>
      <c r="BG205" s="50" t="s">
        <v>286</v>
      </c>
      <c r="BH205" s="50" t="s">
        <v>124</v>
      </c>
      <c r="BI205" s="50" t="s">
        <v>7020</v>
      </c>
      <c r="BJ205" s="50" t="s">
        <v>18927</v>
      </c>
      <c r="BK205" s="50" t="s">
        <v>127</v>
      </c>
      <c r="BL205" s="50" t="s">
        <v>19215</v>
      </c>
      <c r="BM205" s="50" t="s">
        <v>10271</v>
      </c>
      <c r="BN205" s="50" t="s">
        <v>19216</v>
      </c>
      <c r="BO205" s="50" t="s">
        <v>945</v>
      </c>
      <c r="BP205" s="50" t="s">
        <v>956</v>
      </c>
      <c r="BQ205" s="50" t="s">
        <v>132</v>
      </c>
      <c r="BR205" s="50" t="s">
        <v>958</v>
      </c>
      <c r="BS205" s="50" t="s">
        <v>959</v>
      </c>
      <c r="BT205" s="50" t="s">
        <v>3362</v>
      </c>
      <c r="BV205" s="50" t="s">
        <v>19217</v>
      </c>
      <c r="BW205" s="50" t="s">
        <v>18931</v>
      </c>
      <c r="BX205" s="50" t="s">
        <v>296</v>
      </c>
      <c r="BY205" s="50" t="s">
        <v>18932</v>
      </c>
      <c r="BZ205" s="50" t="s">
        <v>6877</v>
      </c>
      <c r="CA205" s="50" t="s">
        <v>6876</v>
      </c>
      <c r="CB205" s="50" t="s">
        <v>18931</v>
      </c>
      <c r="CC205" s="50" t="s">
        <v>6876</v>
      </c>
      <c r="CD205" s="50" t="s">
        <v>6877</v>
      </c>
      <c r="CE205" s="50" t="s">
        <v>18933</v>
      </c>
      <c r="CF205" s="50" t="s">
        <v>9807</v>
      </c>
      <c r="CG205" s="50" t="s">
        <v>9808</v>
      </c>
      <c r="CH205" s="50" t="s">
        <v>102</v>
      </c>
      <c r="CI205" s="50" t="s">
        <v>9809</v>
      </c>
      <c r="CK205" s="50" t="s">
        <v>6711</v>
      </c>
      <c r="CM205" s="50" t="s">
        <v>284</v>
      </c>
      <c r="CN205" s="50" t="s">
        <v>285</v>
      </c>
      <c r="CO205" s="50" t="s">
        <v>6711</v>
      </c>
      <c r="CP205" s="50" t="s">
        <v>6886</v>
      </c>
      <c r="CQ205" s="50" t="s">
        <v>9810</v>
      </c>
      <c r="CR205" s="50" t="s">
        <v>9809</v>
      </c>
    </row>
    <row r="206" spans="1:97" hidden="1">
      <c r="A206" s="50" t="s">
        <v>93</v>
      </c>
      <c r="B206" s="50">
        <v>3955038</v>
      </c>
      <c r="C206" s="50" t="str">
        <f>VLOOKUP(B206,RISK!B:C,2,0)</f>
        <v>Risk</v>
      </c>
      <c r="D206" s="50" t="s">
        <v>122</v>
      </c>
      <c r="E206" s="50" t="s">
        <v>12491</v>
      </c>
      <c r="F206" s="50" t="s">
        <v>8022</v>
      </c>
      <c r="G206" s="50" t="e">
        <f>VLOOKUP(B206,aa!B:F,5,0)</f>
        <v>#N/A</v>
      </c>
      <c r="H206" s="50" t="e">
        <f>VLOOKUP(B206,aa!B:J,9,0)</f>
        <v>#N/A</v>
      </c>
      <c r="I206" s="50" t="e">
        <f>VLOOKUP(B206,aa!B:L,11,0)</f>
        <v>#N/A</v>
      </c>
      <c r="J206" s="50" t="e">
        <f>VLOOKUP(B206,aa!B:O,14,0)</f>
        <v>#N/A</v>
      </c>
      <c r="K206" s="50" t="e">
        <f>VLOOKUP(B206,aa!B:R,17,0)</f>
        <v>#N/A</v>
      </c>
      <c r="L206" s="50" t="s">
        <v>643</v>
      </c>
      <c r="M206" s="50">
        <v>755153</v>
      </c>
      <c r="N206" s="50">
        <v>791206</v>
      </c>
      <c r="O206" s="50">
        <v>0</v>
      </c>
      <c r="P206" s="50">
        <v>0</v>
      </c>
      <c r="R206" s="50">
        <v>554856</v>
      </c>
      <c r="S206" s="50">
        <v>379</v>
      </c>
      <c r="T206" s="50" t="s">
        <v>17398</v>
      </c>
      <c r="U206" s="50">
        <v>200297</v>
      </c>
      <c r="V206" s="50">
        <v>139</v>
      </c>
      <c r="W206" s="50" t="s">
        <v>4082</v>
      </c>
      <c r="X206" s="50" t="s">
        <v>102</v>
      </c>
      <c r="Y206" s="50" t="s">
        <v>103</v>
      </c>
      <c r="Z206" s="50" t="s">
        <v>155</v>
      </c>
      <c r="AB206" s="50" t="s">
        <v>17399</v>
      </c>
      <c r="AC206" s="50" t="s">
        <v>17400</v>
      </c>
      <c r="AD206" s="50" t="s">
        <v>17401</v>
      </c>
      <c r="AE206" s="50" t="s">
        <v>17400</v>
      </c>
      <c r="AF206" s="50" t="s">
        <v>17402</v>
      </c>
      <c r="AG206" s="50" t="s">
        <v>17400</v>
      </c>
      <c r="AH206" s="50" t="s">
        <v>17403</v>
      </c>
      <c r="AI206" s="50" t="s">
        <v>17400</v>
      </c>
      <c r="AJ206" s="50" t="s">
        <v>102</v>
      </c>
      <c r="AK206" s="50" t="s">
        <v>17404</v>
      </c>
      <c r="AL206" s="50" t="s">
        <v>17404</v>
      </c>
      <c r="AM206" s="50" t="s">
        <v>17405</v>
      </c>
      <c r="AN206" s="50" t="s">
        <v>17406</v>
      </c>
      <c r="AO206" s="50" t="s">
        <v>17407</v>
      </c>
      <c r="AP206" s="50" t="s">
        <v>17408</v>
      </c>
      <c r="AQ206" s="50" t="s">
        <v>17408</v>
      </c>
      <c r="AV206" s="50" t="s">
        <v>102</v>
      </c>
      <c r="AX206" s="50" t="s">
        <v>655</v>
      </c>
      <c r="AY206" s="50" t="s">
        <v>119</v>
      </c>
      <c r="BA206" s="50" t="s">
        <v>250</v>
      </c>
      <c r="BB206" s="50" t="s">
        <v>250</v>
      </c>
      <c r="BC206" s="50" t="s">
        <v>120</v>
      </c>
      <c r="BD206" s="50" t="s">
        <v>8034</v>
      </c>
      <c r="BE206" s="50" t="s">
        <v>449</v>
      </c>
      <c r="BF206" s="50" t="s">
        <v>122</v>
      </c>
      <c r="BG206" s="50" t="s">
        <v>253</v>
      </c>
      <c r="BH206" s="50" t="s">
        <v>124</v>
      </c>
      <c r="BI206" s="50" t="s">
        <v>12023</v>
      </c>
      <c r="BJ206" s="50" t="s">
        <v>11889</v>
      </c>
      <c r="BK206" s="50" t="s">
        <v>127</v>
      </c>
      <c r="BL206" s="50" t="s">
        <v>17409</v>
      </c>
      <c r="BM206" s="50" t="s">
        <v>8036</v>
      </c>
      <c r="BN206" s="50" t="s">
        <v>17410</v>
      </c>
      <c r="BO206" s="50" t="s">
        <v>17397</v>
      </c>
      <c r="BP206" s="50" t="s">
        <v>3243</v>
      </c>
      <c r="BQ206" s="50" t="s">
        <v>350</v>
      </c>
      <c r="BR206" s="50" t="s">
        <v>3244</v>
      </c>
      <c r="BS206" s="50" t="s">
        <v>3245</v>
      </c>
      <c r="BT206" s="50" t="s">
        <v>3246</v>
      </c>
      <c r="BV206" s="50" t="s">
        <v>17411</v>
      </c>
      <c r="BW206" s="50" t="s">
        <v>17412</v>
      </c>
      <c r="BX206" s="50" t="s">
        <v>138</v>
      </c>
      <c r="BY206" s="50" t="s">
        <v>17413</v>
      </c>
      <c r="BZ206" s="50" t="s">
        <v>17414</v>
      </c>
      <c r="CA206" s="50" t="s">
        <v>8042</v>
      </c>
      <c r="CB206" s="50" t="s">
        <v>17412</v>
      </c>
      <c r="CC206" s="50" t="s">
        <v>17413</v>
      </c>
      <c r="CD206" s="50" t="s">
        <v>17414</v>
      </c>
      <c r="CE206" s="50" t="s">
        <v>17412</v>
      </c>
      <c r="CF206" s="50" t="s">
        <v>17413</v>
      </c>
      <c r="CG206" s="50" t="s">
        <v>17414</v>
      </c>
      <c r="CH206" s="50" t="s">
        <v>1016</v>
      </c>
      <c r="CI206" s="50" t="s">
        <v>8045</v>
      </c>
      <c r="CK206" s="50" t="s">
        <v>8046</v>
      </c>
      <c r="CL206" s="50" t="s">
        <v>17415</v>
      </c>
      <c r="CM206" s="50" t="s">
        <v>8034</v>
      </c>
      <c r="CN206" s="50" t="s">
        <v>449</v>
      </c>
      <c r="CO206" s="50" t="s">
        <v>8046</v>
      </c>
      <c r="CQ206" s="50" t="s">
        <v>8045</v>
      </c>
      <c r="CR206" s="50" t="s">
        <v>8045</v>
      </c>
    </row>
    <row r="207" spans="1:97" hidden="1">
      <c r="A207" s="50" t="s">
        <v>149</v>
      </c>
      <c r="B207" s="50">
        <v>395154</v>
      </c>
      <c r="C207" s="50" t="e">
        <f>VLOOKUP(B207,'Drop schools 2026'!B:C,2,0)</f>
        <v>#N/A</v>
      </c>
      <c r="D207" s="50" t="s">
        <v>122</v>
      </c>
      <c r="E207" s="50" t="s">
        <v>11882</v>
      </c>
      <c r="F207" s="50" t="s">
        <v>7952</v>
      </c>
      <c r="G207" s="50" t="e">
        <f>VLOOKUP(B207,aa!B:F,5,0)</f>
        <v>#N/A</v>
      </c>
      <c r="H207" s="50" t="e">
        <f>VLOOKUP(B207,aa!B:J,9,0)</f>
        <v>#N/A</v>
      </c>
      <c r="I207" s="50" t="e">
        <f>VLOOKUP(B207,aa!B:L,11,0)</f>
        <v>#N/A</v>
      </c>
      <c r="J207" s="50" t="e">
        <f>VLOOKUP(B207,aa!B:O,14,0)</f>
        <v>#N/A</v>
      </c>
      <c r="K207" s="50" t="e">
        <f>VLOOKUP(B207,aa!B:R,17,0)</f>
        <v>#N/A</v>
      </c>
      <c r="L207" s="50" t="s">
        <v>97</v>
      </c>
      <c r="M207" s="50">
        <v>755153</v>
      </c>
      <c r="N207" s="50">
        <v>755153</v>
      </c>
      <c r="O207" s="50">
        <v>755153</v>
      </c>
      <c r="P207" s="50">
        <v>944</v>
      </c>
      <c r="Q207" s="50" t="s">
        <v>1297</v>
      </c>
      <c r="R207" s="50">
        <v>0</v>
      </c>
      <c r="S207" s="50">
        <v>0</v>
      </c>
      <c r="U207" s="50">
        <v>0</v>
      </c>
      <c r="V207" s="50">
        <v>0</v>
      </c>
      <c r="X207" s="50" t="s">
        <v>102</v>
      </c>
      <c r="Y207" s="50" t="s">
        <v>103</v>
      </c>
      <c r="Z207" s="50" t="s">
        <v>104</v>
      </c>
      <c r="AB207" s="50" t="s">
        <v>11884</v>
      </c>
      <c r="AC207" s="50" t="s">
        <v>17368</v>
      </c>
      <c r="AD207" s="50" t="s">
        <v>11886</v>
      </c>
      <c r="AE207" s="50" t="s">
        <v>17368</v>
      </c>
      <c r="AF207" s="50" t="s">
        <v>109</v>
      </c>
      <c r="AG207" s="50" t="s">
        <v>102</v>
      </c>
      <c r="AH207" s="50" t="s">
        <v>109</v>
      </c>
      <c r="AI207" s="50" t="s">
        <v>102</v>
      </c>
      <c r="AJ207" s="50" t="s">
        <v>17369</v>
      </c>
      <c r="AK207" s="50" t="s">
        <v>13344</v>
      </c>
      <c r="AL207" s="50" t="s">
        <v>13344</v>
      </c>
      <c r="AM207" s="50" t="s">
        <v>17370</v>
      </c>
      <c r="AN207" s="50" t="s">
        <v>17371</v>
      </c>
      <c r="AO207" s="50" t="s">
        <v>5926</v>
      </c>
      <c r="AP207" s="50" t="s">
        <v>1304</v>
      </c>
      <c r="AQ207" s="50" t="s">
        <v>1304</v>
      </c>
      <c r="AV207" s="50" t="s">
        <v>117</v>
      </c>
      <c r="AW207" s="50" t="s">
        <v>118</v>
      </c>
      <c r="AX207" s="50" t="s">
        <v>102</v>
      </c>
      <c r="AY207" s="50" t="s">
        <v>119</v>
      </c>
      <c r="BC207" s="50" t="s">
        <v>120</v>
      </c>
      <c r="BD207" s="50" t="s">
        <v>448</v>
      </c>
      <c r="BE207" s="50" t="s">
        <v>449</v>
      </c>
      <c r="BF207" s="50" t="s">
        <v>122</v>
      </c>
      <c r="BG207" s="50" t="s">
        <v>450</v>
      </c>
      <c r="BH207" s="50" t="s">
        <v>124</v>
      </c>
      <c r="BI207" s="50" t="s">
        <v>11888</v>
      </c>
      <c r="BJ207" s="50" t="s">
        <v>11889</v>
      </c>
      <c r="BK207" s="50" t="s">
        <v>127</v>
      </c>
      <c r="BL207" s="50" t="s">
        <v>17372</v>
      </c>
      <c r="BM207" s="50" t="s">
        <v>7961</v>
      </c>
      <c r="BN207" s="50" t="s">
        <v>17373</v>
      </c>
      <c r="BO207" s="50" t="s">
        <v>14080</v>
      </c>
      <c r="BP207" s="50" t="s">
        <v>3267</v>
      </c>
      <c r="BQ207" s="50" t="s">
        <v>350</v>
      </c>
      <c r="BR207" s="50" t="s">
        <v>3268</v>
      </c>
      <c r="BS207" s="50" t="s">
        <v>3269</v>
      </c>
      <c r="BT207" s="50" t="s">
        <v>135</v>
      </c>
      <c r="BV207" s="50" t="s">
        <v>17374</v>
      </c>
      <c r="BW207" s="50" t="s">
        <v>11893</v>
      </c>
      <c r="BX207" s="50" t="s">
        <v>598</v>
      </c>
      <c r="BY207" s="50" t="s">
        <v>7967</v>
      </c>
      <c r="BZ207" s="50" t="s">
        <v>11894</v>
      </c>
      <c r="CA207" s="50" t="s">
        <v>7967</v>
      </c>
      <c r="CB207" s="50" t="s">
        <v>17375</v>
      </c>
      <c r="CC207" s="50" t="s">
        <v>7965</v>
      </c>
      <c r="CD207" s="50" t="s">
        <v>11894</v>
      </c>
      <c r="CE207" s="50" t="s">
        <v>11893</v>
      </c>
      <c r="CF207" s="50" t="s">
        <v>7967</v>
      </c>
      <c r="CG207" s="50" t="s">
        <v>11894</v>
      </c>
      <c r="CH207" s="50" t="s">
        <v>3251</v>
      </c>
      <c r="CI207" s="50" t="s">
        <v>17376</v>
      </c>
      <c r="CK207" s="50" t="s">
        <v>7972</v>
      </c>
      <c r="CM207" s="50" t="s">
        <v>448</v>
      </c>
      <c r="CN207" s="50" t="s">
        <v>449</v>
      </c>
      <c r="CO207" s="50" t="s">
        <v>7972</v>
      </c>
      <c r="CP207" s="50" t="s">
        <v>7974</v>
      </c>
      <c r="CQ207" s="50" t="s">
        <v>7971</v>
      </c>
      <c r="CR207" s="50" t="s">
        <v>7973</v>
      </c>
    </row>
    <row r="208" spans="1:97" hidden="1">
      <c r="A208" s="50" t="s">
        <v>149</v>
      </c>
      <c r="B208" s="50">
        <v>1019428</v>
      </c>
      <c r="C208" s="50" t="e">
        <f>VLOOKUP(B208,'Drop schools 2026'!B:C,2,0)</f>
        <v>#N/A</v>
      </c>
      <c r="D208" s="50" t="s">
        <v>212</v>
      </c>
      <c r="E208" s="50" t="s">
        <v>11947</v>
      </c>
      <c r="F208" s="50" t="s">
        <v>191</v>
      </c>
      <c r="G208" s="50" t="str">
        <f>VLOOKUP(B208,aa!B:F,5,0)</f>
        <v>Ei ASSET,Ei Mindspark</v>
      </c>
      <c r="H208" s="50">
        <f>VLOOKUP(B208,aa!B:J,9,0)</f>
        <v>0</v>
      </c>
      <c r="I208" s="50">
        <f>VLOOKUP(B208,aa!B:L,11,0)</f>
        <v>0</v>
      </c>
      <c r="J208" s="50">
        <f>VLOOKUP(B208,aa!B:O,14,0)</f>
        <v>0</v>
      </c>
      <c r="K208" s="50">
        <f>VLOOKUP(B208,aa!B:R,17,0)</f>
        <v>0</v>
      </c>
      <c r="L208" s="50" t="s">
        <v>193</v>
      </c>
      <c r="M208" s="50">
        <v>751622</v>
      </c>
      <c r="N208" s="50">
        <v>842809</v>
      </c>
      <c r="O208" s="50">
        <v>245029</v>
      </c>
      <c r="P208" s="50">
        <v>788</v>
      </c>
      <c r="Q208" s="50" t="s">
        <v>195</v>
      </c>
      <c r="R208" s="50">
        <v>0</v>
      </c>
      <c r="S208" s="50">
        <v>0</v>
      </c>
      <c r="U208" s="50">
        <v>506593</v>
      </c>
      <c r="V208" s="50">
        <v>797</v>
      </c>
      <c r="W208" s="50" t="s">
        <v>11949</v>
      </c>
      <c r="X208" s="50" t="s">
        <v>102</v>
      </c>
      <c r="Y208" s="50" t="s">
        <v>103</v>
      </c>
      <c r="Z208" s="50" t="s">
        <v>104</v>
      </c>
      <c r="AB208" s="50" t="s">
        <v>11950</v>
      </c>
      <c r="AC208" s="50" t="s">
        <v>11951</v>
      </c>
      <c r="AD208" s="50" t="s">
        <v>11952</v>
      </c>
      <c r="AE208" s="50" t="s">
        <v>11951</v>
      </c>
      <c r="AF208" s="50" t="s">
        <v>109</v>
      </c>
      <c r="AG208" s="50" t="s">
        <v>102</v>
      </c>
      <c r="AH208" s="50" t="s">
        <v>109</v>
      </c>
      <c r="AI208" s="50" t="s">
        <v>102</v>
      </c>
      <c r="AJ208" s="50" t="s">
        <v>11953</v>
      </c>
      <c r="AK208" s="50" t="s">
        <v>11954</v>
      </c>
      <c r="AL208" s="50" t="s">
        <v>11954</v>
      </c>
      <c r="AM208" s="50" t="s">
        <v>11955</v>
      </c>
      <c r="AN208" s="50" t="s">
        <v>11956</v>
      </c>
      <c r="AO208" s="50" t="s">
        <v>11957</v>
      </c>
      <c r="AP208" s="50" t="s">
        <v>11958</v>
      </c>
      <c r="AQ208" s="50" t="s">
        <v>11958</v>
      </c>
      <c r="AV208" s="50" t="s">
        <v>207</v>
      </c>
      <c r="AW208" s="50" t="s">
        <v>118</v>
      </c>
      <c r="AX208" s="50" t="s">
        <v>102</v>
      </c>
      <c r="AY208" s="50" t="s">
        <v>119</v>
      </c>
      <c r="BB208" s="50" t="s">
        <v>250</v>
      </c>
      <c r="BC208" s="50" t="s">
        <v>209</v>
      </c>
      <c r="BD208" s="50" t="s">
        <v>210</v>
      </c>
      <c r="BE208" s="50" t="s">
        <v>211</v>
      </c>
      <c r="BF208" s="50" t="s">
        <v>212</v>
      </c>
      <c r="BG208" s="50" t="s">
        <v>213</v>
      </c>
      <c r="BH208" s="50" t="s">
        <v>124</v>
      </c>
      <c r="BI208" s="50" t="s">
        <v>11959</v>
      </c>
      <c r="BJ208" s="50" t="s">
        <v>11960</v>
      </c>
      <c r="BK208" s="50" t="s">
        <v>127</v>
      </c>
      <c r="BL208" s="50" t="s">
        <v>11961</v>
      </c>
      <c r="BM208" s="50" t="s">
        <v>217</v>
      </c>
      <c r="BN208" s="50" t="s">
        <v>11962</v>
      </c>
      <c r="BO208" s="50" t="s">
        <v>11948</v>
      </c>
      <c r="BP208" s="50" t="s">
        <v>1880</v>
      </c>
      <c r="BQ208" s="50" t="s">
        <v>2901</v>
      </c>
      <c r="BR208" s="50" t="s">
        <v>1882</v>
      </c>
      <c r="BS208" s="50" t="s">
        <v>1883</v>
      </c>
      <c r="BT208" s="50" t="s">
        <v>222</v>
      </c>
      <c r="BV208" s="50" t="s">
        <v>11963</v>
      </c>
      <c r="BW208" s="50" t="s">
        <v>11964</v>
      </c>
      <c r="BX208" s="50" t="s">
        <v>138</v>
      </c>
      <c r="BY208" s="50" t="s">
        <v>225</v>
      </c>
      <c r="BZ208" s="50" t="s">
        <v>226</v>
      </c>
      <c r="CA208" s="50" t="s">
        <v>227</v>
      </c>
      <c r="CB208" s="50" t="s">
        <v>11965</v>
      </c>
      <c r="CC208" s="50" t="s">
        <v>11966</v>
      </c>
      <c r="CD208" s="50" t="s">
        <v>11967</v>
      </c>
      <c r="CE208" s="50" t="s">
        <v>11968</v>
      </c>
      <c r="CF208" s="50" t="s">
        <v>11969</v>
      </c>
      <c r="CG208" s="50" t="s">
        <v>11967</v>
      </c>
      <c r="CH208" s="50" t="s">
        <v>102</v>
      </c>
      <c r="CI208" s="50" t="s">
        <v>228</v>
      </c>
      <c r="CK208" s="50" t="s">
        <v>229</v>
      </c>
      <c r="CM208" s="50" t="s">
        <v>210</v>
      </c>
      <c r="CN208" s="50" t="s">
        <v>211</v>
      </c>
      <c r="CO208" s="50" t="s">
        <v>229</v>
      </c>
      <c r="CP208" s="50" t="s">
        <v>230</v>
      </c>
      <c r="CQ208" s="50" t="s">
        <v>228</v>
      </c>
      <c r="CR208" s="50" t="s">
        <v>228</v>
      </c>
    </row>
    <row r="209" spans="1:97">
      <c r="A209" s="50" t="s">
        <v>337</v>
      </c>
      <c r="B209" s="50">
        <v>3992830</v>
      </c>
      <c r="C209" s="50" t="str">
        <f>VLOOKUP(B209,'Drop schools 2026'!B:C,2,0)</f>
        <v>Drop</v>
      </c>
      <c r="D209" s="50" t="s">
        <v>122</v>
      </c>
      <c r="E209" s="50" t="s">
        <v>12018</v>
      </c>
      <c r="F209" s="50" t="s">
        <v>17574</v>
      </c>
      <c r="G209" s="50" t="e">
        <f>VLOOKUP(B209,aa!B:F,5,0)</f>
        <v>#N/A</v>
      </c>
      <c r="H209" s="50" t="e">
        <f>VLOOKUP(B209,aa!B:J,9,0)</f>
        <v>#N/A</v>
      </c>
      <c r="I209" s="50" t="e">
        <f>VLOOKUP(B209,aa!B:L,11,0)</f>
        <v>#N/A</v>
      </c>
      <c r="J209" s="50" t="e">
        <f>VLOOKUP(B209,aa!B:O,14,0)</f>
        <v>#N/A</v>
      </c>
      <c r="K209" s="50" t="e">
        <f>VLOOKUP(B209,aa!B:R,17,0)</f>
        <v>#N/A</v>
      </c>
      <c r="L209" s="50" t="s">
        <v>152</v>
      </c>
      <c r="M209" s="50">
        <v>750657</v>
      </c>
      <c r="N209" s="50">
        <v>750657</v>
      </c>
      <c r="O209" s="50">
        <v>0</v>
      </c>
      <c r="P209" s="50">
        <v>0</v>
      </c>
      <c r="R209" s="50">
        <v>750657</v>
      </c>
      <c r="S209" s="50">
        <v>454</v>
      </c>
      <c r="T209" s="50" t="s">
        <v>17575</v>
      </c>
      <c r="U209" s="50">
        <v>0</v>
      </c>
      <c r="V209" s="50">
        <v>0</v>
      </c>
      <c r="X209" s="50" t="s">
        <v>102</v>
      </c>
      <c r="Y209" s="50" t="s">
        <v>103</v>
      </c>
      <c r="Z209" s="50" t="s">
        <v>398</v>
      </c>
      <c r="AB209" s="50" t="s">
        <v>2323</v>
      </c>
      <c r="AC209" s="50" t="s">
        <v>17576</v>
      </c>
      <c r="AD209" s="50" t="s">
        <v>6177</v>
      </c>
      <c r="AE209" s="50" t="s">
        <v>17577</v>
      </c>
      <c r="AF209" s="50" t="s">
        <v>13583</v>
      </c>
      <c r="AG209" s="50" t="s">
        <v>17578</v>
      </c>
      <c r="AH209" s="50" t="s">
        <v>109</v>
      </c>
      <c r="AI209" s="50" t="s">
        <v>102</v>
      </c>
      <c r="AJ209" s="50" t="s">
        <v>17579</v>
      </c>
      <c r="AK209" s="50" t="s">
        <v>1162</v>
      </c>
      <c r="AL209" s="50" t="s">
        <v>17580</v>
      </c>
      <c r="AM209" s="50" t="s">
        <v>17581</v>
      </c>
      <c r="AN209" s="50" t="s">
        <v>17582</v>
      </c>
      <c r="AO209" s="50" t="s">
        <v>17583</v>
      </c>
      <c r="AP209" s="50" t="s">
        <v>17584</v>
      </c>
      <c r="AQ209" s="50" t="s">
        <v>17584</v>
      </c>
      <c r="AV209" s="50" t="s">
        <v>102</v>
      </c>
      <c r="AX209" s="50" t="s">
        <v>155</v>
      </c>
      <c r="AY209" s="50" t="s">
        <v>447</v>
      </c>
      <c r="AZ209" s="50" t="s">
        <v>170</v>
      </c>
      <c r="BA209" s="50" t="s">
        <v>118</v>
      </c>
      <c r="BC209" s="50" t="s">
        <v>120</v>
      </c>
      <c r="BD209" s="50" t="s">
        <v>17585</v>
      </c>
      <c r="BE209" s="50" t="s">
        <v>345</v>
      </c>
      <c r="BF209" s="50" t="s">
        <v>122</v>
      </c>
      <c r="BG209" s="50" t="s">
        <v>346</v>
      </c>
      <c r="BH209" s="50" t="s">
        <v>124</v>
      </c>
      <c r="BI209" s="50" t="s">
        <v>12023</v>
      </c>
      <c r="BJ209" s="50" t="s">
        <v>11889</v>
      </c>
      <c r="BK209" s="50" t="s">
        <v>127</v>
      </c>
      <c r="BL209" s="50" t="s">
        <v>17586</v>
      </c>
      <c r="BM209" s="50" t="s">
        <v>17587</v>
      </c>
      <c r="BN209" s="50" t="s">
        <v>17588</v>
      </c>
      <c r="BO209" s="50" t="s">
        <v>2324</v>
      </c>
      <c r="BP209" s="50" t="s">
        <v>12226</v>
      </c>
      <c r="BQ209" s="50" t="s">
        <v>350</v>
      </c>
      <c r="BR209" s="50" t="s">
        <v>12228</v>
      </c>
      <c r="BS209" s="50" t="s">
        <v>12229</v>
      </c>
      <c r="BT209" s="50" t="s">
        <v>8623</v>
      </c>
      <c r="BV209" s="50" t="s">
        <v>17589</v>
      </c>
      <c r="BW209" s="50" t="s">
        <v>17590</v>
      </c>
      <c r="BX209" s="50" t="s">
        <v>354</v>
      </c>
      <c r="BY209" s="50" t="s">
        <v>17591</v>
      </c>
      <c r="BZ209" s="50" t="s">
        <v>17592</v>
      </c>
      <c r="CA209" s="50" t="s">
        <v>17593</v>
      </c>
      <c r="CB209" s="50" t="s">
        <v>17594</v>
      </c>
      <c r="CC209" s="50" t="s">
        <v>17593</v>
      </c>
      <c r="CD209" s="50" t="s">
        <v>17595</v>
      </c>
      <c r="CE209" s="50" t="s">
        <v>17594</v>
      </c>
      <c r="CF209" s="50" t="s">
        <v>17593</v>
      </c>
      <c r="CG209" s="50" t="s">
        <v>17595</v>
      </c>
      <c r="CH209" s="50" t="s">
        <v>15480</v>
      </c>
      <c r="CI209" s="50" t="s">
        <v>17596</v>
      </c>
      <c r="CK209" s="50" t="s">
        <v>17597</v>
      </c>
      <c r="CL209" s="50" t="s">
        <v>17596</v>
      </c>
      <c r="CM209" s="50" t="s">
        <v>17585</v>
      </c>
      <c r="CN209" s="50" t="s">
        <v>345</v>
      </c>
      <c r="CO209" s="50" t="s">
        <v>17597</v>
      </c>
      <c r="CQ209" s="50" t="s">
        <v>17596</v>
      </c>
      <c r="CR209" s="50" t="s">
        <v>17596</v>
      </c>
    </row>
    <row r="210" spans="1:97" hidden="1">
      <c r="A210" s="50" t="s">
        <v>495</v>
      </c>
      <c r="B210" s="50">
        <v>2285293</v>
      </c>
      <c r="C210" s="50" t="e">
        <f>VLOOKUP(B210,'Drop schools 2026'!B:C,2,0)</f>
        <v>#N/A</v>
      </c>
      <c r="D210" s="50" t="s">
        <v>622</v>
      </c>
      <c r="E210" s="50" t="s">
        <v>3562</v>
      </c>
      <c r="F210" s="50" t="s">
        <v>2966</v>
      </c>
      <c r="G210" s="50" t="e">
        <f>VLOOKUP(B210,aa!B:F,5,0)</f>
        <v>#N/A</v>
      </c>
      <c r="H210" s="50" t="e">
        <f>VLOOKUP(B210,aa!B:J,9,0)</f>
        <v>#N/A</v>
      </c>
      <c r="I210" s="50" t="e">
        <f>VLOOKUP(B210,aa!B:L,11,0)</f>
        <v>#N/A</v>
      </c>
      <c r="J210" s="50" t="e">
        <f>VLOOKUP(B210,aa!B:O,14,0)</f>
        <v>#N/A</v>
      </c>
      <c r="K210" s="50" t="e">
        <f>VLOOKUP(B210,aa!B:R,17,0)</f>
        <v>#N/A</v>
      </c>
      <c r="L210" s="50" t="s">
        <v>97</v>
      </c>
      <c r="M210" s="50">
        <v>748706</v>
      </c>
      <c r="N210" s="50">
        <v>748706</v>
      </c>
      <c r="O210" s="50">
        <v>748706</v>
      </c>
      <c r="P210" s="50">
        <v>468</v>
      </c>
      <c r="Q210" s="50" t="s">
        <v>678</v>
      </c>
      <c r="R210" s="50">
        <v>0</v>
      </c>
      <c r="S210" s="50">
        <v>0</v>
      </c>
      <c r="U210" s="50">
        <v>0</v>
      </c>
      <c r="V210" s="50">
        <v>0</v>
      </c>
      <c r="X210" s="50" t="s">
        <v>102</v>
      </c>
      <c r="Y210" s="50" t="s">
        <v>275</v>
      </c>
      <c r="AA210" s="50" t="s">
        <v>12041</v>
      </c>
      <c r="AB210" s="50" t="s">
        <v>109</v>
      </c>
      <c r="AC210" s="50" t="s">
        <v>102</v>
      </c>
      <c r="AD210" s="50" t="s">
        <v>109</v>
      </c>
      <c r="AE210" s="50" t="s">
        <v>102</v>
      </c>
      <c r="AF210" s="50" t="s">
        <v>109</v>
      </c>
      <c r="AG210" s="50" t="s">
        <v>102</v>
      </c>
      <c r="AH210" s="50" t="s">
        <v>109</v>
      </c>
      <c r="AI210" s="50" t="s">
        <v>102</v>
      </c>
      <c r="AJ210" s="50" t="s">
        <v>102</v>
      </c>
      <c r="AK210" s="50" t="s">
        <v>3849</v>
      </c>
      <c r="AL210" s="50" t="s">
        <v>3849</v>
      </c>
      <c r="AM210" s="50" t="s">
        <v>13685</v>
      </c>
      <c r="AN210" s="50" t="s">
        <v>13686</v>
      </c>
      <c r="AO210" s="50" t="s">
        <v>13687</v>
      </c>
      <c r="AP210" s="50" t="s">
        <v>6139</v>
      </c>
      <c r="AQ210" s="50" t="s">
        <v>6139</v>
      </c>
      <c r="AV210" s="50" t="s">
        <v>6700</v>
      </c>
      <c r="AW210" s="50" t="s">
        <v>118</v>
      </c>
      <c r="AX210" s="50" t="s">
        <v>102</v>
      </c>
      <c r="AY210" s="50" t="s">
        <v>119</v>
      </c>
      <c r="BC210" s="50" t="s">
        <v>2565</v>
      </c>
      <c r="BD210" s="50" t="s">
        <v>2327</v>
      </c>
      <c r="BE210" s="50" t="s">
        <v>730</v>
      </c>
      <c r="BF210" s="50" t="s">
        <v>622</v>
      </c>
      <c r="BG210" s="50" t="s">
        <v>730</v>
      </c>
      <c r="BH210" s="50" t="s">
        <v>124</v>
      </c>
      <c r="BI210" s="50" t="s">
        <v>11959</v>
      </c>
      <c r="BJ210" s="50" t="s">
        <v>11960</v>
      </c>
      <c r="BK210" s="50" t="s">
        <v>127</v>
      </c>
      <c r="BL210" s="50" t="s">
        <v>13688</v>
      </c>
      <c r="BM210" s="50" t="s">
        <v>2973</v>
      </c>
      <c r="BN210" s="50" t="s">
        <v>13689</v>
      </c>
      <c r="BO210" s="50" t="s">
        <v>13034</v>
      </c>
      <c r="BP210" s="50" t="s">
        <v>734</v>
      </c>
      <c r="BQ210" s="50" t="s">
        <v>350</v>
      </c>
      <c r="BR210" s="50" t="s">
        <v>735</v>
      </c>
      <c r="BS210" s="50" t="s">
        <v>736</v>
      </c>
      <c r="BT210" s="50" t="s">
        <v>2569</v>
      </c>
      <c r="BU210" s="50" t="s">
        <v>985</v>
      </c>
      <c r="BV210" s="50" t="s">
        <v>13690</v>
      </c>
      <c r="BW210" s="50" t="s">
        <v>13691</v>
      </c>
      <c r="BX210" s="50" t="s">
        <v>138</v>
      </c>
      <c r="BY210" s="50" t="s">
        <v>13692</v>
      </c>
      <c r="BZ210" s="50" t="s">
        <v>13693</v>
      </c>
      <c r="CA210" s="50" t="s">
        <v>2979</v>
      </c>
      <c r="CB210" s="50" t="s">
        <v>2976</v>
      </c>
      <c r="CC210" s="50" t="s">
        <v>13692</v>
      </c>
      <c r="CD210" s="50" t="s">
        <v>13693</v>
      </c>
      <c r="CE210" s="50" t="s">
        <v>13694</v>
      </c>
      <c r="CF210" s="50" t="s">
        <v>2979</v>
      </c>
      <c r="CG210" s="50" t="s">
        <v>13695</v>
      </c>
      <c r="CH210" s="50" t="s">
        <v>2980</v>
      </c>
      <c r="CI210" s="50" t="s">
        <v>13696</v>
      </c>
      <c r="CK210" s="50" t="s">
        <v>2982</v>
      </c>
      <c r="CL210" s="50" t="s">
        <v>13697</v>
      </c>
      <c r="CM210" s="50" t="s">
        <v>2327</v>
      </c>
      <c r="CN210" s="50" t="s">
        <v>730</v>
      </c>
      <c r="CO210" s="50" t="s">
        <v>2982</v>
      </c>
      <c r="CQ210" s="50" t="s">
        <v>2984</v>
      </c>
      <c r="CR210" s="50" t="s">
        <v>2984</v>
      </c>
    </row>
    <row r="211" spans="1:97" hidden="1">
      <c r="A211" s="50" t="s">
        <v>337</v>
      </c>
      <c r="B211" s="50">
        <v>3078372</v>
      </c>
      <c r="C211" s="50" t="e">
        <f>VLOOKUP(B211,'Drop schools 2026'!B:C,2,0)</f>
        <v>#N/A</v>
      </c>
      <c r="D211" s="50" t="s">
        <v>212</v>
      </c>
      <c r="E211" s="50" t="s">
        <v>12423</v>
      </c>
      <c r="F211" s="50" t="s">
        <v>14893</v>
      </c>
      <c r="G211" s="50" t="str">
        <f>VLOOKUP(B211,aa!B:F,5,0)</f>
        <v>Ei CARES</v>
      </c>
      <c r="H211" s="50">
        <f>VLOOKUP(B211,aa!B:J,9,0)</f>
        <v>739115</v>
      </c>
      <c r="I211" s="50">
        <f>VLOOKUP(B211,aa!B:L,11,0)</f>
        <v>0</v>
      </c>
      <c r="J211" s="50">
        <f>VLOOKUP(B211,aa!B:O,14,0)</f>
        <v>739115</v>
      </c>
      <c r="K211" s="50">
        <f>VLOOKUP(B211,aa!B:R,17,0)</f>
        <v>0</v>
      </c>
      <c r="L211" s="50" t="s">
        <v>152</v>
      </c>
      <c r="M211" s="50">
        <v>744510</v>
      </c>
      <c r="N211" s="50">
        <v>744510</v>
      </c>
      <c r="O211" s="50">
        <v>0</v>
      </c>
      <c r="P211" s="50">
        <v>0</v>
      </c>
      <c r="R211" s="50">
        <v>744510</v>
      </c>
      <c r="S211" s="50">
        <v>690</v>
      </c>
      <c r="T211" s="50" t="s">
        <v>14894</v>
      </c>
      <c r="U211" s="50">
        <v>0</v>
      </c>
      <c r="V211" s="50">
        <v>0</v>
      </c>
      <c r="X211" s="50" t="s">
        <v>102</v>
      </c>
      <c r="Y211" s="50" t="s">
        <v>103</v>
      </c>
      <c r="Z211" s="50" t="s">
        <v>155</v>
      </c>
      <c r="AB211" s="50" t="s">
        <v>4497</v>
      </c>
      <c r="AC211" s="50" t="s">
        <v>14895</v>
      </c>
      <c r="AD211" s="50" t="s">
        <v>12425</v>
      </c>
      <c r="AE211" s="50" t="s">
        <v>14895</v>
      </c>
      <c r="AF211" s="50" t="s">
        <v>946</v>
      </c>
      <c r="AG211" s="50" t="s">
        <v>14895</v>
      </c>
      <c r="AH211" s="50" t="s">
        <v>1719</v>
      </c>
      <c r="AI211" s="50" t="s">
        <v>14895</v>
      </c>
      <c r="AJ211" s="50" t="s">
        <v>102</v>
      </c>
      <c r="AK211" s="50" t="s">
        <v>1523</v>
      </c>
      <c r="AL211" s="50" t="s">
        <v>12729</v>
      </c>
      <c r="AM211" s="50" t="s">
        <v>14896</v>
      </c>
      <c r="AN211" s="50" t="s">
        <v>14897</v>
      </c>
      <c r="AO211" s="50" t="s">
        <v>14898</v>
      </c>
      <c r="AP211" s="50" t="s">
        <v>14899</v>
      </c>
      <c r="AQ211" s="50" t="s">
        <v>14899</v>
      </c>
      <c r="AV211" s="50" t="s">
        <v>102</v>
      </c>
      <c r="AX211" s="50" t="s">
        <v>155</v>
      </c>
      <c r="AY211" s="50" t="s">
        <v>119</v>
      </c>
      <c r="AZ211" s="50" t="s">
        <v>170</v>
      </c>
      <c r="BA211" s="50" t="s">
        <v>118</v>
      </c>
      <c r="BC211" s="50" t="s">
        <v>120</v>
      </c>
      <c r="BD211" s="50" t="s">
        <v>3214</v>
      </c>
      <c r="BE211" s="50" t="s">
        <v>410</v>
      </c>
      <c r="BF211" s="50" t="s">
        <v>212</v>
      </c>
      <c r="BG211" s="50" t="s">
        <v>410</v>
      </c>
      <c r="BH211" s="50" t="s">
        <v>124</v>
      </c>
      <c r="BI211" s="50" t="s">
        <v>12023</v>
      </c>
      <c r="BJ211" s="50" t="s">
        <v>11889</v>
      </c>
      <c r="BK211" s="50" t="s">
        <v>127</v>
      </c>
      <c r="BL211" s="50" t="s">
        <v>14900</v>
      </c>
      <c r="BM211" s="50" t="s">
        <v>14901</v>
      </c>
      <c r="BN211" s="50" t="s">
        <v>14902</v>
      </c>
      <c r="BO211" s="50" t="s">
        <v>4556</v>
      </c>
      <c r="BP211" s="50" t="s">
        <v>4053</v>
      </c>
      <c r="BQ211" s="50" t="s">
        <v>132</v>
      </c>
      <c r="BR211" s="50" t="s">
        <v>4054</v>
      </c>
      <c r="BS211" s="50" t="s">
        <v>4055</v>
      </c>
      <c r="BT211" s="50" t="s">
        <v>4056</v>
      </c>
      <c r="BV211" s="50" t="s">
        <v>14903</v>
      </c>
      <c r="BW211" s="50" t="s">
        <v>14904</v>
      </c>
      <c r="BX211" s="50" t="s">
        <v>354</v>
      </c>
      <c r="BY211" s="50" t="s">
        <v>14905</v>
      </c>
      <c r="BZ211" s="50" t="s">
        <v>14906</v>
      </c>
      <c r="CA211" s="50" t="s">
        <v>14907</v>
      </c>
      <c r="CB211" s="50" t="s">
        <v>11526</v>
      </c>
      <c r="CC211" s="50" t="s">
        <v>14908</v>
      </c>
      <c r="CD211" s="50" t="s">
        <v>14909</v>
      </c>
      <c r="CE211" s="50" t="s">
        <v>11526</v>
      </c>
      <c r="CF211" s="50" t="s">
        <v>14908</v>
      </c>
      <c r="CG211" s="50" t="s">
        <v>14909</v>
      </c>
      <c r="CH211" s="50" t="s">
        <v>573</v>
      </c>
      <c r="CI211" s="50" t="s">
        <v>14910</v>
      </c>
      <c r="CK211" s="50" t="s">
        <v>14911</v>
      </c>
      <c r="CL211" s="50" t="s">
        <v>14910</v>
      </c>
      <c r="CM211" s="50" t="s">
        <v>3214</v>
      </c>
      <c r="CN211" s="50" t="s">
        <v>410</v>
      </c>
      <c r="CO211" s="50" t="s">
        <v>14911</v>
      </c>
      <c r="CQ211" s="50" t="s">
        <v>14910</v>
      </c>
      <c r="CR211" s="50" t="s">
        <v>14910</v>
      </c>
    </row>
    <row r="212" spans="1:97" hidden="1">
      <c r="A212" s="50" t="s">
        <v>149</v>
      </c>
      <c r="B212" s="50">
        <v>3347753</v>
      </c>
      <c r="C212" s="50" t="e">
        <f>VLOOKUP(B212,'Drop schools 2026'!B:C,2,0)</f>
        <v>#N/A</v>
      </c>
      <c r="D212" s="50" t="s">
        <v>212</v>
      </c>
      <c r="E212" s="50" t="s">
        <v>11947</v>
      </c>
      <c r="F212" s="50" t="s">
        <v>5614</v>
      </c>
      <c r="G212" s="50" t="str">
        <f>VLOOKUP(B212,aa!B:F,5,0)</f>
        <v>Ei ASSET,Ei Mindspark</v>
      </c>
      <c r="H212" s="50">
        <f>VLOOKUP(B212,aa!B:J,9,0)</f>
        <v>0</v>
      </c>
      <c r="I212" s="50">
        <f>VLOOKUP(B212,aa!B:L,11,0)</f>
        <v>0</v>
      </c>
      <c r="J212" s="50">
        <f>VLOOKUP(B212,aa!B:O,14,0)</f>
        <v>0</v>
      </c>
      <c r="K212" s="50">
        <f>VLOOKUP(B212,aa!B:R,17,0)</f>
        <v>0</v>
      </c>
      <c r="L212" s="50" t="s">
        <v>193</v>
      </c>
      <c r="M212" s="50">
        <v>738445</v>
      </c>
      <c r="N212" s="50">
        <v>827687</v>
      </c>
      <c r="O212" s="50">
        <v>242658</v>
      </c>
      <c r="P212" s="50">
        <v>780</v>
      </c>
      <c r="Q212" s="50" t="s">
        <v>195</v>
      </c>
      <c r="R212" s="50">
        <v>0</v>
      </c>
      <c r="S212" s="50">
        <v>0</v>
      </c>
      <c r="U212" s="50">
        <v>495787</v>
      </c>
      <c r="V212" s="50">
        <v>780</v>
      </c>
      <c r="W212" s="50" t="s">
        <v>11949</v>
      </c>
      <c r="X212" s="50" t="s">
        <v>102</v>
      </c>
      <c r="Y212" s="50" t="s">
        <v>103</v>
      </c>
      <c r="Z212" s="50" t="s">
        <v>104</v>
      </c>
      <c r="AB212" s="50" t="s">
        <v>11950</v>
      </c>
      <c r="AC212" s="50" t="s">
        <v>15679</v>
      </c>
      <c r="AD212" s="50" t="s">
        <v>11952</v>
      </c>
      <c r="AE212" s="50" t="s">
        <v>15679</v>
      </c>
      <c r="AF212" s="50" t="s">
        <v>109</v>
      </c>
      <c r="AG212" s="50" t="s">
        <v>102</v>
      </c>
      <c r="AH212" s="50" t="s">
        <v>109</v>
      </c>
      <c r="AI212" s="50" t="s">
        <v>102</v>
      </c>
      <c r="AJ212" s="50" t="s">
        <v>15680</v>
      </c>
      <c r="AK212" s="50" t="s">
        <v>11954</v>
      </c>
      <c r="AL212" s="50" t="s">
        <v>11954</v>
      </c>
      <c r="AM212" s="50" t="s">
        <v>15681</v>
      </c>
      <c r="AN212" s="50" t="s">
        <v>15682</v>
      </c>
      <c r="AO212" s="50" t="s">
        <v>15683</v>
      </c>
      <c r="AP212" s="50" t="s">
        <v>12372</v>
      </c>
      <c r="AQ212" s="50" t="s">
        <v>12372</v>
      </c>
      <c r="AV212" s="50" t="s">
        <v>207</v>
      </c>
      <c r="AW212" s="50" t="s">
        <v>118</v>
      </c>
      <c r="AX212" s="50" t="s">
        <v>102</v>
      </c>
      <c r="AY212" s="50" t="s">
        <v>119</v>
      </c>
      <c r="BB212" s="50" t="s">
        <v>250</v>
      </c>
      <c r="BC212" s="50" t="s">
        <v>120</v>
      </c>
      <c r="BD212" s="50" t="s">
        <v>5622</v>
      </c>
      <c r="BE212" s="50" t="s">
        <v>211</v>
      </c>
      <c r="BF212" s="50" t="s">
        <v>212</v>
      </c>
      <c r="BG212" s="50" t="s">
        <v>213</v>
      </c>
      <c r="BH212" s="50" t="s">
        <v>124</v>
      </c>
      <c r="BI212" s="50" t="s">
        <v>11959</v>
      </c>
      <c r="BJ212" s="50" t="s">
        <v>11960</v>
      </c>
      <c r="BK212" s="50" t="s">
        <v>127</v>
      </c>
      <c r="BL212" s="50" t="s">
        <v>15684</v>
      </c>
      <c r="BM212" s="50" t="s">
        <v>5624</v>
      </c>
      <c r="BN212" s="50" t="s">
        <v>15685</v>
      </c>
      <c r="BO212" s="50" t="s">
        <v>11948</v>
      </c>
      <c r="BP212" s="50" t="s">
        <v>1880</v>
      </c>
      <c r="BQ212" s="50" t="s">
        <v>7992</v>
      </c>
      <c r="BR212" s="50" t="s">
        <v>1882</v>
      </c>
      <c r="BS212" s="50" t="s">
        <v>1883</v>
      </c>
      <c r="BT212" s="50" t="s">
        <v>222</v>
      </c>
      <c r="BV212" s="50" t="s">
        <v>15686</v>
      </c>
      <c r="BW212" s="50" t="s">
        <v>224</v>
      </c>
      <c r="BX212" s="50" t="s">
        <v>138</v>
      </c>
      <c r="BY212" s="50" t="s">
        <v>225</v>
      </c>
      <c r="BZ212" s="50" t="s">
        <v>226</v>
      </c>
      <c r="CA212" s="50" t="s">
        <v>5627</v>
      </c>
      <c r="CB212" s="50" t="s">
        <v>15687</v>
      </c>
      <c r="CC212" s="50" t="s">
        <v>15688</v>
      </c>
      <c r="CD212" s="50" t="s">
        <v>15689</v>
      </c>
      <c r="CE212" s="50" t="s">
        <v>15690</v>
      </c>
      <c r="CF212" s="50" t="s">
        <v>225</v>
      </c>
      <c r="CG212" s="50" t="s">
        <v>15689</v>
      </c>
      <c r="CH212" s="50" t="s">
        <v>102</v>
      </c>
      <c r="CI212" s="50" t="s">
        <v>5628</v>
      </c>
      <c r="CK212" s="50" t="s">
        <v>5629</v>
      </c>
      <c r="CM212" s="50" t="s">
        <v>5622</v>
      </c>
      <c r="CN212" s="50" t="s">
        <v>211</v>
      </c>
      <c r="CO212" s="50" t="s">
        <v>5629</v>
      </c>
      <c r="CP212" s="50" t="s">
        <v>230</v>
      </c>
      <c r="CQ212" s="50" t="s">
        <v>5628</v>
      </c>
      <c r="CR212" s="50" t="s">
        <v>5628</v>
      </c>
    </row>
    <row r="213" spans="1:97" hidden="1">
      <c r="A213" s="50" t="s">
        <v>149</v>
      </c>
      <c r="B213" s="50">
        <v>1315210</v>
      </c>
      <c r="C213" s="50" t="e">
        <f>VLOOKUP(B213,'Drop schools 2026'!B:C,2,0)</f>
        <v>#N/A</v>
      </c>
      <c r="D213" s="50" t="s">
        <v>212</v>
      </c>
      <c r="E213" s="50" t="s">
        <v>11947</v>
      </c>
      <c r="F213" s="50" t="s">
        <v>766</v>
      </c>
      <c r="G213" s="50" t="str">
        <f>VLOOKUP(B213,aa!B:F,5,0)</f>
        <v>Ei ASSET,Ei Mindspark</v>
      </c>
      <c r="H213" s="50">
        <f>VLOOKUP(B213,aa!B:J,9,0)</f>
        <v>0</v>
      </c>
      <c r="I213" s="50">
        <f>VLOOKUP(B213,aa!B:L,11,0)</f>
        <v>0</v>
      </c>
      <c r="J213" s="50">
        <f>VLOOKUP(B213,aa!B:O,14,0)</f>
        <v>0</v>
      </c>
      <c r="K213" s="50">
        <f>VLOOKUP(B213,aa!B:R,17,0)</f>
        <v>0</v>
      </c>
      <c r="L213" s="50" t="s">
        <v>193</v>
      </c>
      <c r="M213" s="50">
        <v>734542</v>
      </c>
      <c r="N213" s="50">
        <v>823326</v>
      </c>
      <c r="O213" s="50">
        <v>241297</v>
      </c>
      <c r="P213" s="50">
        <v>776</v>
      </c>
      <c r="Q213" s="50" t="s">
        <v>195</v>
      </c>
      <c r="R213" s="50">
        <v>0</v>
      </c>
      <c r="S213" s="50">
        <v>0</v>
      </c>
      <c r="U213" s="50">
        <v>493245</v>
      </c>
      <c r="V213" s="50">
        <v>776</v>
      </c>
      <c r="W213" s="50" t="s">
        <v>11949</v>
      </c>
      <c r="X213" s="50" t="s">
        <v>102</v>
      </c>
      <c r="Y213" s="50" t="s">
        <v>103</v>
      </c>
      <c r="Z213" s="50" t="s">
        <v>104</v>
      </c>
      <c r="AB213" s="50" t="s">
        <v>11950</v>
      </c>
      <c r="AC213" s="50" t="s">
        <v>12354</v>
      </c>
      <c r="AD213" s="50" t="s">
        <v>11952</v>
      </c>
      <c r="AE213" s="50" t="s">
        <v>12354</v>
      </c>
      <c r="AF213" s="50" t="s">
        <v>109</v>
      </c>
      <c r="AG213" s="50" t="s">
        <v>102</v>
      </c>
      <c r="AH213" s="50" t="s">
        <v>109</v>
      </c>
      <c r="AI213" s="50" t="s">
        <v>102</v>
      </c>
      <c r="AJ213" s="50" t="s">
        <v>12355</v>
      </c>
      <c r="AK213" s="50" t="s">
        <v>11954</v>
      </c>
      <c r="AL213" s="50" t="s">
        <v>11954</v>
      </c>
      <c r="AM213" s="50" t="s">
        <v>12356</v>
      </c>
      <c r="AN213" s="50" t="s">
        <v>12357</v>
      </c>
      <c r="AO213" s="50" t="s">
        <v>12358</v>
      </c>
      <c r="AP213" s="50" t="s">
        <v>11958</v>
      </c>
      <c r="AQ213" s="50" t="s">
        <v>11958</v>
      </c>
      <c r="AV213" s="50" t="s">
        <v>207</v>
      </c>
      <c r="AW213" s="50" t="s">
        <v>118</v>
      </c>
      <c r="AX213" s="50" t="s">
        <v>102</v>
      </c>
      <c r="AY213" s="50" t="s">
        <v>119</v>
      </c>
      <c r="BB213" s="50" t="s">
        <v>250</v>
      </c>
      <c r="BC213" s="50" t="s">
        <v>120</v>
      </c>
      <c r="BD213" s="50" t="s">
        <v>758</v>
      </c>
      <c r="BE213" s="50" t="s">
        <v>211</v>
      </c>
      <c r="BF213" s="50" t="s">
        <v>212</v>
      </c>
      <c r="BG213" s="50" t="s">
        <v>213</v>
      </c>
      <c r="BH213" s="50" t="s">
        <v>124</v>
      </c>
      <c r="BI213" s="50" t="s">
        <v>11959</v>
      </c>
      <c r="BJ213" s="50" t="s">
        <v>11960</v>
      </c>
      <c r="BK213" s="50" t="s">
        <v>127</v>
      </c>
      <c r="BL213" s="50" t="s">
        <v>12359</v>
      </c>
      <c r="BM213" s="50" t="s">
        <v>774</v>
      </c>
      <c r="BN213" s="50" t="s">
        <v>12360</v>
      </c>
      <c r="BO213" s="50" t="s">
        <v>11948</v>
      </c>
      <c r="BP213" s="50" t="s">
        <v>1880</v>
      </c>
      <c r="BQ213" s="50" t="s">
        <v>7992</v>
      </c>
      <c r="BR213" s="50" t="s">
        <v>1882</v>
      </c>
      <c r="BS213" s="50" t="s">
        <v>1883</v>
      </c>
      <c r="BT213" s="50" t="s">
        <v>222</v>
      </c>
      <c r="BV213" s="50" t="s">
        <v>12361</v>
      </c>
      <c r="BW213" s="50" t="s">
        <v>224</v>
      </c>
      <c r="BX213" s="50" t="s">
        <v>138</v>
      </c>
      <c r="BY213" s="50" t="s">
        <v>225</v>
      </c>
      <c r="BZ213" s="50" t="s">
        <v>226</v>
      </c>
      <c r="CA213" s="50" t="s">
        <v>777</v>
      </c>
      <c r="CB213" s="50" t="s">
        <v>12362</v>
      </c>
      <c r="CC213" s="50" t="s">
        <v>12363</v>
      </c>
      <c r="CD213" s="50" t="s">
        <v>12364</v>
      </c>
      <c r="CE213" s="50" t="s">
        <v>12365</v>
      </c>
      <c r="CF213" s="50" t="s">
        <v>12363</v>
      </c>
      <c r="CG213" s="50" t="s">
        <v>12366</v>
      </c>
      <c r="CH213" s="50" t="s">
        <v>102</v>
      </c>
      <c r="CI213" s="50" t="s">
        <v>778</v>
      </c>
      <c r="CK213" s="50" t="s">
        <v>779</v>
      </c>
      <c r="CM213" s="50" t="s">
        <v>758</v>
      </c>
      <c r="CN213" s="50" t="s">
        <v>211</v>
      </c>
      <c r="CO213" s="50" t="s">
        <v>779</v>
      </c>
      <c r="CP213" s="50" t="s">
        <v>230</v>
      </c>
      <c r="CQ213" s="50" t="s">
        <v>778</v>
      </c>
      <c r="CR213" s="50" t="s">
        <v>780</v>
      </c>
    </row>
    <row r="214" spans="1:97" hidden="1">
      <c r="A214" s="50" t="s">
        <v>337</v>
      </c>
      <c r="B214" s="50">
        <v>5017813</v>
      </c>
      <c r="C214" s="50" t="e">
        <f>VLOOKUP(B214,'Drop schools 2026'!B:C,2,0)</f>
        <v>#N/A</v>
      </c>
      <c r="D214" s="50" t="s">
        <v>212</v>
      </c>
      <c r="E214" s="50" t="s">
        <v>11947</v>
      </c>
      <c r="F214" s="50" t="s">
        <v>19185</v>
      </c>
      <c r="G214" s="50" t="e">
        <f>VLOOKUP(B214,aa!B:F,5,0)</f>
        <v>#N/A</v>
      </c>
      <c r="H214" s="50" t="e">
        <f>VLOOKUP(B214,aa!B:J,9,0)</f>
        <v>#N/A</v>
      </c>
      <c r="I214" s="50" t="e">
        <f>VLOOKUP(B214,aa!B:L,11,0)</f>
        <v>#N/A</v>
      </c>
      <c r="J214" s="50" t="e">
        <f>VLOOKUP(B214,aa!B:O,14,0)</f>
        <v>#N/A</v>
      </c>
      <c r="K214" s="50" t="e">
        <f>VLOOKUP(B214,aa!B:R,17,0)</f>
        <v>#N/A</v>
      </c>
      <c r="L214" s="50" t="s">
        <v>2044</v>
      </c>
      <c r="M214" s="50">
        <v>732042</v>
      </c>
      <c r="N214" s="50">
        <v>732042</v>
      </c>
      <c r="O214" s="50">
        <v>267820</v>
      </c>
      <c r="P214" s="50">
        <v>305</v>
      </c>
      <c r="Q214" s="50" t="s">
        <v>19186</v>
      </c>
      <c r="R214" s="50">
        <v>464222</v>
      </c>
      <c r="S214" s="50">
        <v>305</v>
      </c>
      <c r="T214" s="50" t="s">
        <v>19187</v>
      </c>
      <c r="U214" s="50">
        <v>0</v>
      </c>
      <c r="V214" s="50">
        <v>0</v>
      </c>
      <c r="X214" s="50" t="s">
        <v>102</v>
      </c>
      <c r="Y214" s="50" t="s">
        <v>103</v>
      </c>
      <c r="Z214" s="50" t="s">
        <v>155</v>
      </c>
      <c r="AB214" s="50" t="s">
        <v>2080</v>
      </c>
      <c r="AC214" s="50" t="s">
        <v>19188</v>
      </c>
      <c r="AD214" s="50" t="s">
        <v>11948</v>
      </c>
      <c r="AE214" s="50" t="s">
        <v>19189</v>
      </c>
      <c r="AF214" s="50" t="s">
        <v>15295</v>
      </c>
      <c r="AG214" s="50" t="s">
        <v>19190</v>
      </c>
      <c r="AH214" s="50" t="s">
        <v>11886</v>
      </c>
      <c r="AI214" s="50" t="s">
        <v>19190</v>
      </c>
      <c r="AJ214" s="50" t="s">
        <v>102</v>
      </c>
      <c r="AK214" s="50" t="s">
        <v>14689</v>
      </c>
      <c r="AL214" s="50" t="s">
        <v>16553</v>
      </c>
      <c r="AM214" s="50" t="s">
        <v>19191</v>
      </c>
      <c r="AN214" s="50" t="s">
        <v>19192</v>
      </c>
      <c r="AO214" s="50" t="s">
        <v>19193</v>
      </c>
      <c r="AP214" s="50" t="s">
        <v>19194</v>
      </c>
      <c r="AQ214" s="50" t="s">
        <v>19195</v>
      </c>
      <c r="AT214" s="50" t="s">
        <v>169</v>
      </c>
      <c r="AV214" s="50" t="s">
        <v>318</v>
      </c>
      <c r="AW214" s="50" t="s">
        <v>250</v>
      </c>
      <c r="AX214" s="50" t="s">
        <v>155</v>
      </c>
      <c r="AY214" s="50" t="s">
        <v>447</v>
      </c>
      <c r="AZ214" s="50" t="s">
        <v>1138</v>
      </c>
      <c r="BA214" s="50" t="s">
        <v>118</v>
      </c>
      <c r="BC214" s="50" t="s">
        <v>120</v>
      </c>
      <c r="BD214" s="50" t="s">
        <v>920</v>
      </c>
      <c r="BE214" s="50" t="s">
        <v>211</v>
      </c>
      <c r="BF214" s="50" t="s">
        <v>212</v>
      </c>
      <c r="BG214" s="50" t="s">
        <v>213</v>
      </c>
      <c r="BH214" s="50" t="s">
        <v>124</v>
      </c>
      <c r="BI214" s="50" t="s">
        <v>12128</v>
      </c>
      <c r="BJ214" s="50" t="s">
        <v>12435</v>
      </c>
      <c r="BK214" s="50" t="s">
        <v>127</v>
      </c>
      <c r="BL214" s="50" t="s">
        <v>19196</v>
      </c>
      <c r="BM214" s="50" t="s">
        <v>19197</v>
      </c>
      <c r="BN214" s="50" t="s">
        <v>19198</v>
      </c>
      <c r="BO214" s="50" t="s">
        <v>2080</v>
      </c>
      <c r="BP214" s="50" t="s">
        <v>1309</v>
      </c>
      <c r="BQ214" s="50" t="s">
        <v>180</v>
      </c>
      <c r="BR214" s="50" t="s">
        <v>1310</v>
      </c>
      <c r="BS214" s="50" t="s">
        <v>1311</v>
      </c>
      <c r="BT214" s="50" t="s">
        <v>2463</v>
      </c>
      <c r="BV214" s="50" t="s">
        <v>19199</v>
      </c>
      <c r="BW214" s="50" t="s">
        <v>19200</v>
      </c>
      <c r="BX214" s="50" t="s">
        <v>598</v>
      </c>
      <c r="BY214" s="50" t="s">
        <v>19201</v>
      </c>
      <c r="BZ214" s="50" t="s">
        <v>19202</v>
      </c>
      <c r="CA214" s="50" t="s">
        <v>19203</v>
      </c>
      <c r="CB214" s="50" t="s">
        <v>19204</v>
      </c>
      <c r="CC214" s="50" t="s">
        <v>19205</v>
      </c>
      <c r="CD214" s="50" t="s">
        <v>19206</v>
      </c>
      <c r="CE214" s="50" t="s">
        <v>19204</v>
      </c>
      <c r="CF214" s="50" t="s">
        <v>19205</v>
      </c>
      <c r="CG214" s="50" t="s">
        <v>19206</v>
      </c>
      <c r="CH214" s="50" t="s">
        <v>18990</v>
      </c>
      <c r="CI214" s="50" t="s">
        <v>19207</v>
      </c>
      <c r="CK214" s="50" t="s">
        <v>2473</v>
      </c>
      <c r="CL214" s="50" t="s">
        <v>19207</v>
      </c>
      <c r="CM214" s="50" t="s">
        <v>920</v>
      </c>
      <c r="CN214" s="50" t="s">
        <v>211</v>
      </c>
      <c r="CO214" s="50" t="s">
        <v>2473</v>
      </c>
      <c r="CP214" s="50" t="s">
        <v>102</v>
      </c>
      <c r="CQ214" s="50" t="s">
        <v>19207</v>
      </c>
      <c r="CR214" s="50" t="s">
        <v>19207</v>
      </c>
      <c r="CS214" s="50" t="s">
        <v>26040</v>
      </c>
    </row>
    <row r="215" spans="1:97" hidden="1">
      <c r="A215" s="50" t="s">
        <v>495</v>
      </c>
      <c r="B215" s="50">
        <v>41269</v>
      </c>
      <c r="C215" s="50" t="e">
        <f>VLOOKUP(B215,'Drop schools 2026'!B:C,2,0)</f>
        <v>#N/A</v>
      </c>
      <c r="D215" s="50" t="s">
        <v>622</v>
      </c>
      <c r="E215" s="50" t="s">
        <v>2525</v>
      </c>
      <c r="F215" s="50" t="s">
        <v>8719</v>
      </c>
      <c r="G215" s="50" t="str">
        <f>VLOOKUP(B215,aa!B:F,5,0)</f>
        <v>Ei CARES</v>
      </c>
      <c r="H215" s="50">
        <f>VLOOKUP(B215,aa!B:J,9,0)</f>
        <v>797756</v>
      </c>
      <c r="I215" s="50">
        <f>VLOOKUP(B215,aa!B:L,11,0)</f>
        <v>0</v>
      </c>
      <c r="J215" s="50">
        <f>VLOOKUP(B215,aa!B:O,14,0)</f>
        <v>797756</v>
      </c>
      <c r="K215" s="50">
        <f>VLOOKUP(B215,aa!B:R,17,0)</f>
        <v>0</v>
      </c>
      <c r="L215" s="50" t="s">
        <v>152</v>
      </c>
      <c r="M215" s="50">
        <v>731094</v>
      </c>
      <c r="N215" s="50">
        <v>731094</v>
      </c>
      <c r="O215" s="50">
        <v>0</v>
      </c>
      <c r="P215" s="50">
        <v>0</v>
      </c>
      <c r="R215" s="50">
        <v>731094</v>
      </c>
      <c r="S215" s="50">
        <v>975</v>
      </c>
      <c r="T215" s="50" t="s">
        <v>101</v>
      </c>
      <c r="U215" s="50">
        <v>0</v>
      </c>
      <c r="V215" s="50">
        <v>0</v>
      </c>
      <c r="X215" s="50" t="s">
        <v>102</v>
      </c>
      <c r="Y215" s="50" t="s">
        <v>103</v>
      </c>
      <c r="Z215" s="50" t="s">
        <v>104</v>
      </c>
      <c r="AB215" s="50" t="s">
        <v>8708</v>
      </c>
      <c r="AC215" s="50" t="s">
        <v>18136</v>
      </c>
      <c r="AD215" s="50" t="s">
        <v>12327</v>
      </c>
      <c r="AE215" s="50" t="s">
        <v>18136</v>
      </c>
      <c r="AF215" s="50" t="s">
        <v>109</v>
      </c>
      <c r="AG215" s="50" t="s">
        <v>102</v>
      </c>
      <c r="AH215" s="50" t="s">
        <v>109</v>
      </c>
      <c r="AI215" s="50" t="s">
        <v>102</v>
      </c>
      <c r="AJ215" s="50" t="s">
        <v>18137</v>
      </c>
      <c r="AK215" s="50" t="s">
        <v>10030</v>
      </c>
      <c r="AL215" s="50" t="s">
        <v>11911</v>
      </c>
      <c r="AM215" s="50" t="s">
        <v>18138</v>
      </c>
      <c r="AN215" s="50" t="s">
        <v>18139</v>
      </c>
      <c r="AO215" s="50" t="s">
        <v>18140</v>
      </c>
      <c r="AP215" s="50" t="s">
        <v>18141</v>
      </c>
      <c r="AQ215" s="50" t="s">
        <v>18142</v>
      </c>
      <c r="AU215" s="50" t="s">
        <v>169</v>
      </c>
      <c r="AV215" s="50" t="s">
        <v>102</v>
      </c>
      <c r="AX215" s="50" t="s">
        <v>155</v>
      </c>
      <c r="AY215" s="50" t="s">
        <v>119</v>
      </c>
      <c r="AZ215" s="50" t="s">
        <v>170</v>
      </c>
      <c r="BA215" s="50" t="s">
        <v>118</v>
      </c>
      <c r="BC215" s="50" t="s">
        <v>120</v>
      </c>
      <c r="BD215" s="50" t="s">
        <v>729</v>
      </c>
      <c r="BE215" s="50" t="s">
        <v>730</v>
      </c>
      <c r="BF215" s="50" t="s">
        <v>622</v>
      </c>
      <c r="BG215" s="50" t="s">
        <v>730</v>
      </c>
      <c r="BH215" s="50" t="s">
        <v>124</v>
      </c>
      <c r="BI215" s="50" t="s">
        <v>12023</v>
      </c>
      <c r="BJ215" s="50" t="s">
        <v>11889</v>
      </c>
      <c r="BK215" s="50" t="s">
        <v>127</v>
      </c>
      <c r="BL215" s="50" t="s">
        <v>18143</v>
      </c>
      <c r="BM215" s="50" t="s">
        <v>8729</v>
      </c>
      <c r="BN215" s="50" t="s">
        <v>18144</v>
      </c>
      <c r="BO215" s="50" t="s">
        <v>16483</v>
      </c>
      <c r="BP215" s="50" t="s">
        <v>734</v>
      </c>
      <c r="BQ215" s="50" t="s">
        <v>350</v>
      </c>
      <c r="BR215" s="50" t="s">
        <v>735</v>
      </c>
      <c r="BS215" s="50" t="s">
        <v>736</v>
      </c>
      <c r="BT215" s="50" t="s">
        <v>737</v>
      </c>
      <c r="BV215" s="50" t="s">
        <v>18145</v>
      </c>
      <c r="BW215" s="50" t="s">
        <v>18146</v>
      </c>
      <c r="BX215" s="50" t="s">
        <v>138</v>
      </c>
      <c r="BY215" s="50" t="s">
        <v>8733</v>
      </c>
      <c r="BZ215" s="50" t="s">
        <v>8734</v>
      </c>
      <c r="CA215" s="50" t="s">
        <v>8735</v>
      </c>
      <c r="CB215" s="50" t="s">
        <v>8732</v>
      </c>
      <c r="CC215" s="50" t="s">
        <v>8733</v>
      </c>
      <c r="CD215" s="50" t="s">
        <v>8734</v>
      </c>
      <c r="CE215" s="50" t="s">
        <v>8732</v>
      </c>
      <c r="CF215" s="50" t="s">
        <v>8733</v>
      </c>
      <c r="CG215" s="50" t="s">
        <v>8734</v>
      </c>
      <c r="CH215" s="50" t="s">
        <v>3841</v>
      </c>
      <c r="CI215" s="50" t="s">
        <v>18147</v>
      </c>
      <c r="CK215" s="50" t="s">
        <v>8740</v>
      </c>
      <c r="CL215" s="50" t="s">
        <v>18148</v>
      </c>
      <c r="CM215" s="50" t="s">
        <v>729</v>
      </c>
      <c r="CN215" s="50" t="s">
        <v>2273</v>
      </c>
      <c r="CO215" s="50" t="s">
        <v>8740</v>
      </c>
      <c r="CP215" s="50" t="s">
        <v>8741</v>
      </c>
      <c r="CQ215" s="50" t="s">
        <v>8739</v>
      </c>
      <c r="CR215" s="50" t="s">
        <v>8739</v>
      </c>
    </row>
    <row r="216" spans="1:97" hidden="1">
      <c r="A216" s="50" t="s">
        <v>149</v>
      </c>
      <c r="B216" s="50">
        <v>1823562</v>
      </c>
      <c r="C216" s="50" t="e">
        <f>VLOOKUP(B216,'Drop schools 2026'!B:C,2,0)</f>
        <v>#N/A</v>
      </c>
      <c r="D216" s="50" t="s">
        <v>122</v>
      </c>
      <c r="E216" s="50" t="s">
        <v>12507</v>
      </c>
      <c r="F216" s="50" t="s">
        <v>2004</v>
      </c>
      <c r="G216" s="50" t="str">
        <f>VLOOKUP(B216,aa!B:F,5,0)</f>
        <v>Ei Mindspark</v>
      </c>
      <c r="H216" s="50">
        <f>VLOOKUP(B216,aa!B:J,9,0)</f>
        <v>764644</v>
      </c>
      <c r="I216" s="50">
        <f>VLOOKUP(B216,aa!B:L,11,0)</f>
        <v>0</v>
      </c>
      <c r="J216" s="50">
        <f>VLOOKUP(B216,aa!B:O,14,0)</f>
        <v>0</v>
      </c>
      <c r="K216" s="50">
        <f>VLOOKUP(B216,aa!B:R,17,0)</f>
        <v>764644</v>
      </c>
      <c r="L216" s="50" t="s">
        <v>848</v>
      </c>
      <c r="M216" s="50">
        <v>729040</v>
      </c>
      <c r="N216" s="50">
        <v>860267</v>
      </c>
      <c r="O216" s="50">
        <v>0</v>
      </c>
      <c r="P216" s="50">
        <v>0</v>
      </c>
      <c r="R216" s="50">
        <v>0</v>
      </c>
      <c r="S216" s="50">
        <v>0</v>
      </c>
      <c r="U216" s="50">
        <v>729040</v>
      </c>
      <c r="V216" s="50">
        <v>430</v>
      </c>
      <c r="W216" s="50" t="s">
        <v>2007</v>
      </c>
      <c r="X216" s="50" t="s">
        <v>102</v>
      </c>
      <c r="Y216" s="50" t="s">
        <v>103</v>
      </c>
      <c r="Z216" s="50" t="s">
        <v>155</v>
      </c>
      <c r="AB216" s="50" t="s">
        <v>411</v>
      </c>
      <c r="AC216" s="50" t="s">
        <v>12998</v>
      </c>
      <c r="AD216" s="50" t="s">
        <v>12480</v>
      </c>
      <c r="AE216" s="50" t="s">
        <v>12998</v>
      </c>
      <c r="AF216" s="50" t="s">
        <v>12041</v>
      </c>
      <c r="AG216" s="50" t="s">
        <v>12998</v>
      </c>
      <c r="AH216" s="50" t="s">
        <v>6895</v>
      </c>
      <c r="AI216" s="50" t="s">
        <v>12998</v>
      </c>
      <c r="AJ216" s="50" t="s">
        <v>12999</v>
      </c>
      <c r="AK216" s="50" t="s">
        <v>12041</v>
      </c>
      <c r="AL216" s="50" t="s">
        <v>13000</v>
      </c>
      <c r="AM216" s="50" t="s">
        <v>13001</v>
      </c>
      <c r="AN216" s="50" t="s">
        <v>13002</v>
      </c>
      <c r="AO216" s="50" t="s">
        <v>13003</v>
      </c>
      <c r="AP216" s="50" t="s">
        <v>13004</v>
      </c>
      <c r="AQ216" s="50" t="s">
        <v>13005</v>
      </c>
      <c r="AU216" s="50" t="s">
        <v>169</v>
      </c>
      <c r="AV216" s="50" t="s">
        <v>102</v>
      </c>
      <c r="AX216" s="50" t="s">
        <v>102</v>
      </c>
      <c r="AY216" s="50" t="s">
        <v>119</v>
      </c>
      <c r="BB216" s="50" t="s">
        <v>250</v>
      </c>
      <c r="BC216" s="50" t="s">
        <v>120</v>
      </c>
      <c r="BD216" s="50" t="s">
        <v>2022</v>
      </c>
      <c r="BE216" s="50" t="s">
        <v>1244</v>
      </c>
      <c r="BF216" s="50" t="s">
        <v>122</v>
      </c>
      <c r="BG216" s="50" t="s">
        <v>1244</v>
      </c>
      <c r="BH216" s="50" t="s">
        <v>124</v>
      </c>
      <c r="BI216" s="50" t="s">
        <v>12023</v>
      </c>
      <c r="BJ216" s="50" t="s">
        <v>11889</v>
      </c>
      <c r="BK216" s="50" t="s">
        <v>127</v>
      </c>
      <c r="BL216" s="50" t="s">
        <v>13006</v>
      </c>
      <c r="BM216" s="50" t="s">
        <v>2025</v>
      </c>
      <c r="BN216" s="50" t="s">
        <v>13007</v>
      </c>
      <c r="BO216" s="50" t="s">
        <v>1850</v>
      </c>
      <c r="BP216" s="50" t="s">
        <v>12743</v>
      </c>
      <c r="BQ216" s="50" t="s">
        <v>350</v>
      </c>
      <c r="BR216" s="50" t="s">
        <v>12744</v>
      </c>
      <c r="BS216" s="50" t="s">
        <v>12745</v>
      </c>
      <c r="BT216" s="50" t="s">
        <v>1075</v>
      </c>
      <c r="BV216" s="50" t="s">
        <v>13008</v>
      </c>
      <c r="BW216" s="50" t="s">
        <v>13009</v>
      </c>
      <c r="BX216" s="50" t="s">
        <v>569</v>
      </c>
      <c r="BY216" s="50" t="s">
        <v>13010</v>
      </c>
      <c r="BZ216" s="50" t="s">
        <v>2038</v>
      </c>
      <c r="CA216" s="50" t="s">
        <v>2035</v>
      </c>
      <c r="CB216" s="50" t="s">
        <v>13011</v>
      </c>
      <c r="CC216" s="50" t="s">
        <v>2037</v>
      </c>
      <c r="CD216" s="50" t="s">
        <v>13012</v>
      </c>
      <c r="CE216" s="50" t="s">
        <v>13013</v>
      </c>
      <c r="CF216" s="50" t="s">
        <v>13014</v>
      </c>
      <c r="CG216" s="50" t="s">
        <v>2038</v>
      </c>
      <c r="CH216" s="50" t="s">
        <v>102</v>
      </c>
      <c r="CI216" s="50" t="s">
        <v>2039</v>
      </c>
      <c r="CK216" s="50" t="s">
        <v>2040</v>
      </c>
      <c r="CM216" s="50" t="s">
        <v>2022</v>
      </c>
      <c r="CN216" s="50" t="s">
        <v>1244</v>
      </c>
      <c r="CO216" s="50" t="s">
        <v>2040</v>
      </c>
      <c r="CP216" s="50" t="s">
        <v>2041</v>
      </c>
      <c r="CQ216" s="50" t="s">
        <v>2039</v>
      </c>
      <c r="CR216" s="50" t="s">
        <v>2039</v>
      </c>
    </row>
    <row r="217" spans="1:97" hidden="1">
      <c r="A217" s="50" t="s">
        <v>149</v>
      </c>
      <c r="B217" s="50">
        <v>1616619</v>
      </c>
      <c r="C217" s="50" t="str">
        <f>VLOOKUP(B217,'Drop schools 2026'!B:C,2,0)</f>
        <v>Drop</v>
      </c>
      <c r="D217" s="50" t="s">
        <v>212</v>
      </c>
      <c r="E217" s="50" t="s">
        <v>418</v>
      </c>
      <c r="F217" s="50" t="s">
        <v>1373</v>
      </c>
      <c r="G217" s="50" t="e">
        <f>VLOOKUP(B217,aa!B:F,5,0)</f>
        <v>#N/A</v>
      </c>
      <c r="H217" s="50" t="e">
        <f>VLOOKUP(B217,aa!B:J,9,0)</f>
        <v>#N/A</v>
      </c>
      <c r="I217" s="50" t="e">
        <f>VLOOKUP(B217,aa!B:L,11,0)</f>
        <v>#N/A</v>
      </c>
      <c r="J217" s="50" t="e">
        <f>VLOOKUP(B217,aa!B:O,14,0)</f>
        <v>#N/A</v>
      </c>
      <c r="K217" s="50" t="e">
        <f>VLOOKUP(B217,aa!B:R,17,0)</f>
        <v>#N/A</v>
      </c>
      <c r="L217" s="50" t="s">
        <v>152</v>
      </c>
      <c r="M217" s="50">
        <v>717402</v>
      </c>
      <c r="N217" s="50">
        <v>717402</v>
      </c>
      <c r="O217" s="50">
        <v>0</v>
      </c>
      <c r="P217" s="50">
        <v>0</v>
      </c>
      <c r="R217" s="50">
        <v>717402</v>
      </c>
      <c r="S217" s="50">
        <v>410</v>
      </c>
      <c r="T217" s="50" t="s">
        <v>1376</v>
      </c>
      <c r="U217" s="50">
        <v>0</v>
      </c>
      <c r="V217" s="50">
        <v>0</v>
      </c>
      <c r="X217" s="50" t="s">
        <v>102</v>
      </c>
      <c r="Y217" s="50" t="s">
        <v>103</v>
      </c>
      <c r="Z217" s="50" t="s">
        <v>155</v>
      </c>
      <c r="AB217" s="50" t="s">
        <v>12541</v>
      </c>
      <c r="AC217" s="50" t="s">
        <v>12693</v>
      </c>
      <c r="AD217" s="50" t="s">
        <v>12289</v>
      </c>
      <c r="AE217" s="50" t="s">
        <v>12693</v>
      </c>
      <c r="AF217" s="50" t="s">
        <v>12084</v>
      </c>
      <c r="AG217" s="50" t="s">
        <v>12693</v>
      </c>
      <c r="AH217" s="50" t="s">
        <v>11886</v>
      </c>
      <c r="AI217" s="50" t="s">
        <v>12693</v>
      </c>
      <c r="AJ217" s="50" t="s">
        <v>12694</v>
      </c>
      <c r="AK217" s="50" t="s">
        <v>12695</v>
      </c>
      <c r="AL217" s="50" t="s">
        <v>12696</v>
      </c>
      <c r="AM217" s="50" t="s">
        <v>12697</v>
      </c>
      <c r="AN217" s="50" t="s">
        <v>12698</v>
      </c>
      <c r="AO217" s="50" t="s">
        <v>12699</v>
      </c>
      <c r="AP217" s="50" t="s">
        <v>1383</v>
      </c>
      <c r="AQ217" s="50" t="s">
        <v>1383</v>
      </c>
      <c r="AV217" s="50" t="s">
        <v>102</v>
      </c>
      <c r="AX217" s="50" t="s">
        <v>1384</v>
      </c>
      <c r="AY217" s="50" t="s">
        <v>119</v>
      </c>
      <c r="BA217" s="50" t="s">
        <v>250</v>
      </c>
      <c r="BC217" s="50" t="s">
        <v>120</v>
      </c>
      <c r="BD217" s="50" t="s">
        <v>1385</v>
      </c>
      <c r="BE217" s="50" t="s">
        <v>410</v>
      </c>
      <c r="BF217" s="50" t="s">
        <v>212</v>
      </c>
      <c r="BG217" s="50" t="s">
        <v>410</v>
      </c>
      <c r="BH217" s="50" t="s">
        <v>124</v>
      </c>
      <c r="BI217" s="50" t="s">
        <v>12128</v>
      </c>
      <c r="BJ217" s="50" t="s">
        <v>11960</v>
      </c>
      <c r="BK217" s="50" t="s">
        <v>127</v>
      </c>
      <c r="BL217" s="50" t="s">
        <v>12700</v>
      </c>
      <c r="BM217" s="50" t="s">
        <v>1387</v>
      </c>
      <c r="BN217" s="50" t="s">
        <v>12701</v>
      </c>
      <c r="BO217" s="50" t="s">
        <v>12692</v>
      </c>
      <c r="BP217" s="50" t="s">
        <v>866</v>
      </c>
      <c r="BQ217" s="50" t="s">
        <v>132</v>
      </c>
      <c r="BR217" s="50" t="s">
        <v>867</v>
      </c>
      <c r="BS217" s="50" t="s">
        <v>868</v>
      </c>
      <c r="BT217" s="50" t="s">
        <v>418</v>
      </c>
      <c r="BV217" s="50" t="s">
        <v>12702</v>
      </c>
      <c r="BW217" s="50" t="s">
        <v>12703</v>
      </c>
      <c r="BY217" s="50" t="s">
        <v>1391</v>
      </c>
      <c r="BZ217" s="50" t="s">
        <v>12704</v>
      </c>
      <c r="CA217" s="50" t="s">
        <v>1391</v>
      </c>
      <c r="CB217" s="50" t="s">
        <v>12705</v>
      </c>
      <c r="CC217" s="50" t="s">
        <v>12706</v>
      </c>
      <c r="CD217" s="50" t="s">
        <v>12707</v>
      </c>
      <c r="CE217" s="50" t="s">
        <v>12708</v>
      </c>
      <c r="CF217" s="50" t="s">
        <v>12709</v>
      </c>
      <c r="CG217" s="50" t="s">
        <v>12710</v>
      </c>
      <c r="CH217" s="50" t="s">
        <v>102</v>
      </c>
      <c r="CI217" s="50" t="s">
        <v>1393</v>
      </c>
      <c r="CK217" s="50" t="s">
        <v>1394</v>
      </c>
      <c r="CL217" s="50" t="s">
        <v>1393</v>
      </c>
      <c r="CM217" s="50" t="s">
        <v>1385</v>
      </c>
      <c r="CN217" s="50" t="s">
        <v>410</v>
      </c>
      <c r="CO217" s="50" t="s">
        <v>1394</v>
      </c>
      <c r="CP217" s="50" t="s">
        <v>1395</v>
      </c>
      <c r="CQ217" s="50" t="s">
        <v>1393</v>
      </c>
      <c r="CR217" s="50" t="s">
        <v>1393</v>
      </c>
      <c r="CS217" s="50" t="s">
        <v>26046</v>
      </c>
    </row>
    <row r="218" spans="1:97" hidden="1">
      <c r="A218" s="50" t="s">
        <v>149</v>
      </c>
      <c r="B218" s="50">
        <v>1873384</v>
      </c>
      <c r="C218" s="50" t="e">
        <f>VLOOKUP(B218,'Drop schools 2026'!B:C,2,0)</f>
        <v>#N/A</v>
      </c>
      <c r="D218" s="50" t="s">
        <v>622</v>
      </c>
      <c r="E218" s="50" t="s">
        <v>985</v>
      </c>
      <c r="F218" s="50" t="s">
        <v>2122</v>
      </c>
      <c r="G218" s="50" t="e">
        <f>VLOOKUP(B218,aa!B:F,5,0)</f>
        <v>#N/A</v>
      </c>
      <c r="H218" s="50" t="e">
        <f>VLOOKUP(B218,aa!B:J,9,0)</f>
        <v>#N/A</v>
      </c>
      <c r="I218" s="50" t="e">
        <f>VLOOKUP(B218,aa!B:L,11,0)</f>
        <v>#N/A</v>
      </c>
      <c r="J218" s="50" t="e">
        <f>VLOOKUP(B218,aa!B:O,14,0)</f>
        <v>#N/A</v>
      </c>
      <c r="K218" s="50" t="e">
        <f>VLOOKUP(B218,aa!B:R,17,0)</f>
        <v>#N/A</v>
      </c>
      <c r="L218" s="50" t="s">
        <v>97</v>
      </c>
      <c r="M218" s="50">
        <v>715065</v>
      </c>
      <c r="N218" s="50">
        <v>715065</v>
      </c>
      <c r="O218" s="50">
        <v>715065</v>
      </c>
      <c r="P218" s="50">
        <v>1300</v>
      </c>
      <c r="Q218" s="50" t="s">
        <v>3431</v>
      </c>
      <c r="R218" s="50">
        <v>0</v>
      </c>
      <c r="S218" s="50">
        <v>0</v>
      </c>
      <c r="U218" s="50">
        <v>0</v>
      </c>
      <c r="V218" s="50">
        <v>0</v>
      </c>
      <c r="X218" s="50" t="s">
        <v>102</v>
      </c>
      <c r="Y218" s="50" t="s">
        <v>275</v>
      </c>
      <c r="AA218" s="50" t="s">
        <v>559</v>
      </c>
      <c r="AB218" s="50" t="s">
        <v>109</v>
      </c>
      <c r="AC218" s="50" t="s">
        <v>102</v>
      </c>
      <c r="AD218" s="50" t="s">
        <v>109</v>
      </c>
      <c r="AE218" s="50" t="s">
        <v>102</v>
      </c>
      <c r="AF218" s="50" t="s">
        <v>109</v>
      </c>
      <c r="AG218" s="50" t="s">
        <v>102</v>
      </c>
      <c r="AH218" s="50" t="s">
        <v>109</v>
      </c>
      <c r="AI218" s="50" t="s">
        <v>102</v>
      </c>
      <c r="AJ218" s="50" t="s">
        <v>102</v>
      </c>
      <c r="AK218" s="50" t="s">
        <v>12887</v>
      </c>
      <c r="AL218" s="50" t="s">
        <v>13075</v>
      </c>
      <c r="AM218" s="50" t="s">
        <v>13076</v>
      </c>
      <c r="AN218" s="50" t="s">
        <v>13077</v>
      </c>
      <c r="AO218" s="50" t="s">
        <v>13078</v>
      </c>
      <c r="AP218" s="50" t="s">
        <v>3438</v>
      </c>
      <c r="AQ218" s="50" t="s">
        <v>3438</v>
      </c>
      <c r="AV218" s="50" t="s">
        <v>318</v>
      </c>
      <c r="AW218" s="50" t="s">
        <v>118</v>
      </c>
      <c r="AX218" s="50" t="s">
        <v>102</v>
      </c>
      <c r="AY218" s="50" t="s">
        <v>119</v>
      </c>
      <c r="BC218" s="50" t="s">
        <v>120</v>
      </c>
      <c r="BD218" s="50" t="s">
        <v>2127</v>
      </c>
      <c r="BE218" s="50" t="s">
        <v>621</v>
      </c>
      <c r="BF218" s="50" t="s">
        <v>622</v>
      </c>
      <c r="BG218" s="50" t="s">
        <v>976</v>
      </c>
      <c r="BH218" s="50" t="s">
        <v>124</v>
      </c>
      <c r="BI218" s="50" t="s">
        <v>12023</v>
      </c>
      <c r="BJ218" s="50" t="s">
        <v>11889</v>
      </c>
      <c r="BK218" s="50" t="s">
        <v>127</v>
      </c>
      <c r="BL218" s="50" t="s">
        <v>13079</v>
      </c>
      <c r="BM218" s="50" t="s">
        <v>2129</v>
      </c>
      <c r="BN218" s="50" t="s">
        <v>13080</v>
      </c>
      <c r="BO218" s="50" t="s">
        <v>3485</v>
      </c>
      <c r="BP218" s="50" t="s">
        <v>981</v>
      </c>
      <c r="BQ218" s="50" t="s">
        <v>132</v>
      </c>
      <c r="BR218" s="50" t="s">
        <v>982</v>
      </c>
      <c r="BS218" s="50" t="s">
        <v>983</v>
      </c>
      <c r="BT218" s="50" t="s">
        <v>984</v>
      </c>
      <c r="BV218" s="50" t="s">
        <v>13081</v>
      </c>
      <c r="BW218" s="50" t="s">
        <v>13082</v>
      </c>
      <c r="BY218" s="50" t="s">
        <v>13083</v>
      </c>
      <c r="BZ218" s="50" t="s">
        <v>13084</v>
      </c>
      <c r="CA218" s="50" t="s">
        <v>2135</v>
      </c>
      <c r="CB218" s="50" t="s">
        <v>13085</v>
      </c>
      <c r="CC218" s="50" t="s">
        <v>2133</v>
      </c>
      <c r="CD218" s="50" t="s">
        <v>13084</v>
      </c>
      <c r="CE218" s="50" t="s">
        <v>13086</v>
      </c>
      <c r="CF218" s="50" t="s">
        <v>13087</v>
      </c>
      <c r="CG218" s="50" t="s">
        <v>13088</v>
      </c>
      <c r="CH218" s="50" t="s">
        <v>102</v>
      </c>
      <c r="CI218" s="50" t="s">
        <v>13089</v>
      </c>
      <c r="CK218" s="50" t="s">
        <v>2137</v>
      </c>
      <c r="CM218" s="50" t="s">
        <v>2127</v>
      </c>
      <c r="CN218" s="50" t="s">
        <v>621</v>
      </c>
      <c r="CO218" s="50" t="s">
        <v>2137</v>
      </c>
      <c r="CQ218" s="50" t="s">
        <v>2136</v>
      </c>
      <c r="CR218" s="50" t="s">
        <v>2136</v>
      </c>
      <c r="CS218" s="50" t="s">
        <v>26040</v>
      </c>
    </row>
    <row r="219" spans="1:97" hidden="1">
      <c r="A219" s="50" t="s">
        <v>149</v>
      </c>
      <c r="B219" s="50">
        <v>308823</v>
      </c>
      <c r="C219" s="50" t="str">
        <f>VLOOKUP(B219,RISK!B:C,2,0)</f>
        <v>Risk</v>
      </c>
      <c r="D219" s="50" t="s">
        <v>122</v>
      </c>
      <c r="E219" s="50" t="s">
        <v>12018</v>
      </c>
      <c r="F219" s="50" t="s">
        <v>4635</v>
      </c>
      <c r="G219" s="50" t="e">
        <f>VLOOKUP(B219,aa!B:F,5,0)</f>
        <v>#N/A</v>
      </c>
      <c r="H219" s="50" t="e">
        <f>VLOOKUP(B219,aa!B:J,9,0)</f>
        <v>#N/A</v>
      </c>
      <c r="I219" s="50" t="e">
        <f>VLOOKUP(B219,aa!B:L,11,0)</f>
        <v>#N/A</v>
      </c>
      <c r="J219" s="50" t="e">
        <f>VLOOKUP(B219,aa!B:O,14,0)</f>
        <v>#N/A</v>
      </c>
      <c r="K219" s="50" t="e">
        <f>VLOOKUP(B219,aa!B:R,17,0)</f>
        <v>#N/A</v>
      </c>
      <c r="L219" s="50" t="s">
        <v>675</v>
      </c>
      <c r="M219" s="50">
        <v>713396</v>
      </c>
      <c r="N219" s="50">
        <v>713396</v>
      </c>
      <c r="O219" s="50">
        <v>105021</v>
      </c>
      <c r="P219" s="50">
        <v>210</v>
      </c>
      <c r="Q219" s="50" t="s">
        <v>364</v>
      </c>
      <c r="R219" s="50">
        <v>608375</v>
      </c>
      <c r="S219" s="50">
        <v>517</v>
      </c>
      <c r="T219" s="50" t="s">
        <v>14913</v>
      </c>
      <c r="U219" s="50">
        <v>0</v>
      </c>
      <c r="V219" s="50">
        <v>0</v>
      </c>
      <c r="X219" s="50" t="s">
        <v>102</v>
      </c>
      <c r="Y219" s="50" t="s">
        <v>103</v>
      </c>
      <c r="Z219" s="50" t="s">
        <v>104</v>
      </c>
      <c r="AB219" s="50" t="s">
        <v>14914</v>
      </c>
      <c r="AC219" s="50" t="s">
        <v>14915</v>
      </c>
      <c r="AD219" s="50" t="s">
        <v>14916</v>
      </c>
      <c r="AE219" s="50" t="s">
        <v>14915</v>
      </c>
      <c r="AF219" s="50" t="s">
        <v>109</v>
      </c>
      <c r="AG219" s="50" t="s">
        <v>102</v>
      </c>
      <c r="AH219" s="50" t="s">
        <v>109</v>
      </c>
      <c r="AI219" s="50" t="s">
        <v>102</v>
      </c>
      <c r="AJ219" s="50" t="s">
        <v>14917</v>
      </c>
      <c r="AK219" s="50" t="s">
        <v>6715</v>
      </c>
      <c r="AL219" s="50" t="s">
        <v>14918</v>
      </c>
      <c r="AM219" s="50" t="s">
        <v>14919</v>
      </c>
      <c r="AN219" s="50" t="s">
        <v>14920</v>
      </c>
      <c r="AO219" s="50" t="s">
        <v>14921</v>
      </c>
      <c r="AP219" s="50" t="s">
        <v>14922</v>
      </c>
      <c r="AQ219" s="50" t="s">
        <v>14922</v>
      </c>
      <c r="AV219" s="50" t="s">
        <v>247</v>
      </c>
      <c r="AW219" s="50" t="s">
        <v>118</v>
      </c>
      <c r="AX219" s="50" t="s">
        <v>951</v>
      </c>
      <c r="AY219" s="50" t="s">
        <v>249</v>
      </c>
      <c r="AZ219" s="50" t="s">
        <v>170</v>
      </c>
      <c r="BA219" s="50" t="s">
        <v>118</v>
      </c>
      <c r="BC219" s="50" t="s">
        <v>120</v>
      </c>
      <c r="BD219" s="50" t="s">
        <v>4644</v>
      </c>
      <c r="BE219" s="50" t="s">
        <v>320</v>
      </c>
      <c r="BF219" s="50" t="s">
        <v>122</v>
      </c>
      <c r="BG219" s="50" t="s">
        <v>123</v>
      </c>
      <c r="BH219" s="50" t="s">
        <v>124</v>
      </c>
      <c r="BI219" s="50" t="s">
        <v>12023</v>
      </c>
      <c r="BJ219" s="50" t="s">
        <v>11889</v>
      </c>
      <c r="BK219" s="50" t="s">
        <v>127</v>
      </c>
      <c r="BL219" s="50" t="s">
        <v>14923</v>
      </c>
      <c r="BM219" s="50" t="s">
        <v>4646</v>
      </c>
      <c r="BN219" s="50" t="s">
        <v>14924</v>
      </c>
      <c r="BO219" s="50" t="s">
        <v>14912</v>
      </c>
      <c r="BP219" s="50" t="s">
        <v>593</v>
      </c>
      <c r="BQ219" s="50" t="s">
        <v>696</v>
      </c>
      <c r="BR219" s="50" t="s">
        <v>594</v>
      </c>
      <c r="BS219" s="50" t="s">
        <v>595</v>
      </c>
      <c r="BT219" s="50" t="s">
        <v>328</v>
      </c>
      <c r="BV219" s="50" t="s">
        <v>14925</v>
      </c>
      <c r="BW219" s="50" t="s">
        <v>14926</v>
      </c>
      <c r="BX219" s="50" t="s">
        <v>138</v>
      </c>
      <c r="BY219" s="50" t="s">
        <v>4650</v>
      </c>
      <c r="BZ219" s="50" t="s">
        <v>4651</v>
      </c>
      <c r="CA219" s="50" t="s">
        <v>4652</v>
      </c>
      <c r="CB219" s="50" t="s">
        <v>14927</v>
      </c>
      <c r="CC219" s="50" t="s">
        <v>4650</v>
      </c>
      <c r="CD219" s="50" t="s">
        <v>4651</v>
      </c>
      <c r="CE219" s="50" t="s">
        <v>14928</v>
      </c>
      <c r="CF219" s="50" t="s">
        <v>4650</v>
      </c>
      <c r="CG219" s="50" t="s">
        <v>14929</v>
      </c>
      <c r="CH219" s="50" t="s">
        <v>4653</v>
      </c>
      <c r="CI219" s="50" t="s">
        <v>4654</v>
      </c>
      <c r="CK219" s="50" t="s">
        <v>4655</v>
      </c>
      <c r="CL219" s="50" t="s">
        <v>14930</v>
      </c>
      <c r="CM219" s="50" t="s">
        <v>4644</v>
      </c>
      <c r="CN219" s="50" t="s">
        <v>320</v>
      </c>
      <c r="CO219" s="50" t="s">
        <v>4655</v>
      </c>
      <c r="CQ219" s="50" t="s">
        <v>4654</v>
      </c>
      <c r="CR219" s="50" t="s">
        <v>4654</v>
      </c>
    </row>
    <row r="220" spans="1:97" hidden="1">
      <c r="A220" s="50" t="s">
        <v>149</v>
      </c>
      <c r="B220" s="50">
        <v>3370385</v>
      </c>
      <c r="C220" s="50" t="e">
        <f>VLOOKUP(B220,'Drop schools 2026'!B:C,2,0)</f>
        <v>#N/A</v>
      </c>
      <c r="D220" s="50" t="s">
        <v>212</v>
      </c>
      <c r="E220" s="50" t="s">
        <v>11947</v>
      </c>
      <c r="F220" s="50" t="s">
        <v>5713</v>
      </c>
      <c r="G220" s="50" t="str">
        <f>VLOOKUP(B220,aa!B:F,5,0)</f>
        <v>Ei ASSET,Ei Mindspark</v>
      </c>
      <c r="H220" s="50">
        <f>VLOOKUP(B220,aa!B:J,9,0)</f>
        <v>0</v>
      </c>
      <c r="I220" s="50">
        <f>VLOOKUP(B220,aa!B:L,11,0)</f>
        <v>0</v>
      </c>
      <c r="J220" s="50">
        <f>VLOOKUP(B220,aa!B:O,14,0)</f>
        <v>0</v>
      </c>
      <c r="K220" s="50">
        <f>VLOOKUP(B220,aa!B:R,17,0)</f>
        <v>0</v>
      </c>
      <c r="L220" s="50" t="s">
        <v>193</v>
      </c>
      <c r="M220" s="50">
        <v>713334</v>
      </c>
      <c r="N220" s="50">
        <v>799532</v>
      </c>
      <c r="O220" s="50">
        <v>234456</v>
      </c>
      <c r="P220" s="50">
        <v>754</v>
      </c>
      <c r="Q220" s="50" t="s">
        <v>195</v>
      </c>
      <c r="R220" s="50">
        <v>0</v>
      </c>
      <c r="S220" s="50">
        <v>0</v>
      </c>
      <c r="U220" s="50">
        <v>478878</v>
      </c>
      <c r="V220" s="50">
        <v>754</v>
      </c>
      <c r="W220" s="50" t="s">
        <v>12956</v>
      </c>
      <c r="X220" s="50" t="s">
        <v>102</v>
      </c>
      <c r="Y220" s="50" t="s">
        <v>103</v>
      </c>
      <c r="Z220" s="50" t="s">
        <v>104</v>
      </c>
      <c r="AB220" s="50" t="s">
        <v>11950</v>
      </c>
      <c r="AC220" s="50" t="s">
        <v>15740</v>
      </c>
      <c r="AD220" s="50" t="s">
        <v>11952</v>
      </c>
      <c r="AE220" s="50" t="s">
        <v>15740</v>
      </c>
      <c r="AF220" s="50" t="s">
        <v>109</v>
      </c>
      <c r="AG220" s="50" t="s">
        <v>102</v>
      </c>
      <c r="AH220" s="50" t="s">
        <v>109</v>
      </c>
      <c r="AI220" s="50" t="s">
        <v>102</v>
      </c>
      <c r="AJ220" s="50" t="s">
        <v>15741</v>
      </c>
      <c r="AK220" s="50" t="s">
        <v>11954</v>
      </c>
      <c r="AL220" s="50" t="s">
        <v>11954</v>
      </c>
      <c r="AM220" s="50" t="s">
        <v>15742</v>
      </c>
      <c r="AN220" s="50" t="s">
        <v>15743</v>
      </c>
      <c r="AO220" s="50" t="s">
        <v>15744</v>
      </c>
      <c r="AP220" s="50" t="s">
        <v>12962</v>
      </c>
      <c r="AQ220" s="50" t="s">
        <v>12962</v>
      </c>
      <c r="AV220" s="50" t="s">
        <v>207</v>
      </c>
      <c r="AW220" s="50" t="s">
        <v>118</v>
      </c>
      <c r="AX220" s="50" t="s">
        <v>102</v>
      </c>
      <c r="AY220" s="50" t="s">
        <v>119</v>
      </c>
      <c r="BB220" s="50" t="s">
        <v>250</v>
      </c>
      <c r="BC220" s="50" t="s">
        <v>120</v>
      </c>
      <c r="BD220" s="50" t="s">
        <v>5720</v>
      </c>
      <c r="BE220" s="50" t="s">
        <v>211</v>
      </c>
      <c r="BF220" s="50" t="s">
        <v>212</v>
      </c>
      <c r="BG220" s="50" t="s">
        <v>213</v>
      </c>
      <c r="BH220" s="50" t="s">
        <v>124</v>
      </c>
      <c r="BI220" s="50" t="s">
        <v>11959</v>
      </c>
      <c r="BJ220" s="50" t="s">
        <v>11960</v>
      </c>
      <c r="BK220" s="50" t="s">
        <v>127</v>
      </c>
      <c r="BL220" s="50" t="s">
        <v>15745</v>
      </c>
      <c r="BM220" s="50" t="s">
        <v>5722</v>
      </c>
      <c r="BN220" s="50" t="s">
        <v>15746</v>
      </c>
      <c r="BO220" s="50" t="s">
        <v>11948</v>
      </c>
      <c r="BP220" s="50" t="s">
        <v>1880</v>
      </c>
      <c r="BQ220" s="50" t="s">
        <v>7992</v>
      </c>
      <c r="BR220" s="50" t="s">
        <v>1882</v>
      </c>
      <c r="BS220" s="50" t="s">
        <v>1883</v>
      </c>
      <c r="BT220" s="50" t="s">
        <v>222</v>
      </c>
      <c r="BV220" s="50" t="s">
        <v>15747</v>
      </c>
      <c r="BW220" s="50" t="s">
        <v>15748</v>
      </c>
      <c r="BX220" s="50" t="s">
        <v>138</v>
      </c>
      <c r="BY220" s="50" t="s">
        <v>225</v>
      </c>
      <c r="BZ220" s="50" t="s">
        <v>226</v>
      </c>
      <c r="CA220" s="50" t="s">
        <v>5725</v>
      </c>
      <c r="CB220" s="50" t="s">
        <v>15749</v>
      </c>
      <c r="CC220" s="50" t="s">
        <v>15750</v>
      </c>
      <c r="CD220" s="50" t="s">
        <v>15751</v>
      </c>
      <c r="CE220" s="50" t="s">
        <v>15752</v>
      </c>
      <c r="CF220" s="50" t="s">
        <v>15750</v>
      </c>
      <c r="CG220" s="50" t="s">
        <v>15751</v>
      </c>
      <c r="CH220" s="50" t="s">
        <v>102</v>
      </c>
      <c r="CI220" s="50" t="s">
        <v>5726</v>
      </c>
      <c r="CK220" s="50" t="s">
        <v>5727</v>
      </c>
      <c r="CM220" s="50" t="s">
        <v>5720</v>
      </c>
      <c r="CN220" s="50" t="s">
        <v>211</v>
      </c>
      <c r="CO220" s="50" t="s">
        <v>5727</v>
      </c>
      <c r="CP220" s="50" t="s">
        <v>230</v>
      </c>
      <c r="CQ220" s="50" t="s">
        <v>5726</v>
      </c>
      <c r="CR220" s="50" t="s">
        <v>5726</v>
      </c>
    </row>
    <row r="221" spans="1:97" hidden="1">
      <c r="A221" s="50" t="s">
        <v>149</v>
      </c>
      <c r="B221" s="50">
        <v>4064726</v>
      </c>
      <c r="C221" s="50" t="e">
        <f>VLOOKUP(B221,'Drop schools 2026'!B:C,2,0)</f>
        <v>#N/A</v>
      </c>
      <c r="D221" s="50" t="s">
        <v>122</v>
      </c>
      <c r="E221" s="50" t="s">
        <v>12018</v>
      </c>
      <c r="F221" s="50" t="s">
        <v>8658</v>
      </c>
      <c r="G221" s="50" t="e">
        <f>VLOOKUP(B221,aa!B:F,5,0)</f>
        <v>#N/A</v>
      </c>
      <c r="H221" s="50" t="e">
        <f>VLOOKUP(B221,aa!B:J,9,0)</f>
        <v>#N/A</v>
      </c>
      <c r="I221" s="50" t="e">
        <f>VLOOKUP(B221,aa!B:L,11,0)</f>
        <v>#N/A</v>
      </c>
      <c r="J221" s="50" t="e">
        <f>VLOOKUP(B221,aa!B:O,14,0)</f>
        <v>#N/A</v>
      </c>
      <c r="K221" s="50" t="e">
        <f>VLOOKUP(B221,aa!B:R,17,0)</f>
        <v>#N/A</v>
      </c>
      <c r="L221" s="50" t="s">
        <v>152</v>
      </c>
      <c r="M221" s="50">
        <v>709800</v>
      </c>
      <c r="N221" s="50">
        <v>709800</v>
      </c>
      <c r="O221" s="50">
        <v>0</v>
      </c>
      <c r="P221" s="50">
        <v>0</v>
      </c>
      <c r="R221" s="50">
        <v>709800</v>
      </c>
      <c r="S221" s="50">
        <v>455</v>
      </c>
      <c r="T221" s="50" t="s">
        <v>544</v>
      </c>
      <c r="U221" s="50">
        <v>0</v>
      </c>
      <c r="V221" s="50">
        <v>0</v>
      </c>
      <c r="X221" s="50" t="s">
        <v>102</v>
      </c>
      <c r="Y221" s="50" t="s">
        <v>103</v>
      </c>
      <c r="Z221" s="50" t="s">
        <v>155</v>
      </c>
      <c r="AB221" s="50" t="s">
        <v>16918</v>
      </c>
      <c r="AC221" s="50" t="s">
        <v>18031</v>
      </c>
      <c r="AD221" s="50" t="s">
        <v>1547</v>
      </c>
      <c r="AE221" s="50" t="s">
        <v>18031</v>
      </c>
      <c r="AF221" s="50" t="s">
        <v>13110</v>
      </c>
      <c r="AG221" s="50" t="s">
        <v>18031</v>
      </c>
      <c r="AH221" s="50" t="s">
        <v>11930</v>
      </c>
      <c r="AI221" s="50" t="s">
        <v>18031</v>
      </c>
      <c r="AJ221" s="50" t="s">
        <v>102</v>
      </c>
      <c r="AK221" s="50" t="s">
        <v>12838</v>
      </c>
      <c r="AL221" s="50" t="s">
        <v>12838</v>
      </c>
      <c r="AM221" s="50" t="s">
        <v>18032</v>
      </c>
      <c r="AN221" s="50" t="s">
        <v>18033</v>
      </c>
      <c r="AO221" s="50" t="s">
        <v>18034</v>
      </c>
      <c r="AP221" s="50" t="s">
        <v>554</v>
      </c>
      <c r="AQ221" s="50" t="s">
        <v>554</v>
      </c>
      <c r="AV221" s="50" t="s">
        <v>102</v>
      </c>
      <c r="AX221" s="50" t="s">
        <v>155</v>
      </c>
      <c r="AY221" s="50" t="s">
        <v>447</v>
      </c>
      <c r="AZ221" s="50" t="s">
        <v>170</v>
      </c>
      <c r="BA221" s="50" t="s">
        <v>118</v>
      </c>
      <c r="BC221" s="50" t="s">
        <v>120</v>
      </c>
      <c r="BD221" s="50" t="s">
        <v>8667</v>
      </c>
      <c r="BE221" s="50" t="s">
        <v>345</v>
      </c>
      <c r="BF221" s="50" t="s">
        <v>122</v>
      </c>
      <c r="BG221" s="50" t="s">
        <v>346</v>
      </c>
      <c r="BH221" s="50" t="s">
        <v>124</v>
      </c>
      <c r="BI221" s="50" t="s">
        <v>12023</v>
      </c>
      <c r="BJ221" s="50" t="s">
        <v>11889</v>
      </c>
      <c r="BK221" s="50" t="s">
        <v>127</v>
      </c>
      <c r="BL221" s="50" t="s">
        <v>18035</v>
      </c>
      <c r="BM221" s="50" t="s">
        <v>8669</v>
      </c>
      <c r="BN221" s="50" t="s">
        <v>18036</v>
      </c>
      <c r="BO221" s="50" t="s">
        <v>5755</v>
      </c>
      <c r="BP221" s="50" t="s">
        <v>593</v>
      </c>
      <c r="BQ221" s="50" t="s">
        <v>132</v>
      </c>
      <c r="BR221" s="50" t="s">
        <v>594</v>
      </c>
      <c r="BS221" s="50" t="s">
        <v>595</v>
      </c>
      <c r="BT221" s="50" t="s">
        <v>328</v>
      </c>
      <c r="BV221" s="50" t="s">
        <v>18037</v>
      </c>
      <c r="BW221" s="50" t="s">
        <v>18038</v>
      </c>
      <c r="BX221" s="50" t="s">
        <v>354</v>
      </c>
      <c r="BY221" s="50" t="s">
        <v>18039</v>
      </c>
      <c r="BZ221" s="50" t="s">
        <v>18040</v>
      </c>
      <c r="CA221" s="50" t="s">
        <v>8673</v>
      </c>
      <c r="CB221" s="50" t="s">
        <v>18038</v>
      </c>
      <c r="CC221" s="50" t="s">
        <v>18039</v>
      </c>
      <c r="CD221" s="50" t="s">
        <v>18040</v>
      </c>
      <c r="CE221" s="50" t="s">
        <v>18041</v>
      </c>
      <c r="CF221" s="50" t="s">
        <v>18039</v>
      </c>
      <c r="CG221" s="50" t="s">
        <v>18042</v>
      </c>
      <c r="CH221" s="50" t="s">
        <v>102</v>
      </c>
      <c r="CI221" s="50" t="s">
        <v>8675</v>
      </c>
      <c r="CK221" s="50" t="s">
        <v>8676</v>
      </c>
      <c r="CM221" s="50" t="s">
        <v>8667</v>
      </c>
      <c r="CN221" s="50" t="s">
        <v>345</v>
      </c>
      <c r="CO221" s="50" t="s">
        <v>8676</v>
      </c>
      <c r="CQ221" s="50" t="s">
        <v>8675</v>
      </c>
      <c r="CR221" s="50" t="s">
        <v>8675</v>
      </c>
    </row>
    <row r="222" spans="1:97" hidden="1">
      <c r="A222" s="50" t="s">
        <v>337</v>
      </c>
      <c r="B222" s="50">
        <v>3795896</v>
      </c>
      <c r="C222" s="50" t="e">
        <f>VLOOKUP(B222,'Drop schools 2026'!B:C,2,0)</f>
        <v>#N/A</v>
      </c>
      <c r="D222" s="50" t="s">
        <v>212</v>
      </c>
      <c r="E222" s="50" t="s">
        <v>12423</v>
      </c>
      <c r="F222" s="50" t="s">
        <v>16999</v>
      </c>
      <c r="G222" s="50" t="e">
        <f>VLOOKUP(B222,aa!B:F,5,0)</f>
        <v>#N/A</v>
      </c>
      <c r="H222" s="50" t="e">
        <f>VLOOKUP(B222,aa!B:J,9,0)</f>
        <v>#N/A</v>
      </c>
      <c r="I222" s="50" t="e">
        <f>VLOOKUP(B222,aa!B:L,11,0)</f>
        <v>#N/A</v>
      </c>
      <c r="J222" s="50" t="e">
        <f>VLOOKUP(B222,aa!B:O,14,0)</f>
        <v>#N/A</v>
      </c>
      <c r="K222" s="50" t="e">
        <f>VLOOKUP(B222,aa!B:R,17,0)</f>
        <v>#N/A</v>
      </c>
      <c r="L222" s="50" t="s">
        <v>848</v>
      </c>
      <c r="M222" s="50">
        <v>697592</v>
      </c>
      <c r="N222" s="50">
        <v>823159</v>
      </c>
      <c r="O222" s="50">
        <v>0</v>
      </c>
      <c r="P222" s="50">
        <v>0</v>
      </c>
      <c r="R222" s="50">
        <v>0</v>
      </c>
      <c r="S222" s="50">
        <v>0</v>
      </c>
      <c r="U222" s="50">
        <v>697592</v>
      </c>
      <c r="V222" s="50">
        <v>686</v>
      </c>
      <c r="W222" s="50" t="s">
        <v>3924</v>
      </c>
      <c r="X222" s="50" t="s">
        <v>102</v>
      </c>
      <c r="Y222" s="50" t="s">
        <v>103</v>
      </c>
      <c r="Z222" s="50" t="s">
        <v>155</v>
      </c>
      <c r="AB222" s="50" t="s">
        <v>4665</v>
      </c>
      <c r="AC222" s="50" t="s">
        <v>17000</v>
      </c>
      <c r="AD222" s="50" t="s">
        <v>8708</v>
      </c>
      <c r="AE222" s="50" t="s">
        <v>17000</v>
      </c>
      <c r="AF222" s="50" t="s">
        <v>12427</v>
      </c>
      <c r="AG222" s="50" t="s">
        <v>17000</v>
      </c>
      <c r="AH222" s="50" t="s">
        <v>11886</v>
      </c>
      <c r="AI222" s="50" t="s">
        <v>17000</v>
      </c>
      <c r="AJ222" s="50" t="s">
        <v>102</v>
      </c>
      <c r="AK222" s="50" t="s">
        <v>8128</v>
      </c>
      <c r="AL222" s="50" t="s">
        <v>12859</v>
      </c>
      <c r="AM222" s="50" t="s">
        <v>17001</v>
      </c>
      <c r="AN222" s="50" t="s">
        <v>17002</v>
      </c>
      <c r="AO222" s="50" t="s">
        <v>17003</v>
      </c>
      <c r="AP222" s="50" t="s">
        <v>2307</v>
      </c>
      <c r="AQ222" s="50" t="s">
        <v>2307</v>
      </c>
      <c r="AV222" s="50" t="s">
        <v>102</v>
      </c>
      <c r="AX222" s="50" t="s">
        <v>102</v>
      </c>
      <c r="AY222" s="50" t="s">
        <v>119</v>
      </c>
      <c r="BB222" s="50" t="s">
        <v>250</v>
      </c>
      <c r="BC222" s="50" t="s">
        <v>120</v>
      </c>
      <c r="BD222" s="50" t="s">
        <v>8240</v>
      </c>
      <c r="BE222" s="50" t="s">
        <v>410</v>
      </c>
      <c r="BF222" s="50" t="s">
        <v>212</v>
      </c>
      <c r="BG222" s="50" t="s">
        <v>410</v>
      </c>
      <c r="BH222" s="50" t="s">
        <v>124</v>
      </c>
      <c r="BI222" s="50" t="s">
        <v>2950</v>
      </c>
      <c r="BJ222" s="50" t="s">
        <v>11960</v>
      </c>
      <c r="BK222" s="50" t="s">
        <v>127</v>
      </c>
      <c r="BL222" s="50" t="s">
        <v>17004</v>
      </c>
      <c r="BM222" s="50" t="s">
        <v>17005</v>
      </c>
      <c r="BN222" s="50" t="s">
        <v>17006</v>
      </c>
      <c r="BO222" s="50" t="s">
        <v>4665</v>
      </c>
      <c r="BP222" s="50" t="s">
        <v>896</v>
      </c>
      <c r="BQ222" s="50" t="s">
        <v>132</v>
      </c>
      <c r="BR222" s="50" t="s">
        <v>897</v>
      </c>
      <c r="BS222" s="50" t="s">
        <v>898</v>
      </c>
      <c r="BT222" s="50" t="s">
        <v>899</v>
      </c>
      <c r="BV222" s="50" t="s">
        <v>17007</v>
      </c>
      <c r="BW222" s="50" t="s">
        <v>17008</v>
      </c>
      <c r="BX222" s="50" t="s">
        <v>354</v>
      </c>
      <c r="BY222" s="50" t="s">
        <v>17009</v>
      </c>
      <c r="BZ222" s="50" t="s">
        <v>17010</v>
      </c>
      <c r="CA222" s="50" t="s">
        <v>17011</v>
      </c>
      <c r="CB222" s="50" t="s">
        <v>17012</v>
      </c>
      <c r="CC222" s="50" t="s">
        <v>17009</v>
      </c>
      <c r="CD222" s="50" t="s">
        <v>17010</v>
      </c>
      <c r="CE222" s="50" t="s">
        <v>17013</v>
      </c>
      <c r="CF222" s="50" t="s">
        <v>17009</v>
      </c>
      <c r="CG222" s="50" t="s">
        <v>17010</v>
      </c>
      <c r="CH222" s="50" t="s">
        <v>907</v>
      </c>
      <c r="CI222" s="50" t="s">
        <v>17014</v>
      </c>
      <c r="CK222" s="50" t="s">
        <v>17015</v>
      </c>
      <c r="CL222" s="50" t="s">
        <v>17016</v>
      </c>
      <c r="CM222" s="50" t="s">
        <v>8240</v>
      </c>
      <c r="CN222" s="50" t="s">
        <v>410</v>
      </c>
      <c r="CO222" s="50" t="s">
        <v>17015</v>
      </c>
      <c r="CQ222" s="50" t="s">
        <v>17017</v>
      </c>
      <c r="CR222" s="50" t="s">
        <v>17016</v>
      </c>
      <c r="CS222" s="50" t="s">
        <v>26044</v>
      </c>
    </row>
    <row r="223" spans="1:97" hidden="1">
      <c r="A223" s="50" t="s">
        <v>149</v>
      </c>
      <c r="B223" s="50">
        <v>5017199</v>
      </c>
      <c r="C223" s="50" t="str">
        <f>VLOOKUP(B223,RISK!B:C,2,0)</f>
        <v>Risk</v>
      </c>
      <c r="D223" s="50" t="s">
        <v>174</v>
      </c>
      <c r="E223" s="50" t="s">
        <v>384</v>
      </c>
      <c r="F223" s="50" t="s">
        <v>9862</v>
      </c>
      <c r="G223" s="50" t="e">
        <f>VLOOKUP(B223,aa!B:F,5,0)</f>
        <v>#N/A</v>
      </c>
      <c r="H223" s="50" t="e">
        <f>VLOOKUP(B223,aa!B:J,9,0)</f>
        <v>#N/A</v>
      </c>
      <c r="I223" s="50" t="e">
        <f>VLOOKUP(B223,aa!B:L,11,0)</f>
        <v>#N/A</v>
      </c>
      <c r="J223" s="50" t="e">
        <f>VLOOKUP(B223,aa!B:O,14,0)</f>
        <v>#N/A</v>
      </c>
      <c r="K223" s="50" t="e">
        <f>VLOOKUP(B223,aa!B:R,17,0)</f>
        <v>#N/A</v>
      </c>
      <c r="L223" s="50" t="s">
        <v>152</v>
      </c>
      <c r="M223" s="50">
        <v>695965</v>
      </c>
      <c r="N223" s="50">
        <v>695965</v>
      </c>
      <c r="O223" s="50">
        <v>0</v>
      </c>
      <c r="P223" s="50">
        <v>0</v>
      </c>
      <c r="R223" s="50">
        <v>695965</v>
      </c>
      <c r="S223" s="50">
        <v>348</v>
      </c>
      <c r="T223" s="50" t="s">
        <v>7192</v>
      </c>
      <c r="U223" s="50">
        <v>0</v>
      </c>
      <c r="V223" s="50">
        <v>0</v>
      </c>
      <c r="X223" s="50" t="s">
        <v>102</v>
      </c>
      <c r="Y223" s="50" t="s">
        <v>103</v>
      </c>
      <c r="Z223" s="50" t="s">
        <v>155</v>
      </c>
      <c r="AB223" s="50" t="s">
        <v>6341</v>
      </c>
      <c r="AC223" s="50" t="s">
        <v>19001</v>
      </c>
      <c r="AD223" s="50" t="s">
        <v>11976</v>
      </c>
      <c r="AE223" s="50" t="s">
        <v>19001</v>
      </c>
      <c r="AF223" s="50" t="s">
        <v>11888</v>
      </c>
      <c r="AG223" s="50" t="s">
        <v>19001</v>
      </c>
      <c r="AH223" s="50" t="s">
        <v>11886</v>
      </c>
      <c r="AI223" s="50" t="s">
        <v>19001</v>
      </c>
      <c r="AJ223" s="50" t="s">
        <v>102</v>
      </c>
      <c r="AK223" s="50" t="s">
        <v>8258</v>
      </c>
      <c r="AL223" s="50" t="s">
        <v>15733</v>
      </c>
      <c r="AM223" s="50" t="s">
        <v>19002</v>
      </c>
      <c r="AN223" s="50" t="s">
        <v>19003</v>
      </c>
      <c r="AO223" s="50" t="s">
        <v>19004</v>
      </c>
      <c r="AP223" s="50" t="s">
        <v>16091</v>
      </c>
      <c r="AQ223" s="50" t="s">
        <v>16091</v>
      </c>
      <c r="AV223" s="50" t="s">
        <v>102</v>
      </c>
      <c r="AX223" s="50" t="s">
        <v>155</v>
      </c>
      <c r="AY223" s="50" t="s">
        <v>119</v>
      </c>
      <c r="AZ223" s="50" t="s">
        <v>170</v>
      </c>
      <c r="BA223" s="50" t="s">
        <v>118</v>
      </c>
      <c r="BC223" s="50" t="s">
        <v>120</v>
      </c>
      <c r="BD223" s="50" t="s">
        <v>1170</v>
      </c>
      <c r="BE223" s="50" t="s">
        <v>1171</v>
      </c>
      <c r="BF223" s="50" t="s">
        <v>174</v>
      </c>
      <c r="BG223" s="50" t="s">
        <v>1172</v>
      </c>
      <c r="BH223" s="50" t="s">
        <v>124</v>
      </c>
      <c r="BI223" s="50" t="s">
        <v>12023</v>
      </c>
      <c r="BJ223" s="50" t="s">
        <v>11889</v>
      </c>
      <c r="BK223" s="50" t="s">
        <v>127</v>
      </c>
      <c r="BL223" s="50" t="s">
        <v>19005</v>
      </c>
      <c r="BM223" s="50" t="s">
        <v>9872</v>
      </c>
      <c r="BN223" s="50" t="s">
        <v>19006</v>
      </c>
      <c r="BO223" s="50" t="s">
        <v>1202</v>
      </c>
      <c r="BP223" s="50" t="s">
        <v>1917</v>
      </c>
      <c r="BQ223" s="50" t="s">
        <v>180</v>
      </c>
      <c r="BR223" s="50" t="s">
        <v>1918</v>
      </c>
      <c r="BS223" s="50" t="s">
        <v>1919</v>
      </c>
      <c r="BT223" s="50" t="s">
        <v>5560</v>
      </c>
      <c r="BV223" s="50" t="s">
        <v>19007</v>
      </c>
      <c r="BW223" s="50" t="s">
        <v>9875</v>
      </c>
      <c r="BX223" s="50" t="s">
        <v>138</v>
      </c>
      <c r="BY223" s="50" t="s">
        <v>9876</v>
      </c>
      <c r="BZ223" s="50" t="s">
        <v>9877</v>
      </c>
      <c r="CA223" s="50" t="s">
        <v>9878</v>
      </c>
      <c r="CB223" s="50" t="s">
        <v>9875</v>
      </c>
      <c r="CC223" s="50" t="s">
        <v>9876</v>
      </c>
      <c r="CD223" s="50" t="s">
        <v>9877</v>
      </c>
      <c r="CE223" s="50" t="s">
        <v>9875</v>
      </c>
      <c r="CF223" s="50" t="s">
        <v>9876</v>
      </c>
      <c r="CG223" s="50" t="s">
        <v>9877</v>
      </c>
      <c r="CH223" s="50" t="s">
        <v>9880</v>
      </c>
      <c r="CI223" s="50" t="s">
        <v>9862</v>
      </c>
      <c r="CK223" s="50" t="s">
        <v>9882</v>
      </c>
      <c r="CL223" s="50" t="s">
        <v>9881</v>
      </c>
      <c r="CM223" s="50" t="s">
        <v>1170</v>
      </c>
      <c r="CN223" s="50" t="s">
        <v>1171</v>
      </c>
      <c r="CO223" s="50" t="s">
        <v>9882</v>
      </c>
      <c r="CQ223" s="50" t="s">
        <v>9881</v>
      </c>
      <c r="CR223" s="50" t="s">
        <v>9881</v>
      </c>
      <c r="CS223" s="50" t="s">
        <v>26047</v>
      </c>
    </row>
    <row r="224" spans="1:97" hidden="1">
      <c r="A224" s="50" t="s">
        <v>93</v>
      </c>
      <c r="B224" s="50">
        <v>5017447</v>
      </c>
      <c r="C224" s="50" t="e">
        <f>VLOOKUP(B224,'Drop schools 2026'!B:C,2,0)</f>
        <v>#N/A</v>
      </c>
      <c r="D224" s="50" t="s">
        <v>174</v>
      </c>
      <c r="E224" s="50" t="s">
        <v>384</v>
      </c>
      <c r="F224" s="50" t="s">
        <v>9972</v>
      </c>
      <c r="G224" s="50" t="str">
        <f>VLOOKUP(B224,aa!B:F,5,0)</f>
        <v>Ei Mindspark</v>
      </c>
      <c r="H224" s="50">
        <f>VLOOKUP(B224,aa!B:J,9,0)</f>
        <v>772843</v>
      </c>
      <c r="I224" s="50">
        <f>VLOOKUP(B224,aa!B:L,11,0)</f>
        <v>0</v>
      </c>
      <c r="J224" s="50">
        <f>VLOOKUP(B224,aa!B:O,14,0)</f>
        <v>0</v>
      </c>
      <c r="K224" s="50">
        <f>VLOOKUP(B224,aa!B:R,17,0)</f>
        <v>772843</v>
      </c>
      <c r="L224" s="50" t="s">
        <v>848</v>
      </c>
      <c r="M224" s="50">
        <v>694255</v>
      </c>
      <c r="N224" s="50">
        <v>819221</v>
      </c>
      <c r="O224" s="50">
        <v>0</v>
      </c>
      <c r="P224" s="50">
        <v>0</v>
      </c>
      <c r="R224" s="50">
        <v>0</v>
      </c>
      <c r="S224" s="50">
        <v>0</v>
      </c>
      <c r="U224" s="50">
        <v>694255</v>
      </c>
      <c r="V224" s="50">
        <v>300</v>
      </c>
      <c r="W224" s="50" t="s">
        <v>19036</v>
      </c>
      <c r="X224" s="50" t="s">
        <v>102</v>
      </c>
      <c r="Y224" s="50" t="s">
        <v>103</v>
      </c>
      <c r="Z224" s="50" t="s">
        <v>155</v>
      </c>
      <c r="AB224" s="50" t="s">
        <v>19037</v>
      </c>
      <c r="AC224" s="50" t="s">
        <v>19038</v>
      </c>
      <c r="AD224" s="50" t="s">
        <v>11925</v>
      </c>
      <c r="AE224" s="50" t="s">
        <v>19038</v>
      </c>
      <c r="AF224" s="50" t="s">
        <v>12427</v>
      </c>
      <c r="AG224" s="50" t="s">
        <v>19038</v>
      </c>
      <c r="AH224" s="50" t="s">
        <v>16007</v>
      </c>
      <c r="AI224" s="50" t="s">
        <v>19038</v>
      </c>
      <c r="AJ224" s="50" t="s">
        <v>19039</v>
      </c>
      <c r="AK224" s="50" t="s">
        <v>13186</v>
      </c>
      <c r="AL224" s="50" t="s">
        <v>12696</v>
      </c>
      <c r="AM224" s="50" t="s">
        <v>19040</v>
      </c>
      <c r="AN224" s="50" t="s">
        <v>19041</v>
      </c>
      <c r="AO224" s="50" t="s">
        <v>19042</v>
      </c>
      <c r="AP224" s="50" t="s">
        <v>19043</v>
      </c>
      <c r="AQ224" s="50" t="s">
        <v>19043</v>
      </c>
      <c r="AV224" s="50" t="s">
        <v>102</v>
      </c>
      <c r="AX224" s="50" t="s">
        <v>102</v>
      </c>
      <c r="AY224" s="50" t="s">
        <v>119</v>
      </c>
      <c r="BB224" s="50" t="s">
        <v>250</v>
      </c>
      <c r="BC224" s="50" t="s">
        <v>120</v>
      </c>
      <c r="BD224" s="50" t="s">
        <v>375</v>
      </c>
      <c r="BE224" s="50" t="s">
        <v>376</v>
      </c>
      <c r="BF224" s="50" t="s">
        <v>174</v>
      </c>
      <c r="BG224" s="50" t="s">
        <v>376</v>
      </c>
      <c r="BH224" s="50" t="s">
        <v>124</v>
      </c>
      <c r="BI224" s="50" t="s">
        <v>12023</v>
      </c>
      <c r="BJ224" s="50" t="s">
        <v>11889</v>
      </c>
      <c r="BK224" s="50" t="s">
        <v>127</v>
      </c>
      <c r="BL224" s="50" t="s">
        <v>19044</v>
      </c>
      <c r="BM224" s="50" t="s">
        <v>9981</v>
      </c>
      <c r="BN224" s="50" t="s">
        <v>19045</v>
      </c>
      <c r="BO224" s="50" t="s">
        <v>7236</v>
      </c>
      <c r="BP224" s="50" t="s">
        <v>12934</v>
      </c>
      <c r="BQ224" s="50" t="s">
        <v>180</v>
      </c>
      <c r="BR224" s="50" t="s">
        <v>12935</v>
      </c>
      <c r="BS224" s="50" t="s">
        <v>12936</v>
      </c>
      <c r="BT224" s="50" t="s">
        <v>1858</v>
      </c>
      <c r="BV224" s="50" t="s">
        <v>19046</v>
      </c>
      <c r="BW224" s="50" t="s">
        <v>12777</v>
      </c>
      <c r="BX224" s="50" t="s">
        <v>354</v>
      </c>
      <c r="BY224" s="50" t="s">
        <v>1511</v>
      </c>
      <c r="BZ224" s="50" t="s">
        <v>1512</v>
      </c>
      <c r="CA224" s="50" t="s">
        <v>1511</v>
      </c>
      <c r="CB224" s="50" t="s">
        <v>12777</v>
      </c>
      <c r="CC224" s="50" t="s">
        <v>1511</v>
      </c>
      <c r="CD224" s="50" t="s">
        <v>1512</v>
      </c>
      <c r="CE224" s="50" t="s">
        <v>12777</v>
      </c>
      <c r="CF224" s="50" t="s">
        <v>1511</v>
      </c>
      <c r="CG224" s="50" t="s">
        <v>1512</v>
      </c>
      <c r="CH224" s="50" t="s">
        <v>3968</v>
      </c>
      <c r="CI224" s="50" t="s">
        <v>9987</v>
      </c>
      <c r="CK224" s="50" t="s">
        <v>9988</v>
      </c>
      <c r="CL224" s="50" t="s">
        <v>9989</v>
      </c>
      <c r="CM224" s="50" t="s">
        <v>375</v>
      </c>
      <c r="CN224" s="50" t="s">
        <v>376</v>
      </c>
      <c r="CO224" s="50" t="s">
        <v>9988</v>
      </c>
      <c r="CP224" s="50" t="s">
        <v>1516</v>
      </c>
      <c r="CQ224" s="50" t="s">
        <v>9987</v>
      </c>
      <c r="CR224" s="50" t="s">
        <v>9989</v>
      </c>
    </row>
    <row r="225" spans="1:97" hidden="1">
      <c r="A225" s="50" t="s">
        <v>337</v>
      </c>
      <c r="B225" s="50">
        <v>2459310</v>
      </c>
      <c r="C225" s="50" t="str">
        <f>VLOOKUP(B225,RISK!B:C,2,0)</f>
        <v>Risk</v>
      </c>
      <c r="D225" s="50" t="s">
        <v>212</v>
      </c>
      <c r="E225" s="50" t="s">
        <v>293</v>
      </c>
      <c r="F225" s="50" t="s">
        <v>14054</v>
      </c>
      <c r="G225" s="50" t="e">
        <f>VLOOKUP(B225,aa!B:F,5,0)</f>
        <v>#N/A</v>
      </c>
      <c r="H225" s="50" t="e">
        <f>VLOOKUP(B225,aa!B:J,9,0)</f>
        <v>#N/A</v>
      </c>
      <c r="I225" s="50" t="e">
        <f>VLOOKUP(B225,aa!B:L,11,0)</f>
        <v>#N/A</v>
      </c>
      <c r="J225" s="50" t="e">
        <f>VLOOKUP(B225,aa!B:O,14,0)</f>
        <v>#N/A</v>
      </c>
      <c r="K225" s="50" t="e">
        <f>VLOOKUP(B225,aa!B:R,17,0)</f>
        <v>#N/A</v>
      </c>
      <c r="L225" s="50" t="s">
        <v>848</v>
      </c>
      <c r="M225" s="50">
        <v>688946</v>
      </c>
      <c r="N225" s="50">
        <v>812956</v>
      </c>
      <c r="O225" s="50">
        <v>0</v>
      </c>
      <c r="P225" s="50">
        <v>0</v>
      </c>
      <c r="R225" s="50">
        <v>0</v>
      </c>
      <c r="S225" s="50">
        <v>0</v>
      </c>
      <c r="U225" s="50">
        <v>688946</v>
      </c>
      <c r="V225" s="50">
        <v>193</v>
      </c>
      <c r="W225" s="50" t="s">
        <v>14055</v>
      </c>
      <c r="X225" s="50" t="s">
        <v>102</v>
      </c>
      <c r="Y225" s="50" t="s">
        <v>103</v>
      </c>
      <c r="Z225" s="50" t="s">
        <v>398</v>
      </c>
      <c r="AB225" s="50" t="s">
        <v>9246</v>
      </c>
      <c r="AC225" s="50" t="s">
        <v>14056</v>
      </c>
      <c r="AD225" s="50" t="s">
        <v>14057</v>
      </c>
      <c r="AE225" s="50" t="s">
        <v>14058</v>
      </c>
      <c r="AF225" s="50" t="s">
        <v>14059</v>
      </c>
      <c r="AG225" s="50" t="s">
        <v>14058</v>
      </c>
      <c r="AH225" s="50" t="s">
        <v>109</v>
      </c>
      <c r="AI225" s="50" t="s">
        <v>102</v>
      </c>
      <c r="AJ225" s="50" t="s">
        <v>102</v>
      </c>
      <c r="AK225" s="50" t="s">
        <v>945</v>
      </c>
      <c r="AL225" s="50" t="s">
        <v>945</v>
      </c>
      <c r="AM225" s="50" t="s">
        <v>14060</v>
      </c>
      <c r="AN225" s="50" t="s">
        <v>14056</v>
      </c>
      <c r="AO225" s="50" t="s">
        <v>14061</v>
      </c>
      <c r="AP225" s="50" t="s">
        <v>14062</v>
      </c>
      <c r="AQ225" s="50" t="s">
        <v>14062</v>
      </c>
      <c r="AV225" s="50" t="s">
        <v>102</v>
      </c>
      <c r="AX225" s="50" t="s">
        <v>102</v>
      </c>
      <c r="AY225" s="50" t="s">
        <v>119</v>
      </c>
      <c r="BB225" s="50" t="s">
        <v>250</v>
      </c>
      <c r="BC225" s="50" t="s">
        <v>171</v>
      </c>
      <c r="BD225" s="50" t="s">
        <v>920</v>
      </c>
      <c r="BE225" s="50" t="s">
        <v>211</v>
      </c>
      <c r="BF225" s="50" t="s">
        <v>212</v>
      </c>
      <c r="BG225" s="50" t="s">
        <v>213</v>
      </c>
      <c r="BH225" s="50" t="s">
        <v>124</v>
      </c>
      <c r="BI225" s="50" t="s">
        <v>11927</v>
      </c>
      <c r="BJ225" s="50" t="s">
        <v>14063</v>
      </c>
      <c r="BK225" s="50" t="s">
        <v>127</v>
      </c>
      <c r="BL225" s="50" t="s">
        <v>14064</v>
      </c>
      <c r="BM225" s="50" t="s">
        <v>14065</v>
      </c>
      <c r="BN225" s="50" t="s">
        <v>14066</v>
      </c>
      <c r="BO225" s="50" t="s">
        <v>9246</v>
      </c>
      <c r="BP225" s="50" t="s">
        <v>14067</v>
      </c>
      <c r="BQ225" s="50" t="s">
        <v>180</v>
      </c>
      <c r="BR225" s="50" t="s">
        <v>14068</v>
      </c>
      <c r="BS225" s="50" t="s">
        <v>14069</v>
      </c>
      <c r="BT225" s="50" t="s">
        <v>2463</v>
      </c>
      <c r="BV225" s="50" t="s">
        <v>14070</v>
      </c>
      <c r="BW225" s="50" t="s">
        <v>14071</v>
      </c>
      <c r="BX225" s="50" t="s">
        <v>354</v>
      </c>
      <c r="BY225" s="50" t="s">
        <v>14072</v>
      </c>
      <c r="BZ225" s="50" t="s">
        <v>14073</v>
      </c>
      <c r="CA225" s="50" t="s">
        <v>14072</v>
      </c>
      <c r="CB225" s="50" t="s">
        <v>14071</v>
      </c>
      <c r="CC225" s="50" t="s">
        <v>14072</v>
      </c>
      <c r="CD225" s="50" t="s">
        <v>14073</v>
      </c>
      <c r="CE225" s="50" t="s">
        <v>14071</v>
      </c>
      <c r="CF225" s="50" t="s">
        <v>14072</v>
      </c>
      <c r="CG225" s="50" t="s">
        <v>14073</v>
      </c>
      <c r="CH225" s="50" t="s">
        <v>14074</v>
      </c>
      <c r="CI225" s="50" t="s">
        <v>14075</v>
      </c>
      <c r="CK225" s="50" t="s">
        <v>9439</v>
      </c>
      <c r="CL225" s="50" t="s">
        <v>14076</v>
      </c>
      <c r="CM225" s="50" t="s">
        <v>920</v>
      </c>
      <c r="CN225" s="50" t="s">
        <v>2474</v>
      </c>
      <c r="CO225" s="50" t="s">
        <v>9439</v>
      </c>
      <c r="CQ225" s="50" t="s">
        <v>14076</v>
      </c>
      <c r="CR225" s="50" t="s">
        <v>14076</v>
      </c>
      <c r="CS225" s="50" t="s">
        <v>26042</v>
      </c>
    </row>
    <row r="226" spans="1:97" hidden="1">
      <c r="A226" s="50" t="s">
        <v>149</v>
      </c>
      <c r="B226" s="50">
        <v>3347647</v>
      </c>
      <c r="C226" s="50" t="e">
        <f>VLOOKUP(B226,'Drop schools 2026'!B:C,2,0)</f>
        <v>#N/A</v>
      </c>
      <c r="D226" s="50" t="s">
        <v>212</v>
      </c>
      <c r="E226" s="50" t="s">
        <v>11947</v>
      </c>
      <c r="F226" s="50" t="s">
        <v>5599</v>
      </c>
      <c r="G226" s="50" t="str">
        <f>VLOOKUP(B226,aa!B:F,5,0)</f>
        <v>Ei ASSET,Ei Mindspark</v>
      </c>
      <c r="H226" s="50">
        <f>VLOOKUP(B226,aa!B:J,9,0)</f>
        <v>0</v>
      </c>
      <c r="I226" s="50">
        <f>VLOOKUP(B226,aa!B:L,11,0)</f>
        <v>0</v>
      </c>
      <c r="J226" s="50">
        <f>VLOOKUP(B226,aa!B:O,14,0)</f>
        <v>0</v>
      </c>
      <c r="K226" s="50">
        <f>VLOOKUP(B226,aa!B:R,17,0)</f>
        <v>0</v>
      </c>
      <c r="L226" s="50" t="s">
        <v>193</v>
      </c>
      <c r="M226" s="50">
        <v>686245</v>
      </c>
      <c r="N226" s="50">
        <v>769194</v>
      </c>
      <c r="O226" s="50">
        <v>225417</v>
      </c>
      <c r="P226" s="50">
        <v>725</v>
      </c>
      <c r="Q226" s="50" t="s">
        <v>195</v>
      </c>
      <c r="R226" s="50">
        <v>0</v>
      </c>
      <c r="S226" s="50">
        <v>0</v>
      </c>
      <c r="U226" s="50">
        <v>460828</v>
      </c>
      <c r="V226" s="50">
        <v>725</v>
      </c>
      <c r="W226" s="50" t="s">
        <v>11949</v>
      </c>
      <c r="X226" s="50" t="s">
        <v>102</v>
      </c>
      <c r="Y226" s="50" t="s">
        <v>103</v>
      </c>
      <c r="Z226" s="50" t="s">
        <v>104</v>
      </c>
      <c r="AB226" s="50" t="s">
        <v>11950</v>
      </c>
      <c r="AC226" s="50" t="s">
        <v>15665</v>
      </c>
      <c r="AD226" s="50" t="s">
        <v>11952</v>
      </c>
      <c r="AE226" s="50" t="s">
        <v>15665</v>
      </c>
      <c r="AF226" s="50" t="s">
        <v>109</v>
      </c>
      <c r="AG226" s="50" t="s">
        <v>102</v>
      </c>
      <c r="AH226" s="50" t="s">
        <v>109</v>
      </c>
      <c r="AI226" s="50" t="s">
        <v>102</v>
      </c>
      <c r="AJ226" s="50" t="s">
        <v>15666</v>
      </c>
      <c r="AK226" s="50" t="s">
        <v>11954</v>
      </c>
      <c r="AL226" s="50" t="s">
        <v>11954</v>
      </c>
      <c r="AM226" s="50" t="s">
        <v>15667</v>
      </c>
      <c r="AN226" s="50" t="s">
        <v>15668</v>
      </c>
      <c r="AO226" s="50" t="s">
        <v>15669</v>
      </c>
      <c r="AP226" s="50" t="s">
        <v>15670</v>
      </c>
      <c r="AQ226" s="50" t="s">
        <v>15670</v>
      </c>
      <c r="AV226" s="50" t="s">
        <v>207</v>
      </c>
      <c r="AW226" s="50" t="s">
        <v>118</v>
      </c>
      <c r="AX226" s="50" t="s">
        <v>102</v>
      </c>
      <c r="AY226" s="50" t="s">
        <v>119</v>
      </c>
      <c r="BB226" s="50" t="s">
        <v>250</v>
      </c>
      <c r="BC226" s="50" t="s">
        <v>120</v>
      </c>
      <c r="BD226" s="50" t="s">
        <v>5606</v>
      </c>
      <c r="BE226" s="50" t="s">
        <v>211</v>
      </c>
      <c r="BF226" s="50" t="s">
        <v>212</v>
      </c>
      <c r="BG226" s="50" t="s">
        <v>213</v>
      </c>
      <c r="BH226" s="50" t="s">
        <v>124</v>
      </c>
      <c r="BI226" s="50" t="s">
        <v>11959</v>
      </c>
      <c r="BJ226" s="50" t="s">
        <v>11960</v>
      </c>
      <c r="BK226" s="50" t="s">
        <v>127</v>
      </c>
      <c r="BL226" s="50" t="s">
        <v>15671</v>
      </c>
      <c r="BM226" s="50" t="s">
        <v>5608</v>
      </c>
      <c r="BN226" s="50" t="s">
        <v>15672</v>
      </c>
      <c r="BO226" s="50" t="s">
        <v>11948</v>
      </c>
      <c r="BP226" s="50" t="s">
        <v>1880</v>
      </c>
      <c r="BQ226" s="50" t="s">
        <v>7992</v>
      </c>
      <c r="BR226" s="50" t="s">
        <v>1882</v>
      </c>
      <c r="BS226" s="50" t="s">
        <v>1883</v>
      </c>
      <c r="BT226" s="50" t="s">
        <v>222</v>
      </c>
      <c r="BV226" s="50" t="s">
        <v>15673</v>
      </c>
      <c r="BW226" s="50" t="s">
        <v>12376</v>
      </c>
      <c r="BX226" s="50" t="s">
        <v>138</v>
      </c>
      <c r="BY226" s="50" t="s">
        <v>225</v>
      </c>
      <c r="BZ226" s="50" t="s">
        <v>226</v>
      </c>
      <c r="CA226" s="50" t="s">
        <v>5611</v>
      </c>
      <c r="CB226" s="50" t="s">
        <v>15674</v>
      </c>
      <c r="CC226" s="50" t="s">
        <v>15675</v>
      </c>
      <c r="CD226" s="50" t="s">
        <v>15676</v>
      </c>
      <c r="CE226" s="50" t="s">
        <v>15677</v>
      </c>
      <c r="CF226" s="50" t="s">
        <v>15678</v>
      </c>
      <c r="CG226" s="50" t="s">
        <v>15676</v>
      </c>
      <c r="CH226" s="50" t="s">
        <v>102</v>
      </c>
      <c r="CI226" s="50" t="s">
        <v>5612</v>
      </c>
      <c r="CK226" s="50" t="s">
        <v>5613</v>
      </c>
      <c r="CM226" s="50" t="s">
        <v>5606</v>
      </c>
      <c r="CN226" s="50" t="s">
        <v>211</v>
      </c>
      <c r="CO226" s="50" t="s">
        <v>5613</v>
      </c>
      <c r="CP226" s="50" t="s">
        <v>230</v>
      </c>
      <c r="CQ226" s="50" t="s">
        <v>5612</v>
      </c>
      <c r="CR226" s="50" t="s">
        <v>5612</v>
      </c>
    </row>
    <row r="227" spans="1:97" hidden="1">
      <c r="A227" s="50" t="s">
        <v>149</v>
      </c>
      <c r="B227" s="50">
        <v>5016141</v>
      </c>
      <c r="C227" s="50" t="e">
        <f>VLOOKUP(B227,'Drop schools 2026'!B:C,2,0)</f>
        <v>#N/A</v>
      </c>
      <c r="D227" s="50" t="s">
        <v>622</v>
      </c>
      <c r="E227" s="50" t="s">
        <v>1279</v>
      </c>
      <c r="F227" s="50" t="s">
        <v>9565</v>
      </c>
      <c r="G227" s="50" t="str">
        <f>VLOOKUP(B227,aa!B:F,5,0)</f>
        <v>Ei ASSET</v>
      </c>
      <c r="H227" s="50">
        <f>VLOOKUP(B227,aa!B:J,9,0)</f>
        <v>510300</v>
      </c>
      <c r="I227" s="50">
        <f>VLOOKUP(B227,aa!B:L,11,0)</f>
        <v>510300</v>
      </c>
      <c r="J227" s="50">
        <f>VLOOKUP(B227,aa!B:O,14,0)</f>
        <v>0</v>
      </c>
      <c r="K227" s="50">
        <f>VLOOKUP(B227,aa!B:R,17,0)</f>
        <v>0</v>
      </c>
      <c r="L227" s="50" t="s">
        <v>97</v>
      </c>
      <c r="M227" s="50">
        <v>685357</v>
      </c>
      <c r="N227" s="50">
        <v>685357</v>
      </c>
      <c r="O227" s="50">
        <v>685357</v>
      </c>
      <c r="P227" s="50">
        <v>1759</v>
      </c>
      <c r="Q227" s="50" t="s">
        <v>18776</v>
      </c>
      <c r="R227" s="50">
        <v>0</v>
      </c>
      <c r="S227" s="50">
        <v>0</v>
      </c>
      <c r="U227" s="50">
        <v>0</v>
      </c>
      <c r="V227" s="50">
        <v>0</v>
      </c>
      <c r="X227" s="50" t="s">
        <v>102</v>
      </c>
      <c r="Y227" s="50" t="s">
        <v>275</v>
      </c>
      <c r="AA227" s="50" t="s">
        <v>18775</v>
      </c>
      <c r="AB227" s="50" t="s">
        <v>109</v>
      </c>
      <c r="AC227" s="50" t="s">
        <v>102</v>
      </c>
      <c r="AD227" s="50" t="s">
        <v>109</v>
      </c>
      <c r="AE227" s="50" t="s">
        <v>102</v>
      </c>
      <c r="AF227" s="50" t="s">
        <v>109</v>
      </c>
      <c r="AG227" s="50" t="s">
        <v>102</v>
      </c>
      <c r="AH227" s="50" t="s">
        <v>109</v>
      </c>
      <c r="AI227" s="50" t="s">
        <v>102</v>
      </c>
      <c r="AJ227" s="50" t="s">
        <v>102</v>
      </c>
      <c r="AK227" s="50" t="s">
        <v>18777</v>
      </c>
      <c r="AL227" s="50" t="s">
        <v>14705</v>
      </c>
      <c r="AM227" s="50" t="s">
        <v>18778</v>
      </c>
      <c r="AN227" s="50" t="s">
        <v>18779</v>
      </c>
      <c r="AO227" s="50" t="s">
        <v>2202</v>
      </c>
      <c r="AP227" s="50" t="s">
        <v>18780</v>
      </c>
      <c r="AQ227" s="50" t="s">
        <v>18780</v>
      </c>
      <c r="AV227" s="50" t="s">
        <v>318</v>
      </c>
      <c r="AW227" s="50" t="s">
        <v>118</v>
      </c>
      <c r="AX227" s="50" t="s">
        <v>102</v>
      </c>
      <c r="AY227" s="50" t="s">
        <v>119</v>
      </c>
      <c r="BC227" s="50" t="s">
        <v>1964</v>
      </c>
      <c r="BD227" s="50" t="s">
        <v>623</v>
      </c>
      <c r="BE227" s="50" t="s">
        <v>621</v>
      </c>
      <c r="BF227" s="50" t="s">
        <v>622</v>
      </c>
      <c r="BG227" s="50" t="s">
        <v>623</v>
      </c>
      <c r="BH227" s="50" t="s">
        <v>124</v>
      </c>
      <c r="BI227" s="50" t="s">
        <v>11959</v>
      </c>
      <c r="BJ227" s="50" t="s">
        <v>11886</v>
      </c>
      <c r="BK227" s="50" t="s">
        <v>127</v>
      </c>
      <c r="BL227" s="50" t="s">
        <v>18781</v>
      </c>
      <c r="BM227" s="50" t="s">
        <v>9569</v>
      </c>
      <c r="BN227" s="50" t="s">
        <v>18782</v>
      </c>
      <c r="BO227" s="50" t="s">
        <v>18775</v>
      </c>
      <c r="BP227" s="50" t="s">
        <v>629</v>
      </c>
      <c r="BQ227" s="50" t="s">
        <v>505</v>
      </c>
      <c r="BR227" s="50" t="s">
        <v>630</v>
      </c>
      <c r="BS227" s="50" t="s">
        <v>631</v>
      </c>
      <c r="BT227" s="50" t="s">
        <v>1279</v>
      </c>
      <c r="BV227" s="50" t="s">
        <v>18783</v>
      </c>
      <c r="BW227" s="50" t="s">
        <v>18784</v>
      </c>
      <c r="BX227" s="50" t="s">
        <v>138</v>
      </c>
      <c r="BY227" s="50" t="s">
        <v>18785</v>
      </c>
      <c r="BZ227" s="50" t="s">
        <v>18786</v>
      </c>
      <c r="CA227" s="50" t="s">
        <v>9575</v>
      </c>
      <c r="CB227" s="50" t="s">
        <v>18784</v>
      </c>
      <c r="CC227" s="50" t="s">
        <v>18785</v>
      </c>
      <c r="CD227" s="50" t="s">
        <v>18786</v>
      </c>
      <c r="CE227" s="50" t="s">
        <v>18784</v>
      </c>
      <c r="CF227" s="50" t="s">
        <v>18785</v>
      </c>
      <c r="CG227" s="50" t="s">
        <v>18786</v>
      </c>
      <c r="CH227" s="50" t="s">
        <v>102</v>
      </c>
      <c r="CI227" s="50" t="s">
        <v>9576</v>
      </c>
      <c r="CK227" s="50" t="s">
        <v>9577</v>
      </c>
      <c r="CM227" s="50" t="s">
        <v>623</v>
      </c>
      <c r="CN227" s="50" t="s">
        <v>621</v>
      </c>
      <c r="CO227" s="50" t="s">
        <v>9577</v>
      </c>
      <c r="CQ227" s="50" t="s">
        <v>9576</v>
      </c>
      <c r="CR227" s="50" t="s">
        <v>9578</v>
      </c>
    </row>
    <row r="228" spans="1:97" hidden="1">
      <c r="A228" s="50" t="s">
        <v>337</v>
      </c>
      <c r="B228" s="50">
        <v>5017808</v>
      </c>
      <c r="C228" s="50" t="e">
        <f>VLOOKUP(B228,'Drop schools 2026'!B:C,2,0)</f>
        <v>#N/A</v>
      </c>
      <c r="D228" s="50" t="s">
        <v>212</v>
      </c>
      <c r="E228" s="50" t="s">
        <v>11995</v>
      </c>
      <c r="F228" s="50" t="s">
        <v>19136</v>
      </c>
      <c r="G228" s="50" t="e">
        <f>VLOOKUP(B228,aa!B:F,5,0)</f>
        <v>#N/A</v>
      </c>
      <c r="H228" s="50" t="e">
        <f>VLOOKUP(B228,aa!B:J,9,0)</f>
        <v>#N/A</v>
      </c>
      <c r="I228" s="50" t="e">
        <f>VLOOKUP(B228,aa!B:L,11,0)</f>
        <v>#N/A</v>
      </c>
      <c r="J228" s="50" t="e">
        <f>VLOOKUP(B228,aa!B:O,14,0)</f>
        <v>#N/A</v>
      </c>
      <c r="K228" s="50" t="e">
        <f>VLOOKUP(B228,aa!B:R,17,0)</f>
        <v>#N/A</v>
      </c>
      <c r="L228" s="50" t="s">
        <v>848</v>
      </c>
      <c r="M228" s="50">
        <v>684324</v>
      </c>
      <c r="N228" s="50">
        <v>807502</v>
      </c>
      <c r="O228" s="50">
        <v>0</v>
      </c>
      <c r="P228" s="50">
        <v>0</v>
      </c>
      <c r="R228" s="50">
        <v>0</v>
      </c>
      <c r="S228" s="50">
        <v>0</v>
      </c>
      <c r="U228" s="50">
        <v>684324</v>
      </c>
      <c r="V228" s="50">
        <v>342</v>
      </c>
      <c r="W228" s="50" t="s">
        <v>19137</v>
      </c>
      <c r="X228" s="50" t="s">
        <v>102</v>
      </c>
      <c r="Y228" s="50" t="s">
        <v>103</v>
      </c>
      <c r="Z228" s="50" t="s">
        <v>398</v>
      </c>
      <c r="AB228" s="50" t="s">
        <v>1408</v>
      </c>
      <c r="AC228" s="50" t="s">
        <v>19138</v>
      </c>
      <c r="AD228" s="50" t="s">
        <v>12041</v>
      </c>
      <c r="AE228" s="50" t="s">
        <v>19139</v>
      </c>
      <c r="AF228" s="50" t="s">
        <v>11886</v>
      </c>
      <c r="AG228" s="50" t="s">
        <v>19139</v>
      </c>
      <c r="AH228" s="50" t="s">
        <v>109</v>
      </c>
      <c r="AI228" s="50" t="s">
        <v>102</v>
      </c>
      <c r="AJ228" s="50" t="s">
        <v>102</v>
      </c>
      <c r="AK228" s="50" t="s">
        <v>13949</v>
      </c>
      <c r="AL228" s="50" t="s">
        <v>12875</v>
      </c>
      <c r="AM228" s="50" t="s">
        <v>19140</v>
      </c>
      <c r="AN228" s="50" t="s">
        <v>1081</v>
      </c>
      <c r="AO228" s="50" t="s">
        <v>19141</v>
      </c>
      <c r="AP228" s="50" t="s">
        <v>19142</v>
      </c>
      <c r="AQ228" s="50" t="s">
        <v>19142</v>
      </c>
      <c r="AV228" s="50" t="s">
        <v>102</v>
      </c>
      <c r="AX228" s="50" t="s">
        <v>102</v>
      </c>
      <c r="AY228" s="50" t="s">
        <v>119</v>
      </c>
      <c r="BB228" s="50" t="s">
        <v>250</v>
      </c>
      <c r="BC228" s="50" t="s">
        <v>1242</v>
      </c>
      <c r="BD228" s="50" t="s">
        <v>1609</v>
      </c>
      <c r="BE228" s="50" t="s">
        <v>285</v>
      </c>
      <c r="BF228" s="50" t="s">
        <v>212</v>
      </c>
      <c r="BG228" s="50" t="s">
        <v>286</v>
      </c>
      <c r="BH228" s="50" t="s">
        <v>124</v>
      </c>
      <c r="BI228" s="50" t="s">
        <v>12492</v>
      </c>
      <c r="BJ228" s="50" t="s">
        <v>19143</v>
      </c>
      <c r="BK228" s="50" t="s">
        <v>127</v>
      </c>
      <c r="BL228" s="50" t="s">
        <v>19144</v>
      </c>
      <c r="BM228" s="50" t="s">
        <v>19145</v>
      </c>
      <c r="BN228" s="50" t="s">
        <v>19146</v>
      </c>
      <c r="BO228" s="50" t="s">
        <v>13202</v>
      </c>
      <c r="BP228" s="50" t="s">
        <v>3997</v>
      </c>
      <c r="BQ228" s="50" t="s">
        <v>132</v>
      </c>
      <c r="BR228" s="50" t="s">
        <v>3998</v>
      </c>
      <c r="BS228" s="50" t="s">
        <v>3999</v>
      </c>
      <c r="BT228" s="50" t="s">
        <v>3362</v>
      </c>
      <c r="BV228" s="50" t="s">
        <v>19147</v>
      </c>
      <c r="BW228" s="50" t="s">
        <v>19148</v>
      </c>
      <c r="BX228" s="50" t="s">
        <v>354</v>
      </c>
      <c r="BY228" s="50" t="s">
        <v>1618</v>
      </c>
      <c r="BZ228" s="50" t="s">
        <v>1619</v>
      </c>
      <c r="CA228" s="50" t="s">
        <v>1618</v>
      </c>
      <c r="CB228" s="50" t="s">
        <v>19149</v>
      </c>
      <c r="CC228" s="50" t="s">
        <v>1618</v>
      </c>
      <c r="CD228" s="50" t="s">
        <v>1619</v>
      </c>
      <c r="CE228" s="50" t="s">
        <v>19150</v>
      </c>
      <c r="CF228" s="50" t="s">
        <v>19151</v>
      </c>
      <c r="CG228" s="50" t="s">
        <v>19152</v>
      </c>
      <c r="CH228" s="50" t="s">
        <v>19153</v>
      </c>
      <c r="CI228" s="50" t="s">
        <v>19136</v>
      </c>
      <c r="CK228" s="50" t="s">
        <v>1622</v>
      </c>
      <c r="CL228" s="50" t="s">
        <v>19154</v>
      </c>
      <c r="CM228" s="50" t="s">
        <v>1609</v>
      </c>
      <c r="CN228" s="50" t="s">
        <v>285</v>
      </c>
      <c r="CO228" s="50" t="s">
        <v>1622</v>
      </c>
      <c r="CQ228" s="50" t="s">
        <v>19155</v>
      </c>
      <c r="CR228" s="50" t="s">
        <v>19155</v>
      </c>
      <c r="CS228" s="50" t="s">
        <v>26043</v>
      </c>
    </row>
    <row r="229" spans="1:97" hidden="1">
      <c r="A229" s="50" t="s">
        <v>149</v>
      </c>
      <c r="B229" s="50">
        <v>507090</v>
      </c>
      <c r="C229" s="50" t="e">
        <f>VLOOKUP(B229,'Drop schools 2026'!B:C,2,0)</f>
        <v>#N/A</v>
      </c>
      <c r="D229" s="50" t="s">
        <v>122</v>
      </c>
      <c r="E229" s="50" t="s">
        <v>11882</v>
      </c>
      <c r="F229" s="50" t="s">
        <v>10811</v>
      </c>
      <c r="G229" s="50" t="str">
        <f>VLOOKUP(B229,aa!B:F,5,0)</f>
        <v>Ei ASSET</v>
      </c>
      <c r="H229" s="50">
        <f>VLOOKUP(B229,aa!B:J,9,0)</f>
        <v>1134163</v>
      </c>
      <c r="I229" s="50">
        <f>VLOOKUP(B229,aa!B:L,11,0)</f>
        <v>1134163</v>
      </c>
      <c r="J229" s="50">
        <f>VLOOKUP(B229,aa!B:O,14,0)</f>
        <v>0</v>
      </c>
      <c r="K229" s="50">
        <f>VLOOKUP(B229,aa!B:R,17,0)</f>
        <v>0</v>
      </c>
      <c r="L229" s="50" t="s">
        <v>97</v>
      </c>
      <c r="M229" s="50">
        <v>684000</v>
      </c>
      <c r="N229" s="50">
        <v>684000</v>
      </c>
      <c r="O229" s="50">
        <v>684000</v>
      </c>
      <c r="P229" s="50">
        <v>1140</v>
      </c>
      <c r="Q229" s="50" t="s">
        <v>310</v>
      </c>
      <c r="R229" s="50">
        <v>0</v>
      </c>
      <c r="S229" s="50">
        <v>0</v>
      </c>
      <c r="U229" s="50">
        <v>0</v>
      </c>
      <c r="V229" s="50">
        <v>0</v>
      </c>
      <c r="X229" s="50" t="s">
        <v>102</v>
      </c>
      <c r="Y229" s="50" t="s">
        <v>275</v>
      </c>
      <c r="AA229" s="50" t="s">
        <v>11976</v>
      </c>
      <c r="AB229" s="50" t="s">
        <v>109</v>
      </c>
      <c r="AC229" s="50" t="s">
        <v>102</v>
      </c>
      <c r="AD229" s="50" t="s">
        <v>109</v>
      </c>
      <c r="AE229" s="50" t="s">
        <v>102</v>
      </c>
      <c r="AF229" s="50" t="s">
        <v>109</v>
      </c>
      <c r="AG229" s="50" t="s">
        <v>102</v>
      </c>
      <c r="AH229" s="50" t="s">
        <v>109</v>
      </c>
      <c r="AI229" s="50" t="s">
        <v>102</v>
      </c>
      <c r="AJ229" s="50" t="s">
        <v>20797</v>
      </c>
      <c r="AK229" s="50" t="s">
        <v>13033</v>
      </c>
      <c r="AL229" s="50" t="s">
        <v>13033</v>
      </c>
      <c r="AM229" s="50" t="s">
        <v>20798</v>
      </c>
      <c r="AN229" s="50" t="s">
        <v>20799</v>
      </c>
      <c r="AO229" s="50" t="s">
        <v>102</v>
      </c>
      <c r="AP229" s="50" t="s">
        <v>317</v>
      </c>
      <c r="AQ229" s="50" t="s">
        <v>2147</v>
      </c>
      <c r="AU229" s="50" t="s">
        <v>169</v>
      </c>
      <c r="AV229" s="50" t="s">
        <v>318</v>
      </c>
      <c r="AW229" s="50" t="s">
        <v>118</v>
      </c>
      <c r="AX229" s="50" t="s">
        <v>102</v>
      </c>
      <c r="AY229" s="50" t="s">
        <v>119</v>
      </c>
      <c r="BC229" s="50" t="s">
        <v>120</v>
      </c>
      <c r="BD229" s="50" t="s">
        <v>448</v>
      </c>
      <c r="BE229" s="50" t="s">
        <v>449</v>
      </c>
      <c r="BF229" s="50" t="s">
        <v>122</v>
      </c>
      <c r="BG229" s="50" t="s">
        <v>450</v>
      </c>
      <c r="BH229" s="50" t="s">
        <v>124</v>
      </c>
      <c r="BI229" s="50" t="s">
        <v>12023</v>
      </c>
      <c r="BJ229" s="50" t="s">
        <v>11889</v>
      </c>
      <c r="BK229" s="50" t="s">
        <v>127</v>
      </c>
      <c r="BL229" s="50" t="s">
        <v>20800</v>
      </c>
      <c r="BM229" s="50" t="s">
        <v>10817</v>
      </c>
      <c r="BN229" s="50" t="s">
        <v>20801</v>
      </c>
      <c r="BO229" s="50" t="s">
        <v>15421</v>
      </c>
      <c r="BP229" s="50" t="s">
        <v>3267</v>
      </c>
      <c r="BQ229" s="50" t="s">
        <v>350</v>
      </c>
      <c r="BR229" s="50" t="s">
        <v>3268</v>
      </c>
      <c r="BS229" s="50" t="s">
        <v>3269</v>
      </c>
      <c r="BT229" s="50" t="s">
        <v>135</v>
      </c>
      <c r="BV229" s="50" t="s">
        <v>20802</v>
      </c>
      <c r="BW229" s="50" t="s">
        <v>10820</v>
      </c>
      <c r="BX229" s="50" t="s">
        <v>598</v>
      </c>
      <c r="BY229" s="50" t="s">
        <v>10821</v>
      </c>
      <c r="BZ229" s="50" t="s">
        <v>10822</v>
      </c>
      <c r="CA229" s="50" t="s">
        <v>10823</v>
      </c>
      <c r="CB229" s="50" t="s">
        <v>20803</v>
      </c>
      <c r="CC229" s="50" t="s">
        <v>20804</v>
      </c>
      <c r="CD229" s="50" t="s">
        <v>20805</v>
      </c>
      <c r="CE229" s="50" t="s">
        <v>10820</v>
      </c>
      <c r="CF229" s="50" t="s">
        <v>10821</v>
      </c>
      <c r="CG229" s="50" t="s">
        <v>10822</v>
      </c>
      <c r="CH229" s="50" t="s">
        <v>102</v>
      </c>
      <c r="CI229" s="50" t="s">
        <v>20806</v>
      </c>
      <c r="CK229" s="50" t="s">
        <v>4512</v>
      </c>
      <c r="CM229" s="50" t="s">
        <v>448</v>
      </c>
      <c r="CN229" s="50" t="s">
        <v>449</v>
      </c>
      <c r="CO229" s="50" t="s">
        <v>4512</v>
      </c>
      <c r="CP229" s="50" t="s">
        <v>10825</v>
      </c>
      <c r="CQ229" s="50" t="s">
        <v>10824</v>
      </c>
      <c r="CR229" s="50" t="s">
        <v>10824</v>
      </c>
    </row>
    <row r="230" spans="1:97" hidden="1">
      <c r="A230" s="50" t="s">
        <v>149</v>
      </c>
      <c r="B230" s="50">
        <v>2408882</v>
      </c>
      <c r="C230" s="50" t="e">
        <f>VLOOKUP(B230,'Drop schools 2026'!B:C,2,0)</f>
        <v>#N/A</v>
      </c>
      <c r="D230" s="50" t="s">
        <v>122</v>
      </c>
      <c r="E230" s="50" t="s">
        <v>11882</v>
      </c>
      <c r="F230" s="50" t="s">
        <v>3254</v>
      </c>
      <c r="G230" s="50" t="e">
        <f>VLOOKUP(B230,aa!B:F,5,0)</f>
        <v>#N/A</v>
      </c>
      <c r="H230" s="50" t="e">
        <f>VLOOKUP(B230,aa!B:J,9,0)</f>
        <v>#N/A</v>
      </c>
      <c r="I230" s="50" t="e">
        <f>VLOOKUP(B230,aa!B:L,11,0)</f>
        <v>#N/A</v>
      </c>
      <c r="J230" s="50" t="e">
        <f>VLOOKUP(B230,aa!B:O,14,0)</f>
        <v>#N/A</v>
      </c>
      <c r="K230" s="50" t="e">
        <f>VLOOKUP(B230,aa!B:R,17,0)</f>
        <v>#N/A</v>
      </c>
      <c r="L230" s="50" t="s">
        <v>97</v>
      </c>
      <c r="M230" s="50">
        <v>678099</v>
      </c>
      <c r="N230" s="50">
        <v>678099</v>
      </c>
      <c r="O230" s="50">
        <v>678099</v>
      </c>
      <c r="P230" s="50">
        <v>1211</v>
      </c>
      <c r="Q230" s="50" t="s">
        <v>3257</v>
      </c>
      <c r="R230" s="50">
        <v>0</v>
      </c>
      <c r="S230" s="50">
        <v>0</v>
      </c>
      <c r="U230" s="50">
        <v>0</v>
      </c>
      <c r="V230" s="50">
        <v>0</v>
      </c>
      <c r="X230" s="50" t="s">
        <v>102</v>
      </c>
      <c r="Y230" s="50" t="s">
        <v>103</v>
      </c>
      <c r="Z230" s="50" t="s">
        <v>398</v>
      </c>
      <c r="AB230" s="50" t="s">
        <v>13833</v>
      </c>
      <c r="AC230" s="50" t="s">
        <v>13899</v>
      </c>
      <c r="AD230" s="50" t="s">
        <v>12084</v>
      </c>
      <c r="AE230" s="50" t="s">
        <v>13900</v>
      </c>
      <c r="AF230" s="50" t="s">
        <v>11886</v>
      </c>
      <c r="AG230" s="50" t="s">
        <v>13900</v>
      </c>
      <c r="AH230" s="50" t="s">
        <v>109</v>
      </c>
      <c r="AI230" s="50" t="s">
        <v>102</v>
      </c>
      <c r="AJ230" s="50" t="s">
        <v>13901</v>
      </c>
      <c r="AK230" s="50" t="s">
        <v>13902</v>
      </c>
      <c r="AL230" s="50" t="s">
        <v>13902</v>
      </c>
      <c r="AM230" s="50" t="s">
        <v>13903</v>
      </c>
      <c r="AN230" s="50" t="s">
        <v>13904</v>
      </c>
      <c r="AO230" s="50" t="s">
        <v>13899</v>
      </c>
      <c r="AP230" s="50" t="s">
        <v>3262</v>
      </c>
      <c r="AQ230" s="50" t="s">
        <v>3262</v>
      </c>
      <c r="AV230" s="50" t="s">
        <v>117</v>
      </c>
      <c r="AW230" s="50" t="s">
        <v>118</v>
      </c>
      <c r="AX230" s="50" t="s">
        <v>102</v>
      </c>
      <c r="AY230" s="50" t="s">
        <v>119</v>
      </c>
      <c r="BC230" s="50" t="s">
        <v>120</v>
      </c>
      <c r="BD230" s="50" t="s">
        <v>3263</v>
      </c>
      <c r="BE230" s="50" t="s">
        <v>320</v>
      </c>
      <c r="BF230" s="50" t="s">
        <v>122</v>
      </c>
      <c r="BG230" s="50" t="s">
        <v>123</v>
      </c>
      <c r="BH230" s="50" t="s">
        <v>124</v>
      </c>
      <c r="BI230" s="50" t="s">
        <v>12023</v>
      </c>
      <c r="BJ230" s="50" t="s">
        <v>11889</v>
      </c>
      <c r="BK230" s="50" t="s">
        <v>127</v>
      </c>
      <c r="BL230" s="50" t="s">
        <v>13905</v>
      </c>
      <c r="BM230" s="50" t="s">
        <v>3265</v>
      </c>
      <c r="BN230" s="50" t="s">
        <v>13906</v>
      </c>
      <c r="BO230" s="50" t="s">
        <v>11888</v>
      </c>
      <c r="BP230" s="50" t="s">
        <v>3267</v>
      </c>
      <c r="BQ230" s="50" t="s">
        <v>505</v>
      </c>
      <c r="BR230" s="50" t="s">
        <v>3268</v>
      </c>
      <c r="BS230" s="50" t="s">
        <v>3269</v>
      </c>
      <c r="BT230" s="50" t="s">
        <v>135</v>
      </c>
      <c r="BV230" s="50" t="s">
        <v>13907</v>
      </c>
      <c r="BW230" s="50" t="s">
        <v>3271</v>
      </c>
      <c r="BX230" s="50" t="s">
        <v>138</v>
      </c>
      <c r="BY230" s="50" t="s">
        <v>3272</v>
      </c>
      <c r="BZ230" s="50" t="s">
        <v>13908</v>
      </c>
      <c r="CA230" s="50" t="s">
        <v>3274</v>
      </c>
      <c r="CB230" s="50" t="s">
        <v>3271</v>
      </c>
      <c r="CC230" s="50" t="s">
        <v>13909</v>
      </c>
      <c r="CD230" s="50" t="s">
        <v>13908</v>
      </c>
      <c r="CE230" s="50" t="s">
        <v>3271</v>
      </c>
      <c r="CF230" s="50" t="s">
        <v>13910</v>
      </c>
      <c r="CG230" s="50" t="s">
        <v>13908</v>
      </c>
      <c r="CH230" s="50" t="s">
        <v>102</v>
      </c>
      <c r="CI230" s="50" t="s">
        <v>13911</v>
      </c>
      <c r="CK230" s="50" t="s">
        <v>2071</v>
      </c>
      <c r="CM230" s="50" t="s">
        <v>3263</v>
      </c>
      <c r="CN230" s="50" t="s">
        <v>320</v>
      </c>
      <c r="CO230" s="50" t="s">
        <v>2071</v>
      </c>
      <c r="CP230" s="50" t="s">
        <v>3276</v>
      </c>
      <c r="CQ230" s="50" t="s">
        <v>3275</v>
      </c>
      <c r="CR230" s="50" t="s">
        <v>3275</v>
      </c>
    </row>
    <row r="231" spans="1:97" hidden="1">
      <c r="A231" s="50" t="s">
        <v>149</v>
      </c>
      <c r="B231" s="50">
        <v>5016893</v>
      </c>
      <c r="C231" s="50" t="e">
        <f>VLOOKUP(B231,'Drop schools 2026'!B:C,2,0)</f>
        <v>#N/A</v>
      </c>
      <c r="D231" s="50" t="s">
        <v>212</v>
      </c>
      <c r="E231" s="50" t="s">
        <v>11995</v>
      </c>
      <c r="F231" s="50" t="s">
        <v>9787</v>
      </c>
      <c r="G231" s="50" t="str">
        <f>VLOOKUP(B231,aa!B:F,5,0)</f>
        <v>Ei Mindspark</v>
      </c>
      <c r="H231" s="50">
        <f>VLOOKUP(B231,aa!B:J,9,0)</f>
        <v>292896</v>
      </c>
      <c r="I231" s="50">
        <f>VLOOKUP(B231,aa!B:L,11,0)</f>
        <v>0</v>
      </c>
      <c r="J231" s="50">
        <f>VLOOKUP(B231,aa!B:O,14,0)</f>
        <v>0</v>
      </c>
      <c r="K231" s="50">
        <f>VLOOKUP(B231,aa!B:R,17,0)</f>
        <v>292896</v>
      </c>
      <c r="L231" s="50" t="s">
        <v>193</v>
      </c>
      <c r="M231" s="50">
        <v>674407</v>
      </c>
      <c r="N231" s="50">
        <v>720778</v>
      </c>
      <c r="O231" s="50">
        <v>416793</v>
      </c>
      <c r="P231" s="50">
        <v>579</v>
      </c>
      <c r="Q231" s="50" t="s">
        <v>995</v>
      </c>
      <c r="R231" s="50">
        <v>0</v>
      </c>
      <c r="S231" s="50">
        <v>0</v>
      </c>
      <c r="U231" s="50">
        <v>257614</v>
      </c>
      <c r="V231" s="50">
        <v>190</v>
      </c>
      <c r="W231" s="50" t="s">
        <v>4518</v>
      </c>
      <c r="X231" s="50" t="s">
        <v>102</v>
      </c>
      <c r="Y231" s="50" t="s">
        <v>103</v>
      </c>
      <c r="Z231" s="50" t="s">
        <v>5317</v>
      </c>
      <c r="AB231" s="50" t="s">
        <v>3993</v>
      </c>
      <c r="AC231" s="50" t="s">
        <v>18940</v>
      </c>
      <c r="AD231" s="50" t="s">
        <v>16772</v>
      </c>
      <c r="AE231" s="50" t="s">
        <v>18941</v>
      </c>
      <c r="AF231" s="50" t="s">
        <v>14349</v>
      </c>
      <c r="AG231" s="50" t="s">
        <v>18942</v>
      </c>
      <c r="AH231" s="50" t="s">
        <v>109</v>
      </c>
      <c r="AI231" s="50" t="s">
        <v>102</v>
      </c>
      <c r="AJ231" s="50" t="s">
        <v>18943</v>
      </c>
      <c r="AK231" s="50" t="s">
        <v>857</v>
      </c>
      <c r="AL231" s="50" t="s">
        <v>18944</v>
      </c>
      <c r="AM231" s="50" t="s">
        <v>18945</v>
      </c>
      <c r="AN231" s="50" t="s">
        <v>18946</v>
      </c>
      <c r="AO231" s="50" t="s">
        <v>18947</v>
      </c>
      <c r="AP231" s="50" t="s">
        <v>18948</v>
      </c>
      <c r="AQ231" s="50" t="s">
        <v>18948</v>
      </c>
      <c r="AV231" s="50" t="s">
        <v>207</v>
      </c>
      <c r="AW231" s="50" t="s">
        <v>118</v>
      </c>
      <c r="AX231" s="50" t="s">
        <v>102</v>
      </c>
      <c r="AY231" s="50" t="s">
        <v>119</v>
      </c>
      <c r="BB231" s="50" t="s">
        <v>250</v>
      </c>
      <c r="BC231" s="50" t="s">
        <v>120</v>
      </c>
      <c r="BD231" s="50" t="s">
        <v>284</v>
      </c>
      <c r="BE231" s="50" t="s">
        <v>285</v>
      </c>
      <c r="BF231" s="50" t="s">
        <v>212</v>
      </c>
      <c r="BG231" s="50" t="s">
        <v>286</v>
      </c>
      <c r="BH231" s="50" t="s">
        <v>124</v>
      </c>
      <c r="BI231" s="50" t="s">
        <v>18949</v>
      </c>
      <c r="BJ231" s="50" t="s">
        <v>18950</v>
      </c>
      <c r="BK231" s="50" t="s">
        <v>127</v>
      </c>
      <c r="BL231" s="50" t="s">
        <v>18951</v>
      </c>
      <c r="BM231" s="50" t="s">
        <v>9801</v>
      </c>
      <c r="BN231" s="50" t="s">
        <v>18952</v>
      </c>
      <c r="BO231" s="50" t="s">
        <v>945</v>
      </c>
      <c r="BP231" s="50" t="s">
        <v>12008</v>
      </c>
      <c r="BQ231" s="50" t="s">
        <v>132</v>
      </c>
      <c r="BR231" s="50" t="s">
        <v>12009</v>
      </c>
      <c r="BS231" s="50" t="s">
        <v>12010</v>
      </c>
      <c r="BT231" s="50" t="s">
        <v>293</v>
      </c>
      <c r="BV231" s="50" t="s">
        <v>18953</v>
      </c>
      <c r="BW231" s="50" t="s">
        <v>18931</v>
      </c>
      <c r="BX231" s="50" t="s">
        <v>296</v>
      </c>
      <c r="BY231" s="50" t="s">
        <v>18932</v>
      </c>
      <c r="BZ231" s="50" t="s">
        <v>6877</v>
      </c>
      <c r="CA231" s="50" t="s">
        <v>6876</v>
      </c>
      <c r="CB231" s="50" t="s">
        <v>18954</v>
      </c>
      <c r="CC231" s="50" t="s">
        <v>18955</v>
      </c>
      <c r="CD231" s="50" t="s">
        <v>18956</v>
      </c>
      <c r="CE231" s="50" t="s">
        <v>18957</v>
      </c>
      <c r="CF231" s="50" t="s">
        <v>9807</v>
      </c>
      <c r="CG231" s="50" t="s">
        <v>9808</v>
      </c>
      <c r="CH231" s="50" t="s">
        <v>102</v>
      </c>
      <c r="CI231" s="50" t="s">
        <v>9809</v>
      </c>
      <c r="CK231" s="50" t="s">
        <v>6711</v>
      </c>
      <c r="CM231" s="50" t="s">
        <v>284</v>
      </c>
      <c r="CN231" s="50" t="s">
        <v>285</v>
      </c>
      <c r="CO231" s="50" t="s">
        <v>6711</v>
      </c>
      <c r="CP231" s="50" t="s">
        <v>6886</v>
      </c>
      <c r="CQ231" s="50" t="s">
        <v>9810</v>
      </c>
      <c r="CR231" s="50" t="s">
        <v>9809</v>
      </c>
    </row>
    <row r="232" spans="1:97" hidden="1">
      <c r="A232" s="50" t="s">
        <v>149</v>
      </c>
      <c r="B232" s="50">
        <v>169040</v>
      </c>
      <c r="C232" s="50" t="e">
        <f>VLOOKUP(B232,'Drop schools 2026'!B:C,2,0)</f>
        <v>#N/A</v>
      </c>
      <c r="D232" s="50" t="s">
        <v>174</v>
      </c>
      <c r="E232" s="50" t="s">
        <v>12058</v>
      </c>
      <c r="F232" s="50" t="s">
        <v>1517</v>
      </c>
      <c r="G232" s="50" t="e">
        <f>VLOOKUP(B232,aa!B:F,5,0)</f>
        <v>#N/A</v>
      </c>
      <c r="H232" s="50" t="e">
        <f>VLOOKUP(B232,aa!B:J,9,0)</f>
        <v>#N/A</v>
      </c>
      <c r="I232" s="50" t="e">
        <f>VLOOKUP(B232,aa!B:L,11,0)</f>
        <v>#N/A</v>
      </c>
      <c r="J232" s="50" t="e">
        <f>VLOOKUP(B232,aa!B:O,14,0)</f>
        <v>#N/A</v>
      </c>
      <c r="K232" s="50" t="e">
        <f>VLOOKUP(B232,aa!B:R,17,0)</f>
        <v>#N/A</v>
      </c>
      <c r="L232" s="50" t="s">
        <v>152</v>
      </c>
      <c r="M232" s="50">
        <v>670814</v>
      </c>
      <c r="N232" s="50">
        <v>670814</v>
      </c>
      <c r="O232" s="50">
        <v>0</v>
      </c>
      <c r="P232" s="50">
        <v>0</v>
      </c>
      <c r="R232" s="50">
        <v>670814</v>
      </c>
      <c r="S232" s="50">
        <v>445</v>
      </c>
      <c r="T232" s="50" t="s">
        <v>12779</v>
      </c>
      <c r="U232" s="50">
        <v>0</v>
      </c>
      <c r="V232" s="50">
        <v>0</v>
      </c>
      <c r="X232" s="50" t="s">
        <v>102</v>
      </c>
      <c r="Y232" s="50" t="s">
        <v>103</v>
      </c>
      <c r="Z232" s="50" t="s">
        <v>155</v>
      </c>
      <c r="AB232" s="50" t="s">
        <v>11959</v>
      </c>
      <c r="AC232" s="50" t="s">
        <v>12780</v>
      </c>
      <c r="AD232" s="50" t="s">
        <v>12781</v>
      </c>
      <c r="AE232" s="50" t="s">
        <v>12780</v>
      </c>
      <c r="AF232" s="50" t="s">
        <v>12782</v>
      </c>
      <c r="AG232" s="50" t="s">
        <v>12780</v>
      </c>
      <c r="AH232" s="50" t="s">
        <v>11886</v>
      </c>
      <c r="AI232" s="50" t="s">
        <v>12780</v>
      </c>
      <c r="AJ232" s="50" t="s">
        <v>102</v>
      </c>
      <c r="AK232" s="50" t="s">
        <v>12783</v>
      </c>
      <c r="AL232" s="50" t="s">
        <v>12783</v>
      </c>
      <c r="AM232" s="50" t="s">
        <v>12784</v>
      </c>
      <c r="AN232" s="50" t="s">
        <v>12785</v>
      </c>
      <c r="AO232" s="50" t="s">
        <v>12786</v>
      </c>
      <c r="AP232" s="50" t="s">
        <v>12787</v>
      </c>
      <c r="AQ232" s="50" t="s">
        <v>12787</v>
      </c>
      <c r="AV232" s="50" t="s">
        <v>102</v>
      </c>
      <c r="AX232" s="50" t="s">
        <v>3536</v>
      </c>
      <c r="AY232" s="50" t="s">
        <v>119</v>
      </c>
      <c r="AZ232" s="50" t="s">
        <v>170</v>
      </c>
      <c r="BA232" s="50" t="s">
        <v>118</v>
      </c>
      <c r="BC232" s="50" t="s">
        <v>171</v>
      </c>
      <c r="BD232" s="50" t="s">
        <v>375</v>
      </c>
      <c r="BE232" s="50" t="s">
        <v>376</v>
      </c>
      <c r="BF232" s="50" t="s">
        <v>174</v>
      </c>
      <c r="BG232" s="50" t="s">
        <v>376</v>
      </c>
      <c r="BH232" s="50" t="s">
        <v>124</v>
      </c>
      <c r="BI232" s="50" t="s">
        <v>11938</v>
      </c>
      <c r="BJ232" s="50" t="s">
        <v>12788</v>
      </c>
      <c r="BK232" s="50" t="s">
        <v>127</v>
      </c>
      <c r="BL232" s="50" t="s">
        <v>12789</v>
      </c>
      <c r="BM232" s="50" t="s">
        <v>1531</v>
      </c>
      <c r="BN232" s="50" t="s">
        <v>12790</v>
      </c>
      <c r="BO232" s="50" t="s">
        <v>11938</v>
      </c>
      <c r="BP232" s="50" t="s">
        <v>12071</v>
      </c>
      <c r="BQ232" s="50" t="s">
        <v>180</v>
      </c>
      <c r="BR232" s="50" t="s">
        <v>12072</v>
      </c>
      <c r="BS232" s="50" t="s">
        <v>12073</v>
      </c>
      <c r="BT232" s="50" t="s">
        <v>183</v>
      </c>
      <c r="BV232" s="50" t="s">
        <v>12791</v>
      </c>
      <c r="BW232" s="50" t="s">
        <v>12792</v>
      </c>
      <c r="BX232" s="50" t="s">
        <v>138</v>
      </c>
      <c r="BY232" s="50" t="s">
        <v>1536</v>
      </c>
      <c r="BZ232" s="50" t="s">
        <v>1537</v>
      </c>
      <c r="CA232" s="50" t="s">
        <v>1536</v>
      </c>
      <c r="CB232" s="50" t="s">
        <v>12793</v>
      </c>
      <c r="CC232" s="50" t="s">
        <v>12794</v>
      </c>
      <c r="CD232" s="50" t="s">
        <v>12795</v>
      </c>
      <c r="CE232" s="50" t="s">
        <v>12796</v>
      </c>
      <c r="CF232" s="50" t="s">
        <v>1536</v>
      </c>
      <c r="CG232" s="50" t="s">
        <v>12797</v>
      </c>
      <c r="CH232" s="50" t="s">
        <v>1538</v>
      </c>
      <c r="CI232" s="50" t="s">
        <v>12798</v>
      </c>
      <c r="CK232" s="50" t="s">
        <v>1540</v>
      </c>
      <c r="CL232" s="50" t="s">
        <v>1539</v>
      </c>
      <c r="CM232" s="50" t="s">
        <v>375</v>
      </c>
      <c r="CN232" s="50" t="s">
        <v>376</v>
      </c>
      <c r="CO232" s="50" t="s">
        <v>1540</v>
      </c>
      <c r="CQ232" s="50" t="s">
        <v>1539</v>
      </c>
      <c r="CR232" s="50" t="s">
        <v>1539</v>
      </c>
      <c r="CS232" s="50" t="s">
        <v>26047</v>
      </c>
    </row>
    <row r="233" spans="1:97" hidden="1">
      <c r="A233" s="50" t="s">
        <v>149</v>
      </c>
      <c r="B233" s="50">
        <v>411876</v>
      </c>
      <c r="C233" s="50" t="e">
        <f>VLOOKUP(B233,'Drop schools 2026'!B:C,2,0)</f>
        <v>#N/A</v>
      </c>
      <c r="D233" s="50" t="s">
        <v>212</v>
      </c>
      <c r="E233" s="50" t="s">
        <v>2151</v>
      </c>
      <c r="F233" s="50" t="s">
        <v>8700</v>
      </c>
      <c r="G233" s="50" t="str">
        <f>VLOOKUP(B233,aa!B:F,5,0)</f>
        <v>Ei Mindspark</v>
      </c>
      <c r="H233" s="50">
        <f>VLOOKUP(B233,aa!B:J,9,0)</f>
        <v>469229</v>
      </c>
      <c r="I233" s="50">
        <f>VLOOKUP(B233,aa!B:L,11,0)</f>
        <v>0</v>
      </c>
      <c r="J233" s="50">
        <f>VLOOKUP(B233,aa!B:O,14,0)</f>
        <v>0</v>
      </c>
      <c r="K233" s="50">
        <f>VLOOKUP(B233,aa!B:R,17,0)</f>
        <v>469229</v>
      </c>
      <c r="L233" s="50" t="s">
        <v>848</v>
      </c>
      <c r="M233" s="50">
        <v>668488</v>
      </c>
      <c r="N233" s="50">
        <v>788816</v>
      </c>
      <c r="O233" s="50">
        <v>0</v>
      </c>
      <c r="P233" s="50">
        <v>0</v>
      </c>
      <c r="R233" s="50">
        <v>0</v>
      </c>
      <c r="S233" s="50">
        <v>0</v>
      </c>
      <c r="U233" s="50">
        <v>668488</v>
      </c>
      <c r="V233" s="50">
        <v>326</v>
      </c>
      <c r="W233" s="50" t="s">
        <v>3029</v>
      </c>
      <c r="X233" s="50" t="s">
        <v>102</v>
      </c>
      <c r="Y233" s="50" t="s">
        <v>103</v>
      </c>
      <c r="Z233" s="50" t="s">
        <v>398</v>
      </c>
      <c r="AB233" s="50" t="s">
        <v>15564</v>
      </c>
      <c r="AC233" s="50" t="s">
        <v>18122</v>
      </c>
      <c r="AD233" s="50" t="s">
        <v>18123</v>
      </c>
      <c r="AE233" s="50" t="s">
        <v>18124</v>
      </c>
      <c r="AF233" s="50" t="s">
        <v>12063</v>
      </c>
      <c r="AG233" s="50" t="s">
        <v>18124</v>
      </c>
      <c r="AH233" s="50" t="s">
        <v>109</v>
      </c>
      <c r="AI233" s="50" t="s">
        <v>102</v>
      </c>
      <c r="AJ233" s="50" t="s">
        <v>18125</v>
      </c>
      <c r="AK233" s="50" t="s">
        <v>12819</v>
      </c>
      <c r="AL233" s="50" t="s">
        <v>6895</v>
      </c>
      <c r="AM233" s="50" t="s">
        <v>18126</v>
      </c>
      <c r="AN233" s="50" t="s">
        <v>18127</v>
      </c>
      <c r="AO233" s="50" t="s">
        <v>18128</v>
      </c>
      <c r="AP233" s="50" t="s">
        <v>18129</v>
      </c>
      <c r="AQ233" s="50" t="s">
        <v>18129</v>
      </c>
      <c r="AV233" s="50" t="s">
        <v>102</v>
      </c>
      <c r="AX233" s="50" t="s">
        <v>102</v>
      </c>
      <c r="AY233" s="50" t="s">
        <v>119</v>
      </c>
      <c r="BB233" s="50" t="s">
        <v>250</v>
      </c>
      <c r="BC233" s="50" t="s">
        <v>2565</v>
      </c>
      <c r="BD233" s="50" t="s">
        <v>920</v>
      </c>
      <c r="BE233" s="50" t="s">
        <v>211</v>
      </c>
      <c r="BF233" s="50" t="s">
        <v>212</v>
      </c>
      <c r="BG233" s="50" t="s">
        <v>213</v>
      </c>
      <c r="BH233" s="50" t="s">
        <v>124</v>
      </c>
      <c r="BI233" s="50" t="s">
        <v>11948</v>
      </c>
      <c r="BJ233" s="50" t="s">
        <v>12047</v>
      </c>
      <c r="BK233" s="50" t="s">
        <v>127</v>
      </c>
      <c r="BL233" s="50" t="s">
        <v>18130</v>
      </c>
      <c r="BM233" s="50" t="s">
        <v>8710</v>
      </c>
      <c r="BN233" s="50" t="s">
        <v>18131</v>
      </c>
      <c r="BO233" s="50" t="s">
        <v>11948</v>
      </c>
      <c r="BP233" s="50" t="s">
        <v>415</v>
      </c>
      <c r="BQ233" s="50" t="s">
        <v>180</v>
      </c>
      <c r="BR233" s="50" t="s">
        <v>416</v>
      </c>
      <c r="BS233" s="50" t="s">
        <v>417</v>
      </c>
      <c r="BT233" s="50" t="s">
        <v>2151</v>
      </c>
      <c r="BV233" s="50" t="s">
        <v>18132</v>
      </c>
      <c r="BW233" s="50" t="s">
        <v>18133</v>
      </c>
      <c r="BX233" s="50" t="s">
        <v>138</v>
      </c>
      <c r="BY233" s="50" t="s">
        <v>18134</v>
      </c>
      <c r="BZ233" s="50" t="s">
        <v>18135</v>
      </c>
      <c r="CA233" s="50" t="s">
        <v>8716</v>
      </c>
      <c r="CB233" s="50" t="s">
        <v>18133</v>
      </c>
      <c r="CC233" s="50" t="s">
        <v>18134</v>
      </c>
      <c r="CD233" s="50" t="s">
        <v>18135</v>
      </c>
      <c r="CE233" s="50" t="s">
        <v>18133</v>
      </c>
      <c r="CF233" s="50" t="s">
        <v>18134</v>
      </c>
      <c r="CG233" s="50" t="s">
        <v>18135</v>
      </c>
      <c r="CH233" s="50" t="s">
        <v>102</v>
      </c>
      <c r="CI233" s="50" t="s">
        <v>8717</v>
      </c>
      <c r="CK233" s="50" t="s">
        <v>5392</v>
      </c>
      <c r="CM233" s="50" t="s">
        <v>920</v>
      </c>
      <c r="CN233" s="50" t="s">
        <v>211</v>
      </c>
      <c r="CO233" s="50" t="s">
        <v>5392</v>
      </c>
      <c r="CP233" s="50" t="s">
        <v>8718</v>
      </c>
      <c r="CQ233" s="50" t="s">
        <v>8717</v>
      </c>
      <c r="CR233" s="50" t="s">
        <v>8717</v>
      </c>
    </row>
    <row r="234" spans="1:97" hidden="1">
      <c r="A234" s="50" t="s">
        <v>149</v>
      </c>
      <c r="B234" s="50">
        <v>18460</v>
      </c>
      <c r="C234" s="50" t="e">
        <f>VLOOKUP(B234,'Drop schools 2026'!B:C,2,0)</f>
        <v>#N/A</v>
      </c>
      <c r="D234" s="50" t="s">
        <v>174</v>
      </c>
      <c r="E234" s="50" t="s">
        <v>384</v>
      </c>
      <c r="F234" s="50" t="s">
        <v>2073</v>
      </c>
      <c r="G234" s="50" t="str">
        <f>VLOOKUP(B234,aa!B:F,5,0)</f>
        <v>Ei CARES, Ei Mindspark</v>
      </c>
      <c r="H234" s="50">
        <f>VLOOKUP(B234,aa!B:J,9,0)</f>
        <v>707761</v>
      </c>
      <c r="I234" s="50">
        <f>VLOOKUP(B234,aa!B:L,11,0)</f>
        <v>0</v>
      </c>
      <c r="J234" s="50">
        <f>VLOOKUP(B234,aa!B:O,14,0)</f>
        <v>0</v>
      </c>
      <c r="K234" s="50">
        <f>VLOOKUP(B234,aa!B:R,17,0)</f>
        <v>707761</v>
      </c>
      <c r="L234" s="50" t="s">
        <v>848</v>
      </c>
      <c r="M234" s="50">
        <v>664421</v>
      </c>
      <c r="N234" s="50">
        <v>784017</v>
      </c>
      <c r="O234" s="50">
        <v>0</v>
      </c>
      <c r="P234" s="50">
        <v>0</v>
      </c>
      <c r="R234" s="50">
        <v>0</v>
      </c>
      <c r="S234" s="50">
        <v>0</v>
      </c>
      <c r="U234" s="50">
        <v>664421</v>
      </c>
      <c r="V234" s="50">
        <v>358</v>
      </c>
      <c r="W234" s="50" t="s">
        <v>13031</v>
      </c>
      <c r="X234" s="50" t="s">
        <v>102</v>
      </c>
      <c r="Y234" s="50" t="s">
        <v>103</v>
      </c>
      <c r="Z234" s="50" t="s">
        <v>155</v>
      </c>
      <c r="AB234" s="50" t="s">
        <v>1305</v>
      </c>
      <c r="AC234" s="50" t="s">
        <v>13032</v>
      </c>
      <c r="AD234" s="50" t="s">
        <v>13033</v>
      </c>
      <c r="AE234" s="50" t="s">
        <v>13032</v>
      </c>
      <c r="AF234" s="50" t="s">
        <v>13034</v>
      </c>
      <c r="AG234" s="50" t="s">
        <v>13032</v>
      </c>
      <c r="AH234" s="50" t="s">
        <v>11886</v>
      </c>
      <c r="AI234" s="50" t="s">
        <v>13032</v>
      </c>
      <c r="AJ234" s="50" t="s">
        <v>13035</v>
      </c>
      <c r="AK234" s="50" t="s">
        <v>13036</v>
      </c>
      <c r="AL234" s="50" t="s">
        <v>12680</v>
      </c>
      <c r="AM234" s="50" t="s">
        <v>13037</v>
      </c>
      <c r="AN234" s="50" t="s">
        <v>13038</v>
      </c>
      <c r="AO234" s="50" t="s">
        <v>13039</v>
      </c>
      <c r="AP234" s="50" t="s">
        <v>13040</v>
      </c>
      <c r="AQ234" s="50" t="s">
        <v>13040</v>
      </c>
      <c r="AV234" s="50" t="s">
        <v>102</v>
      </c>
      <c r="AX234" s="50" t="s">
        <v>102</v>
      </c>
      <c r="AY234" s="50" t="s">
        <v>119</v>
      </c>
      <c r="BB234" s="50" t="s">
        <v>250</v>
      </c>
      <c r="BC234" s="50" t="s">
        <v>120</v>
      </c>
      <c r="BD234" s="50" t="s">
        <v>375</v>
      </c>
      <c r="BE234" s="50" t="s">
        <v>376</v>
      </c>
      <c r="BF234" s="50" t="s">
        <v>174</v>
      </c>
      <c r="BG234" s="50" t="s">
        <v>376</v>
      </c>
      <c r="BH234" s="50" t="s">
        <v>124</v>
      </c>
      <c r="BI234" s="50" t="s">
        <v>12926</v>
      </c>
      <c r="BJ234" s="50" t="s">
        <v>11889</v>
      </c>
      <c r="BK234" s="50" t="s">
        <v>127</v>
      </c>
      <c r="BL234" s="50" t="s">
        <v>13041</v>
      </c>
      <c r="BM234" s="50" t="s">
        <v>2089</v>
      </c>
      <c r="BN234" s="50" t="s">
        <v>13042</v>
      </c>
      <c r="BO234" s="50" t="s">
        <v>6177</v>
      </c>
      <c r="BP234" s="50" t="s">
        <v>1917</v>
      </c>
      <c r="BQ234" s="50" t="s">
        <v>180</v>
      </c>
      <c r="BR234" s="50" t="s">
        <v>1918</v>
      </c>
      <c r="BS234" s="50" t="s">
        <v>1919</v>
      </c>
      <c r="BT234" s="50" t="s">
        <v>183</v>
      </c>
      <c r="BV234" s="50" t="s">
        <v>13043</v>
      </c>
      <c r="BW234" s="50" t="s">
        <v>13044</v>
      </c>
      <c r="BX234" s="50" t="s">
        <v>598</v>
      </c>
      <c r="BY234" s="50" t="s">
        <v>2093</v>
      </c>
      <c r="BZ234" s="50" t="s">
        <v>2097</v>
      </c>
      <c r="CA234" s="50" t="s">
        <v>2095</v>
      </c>
      <c r="CB234" s="50" t="s">
        <v>13044</v>
      </c>
      <c r="CC234" s="50" t="s">
        <v>2093</v>
      </c>
      <c r="CD234" s="50" t="s">
        <v>2097</v>
      </c>
      <c r="CE234" s="50" t="s">
        <v>13044</v>
      </c>
      <c r="CF234" s="50" t="s">
        <v>2093</v>
      </c>
      <c r="CG234" s="50" t="s">
        <v>2097</v>
      </c>
      <c r="CH234" s="50" t="s">
        <v>102</v>
      </c>
      <c r="CI234" s="50" t="s">
        <v>2101</v>
      </c>
      <c r="CK234" s="50" t="s">
        <v>392</v>
      </c>
      <c r="CM234" s="50" t="s">
        <v>375</v>
      </c>
      <c r="CN234" s="50" t="s">
        <v>376</v>
      </c>
      <c r="CO234" s="50" t="s">
        <v>392</v>
      </c>
      <c r="CP234" s="50" t="s">
        <v>2102</v>
      </c>
      <c r="CQ234" s="50" t="s">
        <v>2101</v>
      </c>
      <c r="CR234" s="50" t="s">
        <v>2101</v>
      </c>
    </row>
    <row r="235" spans="1:97" hidden="1">
      <c r="A235" s="50" t="s">
        <v>149</v>
      </c>
      <c r="B235" s="50">
        <v>5016213</v>
      </c>
      <c r="C235" s="50" t="e">
        <f>VLOOKUP(B235,'Drop schools 2026'!B:C,2,0)</f>
        <v>#N/A</v>
      </c>
      <c r="D235" s="50" t="s">
        <v>122</v>
      </c>
      <c r="E235" s="50" t="s">
        <v>11882</v>
      </c>
      <c r="F235" s="50" t="s">
        <v>9611</v>
      </c>
      <c r="G235" s="50" t="str">
        <f>VLOOKUP(B235,aa!B:F,5,0)</f>
        <v>Ei ASSET, Ei CARES</v>
      </c>
      <c r="H235" s="50">
        <f>VLOOKUP(B235,aa!B:J,9,0)</f>
        <v>747000</v>
      </c>
      <c r="I235" s="50">
        <f>VLOOKUP(B235,aa!B:L,11,0)</f>
        <v>171000</v>
      </c>
      <c r="J235" s="50">
        <f>VLOOKUP(B235,aa!B:O,14,0)</f>
        <v>576000</v>
      </c>
      <c r="K235" s="50">
        <f>VLOOKUP(B235,aa!B:R,17,0)</f>
        <v>0</v>
      </c>
      <c r="L235" s="50" t="s">
        <v>675</v>
      </c>
      <c r="M235" s="50">
        <v>655200</v>
      </c>
      <c r="N235" s="50">
        <v>655200</v>
      </c>
      <c r="O235" s="50">
        <v>187200</v>
      </c>
      <c r="P235" s="50">
        <v>380</v>
      </c>
      <c r="Q235" s="50" t="s">
        <v>18821</v>
      </c>
      <c r="R235" s="50">
        <v>468000</v>
      </c>
      <c r="S235" s="50">
        <v>195</v>
      </c>
      <c r="T235" s="50" t="s">
        <v>4372</v>
      </c>
      <c r="U235" s="50">
        <v>0</v>
      </c>
      <c r="V235" s="50">
        <v>0</v>
      </c>
      <c r="X235" s="50" t="s">
        <v>102</v>
      </c>
      <c r="Y235" s="50" t="s">
        <v>103</v>
      </c>
      <c r="Z235" s="50" t="s">
        <v>155</v>
      </c>
      <c r="AB235" s="50" t="s">
        <v>12023</v>
      </c>
      <c r="AC235" s="50" t="s">
        <v>18822</v>
      </c>
      <c r="AD235" s="50" t="s">
        <v>11976</v>
      </c>
      <c r="AE235" s="50" t="s">
        <v>18823</v>
      </c>
      <c r="AF235" s="50" t="s">
        <v>11888</v>
      </c>
      <c r="AG235" s="50" t="s">
        <v>18823</v>
      </c>
      <c r="AH235" s="50" t="s">
        <v>12084</v>
      </c>
      <c r="AI235" s="50" t="s">
        <v>18823</v>
      </c>
      <c r="AJ235" s="50" t="s">
        <v>18824</v>
      </c>
      <c r="AK235" s="50" t="s">
        <v>11976</v>
      </c>
      <c r="AL235" s="50" t="s">
        <v>18825</v>
      </c>
      <c r="AM235" s="50" t="s">
        <v>18826</v>
      </c>
      <c r="AN235" s="50" t="s">
        <v>18827</v>
      </c>
      <c r="AO235" s="50" t="s">
        <v>18828</v>
      </c>
      <c r="AP235" s="50" t="s">
        <v>18829</v>
      </c>
      <c r="AQ235" s="50" t="s">
        <v>18829</v>
      </c>
      <c r="AV235" s="50" t="s">
        <v>207</v>
      </c>
      <c r="AW235" s="50" t="s">
        <v>118</v>
      </c>
      <c r="AX235" s="50" t="s">
        <v>3536</v>
      </c>
      <c r="AY235" s="50" t="s">
        <v>249</v>
      </c>
      <c r="AZ235" s="50" t="s">
        <v>170</v>
      </c>
      <c r="BA235" s="50" t="s">
        <v>118</v>
      </c>
      <c r="BC235" s="50" t="s">
        <v>120</v>
      </c>
      <c r="BD235" s="50" t="s">
        <v>9082</v>
      </c>
      <c r="BE235" s="50" t="s">
        <v>1244</v>
      </c>
      <c r="BF235" s="50" t="s">
        <v>122</v>
      </c>
      <c r="BG235" s="50" t="s">
        <v>1244</v>
      </c>
      <c r="BH235" s="50" t="s">
        <v>124</v>
      </c>
      <c r="BI235" s="50" t="s">
        <v>12023</v>
      </c>
      <c r="BJ235" s="50" t="s">
        <v>11889</v>
      </c>
      <c r="BK235" s="50" t="s">
        <v>127</v>
      </c>
      <c r="BL235" s="50" t="s">
        <v>18830</v>
      </c>
      <c r="BM235" s="50" t="s">
        <v>9625</v>
      </c>
      <c r="BN235" s="50" t="s">
        <v>18831</v>
      </c>
      <c r="BO235" s="50" t="s">
        <v>857</v>
      </c>
      <c r="BP235" s="50" t="s">
        <v>3267</v>
      </c>
      <c r="BQ235" s="50" t="s">
        <v>350</v>
      </c>
      <c r="BR235" s="50" t="s">
        <v>3268</v>
      </c>
      <c r="BS235" s="50" t="s">
        <v>3269</v>
      </c>
      <c r="BT235" s="50" t="s">
        <v>261</v>
      </c>
      <c r="BV235" s="50" t="s">
        <v>18832</v>
      </c>
      <c r="BW235" s="50" t="s">
        <v>9631</v>
      </c>
      <c r="BX235" s="50" t="s">
        <v>354</v>
      </c>
      <c r="BY235" s="50" t="s">
        <v>9632</v>
      </c>
      <c r="BZ235" s="50" t="s">
        <v>9633</v>
      </c>
      <c r="CA235" s="50" t="s">
        <v>9632</v>
      </c>
      <c r="CB235" s="50" t="s">
        <v>18833</v>
      </c>
      <c r="CC235" s="50" t="s">
        <v>18834</v>
      </c>
      <c r="CD235" s="50" t="s">
        <v>18835</v>
      </c>
      <c r="CE235" s="50" t="s">
        <v>18836</v>
      </c>
      <c r="CF235" s="50" t="s">
        <v>18837</v>
      </c>
      <c r="CG235" s="50" t="s">
        <v>18838</v>
      </c>
      <c r="CH235" s="50" t="s">
        <v>9634</v>
      </c>
      <c r="CI235" s="50" t="s">
        <v>18839</v>
      </c>
      <c r="CK235" s="50" t="s">
        <v>9636</v>
      </c>
      <c r="CL235" s="50" t="s">
        <v>18840</v>
      </c>
      <c r="CM235" s="50" t="s">
        <v>9082</v>
      </c>
      <c r="CN235" s="50" t="s">
        <v>1244</v>
      </c>
      <c r="CO235" s="50" t="s">
        <v>9636</v>
      </c>
      <c r="CP235" s="50" t="s">
        <v>9637</v>
      </c>
      <c r="CQ235" s="50" t="s">
        <v>9635</v>
      </c>
      <c r="CR235" s="50" t="s">
        <v>9635</v>
      </c>
    </row>
    <row r="236" spans="1:97">
      <c r="A236" s="50" t="s">
        <v>337</v>
      </c>
      <c r="B236" s="50">
        <v>201355</v>
      </c>
      <c r="C236" s="50" t="e">
        <f>VLOOKUP(B236,'Drop schools 2026'!B:C,2,0)</f>
        <v>#N/A</v>
      </c>
      <c r="D236" s="50" t="s">
        <v>122</v>
      </c>
      <c r="E236" s="50" t="s">
        <v>11898</v>
      </c>
      <c r="F236" s="50" t="s">
        <v>13257</v>
      </c>
      <c r="G236" s="50" t="e">
        <f>VLOOKUP(B236,aa!B:F,5,0)</f>
        <v>#N/A</v>
      </c>
      <c r="H236" s="50" t="e">
        <f>VLOOKUP(B236,aa!B:J,9,0)</f>
        <v>#N/A</v>
      </c>
      <c r="I236" s="50" t="e">
        <f>VLOOKUP(B236,aa!B:L,11,0)</f>
        <v>#N/A</v>
      </c>
      <c r="J236" s="50" t="e">
        <f>VLOOKUP(B236,aa!B:O,14,0)</f>
        <v>#N/A</v>
      </c>
      <c r="K236" s="50" t="e">
        <f>VLOOKUP(B236,aa!B:R,17,0)</f>
        <v>#N/A</v>
      </c>
      <c r="L236" s="50" t="s">
        <v>193</v>
      </c>
      <c r="M236" s="50">
        <v>651133</v>
      </c>
      <c r="N236" s="50">
        <v>693163</v>
      </c>
      <c r="O236" s="50">
        <v>417633</v>
      </c>
      <c r="P236" s="50">
        <v>654</v>
      </c>
      <c r="Q236" s="50" t="s">
        <v>13259</v>
      </c>
      <c r="R236" s="50">
        <v>0</v>
      </c>
      <c r="S236" s="50">
        <v>0</v>
      </c>
      <c r="U236" s="50">
        <v>233500</v>
      </c>
      <c r="V236" s="50">
        <v>252</v>
      </c>
      <c r="W236" s="50" t="s">
        <v>13260</v>
      </c>
      <c r="X236" s="50" t="s">
        <v>102</v>
      </c>
      <c r="Y236" s="50" t="s">
        <v>679</v>
      </c>
      <c r="Z236" s="50" t="s">
        <v>155</v>
      </c>
      <c r="AA236" s="50" t="s">
        <v>9814</v>
      </c>
      <c r="AB236" s="50" t="s">
        <v>13261</v>
      </c>
      <c r="AC236" s="50" t="s">
        <v>13262</v>
      </c>
      <c r="AD236" s="50" t="s">
        <v>12570</v>
      </c>
      <c r="AE236" s="50" t="s">
        <v>13262</v>
      </c>
      <c r="AF236" s="50" t="s">
        <v>12571</v>
      </c>
      <c r="AG236" s="50" t="s">
        <v>13262</v>
      </c>
      <c r="AH236" s="50" t="s">
        <v>13263</v>
      </c>
      <c r="AI236" s="50" t="s">
        <v>13262</v>
      </c>
      <c r="AJ236" s="50" t="s">
        <v>13264</v>
      </c>
      <c r="AK236" s="50" t="s">
        <v>13265</v>
      </c>
      <c r="AL236" s="50" t="s">
        <v>13266</v>
      </c>
      <c r="AM236" s="50" t="s">
        <v>13267</v>
      </c>
      <c r="AN236" s="50" t="s">
        <v>13268</v>
      </c>
      <c r="AO236" s="50" t="s">
        <v>13269</v>
      </c>
      <c r="AP236" s="50" t="s">
        <v>13270</v>
      </c>
      <c r="AQ236" s="50" t="s">
        <v>13270</v>
      </c>
      <c r="AV236" s="50" t="s">
        <v>247</v>
      </c>
      <c r="AW236" s="50" t="s">
        <v>2203</v>
      </c>
      <c r="AX236" s="50" t="s">
        <v>102</v>
      </c>
      <c r="AY236" s="50" t="s">
        <v>119</v>
      </c>
      <c r="BB236" s="50" t="s">
        <v>250</v>
      </c>
      <c r="BC236" s="50" t="s">
        <v>120</v>
      </c>
      <c r="BD236" s="50" t="s">
        <v>121</v>
      </c>
      <c r="BE236" s="50" t="s">
        <v>121</v>
      </c>
      <c r="BF236" s="50" t="s">
        <v>122</v>
      </c>
      <c r="BG236" s="50" t="s">
        <v>123</v>
      </c>
      <c r="BH236" s="50" t="s">
        <v>124</v>
      </c>
      <c r="BI236" s="50" t="s">
        <v>13271</v>
      </c>
      <c r="BJ236" s="50" t="s">
        <v>11889</v>
      </c>
      <c r="BK236" s="50" t="s">
        <v>127</v>
      </c>
      <c r="BL236" s="50" t="s">
        <v>13272</v>
      </c>
      <c r="BM236" s="50" t="s">
        <v>13273</v>
      </c>
      <c r="BN236" s="50" t="s">
        <v>13274</v>
      </c>
      <c r="BO236" s="50" t="s">
        <v>13258</v>
      </c>
      <c r="BP236" s="50" t="s">
        <v>131</v>
      </c>
      <c r="BQ236" s="50" t="s">
        <v>350</v>
      </c>
      <c r="BR236" s="50" t="s">
        <v>133</v>
      </c>
      <c r="BS236" s="50" t="s">
        <v>134</v>
      </c>
      <c r="BT236" s="50" t="s">
        <v>455</v>
      </c>
      <c r="BV236" s="50" t="s">
        <v>13275</v>
      </c>
      <c r="BW236" s="50" t="s">
        <v>13276</v>
      </c>
      <c r="BX236" s="50" t="s">
        <v>138</v>
      </c>
      <c r="BY236" s="50" t="s">
        <v>13277</v>
      </c>
      <c r="BZ236" s="50" t="s">
        <v>13278</v>
      </c>
      <c r="CA236" s="50" t="s">
        <v>13277</v>
      </c>
      <c r="CB236" s="50" t="s">
        <v>13279</v>
      </c>
      <c r="CC236" s="50" t="s">
        <v>13277</v>
      </c>
      <c r="CD236" s="50" t="s">
        <v>13278</v>
      </c>
      <c r="CE236" s="50" t="s">
        <v>13280</v>
      </c>
      <c r="CF236" s="50" t="s">
        <v>13277</v>
      </c>
      <c r="CG236" s="50" t="s">
        <v>13281</v>
      </c>
      <c r="CH236" s="50" t="s">
        <v>3805</v>
      </c>
      <c r="CI236" s="50" t="s">
        <v>13282</v>
      </c>
      <c r="CK236" s="50" t="s">
        <v>13283</v>
      </c>
      <c r="CL236" s="50" t="s">
        <v>13284</v>
      </c>
      <c r="CM236" s="50" t="s">
        <v>121</v>
      </c>
      <c r="CN236" s="50" t="s">
        <v>121</v>
      </c>
      <c r="CO236" s="50" t="s">
        <v>13283</v>
      </c>
      <c r="CP236" s="50" t="s">
        <v>13285</v>
      </c>
      <c r="CQ236" s="50" t="s">
        <v>13282</v>
      </c>
      <c r="CR236" s="50" t="s">
        <v>13282</v>
      </c>
    </row>
    <row r="237" spans="1:97" hidden="1">
      <c r="A237" s="50" t="s">
        <v>93</v>
      </c>
      <c r="B237" s="50">
        <v>3994892</v>
      </c>
      <c r="C237" s="50" t="e">
        <f>VLOOKUP(B237,'Drop schools 2026'!B:C,2,0)</f>
        <v>#N/A</v>
      </c>
      <c r="D237" s="50" t="s">
        <v>174</v>
      </c>
      <c r="E237" s="50" t="s">
        <v>12155</v>
      </c>
      <c r="F237" s="50" t="s">
        <v>17661</v>
      </c>
      <c r="G237" s="50" t="str">
        <f>VLOOKUP(B237,aa!B:F,5,0)</f>
        <v>Ei Mindspark</v>
      </c>
      <c r="H237" s="50">
        <f>VLOOKUP(B237,aa!B:J,9,0)</f>
        <v>545923</v>
      </c>
      <c r="I237" s="50">
        <f>VLOOKUP(B237,aa!B:L,11,0)</f>
        <v>0</v>
      </c>
      <c r="J237" s="50">
        <f>VLOOKUP(B237,aa!B:O,14,0)</f>
        <v>0</v>
      </c>
      <c r="K237" s="50">
        <f>VLOOKUP(B237,aa!B:R,17,0)</f>
        <v>545923</v>
      </c>
      <c r="L237" s="50" t="s">
        <v>3549</v>
      </c>
      <c r="M237" s="50">
        <v>648652</v>
      </c>
      <c r="N237" s="50">
        <v>742371</v>
      </c>
      <c r="O237" s="50">
        <v>127990</v>
      </c>
      <c r="P237" s="50">
        <v>272</v>
      </c>
      <c r="Q237" s="50" t="s">
        <v>17662</v>
      </c>
      <c r="R237" s="50">
        <v>0</v>
      </c>
      <c r="S237" s="50">
        <v>0</v>
      </c>
      <c r="U237" s="50">
        <v>520662</v>
      </c>
      <c r="V237" s="50">
        <v>272</v>
      </c>
      <c r="W237" s="50" t="s">
        <v>17663</v>
      </c>
      <c r="X237" s="50" t="s">
        <v>102</v>
      </c>
      <c r="Y237" s="50" t="s">
        <v>103</v>
      </c>
      <c r="Z237" s="50" t="s">
        <v>155</v>
      </c>
      <c r="AB237" s="50" t="s">
        <v>5694</v>
      </c>
      <c r="AC237" s="50" t="s">
        <v>17664</v>
      </c>
      <c r="AD237" s="50" t="s">
        <v>411</v>
      </c>
      <c r="AE237" s="50" t="s">
        <v>17664</v>
      </c>
      <c r="AF237" s="50" t="s">
        <v>1408</v>
      </c>
      <c r="AG237" s="50" t="s">
        <v>17664</v>
      </c>
      <c r="AH237" s="50" t="s">
        <v>12289</v>
      </c>
      <c r="AI237" s="50" t="s">
        <v>17664</v>
      </c>
      <c r="AJ237" s="50" t="s">
        <v>17665</v>
      </c>
      <c r="AK237" s="50" t="s">
        <v>1941</v>
      </c>
      <c r="AL237" s="50" t="s">
        <v>15489</v>
      </c>
      <c r="AM237" s="50" t="s">
        <v>17666</v>
      </c>
      <c r="AN237" s="50" t="s">
        <v>17667</v>
      </c>
      <c r="AO237" s="50" t="s">
        <v>17668</v>
      </c>
      <c r="AP237" s="50" t="s">
        <v>17669</v>
      </c>
      <c r="AQ237" s="50" t="s">
        <v>17669</v>
      </c>
      <c r="AV237" s="50" t="s">
        <v>318</v>
      </c>
      <c r="AW237" s="50" t="s">
        <v>118</v>
      </c>
      <c r="AX237" s="50" t="s">
        <v>102</v>
      </c>
      <c r="AY237" s="50" t="s">
        <v>119</v>
      </c>
      <c r="BB237" s="50" t="s">
        <v>250</v>
      </c>
      <c r="BC237" s="50" t="s">
        <v>120</v>
      </c>
      <c r="BD237" s="50" t="s">
        <v>8307</v>
      </c>
      <c r="BE237" s="50" t="s">
        <v>1171</v>
      </c>
      <c r="BF237" s="50" t="s">
        <v>174</v>
      </c>
      <c r="BG237" s="50" t="s">
        <v>1172</v>
      </c>
      <c r="BH237" s="50" t="s">
        <v>124</v>
      </c>
      <c r="BI237" s="50" t="s">
        <v>12023</v>
      </c>
      <c r="BJ237" s="50" t="s">
        <v>11889</v>
      </c>
      <c r="BK237" s="50" t="s">
        <v>127</v>
      </c>
      <c r="BL237" s="50" t="s">
        <v>17670</v>
      </c>
      <c r="BM237" s="50" t="s">
        <v>8309</v>
      </c>
      <c r="BN237" s="50" t="s">
        <v>17671</v>
      </c>
      <c r="BO237" s="50" t="s">
        <v>1300</v>
      </c>
      <c r="BP237" s="50" t="s">
        <v>5557</v>
      </c>
      <c r="BQ237" s="50" t="s">
        <v>180</v>
      </c>
      <c r="BR237" s="50" t="s">
        <v>5558</v>
      </c>
      <c r="BS237" s="50" t="s">
        <v>5559</v>
      </c>
      <c r="BT237" s="50" t="s">
        <v>5560</v>
      </c>
      <c r="BV237" s="50" t="s">
        <v>17672</v>
      </c>
      <c r="BW237" s="50" t="s">
        <v>17673</v>
      </c>
      <c r="BX237" s="50" t="s">
        <v>354</v>
      </c>
      <c r="BY237" s="50" t="s">
        <v>17674</v>
      </c>
      <c r="BZ237" s="50" t="s">
        <v>8314</v>
      </c>
      <c r="CA237" s="50" t="s">
        <v>8315</v>
      </c>
      <c r="CB237" s="50" t="s">
        <v>8316</v>
      </c>
      <c r="CC237" s="50" t="s">
        <v>17674</v>
      </c>
      <c r="CD237" s="50" t="s">
        <v>8314</v>
      </c>
      <c r="CE237" s="50" t="s">
        <v>8316</v>
      </c>
      <c r="CF237" s="50" t="s">
        <v>17674</v>
      </c>
      <c r="CG237" s="50" t="s">
        <v>8314</v>
      </c>
      <c r="CH237" s="50" t="s">
        <v>8318</v>
      </c>
      <c r="CI237" s="50" t="s">
        <v>17675</v>
      </c>
      <c r="CK237" s="50" t="s">
        <v>8320</v>
      </c>
      <c r="CL237" s="50" t="s">
        <v>17676</v>
      </c>
      <c r="CM237" s="50" t="s">
        <v>8307</v>
      </c>
      <c r="CN237" s="50" t="s">
        <v>1171</v>
      </c>
      <c r="CO237" s="50" t="s">
        <v>8320</v>
      </c>
      <c r="CP237" s="50" t="s">
        <v>8321</v>
      </c>
      <c r="CQ237" s="50" t="s">
        <v>8322</v>
      </c>
      <c r="CR237" s="50" t="s">
        <v>8322</v>
      </c>
    </row>
    <row r="238" spans="1:97" hidden="1">
      <c r="A238" s="50" t="s">
        <v>149</v>
      </c>
      <c r="B238" s="50">
        <v>5014778</v>
      </c>
      <c r="C238" s="50" t="e">
        <f>VLOOKUP(B238,'Drop schools 2026'!B:C,2,0)</f>
        <v>#N/A</v>
      </c>
      <c r="D238" s="50" t="s">
        <v>212</v>
      </c>
      <c r="E238" s="50" t="s">
        <v>13158</v>
      </c>
      <c r="F238" s="50" t="s">
        <v>9292</v>
      </c>
      <c r="G238" s="50" t="e">
        <f>VLOOKUP(B238,aa!B:F,5,0)</f>
        <v>#N/A</v>
      </c>
      <c r="H238" s="50" t="e">
        <f>VLOOKUP(B238,aa!B:J,9,0)</f>
        <v>#N/A</v>
      </c>
      <c r="I238" s="50" t="e">
        <f>VLOOKUP(B238,aa!B:L,11,0)</f>
        <v>#N/A</v>
      </c>
      <c r="J238" s="50" t="e">
        <f>VLOOKUP(B238,aa!B:O,14,0)</f>
        <v>#N/A</v>
      </c>
      <c r="K238" s="50" t="e">
        <f>VLOOKUP(B238,aa!B:R,17,0)</f>
        <v>#N/A</v>
      </c>
      <c r="L238" s="50" t="s">
        <v>675</v>
      </c>
      <c r="M238" s="50">
        <v>648470</v>
      </c>
      <c r="N238" s="50">
        <v>648470</v>
      </c>
      <c r="O238" s="50">
        <v>116500</v>
      </c>
      <c r="P238" s="50">
        <v>620</v>
      </c>
      <c r="Q238" s="50" t="s">
        <v>18613</v>
      </c>
      <c r="R238" s="50">
        <v>531970</v>
      </c>
      <c r="S238" s="50">
        <v>380</v>
      </c>
      <c r="T238" s="50" t="s">
        <v>4289</v>
      </c>
      <c r="U238" s="50">
        <v>0</v>
      </c>
      <c r="V238" s="50">
        <v>0</v>
      </c>
      <c r="X238" s="50" t="s">
        <v>102</v>
      </c>
      <c r="Y238" s="50" t="s">
        <v>679</v>
      </c>
      <c r="Z238" s="50" t="s">
        <v>104</v>
      </c>
      <c r="AA238" s="50" t="s">
        <v>12040</v>
      </c>
      <c r="AB238" s="50" t="s">
        <v>15486</v>
      </c>
      <c r="AC238" s="50" t="s">
        <v>18614</v>
      </c>
      <c r="AD238" s="50" t="s">
        <v>13263</v>
      </c>
      <c r="AE238" s="50" t="s">
        <v>18614</v>
      </c>
      <c r="AF238" s="50" t="s">
        <v>109</v>
      </c>
      <c r="AG238" s="50" t="s">
        <v>102</v>
      </c>
      <c r="AH238" s="50" t="s">
        <v>109</v>
      </c>
      <c r="AI238" s="50" t="s">
        <v>102</v>
      </c>
      <c r="AJ238" s="50" t="s">
        <v>102</v>
      </c>
      <c r="AK238" s="50" t="s">
        <v>12086</v>
      </c>
      <c r="AL238" s="50" t="s">
        <v>12086</v>
      </c>
      <c r="AM238" s="50" t="s">
        <v>18615</v>
      </c>
      <c r="AN238" s="50" t="s">
        <v>18616</v>
      </c>
      <c r="AO238" s="50" t="s">
        <v>18617</v>
      </c>
      <c r="AP238" s="50" t="s">
        <v>18618</v>
      </c>
      <c r="AQ238" s="50" t="s">
        <v>18618</v>
      </c>
      <c r="AV238" s="50" t="s">
        <v>588</v>
      </c>
      <c r="AW238" s="50" t="s">
        <v>2203</v>
      </c>
      <c r="AX238" s="50" t="s">
        <v>655</v>
      </c>
      <c r="AY238" s="50" t="s">
        <v>119</v>
      </c>
      <c r="BA238" s="50" t="s">
        <v>250</v>
      </c>
      <c r="BC238" s="50" t="s">
        <v>120</v>
      </c>
      <c r="BD238" s="50" t="s">
        <v>284</v>
      </c>
      <c r="BE238" s="50" t="s">
        <v>285</v>
      </c>
      <c r="BF238" s="50" t="s">
        <v>212</v>
      </c>
      <c r="BG238" s="50" t="s">
        <v>286</v>
      </c>
      <c r="BH238" s="50" t="s">
        <v>124</v>
      </c>
      <c r="BI238" s="50" t="s">
        <v>11959</v>
      </c>
      <c r="BJ238" s="50" t="s">
        <v>12963</v>
      </c>
      <c r="BK238" s="50" t="s">
        <v>127</v>
      </c>
      <c r="BL238" s="50" t="s">
        <v>18619</v>
      </c>
      <c r="BM238" s="50" t="s">
        <v>9301</v>
      </c>
      <c r="BN238" s="50" t="s">
        <v>18620</v>
      </c>
      <c r="BO238" s="50" t="s">
        <v>18612</v>
      </c>
      <c r="BP238" s="50" t="s">
        <v>290</v>
      </c>
      <c r="BQ238" s="50" t="s">
        <v>132</v>
      </c>
      <c r="BR238" s="50" t="s">
        <v>291</v>
      </c>
      <c r="BS238" s="50" t="s">
        <v>292</v>
      </c>
      <c r="BT238" s="50" t="s">
        <v>293</v>
      </c>
      <c r="BV238" s="50" t="s">
        <v>18621</v>
      </c>
      <c r="BW238" s="50" t="s">
        <v>18622</v>
      </c>
      <c r="BX238" s="50" t="s">
        <v>598</v>
      </c>
      <c r="BY238" s="50" t="s">
        <v>18623</v>
      </c>
      <c r="BZ238" s="50" t="s">
        <v>18624</v>
      </c>
      <c r="CA238" s="50" t="s">
        <v>9307</v>
      </c>
      <c r="CB238" s="50" t="s">
        <v>9308</v>
      </c>
      <c r="CC238" s="50" t="s">
        <v>9309</v>
      </c>
      <c r="CD238" s="50" t="s">
        <v>18625</v>
      </c>
      <c r="CE238" s="50" t="s">
        <v>18626</v>
      </c>
      <c r="CF238" s="50" t="s">
        <v>9312</v>
      </c>
      <c r="CG238" s="50" t="s">
        <v>9310</v>
      </c>
      <c r="CH238" s="50" t="s">
        <v>102</v>
      </c>
      <c r="CI238" s="50" t="s">
        <v>18627</v>
      </c>
      <c r="CK238" s="50" t="s">
        <v>9314</v>
      </c>
      <c r="CM238" s="50" t="s">
        <v>284</v>
      </c>
      <c r="CN238" s="50" t="s">
        <v>285</v>
      </c>
      <c r="CO238" s="50" t="s">
        <v>9314</v>
      </c>
      <c r="CQ238" s="50" t="s">
        <v>9316</v>
      </c>
      <c r="CR238" s="50" t="s">
        <v>9316</v>
      </c>
    </row>
    <row r="239" spans="1:97" hidden="1">
      <c r="A239" s="50" t="s">
        <v>337</v>
      </c>
      <c r="B239" s="50">
        <v>5037530</v>
      </c>
      <c r="C239" s="50" t="e">
        <f>VLOOKUP(B239,'Drop schools 2026'!B:C,2,0)</f>
        <v>#N/A</v>
      </c>
      <c r="D239" s="50" t="s">
        <v>622</v>
      </c>
      <c r="E239" s="50" t="s">
        <v>3562</v>
      </c>
      <c r="F239" s="50" t="s">
        <v>20252</v>
      </c>
      <c r="G239" s="50" t="e">
        <f>VLOOKUP(B239,aa!B:F,5,0)</f>
        <v>#N/A</v>
      </c>
      <c r="H239" s="50" t="e">
        <f>VLOOKUP(B239,aa!B:J,9,0)</f>
        <v>#N/A</v>
      </c>
      <c r="I239" s="50" t="e">
        <f>VLOOKUP(B239,aa!B:L,11,0)</f>
        <v>#N/A</v>
      </c>
      <c r="J239" s="50" t="e">
        <f>VLOOKUP(B239,aa!B:O,14,0)</f>
        <v>#N/A</v>
      </c>
      <c r="K239" s="50" t="e">
        <f>VLOOKUP(B239,aa!B:R,17,0)</f>
        <v>#N/A</v>
      </c>
      <c r="L239" s="50" t="s">
        <v>848</v>
      </c>
      <c r="M239" s="50">
        <v>635075</v>
      </c>
      <c r="N239" s="50">
        <v>749389</v>
      </c>
      <c r="O239" s="50">
        <v>0</v>
      </c>
      <c r="P239" s="50">
        <v>0</v>
      </c>
      <c r="R239" s="50">
        <v>0</v>
      </c>
      <c r="S239" s="50">
        <v>0</v>
      </c>
      <c r="U239" s="50">
        <v>635075</v>
      </c>
      <c r="V239" s="50">
        <v>254</v>
      </c>
      <c r="W239" s="50" t="s">
        <v>3499</v>
      </c>
      <c r="X239" s="50" t="s">
        <v>102</v>
      </c>
      <c r="Y239" s="50" t="s">
        <v>103</v>
      </c>
      <c r="Z239" s="50" t="s">
        <v>398</v>
      </c>
      <c r="AB239" s="50" t="s">
        <v>11927</v>
      </c>
      <c r="AC239" s="50" t="s">
        <v>20253</v>
      </c>
      <c r="AD239" s="50" t="s">
        <v>1408</v>
      </c>
      <c r="AE239" s="50" t="s">
        <v>20254</v>
      </c>
      <c r="AF239" s="50" t="s">
        <v>12289</v>
      </c>
      <c r="AG239" s="50" t="s">
        <v>20253</v>
      </c>
      <c r="AH239" s="50" t="s">
        <v>109</v>
      </c>
      <c r="AI239" s="50" t="s">
        <v>102</v>
      </c>
      <c r="AJ239" s="50" t="s">
        <v>102</v>
      </c>
      <c r="AK239" s="50" t="s">
        <v>12128</v>
      </c>
      <c r="AL239" s="50" t="s">
        <v>14238</v>
      </c>
      <c r="AM239" s="50" t="s">
        <v>20255</v>
      </c>
      <c r="AN239" s="50" t="s">
        <v>20256</v>
      </c>
      <c r="AO239" s="50" t="s">
        <v>20257</v>
      </c>
      <c r="AP239" s="50" t="s">
        <v>20258</v>
      </c>
      <c r="AQ239" s="50" t="s">
        <v>20258</v>
      </c>
      <c r="AV239" s="50" t="s">
        <v>102</v>
      </c>
      <c r="AX239" s="50" t="s">
        <v>102</v>
      </c>
      <c r="AY239" s="50" t="s">
        <v>119</v>
      </c>
      <c r="BB239" s="50" t="s">
        <v>250</v>
      </c>
      <c r="BC239" s="50" t="s">
        <v>209</v>
      </c>
      <c r="BD239" s="50" t="s">
        <v>1729</v>
      </c>
      <c r="BE239" s="50" t="s">
        <v>730</v>
      </c>
      <c r="BF239" s="50" t="s">
        <v>622</v>
      </c>
      <c r="BG239" s="50" t="s">
        <v>730</v>
      </c>
      <c r="BH239" s="50" t="s">
        <v>124</v>
      </c>
      <c r="BI239" s="50" t="s">
        <v>11959</v>
      </c>
      <c r="BJ239" s="50" t="s">
        <v>11960</v>
      </c>
      <c r="BK239" s="50" t="s">
        <v>127</v>
      </c>
      <c r="BL239" s="50" t="s">
        <v>20259</v>
      </c>
      <c r="BM239" s="50" t="s">
        <v>20260</v>
      </c>
      <c r="BN239" s="50" t="s">
        <v>20261</v>
      </c>
      <c r="BO239" s="50" t="s">
        <v>12494</v>
      </c>
      <c r="BP239" s="50" t="s">
        <v>3910</v>
      </c>
      <c r="BQ239" s="50" t="s">
        <v>350</v>
      </c>
      <c r="BR239" s="50" t="s">
        <v>3911</v>
      </c>
      <c r="BS239" s="50" t="s">
        <v>3912</v>
      </c>
      <c r="BT239" s="50" t="s">
        <v>7862</v>
      </c>
      <c r="BV239" s="50" t="s">
        <v>20262</v>
      </c>
      <c r="BW239" s="50" t="s">
        <v>20263</v>
      </c>
      <c r="BX239" s="50" t="s">
        <v>354</v>
      </c>
      <c r="BY239" s="50" t="s">
        <v>17065</v>
      </c>
      <c r="BZ239" s="50" t="s">
        <v>20264</v>
      </c>
      <c r="CA239" s="50" t="s">
        <v>17065</v>
      </c>
      <c r="CB239" s="50" t="s">
        <v>20265</v>
      </c>
      <c r="CC239" s="50" t="s">
        <v>20266</v>
      </c>
      <c r="CD239" s="50" t="s">
        <v>20267</v>
      </c>
      <c r="CE239" s="50" t="s">
        <v>20265</v>
      </c>
      <c r="CF239" s="50" t="s">
        <v>20266</v>
      </c>
      <c r="CG239" s="50" t="s">
        <v>20267</v>
      </c>
      <c r="CH239" s="50" t="s">
        <v>6457</v>
      </c>
      <c r="CI239" s="50" t="s">
        <v>20268</v>
      </c>
      <c r="CK239" s="50" t="s">
        <v>6855</v>
      </c>
      <c r="CL239" s="50" t="s">
        <v>20269</v>
      </c>
      <c r="CM239" s="50" t="s">
        <v>1729</v>
      </c>
      <c r="CN239" s="50" t="s">
        <v>730</v>
      </c>
      <c r="CO239" s="50" t="s">
        <v>6855</v>
      </c>
      <c r="CQ239" s="50" t="s">
        <v>20270</v>
      </c>
      <c r="CR239" s="50" t="s">
        <v>20270</v>
      </c>
    </row>
    <row r="240" spans="1:97" hidden="1">
      <c r="A240" s="50" t="s">
        <v>149</v>
      </c>
      <c r="B240" s="50">
        <v>10423</v>
      </c>
      <c r="C240" s="50" t="str">
        <f>VLOOKUP(B240,RISK!B:C,2,0)</f>
        <v>Risk</v>
      </c>
      <c r="D240" s="50" t="s">
        <v>174</v>
      </c>
      <c r="E240" s="50" t="s">
        <v>12058</v>
      </c>
      <c r="F240" s="50" t="s">
        <v>361</v>
      </c>
      <c r="G240" s="50" t="e">
        <f>VLOOKUP(B240,aa!B:F,5,0)</f>
        <v>#N/A</v>
      </c>
      <c r="H240" s="50" t="e">
        <f>VLOOKUP(B240,aa!B:J,9,0)</f>
        <v>#N/A</v>
      </c>
      <c r="I240" s="50" t="e">
        <f>VLOOKUP(B240,aa!B:L,11,0)</f>
        <v>#N/A</v>
      </c>
      <c r="J240" s="50" t="e">
        <f>VLOOKUP(B240,aa!B:O,14,0)</f>
        <v>#N/A</v>
      </c>
      <c r="K240" s="50" t="e">
        <f>VLOOKUP(B240,aa!B:R,17,0)</f>
        <v>#N/A</v>
      </c>
      <c r="L240" s="50" t="s">
        <v>97</v>
      </c>
      <c r="M240" s="50">
        <v>628425</v>
      </c>
      <c r="N240" s="50">
        <v>628425</v>
      </c>
      <c r="O240" s="50">
        <v>628425</v>
      </c>
      <c r="P240" s="50">
        <v>1197</v>
      </c>
      <c r="Q240" s="50" t="s">
        <v>4107</v>
      </c>
      <c r="R240" s="50">
        <v>0</v>
      </c>
      <c r="S240" s="50">
        <v>0</v>
      </c>
      <c r="U240" s="50">
        <v>0</v>
      </c>
      <c r="V240" s="50">
        <v>0</v>
      </c>
      <c r="X240" s="50" t="s">
        <v>102</v>
      </c>
      <c r="Y240" s="50" t="s">
        <v>103</v>
      </c>
      <c r="Z240" s="50" t="s">
        <v>104</v>
      </c>
      <c r="AB240" s="50" t="s">
        <v>1408</v>
      </c>
      <c r="AC240" s="50" t="s">
        <v>12059</v>
      </c>
      <c r="AD240" s="50" t="s">
        <v>1427</v>
      </c>
      <c r="AE240" s="50" t="s">
        <v>12060</v>
      </c>
      <c r="AF240" s="50" t="s">
        <v>109</v>
      </c>
      <c r="AG240" s="50" t="s">
        <v>102</v>
      </c>
      <c r="AH240" s="50" t="s">
        <v>109</v>
      </c>
      <c r="AI240" s="50" t="s">
        <v>102</v>
      </c>
      <c r="AJ240" s="50" t="s">
        <v>12061</v>
      </c>
      <c r="AK240" s="50" t="s">
        <v>12062</v>
      </c>
      <c r="AL240" s="50" t="s">
        <v>12063</v>
      </c>
      <c r="AM240" s="50" t="s">
        <v>12064</v>
      </c>
      <c r="AN240" s="50" t="s">
        <v>12065</v>
      </c>
      <c r="AO240" s="50" t="s">
        <v>12066</v>
      </c>
      <c r="AP240" s="50" t="s">
        <v>12067</v>
      </c>
      <c r="AQ240" s="50" t="s">
        <v>12067</v>
      </c>
      <c r="AV240" s="50" t="s">
        <v>318</v>
      </c>
      <c r="AW240" s="50" t="s">
        <v>118</v>
      </c>
      <c r="AX240" s="50" t="s">
        <v>102</v>
      </c>
      <c r="AY240" s="50" t="s">
        <v>119</v>
      </c>
      <c r="BC240" s="50" t="s">
        <v>120</v>
      </c>
      <c r="BD240" s="50" t="s">
        <v>375</v>
      </c>
      <c r="BE240" s="50" t="s">
        <v>376</v>
      </c>
      <c r="BF240" s="50" t="s">
        <v>174</v>
      </c>
      <c r="BG240" s="50" t="s">
        <v>376</v>
      </c>
      <c r="BH240" s="50" t="s">
        <v>124</v>
      </c>
      <c r="BI240" s="50" t="s">
        <v>6177</v>
      </c>
      <c r="BJ240" s="50" t="s">
        <v>12068</v>
      </c>
      <c r="BK240" s="50" t="s">
        <v>127</v>
      </c>
      <c r="BL240" s="50" t="s">
        <v>12069</v>
      </c>
      <c r="BM240" s="50" t="s">
        <v>379</v>
      </c>
      <c r="BN240" s="50" t="s">
        <v>12070</v>
      </c>
      <c r="BO240" s="50" t="s">
        <v>6443</v>
      </c>
      <c r="BP240" s="50" t="s">
        <v>12071</v>
      </c>
      <c r="BQ240" s="50" t="s">
        <v>180</v>
      </c>
      <c r="BR240" s="50" t="s">
        <v>12072</v>
      </c>
      <c r="BS240" s="50" t="s">
        <v>12073</v>
      </c>
      <c r="BT240" s="50" t="s">
        <v>384</v>
      </c>
      <c r="BV240" s="50" t="s">
        <v>12074</v>
      </c>
      <c r="BW240" s="50" t="s">
        <v>386</v>
      </c>
      <c r="BX240" s="50" t="s">
        <v>138</v>
      </c>
      <c r="BY240" s="50" t="s">
        <v>387</v>
      </c>
      <c r="BZ240" s="50" t="s">
        <v>388</v>
      </c>
      <c r="CA240" s="50" t="s">
        <v>387</v>
      </c>
      <c r="CB240" s="50" t="s">
        <v>12075</v>
      </c>
      <c r="CC240" s="50" t="s">
        <v>387</v>
      </c>
      <c r="CD240" s="50" t="s">
        <v>388</v>
      </c>
      <c r="CE240" s="50" t="s">
        <v>12076</v>
      </c>
      <c r="CF240" s="50" t="s">
        <v>12077</v>
      </c>
      <c r="CG240" s="50" t="s">
        <v>12078</v>
      </c>
      <c r="CH240" s="50" t="s">
        <v>102</v>
      </c>
      <c r="CI240" s="50" t="s">
        <v>12079</v>
      </c>
      <c r="CK240" s="50" t="s">
        <v>392</v>
      </c>
      <c r="CL240" s="50" t="s">
        <v>12080</v>
      </c>
      <c r="CM240" s="50" t="s">
        <v>375</v>
      </c>
      <c r="CN240" s="50" t="s">
        <v>376</v>
      </c>
      <c r="CO240" s="50" t="s">
        <v>392</v>
      </c>
      <c r="CP240" s="50" t="s">
        <v>393</v>
      </c>
      <c r="CQ240" s="50" t="s">
        <v>391</v>
      </c>
      <c r="CR240" s="50" t="s">
        <v>391</v>
      </c>
      <c r="CS240" s="50" t="s">
        <v>26042</v>
      </c>
    </row>
    <row r="241" spans="1:97" hidden="1">
      <c r="A241" s="50" t="s">
        <v>93</v>
      </c>
      <c r="B241" s="50">
        <v>351831</v>
      </c>
      <c r="C241" s="50" t="e">
        <f>VLOOKUP(B241,'Drop schools 2026'!B:C,2,0)</f>
        <v>#N/A</v>
      </c>
      <c r="D241" s="50" t="s">
        <v>212</v>
      </c>
      <c r="E241" s="50" t="s">
        <v>12423</v>
      </c>
      <c r="F241" s="50" t="s">
        <v>16369</v>
      </c>
      <c r="G241" s="50" t="e">
        <f>VLOOKUP(B241,aa!B:F,5,0)</f>
        <v>#N/A</v>
      </c>
      <c r="H241" s="50" t="e">
        <f>VLOOKUP(B241,aa!B:J,9,0)</f>
        <v>#N/A</v>
      </c>
      <c r="I241" s="50" t="e">
        <f>VLOOKUP(B241,aa!B:L,11,0)</f>
        <v>#N/A</v>
      </c>
      <c r="J241" s="50" t="e">
        <f>VLOOKUP(B241,aa!B:O,14,0)</f>
        <v>#N/A</v>
      </c>
      <c r="K241" s="50" t="e">
        <f>VLOOKUP(B241,aa!B:R,17,0)</f>
        <v>#N/A</v>
      </c>
      <c r="L241" s="50" t="s">
        <v>97</v>
      </c>
      <c r="M241" s="50">
        <v>626625</v>
      </c>
      <c r="N241" s="50">
        <v>626625</v>
      </c>
      <c r="O241" s="50">
        <v>626625</v>
      </c>
      <c r="P241" s="50">
        <v>1253</v>
      </c>
      <c r="Q241" s="50" t="s">
        <v>364</v>
      </c>
      <c r="R241" s="50">
        <v>0</v>
      </c>
      <c r="S241" s="50">
        <v>0</v>
      </c>
      <c r="U241" s="50">
        <v>0</v>
      </c>
      <c r="V241" s="50">
        <v>0</v>
      </c>
      <c r="X241" s="50" t="s">
        <v>102</v>
      </c>
      <c r="Y241" s="50" t="s">
        <v>103</v>
      </c>
      <c r="Z241" s="50" t="s">
        <v>104</v>
      </c>
      <c r="AB241" s="50" t="s">
        <v>12099</v>
      </c>
      <c r="AC241" s="50" t="s">
        <v>16370</v>
      </c>
      <c r="AD241" s="50" t="s">
        <v>12817</v>
      </c>
      <c r="AE241" s="50" t="s">
        <v>16370</v>
      </c>
      <c r="AF241" s="50" t="s">
        <v>109</v>
      </c>
      <c r="AG241" s="50" t="s">
        <v>102</v>
      </c>
      <c r="AH241" s="50" t="s">
        <v>109</v>
      </c>
      <c r="AI241" s="50" t="s">
        <v>102</v>
      </c>
      <c r="AJ241" s="50" t="s">
        <v>16371</v>
      </c>
      <c r="AK241" s="50" t="s">
        <v>16372</v>
      </c>
      <c r="AL241" s="50" t="s">
        <v>16372</v>
      </c>
      <c r="AM241" s="50" t="s">
        <v>16373</v>
      </c>
      <c r="AN241" s="50" t="s">
        <v>16374</v>
      </c>
      <c r="AO241" s="50" t="s">
        <v>16375</v>
      </c>
      <c r="AP241" s="50" t="s">
        <v>2353</v>
      </c>
      <c r="AQ241" s="50" t="s">
        <v>2353</v>
      </c>
      <c r="AV241" s="50" t="s">
        <v>117</v>
      </c>
      <c r="AW241" s="50" t="s">
        <v>250</v>
      </c>
      <c r="AX241" s="50" t="s">
        <v>102</v>
      </c>
      <c r="AY241" s="50" t="s">
        <v>119</v>
      </c>
      <c r="BC241" s="50" t="s">
        <v>120</v>
      </c>
      <c r="BD241" s="50" t="s">
        <v>3735</v>
      </c>
      <c r="BE241" s="50" t="s">
        <v>410</v>
      </c>
      <c r="BF241" s="50" t="s">
        <v>212</v>
      </c>
      <c r="BG241" s="50" t="s">
        <v>410</v>
      </c>
      <c r="BH241" s="50" t="s">
        <v>124</v>
      </c>
      <c r="BI241" s="50" t="s">
        <v>11976</v>
      </c>
      <c r="BJ241" s="50" t="s">
        <v>11889</v>
      </c>
      <c r="BK241" s="50" t="s">
        <v>127</v>
      </c>
      <c r="BL241" s="50" t="s">
        <v>16376</v>
      </c>
      <c r="BM241" s="50" t="s">
        <v>6512</v>
      </c>
      <c r="BN241" s="50" t="s">
        <v>16377</v>
      </c>
      <c r="BO241" s="50" t="s">
        <v>12644</v>
      </c>
      <c r="BP241" s="50" t="s">
        <v>896</v>
      </c>
      <c r="BQ241" s="50" t="s">
        <v>132</v>
      </c>
      <c r="BR241" s="50" t="s">
        <v>897</v>
      </c>
      <c r="BS241" s="50" t="s">
        <v>898</v>
      </c>
      <c r="BT241" s="50" t="s">
        <v>899</v>
      </c>
      <c r="BV241" s="50" t="s">
        <v>16378</v>
      </c>
      <c r="BW241" s="50" t="s">
        <v>16379</v>
      </c>
      <c r="BX241" s="50" t="s">
        <v>138</v>
      </c>
      <c r="BY241" s="50" t="s">
        <v>6516</v>
      </c>
      <c r="BZ241" s="50" t="s">
        <v>16380</v>
      </c>
      <c r="CA241" s="50" t="s">
        <v>6518</v>
      </c>
      <c r="CB241" s="50" t="s">
        <v>6515</v>
      </c>
      <c r="CC241" s="50" t="s">
        <v>16381</v>
      </c>
      <c r="CD241" s="50" t="s">
        <v>16380</v>
      </c>
      <c r="CE241" s="50" t="s">
        <v>6515</v>
      </c>
      <c r="CF241" s="50" t="s">
        <v>16381</v>
      </c>
      <c r="CG241" s="50" t="s">
        <v>16380</v>
      </c>
      <c r="CH241" s="50" t="s">
        <v>907</v>
      </c>
      <c r="CI241" s="50" t="s">
        <v>6523</v>
      </c>
      <c r="CK241" s="50" t="s">
        <v>3807</v>
      </c>
      <c r="CL241" s="50" t="s">
        <v>6521</v>
      </c>
      <c r="CM241" s="50" t="s">
        <v>3735</v>
      </c>
      <c r="CN241" s="50" t="s">
        <v>410</v>
      </c>
      <c r="CO241" s="50" t="s">
        <v>3807</v>
      </c>
      <c r="CP241" s="50" t="s">
        <v>6522</v>
      </c>
      <c r="CQ241" s="50" t="s">
        <v>6523</v>
      </c>
      <c r="CR241" s="50" t="s">
        <v>6523</v>
      </c>
      <c r="CS241" s="50" t="s">
        <v>26040</v>
      </c>
    </row>
    <row r="242" spans="1:97" hidden="1">
      <c r="A242" s="50" t="s">
        <v>337</v>
      </c>
      <c r="B242" s="50">
        <v>5042511</v>
      </c>
      <c r="C242" s="50" t="e">
        <f>VLOOKUP(B242,'Drop schools 2026'!B:C,2,0)</f>
        <v>#N/A</v>
      </c>
      <c r="D242" s="50" t="s">
        <v>122</v>
      </c>
      <c r="E242" s="50" t="s">
        <v>11898</v>
      </c>
      <c r="F242" s="50" t="s">
        <v>20353</v>
      </c>
      <c r="G242" s="50" t="str">
        <f>VLOOKUP(B242,aa!B:F,5,0)</f>
        <v>Ei ASSET</v>
      </c>
      <c r="H242" s="50">
        <f>VLOOKUP(B242,aa!B:J,9,0)</f>
        <v>684900</v>
      </c>
      <c r="I242" s="50">
        <f>VLOOKUP(B242,aa!B:L,11,0)</f>
        <v>684900</v>
      </c>
      <c r="J242" s="50">
        <f>VLOOKUP(B242,aa!B:O,14,0)</f>
        <v>0</v>
      </c>
      <c r="K242" s="50">
        <f>VLOOKUP(B242,aa!B:R,17,0)</f>
        <v>0</v>
      </c>
      <c r="L242" s="50" t="s">
        <v>97</v>
      </c>
      <c r="M242" s="50">
        <v>625530</v>
      </c>
      <c r="N242" s="50">
        <v>625530</v>
      </c>
      <c r="O242" s="50">
        <v>625530</v>
      </c>
      <c r="P242" s="50">
        <v>719</v>
      </c>
      <c r="Q242" s="50" t="s">
        <v>154</v>
      </c>
      <c r="R242" s="50">
        <v>0</v>
      </c>
      <c r="S242" s="50">
        <v>0</v>
      </c>
      <c r="U242" s="50">
        <v>0</v>
      </c>
      <c r="V242" s="50">
        <v>0</v>
      </c>
      <c r="X242" s="50" t="s">
        <v>102</v>
      </c>
      <c r="Y242" s="50" t="s">
        <v>275</v>
      </c>
      <c r="AA242" s="50" t="s">
        <v>16740</v>
      </c>
      <c r="AB242" s="50" t="s">
        <v>109</v>
      </c>
      <c r="AC242" s="50" t="s">
        <v>102</v>
      </c>
      <c r="AD242" s="50" t="s">
        <v>109</v>
      </c>
      <c r="AE242" s="50" t="s">
        <v>102</v>
      </c>
      <c r="AF242" s="50" t="s">
        <v>109</v>
      </c>
      <c r="AG242" s="50" t="s">
        <v>102</v>
      </c>
      <c r="AH242" s="50" t="s">
        <v>109</v>
      </c>
      <c r="AI242" s="50" t="s">
        <v>102</v>
      </c>
      <c r="AJ242" s="50" t="s">
        <v>20354</v>
      </c>
      <c r="AK242" s="50" t="s">
        <v>4813</v>
      </c>
      <c r="AL242" s="50" t="s">
        <v>4813</v>
      </c>
      <c r="AM242" s="50" t="s">
        <v>20355</v>
      </c>
      <c r="AN242" s="50" t="s">
        <v>20356</v>
      </c>
      <c r="AO242" s="50" t="s">
        <v>102</v>
      </c>
      <c r="AP242" s="50" t="s">
        <v>20357</v>
      </c>
      <c r="AQ242" s="50" t="s">
        <v>20357</v>
      </c>
      <c r="AV242" s="50" t="s">
        <v>318</v>
      </c>
      <c r="AW242" s="50" t="s">
        <v>250</v>
      </c>
      <c r="AX242" s="50" t="s">
        <v>102</v>
      </c>
      <c r="AY242" s="50" t="s">
        <v>119</v>
      </c>
      <c r="BC242" s="50" t="s">
        <v>120</v>
      </c>
      <c r="BD242" s="50" t="s">
        <v>20358</v>
      </c>
      <c r="BE242" s="50" t="s">
        <v>320</v>
      </c>
      <c r="BF242" s="50" t="s">
        <v>122</v>
      </c>
      <c r="BG242" s="50" t="s">
        <v>123</v>
      </c>
      <c r="BH242" s="50" t="s">
        <v>124</v>
      </c>
      <c r="BI242" s="50" t="s">
        <v>12023</v>
      </c>
      <c r="BJ242" s="50" t="s">
        <v>11889</v>
      </c>
      <c r="BK242" s="50" t="s">
        <v>127</v>
      </c>
      <c r="BL242" s="50" t="s">
        <v>20359</v>
      </c>
      <c r="BM242" s="50" t="s">
        <v>20360</v>
      </c>
      <c r="BN242" s="50" t="s">
        <v>20361</v>
      </c>
      <c r="BO242" s="50" t="s">
        <v>1403</v>
      </c>
      <c r="BP242" s="50" t="s">
        <v>7005</v>
      </c>
      <c r="BQ242" s="50" t="s">
        <v>350</v>
      </c>
      <c r="BR242" s="50" t="s">
        <v>7006</v>
      </c>
      <c r="BS242" s="50" t="s">
        <v>7007</v>
      </c>
      <c r="BT242" s="50" t="s">
        <v>7008</v>
      </c>
      <c r="BV242" s="50" t="s">
        <v>20362</v>
      </c>
      <c r="BW242" s="50" t="s">
        <v>20363</v>
      </c>
      <c r="BX242" s="50" t="s">
        <v>354</v>
      </c>
      <c r="BY242" s="50" t="s">
        <v>20364</v>
      </c>
      <c r="BZ242" s="50" t="s">
        <v>20365</v>
      </c>
      <c r="CA242" s="50" t="s">
        <v>20366</v>
      </c>
      <c r="CB242" s="50" t="s">
        <v>20367</v>
      </c>
      <c r="CC242" s="50" t="s">
        <v>20368</v>
      </c>
      <c r="CD242" s="50" t="s">
        <v>20369</v>
      </c>
      <c r="CE242" s="50" t="s">
        <v>20370</v>
      </c>
      <c r="CF242" s="50" t="s">
        <v>20366</v>
      </c>
      <c r="CG242" s="50" t="s">
        <v>20365</v>
      </c>
      <c r="CH242" s="50" t="s">
        <v>2555</v>
      </c>
      <c r="CI242" s="50" t="s">
        <v>20371</v>
      </c>
      <c r="CK242" s="50" t="s">
        <v>20372</v>
      </c>
      <c r="CL242" s="50" t="s">
        <v>20373</v>
      </c>
      <c r="CM242" s="50" t="s">
        <v>20358</v>
      </c>
      <c r="CN242" s="50" t="s">
        <v>320</v>
      </c>
      <c r="CO242" s="50" t="s">
        <v>20372</v>
      </c>
      <c r="CQ242" s="50" t="s">
        <v>20374</v>
      </c>
      <c r="CR242" s="50" t="s">
        <v>20374</v>
      </c>
    </row>
    <row r="243" spans="1:97" hidden="1">
      <c r="A243" s="50" t="s">
        <v>93</v>
      </c>
      <c r="B243" s="50">
        <v>2458794</v>
      </c>
      <c r="C243" s="50" t="e">
        <f>VLOOKUP(B243,'Drop schools 2026'!B:C,2,0)</f>
        <v>#N/A</v>
      </c>
      <c r="D243" s="50" t="s">
        <v>122</v>
      </c>
      <c r="E243" s="50" t="s">
        <v>12018</v>
      </c>
      <c r="F243" s="50" t="s">
        <v>3478</v>
      </c>
      <c r="G243" s="50" t="str">
        <f>VLOOKUP(B243,aa!B:F,5,0)</f>
        <v>Ei CARES</v>
      </c>
      <c r="H243" s="50">
        <f>VLOOKUP(B243,aa!B:J,9,0)</f>
        <v>584364</v>
      </c>
      <c r="I243" s="50">
        <f>VLOOKUP(B243,aa!B:L,11,0)</f>
        <v>0</v>
      </c>
      <c r="J243" s="50">
        <f>VLOOKUP(B243,aa!B:O,14,0)</f>
        <v>584364</v>
      </c>
      <c r="K243" s="50">
        <f>VLOOKUP(B243,aa!B:R,17,0)</f>
        <v>0</v>
      </c>
      <c r="L243" s="50" t="s">
        <v>152</v>
      </c>
      <c r="M243" s="50">
        <v>625372</v>
      </c>
      <c r="N243" s="50">
        <v>625372</v>
      </c>
      <c r="O243" s="50">
        <v>0</v>
      </c>
      <c r="P243" s="50">
        <v>0</v>
      </c>
      <c r="R243" s="50">
        <v>625372</v>
      </c>
      <c r="S243" s="50">
        <v>305</v>
      </c>
      <c r="T243" s="50" t="s">
        <v>3481</v>
      </c>
      <c r="U243" s="50">
        <v>0</v>
      </c>
      <c r="V243" s="50">
        <v>0</v>
      </c>
      <c r="X243" s="50" t="s">
        <v>102</v>
      </c>
      <c r="Y243" s="50" t="s">
        <v>103</v>
      </c>
      <c r="Z243" s="50" t="s">
        <v>155</v>
      </c>
      <c r="AB243" s="50" t="s">
        <v>1305</v>
      </c>
      <c r="AC243" s="50" t="s">
        <v>14038</v>
      </c>
      <c r="AD243" s="50" t="s">
        <v>13033</v>
      </c>
      <c r="AE243" s="50" t="s">
        <v>14038</v>
      </c>
      <c r="AF243" s="50" t="s">
        <v>13034</v>
      </c>
      <c r="AG243" s="50" t="s">
        <v>14038</v>
      </c>
      <c r="AH243" s="50" t="s">
        <v>11952</v>
      </c>
      <c r="AI243" s="50" t="s">
        <v>14038</v>
      </c>
      <c r="AJ243" s="50" t="s">
        <v>14039</v>
      </c>
      <c r="AK243" s="50" t="s">
        <v>14040</v>
      </c>
      <c r="AL243" s="50" t="s">
        <v>14040</v>
      </c>
      <c r="AM243" s="50" t="s">
        <v>14041</v>
      </c>
      <c r="AN243" s="50" t="s">
        <v>14042</v>
      </c>
      <c r="AO243" s="50" t="s">
        <v>14043</v>
      </c>
      <c r="AP243" s="50" t="s">
        <v>3489</v>
      </c>
      <c r="AQ243" s="50" t="s">
        <v>3489</v>
      </c>
      <c r="AV243" s="50" t="s">
        <v>102</v>
      </c>
      <c r="AX243" s="50" t="s">
        <v>155</v>
      </c>
      <c r="AY243" s="50" t="s">
        <v>447</v>
      </c>
      <c r="AZ243" s="50" t="s">
        <v>170</v>
      </c>
      <c r="BA243" s="50" t="s">
        <v>118</v>
      </c>
      <c r="BC243" s="50" t="s">
        <v>120</v>
      </c>
      <c r="BD243" s="50" t="s">
        <v>3490</v>
      </c>
      <c r="BE243" s="50" t="s">
        <v>345</v>
      </c>
      <c r="BF243" s="50" t="s">
        <v>122</v>
      </c>
      <c r="BG243" s="50" t="s">
        <v>346</v>
      </c>
      <c r="BH243" s="50" t="s">
        <v>124</v>
      </c>
      <c r="BI243" s="50" t="s">
        <v>12023</v>
      </c>
      <c r="BJ243" s="50" t="s">
        <v>11889</v>
      </c>
      <c r="BK243" s="50" t="s">
        <v>127</v>
      </c>
      <c r="BL243" s="50" t="s">
        <v>14044</v>
      </c>
      <c r="BM243" s="50" t="s">
        <v>3492</v>
      </c>
      <c r="BN243" s="50" t="s">
        <v>14045</v>
      </c>
      <c r="BO243" s="50" t="s">
        <v>7020</v>
      </c>
      <c r="BP243" s="50" t="s">
        <v>593</v>
      </c>
      <c r="BQ243" s="50" t="s">
        <v>350</v>
      </c>
      <c r="BR243" s="50" t="s">
        <v>594</v>
      </c>
      <c r="BS243" s="50" t="s">
        <v>595</v>
      </c>
      <c r="BT243" s="50" t="s">
        <v>328</v>
      </c>
      <c r="BV243" s="50" t="s">
        <v>14046</v>
      </c>
      <c r="BW243" s="50" t="s">
        <v>14047</v>
      </c>
      <c r="BX243" s="50" t="s">
        <v>354</v>
      </c>
      <c r="BY243" s="50" t="s">
        <v>3496</v>
      </c>
      <c r="BZ243" s="50" t="s">
        <v>3497</v>
      </c>
      <c r="CA243" s="50" t="s">
        <v>3498</v>
      </c>
      <c r="CB243" s="50" t="s">
        <v>14048</v>
      </c>
      <c r="CC243" s="50" t="s">
        <v>14049</v>
      </c>
      <c r="CD243" s="50" t="s">
        <v>14050</v>
      </c>
      <c r="CE243" s="50" t="s">
        <v>14051</v>
      </c>
      <c r="CF243" s="50" t="s">
        <v>14052</v>
      </c>
      <c r="CG243" s="50" t="s">
        <v>14053</v>
      </c>
      <c r="CH243" s="50" t="s">
        <v>3499</v>
      </c>
      <c r="CI243" s="50" t="s">
        <v>3500</v>
      </c>
      <c r="CK243" s="50" t="s">
        <v>3501</v>
      </c>
      <c r="CL243" s="50" t="s">
        <v>3500</v>
      </c>
      <c r="CM243" s="50" t="s">
        <v>3490</v>
      </c>
      <c r="CN243" s="50" t="s">
        <v>345</v>
      </c>
      <c r="CO243" s="50" t="s">
        <v>3501</v>
      </c>
      <c r="CP243" s="50" t="s">
        <v>3502</v>
      </c>
      <c r="CQ243" s="50" t="s">
        <v>3500</v>
      </c>
      <c r="CR243" s="50" t="s">
        <v>3500</v>
      </c>
    </row>
    <row r="244" spans="1:97">
      <c r="A244" s="50" t="s">
        <v>337</v>
      </c>
      <c r="B244" s="50">
        <v>5016248</v>
      </c>
      <c r="C244" s="50" t="str">
        <f>VLOOKUP(B244,'Drop schools 2026'!B:C,2,0)</f>
        <v>Drop</v>
      </c>
      <c r="D244" s="50" t="s">
        <v>122</v>
      </c>
      <c r="E244" s="50" t="s">
        <v>12018</v>
      </c>
      <c r="F244" s="50" t="s">
        <v>18841</v>
      </c>
      <c r="G244" s="50" t="e">
        <f>VLOOKUP(B244,aa!B:F,5,0)</f>
        <v>#N/A</v>
      </c>
      <c r="H244" s="50" t="e">
        <f>VLOOKUP(B244,aa!B:J,9,0)</f>
        <v>#N/A</v>
      </c>
      <c r="I244" s="50" t="e">
        <f>VLOOKUP(B244,aa!B:L,11,0)</f>
        <v>#N/A</v>
      </c>
      <c r="J244" s="50" t="e">
        <f>VLOOKUP(B244,aa!B:O,14,0)</f>
        <v>#N/A</v>
      </c>
      <c r="K244" s="50" t="e">
        <f>VLOOKUP(B244,aa!B:R,17,0)</f>
        <v>#N/A</v>
      </c>
      <c r="L244" s="50" t="s">
        <v>152</v>
      </c>
      <c r="M244" s="50">
        <v>625015</v>
      </c>
      <c r="N244" s="50">
        <v>625015</v>
      </c>
      <c r="O244" s="50">
        <v>0</v>
      </c>
      <c r="P244" s="50">
        <v>0</v>
      </c>
      <c r="R244" s="50">
        <v>625015</v>
      </c>
      <c r="S244" s="50">
        <v>385</v>
      </c>
      <c r="T244" s="50" t="s">
        <v>17575</v>
      </c>
      <c r="U244" s="50">
        <v>0</v>
      </c>
      <c r="V244" s="50">
        <v>0</v>
      </c>
      <c r="X244" s="50" t="s">
        <v>102</v>
      </c>
      <c r="Y244" s="50" t="s">
        <v>103</v>
      </c>
      <c r="Z244" s="50" t="s">
        <v>104</v>
      </c>
      <c r="AB244" s="50" t="s">
        <v>6177</v>
      </c>
      <c r="AC244" s="50" t="s">
        <v>18842</v>
      </c>
      <c r="AD244" s="50" t="s">
        <v>13583</v>
      </c>
      <c r="AE244" s="50" t="s">
        <v>18842</v>
      </c>
      <c r="AF244" s="50" t="s">
        <v>109</v>
      </c>
      <c r="AG244" s="50" t="s">
        <v>102</v>
      </c>
      <c r="AH244" s="50" t="s">
        <v>109</v>
      </c>
      <c r="AI244" s="50" t="s">
        <v>102</v>
      </c>
      <c r="AJ244" s="50" t="s">
        <v>18843</v>
      </c>
      <c r="AK244" s="50" t="s">
        <v>1162</v>
      </c>
      <c r="AL244" s="50" t="s">
        <v>18844</v>
      </c>
      <c r="AM244" s="50" t="s">
        <v>18845</v>
      </c>
      <c r="AN244" s="50" t="s">
        <v>18846</v>
      </c>
      <c r="AO244" s="50" t="s">
        <v>18847</v>
      </c>
      <c r="AP244" s="50" t="s">
        <v>17584</v>
      </c>
      <c r="AQ244" s="50" t="s">
        <v>17584</v>
      </c>
      <c r="AV244" s="50" t="s">
        <v>102</v>
      </c>
      <c r="AX244" s="50" t="s">
        <v>155</v>
      </c>
      <c r="AY244" s="50" t="s">
        <v>447</v>
      </c>
      <c r="AZ244" s="50" t="s">
        <v>170</v>
      </c>
      <c r="BA244" s="50" t="s">
        <v>118</v>
      </c>
      <c r="BC244" s="50" t="s">
        <v>209</v>
      </c>
      <c r="BD244" s="50" t="s">
        <v>17740</v>
      </c>
      <c r="BE244" s="50" t="s">
        <v>345</v>
      </c>
      <c r="BF244" s="50" t="s">
        <v>122</v>
      </c>
      <c r="BG244" s="50" t="s">
        <v>346</v>
      </c>
      <c r="BH244" s="50" t="s">
        <v>124</v>
      </c>
      <c r="BI244" s="50" t="s">
        <v>12023</v>
      </c>
      <c r="BJ244" s="50" t="s">
        <v>11889</v>
      </c>
      <c r="BK244" s="50" t="s">
        <v>127</v>
      </c>
      <c r="BL244" s="50" t="s">
        <v>18848</v>
      </c>
      <c r="BM244" s="50" t="s">
        <v>18849</v>
      </c>
      <c r="BN244" s="50" t="s">
        <v>18850</v>
      </c>
      <c r="BO244" s="50" t="s">
        <v>7236</v>
      </c>
      <c r="BP244" s="50" t="s">
        <v>17987</v>
      </c>
      <c r="BQ244" s="50" t="s">
        <v>350</v>
      </c>
      <c r="BR244" s="50" t="s">
        <v>17988</v>
      </c>
      <c r="BS244" s="50" t="s">
        <v>17989</v>
      </c>
      <c r="BT244" s="50" t="s">
        <v>18851</v>
      </c>
      <c r="BV244" s="50" t="s">
        <v>18852</v>
      </c>
      <c r="BW244" s="50" t="s">
        <v>18853</v>
      </c>
      <c r="BX244" s="50" t="s">
        <v>354</v>
      </c>
      <c r="BY244" s="50" t="s">
        <v>17591</v>
      </c>
      <c r="BZ244" s="50" t="s">
        <v>17592</v>
      </c>
      <c r="CA244" s="50" t="s">
        <v>18854</v>
      </c>
      <c r="CB244" s="50" t="s">
        <v>18855</v>
      </c>
      <c r="CC244" s="50" t="s">
        <v>18856</v>
      </c>
      <c r="CD244" s="50" t="s">
        <v>18857</v>
      </c>
      <c r="CE244" s="50" t="s">
        <v>18858</v>
      </c>
      <c r="CF244" s="50" t="s">
        <v>18859</v>
      </c>
      <c r="CG244" s="50" t="s">
        <v>18860</v>
      </c>
      <c r="CH244" s="50" t="s">
        <v>18861</v>
      </c>
      <c r="CI244" s="50" t="s">
        <v>18862</v>
      </c>
      <c r="CK244" s="50" t="s">
        <v>17597</v>
      </c>
      <c r="CL244" s="50" t="s">
        <v>18862</v>
      </c>
      <c r="CM244" s="50" t="s">
        <v>17740</v>
      </c>
      <c r="CN244" s="50" t="s">
        <v>345</v>
      </c>
      <c r="CO244" s="50" t="s">
        <v>17597</v>
      </c>
      <c r="CQ244" s="50" t="s">
        <v>18862</v>
      </c>
      <c r="CR244" s="50" t="s">
        <v>18862</v>
      </c>
    </row>
    <row r="245" spans="1:97" hidden="1">
      <c r="A245" s="50" t="s">
        <v>149</v>
      </c>
      <c r="B245" s="50">
        <v>1429114</v>
      </c>
      <c r="C245" s="50" t="e">
        <f>VLOOKUP(B245,'Drop schools 2026'!B:C,2,0)</f>
        <v>#N/A</v>
      </c>
      <c r="D245" s="50" t="s">
        <v>212</v>
      </c>
      <c r="E245" s="50" t="s">
        <v>12423</v>
      </c>
      <c r="F245" s="50" t="s">
        <v>933</v>
      </c>
      <c r="G245" s="50" t="e">
        <f>VLOOKUP(B245,aa!B:F,5,0)</f>
        <v>#N/A</v>
      </c>
      <c r="H245" s="50" t="e">
        <f>VLOOKUP(B245,aa!B:J,9,0)</f>
        <v>#N/A</v>
      </c>
      <c r="I245" s="50" t="e">
        <f>VLOOKUP(B245,aa!B:L,11,0)</f>
        <v>#N/A</v>
      </c>
      <c r="J245" s="50" t="e">
        <f>VLOOKUP(B245,aa!B:O,14,0)</f>
        <v>#N/A</v>
      </c>
      <c r="K245" s="50" t="e">
        <f>VLOOKUP(B245,aa!B:R,17,0)</f>
        <v>#N/A</v>
      </c>
      <c r="L245" s="50" t="s">
        <v>152</v>
      </c>
      <c r="M245" s="50">
        <v>624000</v>
      </c>
      <c r="N245" s="50">
        <v>624000</v>
      </c>
      <c r="O245" s="50">
        <v>0</v>
      </c>
      <c r="P245" s="50">
        <v>0</v>
      </c>
      <c r="R245" s="50">
        <v>624000</v>
      </c>
      <c r="S245" s="50">
        <v>300</v>
      </c>
      <c r="T245" s="50" t="s">
        <v>12479</v>
      </c>
      <c r="U245" s="50">
        <v>0</v>
      </c>
      <c r="V245" s="50">
        <v>0</v>
      </c>
      <c r="X245" s="50" t="s">
        <v>102</v>
      </c>
      <c r="Y245" s="50" t="s">
        <v>103</v>
      </c>
      <c r="Z245" s="50" t="s">
        <v>398</v>
      </c>
      <c r="AB245" s="50" t="s">
        <v>12480</v>
      </c>
      <c r="AC245" s="50" t="s">
        <v>12481</v>
      </c>
      <c r="AD245" s="50" t="s">
        <v>12158</v>
      </c>
      <c r="AE245" s="50" t="s">
        <v>12482</v>
      </c>
      <c r="AF245" s="50" t="s">
        <v>12327</v>
      </c>
      <c r="AG245" s="50" t="s">
        <v>12482</v>
      </c>
      <c r="AH245" s="50" t="s">
        <v>109</v>
      </c>
      <c r="AI245" s="50" t="s">
        <v>102</v>
      </c>
      <c r="AJ245" s="50" t="s">
        <v>102</v>
      </c>
      <c r="AK245" s="50" t="s">
        <v>12211</v>
      </c>
      <c r="AL245" s="50" t="s">
        <v>12211</v>
      </c>
      <c r="AM245" s="50" t="s">
        <v>12483</v>
      </c>
      <c r="AN245" s="50" t="s">
        <v>12484</v>
      </c>
      <c r="AO245" s="50" t="s">
        <v>12485</v>
      </c>
      <c r="AP245" s="50" t="s">
        <v>12486</v>
      </c>
      <c r="AQ245" s="50" t="s">
        <v>12486</v>
      </c>
      <c r="AV245" s="50" t="s">
        <v>102</v>
      </c>
      <c r="AX245" s="50" t="s">
        <v>655</v>
      </c>
      <c r="AY245" s="50" t="s">
        <v>119</v>
      </c>
      <c r="AZ245" s="50" t="s">
        <v>170</v>
      </c>
      <c r="BA245" s="50" t="s">
        <v>118</v>
      </c>
      <c r="BC245" s="50" t="s">
        <v>120</v>
      </c>
      <c r="BD245" s="50" t="s">
        <v>952</v>
      </c>
      <c r="BE245" s="50" t="s">
        <v>410</v>
      </c>
      <c r="BF245" s="50" t="s">
        <v>212</v>
      </c>
      <c r="BG245" s="50" t="s">
        <v>410</v>
      </c>
      <c r="BH245" s="50" t="s">
        <v>124</v>
      </c>
      <c r="BI245" s="50" t="s">
        <v>4294</v>
      </c>
      <c r="BJ245" s="50" t="s">
        <v>12047</v>
      </c>
      <c r="BK245" s="50" t="s">
        <v>127</v>
      </c>
      <c r="BL245" s="50" t="s">
        <v>12487</v>
      </c>
      <c r="BM245" s="50" t="s">
        <v>954</v>
      </c>
      <c r="BN245" s="50" t="s">
        <v>12488</v>
      </c>
      <c r="BO245" s="50" t="s">
        <v>4294</v>
      </c>
      <c r="BP245" s="50" t="s">
        <v>866</v>
      </c>
      <c r="BQ245" s="50" t="s">
        <v>505</v>
      </c>
      <c r="BR245" s="50" t="s">
        <v>867</v>
      </c>
      <c r="BS245" s="50" t="s">
        <v>868</v>
      </c>
      <c r="BT245" s="50" t="s">
        <v>418</v>
      </c>
      <c r="BV245" s="50" t="s">
        <v>12489</v>
      </c>
      <c r="BW245" s="50" t="s">
        <v>3585</v>
      </c>
      <c r="BX245" s="50" t="s">
        <v>598</v>
      </c>
      <c r="BY245" s="50" t="s">
        <v>225</v>
      </c>
      <c r="BZ245" s="50" t="s">
        <v>12490</v>
      </c>
      <c r="CA245" s="50" t="s">
        <v>964</v>
      </c>
      <c r="CB245" s="50" t="s">
        <v>3585</v>
      </c>
      <c r="CC245" s="50" t="s">
        <v>225</v>
      </c>
      <c r="CD245" s="50" t="s">
        <v>12490</v>
      </c>
      <c r="CE245" s="50" t="s">
        <v>3585</v>
      </c>
      <c r="CF245" s="50" t="s">
        <v>225</v>
      </c>
      <c r="CG245" s="50" t="s">
        <v>12490</v>
      </c>
      <c r="CH245" s="50" t="s">
        <v>102</v>
      </c>
      <c r="CI245" s="50" t="s">
        <v>965</v>
      </c>
      <c r="CK245" s="50" t="s">
        <v>966</v>
      </c>
      <c r="CM245" s="50" t="s">
        <v>952</v>
      </c>
      <c r="CN245" s="50" t="s">
        <v>410</v>
      </c>
      <c r="CO245" s="50" t="s">
        <v>966</v>
      </c>
      <c r="CQ245" s="50" t="s">
        <v>965</v>
      </c>
      <c r="CR245" s="50" t="s">
        <v>965</v>
      </c>
      <c r="CS245" s="50" t="s">
        <v>26044</v>
      </c>
    </row>
    <row r="246" spans="1:97" hidden="1">
      <c r="A246" s="50" t="s">
        <v>149</v>
      </c>
      <c r="B246" s="50">
        <v>2509576</v>
      </c>
      <c r="C246" s="50" t="e">
        <f>VLOOKUP(B246,'Drop schools 2026'!B:C,2,0)</f>
        <v>#N/A</v>
      </c>
      <c r="D246" s="50" t="s">
        <v>122</v>
      </c>
      <c r="E246" s="50" t="s">
        <v>12491</v>
      </c>
      <c r="F246" s="50" t="s">
        <v>3845</v>
      </c>
      <c r="G246" s="50" t="str">
        <f>VLOOKUP(B246,aa!B:F,5,0)</f>
        <v>Ei CARES</v>
      </c>
      <c r="H246" s="50">
        <f>VLOOKUP(B246,aa!B:J,9,0)</f>
        <v>668678</v>
      </c>
      <c r="I246" s="50">
        <f>VLOOKUP(B246,aa!B:L,11,0)</f>
        <v>0</v>
      </c>
      <c r="J246" s="50">
        <f>VLOOKUP(B246,aa!B:O,14,0)</f>
        <v>668678</v>
      </c>
      <c r="K246" s="50">
        <f>VLOOKUP(B246,aa!B:R,17,0)</f>
        <v>0</v>
      </c>
      <c r="L246" s="50" t="s">
        <v>152</v>
      </c>
      <c r="M246" s="50">
        <v>622634</v>
      </c>
      <c r="N246" s="50">
        <v>622634</v>
      </c>
      <c r="O246" s="50">
        <v>0</v>
      </c>
      <c r="P246" s="50">
        <v>0</v>
      </c>
      <c r="R246" s="50">
        <v>622634</v>
      </c>
      <c r="S246" s="50">
        <v>566</v>
      </c>
      <c r="T246" s="50" t="s">
        <v>466</v>
      </c>
      <c r="U246" s="50">
        <v>0</v>
      </c>
      <c r="V246" s="50">
        <v>0</v>
      </c>
      <c r="X246" s="50" t="s">
        <v>102</v>
      </c>
      <c r="Y246" s="50" t="s">
        <v>103</v>
      </c>
      <c r="Z246" s="50" t="s">
        <v>155</v>
      </c>
      <c r="AB246" s="50" t="s">
        <v>411</v>
      </c>
      <c r="AC246" s="50" t="s">
        <v>14316</v>
      </c>
      <c r="AD246" s="50" t="s">
        <v>11976</v>
      </c>
      <c r="AE246" s="50" t="s">
        <v>14316</v>
      </c>
      <c r="AF246" s="50" t="s">
        <v>11888</v>
      </c>
      <c r="AG246" s="50" t="s">
        <v>14316</v>
      </c>
      <c r="AH246" s="50" t="s">
        <v>6895</v>
      </c>
      <c r="AI246" s="50" t="s">
        <v>14316</v>
      </c>
      <c r="AJ246" s="50" t="s">
        <v>102</v>
      </c>
      <c r="AM246" s="50" t="s">
        <v>14317</v>
      </c>
      <c r="AN246" s="50" t="s">
        <v>102</v>
      </c>
      <c r="AO246" s="50" t="s">
        <v>14317</v>
      </c>
      <c r="AP246" s="50" t="s">
        <v>3853</v>
      </c>
      <c r="AQ246" s="50" t="s">
        <v>3853</v>
      </c>
      <c r="AV246" s="50" t="s">
        <v>102</v>
      </c>
      <c r="AX246" s="50" t="s">
        <v>155</v>
      </c>
      <c r="AY246" s="50" t="s">
        <v>447</v>
      </c>
      <c r="AZ246" s="50" t="s">
        <v>1138</v>
      </c>
      <c r="BA246" s="50" t="s">
        <v>118</v>
      </c>
      <c r="BC246" s="50" t="s">
        <v>120</v>
      </c>
      <c r="BD246" s="50" t="s">
        <v>3854</v>
      </c>
      <c r="BE246" s="50" t="s">
        <v>449</v>
      </c>
      <c r="BF246" s="50" t="s">
        <v>122</v>
      </c>
      <c r="BG246" s="50" t="s">
        <v>450</v>
      </c>
      <c r="BH246" s="50" t="s">
        <v>124</v>
      </c>
      <c r="BI246" s="50" t="s">
        <v>12023</v>
      </c>
      <c r="BJ246" s="50" t="s">
        <v>11889</v>
      </c>
      <c r="BK246" s="50" t="s">
        <v>127</v>
      </c>
      <c r="BL246" s="50" t="s">
        <v>14318</v>
      </c>
      <c r="BM246" s="50" t="s">
        <v>3856</v>
      </c>
      <c r="BN246" s="50" t="s">
        <v>14319</v>
      </c>
      <c r="BO246" s="50" t="s">
        <v>13216</v>
      </c>
      <c r="BP246" s="50" t="s">
        <v>8788</v>
      </c>
      <c r="BQ246" s="50" t="s">
        <v>350</v>
      </c>
      <c r="BR246" s="50" t="s">
        <v>8789</v>
      </c>
      <c r="BS246" s="50" t="s">
        <v>8790</v>
      </c>
      <c r="BT246" s="50" t="s">
        <v>1006</v>
      </c>
      <c r="BV246" s="50" t="s">
        <v>14320</v>
      </c>
      <c r="BW246" s="50" t="s">
        <v>3859</v>
      </c>
      <c r="BX246" s="50" t="s">
        <v>138</v>
      </c>
      <c r="BY246" s="50" t="s">
        <v>3860</v>
      </c>
      <c r="BZ246" s="50" t="s">
        <v>3861</v>
      </c>
      <c r="CA246" s="50" t="s">
        <v>3862</v>
      </c>
      <c r="CB246" s="50" t="s">
        <v>3859</v>
      </c>
      <c r="CC246" s="50" t="s">
        <v>3860</v>
      </c>
      <c r="CD246" s="50" t="s">
        <v>3861</v>
      </c>
      <c r="CE246" s="50" t="s">
        <v>3859</v>
      </c>
      <c r="CF246" s="50" t="s">
        <v>3860</v>
      </c>
      <c r="CG246" s="50" t="s">
        <v>3861</v>
      </c>
      <c r="CH246" s="50" t="s">
        <v>102</v>
      </c>
      <c r="CI246" s="50" t="s">
        <v>3863</v>
      </c>
      <c r="CK246" s="50" t="s">
        <v>3864</v>
      </c>
      <c r="CM246" s="50" t="s">
        <v>3854</v>
      </c>
      <c r="CN246" s="50" t="s">
        <v>449</v>
      </c>
      <c r="CO246" s="50" t="s">
        <v>3864</v>
      </c>
      <c r="CP246" s="50" t="s">
        <v>3865</v>
      </c>
      <c r="CQ246" s="50" t="s">
        <v>3863</v>
      </c>
      <c r="CR246" s="50" t="s">
        <v>3863</v>
      </c>
    </row>
    <row r="247" spans="1:97" hidden="1">
      <c r="A247" s="50" t="s">
        <v>149</v>
      </c>
      <c r="B247" s="50">
        <v>547865</v>
      </c>
      <c r="C247" s="50" t="e">
        <f>VLOOKUP(B247,'Drop schools 2026'!B:C,2,0)</f>
        <v>#N/A</v>
      </c>
      <c r="D247" s="50" t="s">
        <v>122</v>
      </c>
      <c r="E247" s="50" t="s">
        <v>12018</v>
      </c>
      <c r="F247" s="50" t="s">
        <v>21082</v>
      </c>
      <c r="G247" s="50" t="e">
        <f>VLOOKUP(B247,aa!B:F,5,0)</f>
        <v>#N/A</v>
      </c>
      <c r="H247" s="50" t="e">
        <f>VLOOKUP(B247,aa!B:J,9,0)</f>
        <v>#N/A</v>
      </c>
      <c r="I247" s="50" t="e">
        <f>VLOOKUP(B247,aa!B:L,11,0)</f>
        <v>#N/A</v>
      </c>
      <c r="J247" s="50" t="e">
        <f>VLOOKUP(B247,aa!B:O,14,0)</f>
        <v>#N/A</v>
      </c>
      <c r="K247" s="50" t="e">
        <f>VLOOKUP(B247,aa!B:R,17,0)</f>
        <v>#N/A</v>
      </c>
      <c r="L247" s="50" t="s">
        <v>97</v>
      </c>
      <c r="M247" s="50">
        <v>622318</v>
      </c>
      <c r="N247" s="50">
        <v>622318</v>
      </c>
      <c r="O247" s="50">
        <v>622318</v>
      </c>
      <c r="P247" s="50">
        <v>535</v>
      </c>
      <c r="Q247" s="50" t="s">
        <v>21083</v>
      </c>
      <c r="R247" s="50">
        <v>0</v>
      </c>
      <c r="S247" s="50">
        <v>0</v>
      </c>
      <c r="U247" s="50">
        <v>0</v>
      </c>
      <c r="V247" s="50">
        <v>0</v>
      </c>
      <c r="X247" s="50" t="s">
        <v>102</v>
      </c>
      <c r="Y247" s="50" t="s">
        <v>103</v>
      </c>
      <c r="Z247" s="50" t="s">
        <v>104</v>
      </c>
      <c r="AB247" s="50" t="s">
        <v>13529</v>
      </c>
      <c r="AC247" s="50" t="s">
        <v>21084</v>
      </c>
      <c r="AD247" s="50" t="s">
        <v>15295</v>
      </c>
      <c r="AE247" s="50" t="s">
        <v>21085</v>
      </c>
      <c r="AF247" s="50" t="s">
        <v>109</v>
      </c>
      <c r="AG247" s="50" t="s">
        <v>102</v>
      </c>
      <c r="AH247" s="50" t="s">
        <v>109</v>
      </c>
      <c r="AI247" s="50" t="s">
        <v>102</v>
      </c>
      <c r="AJ247" s="50" t="s">
        <v>102</v>
      </c>
      <c r="AM247" s="50" t="s">
        <v>21086</v>
      </c>
      <c r="AN247" s="50" t="s">
        <v>102</v>
      </c>
      <c r="AO247" s="50" t="s">
        <v>21086</v>
      </c>
      <c r="AP247" s="50" t="s">
        <v>13193</v>
      </c>
      <c r="AQ247" s="50" t="s">
        <v>13193</v>
      </c>
      <c r="AV247" s="50" t="s">
        <v>318</v>
      </c>
      <c r="AW247" s="50" t="s">
        <v>118</v>
      </c>
      <c r="AX247" s="50" t="s">
        <v>102</v>
      </c>
      <c r="AY247" s="50" t="s">
        <v>119</v>
      </c>
      <c r="BC247" s="50" t="s">
        <v>120</v>
      </c>
      <c r="BD247" s="50" t="s">
        <v>11027</v>
      </c>
      <c r="BE247" s="50" t="s">
        <v>345</v>
      </c>
      <c r="BF247" s="50" t="s">
        <v>122</v>
      </c>
      <c r="BG247" s="50" t="s">
        <v>346</v>
      </c>
      <c r="BH247" s="50" t="s">
        <v>124</v>
      </c>
      <c r="BI247" s="50" t="s">
        <v>12023</v>
      </c>
      <c r="BJ247" s="50" t="s">
        <v>11889</v>
      </c>
      <c r="BK247" s="50" t="s">
        <v>127</v>
      </c>
      <c r="BL247" s="50" t="s">
        <v>21087</v>
      </c>
      <c r="BM247" s="50" t="s">
        <v>11031</v>
      </c>
      <c r="BN247" s="50" t="s">
        <v>21088</v>
      </c>
      <c r="BO247" s="50" t="s">
        <v>8537</v>
      </c>
      <c r="BP247" s="50" t="s">
        <v>593</v>
      </c>
      <c r="BQ247" s="50" t="s">
        <v>350</v>
      </c>
      <c r="BR247" s="50" t="s">
        <v>594</v>
      </c>
      <c r="BS247" s="50" t="s">
        <v>595</v>
      </c>
      <c r="BT247" s="50" t="s">
        <v>328</v>
      </c>
      <c r="BV247" s="50" t="s">
        <v>21089</v>
      </c>
      <c r="BW247" s="50" t="s">
        <v>11041</v>
      </c>
      <c r="BX247" s="50" t="s">
        <v>598</v>
      </c>
      <c r="BY247" s="50" t="s">
        <v>11040</v>
      </c>
      <c r="BZ247" s="50" t="s">
        <v>11042</v>
      </c>
      <c r="CA247" s="50" t="s">
        <v>11040</v>
      </c>
      <c r="CB247" s="50" t="s">
        <v>21090</v>
      </c>
      <c r="CC247" s="50" t="s">
        <v>11040</v>
      </c>
      <c r="CD247" s="50" t="s">
        <v>11042</v>
      </c>
      <c r="CE247" s="50" t="s">
        <v>11041</v>
      </c>
      <c r="CF247" s="50" t="s">
        <v>11040</v>
      </c>
      <c r="CG247" s="50" t="s">
        <v>11042</v>
      </c>
      <c r="CH247" s="50" t="s">
        <v>11043</v>
      </c>
      <c r="CI247" s="50" t="s">
        <v>21091</v>
      </c>
      <c r="CK247" s="50" t="s">
        <v>11045</v>
      </c>
      <c r="CL247" s="50" t="s">
        <v>11044</v>
      </c>
      <c r="CM247" s="50" t="s">
        <v>11027</v>
      </c>
      <c r="CN247" s="50" t="s">
        <v>345</v>
      </c>
      <c r="CO247" s="50" t="s">
        <v>11045</v>
      </c>
      <c r="CP247" s="50" t="s">
        <v>11046</v>
      </c>
      <c r="CQ247" s="50" t="s">
        <v>11044</v>
      </c>
      <c r="CR247" s="50" t="s">
        <v>11044</v>
      </c>
    </row>
    <row r="248" spans="1:97" hidden="1">
      <c r="A248" s="50" t="s">
        <v>149</v>
      </c>
      <c r="B248" s="50">
        <v>1581683</v>
      </c>
      <c r="C248" s="50" t="e">
        <f>VLOOKUP(B248,'Drop schools 2026'!B:C,2,0)</f>
        <v>#N/A</v>
      </c>
      <c r="D248" s="50" t="s">
        <v>622</v>
      </c>
      <c r="E248" s="50" t="s">
        <v>1279</v>
      </c>
      <c r="F248" s="50" t="s">
        <v>1260</v>
      </c>
      <c r="G248" s="50" t="e">
        <f>VLOOKUP(B248,aa!B:F,5,0)</f>
        <v>#N/A</v>
      </c>
      <c r="H248" s="50" t="e">
        <f>VLOOKUP(B248,aa!B:J,9,0)</f>
        <v>#N/A</v>
      </c>
      <c r="I248" s="50" t="e">
        <f>VLOOKUP(B248,aa!B:L,11,0)</f>
        <v>#N/A</v>
      </c>
      <c r="J248" s="50" t="e">
        <f>VLOOKUP(B248,aa!B:O,14,0)</f>
        <v>#N/A</v>
      </c>
      <c r="K248" s="50" t="e">
        <f>VLOOKUP(B248,aa!B:R,17,0)</f>
        <v>#N/A</v>
      </c>
      <c r="L248" s="50" t="s">
        <v>643</v>
      </c>
      <c r="M248" s="50">
        <v>620732</v>
      </c>
      <c r="N248" s="50">
        <v>715923</v>
      </c>
      <c r="O248" s="50">
        <v>0</v>
      </c>
      <c r="P248" s="50">
        <v>0</v>
      </c>
      <c r="R248" s="50">
        <v>91892</v>
      </c>
      <c r="S248" s="50">
        <v>51</v>
      </c>
      <c r="T248" s="50" t="s">
        <v>12645</v>
      </c>
      <c r="U248" s="50">
        <v>528840</v>
      </c>
      <c r="V248" s="50">
        <v>160</v>
      </c>
      <c r="W248" s="50" t="s">
        <v>12646</v>
      </c>
      <c r="X248" s="50" t="s">
        <v>102</v>
      </c>
      <c r="Y248" s="50" t="s">
        <v>275</v>
      </c>
      <c r="AA248" s="50" t="s">
        <v>12644</v>
      </c>
      <c r="AB248" s="50" t="s">
        <v>109</v>
      </c>
      <c r="AC248" s="50" t="s">
        <v>102</v>
      </c>
      <c r="AD248" s="50" t="s">
        <v>109</v>
      </c>
      <c r="AE248" s="50" t="s">
        <v>102</v>
      </c>
      <c r="AF248" s="50" t="s">
        <v>109</v>
      </c>
      <c r="AG248" s="50" t="s">
        <v>102</v>
      </c>
      <c r="AH248" s="50" t="s">
        <v>109</v>
      </c>
      <c r="AI248" s="50" t="s">
        <v>102</v>
      </c>
      <c r="AJ248" s="50" t="s">
        <v>12647</v>
      </c>
      <c r="AK248" s="50" t="s">
        <v>12312</v>
      </c>
      <c r="AL248" s="50" t="s">
        <v>12329</v>
      </c>
      <c r="AM248" s="50" t="s">
        <v>12648</v>
      </c>
      <c r="AN248" s="50" t="s">
        <v>12649</v>
      </c>
      <c r="AO248" s="50" t="s">
        <v>12650</v>
      </c>
      <c r="AP248" s="50" t="s">
        <v>12651</v>
      </c>
      <c r="AQ248" s="50" t="s">
        <v>12651</v>
      </c>
      <c r="AV248" s="50" t="s">
        <v>102</v>
      </c>
      <c r="AX248" s="50" t="s">
        <v>655</v>
      </c>
      <c r="AY248" s="50" t="s">
        <v>119</v>
      </c>
      <c r="AZ248" s="50" t="s">
        <v>170</v>
      </c>
      <c r="BA248" s="50" t="s">
        <v>118</v>
      </c>
      <c r="BB248" s="50" t="s">
        <v>250</v>
      </c>
      <c r="BC248" s="50" t="s">
        <v>3678</v>
      </c>
      <c r="BD248" s="50" t="s">
        <v>623</v>
      </c>
      <c r="BE248" s="50" t="s">
        <v>621</v>
      </c>
      <c r="BF248" s="50" t="s">
        <v>622</v>
      </c>
      <c r="BG248" s="50" t="s">
        <v>623</v>
      </c>
      <c r="BH248" s="50" t="s">
        <v>124</v>
      </c>
      <c r="BI248" s="50" t="s">
        <v>4563</v>
      </c>
      <c r="BJ248" s="50" t="s">
        <v>11960</v>
      </c>
      <c r="BK248" s="50" t="s">
        <v>127</v>
      </c>
      <c r="BL248" s="50" t="s">
        <v>12652</v>
      </c>
      <c r="BM248" s="50" t="s">
        <v>1277</v>
      </c>
      <c r="BN248" s="50" t="s">
        <v>12653</v>
      </c>
      <c r="BO248" s="50" t="s">
        <v>12644</v>
      </c>
      <c r="BP248" s="50" t="s">
        <v>629</v>
      </c>
      <c r="BQ248" s="50" t="s">
        <v>957</v>
      </c>
      <c r="BR248" s="50" t="s">
        <v>630</v>
      </c>
      <c r="BS248" s="50" t="s">
        <v>631</v>
      </c>
      <c r="BT248" s="50" t="s">
        <v>1279</v>
      </c>
      <c r="BV248" s="50" t="s">
        <v>12654</v>
      </c>
      <c r="BW248" s="50" t="s">
        <v>1286</v>
      </c>
      <c r="BX248" s="50" t="s">
        <v>138</v>
      </c>
      <c r="BY248" s="50" t="s">
        <v>12655</v>
      </c>
      <c r="BZ248" s="50" t="s">
        <v>1287</v>
      </c>
      <c r="CA248" s="50" t="s">
        <v>1285</v>
      </c>
      <c r="CB248" s="50" t="s">
        <v>12656</v>
      </c>
      <c r="CC248" s="50" t="s">
        <v>1285</v>
      </c>
      <c r="CD248" s="50" t="s">
        <v>1287</v>
      </c>
      <c r="CE248" s="50" t="s">
        <v>12656</v>
      </c>
      <c r="CF248" s="50" t="s">
        <v>1285</v>
      </c>
      <c r="CG248" s="50" t="s">
        <v>1287</v>
      </c>
      <c r="CH248" s="50" t="s">
        <v>102</v>
      </c>
      <c r="CI248" s="50" t="s">
        <v>1291</v>
      </c>
      <c r="CK248" s="50" t="s">
        <v>1292</v>
      </c>
      <c r="CM248" s="50" t="s">
        <v>623</v>
      </c>
      <c r="CN248" s="50" t="s">
        <v>621</v>
      </c>
      <c r="CO248" s="50" t="s">
        <v>1292</v>
      </c>
      <c r="CP248" s="50" t="s">
        <v>1293</v>
      </c>
      <c r="CQ248" s="50" t="s">
        <v>1291</v>
      </c>
      <c r="CR248" s="50" t="s">
        <v>1291</v>
      </c>
      <c r="CS248" s="50" t="s">
        <v>26047</v>
      </c>
    </row>
    <row r="249" spans="1:97" hidden="1">
      <c r="A249" s="50" t="s">
        <v>149</v>
      </c>
      <c r="B249" s="50">
        <v>5002616</v>
      </c>
      <c r="C249" s="50" t="e">
        <f>VLOOKUP(B249,'Drop schools 2026'!B:C,2,0)</f>
        <v>#N/A</v>
      </c>
      <c r="D249" s="50" t="s">
        <v>212</v>
      </c>
      <c r="E249" s="50" t="s">
        <v>2151</v>
      </c>
      <c r="F249" s="50" t="s">
        <v>9104</v>
      </c>
      <c r="G249" s="50" t="e">
        <f>VLOOKUP(B249,aa!B:F,5,0)</f>
        <v>#N/A</v>
      </c>
      <c r="H249" s="50" t="e">
        <f>VLOOKUP(B249,aa!B:J,9,0)</f>
        <v>#N/A</v>
      </c>
      <c r="I249" s="50" t="e">
        <f>VLOOKUP(B249,aa!B:L,11,0)</f>
        <v>#N/A</v>
      </c>
      <c r="J249" s="50" t="e">
        <f>VLOOKUP(B249,aa!B:O,14,0)</f>
        <v>#N/A</v>
      </c>
      <c r="K249" s="50" t="e">
        <f>VLOOKUP(B249,aa!B:R,17,0)</f>
        <v>#N/A</v>
      </c>
      <c r="L249" s="50" t="s">
        <v>152</v>
      </c>
      <c r="M249" s="50">
        <v>620325</v>
      </c>
      <c r="N249" s="50">
        <v>620325</v>
      </c>
      <c r="O249" s="50">
        <v>0</v>
      </c>
      <c r="P249" s="50">
        <v>0</v>
      </c>
      <c r="R249" s="50">
        <v>620325</v>
      </c>
      <c r="S249" s="50">
        <v>470</v>
      </c>
      <c r="T249" s="50" t="s">
        <v>16755</v>
      </c>
      <c r="U249" s="50">
        <v>0</v>
      </c>
      <c r="V249" s="50">
        <v>0</v>
      </c>
      <c r="X249" s="50" t="s">
        <v>102</v>
      </c>
      <c r="Y249" s="50" t="s">
        <v>103</v>
      </c>
      <c r="Z249" s="50" t="s">
        <v>155</v>
      </c>
      <c r="AB249" s="50" t="s">
        <v>12023</v>
      </c>
      <c r="AC249" s="50" t="s">
        <v>18473</v>
      </c>
      <c r="AD249" s="50" t="s">
        <v>1408</v>
      </c>
      <c r="AE249" s="50" t="s">
        <v>18473</v>
      </c>
      <c r="AF249" s="50" t="s">
        <v>12888</v>
      </c>
      <c r="AG249" s="50" t="s">
        <v>18473</v>
      </c>
      <c r="AH249" s="50" t="s">
        <v>1427</v>
      </c>
      <c r="AI249" s="50" t="s">
        <v>18473</v>
      </c>
      <c r="AJ249" s="50" t="s">
        <v>1594</v>
      </c>
      <c r="AK249" s="50" t="s">
        <v>1941</v>
      </c>
      <c r="AL249" s="50" t="s">
        <v>12859</v>
      </c>
      <c r="AM249" s="50" t="s">
        <v>18474</v>
      </c>
      <c r="AN249" s="50" t="s">
        <v>18475</v>
      </c>
      <c r="AO249" s="50" t="s">
        <v>18476</v>
      </c>
      <c r="AP249" s="50" t="s">
        <v>18477</v>
      </c>
      <c r="AQ249" s="50" t="s">
        <v>18477</v>
      </c>
      <c r="AV249" s="50" t="s">
        <v>102</v>
      </c>
      <c r="AX249" s="50" t="s">
        <v>104</v>
      </c>
      <c r="AY249" s="50" t="s">
        <v>119</v>
      </c>
      <c r="BA249" s="50" t="s">
        <v>250</v>
      </c>
      <c r="BC249" s="50" t="s">
        <v>120</v>
      </c>
      <c r="BD249" s="50" t="s">
        <v>920</v>
      </c>
      <c r="BE249" s="50" t="s">
        <v>211</v>
      </c>
      <c r="BF249" s="50" t="s">
        <v>212</v>
      </c>
      <c r="BG249" s="50" t="s">
        <v>213</v>
      </c>
      <c r="BH249" s="50" t="s">
        <v>124</v>
      </c>
      <c r="BI249" s="50" t="s">
        <v>12492</v>
      </c>
      <c r="BJ249" s="50" t="s">
        <v>11960</v>
      </c>
      <c r="BK249" s="50" t="s">
        <v>127</v>
      </c>
      <c r="BL249" s="50" t="s">
        <v>18478</v>
      </c>
      <c r="BM249" s="50" t="s">
        <v>9113</v>
      </c>
      <c r="BN249" s="50" t="s">
        <v>18479</v>
      </c>
      <c r="BO249" s="50" t="s">
        <v>945</v>
      </c>
      <c r="BP249" s="50" t="s">
        <v>415</v>
      </c>
      <c r="BQ249" s="50" t="s">
        <v>132</v>
      </c>
      <c r="BR249" s="50" t="s">
        <v>416</v>
      </c>
      <c r="BS249" s="50" t="s">
        <v>417</v>
      </c>
      <c r="BT249" s="50" t="s">
        <v>222</v>
      </c>
      <c r="BV249" s="50" t="s">
        <v>18480</v>
      </c>
      <c r="BW249" s="50" t="s">
        <v>2184</v>
      </c>
      <c r="BX249" s="50" t="s">
        <v>138</v>
      </c>
      <c r="BY249" s="50" t="s">
        <v>2185</v>
      </c>
      <c r="BZ249" s="50" t="s">
        <v>2186</v>
      </c>
      <c r="CA249" s="50" t="s">
        <v>2187</v>
      </c>
      <c r="CB249" s="50" t="s">
        <v>2184</v>
      </c>
      <c r="CC249" s="50" t="s">
        <v>2185</v>
      </c>
      <c r="CD249" s="50" t="s">
        <v>13154</v>
      </c>
      <c r="CE249" s="50" t="s">
        <v>13155</v>
      </c>
      <c r="CF249" s="50" t="s">
        <v>13156</v>
      </c>
      <c r="CG249" s="50" t="s">
        <v>13157</v>
      </c>
      <c r="CH249" s="50" t="s">
        <v>102</v>
      </c>
      <c r="CI249" s="50" t="s">
        <v>2188</v>
      </c>
      <c r="CK249" s="50" t="s">
        <v>2189</v>
      </c>
      <c r="CM249" s="50" t="s">
        <v>920</v>
      </c>
      <c r="CN249" s="50" t="s">
        <v>2474</v>
      </c>
      <c r="CO249" s="50" t="s">
        <v>2189</v>
      </c>
      <c r="CP249" s="50" t="s">
        <v>2190</v>
      </c>
      <c r="CQ249" s="50" t="s">
        <v>2188</v>
      </c>
      <c r="CR249" s="50" t="s">
        <v>2188</v>
      </c>
      <c r="CS249" s="50" t="s">
        <v>26040</v>
      </c>
    </row>
    <row r="250" spans="1:97" hidden="1">
      <c r="A250" s="50" t="s">
        <v>149</v>
      </c>
      <c r="B250" s="50">
        <v>19282</v>
      </c>
      <c r="C250" s="50" t="e">
        <f>VLOOKUP(B250,'Drop schools 2026'!B:C,2,0)</f>
        <v>#N/A</v>
      </c>
      <c r="D250" s="50" t="s">
        <v>212</v>
      </c>
      <c r="E250" s="50" t="s">
        <v>2151</v>
      </c>
      <c r="F250" s="50" t="s">
        <v>2227</v>
      </c>
      <c r="G250" s="50" t="e">
        <f>VLOOKUP(B250,aa!B:F,5,0)</f>
        <v>#N/A</v>
      </c>
      <c r="H250" s="50" t="e">
        <f>VLOOKUP(B250,aa!B:J,9,0)</f>
        <v>#N/A</v>
      </c>
      <c r="I250" s="50" t="e">
        <f>VLOOKUP(B250,aa!B:L,11,0)</f>
        <v>#N/A</v>
      </c>
      <c r="J250" s="50" t="e">
        <f>VLOOKUP(B250,aa!B:O,14,0)</f>
        <v>#N/A</v>
      </c>
      <c r="K250" s="50" t="e">
        <f>VLOOKUP(B250,aa!B:R,17,0)</f>
        <v>#N/A</v>
      </c>
      <c r="L250" s="50" t="s">
        <v>3549</v>
      </c>
      <c r="M250" s="50">
        <v>619831</v>
      </c>
      <c r="N250" s="50">
        <v>666504</v>
      </c>
      <c r="O250" s="50">
        <v>360536</v>
      </c>
      <c r="P250" s="50">
        <v>502</v>
      </c>
      <c r="Q250" s="50" t="s">
        <v>13170</v>
      </c>
      <c r="R250" s="50">
        <v>0</v>
      </c>
      <c r="S250" s="50">
        <v>0</v>
      </c>
      <c r="U250" s="50">
        <v>259295</v>
      </c>
      <c r="V250" s="50">
        <v>142</v>
      </c>
      <c r="W250" s="50" t="s">
        <v>13171</v>
      </c>
      <c r="X250" s="50" t="s">
        <v>102</v>
      </c>
      <c r="Y250" s="50" t="s">
        <v>103</v>
      </c>
      <c r="Z250" s="50" t="s">
        <v>155</v>
      </c>
      <c r="AB250" s="50" t="s">
        <v>12023</v>
      </c>
      <c r="AC250" s="50" t="s">
        <v>13172</v>
      </c>
      <c r="AD250" s="50" t="s">
        <v>1408</v>
      </c>
      <c r="AE250" s="50" t="s">
        <v>13172</v>
      </c>
      <c r="AF250" s="50" t="s">
        <v>12888</v>
      </c>
      <c r="AG250" s="50" t="s">
        <v>13172</v>
      </c>
      <c r="AH250" s="50" t="s">
        <v>11886</v>
      </c>
      <c r="AI250" s="50" t="s">
        <v>13172</v>
      </c>
      <c r="AJ250" s="50" t="s">
        <v>13173</v>
      </c>
      <c r="AK250" s="50" t="s">
        <v>13174</v>
      </c>
      <c r="AL250" s="50" t="s">
        <v>12859</v>
      </c>
      <c r="AM250" s="50" t="s">
        <v>13175</v>
      </c>
      <c r="AN250" s="50" t="s">
        <v>13176</v>
      </c>
      <c r="AO250" s="50" t="s">
        <v>13177</v>
      </c>
      <c r="AP250" s="50" t="s">
        <v>13178</v>
      </c>
      <c r="AQ250" s="50" t="s">
        <v>13178</v>
      </c>
      <c r="AV250" s="50" t="s">
        <v>318</v>
      </c>
      <c r="AW250" s="50" t="s">
        <v>250</v>
      </c>
      <c r="AX250" s="50" t="s">
        <v>102</v>
      </c>
      <c r="AY250" s="50" t="s">
        <v>119</v>
      </c>
      <c r="BB250" s="50" t="s">
        <v>250</v>
      </c>
      <c r="BC250" s="50" t="s">
        <v>209</v>
      </c>
      <c r="BD250" s="50" t="s">
        <v>920</v>
      </c>
      <c r="BE250" s="50" t="s">
        <v>211</v>
      </c>
      <c r="BF250" s="50" t="s">
        <v>212</v>
      </c>
      <c r="BG250" s="50" t="s">
        <v>213</v>
      </c>
      <c r="BH250" s="50" t="s">
        <v>124</v>
      </c>
      <c r="BI250" s="50" t="s">
        <v>11959</v>
      </c>
      <c r="BJ250" s="50" t="s">
        <v>11960</v>
      </c>
      <c r="BK250" s="50" t="s">
        <v>127</v>
      </c>
      <c r="BL250" s="50" t="s">
        <v>13179</v>
      </c>
      <c r="BM250" s="50" t="s">
        <v>2238</v>
      </c>
      <c r="BN250" s="50" t="s">
        <v>13180</v>
      </c>
      <c r="BO250" s="50" t="s">
        <v>12887</v>
      </c>
      <c r="BP250" s="50" t="s">
        <v>956</v>
      </c>
      <c r="BQ250" s="50" t="s">
        <v>505</v>
      </c>
      <c r="BR250" s="50" t="s">
        <v>958</v>
      </c>
      <c r="BS250" s="50" t="s">
        <v>959</v>
      </c>
      <c r="BT250" s="50" t="s">
        <v>2151</v>
      </c>
      <c r="BV250" s="50" t="s">
        <v>13181</v>
      </c>
      <c r="BW250" s="50" t="s">
        <v>3585</v>
      </c>
      <c r="BX250" s="50" t="s">
        <v>598</v>
      </c>
      <c r="BY250" s="50" t="s">
        <v>225</v>
      </c>
      <c r="BZ250" s="50" t="s">
        <v>8332</v>
      </c>
      <c r="CA250" s="50" t="s">
        <v>958</v>
      </c>
      <c r="CB250" s="50" t="s">
        <v>2244</v>
      </c>
      <c r="CC250" s="50" t="s">
        <v>2245</v>
      </c>
      <c r="CD250" s="50" t="s">
        <v>2246</v>
      </c>
      <c r="CE250" s="50" t="s">
        <v>13182</v>
      </c>
      <c r="CF250" s="50" t="s">
        <v>13183</v>
      </c>
      <c r="CG250" s="50" t="s">
        <v>13184</v>
      </c>
      <c r="CH250" s="50" t="s">
        <v>102</v>
      </c>
      <c r="CI250" s="50" t="s">
        <v>13185</v>
      </c>
      <c r="CK250" s="50" t="s">
        <v>2248</v>
      </c>
      <c r="CM250" s="50" t="s">
        <v>920</v>
      </c>
      <c r="CN250" s="50" t="s">
        <v>211</v>
      </c>
      <c r="CO250" s="50" t="s">
        <v>2248</v>
      </c>
      <c r="CP250" s="50" t="s">
        <v>2190</v>
      </c>
      <c r="CQ250" s="50" t="s">
        <v>2247</v>
      </c>
      <c r="CR250" s="50" t="s">
        <v>2247</v>
      </c>
      <c r="CS250" s="50" t="s">
        <v>26040</v>
      </c>
    </row>
    <row r="251" spans="1:97">
      <c r="A251" s="50" t="s">
        <v>337</v>
      </c>
      <c r="B251" s="50">
        <v>5018195</v>
      </c>
      <c r="C251" s="50" t="e">
        <f>VLOOKUP(B251,'Drop schools 2026'!B:C,2,0)</f>
        <v>#N/A</v>
      </c>
      <c r="D251" s="50" t="s">
        <v>122</v>
      </c>
      <c r="E251" s="50" t="s">
        <v>13158</v>
      </c>
      <c r="F251" s="50" t="s">
        <v>19474</v>
      </c>
      <c r="G251" s="50" t="e">
        <f>VLOOKUP(B251,aa!B:F,5,0)</f>
        <v>#N/A</v>
      </c>
      <c r="H251" s="50" t="e">
        <f>VLOOKUP(B251,aa!B:J,9,0)</f>
        <v>#N/A</v>
      </c>
      <c r="I251" s="50" t="e">
        <f>VLOOKUP(B251,aa!B:L,11,0)</f>
        <v>#N/A</v>
      </c>
      <c r="J251" s="50" t="e">
        <f>VLOOKUP(B251,aa!B:O,14,0)</f>
        <v>#N/A</v>
      </c>
      <c r="K251" s="50" t="e">
        <f>VLOOKUP(B251,aa!B:R,17,0)</f>
        <v>#N/A</v>
      </c>
      <c r="L251" s="50" t="s">
        <v>97</v>
      </c>
      <c r="M251" s="50">
        <v>613966</v>
      </c>
      <c r="N251" s="50">
        <v>613966</v>
      </c>
      <c r="O251" s="50">
        <v>613966</v>
      </c>
      <c r="P251" s="50">
        <v>672</v>
      </c>
      <c r="Q251" s="50" t="s">
        <v>19476</v>
      </c>
      <c r="R251" s="50">
        <v>0</v>
      </c>
      <c r="S251" s="50">
        <v>0</v>
      </c>
      <c r="U251" s="50">
        <v>0</v>
      </c>
      <c r="V251" s="50">
        <v>0</v>
      </c>
      <c r="X251" s="50" t="s">
        <v>102</v>
      </c>
      <c r="Y251" s="50" t="s">
        <v>679</v>
      </c>
      <c r="Z251" s="50" t="s">
        <v>104</v>
      </c>
      <c r="AA251" s="50" t="s">
        <v>11886</v>
      </c>
      <c r="AB251" s="50" t="s">
        <v>19477</v>
      </c>
      <c r="AC251" s="50" t="s">
        <v>19478</v>
      </c>
      <c r="AD251" s="50" t="s">
        <v>15488</v>
      </c>
      <c r="AE251" s="50" t="s">
        <v>19478</v>
      </c>
      <c r="AF251" s="50" t="s">
        <v>109</v>
      </c>
      <c r="AG251" s="50" t="s">
        <v>102</v>
      </c>
      <c r="AH251" s="50" t="s">
        <v>109</v>
      </c>
      <c r="AI251" s="50" t="s">
        <v>102</v>
      </c>
      <c r="AJ251" s="50" t="s">
        <v>102</v>
      </c>
      <c r="AK251" s="50" t="s">
        <v>12427</v>
      </c>
      <c r="AL251" s="50" t="s">
        <v>12427</v>
      </c>
      <c r="AM251" s="50" t="s">
        <v>19479</v>
      </c>
      <c r="AN251" s="50" t="s">
        <v>19480</v>
      </c>
      <c r="AO251" s="50" t="s">
        <v>19481</v>
      </c>
      <c r="AP251" s="50" t="s">
        <v>19482</v>
      </c>
      <c r="AQ251" s="50" t="s">
        <v>19482</v>
      </c>
      <c r="AV251" s="50" t="s">
        <v>3439</v>
      </c>
      <c r="AW251" s="50" t="s">
        <v>118</v>
      </c>
      <c r="AX251" s="50" t="s">
        <v>102</v>
      </c>
      <c r="AY251" s="50" t="s">
        <v>119</v>
      </c>
      <c r="BC251" s="50" t="s">
        <v>120</v>
      </c>
      <c r="BD251" s="50" t="s">
        <v>4153</v>
      </c>
      <c r="BE251" s="50" t="s">
        <v>320</v>
      </c>
      <c r="BF251" s="50" t="s">
        <v>122</v>
      </c>
      <c r="BG251" s="50" t="s">
        <v>123</v>
      </c>
      <c r="BH251" s="50" t="s">
        <v>124</v>
      </c>
      <c r="BI251" s="50" t="s">
        <v>19483</v>
      </c>
      <c r="BJ251" s="50" t="s">
        <v>11889</v>
      </c>
      <c r="BK251" s="50" t="s">
        <v>127</v>
      </c>
      <c r="BL251" s="50" t="s">
        <v>19484</v>
      </c>
      <c r="BM251" s="50" t="s">
        <v>19485</v>
      </c>
      <c r="BN251" s="50" t="s">
        <v>19486</v>
      </c>
      <c r="BO251" s="50" t="s">
        <v>19475</v>
      </c>
      <c r="BP251" s="50" t="s">
        <v>14588</v>
      </c>
      <c r="BQ251" s="50" t="s">
        <v>505</v>
      </c>
      <c r="BR251" s="50" t="s">
        <v>14589</v>
      </c>
      <c r="BS251" s="50" t="s">
        <v>14590</v>
      </c>
      <c r="BT251" s="50" t="s">
        <v>1111</v>
      </c>
      <c r="BV251" s="50" t="s">
        <v>19487</v>
      </c>
      <c r="BW251" s="50" t="s">
        <v>19488</v>
      </c>
      <c r="BX251" s="50" t="s">
        <v>598</v>
      </c>
      <c r="BY251" s="50" t="s">
        <v>19489</v>
      </c>
      <c r="BZ251" s="50" t="s">
        <v>19490</v>
      </c>
      <c r="CB251" s="50" t="s">
        <v>19491</v>
      </c>
      <c r="CC251" s="50" t="s">
        <v>19492</v>
      </c>
      <c r="CD251" s="50" t="s">
        <v>19490</v>
      </c>
      <c r="CE251" s="50" t="s">
        <v>19493</v>
      </c>
      <c r="CF251" s="50" t="s">
        <v>19489</v>
      </c>
      <c r="CG251" s="50" t="s">
        <v>19490</v>
      </c>
      <c r="CH251" s="50" t="s">
        <v>102</v>
      </c>
      <c r="CI251" s="50" t="s">
        <v>19441</v>
      </c>
      <c r="CK251" s="50" t="s">
        <v>4160</v>
      </c>
      <c r="CM251" s="50" t="s">
        <v>4153</v>
      </c>
      <c r="CN251" s="50" t="s">
        <v>320</v>
      </c>
      <c r="CO251" s="50" t="s">
        <v>4160</v>
      </c>
      <c r="CQ251" s="50" t="s">
        <v>19441</v>
      </c>
      <c r="CR251" s="50" t="s">
        <v>19441</v>
      </c>
    </row>
    <row r="252" spans="1:97" hidden="1">
      <c r="A252" s="50" t="s">
        <v>149</v>
      </c>
      <c r="B252" s="50">
        <v>3400783</v>
      </c>
      <c r="C252" s="50" t="e">
        <f>VLOOKUP(B252,'Drop schools 2026'!B:C,2,0)</f>
        <v>#N/A</v>
      </c>
      <c r="D252" s="50" t="s">
        <v>174</v>
      </c>
      <c r="E252" s="50" t="s">
        <v>1111</v>
      </c>
      <c r="F252" s="50" t="s">
        <v>5874</v>
      </c>
      <c r="G252" s="50" t="str">
        <f>VLOOKUP(B252,aa!B:F,5,0)</f>
        <v>Ei CARES</v>
      </c>
      <c r="H252" s="50">
        <f>VLOOKUP(B252,aa!B:J,9,0)</f>
        <v>713589</v>
      </c>
      <c r="I252" s="50">
        <f>VLOOKUP(B252,aa!B:L,11,0)</f>
        <v>0</v>
      </c>
      <c r="J252" s="50">
        <f>VLOOKUP(B252,aa!B:O,14,0)</f>
        <v>713589</v>
      </c>
      <c r="K252" s="50">
        <f>VLOOKUP(B252,aa!B:R,17,0)</f>
        <v>0</v>
      </c>
      <c r="L252" s="50" t="s">
        <v>152</v>
      </c>
      <c r="M252" s="50">
        <v>611514</v>
      </c>
      <c r="N252" s="50">
        <v>611514</v>
      </c>
      <c r="O252" s="50">
        <v>0</v>
      </c>
      <c r="P252" s="50">
        <v>0</v>
      </c>
      <c r="R252" s="50">
        <v>611514</v>
      </c>
      <c r="S252" s="50">
        <v>453</v>
      </c>
      <c r="T252" s="50" t="s">
        <v>397</v>
      </c>
      <c r="U252" s="50">
        <v>0</v>
      </c>
      <c r="V252" s="50">
        <v>0</v>
      </c>
      <c r="X252" s="50" t="s">
        <v>102</v>
      </c>
      <c r="Y252" s="50" t="s">
        <v>275</v>
      </c>
      <c r="AA252" s="50" t="s">
        <v>411</v>
      </c>
      <c r="AB252" s="50" t="s">
        <v>109</v>
      </c>
      <c r="AC252" s="50" t="s">
        <v>102</v>
      </c>
      <c r="AD252" s="50" t="s">
        <v>109</v>
      </c>
      <c r="AE252" s="50" t="s">
        <v>102</v>
      </c>
      <c r="AF252" s="50" t="s">
        <v>109</v>
      </c>
      <c r="AG252" s="50" t="s">
        <v>102</v>
      </c>
      <c r="AH252" s="50" t="s">
        <v>109</v>
      </c>
      <c r="AI252" s="50" t="s">
        <v>102</v>
      </c>
      <c r="AJ252" s="50" t="s">
        <v>102</v>
      </c>
      <c r="AK252" s="50" t="s">
        <v>13769</v>
      </c>
      <c r="AL252" s="50" t="s">
        <v>13769</v>
      </c>
      <c r="AM252" s="50" t="s">
        <v>15855</v>
      </c>
      <c r="AN252" s="50" t="s">
        <v>15856</v>
      </c>
      <c r="AO252" s="50" t="s">
        <v>15857</v>
      </c>
      <c r="AP252" s="50" t="s">
        <v>408</v>
      </c>
      <c r="AQ252" s="50" t="s">
        <v>408</v>
      </c>
      <c r="AV252" s="50" t="s">
        <v>102</v>
      </c>
      <c r="AX252" s="50" t="s">
        <v>155</v>
      </c>
      <c r="AY252" s="50" t="s">
        <v>119</v>
      </c>
      <c r="AZ252" s="50" t="s">
        <v>170</v>
      </c>
      <c r="BA252" s="50" t="s">
        <v>118</v>
      </c>
      <c r="BC252" s="50" t="s">
        <v>120</v>
      </c>
      <c r="BD252" s="50" t="s">
        <v>5878</v>
      </c>
      <c r="BE252" s="50" t="s">
        <v>5879</v>
      </c>
      <c r="BF252" s="50" t="s">
        <v>174</v>
      </c>
      <c r="BG252" s="50" t="s">
        <v>4405</v>
      </c>
      <c r="BH252" s="50" t="s">
        <v>124</v>
      </c>
      <c r="BI252" s="50" t="s">
        <v>1850</v>
      </c>
      <c r="BJ252" s="50" t="s">
        <v>14455</v>
      </c>
      <c r="BK252" s="50" t="s">
        <v>127</v>
      </c>
      <c r="BL252" s="50" t="s">
        <v>15858</v>
      </c>
      <c r="BM252" s="50" t="s">
        <v>5881</v>
      </c>
      <c r="BN252" s="50" t="s">
        <v>15859</v>
      </c>
      <c r="BO252" s="50" t="s">
        <v>5694</v>
      </c>
      <c r="BP252" s="50" t="s">
        <v>1108</v>
      </c>
      <c r="BQ252" s="50" t="s">
        <v>180</v>
      </c>
      <c r="BR252" s="50" t="s">
        <v>1109</v>
      </c>
      <c r="BS252" s="50" t="s">
        <v>1110</v>
      </c>
      <c r="BT252" s="50" t="s">
        <v>4413</v>
      </c>
      <c r="BV252" s="50" t="s">
        <v>15860</v>
      </c>
      <c r="BW252" s="50" t="s">
        <v>5884</v>
      </c>
      <c r="BX252" s="50" t="s">
        <v>138</v>
      </c>
      <c r="BY252" s="50" t="s">
        <v>15861</v>
      </c>
      <c r="BZ252" s="50" t="s">
        <v>15862</v>
      </c>
      <c r="CA252" s="50" t="s">
        <v>5885</v>
      </c>
      <c r="CB252" s="50" t="s">
        <v>5884</v>
      </c>
      <c r="CC252" s="50" t="s">
        <v>15861</v>
      </c>
      <c r="CD252" s="50" t="s">
        <v>15862</v>
      </c>
      <c r="CE252" s="50" t="s">
        <v>5884</v>
      </c>
      <c r="CF252" s="50" t="s">
        <v>15861</v>
      </c>
      <c r="CG252" s="50" t="s">
        <v>15862</v>
      </c>
      <c r="CH252" s="50" t="s">
        <v>102</v>
      </c>
      <c r="CI252" s="50" t="s">
        <v>15863</v>
      </c>
      <c r="CK252" s="50" t="s">
        <v>5889</v>
      </c>
      <c r="CM252" s="50" t="s">
        <v>5878</v>
      </c>
      <c r="CN252" s="50" t="s">
        <v>5879</v>
      </c>
      <c r="CO252" s="50" t="s">
        <v>5889</v>
      </c>
      <c r="CQ252" s="50" t="s">
        <v>5888</v>
      </c>
      <c r="CR252" s="50" t="s">
        <v>5888</v>
      </c>
    </row>
    <row r="253" spans="1:97" hidden="1">
      <c r="A253" s="50" t="s">
        <v>337</v>
      </c>
      <c r="B253" s="50">
        <v>3328193</v>
      </c>
      <c r="C253" s="50" t="e">
        <f>VLOOKUP(B253,'Drop schools 2026'!B:C,2,0)</f>
        <v>#N/A</v>
      </c>
      <c r="D253" s="50" t="s">
        <v>174</v>
      </c>
      <c r="E253" s="50" t="s">
        <v>12096</v>
      </c>
      <c r="F253" s="50" t="s">
        <v>15611</v>
      </c>
      <c r="G253" s="50" t="str">
        <f>VLOOKUP(B253,aa!B:F,5,0)</f>
        <v>Ei CARES, Ei Mindspark</v>
      </c>
      <c r="H253" s="50">
        <f>VLOOKUP(B253,aa!B:J,9,0)</f>
        <v>498171</v>
      </c>
      <c r="I253" s="50">
        <f>VLOOKUP(B253,aa!B:L,11,0)</f>
        <v>0</v>
      </c>
      <c r="J253" s="50">
        <f>VLOOKUP(B253,aa!B:O,14,0)</f>
        <v>185983</v>
      </c>
      <c r="K253" s="50">
        <f>VLOOKUP(B253,aa!B:R,17,0)</f>
        <v>312188</v>
      </c>
      <c r="L253" s="50" t="s">
        <v>8024</v>
      </c>
      <c r="M253" s="50">
        <v>605318</v>
      </c>
      <c r="N253" s="50">
        <v>698400</v>
      </c>
      <c r="O253" s="50">
        <v>610200</v>
      </c>
      <c r="P253" s="50">
        <v>0</v>
      </c>
      <c r="Q253" s="50" t="s">
        <v>102</v>
      </c>
      <c r="R253" s="50">
        <v>88200</v>
      </c>
      <c r="S253" s="50">
        <v>147</v>
      </c>
      <c r="T253" s="50" t="s">
        <v>102</v>
      </c>
      <c r="U253" s="50">
        <v>0</v>
      </c>
      <c r="V253" s="50">
        <v>339</v>
      </c>
      <c r="W253" s="50" t="s">
        <v>102</v>
      </c>
      <c r="X253" s="50" t="s">
        <v>102</v>
      </c>
      <c r="Y253" s="50" t="s">
        <v>103</v>
      </c>
      <c r="Z253" s="50" t="s">
        <v>2196</v>
      </c>
      <c r="AA253" s="50" t="s">
        <v>3993</v>
      </c>
      <c r="AB253" s="50" t="s">
        <v>15613</v>
      </c>
      <c r="AC253" s="50" t="s">
        <v>102</v>
      </c>
      <c r="AD253" s="50" t="s">
        <v>15614</v>
      </c>
      <c r="AE253" s="50" t="s">
        <v>102</v>
      </c>
      <c r="AF253" s="50" t="s">
        <v>15615</v>
      </c>
      <c r="AG253" s="50" t="s">
        <v>102</v>
      </c>
      <c r="AH253" s="50" t="s">
        <v>15616</v>
      </c>
      <c r="AI253" s="50" t="s">
        <v>102</v>
      </c>
      <c r="AJ253" s="50" t="s">
        <v>102</v>
      </c>
      <c r="AK253" s="50" t="s">
        <v>15617</v>
      </c>
      <c r="AL253" s="50" t="s">
        <v>15618</v>
      </c>
      <c r="AM253" s="50" t="s">
        <v>15619</v>
      </c>
      <c r="AN253" s="50" t="s">
        <v>15620</v>
      </c>
      <c r="AO253" s="50" t="s">
        <v>15621</v>
      </c>
      <c r="AP253" s="50" t="s">
        <v>2202</v>
      </c>
      <c r="AQ253" s="50" t="s">
        <v>2202</v>
      </c>
      <c r="AR253" s="50" t="s">
        <v>102</v>
      </c>
      <c r="AS253" s="50" t="s">
        <v>102</v>
      </c>
      <c r="AT253" s="50" t="s">
        <v>102</v>
      </c>
      <c r="AU253" s="50" t="s">
        <v>102</v>
      </c>
      <c r="AV253" s="50" t="s">
        <v>247</v>
      </c>
      <c r="AW253" s="50" t="s">
        <v>118</v>
      </c>
      <c r="AX253" s="50" t="s">
        <v>1103</v>
      </c>
      <c r="AY253" s="50" t="s">
        <v>119</v>
      </c>
      <c r="AZ253" s="50" t="s">
        <v>170</v>
      </c>
      <c r="BA253" s="50" t="s">
        <v>118</v>
      </c>
      <c r="BB253" s="50" t="s">
        <v>250</v>
      </c>
      <c r="BC253" s="50" t="s">
        <v>120</v>
      </c>
      <c r="BD253" s="50" t="s">
        <v>5553</v>
      </c>
      <c r="BE253" s="50" t="s">
        <v>1171</v>
      </c>
      <c r="BF253" s="50" t="s">
        <v>174</v>
      </c>
      <c r="BG253" s="50" t="s">
        <v>1172</v>
      </c>
      <c r="BH253" s="50" t="s">
        <v>124</v>
      </c>
      <c r="BI253" s="50" t="s">
        <v>15622</v>
      </c>
      <c r="BJ253" s="50" t="s">
        <v>15623</v>
      </c>
      <c r="BK253" s="50" t="s">
        <v>15624</v>
      </c>
      <c r="BL253" s="50" t="s">
        <v>15625</v>
      </c>
      <c r="BM253" s="50" t="s">
        <v>15626</v>
      </c>
      <c r="BN253" s="50" t="s">
        <v>15627</v>
      </c>
      <c r="BO253" s="50" t="s">
        <v>15612</v>
      </c>
      <c r="BP253" s="50" t="s">
        <v>15628</v>
      </c>
      <c r="BQ253" s="50" t="s">
        <v>15629</v>
      </c>
      <c r="BR253" s="50" t="s">
        <v>15630</v>
      </c>
      <c r="BS253" s="50" t="s">
        <v>15631</v>
      </c>
      <c r="BT253" s="50" t="s">
        <v>5560</v>
      </c>
      <c r="BU253" s="50" t="s">
        <v>5560</v>
      </c>
      <c r="BV253" s="50" t="s">
        <v>15632</v>
      </c>
      <c r="BW253" s="50" t="s">
        <v>15633</v>
      </c>
      <c r="BX253" s="50" t="s">
        <v>354</v>
      </c>
      <c r="BY253" s="50" t="s">
        <v>15634</v>
      </c>
      <c r="BZ253" s="50" t="s">
        <v>15635</v>
      </c>
      <c r="CA253" s="50" t="s">
        <v>15636</v>
      </c>
      <c r="CB253" s="50" t="s">
        <v>15637</v>
      </c>
      <c r="CC253" s="50" t="s">
        <v>15634</v>
      </c>
      <c r="CD253" s="50" t="s">
        <v>15635</v>
      </c>
      <c r="CE253" s="50" t="s">
        <v>15637</v>
      </c>
      <c r="CF253" s="50" t="s">
        <v>15634</v>
      </c>
      <c r="CG253" s="50" t="s">
        <v>15635</v>
      </c>
      <c r="CH253" s="50" t="s">
        <v>15638</v>
      </c>
      <c r="CI253" s="50" t="s">
        <v>15639</v>
      </c>
      <c r="CK253" s="50" t="s">
        <v>15640</v>
      </c>
      <c r="CL253" s="50" t="s">
        <v>15639</v>
      </c>
      <c r="CM253" s="50" t="s">
        <v>5553</v>
      </c>
      <c r="CN253" s="50" t="s">
        <v>1171</v>
      </c>
      <c r="CO253" s="50" t="s">
        <v>15640</v>
      </c>
      <c r="CQ253" s="50" t="s">
        <v>15641</v>
      </c>
      <c r="CR253" s="50" t="s">
        <v>15641</v>
      </c>
    </row>
    <row r="254" spans="1:97" hidden="1">
      <c r="A254" s="50" t="s">
        <v>149</v>
      </c>
      <c r="B254" s="50">
        <v>1558722</v>
      </c>
      <c r="C254" s="50" t="e">
        <f>VLOOKUP(B254,'Drop schools 2026'!B:C,2,0)</f>
        <v>#N/A</v>
      </c>
      <c r="D254" s="50" t="s">
        <v>122</v>
      </c>
      <c r="E254" s="50" t="s">
        <v>12491</v>
      </c>
      <c r="F254" s="50" t="s">
        <v>1226</v>
      </c>
      <c r="G254" s="50" t="e">
        <f>VLOOKUP(B254,aa!B:F,5,0)</f>
        <v>#N/A</v>
      </c>
      <c r="H254" s="50" t="e">
        <f>VLOOKUP(B254,aa!B:J,9,0)</f>
        <v>#N/A</v>
      </c>
      <c r="I254" s="50" t="e">
        <f>VLOOKUP(B254,aa!B:L,11,0)</f>
        <v>#N/A</v>
      </c>
      <c r="J254" s="50" t="e">
        <f>VLOOKUP(B254,aa!B:O,14,0)</f>
        <v>#N/A</v>
      </c>
      <c r="K254" s="50" t="e">
        <f>VLOOKUP(B254,aa!B:R,17,0)</f>
        <v>#N/A</v>
      </c>
      <c r="L254" s="50" t="s">
        <v>193</v>
      </c>
      <c r="M254" s="50">
        <v>605075</v>
      </c>
      <c r="N254" s="50">
        <v>687336</v>
      </c>
      <c r="O254" s="50">
        <v>148069</v>
      </c>
      <c r="P254" s="50">
        <v>126</v>
      </c>
      <c r="Q254" s="50" t="s">
        <v>12625</v>
      </c>
      <c r="R254" s="50">
        <v>0</v>
      </c>
      <c r="S254" s="50">
        <v>0</v>
      </c>
      <c r="U254" s="50">
        <v>457006</v>
      </c>
      <c r="V254" s="50">
        <v>183</v>
      </c>
      <c r="W254" s="50" t="s">
        <v>1230</v>
      </c>
      <c r="X254" s="50" t="s">
        <v>102</v>
      </c>
      <c r="Y254" s="50" t="s">
        <v>679</v>
      </c>
      <c r="Z254" s="50" t="s">
        <v>155</v>
      </c>
      <c r="AA254" s="50" t="s">
        <v>3679</v>
      </c>
      <c r="AB254" s="50" t="s">
        <v>12626</v>
      </c>
      <c r="AC254" s="50" t="s">
        <v>12627</v>
      </c>
      <c r="AD254" s="50" t="s">
        <v>12628</v>
      </c>
      <c r="AE254" s="50" t="s">
        <v>12627</v>
      </c>
      <c r="AF254" s="50" t="s">
        <v>12545</v>
      </c>
      <c r="AG254" s="50" t="s">
        <v>12627</v>
      </c>
      <c r="AH254" s="50" t="s">
        <v>12516</v>
      </c>
      <c r="AI254" s="50" t="s">
        <v>12627</v>
      </c>
      <c r="AJ254" s="50" t="s">
        <v>12629</v>
      </c>
      <c r="AK254" s="50" t="s">
        <v>12630</v>
      </c>
      <c r="AL254" s="50" t="s">
        <v>12631</v>
      </c>
      <c r="AM254" s="50" t="s">
        <v>12632</v>
      </c>
      <c r="AN254" s="50" t="s">
        <v>12633</v>
      </c>
      <c r="AO254" s="50" t="s">
        <v>12634</v>
      </c>
      <c r="AP254" s="50" t="s">
        <v>12635</v>
      </c>
      <c r="AQ254" s="50" t="s">
        <v>12635</v>
      </c>
      <c r="AV254" s="50" t="s">
        <v>207</v>
      </c>
      <c r="AW254" s="50" t="s">
        <v>118</v>
      </c>
      <c r="AX254" s="50" t="s">
        <v>102</v>
      </c>
      <c r="AY254" s="50" t="s">
        <v>119</v>
      </c>
      <c r="BB254" s="50" t="s">
        <v>250</v>
      </c>
      <c r="BC254" s="50" t="s">
        <v>1242</v>
      </c>
      <c r="BD254" s="50" t="s">
        <v>1243</v>
      </c>
      <c r="BE254" s="50" t="s">
        <v>1244</v>
      </c>
      <c r="BF254" s="50" t="s">
        <v>122</v>
      </c>
      <c r="BG254" s="50" t="s">
        <v>1244</v>
      </c>
      <c r="BH254" s="50" t="s">
        <v>124</v>
      </c>
      <c r="BI254" s="50" t="s">
        <v>12636</v>
      </c>
      <c r="BJ254" s="50" t="s">
        <v>12637</v>
      </c>
      <c r="BK254" s="50" t="s">
        <v>127</v>
      </c>
      <c r="BL254" s="50" t="s">
        <v>12638</v>
      </c>
      <c r="BM254" s="50" t="s">
        <v>1247</v>
      </c>
      <c r="BN254" s="50" t="s">
        <v>12639</v>
      </c>
      <c r="BO254" s="50" t="s">
        <v>12624</v>
      </c>
      <c r="BP254" s="50" t="s">
        <v>8788</v>
      </c>
      <c r="BQ254" s="50" t="s">
        <v>350</v>
      </c>
      <c r="BR254" s="50" t="s">
        <v>8789</v>
      </c>
      <c r="BS254" s="50" t="s">
        <v>8790</v>
      </c>
      <c r="BT254" s="50" t="s">
        <v>1006</v>
      </c>
      <c r="BV254" s="50" t="s">
        <v>12640</v>
      </c>
      <c r="BW254" s="50" t="s">
        <v>1250</v>
      </c>
      <c r="BX254" s="50" t="s">
        <v>354</v>
      </c>
      <c r="BY254" s="50" t="s">
        <v>1251</v>
      </c>
      <c r="BZ254" s="50" t="s">
        <v>1252</v>
      </c>
      <c r="CA254" s="50" t="s">
        <v>1253</v>
      </c>
      <c r="CB254" s="50" t="s">
        <v>1250</v>
      </c>
      <c r="CC254" s="50" t="s">
        <v>1251</v>
      </c>
      <c r="CD254" s="50" t="s">
        <v>1252</v>
      </c>
      <c r="CE254" s="50" t="s">
        <v>12641</v>
      </c>
      <c r="CF254" s="50" t="s">
        <v>12642</v>
      </c>
      <c r="CG254" s="50" t="s">
        <v>12643</v>
      </c>
      <c r="CH254" s="50" t="s">
        <v>102</v>
      </c>
      <c r="CI254" s="50" t="s">
        <v>1257</v>
      </c>
      <c r="CK254" s="50" t="s">
        <v>1258</v>
      </c>
      <c r="CM254" s="50" t="s">
        <v>1243</v>
      </c>
      <c r="CN254" s="50" t="s">
        <v>1244</v>
      </c>
      <c r="CO254" s="50" t="s">
        <v>1258</v>
      </c>
      <c r="CP254" s="50" t="s">
        <v>1259</v>
      </c>
      <c r="CQ254" s="50" t="s">
        <v>1257</v>
      </c>
      <c r="CR254" s="50" t="s">
        <v>1257</v>
      </c>
    </row>
    <row r="255" spans="1:97" hidden="1">
      <c r="A255" s="50" t="s">
        <v>149</v>
      </c>
      <c r="B255" s="50">
        <v>82810</v>
      </c>
      <c r="C255" s="50" t="e">
        <f>VLOOKUP(B255,'Drop schools 2026'!B:C,2,0)</f>
        <v>#N/A</v>
      </c>
      <c r="D255" s="50" t="s">
        <v>122</v>
      </c>
      <c r="E255" s="50" t="s">
        <v>11882</v>
      </c>
      <c r="F255" s="50" t="s">
        <v>21529</v>
      </c>
      <c r="G255" s="50" t="e">
        <f>VLOOKUP(B255,aa!B:F,5,0)</f>
        <v>#N/A</v>
      </c>
      <c r="H255" s="50" t="e">
        <f>VLOOKUP(B255,aa!B:J,9,0)</f>
        <v>#N/A</v>
      </c>
      <c r="I255" s="50" t="e">
        <f>VLOOKUP(B255,aa!B:L,11,0)</f>
        <v>#N/A</v>
      </c>
      <c r="J255" s="50" t="e">
        <f>VLOOKUP(B255,aa!B:O,14,0)</f>
        <v>#N/A</v>
      </c>
      <c r="K255" s="50" t="e">
        <f>VLOOKUP(B255,aa!B:R,17,0)</f>
        <v>#N/A</v>
      </c>
      <c r="L255" s="50" t="s">
        <v>97</v>
      </c>
      <c r="M255" s="50">
        <v>603961</v>
      </c>
      <c r="N255" s="50">
        <v>603961</v>
      </c>
      <c r="O255" s="50">
        <v>603961</v>
      </c>
      <c r="P255" s="50">
        <v>762</v>
      </c>
      <c r="Q255" s="50" t="s">
        <v>18563</v>
      </c>
      <c r="R255" s="50">
        <v>0</v>
      </c>
      <c r="S255" s="50">
        <v>0</v>
      </c>
      <c r="U255" s="50">
        <v>0</v>
      </c>
      <c r="V255" s="50">
        <v>0</v>
      </c>
      <c r="X255" s="50" t="s">
        <v>102</v>
      </c>
      <c r="Y255" s="50" t="s">
        <v>103</v>
      </c>
      <c r="Z255" s="50" t="s">
        <v>104</v>
      </c>
      <c r="AB255" s="50" t="s">
        <v>11884</v>
      </c>
      <c r="AC255" s="50" t="s">
        <v>21530</v>
      </c>
      <c r="AD255" s="50" t="s">
        <v>11886</v>
      </c>
      <c r="AE255" s="50" t="s">
        <v>21530</v>
      </c>
      <c r="AF255" s="50" t="s">
        <v>109</v>
      </c>
      <c r="AG255" s="50" t="s">
        <v>102</v>
      </c>
      <c r="AH255" s="50" t="s">
        <v>109</v>
      </c>
      <c r="AI255" s="50" t="s">
        <v>102</v>
      </c>
      <c r="AJ255" s="50" t="s">
        <v>21531</v>
      </c>
      <c r="AK255" s="50" t="s">
        <v>13867</v>
      </c>
      <c r="AL255" s="50" t="s">
        <v>13867</v>
      </c>
      <c r="AM255" s="50" t="s">
        <v>21532</v>
      </c>
      <c r="AN255" s="50" t="s">
        <v>21533</v>
      </c>
      <c r="AO255" s="50" t="s">
        <v>21530</v>
      </c>
      <c r="AP255" s="50" t="s">
        <v>21534</v>
      </c>
      <c r="AQ255" s="50" t="s">
        <v>21534</v>
      </c>
      <c r="AV255" s="50" t="s">
        <v>117</v>
      </c>
      <c r="AW255" s="50" t="s">
        <v>118</v>
      </c>
      <c r="AX255" s="50" t="s">
        <v>102</v>
      </c>
      <c r="AY255" s="50" t="s">
        <v>119</v>
      </c>
      <c r="BC255" s="50" t="s">
        <v>120</v>
      </c>
      <c r="BD255" s="50" t="s">
        <v>2204</v>
      </c>
      <c r="BE255" s="50" t="s">
        <v>121</v>
      </c>
      <c r="BF255" s="50" t="s">
        <v>122</v>
      </c>
      <c r="BG255" s="50" t="s">
        <v>123</v>
      </c>
      <c r="BH255" s="50" t="s">
        <v>124</v>
      </c>
      <c r="BI255" s="50" t="s">
        <v>11888</v>
      </c>
      <c r="BJ255" s="50" t="s">
        <v>11889</v>
      </c>
      <c r="BK255" s="50" t="s">
        <v>127</v>
      </c>
      <c r="BL255" s="50" t="s">
        <v>21535</v>
      </c>
      <c r="BM255" s="50" t="s">
        <v>11719</v>
      </c>
      <c r="BN255" s="50" t="s">
        <v>21536</v>
      </c>
      <c r="BO255" s="50" t="s">
        <v>12393</v>
      </c>
      <c r="BP255" s="50" t="s">
        <v>3267</v>
      </c>
      <c r="BQ255" s="50" t="s">
        <v>350</v>
      </c>
      <c r="BR255" s="50" t="s">
        <v>3268</v>
      </c>
      <c r="BS255" s="50" t="s">
        <v>3269</v>
      </c>
      <c r="BT255" s="50" t="s">
        <v>135</v>
      </c>
      <c r="BV255" s="50" t="s">
        <v>21537</v>
      </c>
      <c r="BW255" s="50" t="s">
        <v>11893</v>
      </c>
      <c r="BX255" s="50" t="s">
        <v>598</v>
      </c>
      <c r="BY255" s="50" t="s">
        <v>7967</v>
      </c>
      <c r="BZ255" s="50" t="s">
        <v>11894</v>
      </c>
      <c r="CA255" s="50" t="s">
        <v>11725</v>
      </c>
      <c r="CB255" s="50" t="s">
        <v>21538</v>
      </c>
      <c r="CC255" s="50" t="s">
        <v>11723</v>
      </c>
      <c r="CD255" s="50" t="s">
        <v>11894</v>
      </c>
      <c r="CE255" s="50" t="s">
        <v>11893</v>
      </c>
      <c r="CF255" s="50" t="s">
        <v>7967</v>
      </c>
      <c r="CG255" s="50" t="s">
        <v>11894</v>
      </c>
      <c r="CH255" s="50" t="s">
        <v>11726</v>
      </c>
      <c r="CI255" s="50" t="s">
        <v>21539</v>
      </c>
      <c r="CK255" s="50" t="s">
        <v>147</v>
      </c>
      <c r="CM255" s="50" t="s">
        <v>2204</v>
      </c>
      <c r="CN255" s="50" t="s">
        <v>121</v>
      </c>
      <c r="CO255" s="50" t="s">
        <v>147</v>
      </c>
      <c r="CP255" s="50" t="s">
        <v>11728</v>
      </c>
      <c r="CQ255" s="50" t="s">
        <v>11727</v>
      </c>
      <c r="CR255" s="50" t="s">
        <v>11727</v>
      </c>
    </row>
    <row r="256" spans="1:97" hidden="1">
      <c r="A256" s="50" t="s">
        <v>337</v>
      </c>
      <c r="B256" s="50">
        <v>5018488</v>
      </c>
      <c r="C256" s="50" t="e">
        <f>VLOOKUP(B256,'Drop schools 2026'!B:C,2,0)</f>
        <v>#N/A</v>
      </c>
      <c r="D256" s="50" t="s">
        <v>212</v>
      </c>
      <c r="E256" s="50" t="s">
        <v>11995</v>
      </c>
      <c r="F256" s="50" t="s">
        <v>19891</v>
      </c>
      <c r="G256" s="50" t="str">
        <f>VLOOKUP(B256,aa!B:F,5,0)</f>
        <v>Ei CARES, Ei Mindspark</v>
      </c>
      <c r="H256" s="50">
        <f>VLOOKUP(B256,aa!B:J,9,0)</f>
        <v>650614</v>
      </c>
      <c r="I256" s="50">
        <f>VLOOKUP(B256,aa!B:L,11,0)</f>
        <v>0</v>
      </c>
      <c r="J256" s="50">
        <f>VLOOKUP(B256,aa!B:O,14,0)</f>
        <v>298470</v>
      </c>
      <c r="K256" s="50">
        <f>VLOOKUP(B256,aa!B:R,17,0)</f>
        <v>352144</v>
      </c>
      <c r="L256" s="50" t="s">
        <v>8024</v>
      </c>
      <c r="M256" s="50">
        <v>603509</v>
      </c>
      <c r="N256" s="50">
        <v>678818</v>
      </c>
      <c r="O256" s="50">
        <v>0</v>
      </c>
      <c r="P256" s="50">
        <v>0</v>
      </c>
      <c r="R256" s="50">
        <v>185125</v>
      </c>
      <c r="S256" s="50">
        <v>150</v>
      </c>
      <c r="T256" s="50" t="s">
        <v>19892</v>
      </c>
      <c r="U256" s="50">
        <v>418384</v>
      </c>
      <c r="V256" s="50">
        <v>150</v>
      </c>
      <c r="W256" s="50" t="s">
        <v>19893</v>
      </c>
      <c r="X256" s="50" t="s">
        <v>102</v>
      </c>
      <c r="Y256" s="50" t="s">
        <v>103</v>
      </c>
      <c r="Z256" s="50" t="s">
        <v>155</v>
      </c>
      <c r="AB256" s="50" t="s">
        <v>680</v>
      </c>
      <c r="AC256" s="50" t="s">
        <v>19894</v>
      </c>
      <c r="AD256" s="50" t="s">
        <v>1408</v>
      </c>
      <c r="AE256" s="50" t="s">
        <v>19895</v>
      </c>
      <c r="AF256" s="50" t="s">
        <v>12289</v>
      </c>
      <c r="AG256" s="50" t="s">
        <v>19895</v>
      </c>
      <c r="AH256" s="50" t="s">
        <v>11886</v>
      </c>
      <c r="AI256" s="50" t="s">
        <v>19895</v>
      </c>
      <c r="AJ256" s="50" t="s">
        <v>19896</v>
      </c>
      <c r="AK256" s="50" t="s">
        <v>680</v>
      </c>
      <c r="AL256" s="50" t="s">
        <v>19897</v>
      </c>
      <c r="AM256" s="50" t="s">
        <v>19898</v>
      </c>
      <c r="AN256" s="50" t="s">
        <v>19899</v>
      </c>
      <c r="AO256" s="50" t="s">
        <v>19900</v>
      </c>
      <c r="AP256" s="50" t="s">
        <v>17462</v>
      </c>
      <c r="AQ256" s="50" t="s">
        <v>17462</v>
      </c>
      <c r="AV256" s="50" t="s">
        <v>102</v>
      </c>
      <c r="AX256" s="50" t="s">
        <v>155</v>
      </c>
      <c r="AY256" s="50" t="s">
        <v>119</v>
      </c>
      <c r="AZ256" s="50" t="s">
        <v>170</v>
      </c>
      <c r="BA256" s="50" t="s">
        <v>118</v>
      </c>
      <c r="BB256" s="50" t="s">
        <v>250</v>
      </c>
      <c r="BC256" s="50" t="s">
        <v>120</v>
      </c>
      <c r="BD256" s="50" t="s">
        <v>19901</v>
      </c>
      <c r="BE256" s="50" t="s">
        <v>6390</v>
      </c>
      <c r="BF256" s="50" t="s">
        <v>212</v>
      </c>
      <c r="BG256" s="50" t="s">
        <v>286</v>
      </c>
      <c r="BH256" s="50" t="s">
        <v>124</v>
      </c>
      <c r="BI256" s="50" t="s">
        <v>12819</v>
      </c>
      <c r="BJ256" s="50" t="s">
        <v>12047</v>
      </c>
      <c r="BK256" s="50" t="s">
        <v>127</v>
      </c>
      <c r="BL256" s="50" t="s">
        <v>19902</v>
      </c>
      <c r="BM256" s="50" t="s">
        <v>19903</v>
      </c>
      <c r="BN256" s="50" t="s">
        <v>19904</v>
      </c>
      <c r="BO256" s="50" t="s">
        <v>1408</v>
      </c>
      <c r="BP256" s="50" t="s">
        <v>17684</v>
      </c>
      <c r="BQ256" s="50" t="s">
        <v>132</v>
      </c>
      <c r="BR256" s="50" t="s">
        <v>17685</v>
      </c>
      <c r="BS256" s="50" t="s">
        <v>17686</v>
      </c>
      <c r="BT256" s="50" t="s">
        <v>17687</v>
      </c>
      <c r="BV256" s="50" t="s">
        <v>19905</v>
      </c>
      <c r="BW256" s="50" t="s">
        <v>19906</v>
      </c>
      <c r="BX256" s="50" t="s">
        <v>138</v>
      </c>
      <c r="BY256" s="50" t="s">
        <v>19907</v>
      </c>
      <c r="BZ256" s="50" t="s">
        <v>19908</v>
      </c>
      <c r="CA256" s="50" t="s">
        <v>19909</v>
      </c>
      <c r="CB256" s="50" t="s">
        <v>19910</v>
      </c>
      <c r="CC256" s="50" t="s">
        <v>19907</v>
      </c>
      <c r="CD256" s="50" t="s">
        <v>19911</v>
      </c>
      <c r="CE256" s="50" t="s">
        <v>19912</v>
      </c>
      <c r="CF256" s="50" t="s">
        <v>19913</v>
      </c>
      <c r="CG256" s="50" t="s">
        <v>19914</v>
      </c>
      <c r="CH256" s="50" t="s">
        <v>102</v>
      </c>
      <c r="CI256" s="50" t="s">
        <v>19915</v>
      </c>
      <c r="CK256" s="50" t="s">
        <v>19916</v>
      </c>
      <c r="CL256" s="50" t="s">
        <v>19917</v>
      </c>
      <c r="CM256" s="50" t="s">
        <v>19901</v>
      </c>
      <c r="CN256" s="50" t="s">
        <v>6390</v>
      </c>
      <c r="CO256" s="50" t="s">
        <v>19916</v>
      </c>
      <c r="CQ256" s="50" t="s">
        <v>19918</v>
      </c>
      <c r="CR256" s="50" t="s">
        <v>19918</v>
      </c>
    </row>
    <row r="257" spans="1:97" hidden="1">
      <c r="A257" s="50" t="s">
        <v>149</v>
      </c>
      <c r="B257" s="50">
        <v>1312595</v>
      </c>
      <c r="C257" s="50" t="e">
        <f>VLOOKUP(B257,'Drop schools 2026'!B:C,2,0)</f>
        <v>#N/A</v>
      </c>
      <c r="D257" s="50" t="s">
        <v>212</v>
      </c>
      <c r="E257" s="50" t="s">
        <v>11947</v>
      </c>
      <c r="F257" s="50" t="s">
        <v>751</v>
      </c>
      <c r="G257" s="50" t="str">
        <f>VLOOKUP(B257,aa!B:F,5,0)</f>
        <v>Ei ASSET,Ei Mindspark</v>
      </c>
      <c r="H257" s="50">
        <f>VLOOKUP(B257,aa!B:J,9,0)</f>
        <v>0</v>
      </c>
      <c r="I257" s="50">
        <f>VLOOKUP(B257,aa!B:L,11,0)</f>
        <v>0</v>
      </c>
      <c r="J257" s="50">
        <f>VLOOKUP(B257,aa!B:O,14,0)</f>
        <v>0</v>
      </c>
      <c r="K257" s="50">
        <f>VLOOKUP(B257,aa!B:R,17,0)</f>
        <v>0</v>
      </c>
      <c r="L257" s="50" t="s">
        <v>193</v>
      </c>
      <c r="M257" s="50">
        <v>602483</v>
      </c>
      <c r="N257" s="50">
        <v>676508</v>
      </c>
      <c r="O257" s="50">
        <v>191234</v>
      </c>
      <c r="P257" s="50">
        <v>615</v>
      </c>
      <c r="Q257" s="50" t="s">
        <v>195</v>
      </c>
      <c r="R257" s="50">
        <v>0</v>
      </c>
      <c r="S257" s="50">
        <v>0</v>
      </c>
      <c r="U257" s="50">
        <v>411249</v>
      </c>
      <c r="V257" s="50">
        <v>647</v>
      </c>
      <c r="W257" s="50" t="s">
        <v>11949</v>
      </c>
      <c r="X257" s="50" t="s">
        <v>102</v>
      </c>
      <c r="Y257" s="50" t="s">
        <v>103</v>
      </c>
      <c r="Z257" s="50" t="s">
        <v>104</v>
      </c>
      <c r="AB257" s="50" t="s">
        <v>11950</v>
      </c>
      <c r="AC257" s="50" t="s">
        <v>12340</v>
      </c>
      <c r="AD257" s="50" t="s">
        <v>11952</v>
      </c>
      <c r="AE257" s="50" t="s">
        <v>12340</v>
      </c>
      <c r="AF257" s="50" t="s">
        <v>109</v>
      </c>
      <c r="AG257" s="50" t="s">
        <v>102</v>
      </c>
      <c r="AH257" s="50" t="s">
        <v>109</v>
      </c>
      <c r="AI257" s="50" t="s">
        <v>102</v>
      </c>
      <c r="AJ257" s="50" t="s">
        <v>12341</v>
      </c>
      <c r="AK257" s="50" t="s">
        <v>11954</v>
      </c>
      <c r="AL257" s="50" t="s">
        <v>11954</v>
      </c>
      <c r="AM257" s="50" t="s">
        <v>12342</v>
      </c>
      <c r="AN257" s="50" t="s">
        <v>12343</v>
      </c>
      <c r="AO257" s="50" t="s">
        <v>12344</v>
      </c>
      <c r="AP257" s="50" t="s">
        <v>11958</v>
      </c>
      <c r="AQ257" s="50" t="s">
        <v>11958</v>
      </c>
      <c r="AV257" s="50" t="s">
        <v>207</v>
      </c>
      <c r="AW257" s="50" t="s">
        <v>118</v>
      </c>
      <c r="AX257" s="50" t="s">
        <v>102</v>
      </c>
      <c r="AY257" s="50" t="s">
        <v>119</v>
      </c>
      <c r="BB257" s="50" t="s">
        <v>250</v>
      </c>
      <c r="BC257" s="50" t="s">
        <v>209</v>
      </c>
      <c r="BD257" s="50" t="s">
        <v>758</v>
      </c>
      <c r="BE257" s="50" t="s">
        <v>211</v>
      </c>
      <c r="BF257" s="50" t="s">
        <v>212</v>
      </c>
      <c r="BG257" s="50" t="s">
        <v>213</v>
      </c>
      <c r="BH257" s="50" t="s">
        <v>124</v>
      </c>
      <c r="BI257" s="50" t="s">
        <v>11959</v>
      </c>
      <c r="BJ257" s="50" t="s">
        <v>11960</v>
      </c>
      <c r="BK257" s="50" t="s">
        <v>127</v>
      </c>
      <c r="BL257" s="50" t="s">
        <v>12345</v>
      </c>
      <c r="BM257" s="50" t="s">
        <v>760</v>
      </c>
      <c r="BN257" s="50" t="s">
        <v>12346</v>
      </c>
      <c r="BO257" s="50" t="s">
        <v>12339</v>
      </c>
      <c r="BP257" s="50" t="s">
        <v>1880</v>
      </c>
      <c r="BQ257" s="50" t="s">
        <v>505</v>
      </c>
      <c r="BR257" s="50" t="s">
        <v>1882</v>
      </c>
      <c r="BS257" s="50" t="s">
        <v>1883</v>
      </c>
      <c r="BT257" s="50" t="s">
        <v>222</v>
      </c>
      <c r="BV257" s="50" t="s">
        <v>12347</v>
      </c>
      <c r="BW257" s="50" t="s">
        <v>12348</v>
      </c>
      <c r="BX257" s="50" t="s">
        <v>138</v>
      </c>
      <c r="BY257" s="50" t="s">
        <v>225</v>
      </c>
      <c r="BZ257" s="50" t="s">
        <v>226</v>
      </c>
      <c r="CA257" s="50" t="s">
        <v>763</v>
      </c>
      <c r="CB257" s="50" t="s">
        <v>12349</v>
      </c>
      <c r="CC257" s="50" t="s">
        <v>12350</v>
      </c>
      <c r="CD257" s="50" t="s">
        <v>12351</v>
      </c>
      <c r="CE257" s="50" t="s">
        <v>12352</v>
      </c>
      <c r="CF257" s="50" t="s">
        <v>12353</v>
      </c>
      <c r="CG257" s="50" t="s">
        <v>12351</v>
      </c>
      <c r="CH257" s="50" t="s">
        <v>102</v>
      </c>
      <c r="CI257" s="50" t="s">
        <v>764</v>
      </c>
      <c r="CK257" s="50" t="s">
        <v>765</v>
      </c>
      <c r="CM257" s="50" t="s">
        <v>758</v>
      </c>
      <c r="CN257" s="50" t="s">
        <v>211</v>
      </c>
      <c r="CO257" s="50" t="s">
        <v>765</v>
      </c>
      <c r="CP257" s="50" t="s">
        <v>230</v>
      </c>
      <c r="CQ257" s="50" t="s">
        <v>764</v>
      </c>
      <c r="CR257" s="50" t="s">
        <v>764</v>
      </c>
    </row>
    <row r="258" spans="1:97" hidden="1">
      <c r="A258" s="50" t="s">
        <v>149</v>
      </c>
      <c r="B258" s="50">
        <v>1337248</v>
      </c>
      <c r="C258" s="50" t="e">
        <f>VLOOKUP(B258,'Drop schools 2026'!B:C,2,0)</f>
        <v>#N/A</v>
      </c>
      <c r="D258" s="50" t="s">
        <v>212</v>
      </c>
      <c r="E258" s="50" t="s">
        <v>12423</v>
      </c>
      <c r="F258" s="50" t="s">
        <v>846</v>
      </c>
      <c r="G258" s="50" t="e">
        <f>VLOOKUP(B258,aa!B:F,5,0)</f>
        <v>#N/A</v>
      </c>
      <c r="H258" s="50" t="e">
        <f>VLOOKUP(B258,aa!B:J,9,0)</f>
        <v>#N/A</v>
      </c>
      <c r="I258" s="50" t="e">
        <f>VLOOKUP(B258,aa!B:L,11,0)</f>
        <v>#N/A</v>
      </c>
      <c r="J258" s="50" t="e">
        <f>VLOOKUP(B258,aa!B:O,14,0)</f>
        <v>#N/A</v>
      </c>
      <c r="K258" s="50" t="e">
        <f>VLOOKUP(B258,aa!B:R,17,0)</f>
        <v>#N/A</v>
      </c>
      <c r="L258" s="50" t="s">
        <v>848</v>
      </c>
      <c r="M258" s="50">
        <v>602234</v>
      </c>
      <c r="N258" s="50">
        <v>710636</v>
      </c>
      <c r="O258" s="50">
        <v>0</v>
      </c>
      <c r="P258" s="50">
        <v>0</v>
      </c>
      <c r="R258" s="50">
        <v>0</v>
      </c>
      <c r="S258" s="50">
        <v>0</v>
      </c>
      <c r="U258" s="50">
        <v>602234</v>
      </c>
      <c r="V258" s="50">
        <v>412</v>
      </c>
      <c r="W258" s="50" t="s">
        <v>12424</v>
      </c>
      <c r="X258" s="50" t="s">
        <v>102</v>
      </c>
      <c r="Y258" s="50" t="s">
        <v>103</v>
      </c>
      <c r="Z258" s="50" t="s">
        <v>155</v>
      </c>
      <c r="AB258" s="50" t="s">
        <v>12425</v>
      </c>
      <c r="AC258" s="50" t="s">
        <v>12426</v>
      </c>
      <c r="AD258" s="50" t="s">
        <v>12427</v>
      </c>
      <c r="AE258" s="50" t="s">
        <v>12426</v>
      </c>
      <c r="AF258" s="50" t="s">
        <v>12084</v>
      </c>
      <c r="AG258" s="50" t="s">
        <v>12426</v>
      </c>
      <c r="AH258" s="50" t="s">
        <v>11886</v>
      </c>
      <c r="AI258" s="50" t="s">
        <v>12426</v>
      </c>
      <c r="AJ258" s="50" t="s">
        <v>12428</v>
      </c>
      <c r="AK258" s="50" t="s">
        <v>12429</v>
      </c>
      <c r="AL258" s="50" t="s">
        <v>12430</v>
      </c>
      <c r="AM258" s="50" t="s">
        <v>12431</v>
      </c>
      <c r="AN258" s="50" t="s">
        <v>12432</v>
      </c>
      <c r="AO258" s="50" t="s">
        <v>12433</v>
      </c>
      <c r="AP258" s="50" t="s">
        <v>12434</v>
      </c>
      <c r="AQ258" s="50" t="s">
        <v>12434</v>
      </c>
      <c r="AV258" s="50" t="s">
        <v>102</v>
      </c>
      <c r="AX258" s="50" t="s">
        <v>102</v>
      </c>
      <c r="AY258" s="50" t="s">
        <v>119</v>
      </c>
      <c r="BB258" s="50" t="s">
        <v>250</v>
      </c>
      <c r="BC258" s="50" t="s">
        <v>120</v>
      </c>
      <c r="BD258" s="50" t="s">
        <v>862</v>
      </c>
      <c r="BE258" s="50" t="s">
        <v>410</v>
      </c>
      <c r="BF258" s="50" t="s">
        <v>212</v>
      </c>
      <c r="BG258" s="50" t="s">
        <v>410</v>
      </c>
      <c r="BH258" s="50" t="s">
        <v>124</v>
      </c>
      <c r="BI258" s="50" t="s">
        <v>12425</v>
      </c>
      <c r="BJ258" s="50" t="s">
        <v>12435</v>
      </c>
      <c r="BK258" s="50" t="s">
        <v>127</v>
      </c>
      <c r="BL258" s="50" t="s">
        <v>12436</v>
      </c>
      <c r="BM258" s="50" t="s">
        <v>864</v>
      </c>
      <c r="BN258" s="50" t="s">
        <v>12437</v>
      </c>
      <c r="BO258" s="50" t="s">
        <v>12324</v>
      </c>
      <c r="BP258" s="50" t="s">
        <v>866</v>
      </c>
      <c r="BQ258" s="50" t="s">
        <v>132</v>
      </c>
      <c r="BR258" s="50" t="s">
        <v>867</v>
      </c>
      <c r="BS258" s="50" t="s">
        <v>868</v>
      </c>
      <c r="BT258" s="50" t="s">
        <v>418</v>
      </c>
      <c r="BV258" s="50" t="s">
        <v>12438</v>
      </c>
      <c r="BW258" s="50" t="s">
        <v>870</v>
      </c>
      <c r="BY258" s="50" t="s">
        <v>871</v>
      </c>
      <c r="BZ258" s="50" t="s">
        <v>872</v>
      </c>
      <c r="CA258" s="50" t="s">
        <v>873</v>
      </c>
      <c r="CB258" s="50" t="s">
        <v>870</v>
      </c>
      <c r="CC258" s="50" t="s">
        <v>871</v>
      </c>
      <c r="CD258" s="50" t="s">
        <v>872</v>
      </c>
      <c r="CE258" s="50" t="s">
        <v>12439</v>
      </c>
      <c r="CF258" s="50" t="s">
        <v>12440</v>
      </c>
      <c r="CG258" s="50" t="s">
        <v>12441</v>
      </c>
      <c r="CH258" s="50" t="s">
        <v>102</v>
      </c>
      <c r="CI258" s="50" t="s">
        <v>874</v>
      </c>
      <c r="CK258" s="50" t="s">
        <v>875</v>
      </c>
      <c r="CM258" s="50" t="s">
        <v>862</v>
      </c>
      <c r="CN258" s="50" t="s">
        <v>410</v>
      </c>
      <c r="CO258" s="50" t="s">
        <v>875</v>
      </c>
      <c r="CP258" s="50" t="s">
        <v>876</v>
      </c>
      <c r="CQ258" s="50" t="s">
        <v>874</v>
      </c>
      <c r="CR258" s="50" t="s">
        <v>874</v>
      </c>
      <c r="CS258" s="50" t="s">
        <v>26040</v>
      </c>
    </row>
    <row r="259" spans="1:97" hidden="1">
      <c r="A259" s="50" t="s">
        <v>93</v>
      </c>
      <c r="B259" s="50">
        <v>282495</v>
      </c>
      <c r="C259" s="50" t="e">
        <f>VLOOKUP(B259,'Drop schools 2026'!B:C,2,0)</f>
        <v>#N/A</v>
      </c>
      <c r="D259" s="50" t="s">
        <v>622</v>
      </c>
      <c r="E259" s="50" t="s">
        <v>3562</v>
      </c>
      <c r="F259" s="50" t="s">
        <v>4444</v>
      </c>
      <c r="G259" s="50" t="e">
        <f>VLOOKUP(B259,aa!B:F,5,0)</f>
        <v>#N/A</v>
      </c>
      <c r="H259" s="50" t="e">
        <f>VLOOKUP(B259,aa!B:J,9,0)</f>
        <v>#N/A</v>
      </c>
      <c r="I259" s="50" t="e">
        <f>VLOOKUP(B259,aa!B:L,11,0)</f>
        <v>#N/A</v>
      </c>
      <c r="J259" s="50" t="e">
        <f>VLOOKUP(B259,aa!B:O,14,0)</f>
        <v>#N/A</v>
      </c>
      <c r="K259" s="50" t="e">
        <f>VLOOKUP(B259,aa!B:R,17,0)</f>
        <v>#N/A</v>
      </c>
      <c r="L259" s="50" t="s">
        <v>848</v>
      </c>
      <c r="M259" s="50">
        <v>600117</v>
      </c>
      <c r="N259" s="50">
        <v>708138</v>
      </c>
      <c r="O259" s="50">
        <v>0</v>
      </c>
      <c r="P259" s="50">
        <v>0</v>
      </c>
      <c r="R259" s="50">
        <v>0</v>
      </c>
      <c r="S259" s="50">
        <v>0</v>
      </c>
      <c r="U259" s="50">
        <v>600117</v>
      </c>
      <c r="V259" s="50">
        <v>472</v>
      </c>
      <c r="W259" s="50" t="s">
        <v>14731</v>
      </c>
      <c r="X259" s="50" t="s">
        <v>102</v>
      </c>
      <c r="Y259" s="50" t="s">
        <v>275</v>
      </c>
      <c r="AA259" s="50" t="s">
        <v>14732</v>
      </c>
      <c r="AB259" s="50" t="s">
        <v>109</v>
      </c>
      <c r="AC259" s="50" t="s">
        <v>102</v>
      </c>
      <c r="AD259" s="50" t="s">
        <v>109</v>
      </c>
      <c r="AE259" s="50" t="s">
        <v>102</v>
      </c>
      <c r="AF259" s="50" t="s">
        <v>109</v>
      </c>
      <c r="AG259" s="50" t="s">
        <v>102</v>
      </c>
      <c r="AH259" s="50" t="s">
        <v>109</v>
      </c>
      <c r="AI259" s="50" t="s">
        <v>102</v>
      </c>
      <c r="AJ259" s="50" t="s">
        <v>102</v>
      </c>
      <c r="AK259" s="50" t="s">
        <v>1941</v>
      </c>
      <c r="AL259" s="50" t="s">
        <v>1941</v>
      </c>
      <c r="AM259" s="50" t="s">
        <v>14733</v>
      </c>
      <c r="AN259" s="50" t="s">
        <v>14734</v>
      </c>
      <c r="AO259" s="50" t="s">
        <v>14735</v>
      </c>
      <c r="AP259" s="50" t="s">
        <v>14736</v>
      </c>
      <c r="AQ259" s="50" t="s">
        <v>14736</v>
      </c>
      <c r="AV259" s="50" t="s">
        <v>102</v>
      </c>
      <c r="AX259" s="50" t="s">
        <v>102</v>
      </c>
      <c r="AY259" s="50" t="s">
        <v>119</v>
      </c>
      <c r="BB259" s="50" t="s">
        <v>250</v>
      </c>
      <c r="BC259" s="50" t="s">
        <v>120</v>
      </c>
      <c r="BD259" s="50" t="s">
        <v>1729</v>
      </c>
      <c r="BE259" s="50" t="s">
        <v>730</v>
      </c>
      <c r="BF259" s="50" t="s">
        <v>622</v>
      </c>
      <c r="BG259" s="50" t="s">
        <v>730</v>
      </c>
      <c r="BH259" s="50" t="s">
        <v>124</v>
      </c>
      <c r="BI259" s="50" t="s">
        <v>12636</v>
      </c>
      <c r="BJ259" s="50" t="s">
        <v>12637</v>
      </c>
      <c r="BK259" s="50" t="s">
        <v>127</v>
      </c>
      <c r="BL259" s="50" t="s">
        <v>14737</v>
      </c>
      <c r="BM259" s="50" t="s">
        <v>4452</v>
      </c>
      <c r="BN259" s="50" t="s">
        <v>14738</v>
      </c>
      <c r="BO259" s="50" t="s">
        <v>14730</v>
      </c>
      <c r="BP259" s="50" t="s">
        <v>3910</v>
      </c>
      <c r="BQ259" s="50" t="s">
        <v>505</v>
      </c>
      <c r="BR259" s="50" t="s">
        <v>3911</v>
      </c>
      <c r="BS259" s="50" t="s">
        <v>3912</v>
      </c>
      <c r="BT259" s="50" t="s">
        <v>2569</v>
      </c>
      <c r="BV259" s="50" t="s">
        <v>14739</v>
      </c>
      <c r="BW259" s="50" t="s">
        <v>14740</v>
      </c>
      <c r="BX259" s="50" t="s">
        <v>14741</v>
      </c>
      <c r="BY259" s="50" t="s">
        <v>14742</v>
      </c>
      <c r="BZ259" s="50" t="s">
        <v>14743</v>
      </c>
      <c r="CA259" s="50" t="s">
        <v>4458</v>
      </c>
      <c r="CB259" s="50" t="s">
        <v>14744</v>
      </c>
      <c r="CC259" s="50" t="s">
        <v>14742</v>
      </c>
      <c r="CD259" s="50" t="s">
        <v>14745</v>
      </c>
      <c r="CE259" s="50" t="s">
        <v>14746</v>
      </c>
      <c r="CF259" s="50" t="s">
        <v>14747</v>
      </c>
      <c r="CG259" s="50" t="s">
        <v>14748</v>
      </c>
      <c r="CH259" s="50" t="s">
        <v>1594</v>
      </c>
      <c r="CI259" s="50" t="s">
        <v>14749</v>
      </c>
      <c r="CK259" s="50" t="s">
        <v>1743</v>
      </c>
      <c r="CL259" s="50" t="s">
        <v>4459</v>
      </c>
      <c r="CM259" s="50" t="s">
        <v>1729</v>
      </c>
      <c r="CN259" s="50" t="s">
        <v>730</v>
      </c>
      <c r="CO259" s="50" t="s">
        <v>1743</v>
      </c>
      <c r="CQ259" s="50" t="s">
        <v>4459</v>
      </c>
      <c r="CR259" s="50" t="s">
        <v>4459</v>
      </c>
      <c r="CS259" s="50" t="s">
        <v>26047</v>
      </c>
    </row>
    <row r="260" spans="1:97" hidden="1">
      <c r="A260" s="50" t="s">
        <v>149</v>
      </c>
      <c r="B260" s="50">
        <v>5016606</v>
      </c>
      <c r="C260" s="50" t="str">
        <f>VLOOKUP(B260,RISK!B:C,2,0)</f>
        <v>Risk</v>
      </c>
      <c r="D260" s="50" t="s">
        <v>212</v>
      </c>
      <c r="E260" s="50" t="s">
        <v>11995</v>
      </c>
      <c r="F260" s="50" t="s">
        <v>9730</v>
      </c>
      <c r="G260" s="50" t="e">
        <f>VLOOKUP(B260,aa!B:F,5,0)</f>
        <v>#N/A</v>
      </c>
      <c r="H260" s="50" t="e">
        <f>VLOOKUP(B260,aa!B:J,9,0)</f>
        <v>#N/A</v>
      </c>
      <c r="I260" s="50" t="e">
        <f>VLOOKUP(B260,aa!B:L,11,0)</f>
        <v>#N/A</v>
      </c>
      <c r="J260" s="50" t="e">
        <f>VLOOKUP(B260,aa!B:O,14,0)</f>
        <v>#N/A</v>
      </c>
      <c r="K260" s="50" t="e">
        <f>VLOOKUP(B260,aa!B:R,17,0)</f>
        <v>#N/A</v>
      </c>
      <c r="L260" s="50" t="s">
        <v>97</v>
      </c>
      <c r="M260" s="50">
        <v>599130</v>
      </c>
      <c r="N260" s="50">
        <v>599130</v>
      </c>
      <c r="O260" s="50">
        <v>599130</v>
      </c>
      <c r="P260" s="50">
        <v>799</v>
      </c>
      <c r="Q260" s="50" t="s">
        <v>101</v>
      </c>
      <c r="R260" s="50">
        <v>0</v>
      </c>
      <c r="S260" s="50">
        <v>0</v>
      </c>
      <c r="U260" s="50">
        <v>0</v>
      </c>
      <c r="V260" s="50">
        <v>0</v>
      </c>
      <c r="X260" s="50" t="s">
        <v>102</v>
      </c>
      <c r="Y260" s="50" t="s">
        <v>103</v>
      </c>
      <c r="Z260" s="50" t="s">
        <v>104</v>
      </c>
      <c r="AB260" s="50" t="s">
        <v>8708</v>
      </c>
      <c r="AC260" s="50" t="s">
        <v>18909</v>
      </c>
      <c r="AD260" s="50" t="s">
        <v>12800</v>
      </c>
      <c r="AE260" s="50" t="s">
        <v>18909</v>
      </c>
      <c r="AF260" s="50" t="s">
        <v>109</v>
      </c>
      <c r="AG260" s="50" t="s">
        <v>102</v>
      </c>
      <c r="AH260" s="50" t="s">
        <v>109</v>
      </c>
      <c r="AI260" s="50" t="s">
        <v>102</v>
      </c>
      <c r="AJ260" s="50" t="s">
        <v>18910</v>
      </c>
      <c r="AK260" s="50" t="s">
        <v>13033</v>
      </c>
      <c r="AL260" s="50" t="s">
        <v>12783</v>
      </c>
      <c r="AM260" s="50" t="s">
        <v>18911</v>
      </c>
      <c r="AN260" s="50" t="s">
        <v>18912</v>
      </c>
      <c r="AO260" s="50" t="s">
        <v>17505</v>
      </c>
      <c r="AP260" s="50" t="s">
        <v>18913</v>
      </c>
      <c r="AQ260" s="50" t="s">
        <v>18913</v>
      </c>
      <c r="AV260" s="50" t="s">
        <v>318</v>
      </c>
      <c r="AW260" s="50" t="s">
        <v>118</v>
      </c>
      <c r="AX260" s="50" t="s">
        <v>102</v>
      </c>
      <c r="AY260" s="50" t="s">
        <v>119</v>
      </c>
      <c r="BC260" s="50" t="s">
        <v>120</v>
      </c>
      <c r="BD260" s="50" t="s">
        <v>284</v>
      </c>
      <c r="BE260" s="50" t="s">
        <v>285</v>
      </c>
      <c r="BF260" s="50" t="s">
        <v>212</v>
      </c>
      <c r="BG260" s="50" t="s">
        <v>286</v>
      </c>
      <c r="BH260" s="50" t="s">
        <v>124</v>
      </c>
      <c r="BI260" s="50" t="s">
        <v>12023</v>
      </c>
      <c r="BJ260" s="50" t="s">
        <v>11889</v>
      </c>
      <c r="BK260" s="50" t="s">
        <v>127</v>
      </c>
      <c r="BL260" s="50" t="s">
        <v>18914</v>
      </c>
      <c r="BM260" s="50" t="s">
        <v>9738</v>
      </c>
      <c r="BN260" s="50" t="s">
        <v>18915</v>
      </c>
      <c r="BO260" s="50" t="s">
        <v>12425</v>
      </c>
      <c r="BP260" s="50" t="s">
        <v>956</v>
      </c>
      <c r="BQ260" s="50" t="s">
        <v>132</v>
      </c>
      <c r="BR260" s="50" t="s">
        <v>958</v>
      </c>
      <c r="BS260" s="50" t="s">
        <v>959</v>
      </c>
      <c r="BT260" s="50" t="s">
        <v>293</v>
      </c>
      <c r="BV260" s="50" t="s">
        <v>18916</v>
      </c>
      <c r="BW260" s="50" t="s">
        <v>9741</v>
      </c>
      <c r="BY260" s="50" t="s">
        <v>9742</v>
      </c>
      <c r="BZ260" s="50" t="s">
        <v>9743</v>
      </c>
      <c r="CA260" s="50" t="s">
        <v>9742</v>
      </c>
      <c r="CB260" s="50" t="s">
        <v>9741</v>
      </c>
      <c r="CC260" s="50" t="s">
        <v>9742</v>
      </c>
      <c r="CD260" s="50" t="s">
        <v>9743</v>
      </c>
      <c r="CE260" s="50" t="s">
        <v>9741</v>
      </c>
      <c r="CF260" s="50" t="s">
        <v>9742</v>
      </c>
      <c r="CG260" s="50" t="s">
        <v>9743</v>
      </c>
      <c r="CH260" s="50" t="s">
        <v>9744</v>
      </c>
      <c r="CI260" s="50" t="s">
        <v>18917</v>
      </c>
      <c r="CK260" s="50" t="s">
        <v>9746</v>
      </c>
      <c r="CL260" s="50" t="s">
        <v>18918</v>
      </c>
      <c r="CM260" s="50" t="s">
        <v>284</v>
      </c>
      <c r="CN260" s="50" t="s">
        <v>285</v>
      </c>
      <c r="CO260" s="50" t="s">
        <v>9746</v>
      </c>
      <c r="CP260" s="50" t="s">
        <v>6404</v>
      </c>
      <c r="CQ260" s="50" t="s">
        <v>9745</v>
      </c>
      <c r="CR260" s="50" t="s">
        <v>9745</v>
      </c>
      <c r="CS260" s="50" t="s">
        <v>26042</v>
      </c>
    </row>
    <row r="261" spans="1:97" hidden="1">
      <c r="A261" s="50" t="s">
        <v>149</v>
      </c>
      <c r="B261" s="50">
        <v>5014840</v>
      </c>
      <c r="C261" s="50" t="e">
        <f>VLOOKUP(B261,'Drop schools 2026'!B:C,2,0)</f>
        <v>#N/A</v>
      </c>
      <c r="D261" s="50" t="s">
        <v>212</v>
      </c>
      <c r="E261" s="50" t="s">
        <v>418</v>
      </c>
      <c r="F261" s="50" t="s">
        <v>18628</v>
      </c>
      <c r="G261" s="50" t="str">
        <f>VLOOKUP(B261,aa!B:F,5,0)</f>
        <v>Ei ASSET, Ei CARES</v>
      </c>
      <c r="H261" s="50">
        <f>VLOOKUP(B261,aa!B:J,9,0)</f>
        <v>696125</v>
      </c>
      <c r="I261" s="50">
        <f>VLOOKUP(B261,aa!B:L,11,0)</f>
        <v>521975</v>
      </c>
      <c r="J261" s="50">
        <f>VLOOKUP(B261,aa!B:O,14,0)</f>
        <v>174150</v>
      </c>
      <c r="K261" s="50">
        <f>VLOOKUP(B261,aa!B:R,17,0)</f>
        <v>0</v>
      </c>
      <c r="L261" s="50" t="s">
        <v>675</v>
      </c>
      <c r="M261" s="50">
        <v>597818</v>
      </c>
      <c r="N261" s="50">
        <v>597818</v>
      </c>
      <c r="O261" s="50">
        <v>492518</v>
      </c>
      <c r="P261" s="50">
        <v>535</v>
      </c>
      <c r="Q261" s="50" t="s">
        <v>18630</v>
      </c>
      <c r="R261" s="50">
        <v>105300</v>
      </c>
      <c r="S261" s="50">
        <v>130</v>
      </c>
      <c r="T261" s="50" t="s">
        <v>6750</v>
      </c>
      <c r="U261" s="50">
        <v>0</v>
      </c>
      <c r="V261" s="50">
        <v>0</v>
      </c>
      <c r="X261" s="50" t="s">
        <v>102</v>
      </c>
      <c r="Y261" s="50" t="s">
        <v>103</v>
      </c>
      <c r="Z261" s="50" t="s">
        <v>104</v>
      </c>
      <c r="AB261" s="50" t="s">
        <v>11927</v>
      </c>
      <c r="AC261" s="50" t="s">
        <v>18631</v>
      </c>
      <c r="AD261" s="50" t="s">
        <v>12695</v>
      </c>
      <c r="AE261" s="50" t="s">
        <v>18632</v>
      </c>
      <c r="AF261" s="50" t="s">
        <v>109</v>
      </c>
      <c r="AG261" s="50" t="s">
        <v>102</v>
      </c>
      <c r="AH261" s="50" t="s">
        <v>109</v>
      </c>
      <c r="AI261" s="50" t="s">
        <v>102</v>
      </c>
      <c r="AJ261" s="50" t="s">
        <v>18633</v>
      </c>
      <c r="AK261" s="50" t="s">
        <v>13511</v>
      </c>
      <c r="AL261" s="50" t="s">
        <v>2050</v>
      </c>
      <c r="AM261" s="50" t="s">
        <v>18634</v>
      </c>
      <c r="AN261" s="50" t="s">
        <v>18635</v>
      </c>
      <c r="AO261" s="50" t="s">
        <v>18636</v>
      </c>
      <c r="AP261" s="50" t="s">
        <v>18637</v>
      </c>
      <c r="AQ261" s="50" t="s">
        <v>18637</v>
      </c>
      <c r="AV261" s="50" t="s">
        <v>247</v>
      </c>
      <c r="AW261" s="50" t="s">
        <v>118</v>
      </c>
      <c r="AX261" s="50" t="s">
        <v>1103</v>
      </c>
      <c r="AY261" s="50" t="s">
        <v>119</v>
      </c>
      <c r="AZ261" s="50" t="s">
        <v>170</v>
      </c>
      <c r="BA261" s="50" t="s">
        <v>118</v>
      </c>
      <c r="BC261" s="50" t="s">
        <v>120</v>
      </c>
      <c r="BD261" s="50" t="s">
        <v>4951</v>
      </c>
      <c r="BE261" s="50" t="s">
        <v>410</v>
      </c>
      <c r="BF261" s="50" t="s">
        <v>212</v>
      </c>
      <c r="BG261" s="50" t="s">
        <v>410</v>
      </c>
      <c r="BH261" s="50" t="s">
        <v>124</v>
      </c>
      <c r="BI261" s="50" t="s">
        <v>8783</v>
      </c>
      <c r="BJ261" s="50" t="s">
        <v>12047</v>
      </c>
      <c r="BK261" s="50" t="s">
        <v>127</v>
      </c>
      <c r="BL261" s="50" t="s">
        <v>18638</v>
      </c>
      <c r="BM261" s="50" t="s">
        <v>9332</v>
      </c>
      <c r="BN261" s="50" t="s">
        <v>18639</v>
      </c>
      <c r="BO261" s="50" t="s">
        <v>18629</v>
      </c>
      <c r="BP261" s="50" t="s">
        <v>866</v>
      </c>
      <c r="BQ261" s="50" t="s">
        <v>132</v>
      </c>
      <c r="BR261" s="50" t="s">
        <v>867</v>
      </c>
      <c r="BS261" s="50" t="s">
        <v>868</v>
      </c>
      <c r="BT261" s="50" t="s">
        <v>9337</v>
      </c>
      <c r="BV261" s="50" t="s">
        <v>18640</v>
      </c>
      <c r="BW261" s="50" t="s">
        <v>18641</v>
      </c>
      <c r="BX261" s="50" t="s">
        <v>138</v>
      </c>
      <c r="BY261" s="50" t="s">
        <v>9342</v>
      </c>
      <c r="BZ261" s="50" t="s">
        <v>18642</v>
      </c>
      <c r="CA261" s="50" t="s">
        <v>9342</v>
      </c>
      <c r="CB261" s="50" t="s">
        <v>18641</v>
      </c>
      <c r="CC261" s="50" t="s">
        <v>9342</v>
      </c>
      <c r="CD261" s="50" t="s">
        <v>18642</v>
      </c>
      <c r="CE261" s="50" t="s">
        <v>18643</v>
      </c>
      <c r="CF261" s="50" t="s">
        <v>18644</v>
      </c>
      <c r="CG261" s="50" t="s">
        <v>9345</v>
      </c>
      <c r="CH261" s="50" t="s">
        <v>102</v>
      </c>
      <c r="CI261" s="50" t="s">
        <v>9349</v>
      </c>
      <c r="CK261" s="50" t="s">
        <v>9348</v>
      </c>
      <c r="CL261" s="50" t="s">
        <v>9349</v>
      </c>
      <c r="CM261" s="50" t="s">
        <v>4951</v>
      </c>
      <c r="CN261" s="50" t="s">
        <v>410</v>
      </c>
      <c r="CO261" s="50" t="s">
        <v>9348</v>
      </c>
      <c r="CP261" s="50" t="s">
        <v>4205</v>
      </c>
      <c r="CQ261" s="50" t="s">
        <v>9349</v>
      </c>
      <c r="CR261" s="50" t="s">
        <v>9349</v>
      </c>
    </row>
    <row r="262" spans="1:97" hidden="1">
      <c r="A262" s="50" t="s">
        <v>149</v>
      </c>
      <c r="B262" s="50">
        <v>7061</v>
      </c>
      <c r="C262" s="50" t="e">
        <f>VLOOKUP(B262,'Drop schools 2026'!B:C,2,0)</f>
        <v>#N/A</v>
      </c>
      <c r="D262" s="50" t="s">
        <v>622</v>
      </c>
      <c r="E262" s="50" t="s">
        <v>1279</v>
      </c>
      <c r="F262" s="50" t="s">
        <v>11593</v>
      </c>
      <c r="G262" s="50" t="e">
        <f>VLOOKUP(B262,aa!B:F,5,0)</f>
        <v>#N/A</v>
      </c>
      <c r="H262" s="50" t="e">
        <f>VLOOKUP(B262,aa!B:J,9,0)</f>
        <v>#N/A</v>
      </c>
      <c r="I262" s="50" t="e">
        <f>VLOOKUP(B262,aa!B:L,11,0)</f>
        <v>#N/A</v>
      </c>
      <c r="J262" s="50" t="e">
        <f>VLOOKUP(B262,aa!B:O,14,0)</f>
        <v>#N/A</v>
      </c>
      <c r="K262" s="50" t="e">
        <f>VLOOKUP(B262,aa!B:R,17,0)</f>
        <v>#N/A</v>
      </c>
      <c r="L262" s="50" t="s">
        <v>97</v>
      </c>
      <c r="M262" s="50">
        <v>596782</v>
      </c>
      <c r="N262" s="50">
        <v>596782</v>
      </c>
      <c r="O262" s="50">
        <v>596782</v>
      </c>
      <c r="P262" s="50">
        <v>976</v>
      </c>
      <c r="Q262" s="50" t="s">
        <v>21452</v>
      </c>
      <c r="R262" s="50">
        <v>0</v>
      </c>
      <c r="S262" s="50">
        <v>0</v>
      </c>
      <c r="U262" s="50">
        <v>0</v>
      </c>
      <c r="V262" s="50">
        <v>0</v>
      </c>
      <c r="X262" s="50" t="s">
        <v>102</v>
      </c>
      <c r="Y262" s="50" t="s">
        <v>103</v>
      </c>
      <c r="Z262" s="50" t="s">
        <v>104</v>
      </c>
      <c r="AB262" s="50" t="s">
        <v>12923</v>
      </c>
      <c r="AC262" s="50" t="s">
        <v>21453</v>
      </c>
      <c r="AD262" s="50" t="s">
        <v>11952</v>
      </c>
      <c r="AE262" s="50" t="s">
        <v>21454</v>
      </c>
      <c r="AF262" s="50" t="s">
        <v>109</v>
      </c>
      <c r="AG262" s="50" t="s">
        <v>102</v>
      </c>
      <c r="AH262" s="50" t="s">
        <v>109</v>
      </c>
      <c r="AI262" s="50" t="s">
        <v>102</v>
      </c>
      <c r="AJ262" s="50" t="s">
        <v>21455</v>
      </c>
      <c r="AK262" s="50" t="s">
        <v>15054</v>
      </c>
      <c r="AL262" s="50" t="s">
        <v>15054</v>
      </c>
      <c r="AM262" s="50" t="s">
        <v>21456</v>
      </c>
      <c r="AN262" s="50" t="s">
        <v>21457</v>
      </c>
      <c r="AO262" s="50" t="s">
        <v>21458</v>
      </c>
      <c r="AP262" s="50" t="s">
        <v>21459</v>
      </c>
      <c r="AQ262" s="50" t="s">
        <v>21459</v>
      </c>
      <c r="AV262" s="50" t="s">
        <v>117</v>
      </c>
      <c r="AW262" s="50" t="s">
        <v>118</v>
      </c>
      <c r="AX262" s="50" t="s">
        <v>102</v>
      </c>
      <c r="AY262" s="50" t="s">
        <v>119</v>
      </c>
      <c r="BC262" s="50" t="s">
        <v>171</v>
      </c>
      <c r="BD262" s="50" t="s">
        <v>623</v>
      </c>
      <c r="BE262" s="50" t="s">
        <v>621</v>
      </c>
      <c r="BF262" s="50" t="s">
        <v>622</v>
      </c>
      <c r="BG262" s="50" t="s">
        <v>623</v>
      </c>
      <c r="BH262" s="50" t="s">
        <v>124</v>
      </c>
      <c r="BI262" s="50" t="s">
        <v>11959</v>
      </c>
      <c r="BJ262" s="50" t="s">
        <v>11960</v>
      </c>
      <c r="BK262" s="50" t="s">
        <v>127</v>
      </c>
      <c r="BL262" s="50" t="s">
        <v>21460</v>
      </c>
      <c r="BM262" s="50" t="s">
        <v>11605</v>
      </c>
      <c r="BN262" s="50" t="s">
        <v>21461</v>
      </c>
      <c r="BO262" s="50" t="s">
        <v>10729</v>
      </c>
      <c r="BP262" s="50" t="s">
        <v>629</v>
      </c>
      <c r="BQ262" s="50" t="s">
        <v>132</v>
      </c>
      <c r="BR262" s="50" t="s">
        <v>630</v>
      </c>
      <c r="BS262" s="50" t="s">
        <v>631</v>
      </c>
      <c r="BT262" s="50" t="s">
        <v>1279</v>
      </c>
      <c r="BV262" s="50" t="s">
        <v>21462</v>
      </c>
      <c r="BW262" s="50" t="s">
        <v>11608</v>
      </c>
      <c r="BX262" s="50" t="s">
        <v>138</v>
      </c>
      <c r="BY262" s="50" t="s">
        <v>11609</v>
      </c>
      <c r="BZ262" s="50" t="s">
        <v>11610</v>
      </c>
      <c r="CA262" s="50" t="s">
        <v>11611</v>
      </c>
      <c r="CB262" s="50" t="s">
        <v>11608</v>
      </c>
      <c r="CC262" s="50" t="s">
        <v>11609</v>
      </c>
      <c r="CD262" s="50" t="s">
        <v>11610</v>
      </c>
      <c r="CE262" s="50" t="s">
        <v>11608</v>
      </c>
      <c r="CF262" s="50" t="s">
        <v>11609</v>
      </c>
      <c r="CG262" s="50" t="s">
        <v>11610</v>
      </c>
      <c r="CH262" s="50" t="s">
        <v>102</v>
      </c>
      <c r="CI262" s="50" t="s">
        <v>11612</v>
      </c>
      <c r="CK262" s="50" t="s">
        <v>11613</v>
      </c>
      <c r="CM262" s="50" t="s">
        <v>623</v>
      </c>
      <c r="CN262" s="50" t="s">
        <v>621</v>
      </c>
      <c r="CO262" s="50" t="s">
        <v>11613</v>
      </c>
      <c r="CP262" s="50" t="s">
        <v>7140</v>
      </c>
      <c r="CQ262" s="50" t="s">
        <v>11612</v>
      </c>
      <c r="CR262" s="50" t="s">
        <v>11612</v>
      </c>
      <c r="CS262" s="50" t="s">
        <v>26048</v>
      </c>
    </row>
    <row r="263" spans="1:97" hidden="1">
      <c r="A263" s="50" t="s">
        <v>93</v>
      </c>
      <c r="B263" s="50">
        <v>4030028</v>
      </c>
      <c r="C263" s="50" t="str">
        <f>VLOOKUP(B263,'Drop schools 2026'!B:C,2,0)</f>
        <v>Drop</v>
      </c>
      <c r="D263" s="50" t="s">
        <v>122</v>
      </c>
      <c r="E263" s="50" t="s">
        <v>12018</v>
      </c>
      <c r="F263" s="50" t="s">
        <v>17982</v>
      </c>
      <c r="G263" s="50" t="e">
        <f>VLOOKUP(B263,aa!B:F,5,0)</f>
        <v>#N/A</v>
      </c>
      <c r="H263" s="50" t="e">
        <f>VLOOKUP(B263,aa!B:J,9,0)</f>
        <v>#N/A</v>
      </c>
      <c r="I263" s="50" t="e">
        <f>VLOOKUP(B263,aa!B:L,11,0)</f>
        <v>#N/A</v>
      </c>
      <c r="J263" s="50" t="e">
        <f>VLOOKUP(B263,aa!B:O,14,0)</f>
        <v>#N/A</v>
      </c>
      <c r="K263" s="50" t="e">
        <f>VLOOKUP(B263,aa!B:R,17,0)</f>
        <v>#N/A</v>
      </c>
      <c r="L263" s="50" t="s">
        <v>152</v>
      </c>
      <c r="M263" s="50">
        <v>593642</v>
      </c>
      <c r="N263" s="50">
        <v>593642</v>
      </c>
      <c r="O263" s="50">
        <v>0</v>
      </c>
      <c r="P263" s="50">
        <v>0</v>
      </c>
      <c r="R263" s="50">
        <v>593642</v>
      </c>
      <c r="S263" s="50">
        <v>424</v>
      </c>
      <c r="T263" s="50" t="s">
        <v>4289</v>
      </c>
      <c r="U263" s="50">
        <v>0</v>
      </c>
      <c r="V263" s="50">
        <v>0</v>
      </c>
      <c r="X263" s="50" t="s">
        <v>102</v>
      </c>
      <c r="Y263" s="50" t="s">
        <v>103</v>
      </c>
      <c r="Z263" s="50" t="s">
        <v>155</v>
      </c>
      <c r="AB263" s="50" t="s">
        <v>12926</v>
      </c>
      <c r="AC263" s="50" t="s">
        <v>17983</v>
      </c>
      <c r="AD263" s="50" t="s">
        <v>13511</v>
      </c>
      <c r="AE263" s="50" t="s">
        <v>17983</v>
      </c>
      <c r="AF263" s="50" t="s">
        <v>946</v>
      </c>
      <c r="AG263" s="50" t="s">
        <v>17983</v>
      </c>
      <c r="AH263" s="50" t="s">
        <v>11886</v>
      </c>
      <c r="AI263" s="50" t="s">
        <v>17983</v>
      </c>
      <c r="AJ263" s="50" t="s">
        <v>102</v>
      </c>
      <c r="AM263" s="50" t="s">
        <v>17984</v>
      </c>
      <c r="AN263" s="50" t="s">
        <v>102</v>
      </c>
      <c r="AO263" s="50" t="s">
        <v>17984</v>
      </c>
      <c r="AP263" s="50" t="s">
        <v>4298</v>
      </c>
      <c r="AQ263" s="50" t="s">
        <v>4298</v>
      </c>
      <c r="AV263" s="50" t="s">
        <v>102</v>
      </c>
      <c r="AX263" s="50" t="s">
        <v>155</v>
      </c>
      <c r="AY263" s="50" t="s">
        <v>447</v>
      </c>
      <c r="AZ263" s="50" t="s">
        <v>170</v>
      </c>
      <c r="BA263" s="50" t="s">
        <v>118</v>
      </c>
      <c r="BC263" s="50" t="s">
        <v>120</v>
      </c>
      <c r="BD263" s="50" t="s">
        <v>7614</v>
      </c>
      <c r="BE263" s="50" t="s">
        <v>2800</v>
      </c>
      <c r="BF263" s="50" t="s">
        <v>122</v>
      </c>
      <c r="BG263" s="50" t="s">
        <v>346</v>
      </c>
      <c r="BH263" s="50" t="s">
        <v>124</v>
      </c>
      <c r="BI263" s="50" t="s">
        <v>12023</v>
      </c>
      <c r="BJ263" s="50" t="s">
        <v>11889</v>
      </c>
      <c r="BK263" s="50" t="s">
        <v>127</v>
      </c>
      <c r="BL263" s="50" t="s">
        <v>17985</v>
      </c>
      <c r="BM263" s="50" t="s">
        <v>8621</v>
      </c>
      <c r="BN263" s="50" t="s">
        <v>17986</v>
      </c>
      <c r="BO263" s="50" t="s">
        <v>7957</v>
      </c>
      <c r="BP263" s="50" t="s">
        <v>17987</v>
      </c>
      <c r="BQ263" s="50" t="s">
        <v>350</v>
      </c>
      <c r="BR263" s="50" t="s">
        <v>17988</v>
      </c>
      <c r="BS263" s="50" t="s">
        <v>17989</v>
      </c>
      <c r="BT263" s="50" t="s">
        <v>8623</v>
      </c>
      <c r="BV263" s="50" t="s">
        <v>17990</v>
      </c>
      <c r="BW263" s="50" t="s">
        <v>17991</v>
      </c>
      <c r="BX263" s="50" t="s">
        <v>354</v>
      </c>
      <c r="BY263" s="50" t="s">
        <v>8628</v>
      </c>
      <c r="BZ263" s="50" t="s">
        <v>8627</v>
      </c>
      <c r="CA263" s="50" t="s">
        <v>8628</v>
      </c>
      <c r="CB263" s="50" t="s">
        <v>17992</v>
      </c>
      <c r="CC263" s="50" t="s">
        <v>8628</v>
      </c>
      <c r="CD263" s="50" t="s">
        <v>8631</v>
      </c>
      <c r="CE263" s="50" t="s">
        <v>13027</v>
      </c>
      <c r="CF263" s="50" t="s">
        <v>8628</v>
      </c>
      <c r="CG263" s="50" t="s">
        <v>8633</v>
      </c>
      <c r="CH263" s="50" t="s">
        <v>4372</v>
      </c>
      <c r="CI263" s="50" t="s">
        <v>17993</v>
      </c>
      <c r="CK263" s="50" t="s">
        <v>7630</v>
      </c>
      <c r="CL263" s="50" t="s">
        <v>17993</v>
      </c>
      <c r="CM263" s="50" t="s">
        <v>7614</v>
      </c>
      <c r="CN263" s="50" t="s">
        <v>2800</v>
      </c>
      <c r="CO263" s="50" t="s">
        <v>7630</v>
      </c>
      <c r="CQ263" s="50" t="s">
        <v>8634</v>
      </c>
      <c r="CR263" s="50" t="s">
        <v>8634</v>
      </c>
    </row>
    <row r="264" spans="1:97" hidden="1">
      <c r="A264" s="50" t="s">
        <v>149</v>
      </c>
      <c r="B264" s="50">
        <v>1797713</v>
      </c>
      <c r="C264" s="50" t="e">
        <f>VLOOKUP(B264,'Drop schools 2026'!B:C,2,0)</f>
        <v>#N/A</v>
      </c>
      <c r="D264" s="50" t="s">
        <v>212</v>
      </c>
      <c r="E264" s="50" t="s">
        <v>12423</v>
      </c>
      <c r="F264" s="50" t="s">
        <v>1868</v>
      </c>
      <c r="G264" s="50" t="e">
        <f>VLOOKUP(B264,aa!B:F,5,0)</f>
        <v>#N/A</v>
      </c>
      <c r="H264" s="50" t="e">
        <f>VLOOKUP(B264,aa!B:J,9,0)</f>
        <v>#N/A</v>
      </c>
      <c r="I264" s="50" t="e">
        <f>VLOOKUP(B264,aa!B:L,11,0)</f>
        <v>#N/A</v>
      </c>
      <c r="J264" s="50" t="e">
        <f>VLOOKUP(B264,aa!B:O,14,0)</f>
        <v>#N/A</v>
      </c>
      <c r="K264" s="50" t="e">
        <f>VLOOKUP(B264,aa!B:R,17,0)</f>
        <v>#N/A</v>
      </c>
      <c r="L264" s="50" t="s">
        <v>1870</v>
      </c>
      <c r="M264" s="50">
        <v>588433</v>
      </c>
      <c r="N264" s="50">
        <v>665844</v>
      </c>
      <c r="O264" s="50">
        <v>0</v>
      </c>
      <c r="P264" s="50">
        <v>0</v>
      </c>
      <c r="R264" s="50">
        <v>158371</v>
      </c>
      <c r="S264" s="50">
        <v>180</v>
      </c>
      <c r="T264" s="50" t="s">
        <v>12942</v>
      </c>
      <c r="U264" s="50">
        <v>430062</v>
      </c>
      <c r="V264" s="50">
        <v>360</v>
      </c>
      <c r="W264" s="50" t="s">
        <v>12943</v>
      </c>
      <c r="X264" s="50" t="s">
        <v>102</v>
      </c>
      <c r="Y264" s="50" t="s">
        <v>275</v>
      </c>
      <c r="AA264" s="50" t="s">
        <v>11938</v>
      </c>
      <c r="AB264" s="50" t="s">
        <v>109</v>
      </c>
      <c r="AC264" s="50" t="s">
        <v>102</v>
      </c>
      <c r="AD264" s="50" t="s">
        <v>109</v>
      </c>
      <c r="AE264" s="50" t="s">
        <v>102</v>
      </c>
      <c r="AF264" s="50" t="s">
        <v>109</v>
      </c>
      <c r="AG264" s="50" t="s">
        <v>102</v>
      </c>
      <c r="AH264" s="50" t="s">
        <v>109</v>
      </c>
      <c r="AI264" s="50" t="s">
        <v>102</v>
      </c>
      <c r="AJ264" s="50" t="s">
        <v>102</v>
      </c>
      <c r="AK264" s="50" t="s">
        <v>625</v>
      </c>
      <c r="AL264" s="50" t="s">
        <v>625</v>
      </c>
      <c r="AM264" s="50" t="s">
        <v>12944</v>
      </c>
      <c r="AN264" s="50" t="s">
        <v>12945</v>
      </c>
      <c r="AO264" s="50" t="s">
        <v>12946</v>
      </c>
      <c r="AP264" s="50" t="s">
        <v>12947</v>
      </c>
      <c r="AQ264" s="50" t="s">
        <v>12947</v>
      </c>
      <c r="AV264" s="50" t="s">
        <v>102</v>
      </c>
      <c r="AX264" s="50" t="s">
        <v>248</v>
      </c>
      <c r="AY264" s="50" t="s">
        <v>119</v>
      </c>
      <c r="BA264" s="50" t="s">
        <v>250</v>
      </c>
      <c r="BB264" s="50" t="s">
        <v>250</v>
      </c>
      <c r="BC264" s="50" t="s">
        <v>171</v>
      </c>
      <c r="BD264" s="50" t="s">
        <v>1759</v>
      </c>
      <c r="BE264" s="50" t="s">
        <v>410</v>
      </c>
      <c r="BF264" s="50" t="s">
        <v>212</v>
      </c>
      <c r="BG264" s="50" t="s">
        <v>410</v>
      </c>
      <c r="BH264" s="50" t="s">
        <v>124</v>
      </c>
      <c r="BI264" s="50" t="s">
        <v>11959</v>
      </c>
      <c r="BJ264" s="50" t="s">
        <v>11960</v>
      </c>
      <c r="BK264" s="50" t="s">
        <v>127</v>
      </c>
      <c r="BL264" s="50" t="s">
        <v>12948</v>
      </c>
      <c r="BM264" s="50" t="s">
        <v>1878</v>
      </c>
      <c r="BN264" s="50" t="s">
        <v>12949</v>
      </c>
      <c r="BO264" s="50" t="s">
        <v>12494</v>
      </c>
      <c r="BP264" s="50" t="s">
        <v>866</v>
      </c>
      <c r="BQ264" s="50" t="s">
        <v>132</v>
      </c>
      <c r="BR264" s="50" t="s">
        <v>867</v>
      </c>
      <c r="BS264" s="50" t="s">
        <v>868</v>
      </c>
      <c r="BT264" s="50" t="s">
        <v>418</v>
      </c>
      <c r="BV264" s="50" t="s">
        <v>12950</v>
      </c>
      <c r="BW264" s="50" t="s">
        <v>1885</v>
      </c>
      <c r="BY264" s="50" t="s">
        <v>1886</v>
      </c>
      <c r="BZ264" s="50" t="s">
        <v>1887</v>
      </c>
      <c r="CA264" s="50" t="s">
        <v>1886</v>
      </c>
      <c r="CB264" s="50" t="s">
        <v>12951</v>
      </c>
      <c r="CC264" s="50" t="s">
        <v>12952</v>
      </c>
      <c r="CD264" s="50" t="s">
        <v>1887</v>
      </c>
      <c r="CE264" s="50" t="s">
        <v>12953</v>
      </c>
      <c r="CF264" s="50" t="s">
        <v>12954</v>
      </c>
      <c r="CG264" s="50" t="s">
        <v>12955</v>
      </c>
      <c r="CH264" s="50" t="s">
        <v>102</v>
      </c>
      <c r="CI264" s="50" t="s">
        <v>1888</v>
      </c>
      <c r="CK264" s="50" t="s">
        <v>1889</v>
      </c>
      <c r="CM264" s="50" t="s">
        <v>1759</v>
      </c>
      <c r="CN264" s="50" t="s">
        <v>410</v>
      </c>
      <c r="CO264" s="50" t="s">
        <v>1889</v>
      </c>
      <c r="CQ264" s="50" t="s">
        <v>1888</v>
      </c>
      <c r="CR264" s="50" t="s">
        <v>1888</v>
      </c>
      <c r="CS264" s="50" t="s">
        <v>26043</v>
      </c>
    </row>
    <row r="265" spans="1:97" hidden="1">
      <c r="A265" s="50" t="s">
        <v>93</v>
      </c>
      <c r="B265" s="50">
        <v>2551930</v>
      </c>
      <c r="C265" s="50" t="e">
        <f>VLOOKUP(B265,'Drop schools 2026'!B:C,2,0)</f>
        <v>#N/A</v>
      </c>
      <c r="D265" s="50" t="s">
        <v>212</v>
      </c>
      <c r="E265" s="50" t="s">
        <v>11995</v>
      </c>
      <c r="F265" s="50" t="s">
        <v>4023</v>
      </c>
      <c r="G265" s="50" t="e">
        <f>VLOOKUP(B265,aa!B:F,5,0)</f>
        <v>#N/A</v>
      </c>
      <c r="H265" s="50" t="e">
        <f>VLOOKUP(B265,aa!B:J,9,0)</f>
        <v>#N/A</v>
      </c>
      <c r="I265" s="50" t="e">
        <f>VLOOKUP(B265,aa!B:L,11,0)</f>
        <v>#N/A</v>
      </c>
      <c r="J265" s="50" t="e">
        <f>VLOOKUP(B265,aa!B:O,14,0)</f>
        <v>#N/A</v>
      </c>
      <c r="K265" s="50" t="e">
        <f>VLOOKUP(B265,aa!B:R,17,0)</f>
        <v>#N/A</v>
      </c>
      <c r="L265" s="50" t="s">
        <v>152</v>
      </c>
      <c r="M265" s="50">
        <v>582306</v>
      </c>
      <c r="N265" s="50">
        <v>582306</v>
      </c>
      <c r="O265" s="50">
        <v>0</v>
      </c>
      <c r="P265" s="50">
        <v>0</v>
      </c>
      <c r="R265" s="50">
        <v>582306</v>
      </c>
      <c r="S265" s="50">
        <v>584</v>
      </c>
      <c r="T265" s="50" t="s">
        <v>7732</v>
      </c>
      <c r="U265" s="50">
        <v>0</v>
      </c>
      <c r="V265" s="50">
        <v>0</v>
      </c>
      <c r="X265" s="50" t="s">
        <v>102</v>
      </c>
      <c r="Y265" s="50" t="s">
        <v>275</v>
      </c>
      <c r="AA265" s="50" t="s">
        <v>1408</v>
      </c>
      <c r="AB265" s="50" t="s">
        <v>109</v>
      </c>
      <c r="AC265" s="50" t="s">
        <v>102</v>
      </c>
      <c r="AD265" s="50" t="s">
        <v>109</v>
      </c>
      <c r="AE265" s="50" t="s">
        <v>102</v>
      </c>
      <c r="AF265" s="50" t="s">
        <v>109</v>
      </c>
      <c r="AG265" s="50" t="s">
        <v>102</v>
      </c>
      <c r="AH265" s="50" t="s">
        <v>109</v>
      </c>
      <c r="AI265" s="50" t="s">
        <v>102</v>
      </c>
      <c r="AJ265" s="50" t="s">
        <v>102</v>
      </c>
      <c r="AK265" s="50" t="s">
        <v>13511</v>
      </c>
      <c r="AL265" s="50" t="s">
        <v>5651</v>
      </c>
      <c r="AM265" s="50" t="s">
        <v>14478</v>
      </c>
      <c r="AN265" s="50" t="s">
        <v>14479</v>
      </c>
      <c r="AO265" s="50" t="s">
        <v>14480</v>
      </c>
      <c r="AP265" s="50" t="s">
        <v>14481</v>
      </c>
      <c r="AQ265" s="50" t="s">
        <v>14481</v>
      </c>
      <c r="AV265" s="50" t="s">
        <v>102</v>
      </c>
      <c r="AX265" s="50" t="s">
        <v>155</v>
      </c>
      <c r="AY265" s="50" t="s">
        <v>119</v>
      </c>
      <c r="AZ265" s="50" t="s">
        <v>1138</v>
      </c>
      <c r="BA265" s="50" t="s">
        <v>118</v>
      </c>
      <c r="BC265" s="50" t="s">
        <v>120</v>
      </c>
      <c r="BD265" s="50" t="s">
        <v>284</v>
      </c>
      <c r="BE265" s="50" t="s">
        <v>285</v>
      </c>
      <c r="BF265" s="50" t="s">
        <v>212</v>
      </c>
      <c r="BG265" s="50" t="s">
        <v>286</v>
      </c>
      <c r="BH265" s="50" t="s">
        <v>124</v>
      </c>
      <c r="BI265" s="50" t="s">
        <v>12425</v>
      </c>
      <c r="BJ265" s="50" t="s">
        <v>12047</v>
      </c>
      <c r="BK265" s="50" t="s">
        <v>127</v>
      </c>
      <c r="BL265" s="50" t="s">
        <v>14482</v>
      </c>
      <c r="BM265" s="50" t="s">
        <v>4031</v>
      </c>
      <c r="BN265" s="50" t="s">
        <v>4032</v>
      </c>
      <c r="BO265" s="50" t="s">
        <v>5022</v>
      </c>
      <c r="BP265" s="50" t="s">
        <v>3997</v>
      </c>
      <c r="BQ265" s="50" t="s">
        <v>132</v>
      </c>
      <c r="BR265" s="50" t="s">
        <v>3998</v>
      </c>
      <c r="BS265" s="50" t="s">
        <v>3999</v>
      </c>
      <c r="BT265" s="50" t="s">
        <v>3362</v>
      </c>
      <c r="BV265" s="50" t="s">
        <v>14483</v>
      </c>
      <c r="BW265" s="50" t="s">
        <v>4034</v>
      </c>
      <c r="BX265" s="50" t="s">
        <v>354</v>
      </c>
      <c r="BY265" s="50" t="s">
        <v>4035</v>
      </c>
      <c r="BZ265" s="50" t="s">
        <v>4036</v>
      </c>
      <c r="CA265" s="50" t="s">
        <v>4037</v>
      </c>
      <c r="CB265" s="50" t="s">
        <v>14484</v>
      </c>
      <c r="CC265" s="50" t="s">
        <v>4035</v>
      </c>
      <c r="CD265" s="50" t="s">
        <v>14485</v>
      </c>
      <c r="CE265" s="50" t="s">
        <v>14486</v>
      </c>
      <c r="CF265" s="50" t="s">
        <v>4035</v>
      </c>
      <c r="CG265" s="50" t="s">
        <v>14487</v>
      </c>
      <c r="CH265" s="50" t="s">
        <v>102</v>
      </c>
      <c r="CI265" s="50" t="s">
        <v>14488</v>
      </c>
      <c r="CK265" s="50" t="s">
        <v>4039</v>
      </c>
      <c r="CL265" s="50" t="s">
        <v>14489</v>
      </c>
      <c r="CM265" s="50" t="s">
        <v>284</v>
      </c>
      <c r="CN265" s="50" t="s">
        <v>285</v>
      </c>
      <c r="CO265" s="50" t="s">
        <v>4039</v>
      </c>
      <c r="CQ265" s="50" t="s">
        <v>4038</v>
      </c>
      <c r="CR265" s="50" t="s">
        <v>4038</v>
      </c>
      <c r="CS265" s="50" t="s">
        <v>26044</v>
      </c>
    </row>
    <row r="266" spans="1:97">
      <c r="A266" s="50" t="s">
        <v>337</v>
      </c>
      <c r="B266" s="50">
        <v>3515636</v>
      </c>
      <c r="C266" s="50" t="e">
        <f>VLOOKUP(B266,'Drop schools 2026'!B:C,2,0)</f>
        <v>#N/A</v>
      </c>
      <c r="D266" s="50" t="s">
        <v>122</v>
      </c>
      <c r="E266" s="50" t="s">
        <v>12507</v>
      </c>
      <c r="F266" s="50" t="s">
        <v>16352</v>
      </c>
      <c r="G266" s="50" t="e">
        <f>VLOOKUP(B266,aa!B:F,5,0)</f>
        <v>#N/A</v>
      </c>
      <c r="H266" s="50" t="e">
        <f>VLOOKUP(B266,aa!B:J,9,0)</f>
        <v>#N/A</v>
      </c>
      <c r="I266" s="50" t="e">
        <f>VLOOKUP(B266,aa!B:L,11,0)</f>
        <v>#N/A</v>
      </c>
      <c r="J266" s="50" t="e">
        <f>VLOOKUP(B266,aa!B:O,14,0)</f>
        <v>#N/A</v>
      </c>
      <c r="K266" s="50" t="e">
        <f>VLOOKUP(B266,aa!B:R,17,0)</f>
        <v>#N/A</v>
      </c>
      <c r="L266" s="50" t="s">
        <v>152</v>
      </c>
      <c r="M266" s="50">
        <v>582192</v>
      </c>
      <c r="N266" s="50">
        <v>582192</v>
      </c>
      <c r="O266" s="50">
        <v>0</v>
      </c>
      <c r="P266" s="50">
        <v>0</v>
      </c>
      <c r="R266" s="50">
        <v>582192</v>
      </c>
      <c r="S266" s="50">
        <v>311</v>
      </c>
      <c r="T266" s="50" t="s">
        <v>16353</v>
      </c>
      <c r="U266" s="50">
        <v>0</v>
      </c>
      <c r="V266" s="50">
        <v>0</v>
      </c>
      <c r="X266" s="50" t="s">
        <v>102</v>
      </c>
      <c r="Y266" s="50" t="s">
        <v>103</v>
      </c>
      <c r="Z266" s="50" t="s">
        <v>398</v>
      </c>
      <c r="AB266" s="50" t="s">
        <v>12926</v>
      </c>
      <c r="AC266" s="50" t="s">
        <v>16354</v>
      </c>
      <c r="AD266" s="50" t="s">
        <v>11929</v>
      </c>
      <c r="AE266" s="50" t="s">
        <v>16355</v>
      </c>
      <c r="AF266" s="50" t="s">
        <v>11930</v>
      </c>
      <c r="AG266" s="50" t="s">
        <v>16355</v>
      </c>
      <c r="AH266" s="50" t="s">
        <v>109</v>
      </c>
      <c r="AI266" s="50" t="s">
        <v>102</v>
      </c>
      <c r="AJ266" s="50" t="s">
        <v>102</v>
      </c>
      <c r="AM266" s="50" t="s">
        <v>16356</v>
      </c>
      <c r="AN266" s="50" t="s">
        <v>102</v>
      </c>
      <c r="AO266" s="50" t="s">
        <v>16356</v>
      </c>
      <c r="AP266" s="50" t="s">
        <v>16357</v>
      </c>
      <c r="AQ266" s="50" t="s">
        <v>16357</v>
      </c>
      <c r="AV266" s="50" t="s">
        <v>102</v>
      </c>
      <c r="AX266" s="50" t="s">
        <v>155</v>
      </c>
      <c r="AY266" s="50" t="s">
        <v>119</v>
      </c>
      <c r="AZ266" s="50" t="s">
        <v>170</v>
      </c>
      <c r="BA266" s="50" t="s">
        <v>118</v>
      </c>
      <c r="BC266" s="50" t="s">
        <v>120</v>
      </c>
      <c r="BD266" s="50" t="s">
        <v>16358</v>
      </c>
      <c r="BE266" s="50" t="s">
        <v>2543</v>
      </c>
      <c r="BF266" s="50" t="s">
        <v>122</v>
      </c>
      <c r="BG266" s="50" t="s">
        <v>557</v>
      </c>
      <c r="BH266" s="50" t="s">
        <v>124</v>
      </c>
      <c r="BI266" s="50" t="s">
        <v>12023</v>
      </c>
      <c r="BJ266" s="50" t="s">
        <v>11889</v>
      </c>
      <c r="BK266" s="50" t="s">
        <v>127</v>
      </c>
      <c r="BL266" s="50" t="s">
        <v>16359</v>
      </c>
      <c r="BM266" s="50" t="s">
        <v>16360</v>
      </c>
      <c r="BN266" s="50" t="s">
        <v>16361</v>
      </c>
      <c r="BO266" s="50" t="s">
        <v>4211</v>
      </c>
      <c r="BP266" s="50" t="s">
        <v>1071</v>
      </c>
      <c r="BQ266" s="50" t="s">
        <v>350</v>
      </c>
      <c r="BR266" s="50" t="s">
        <v>1072</v>
      </c>
      <c r="BS266" s="50" t="s">
        <v>1073</v>
      </c>
      <c r="BT266" s="50" t="s">
        <v>1074</v>
      </c>
      <c r="BU266" s="50" t="s">
        <v>1075</v>
      </c>
      <c r="BV266" s="50" t="s">
        <v>16362</v>
      </c>
      <c r="BW266" s="50" t="s">
        <v>16363</v>
      </c>
      <c r="BX266" s="50" t="s">
        <v>598</v>
      </c>
      <c r="BY266" s="50" t="s">
        <v>16364</v>
      </c>
      <c r="BZ266" s="50" t="s">
        <v>16365</v>
      </c>
      <c r="CA266" s="50" t="s">
        <v>16366</v>
      </c>
      <c r="CH266" s="50" t="s">
        <v>4829</v>
      </c>
      <c r="CI266" s="50" t="s">
        <v>16367</v>
      </c>
      <c r="CK266" s="50" t="s">
        <v>16368</v>
      </c>
      <c r="CL266" s="50" t="s">
        <v>16367</v>
      </c>
      <c r="CM266" s="50" t="s">
        <v>16358</v>
      </c>
      <c r="CN266" s="50" t="s">
        <v>2543</v>
      </c>
      <c r="CO266" s="50" t="s">
        <v>16368</v>
      </c>
      <c r="CQ266" s="50" t="s">
        <v>16367</v>
      </c>
      <c r="CR266" s="50" t="s">
        <v>16367</v>
      </c>
    </row>
    <row r="267" spans="1:97" hidden="1">
      <c r="A267" s="50" t="s">
        <v>495</v>
      </c>
      <c r="B267" s="50">
        <v>5018164</v>
      </c>
      <c r="C267" s="50" t="e">
        <f>VLOOKUP(B267,'Drop schools 2026'!B:C,2,0)</f>
        <v>#N/A</v>
      </c>
      <c r="D267" s="50" t="s">
        <v>212</v>
      </c>
      <c r="E267" s="50" t="s">
        <v>11995</v>
      </c>
      <c r="F267" s="50" t="s">
        <v>10552</v>
      </c>
      <c r="G267" s="50" t="str">
        <f>VLOOKUP(B267,aa!B:F,5,0)</f>
        <v>Ei Mindspark</v>
      </c>
      <c r="H267" s="50">
        <f>VLOOKUP(B267,aa!B:J,9,0)</f>
        <v>286260</v>
      </c>
      <c r="I267" s="50">
        <f>VLOOKUP(B267,aa!B:L,11,0)</f>
        <v>0</v>
      </c>
      <c r="J267" s="50">
        <f>VLOOKUP(B267,aa!B:O,14,0)</f>
        <v>0</v>
      </c>
      <c r="K267" s="50">
        <f>VLOOKUP(B267,aa!B:R,17,0)</f>
        <v>286260</v>
      </c>
      <c r="L267" s="50" t="s">
        <v>193</v>
      </c>
      <c r="M267" s="50">
        <v>579460</v>
      </c>
      <c r="N267" s="50">
        <v>656493</v>
      </c>
      <c r="O267" s="50">
        <v>151500</v>
      </c>
      <c r="P267" s="50">
        <v>202</v>
      </c>
      <c r="Q267" s="50" t="s">
        <v>101</v>
      </c>
      <c r="R267" s="50">
        <v>0</v>
      </c>
      <c r="S267" s="50">
        <v>0</v>
      </c>
      <c r="U267" s="50">
        <v>427960</v>
      </c>
      <c r="V267" s="50">
        <v>202</v>
      </c>
      <c r="W267" s="50" t="s">
        <v>2166</v>
      </c>
      <c r="X267" s="50" t="s">
        <v>102</v>
      </c>
      <c r="Y267" s="50" t="s">
        <v>103</v>
      </c>
      <c r="Z267" s="50" t="s">
        <v>5317</v>
      </c>
      <c r="AB267" s="50" t="s">
        <v>8708</v>
      </c>
      <c r="AC267" s="50" t="s">
        <v>19457</v>
      </c>
      <c r="AD267" s="50" t="s">
        <v>19458</v>
      </c>
      <c r="AE267" s="50" t="s">
        <v>19459</v>
      </c>
      <c r="AF267" s="50" t="s">
        <v>13263</v>
      </c>
      <c r="AG267" s="50" t="s">
        <v>19460</v>
      </c>
      <c r="AH267" s="50" t="s">
        <v>109</v>
      </c>
      <c r="AI267" s="50" t="s">
        <v>102</v>
      </c>
      <c r="AJ267" s="50" t="s">
        <v>102</v>
      </c>
      <c r="AM267" s="50" t="s">
        <v>19461</v>
      </c>
      <c r="AN267" s="50" t="s">
        <v>102</v>
      </c>
      <c r="AO267" s="50" t="s">
        <v>19461</v>
      </c>
      <c r="AP267" s="50" t="s">
        <v>19462</v>
      </c>
      <c r="AQ267" s="50" t="s">
        <v>19462</v>
      </c>
      <c r="AV267" s="50" t="s">
        <v>247</v>
      </c>
      <c r="AW267" s="50" t="s">
        <v>118</v>
      </c>
      <c r="AX267" s="50" t="s">
        <v>102</v>
      </c>
      <c r="AY267" s="50" t="s">
        <v>119</v>
      </c>
      <c r="BB267" s="50" t="s">
        <v>250</v>
      </c>
      <c r="BC267" s="50" t="s">
        <v>120</v>
      </c>
      <c r="BD267" s="50" t="s">
        <v>6389</v>
      </c>
      <c r="BE267" s="50" t="s">
        <v>6390</v>
      </c>
      <c r="BF267" s="50" t="s">
        <v>212</v>
      </c>
      <c r="BG267" s="50" t="s">
        <v>286</v>
      </c>
      <c r="BH267" s="50" t="s">
        <v>124</v>
      </c>
      <c r="BI267" s="50" t="s">
        <v>12636</v>
      </c>
      <c r="BJ267" s="50" t="s">
        <v>12637</v>
      </c>
      <c r="BK267" s="50" t="s">
        <v>127</v>
      </c>
      <c r="BL267" s="50" t="s">
        <v>19463</v>
      </c>
      <c r="BM267" s="50" t="s">
        <v>10563</v>
      </c>
      <c r="BN267" s="50" t="s">
        <v>19464</v>
      </c>
      <c r="BO267" s="50" t="s">
        <v>19456</v>
      </c>
      <c r="BP267" s="50" t="s">
        <v>12008</v>
      </c>
      <c r="BQ267" s="50" t="s">
        <v>132</v>
      </c>
      <c r="BR267" s="50" t="s">
        <v>12009</v>
      </c>
      <c r="BS267" s="50" t="s">
        <v>12010</v>
      </c>
      <c r="BT267" s="50" t="s">
        <v>737</v>
      </c>
      <c r="BV267" s="50" t="s">
        <v>19465</v>
      </c>
      <c r="BW267" s="50" t="s">
        <v>10566</v>
      </c>
      <c r="BX267" s="50" t="s">
        <v>138</v>
      </c>
      <c r="BY267" s="50" t="s">
        <v>10567</v>
      </c>
      <c r="BZ267" s="50" t="s">
        <v>19466</v>
      </c>
      <c r="CA267" s="50" t="s">
        <v>10567</v>
      </c>
      <c r="CB267" s="50" t="s">
        <v>10566</v>
      </c>
      <c r="CC267" s="50" t="s">
        <v>10567</v>
      </c>
      <c r="CD267" s="50" t="s">
        <v>19466</v>
      </c>
      <c r="CE267" s="50" t="s">
        <v>10566</v>
      </c>
      <c r="CF267" s="50" t="s">
        <v>10567</v>
      </c>
      <c r="CG267" s="50" t="s">
        <v>19466</v>
      </c>
      <c r="CH267" s="50" t="s">
        <v>7248</v>
      </c>
      <c r="CI267" s="50" t="s">
        <v>19467</v>
      </c>
      <c r="CK267" s="50" t="s">
        <v>102</v>
      </c>
      <c r="CL267" s="50" t="s">
        <v>19468</v>
      </c>
      <c r="CM267" s="50" t="s">
        <v>6389</v>
      </c>
      <c r="CN267" s="50" t="s">
        <v>6390</v>
      </c>
      <c r="CO267" s="50" t="s">
        <v>102</v>
      </c>
      <c r="CQ267" s="50" t="s">
        <v>10569</v>
      </c>
      <c r="CR267" s="50" t="s">
        <v>10570</v>
      </c>
    </row>
    <row r="268" spans="1:97" hidden="1">
      <c r="A268" s="50" t="s">
        <v>337</v>
      </c>
      <c r="B268" s="50">
        <v>172149</v>
      </c>
      <c r="C268" s="50" t="e">
        <f>VLOOKUP(B268,'Drop schools 2026'!B:C,2,0)</f>
        <v>#N/A</v>
      </c>
      <c r="D268" s="50" t="s">
        <v>212</v>
      </c>
      <c r="E268" s="50" t="s">
        <v>12834</v>
      </c>
      <c r="F268" s="50" t="s">
        <v>12833</v>
      </c>
      <c r="G268" s="50" t="e">
        <f>VLOOKUP(B268,aa!B:F,5,0)</f>
        <v>#N/A</v>
      </c>
      <c r="H268" s="50" t="e">
        <f>VLOOKUP(B268,aa!B:J,9,0)</f>
        <v>#N/A</v>
      </c>
      <c r="I268" s="50" t="e">
        <f>VLOOKUP(B268,aa!B:L,11,0)</f>
        <v>#N/A</v>
      </c>
      <c r="J268" s="50" t="e">
        <f>VLOOKUP(B268,aa!B:O,14,0)</f>
        <v>#N/A</v>
      </c>
      <c r="K268" s="50" t="e">
        <f>VLOOKUP(B268,aa!B:R,17,0)</f>
        <v>#N/A</v>
      </c>
      <c r="L268" s="50" t="s">
        <v>97</v>
      </c>
      <c r="M268" s="50">
        <v>575400</v>
      </c>
      <c r="N268" s="50">
        <v>575400</v>
      </c>
      <c r="O268" s="50">
        <v>575400</v>
      </c>
      <c r="P268" s="50">
        <v>959</v>
      </c>
      <c r="Q268" s="50" t="s">
        <v>310</v>
      </c>
      <c r="R268" s="50">
        <v>0</v>
      </c>
      <c r="S268" s="50">
        <v>0</v>
      </c>
      <c r="U268" s="50">
        <v>0</v>
      </c>
      <c r="V268" s="50">
        <v>0</v>
      </c>
      <c r="X268" s="50" t="s">
        <v>102</v>
      </c>
      <c r="Y268" s="50" t="s">
        <v>103</v>
      </c>
      <c r="Z268" s="50" t="s">
        <v>398</v>
      </c>
      <c r="AB268" s="50" t="s">
        <v>12128</v>
      </c>
      <c r="AC268" s="50" t="s">
        <v>12835</v>
      </c>
      <c r="AD268" s="50" t="s">
        <v>12836</v>
      </c>
      <c r="AE268" s="50" t="s">
        <v>12837</v>
      </c>
      <c r="AF268" s="50" t="s">
        <v>12838</v>
      </c>
      <c r="AG268" s="50" t="s">
        <v>12837</v>
      </c>
      <c r="AH268" s="50" t="s">
        <v>109</v>
      </c>
      <c r="AI268" s="50" t="s">
        <v>102</v>
      </c>
      <c r="AJ268" s="50" t="s">
        <v>102</v>
      </c>
      <c r="AM268" s="50" t="s">
        <v>12839</v>
      </c>
      <c r="AN268" s="50" t="s">
        <v>102</v>
      </c>
      <c r="AO268" s="50" t="s">
        <v>12839</v>
      </c>
      <c r="AP268" s="50" t="s">
        <v>317</v>
      </c>
      <c r="AQ268" s="50" t="s">
        <v>317</v>
      </c>
      <c r="AV268" s="50" t="s">
        <v>318</v>
      </c>
      <c r="AW268" s="50" t="s">
        <v>118</v>
      </c>
      <c r="AX268" s="50" t="s">
        <v>102</v>
      </c>
      <c r="AY268" s="50" t="s">
        <v>119</v>
      </c>
      <c r="BC268" s="50" t="s">
        <v>1964</v>
      </c>
      <c r="BD268" s="50" t="s">
        <v>920</v>
      </c>
      <c r="BE268" s="50" t="s">
        <v>211</v>
      </c>
      <c r="BF268" s="50" t="s">
        <v>212</v>
      </c>
      <c r="BG268" s="50" t="s">
        <v>213</v>
      </c>
      <c r="BH268" s="50" t="s">
        <v>124</v>
      </c>
      <c r="BI268" s="50" t="s">
        <v>12023</v>
      </c>
      <c r="BJ268" s="50" t="s">
        <v>11889</v>
      </c>
      <c r="BK268" s="50" t="s">
        <v>127</v>
      </c>
      <c r="BL268" s="50" t="s">
        <v>12840</v>
      </c>
      <c r="BM268" s="50" t="s">
        <v>12841</v>
      </c>
      <c r="BN268" s="50" t="s">
        <v>12842</v>
      </c>
      <c r="BO268" s="50" t="s">
        <v>411</v>
      </c>
      <c r="BP268" s="50" t="s">
        <v>480</v>
      </c>
      <c r="BQ268" s="50" t="s">
        <v>505</v>
      </c>
      <c r="BR268" s="50" t="s">
        <v>481</v>
      </c>
      <c r="BS268" s="50" t="s">
        <v>482</v>
      </c>
      <c r="BT268" s="50" t="s">
        <v>2593</v>
      </c>
      <c r="BU268" s="50" t="s">
        <v>4997</v>
      </c>
      <c r="BV268" s="50" t="s">
        <v>12843</v>
      </c>
      <c r="BW268" s="50" t="s">
        <v>12844</v>
      </c>
      <c r="BX268" s="50" t="s">
        <v>138</v>
      </c>
      <c r="BY268" s="50" t="s">
        <v>481</v>
      </c>
      <c r="BZ268" s="50" t="s">
        <v>12845</v>
      </c>
      <c r="CA268" s="50" t="s">
        <v>12846</v>
      </c>
      <c r="CB268" s="50" t="s">
        <v>7309</v>
      </c>
      <c r="CC268" s="50" t="s">
        <v>12847</v>
      </c>
      <c r="CD268" s="50" t="s">
        <v>12848</v>
      </c>
      <c r="CE268" s="50" t="s">
        <v>12849</v>
      </c>
      <c r="CF268" s="50" t="s">
        <v>12850</v>
      </c>
      <c r="CG268" s="50" t="s">
        <v>12851</v>
      </c>
      <c r="CH268" s="50" t="s">
        <v>12852</v>
      </c>
      <c r="CI268" s="50" t="s">
        <v>12853</v>
      </c>
      <c r="CK268" s="50" t="s">
        <v>12854</v>
      </c>
      <c r="CL268" s="50" t="s">
        <v>12853</v>
      </c>
      <c r="CM268" s="50" t="s">
        <v>920</v>
      </c>
      <c r="CN268" s="50" t="s">
        <v>211</v>
      </c>
      <c r="CO268" s="50" t="s">
        <v>12854</v>
      </c>
      <c r="CQ268" s="50" t="s">
        <v>12855</v>
      </c>
      <c r="CR268" s="50" t="s">
        <v>12855</v>
      </c>
    </row>
    <row r="269" spans="1:97" hidden="1">
      <c r="A269" s="50" t="s">
        <v>149</v>
      </c>
      <c r="B269" s="50">
        <v>2501573</v>
      </c>
      <c r="C269" s="50" t="e">
        <f>VLOOKUP(B269,'Drop schools 2026'!B:C,2,0)</f>
        <v>#N/A</v>
      </c>
      <c r="D269" s="50" t="s">
        <v>122</v>
      </c>
      <c r="E269" s="50" t="s">
        <v>12491</v>
      </c>
      <c r="F269" s="50" t="s">
        <v>3771</v>
      </c>
      <c r="G269" s="50" t="str">
        <f>VLOOKUP(B269,aa!B:F,5,0)</f>
        <v>Ei ASSET</v>
      </c>
      <c r="H269" s="50">
        <f>VLOOKUP(B269,aa!B:J,9,0)</f>
        <v>561788</v>
      </c>
      <c r="I269" s="50">
        <f>VLOOKUP(B269,aa!B:L,11,0)</f>
        <v>561788</v>
      </c>
      <c r="J269" s="50">
        <f>VLOOKUP(B269,aa!B:O,14,0)</f>
        <v>0</v>
      </c>
      <c r="K269" s="50">
        <f>VLOOKUP(B269,aa!B:R,17,0)</f>
        <v>0</v>
      </c>
      <c r="L269" s="50" t="s">
        <v>97</v>
      </c>
      <c r="M269" s="50">
        <v>572940</v>
      </c>
      <c r="N269" s="50">
        <v>572940</v>
      </c>
      <c r="O269" s="50">
        <v>572940</v>
      </c>
      <c r="P269" s="50">
        <v>900</v>
      </c>
      <c r="Q269" s="50" t="s">
        <v>14264</v>
      </c>
      <c r="R269" s="50">
        <v>0</v>
      </c>
      <c r="S269" s="50">
        <v>0</v>
      </c>
      <c r="U269" s="50">
        <v>0</v>
      </c>
      <c r="V269" s="50">
        <v>0</v>
      </c>
      <c r="X269" s="50" t="s">
        <v>102</v>
      </c>
      <c r="Y269" s="50" t="s">
        <v>275</v>
      </c>
      <c r="AA269" s="50" t="s">
        <v>11938</v>
      </c>
      <c r="AB269" s="50" t="s">
        <v>109</v>
      </c>
      <c r="AC269" s="50" t="s">
        <v>102</v>
      </c>
      <c r="AD269" s="50" t="s">
        <v>109</v>
      </c>
      <c r="AE269" s="50" t="s">
        <v>102</v>
      </c>
      <c r="AF269" s="50" t="s">
        <v>109</v>
      </c>
      <c r="AG269" s="50" t="s">
        <v>102</v>
      </c>
      <c r="AH269" s="50" t="s">
        <v>109</v>
      </c>
      <c r="AI269" s="50" t="s">
        <v>102</v>
      </c>
      <c r="AJ269" s="50" t="s">
        <v>14265</v>
      </c>
      <c r="AK269" s="50" t="s">
        <v>14266</v>
      </c>
      <c r="AL269" s="50" t="s">
        <v>14267</v>
      </c>
      <c r="AM269" s="50" t="s">
        <v>14268</v>
      </c>
      <c r="AN269" s="50" t="s">
        <v>14269</v>
      </c>
      <c r="AO269" s="50" t="s">
        <v>14270</v>
      </c>
      <c r="AP269" s="50" t="s">
        <v>14271</v>
      </c>
      <c r="AQ269" s="50" t="s">
        <v>14271</v>
      </c>
      <c r="AV269" s="50" t="s">
        <v>3439</v>
      </c>
      <c r="AW269" s="50" t="s">
        <v>118</v>
      </c>
      <c r="AX269" s="50" t="s">
        <v>102</v>
      </c>
      <c r="AY269" s="50" t="s">
        <v>119</v>
      </c>
      <c r="BC269" s="50" t="s">
        <v>120</v>
      </c>
      <c r="BD269" s="50" t="s">
        <v>1407</v>
      </c>
      <c r="BE269" s="50" t="s">
        <v>449</v>
      </c>
      <c r="BF269" s="50" t="s">
        <v>122</v>
      </c>
      <c r="BG269" s="50" t="s">
        <v>450</v>
      </c>
      <c r="BH269" s="50" t="s">
        <v>124</v>
      </c>
      <c r="BI269" s="50" t="s">
        <v>14272</v>
      </c>
      <c r="BJ269" s="50" t="s">
        <v>11889</v>
      </c>
      <c r="BK269" s="50" t="s">
        <v>127</v>
      </c>
      <c r="BL269" s="50" t="s">
        <v>14273</v>
      </c>
      <c r="BM269" s="50" t="s">
        <v>3779</v>
      </c>
      <c r="BN269" s="50" t="s">
        <v>14274</v>
      </c>
      <c r="BO269" s="50" t="s">
        <v>11925</v>
      </c>
      <c r="BP269" s="50" t="s">
        <v>1108</v>
      </c>
      <c r="BQ269" s="50" t="s">
        <v>350</v>
      </c>
      <c r="BR269" s="50" t="s">
        <v>1109</v>
      </c>
      <c r="BS269" s="50" t="s">
        <v>1110</v>
      </c>
      <c r="BT269" s="50" t="s">
        <v>1111</v>
      </c>
      <c r="BV269" s="50" t="s">
        <v>14275</v>
      </c>
      <c r="BW269" s="50" t="s">
        <v>3782</v>
      </c>
      <c r="BX269" s="50" t="s">
        <v>598</v>
      </c>
      <c r="BY269" s="50" t="s">
        <v>3783</v>
      </c>
      <c r="BZ269" s="50" t="s">
        <v>3784</v>
      </c>
      <c r="CA269" s="50" t="s">
        <v>3783</v>
      </c>
      <c r="CB269" s="50" t="s">
        <v>14276</v>
      </c>
      <c r="CC269" s="50" t="s">
        <v>14277</v>
      </c>
      <c r="CD269" s="50" t="s">
        <v>3784</v>
      </c>
      <c r="CE269" s="50" t="s">
        <v>3782</v>
      </c>
      <c r="CF269" s="50" t="s">
        <v>3783</v>
      </c>
      <c r="CG269" s="50" t="s">
        <v>3784</v>
      </c>
      <c r="CH269" s="50" t="s">
        <v>102</v>
      </c>
      <c r="CI269" s="50" t="s">
        <v>14278</v>
      </c>
      <c r="CK269" s="50" t="s">
        <v>3786</v>
      </c>
      <c r="CM269" s="50" t="s">
        <v>1407</v>
      </c>
      <c r="CN269" s="50" t="s">
        <v>449</v>
      </c>
      <c r="CO269" s="50" t="s">
        <v>3786</v>
      </c>
      <c r="CQ269" s="50" t="s">
        <v>3787</v>
      </c>
      <c r="CR269" s="50" t="s">
        <v>3785</v>
      </c>
    </row>
    <row r="270" spans="1:97" hidden="1">
      <c r="A270" s="50" t="s">
        <v>93</v>
      </c>
      <c r="B270" s="50">
        <v>3991655</v>
      </c>
      <c r="C270" s="50" t="e">
        <f>VLOOKUP(B270,'Drop schools 2026'!B:C,2,0)</f>
        <v>#N/A</v>
      </c>
      <c r="D270" s="50" t="s">
        <v>622</v>
      </c>
      <c r="E270" s="50" t="s">
        <v>985</v>
      </c>
      <c r="F270" s="50" t="s">
        <v>8145</v>
      </c>
      <c r="G270" s="50" t="e">
        <f>VLOOKUP(B270,aa!B:F,5,0)</f>
        <v>#N/A</v>
      </c>
      <c r="H270" s="50" t="e">
        <f>VLOOKUP(B270,aa!B:J,9,0)</f>
        <v>#N/A</v>
      </c>
      <c r="I270" s="50" t="e">
        <f>VLOOKUP(B270,aa!B:L,11,0)</f>
        <v>#N/A</v>
      </c>
      <c r="J270" s="50" t="e">
        <f>VLOOKUP(B270,aa!B:O,14,0)</f>
        <v>#N/A</v>
      </c>
      <c r="K270" s="50" t="e">
        <f>VLOOKUP(B270,aa!B:R,17,0)</f>
        <v>#N/A</v>
      </c>
      <c r="L270" s="50" t="s">
        <v>97</v>
      </c>
      <c r="M270" s="50">
        <v>572114</v>
      </c>
      <c r="N270" s="50">
        <v>572114</v>
      </c>
      <c r="O270" s="50">
        <v>572114</v>
      </c>
      <c r="P270" s="50">
        <v>1144</v>
      </c>
      <c r="Q270" s="50" t="s">
        <v>364</v>
      </c>
      <c r="R270" s="50">
        <v>0</v>
      </c>
      <c r="S270" s="50">
        <v>0</v>
      </c>
      <c r="U270" s="50">
        <v>0</v>
      </c>
      <c r="V270" s="50">
        <v>0</v>
      </c>
      <c r="X270" s="50" t="s">
        <v>102</v>
      </c>
      <c r="Y270" s="50" t="s">
        <v>103</v>
      </c>
      <c r="Z270" s="50" t="s">
        <v>104</v>
      </c>
      <c r="AB270" s="50" t="s">
        <v>7020</v>
      </c>
      <c r="AC270" s="50" t="s">
        <v>17501</v>
      </c>
      <c r="AD270" s="50" t="s">
        <v>12099</v>
      </c>
      <c r="AE270" s="50" t="s">
        <v>17501</v>
      </c>
      <c r="AF270" s="50" t="s">
        <v>109</v>
      </c>
      <c r="AG270" s="50" t="s">
        <v>102</v>
      </c>
      <c r="AH270" s="50" t="s">
        <v>109</v>
      </c>
      <c r="AI270" s="50" t="s">
        <v>102</v>
      </c>
      <c r="AJ270" s="50" t="s">
        <v>17502</v>
      </c>
      <c r="AK270" s="50" t="s">
        <v>13216</v>
      </c>
      <c r="AL270" s="50" t="s">
        <v>12470</v>
      </c>
      <c r="AM270" s="50" t="s">
        <v>17503</v>
      </c>
      <c r="AN270" s="50" t="s">
        <v>17504</v>
      </c>
      <c r="AO270" s="50" t="s">
        <v>17505</v>
      </c>
      <c r="AP270" s="50" t="s">
        <v>2353</v>
      </c>
      <c r="AQ270" s="50" t="s">
        <v>2353</v>
      </c>
      <c r="AV270" s="50" t="s">
        <v>117</v>
      </c>
      <c r="AW270" s="50" t="s">
        <v>118</v>
      </c>
      <c r="AX270" s="50" t="s">
        <v>102</v>
      </c>
      <c r="AY270" s="50" t="s">
        <v>119</v>
      </c>
      <c r="BC270" s="50" t="s">
        <v>120</v>
      </c>
      <c r="BD270" s="50" t="s">
        <v>8152</v>
      </c>
      <c r="BE270" s="50" t="s">
        <v>621</v>
      </c>
      <c r="BF270" s="50" t="s">
        <v>622</v>
      </c>
      <c r="BG270" s="50" t="s">
        <v>976</v>
      </c>
      <c r="BH270" s="50" t="s">
        <v>124</v>
      </c>
      <c r="BI270" s="50" t="s">
        <v>12023</v>
      </c>
      <c r="BJ270" s="50" t="s">
        <v>11889</v>
      </c>
      <c r="BK270" s="50" t="s">
        <v>127</v>
      </c>
      <c r="BL270" s="50" t="s">
        <v>17506</v>
      </c>
      <c r="BM270" s="50" t="s">
        <v>8154</v>
      </c>
      <c r="BN270" s="50" t="s">
        <v>17507</v>
      </c>
      <c r="BO270" s="50" t="s">
        <v>6768</v>
      </c>
      <c r="BP270" s="50" t="s">
        <v>13638</v>
      </c>
      <c r="BQ270" s="50" t="s">
        <v>132</v>
      </c>
      <c r="BR270" s="50" t="s">
        <v>13639</v>
      </c>
      <c r="BS270" s="50" t="s">
        <v>13640</v>
      </c>
      <c r="BT270" s="50" t="s">
        <v>984</v>
      </c>
      <c r="BV270" s="50" t="s">
        <v>17508</v>
      </c>
      <c r="BW270" s="50" t="s">
        <v>17509</v>
      </c>
      <c r="BX270" s="50" t="s">
        <v>598</v>
      </c>
      <c r="BY270" s="50" t="s">
        <v>8158</v>
      </c>
      <c r="BZ270" s="50" t="s">
        <v>13643</v>
      </c>
      <c r="CA270" s="50" t="s">
        <v>8160</v>
      </c>
      <c r="CB270" s="50" t="s">
        <v>8161</v>
      </c>
      <c r="CC270" s="50" t="s">
        <v>8160</v>
      </c>
      <c r="CD270" s="50" t="s">
        <v>13643</v>
      </c>
      <c r="CE270" s="50" t="s">
        <v>17509</v>
      </c>
      <c r="CF270" s="50" t="s">
        <v>8158</v>
      </c>
      <c r="CG270" s="50" t="s">
        <v>13643</v>
      </c>
      <c r="CH270" s="50" t="s">
        <v>6290</v>
      </c>
      <c r="CI270" s="50" t="s">
        <v>17510</v>
      </c>
      <c r="CK270" s="50" t="s">
        <v>10907</v>
      </c>
      <c r="CL270" s="50" t="s">
        <v>17511</v>
      </c>
      <c r="CM270" s="50" t="s">
        <v>6280</v>
      </c>
      <c r="CN270" s="50" t="s">
        <v>621</v>
      </c>
      <c r="CO270" s="50" t="s">
        <v>8165</v>
      </c>
      <c r="CP270" s="50" t="s">
        <v>2857</v>
      </c>
      <c r="CQ270" s="50" t="s">
        <v>8166</v>
      </c>
      <c r="CR270" s="50" t="s">
        <v>8167</v>
      </c>
      <c r="CS270" s="50" t="s">
        <v>26040</v>
      </c>
    </row>
    <row r="271" spans="1:97">
      <c r="A271" s="50" t="s">
        <v>337</v>
      </c>
      <c r="B271" s="50">
        <v>1011788</v>
      </c>
      <c r="C271" s="50" t="e">
        <f>VLOOKUP(B271,'Drop schools 2026'!B:C,2,0)</f>
        <v>#N/A</v>
      </c>
      <c r="D271" s="50" t="s">
        <v>122</v>
      </c>
      <c r="E271" s="50" t="s">
        <v>11898</v>
      </c>
      <c r="F271" s="53" t="s">
        <v>11897</v>
      </c>
      <c r="G271" s="50" t="e">
        <f>VLOOKUP(B271,aa!B:F,5,0)</f>
        <v>#N/A</v>
      </c>
      <c r="H271" s="50" t="e">
        <f>VLOOKUP(B271,aa!B:J,9,0)</f>
        <v>#N/A</v>
      </c>
      <c r="I271" s="50" t="e">
        <f>VLOOKUP(B271,aa!B:L,11,0)</f>
        <v>#N/A</v>
      </c>
      <c r="J271" s="50" t="e">
        <f>VLOOKUP(B271,aa!B:O,14,0)</f>
        <v>#N/A</v>
      </c>
      <c r="K271" s="50" t="e">
        <f>VLOOKUP(B271,aa!B:R,17,0)</f>
        <v>#N/A</v>
      </c>
      <c r="L271" s="50" t="s">
        <v>97</v>
      </c>
      <c r="M271" s="50">
        <v>570210</v>
      </c>
      <c r="N271" s="50">
        <v>570210</v>
      </c>
      <c r="O271" s="50">
        <v>570210</v>
      </c>
      <c r="P271" s="50">
        <v>2075</v>
      </c>
      <c r="Q271" s="50" t="s">
        <v>11900</v>
      </c>
      <c r="R271" s="50">
        <v>0</v>
      </c>
      <c r="S271" s="50">
        <v>0</v>
      </c>
      <c r="U271" s="50">
        <v>0</v>
      </c>
      <c r="V271" s="50">
        <v>0</v>
      </c>
      <c r="X271" s="50" t="s">
        <v>102</v>
      </c>
      <c r="Y271" s="50" t="s">
        <v>103</v>
      </c>
      <c r="Z271" s="50" t="s">
        <v>104</v>
      </c>
      <c r="AB271" s="50" t="s">
        <v>11899</v>
      </c>
      <c r="AC271" s="50" t="s">
        <v>11901</v>
      </c>
      <c r="AD271" s="50" t="s">
        <v>11902</v>
      </c>
      <c r="AE271" s="50" t="s">
        <v>11903</v>
      </c>
      <c r="AF271" s="50" t="s">
        <v>109</v>
      </c>
      <c r="AG271" s="50" t="s">
        <v>102</v>
      </c>
      <c r="AH271" s="50" t="s">
        <v>109</v>
      </c>
      <c r="AI271" s="50" t="s">
        <v>102</v>
      </c>
      <c r="AJ271" s="50" t="s">
        <v>11904</v>
      </c>
      <c r="AK271" s="50" t="s">
        <v>11905</v>
      </c>
      <c r="AL271" s="50" t="s">
        <v>11905</v>
      </c>
      <c r="AM271" s="50" t="s">
        <v>11906</v>
      </c>
      <c r="AN271" s="50" t="s">
        <v>11907</v>
      </c>
      <c r="AO271" s="50" t="s">
        <v>11908</v>
      </c>
      <c r="AP271" s="50" t="s">
        <v>11909</v>
      </c>
      <c r="AQ271" s="50" t="s">
        <v>11910</v>
      </c>
      <c r="AS271" s="50" t="s">
        <v>169</v>
      </c>
      <c r="AV271" s="50" t="s">
        <v>117</v>
      </c>
      <c r="AW271" s="50" t="s">
        <v>118</v>
      </c>
      <c r="AX271" s="50" t="s">
        <v>102</v>
      </c>
      <c r="AY271" s="50" t="s">
        <v>119</v>
      </c>
      <c r="BC271" s="50" t="s">
        <v>120</v>
      </c>
      <c r="BD271" s="50" t="s">
        <v>121</v>
      </c>
      <c r="BE271" s="50" t="s">
        <v>121</v>
      </c>
      <c r="BF271" s="50" t="s">
        <v>122</v>
      </c>
      <c r="BG271" s="50" t="s">
        <v>123</v>
      </c>
      <c r="BH271" s="50" t="s">
        <v>124</v>
      </c>
      <c r="BI271" s="50" t="s">
        <v>11911</v>
      </c>
      <c r="BJ271" s="50" t="s">
        <v>11889</v>
      </c>
      <c r="BK271" s="50" t="s">
        <v>127</v>
      </c>
      <c r="BL271" s="50" t="s">
        <v>11912</v>
      </c>
      <c r="BM271" s="50" t="s">
        <v>11913</v>
      </c>
      <c r="BN271" s="50" t="s">
        <v>11914</v>
      </c>
      <c r="BO271" s="50" t="s">
        <v>11899</v>
      </c>
      <c r="BP271" s="50" t="s">
        <v>7005</v>
      </c>
      <c r="BQ271" s="50" t="s">
        <v>350</v>
      </c>
      <c r="BR271" s="50" t="s">
        <v>7006</v>
      </c>
      <c r="BS271" s="50" t="s">
        <v>7007</v>
      </c>
      <c r="BT271" s="50" t="s">
        <v>7008</v>
      </c>
      <c r="BV271" s="50" t="s">
        <v>11915</v>
      </c>
      <c r="BW271" s="50" t="s">
        <v>11916</v>
      </c>
      <c r="BX271" s="50" t="s">
        <v>598</v>
      </c>
      <c r="BY271" s="50" t="s">
        <v>11917</v>
      </c>
      <c r="BZ271" s="50" t="s">
        <v>11918</v>
      </c>
      <c r="CA271" s="50" t="s">
        <v>11919</v>
      </c>
      <c r="CB271" s="50" t="s">
        <v>11920</v>
      </c>
      <c r="CC271" s="50" t="s">
        <v>11917</v>
      </c>
      <c r="CD271" s="50" t="s">
        <v>11918</v>
      </c>
      <c r="CE271" s="50" t="s">
        <v>11921</v>
      </c>
      <c r="CF271" s="50" t="s">
        <v>11917</v>
      </c>
      <c r="CG271" s="50" t="s">
        <v>11918</v>
      </c>
      <c r="CH271" s="50" t="s">
        <v>6919</v>
      </c>
      <c r="CI271" s="50" t="s">
        <v>11897</v>
      </c>
      <c r="CK271" s="50" t="s">
        <v>11649</v>
      </c>
      <c r="CL271" s="50" t="s">
        <v>11922</v>
      </c>
      <c r="CM271" s="50" t="s">
        <v>121</v>
      </c>
      <c r="CN271" s="50" t="s">
        <v>2226</v>
      </c>
      <c r="CO271" s="50" t="s">
        <v>11649</v>
      </c>
      <c r="CP271" s="50" t="s">
        <v>11923</v>
      </c>
      <c r="CQ271" s="50" t="s">
        <v>11924</v>
      </c>
      <c r="CR271" s="50" t="s">
        <v>11924</v>
      </c>
    </row>
    <row r="272" spans="1:97" hidden="1">
      <c r="A272" s="50" t="s">
        <v>149</v>
      </c>
      <c r="B272" s="50">
        <v>3513547</v>
      </c>
      <c r="C272" s="50" t="e">
        <f>VLOOKUP(B272,'Drop schools 2026'!B:C,2,0)</f>
        <v>#N/A</v>
      </c>
      <c r="D272" s="50" t="s">
        <v>212</v>
      </c>
      <c r="E272" s="50" t="s">
        <v>11995</v>
      </c>
      <c r="F272" s="50" t="s">
        <v>6486</v>
      </c>
      <c r="G272" s="50" t="e">
        <f>VLOOKUP(B272,aa!B:F,5,0)</f>
        <v>#N/A</v>
      </c>
      <c r="H272" s="50" t="e">
        <f>VLOOKUP(B272,aa!B:J,9,0)</f>
        <v>#N/A</v>
      </c>
      <c r="I272" s="50" t="e">
        <f>VLOOKUP(B272,aa!B:L,11,0)</f>
        <v>#N/A</v>
      </c>
      <c r="J272" s="50" t="e">
        <f>VLOOKUP(B272,aa!B:O,14,0)</f>
        <v>#N/A</v>
      </c>
      <c r="K272" s="50" t="e">
        <f>VLOOKUP(B272,aa!B:R,17,0)</f>
        <v>#N/A</v>
      </c>
      <c r="L272" s="50" t="s">
        <v>97</v>
      </c>
      <c r="M272" s="50">
        <v>569280</v>
      </c>
      <c r="N272" s="50">
        <v>569280</v>
      </c>
      <c r="O272" s="50">
        <v>569280</v>
      </c>
      <c r="P272" s="50">
        <v>999</v>
      </c>
      <c r="Q272" s="50" t="s">
        <v>519</v>
      </c>
      <c r="R272" s="50">
        <v>0</v>
      </c>
      <c r="S272" s="50">
        <v>0</v>
      </c>
      <c r="U272" s="50">
        <v>0</v>
      </c>
      <c r="V272" s="50">
        <v>0</v>
      </c>
      <c r="X272" s="50" t="s">
        <v>102</v>
      </c>
      <c r="Y272" s="50" t="s">
        <v>275</v>
      </c>
      <c r="AA272" s="50" t="s">
        <v>3679</v>
      </c>
      <c r="AB272" s="50" t="s">
        <v>109</v>
      </c>
      <c r="AC272" s="50" t="s">
        <v>102</v>
      </c>
      <c r="AD272" s="50" t="s">
        <v>109</v>
      </c>
      <c r="AE272" s="50" t="s">
        <v>102</v>
      </c>
      <c r="AF272" s="50" t="s">
        <v>109</v>
      </c>
      <c r="AG272" s="50" t="s">
        <v>102</v>
      </c>
      <c r="AH272" s="50" t="s">
        <v>109</v>
      </c>
      <c r="AI272" s="50" t="s">
        <v>102</v>
      </c>
      <c r="AJ272" s="50" t="s">
        <v>16317</v>
      </c>
      <c r="AK272" s="50" t="s">
        <v>14373</v>
      </c>
      <c r="AL272" s="50" t="s">
        <v>14373</v>
      </c>
      <c r="AM272" s="50" t="s">
        <v>16318</v>
      </c>
      <c r="AN272" s="50" t="s">
        <v>16319</v>
      </c>
      <c r="AO272" s="50" t="s">
        <v>102</v>
      </c>
      <c r="AP272" s="50" t="s">
        <v>12148</v>
      </c>
      <c r="AQ272" s="50" t="s">
        <v>12148</v>
      </c>
      <c r="AV272" s="50" t="s">
        <v>318</v>
      </c>
      <c r="AW272" s="50" t="s">
        <v>118</v>
      </c>
      <c r="AX272" s="50" t="s">
        <v>102</v>
      </c>
      <c r="AY272" s="50" t="s">
        <v>119</v>
      </c>
      <c r="BC272" s="50" t="s">
        <v>120</v>
      </c>
      <c r="BD272" s="50" t="s">
        <v>284</v>
      </c>
      <c r="BE272" s="50" t="s">
        <v>285</v>
      </c>
      <c r="BF272" s="50" t="s">
        <v>212</v>
      </c>
      <c r="BG272" s="50" t="s">
        <v>286</v>
      </c>
      <c r="BH272" s="50" t="s">
        <v>124</v>
      </c>
      <c r="BI272" s="50" t="s">
        <v>11959</v>
      </c>
      <c r="BJ272" s="50" t="s">
        <v>11889</v>
      </c>
      <c r="BK272" s="50" t="s">
        <v>127</v>
      </c>
      <c r="BL272" s="50" t="s">
        <v>16320</v>
      </c>
      <c r="BM272" s="50" t="s">
        <v>6492</v>
      </c>
      <c r="BN272" s="50" t="s">
        <v>16321</v>
      </c>
      <c r="BO272" s="50" t="s">
        <v>12128</v>
      </c>
      <c r="BP272" s="50" t="s">
        <v>956</v>
      </c>
      <c r="BQ272" s="50" t="s">
        <v>132</v>
      </c>
      <c r="BR272" s="50" t="s">
        <v>958</v>
      </c>
      <c r="BS272" s="50" t="s">
        <v>959</v>
      </c>
      <c r="BT272" s="50" t="s">
        <v>293</v>
      </c>
      <c r="BV272" s="50" t="s">
        <v>16322</v>
      </c>
      <c r="BW272" s="50" t="s">
        <v>16323</v>
      </c>
      <c r="BX272" s="50" t="s">
        <v>569</v>
      </c>
      <c r="BY272" s="50" t="s">
        <v>16324</v>
      </c>
      <c r="BZ272" s="50" t="s">
        <v>6497</v>
      </c>
      <c r="CB272" s="50" t="s">
        <v>16323</v>
      </c>
      <c r="CC272" s="50" t="s">
        <v>16324</v>
      </c>
      <c r="CD272" s="50" t="s">
        <v>6497</v>
      </c>
      <c r="CE272" s="50" t="s">
        <v>16323</v>
      </c>
      <c r="CF272" s="50" t="s">
        <v>16324</v>
      </c>
      <c r="CG272" s="50" t="s">
        <v>6497</v>
      </c>
      <c r="CH272" s="50" t="s">
        <v>102</v>
      </c>
      <c r="CI272" s="50" t="s">
        <v>6498</v>
      </c>
      <c r="CK272" s="50" t="s">
        <v>6499</v>
      </c>
      <c r="CM272" s="50" t="s">
        <v>284</v>
      </c>
      <c r="CN272" s="50" t="s">
        <v>285</v>
      </c>
      <c r="CO272" s="50" t="s">
        <v>6499</v>
      </c>
      <c r="CP272" s="50" t="s">
        <v>6500</v>
      </c>
      <c r="CQ272" s="50" t="s">
        <v>6498</v>
      </c>
      <c r="CR272" s="50" t="s">
        <v>6498</v>
      </c>
      <c r="CS272" s="50" t="s">
        <v>26043</v>
      </c>
    </row>
    <row r="273" spans="1:97" hidden="1">
      <c r="A273" s="50" t="s">
        <v>149</v>
      </c>
      <c r="B273" s="50">
        <v>3999496</v>
      </c>
      <c r="C273" s="50" t="e">
        <f>VLOOKUP(B273,'Drop schools 2026'!B:C,2,0)</f>
        <v>#N/A</v>
      </c>
      <c r="D273" s="50" t="s">
        <v>122</v>
      </c>
      <c r="E273" s="50" t="s">
        <v>11898</v>
      </c>
      <c r="F273" s="50" t="s">
        <v>8465</v>
      </c>
      <c r="G273" s="50" t="str">
        <f>VLOOKUP(B273,aa!B:F,5,0)</f>
        <v>Ei ASSET,Ei CARES</v>
      </c>
      <c r="H273" s="50">
        <f>VLOOKUP(B273,aa!B:J,9,0)</f>
        <v>614439</v>
      </c>
      <c r="I273" s="50">
        <f>VLOOKUP(B273,aa!B:L,11,0)</f>
        <v>224795</v>
      </c>
      <c r="J273" s="50">
        <f>VLOOKUP(B273,aa!B:O,14,0)</f>
        <v>389644</v>
      </c>
      <c r="K273" s="50">
        <f>VLOOKUP(B273,aa!B:R,17,0)</f>
        <v>0</v>
      </c>
      <c r="L273" s="50" t="s">
        <v>2044</v>
      </c>
      <c r="M273" s="50">
        <v>565818</v>
      </c>
      <c r="N273" s="50">
        <v>565818</v>
      </c>
      <c r="O273" s="50">
        <v>207296</v>
      </c>
      <c r="P273" s="50">
        <v>454</v>
      </c>
      <c r="Q273" s="50" t="s">
        <v>17843</v>
      </c>
      <c r="R273" s="50">
        <v>358522</v>
      </c>
      <c r="S273" s="50">
        <v>453</v>
      </c>
      <c r="T273" s="50" t="s">
        <v>15401</v>
      </c>
      <c r="U273" s="50">
        <v>0</v>
      </c>
      <c r="V273" s="50">
        <v>0</v>
      </c>
      <c r="X273" s="50" t="s">
        <v>102</v>
      </c>
      <c r="Y273" s="50" t="s">
        <v>103</v>
      </c>
      <c r="Z273" s="50" t="s">
        <v>155</v>
      </c>
      <c r="AB273" s="50" t="s">
        <v>15564</v>
      </c>
      <c r="AC273" s="50" t="s">
        <v>17844</v>
      </c>
      <c r="AD273" s="50" t="s">
        <v>13174</v>
      </c>
      <c r="AE273" s="50" t="s">
        <v>17844</v>
      </c>
      <c r="AF273" s="50" t="s">
        <v>13034</v>
      </c>
      <c r="AG273" s="50" t="s">
        <v>17844</v>
      </c>
      <c r="AH273" s="50" t="s">
        <v>3849</v>
      </c>
      <c r="AI273" s="50" t="s">
        <v>17844</v>
      </c>
      <c r="AJ273" s="50" t="s">
        <v>102</v>
      </c>
      <c r="AK273" s="50" t="s">
        <v>11929</v>
      </c>
      <c r="AL273" s="50" t="s">
        <v>17302</v>
      </c>
      <c r="AM273" s="50" t="s">
        <v>17845</v>
      </c>
      <c r="AN273" s="50" t="s">
        <v>17846</v>
      </c>
      <c r="AO273" s="50" t="s">
        <v>17847</v>
      </c>
      <c r="AP273" s="50" t="s">
        <v>17848</v>
      </c>
      <c r="AQ273" s="50" t="s">
        <v>17848</v>
      </c>
      <c r="AV273" s="50" t="s">
        <v>318</v>
      </c>
      <c r="AW273" s="50" t="s">
        <v>118</v>
      </c>
      <c r="AX273" s="50" t="s">
        <v>155</v>
      </c>
      <c r="AY273" s="50" t="s">
        <v>447</v>
      </c>
      <c r="AZ273" s="50" t="s">
        <v>170</v>
      </c>
      <c r="BA273" s="50" t="s">
        <v>118</v>
      </c>
      <c r="BC273" s="50" t="s">
        <v>120</v>
      </c>
      <c r="BD273" s="50" t="s">
        <v>4644</v>
      </c>
      <c r="BE273" s="50" t="s">
        <v>320</v>
      </c>
      <c r="BF273" s="50" t="s">
        <v>122</v>
      </c>
      <c r="BG273" s="50" t="s">
        <v>123</v>
      </c>
      <c r="BH273" s="50" t="s">
        <v>124</v>
      </c>
      <c r="BI273" s="50" t="s">
        <v>12023</v>
      </c>
      <c r="BJ273" s="50" t="s">
        <v>11889</v>
      </c>
      <c r="BK273" s="50" t="s">
        <v>127</v>
      </c>
      <c r="BL273" s="50" t="s">
        <v>17849</v>
      </c>
      <c r="BM273" s="50" t="s">
        <v>8475</v>
      </c>
      <c r="BN273" s="50" t="s">
        <v>17850</v>
      </c>
      <c r="BO273" s="50" t="s">
        <v>8537</v>
      </c>
      <c r="BP273" s="50" t="s">
        <v>593</v>
      </c>
      <c r="BQ273" s="50" t="s">
        <v>505</v>
      </c>
      <c r="BR273" s="50" t="s">
        <v>594</v>
      </c>
      <c r="BS273" s="50" t="s">
        <v>595</v>
      </c>
      <c r="BT273" s="50" t="s">
        <v>261</v>
      </c>
      <c r="BV273" s="50" t="s">
        <v>17851</v>
      </c>
      <c r="BW273" s="50" t="s">
        <v>8478</v>
      </c>
      <c r="BX273" s="50" t="s">
        <v>354</v>
      </c>
      <c r="BY273" s="50" t="s">
        <v>8479</v>
      </c>
      <c r="BZ273" s="50" t="s">
        <v>8480</v>
      </c>
      <c r="CA273" s="50" t="s">
        <v>8481</v>
      </c>
      <c r="CB273" s="50" t="s">
        <v>8478</v>
      </c>
      <c r="CC273" s="50" t="s">
        <v>8479</v>
      </c>
      <c r="CD273" s="50" t="s">
        <v>8480</v>
      </c>
      <c r="CE273" s="50" t="s">
        <v>17852</v>
      </c>
      <c r="CF273" s="50" t="s">
        <v>17853</v>
      </c>
      <c r="CG273" s="50" t="s">
        <v>17854</v>
      </c>
      <c r="CH273" s="50" t="s">
        <v>102</v>
      </c>
      <c r="CI273" s="50" t="s">
        <v>8482</v>
      </c>
      <c r="CK273" s="50" t="s">
        <v>4655</v>
      </c>
      <c r="CM273" s="50" t="s">
        <v>4644</v>
      </c>
      <c r="CN273" s="50" t="s">
        <v>320</v>
      </c>
      <c r="CO273" s="50" t="s">
        <v>4655</v>
      </c>
      <c r="CQ273" s="50" t="s">
        <v>8482</v>
      </c>
      <c r="CR273" s="50" t="s">
        <v>8482</v>
      </c>
    </row>
    <row r="274" spans="1:97" hidden="1">
      <c r="A274" s="50" t="s">
        <v>149</v>
      </c>
      <c r="B274" s="50">
        <v>2509774</v>
      </c>
      <c r="C274" s="50" t="e">
        <f>VLOOKUP(B274,'Drop schools 2026'!B:C,2,0)</f>
        <v>#N/A</v>
      </c>
      <c r="D274" s="50" t="s">
        <v>212</v>
      </c>
      <c r="E274" s="50" t="s">
        <v>11947</v>
      </c>
      <c r="F274" s="50" t="s">
        <v>3866</v>
      </c>
      <c r="G274" s="50" t="str">
        <f>VLOOKUP(B274,aa!B:F,5,0)</f>
        <v>Ei ASSET,Ei Mindspark</v>
      </c>
      <c r="H274" s="50">
        <f>VLOOKUP(B274,aa!B:J,9,0)</f>
        <v>0</v>
      </c>
      <c r="I274" s="50">
        <f>VLOOKUP(B274,aa!B:L,11,0)</f>
        <v>0</v>
      </c>
      <c r="J274" s="50">
        <f>VLOOKUP(B274,aa!B:O,14,0)</f>
        <v>0</v>
      </c>
      <c r="K274" s="50">
        <f>VLOOKUP(B274,aa!B:R,17,0)</f>
        <v>0</v>
      </c>
      <c r="L274" s="50" t="s">
        <v>193</v>
      </c>
      <c r="M274" s="50">
        <v>565801</v>
      </c>
      <c r="N274" s="50">
        <v>637309</v>
      </c>
      <c r="O274" s="50">
        <v>168535</v>
      </c>
      <c r="P274" s="50">
        <v>542</v>
      </c>
      <c r="Q274" s="50" t="s">
        <v>195</v>
      </c>
      <c r="R274" s="50">
        <v>0</v>
      </c>
      <c r="S274" s="50">
        <v>0</v>
      </c>
      <c r="U274" s="50">
        <v>397266</v>
      </c>
      <c r="V274" s="50">
        <v>625</v>
      </c>
      <c r="W274" s="50" t="s">
        <v>11949</v>
      </c>
      <c r="X274" s="50" t="s">
        <v>102</v>
      </c>
      <c r="Y274" s="50" t="s">
        <v>103</v>
      </c>
      <c r="Z274" s="50" t="s">
        <v>104</v>
      </c>
      <c r="AB274" s="50" t="s">
        <v>11950</v>
      </c>
      <c r="AC274" s="50" t="s">
        <v>14321</v>
      </c>
      <c r="AD274" s="50" t="s">
        <v>11952</v>
      </c>
      <c r="AE274" s="50" t="s">
        <v>14321</v>
      </c>
      <c r="AF274" s="50" t="s">
        <v>109</v>
      </c>
      <c r="AG274" s="50" t="s">
        <v>102</v>
      </c>
      <c r="AH274" s="50" t="s">
        <v>109</v>
      </c>
      <c r="AI274" s="50" t="s">
        <v>102</v>
      </c>
      <c r="AJ274" s="50" t="s">
        <v>14322</v>
      </c>
      <c r="AK274" s="50" t="s">
        <v>11954</v>
      </c>
      <c r="AL274" s="50" t="s">
        <v>11954</v>
      </c>
      <c r="AM274" s="50" t="s">
        <v>14323</v>
      </c>
      <c r="AN274" s="50" t="s">
        <v>14324</v>
      </c>
      <c r="AO274" s="50" t="s">
        <v>14325</v>
      </c>
      <c r="AP274" s="50" t="s">
        <v>11958</v>
      </c>
      <c r="AQ274" s="50" t="s">
        <v>11958</v>
      </c>
      <c r="AV274" s="50" t="s">
        <v>207</v>
      </c>
      <c r="AW274" s="50" t="s">
        <v>118</v>
      </c>
      <c r="AX274" s="50" t="s">
        <v>102</v>
      </c>
      <c r="AY274" s="50" t="s">
        <v>119</v>
      </c>
      <c r="BB274" s="50" t="s">
        <v>250</v>
      </c>
      <c r="BC274" s="50" t="s">
        <v>120</v>
      </c>
      <c r="BD274" s="50" t="s">
        <v>210</v>
      </c>
      <c r="BE274" s="50" t="s">
        <v>211</v>
      </c>
      <c r="BF274" s="50" t="s">
        <v>212</v>
      </c>
      <c r="BG274" s="50" t="s">
        <v>213</v>
      </c>
      <c r="BH274" s="50" t="s">
        <v>124</v>
      </c>
      <c r="BI274" s="50" t="s">
        <v>11959</v>
      </c>
      <c r="BJ274" s="50" t="s">
        <v>11960</v>
      </c>
      <c r="BK274" s="50" t="s">
        <v>127</v>
      </c>
      <c r="BL274" s="50" t="s">
        <v>14326</v>
      </c>
      <c r="BM274" s="50" t="s">
        <v>3874</v>
      </c>
      <c r="BN274" s="50" t="s">
        <v>14327</v>
      </c>
      <c r="BO274" s="50" t="s">
        <v>11948</v>
      </c>
      <c r="BP274" s="50" t="s">
        <v>1880</v>
      </c>
      <c r="BQ274" s="50" t="s">
        <v>180</v>
      </c>
      <c r="BR274" s="50" t="s">
        <v>1882</v>
      </c>
      <c r="BS274" s="50" t="s">
        <v>1883</v>
      </c>
      <c r="BT274" s="50" t="s">
        <v>222</v>
      </c>
      <c r="BV274" s="50" t="s">
        <v>14328</v>
      </c>
      <c r="BW274" s="50" t="s">
        <v>224</v>
      </c>
      <c r="BX274" s="50" t="s">
        <v>138</v>
      </c>
      <c r="BY274" s="50" t="s">
        <v>225</v>
      </c>
      <c r="BZ274" s="50" t="s">
        <v>226</v>
      </c>
      <c r="CA274" s="50" t="s">
        <v>3877</v>
      </c>
      <c r="CB274" s="50" t="s">
        <v>14329</v>
      </c>
      <c r="CC274" s="50" t="s">
        <v>14330</v>
      </c>
      <c r="CD274" s="50" t="s">
        <v>14331</v>
      </c>
      <c r="CE274" s="50" t="s">
        <v>14332</v>
      </c>
      <c r="CF274" s="50" t="s">
        <v>14330</v>
      </c>
      <c r="CG274" s="50" t="s">
        <v>14331</v>
      </c>
      <c r="CH274" s="50" t="s">
        <v>102</v>
      </c>
      <c r="CI274" s="50" t="s">
        <v>3878</v>
      </c>
      <c r="CK274" s="50" t="s">
        <v>229</v>
      </c>
      <c r="CM274" s="50" t="s">
        <v>210</v>
      </c>
      <c r="CN274" s="50" t="s">
        <v>211</v>
      </c>
      <c r="CO274" s="50" t="s">
        <v>229</v>
      </c>
      <c r="CP274" s="50" t="s">
        <v>230</v>
      </c>
      <c r="CQ274" s="50" t="s">
        <v>3878</v>
      </c>
      <c r="CR274" s="50" t="s">
        <v>3878</v>
      </c>
    </row>
    <row r="275" spans="1:97" hidden="1">
      <c r="A275" s="50" t="s">
        <v>149</v>
      </c>
      <c r="B275" s="50">
        <v>3992442</v>
      </c>
      <c r="C275" s="50" t="str">
        <f>VLOOKUP(B275,'Drop schools 2026'!B:C,2,0)</f>
        <v>Drop</v>
      </c>
      <c r="D275" s="50" t="s">
        <v>122</v>
      </c>
      <c r="E275" s="50" t="s">
        <v>12018</v>
      </c>
      <c r="F275" s="50" t="s">
        <v>8195</v>
      </c>
      <c r="G275" s="50" t="e">
        <f>VLOOKUP(B275,aa!B:F,5,0)</f>
        <v>#N/A</v>
      </c>
      <c r="H275" s="50" t="e">
        <f>VLOOKUP(B275,aa!B:J,9,0)</f>
        <v>#N/A</v>
      </c>
      <c r="I275" s="50" t="e">
        <f>VLOOKUP(B275,aa!B:L,11,0)</f>
        <v>#N/A</v>
      </c>
      <c r="J275" s="50" t="e">
        <f>VLOOKUP(B275,aa!B:O,14,0)</f>
        <v>#N/A</v>
      </c>
      <c r="K275" s="50" t="e">
        <f>VLOOKUP(B275,aa!B:R,17,0)</f>
        <v>#N/A</v>
      </c>
      <c r="L275" s="50" t="s">
        <v>848</v>
      </c>
      <c r="M275" s="50">
        <v>562413</v>
      </c>
      <c r="N275" s="50">
        <v>663647</v>
      </c>
      <c r="O275" s="50">
        <v>0</v>
      </c>
      <c r="P275" s="50">
        <v>0</v>
      </c>
      <c r="R275" s="50">
        <v>0</v>
      </c>
      <c r="S275" s="50">
        <v>0</v>
      </c>
      <c r="U275" s="50">
        <v>562413</v>
      </c>
      <c r="V275" s="50">
        <v>261</v>
      </c>
      <c r="W275" s="50" t="s">
        <v>17512</v>
      </c>
      <c r="X275" s="50" t="s">
        <v>102</v>
      </c>
      <c r="Y275" s="50" t="s">
        <v>103</v>
      </c>
      <c r="Z275" s="50" t="s">
        <v>155</v>
      </c>
      <c r="AB275" s="50" t="s">
        <v>625</v>
      </c>
      <c r="AC275" s="50" t="s">
        <v>17513</v>
      </c>
      <c r="AD275" s="50" t="s">
        <v>3679</v>
      </c>
      <c r="AE275" s="50" t="s">
        <v>17513</v>
      </c>
      <c r="AF275" s="50" t="s">
        <v>1427</v>
      </c>
      <c r="AG275" s="50" t="s">
        <v>17513</v>
      </c>
      <c r="AH275" s="50" t="s">
        <v>11886</v>
      </c>
      <c r="AI275" s="50" t="s">
        <v>17513</v>
      </c>
      <c r="AJ275" s="50" t="s">
        <v>102</v>
      </c>
      <c r="AM275" s="50" t="s">
        <v>17514</v>
      </c>
      <c r="AN275" s="50" t="s">
        <v>102</v>
      </c>
      <c r="AO275" s="50" t="s">
        <v>17514</v>
      </c>
      <c r="AP275" s="50" t="s">
        <v>3959</v>
      </c>
      <c r="AQ275" s="50" t="s">
        <v>3959</v>
      </c>
      <c r="AV275" s="50" t="s">
        <v>102</v>
      </c>
      <c r="AX275" s="50" t="s">
        <v>102</v>
      </c>
      <c r="AY275" s="50" t="s">
        <v>119</v>
      </c>
      <c r="BB275" s="50" t="s">
        <v>250</v>
      </c>
      <c r="BC275" s="50" t="s">
        <v>120</v>
      </c>
      <c r="BD275" s="50" t="s">
        <v>8204</v>
      </c>
      <c r="BE275" s="50" t="s">
        <v>2800</v>
      </c>
      <c r="BF275" s="50" t="s">
        <v>122</v>
      </c>
      <c r="BG275" s="50" t="s">
        <v>346</v>
      </c>
      <c r="BH275" s="50" t="s">
        <v>124</v>
      </c>
      <c r="BI275" s="50" t="s">
        <v>12023</v>
      </c>
      <c r="BJ275" s="50" t="s">
        <v>11889</v>
      </c>
      <c r="BK275" s="50" t="s">
        <v>127</v>
      </c>
      <c r="BL275" s="50" t="s">
        <v>17515</v>
      </c>
      <c r="BM275" s="50" t="s">
        <v>8206</v>
      </c>
      <c r="BN275" s="50" t="s">
        <v>17516</v>
      </c>
      <c r="BO275" s="50" t="s">
        <v>6443</v>
      </c>
      <c r="BP275" s="50" t="s">
        <v>593</v>
      </c>
      <c r="BQ275" s="50" t="s">
        <v>350</v>
      </c>
      <c r="BR275" s="50" t="s">
        <v>594</v>
      </c>
      <c r="BS275" s="50" t="s">
        <v>595</v>
      </c>
      <c r="BT275" s="50" t="s">
        <v>328</v>
      </c>
      <c r="BV275" s="50" t="s">
        <v>17517</v>
      </c>
      <c r="BW275" s="50" t="s">
        <v>8209</v>
      </c>
      <c r="BX275" s="50" t="s">
        <v>138</v>
      </c>
      <c r="BY275" s="50" t="s">
        <v>8210</v>
      </c>
      <c r="BZ275" s="50" t="s">
        <v>8211</v>
      </c>
      <c r="CA275" s="50" t="s">
        <v>8212</v>
      </c>
      <c r="CB275" s="50" t="s">
        <v>8209</v>
      </c>
      <c r="CC275" s="50" t="s">
        <v>8210</v>
      </c>
      <c r="CD275" s="50" t="s">
        <v>8211</v>
      </c>
      <c r="CE275" s="50" t="s">
        <v>17518</v>
      </c>
      <c r="CF275" s="50" t="s">
        <v>8210</v>
      </c>
      <c r="CG275" s="50" t="s">
        <v>17519</v>
      </c>
      <c r="CH275" s="50" t="s">
        <v>1538</v>
      </c>
      <c r="CI275" s="50" t="s">
        <v>8213</v>
      </c>
      <c r="CK275" s="50" t="s">
        <v>8214</v>
      </c>
      <c r="CL275" s="50" t="s">
        <v>8213</v>
      </c>
      <c r="CM275" s="50" t="s">
        <v>8204</v>
      </c>
      <c r="CN275" s="50" t="s">
        <v>2800</v>
      </c>
      <c r="CO275" s="50" t="s">
        <v>8214</v>
      </c>
      <c r="CQ275" s="50" t="s">
        <v>8213</v>
      </c>
      <c r="CR275" s="50" t="s">
        <v>8213</v>
      </c>
    </row>
    <row r="276" spans="1:97" hidden="1">
      <c r="A276" s="50" t="s">
        <v>149</v>
      </c>
      <c r="B276" s="50">
        <v>34097</v>
      </c>
      <c r="C276" s="50" t="e">
        <f>VLOOKUP(B276,'Drop schools 2026'!B:C,2,0)</f>
        <v>#N/A</v>
      </c>
      <c r="D276" s="50" t="s">
        <v>122</v>
      </c>
      <c r="E276" s="50" t="s">
        <v>11882</v>
      </c>
      <c r="F276" s="50" t="s">
        <v>5938</v>
      </c>
      <c r="G276" s="50" t="str">
        <f>VLOOKUP(B276,aa!B:F,5,0)</f>
        <v>Ei Mindspark</v>
      </c>
      <c r="H276" s="50">
        <f>VLOOKUP(B276,aa!B:J,9,0)</f>
        <v>508297</v>
      </c>
      <c r="I276" s="50">
        <f>VLOOKUP(B276,aa!B:L,11,0)</f>
        <v>0</v>
      </c>
      <c r="J276" s="50">
        <f>VLOOKUP(B276,aa!B:O,14,0)</f>
        <v>0</v>
      </c>
      <c r="K276" s="50">
        <f>VLOOKUP(B276,aa!B:R,17,0)</f>
        <v>508297</v>
      </c>
      <c r="L276" s="50" t="s">
        <v>848</v>
      </c>
      <c r="M276" s="50">
        <v>561152</v>
      </c>
      <c r="N276" s="50">
        <v>662159</v>
      </c>
      <c r="O276" s="50">
        <v>0</v>
      </c>
      <c r="P276" s="50">
        <v>0</v>
      </c>
      <c r="R276" s="50">
        <v>0</v>
      </c>
      <c r="S276" s="50">
        <v>0</v>
      </c>
      <c r="U276" s="50">
        <v>561152</v>
      </c>
      <c r="V276" s="50">
        <v>234</v>
      </c>
      <c r="W276" s="50" t="s">
        <v>14168</v>
      </c>
      <c r="X276" s="50" t="s">
        <v>102</v>
      </c>
      <c r="Y276" s="50" t="s">
        <v>103</v>
      </c>
      <c r="Z276" s="50" t="s">
        <v>155</v>
      </c>
      <c r="AB276" s="50" t="s">
        <v>13680</v>
      </c>
      <c r="AC276" s="50" t="s">
        <v>15919</v>
      </c>
      <c r="AD276" s="50" t="s">
        <v>11976</v>
      </c>
      <c r="AE276" s="50" t="s">
        <v>15919</v>
      </c>
      <c r="AF276" s="50" t="s">
        <v>5651</v>
      </c>
      <c r="AG276" s="50" t="s">
        <v>15919</v>
      </c>
      <c r="AH276" s="50" t="s">
        <v>12084</v>
      </c>
      <c r="AI276" s="50" t="s">
        <v>15919</v>
      </c>
      <c r="AJ276" s="50" t="s">
        <v>15920</v>
      </c>
      <c r="AK276" s="50" t="s">
        <v>13496</v>
      </c>
      <c r="AL276" s="50" t="s">
        <v>6895</v>
      </c>
      <c r="AM276" s="50" t="s">
        <v>15921</v>
      </c>
      <c r="AN276" s="50" t="s">
        <v>15922</v>
      </c>
      <c r="AO276" s="50" t="s">
        <v>15923</v>
      </c>
      <c r="AP276" s="50" t="s">
        <v>14174</v>
      </c>
      <c r="AQ276" s="50" t="s">
        <v>14175</v>
      </c>
      <c r="AU276" s="50" t="s">
        <v>169</v>
      </c>
      <c r="AV276" s="50" t="s">
        <v>102</v>
      </c>
      <c r="AX276" s="50" t="s">
        <v>102</v>
      </c>
      <c r="AY276" s="50" t="s">
        <v>119</v>
      </c>
      <c r="BB276" s="50" t="s">
        <v>250</v>
      </c>
      <c r="BC276" s="50" t="s">
        <v>120</v>
      </c>
      <c r="BD276" s="50" t="s">
        <v>2840</v>
      </c>
      <c r="BE276" s="50" t="s">
        <v>449</v>
      </c>
      <c r="BF276" s="50" t="s">
        <v>122</v>
      </c>
      <c r="BG276" s="50" t="s">
        <v>253</v>
      </c>
      <c r="BH276" s="50" t="s">
        <v>124</v>
      </c>
      <c r="BI276" s="50" t="s">
        <v>14000</v>
      </c>
      <c r="BJ276" s="50" t="s">
        <v>11889</v>
      </c>
      <c r="BK276" s="50" t="s">
        <v>127</v>
      </c>
      <c r="BL276" s="50" t="s">
        <v>15924</v>
      </c>
      <c r="BM276" s="50" t="s">
        <v>5946</v>
      </c>
      <c r="BN276" s="50" t="s">
        <v>15925</v>
      </c>
      <c r="BO276" s="50" t="s">
        <v>13036</v>
      </c>
      <c r="BP276" s="50" t="s">
        <v>3267</v>
      </c>
      <c r="BQ276" s="50" t="s">
        <v>350</v>
      </c>
      <c r="BR276" s="50" t="s">
        <v>3268</v>
      </c>
      <c r="BS276" s="50" t="s">
        <v>3269</v>
      </c>
      <c r="BT276" s="50" t="s">
        <v>135</v>
      </c>
      <c r="BV276" s="50" t="s">
        <v>15926</v>
      </c>
      <c r="BW276" s="50" t="s">
        <v>14179</v>
      </c>
      <c r="BX276" s="50" t="s">
        <v>569</v>
      </c>
      <c r="BY276" s="50" t="s">
        <v>14180</v>
      </c>
      <c r="BZ276" s="50" t="s">
        <v>3633</v>
      </c>
      <c r="CA276" s="50" t="s">
        <v>5949</v>
      </c>
      <c r="CB276" s="50" t="s">
        <v>14179</v>
      </c>
      <c r="CC276" s="50" t="s">
        <v>14180</v>
      </c>
      <c r="CD276" s="50" t="s">
        <v>3633</v>
      </c>
      <c r="CE276" s="50" t="s">
        <v>14179</v>
      </c>
      <c r="CF276" s="50" t="s">
        <v>14180</v>
      </c>
      <c r="CG276" s="50" t="s">
        <v>3633</v>
      </c>
      <c r="CH276" s="50" t="s">
        <v>102</v>
      </c>
      <c r="CI276" s="50" t="s">
        <v>15927</v>
      </c>
      <c r="CK276" s="50" t="s">
        <v>5951</v>
      </c>
      <c r="CM276" s="50" t="s">
        <v>2840</v>
      </c>
      <c r="CN276" s="50" t="s">
        <v>449</v>
      </c>
      <c r="CO276" s="50" t="s">
        <v>5951</v>
      </c>
      <c r="CP276" s="50" t="s">
        <v>3637</v>
      </c>
      <c r="CQ276" s="50" t="s">
        <v>5950</v>
      </c>
      <c r="CR276" s="50" t="s">
        <v>5950</v>
      </c>
    </row>
    <row r="277" spans="1:97" hidden="1">
      <c r="A277" s="50" t="s">
        <v>149</v>
      </c>
      <c r="B277" s="50">
        <v>3472778</v>
      </c>
      <c r="C277" s="50" t="e">
        <f>VLOOKUP(B277,'Drop schools 2026'!B:C,2,0)</f>
        <v>#N/A</v>
      </c>
      <c r="D277" s="50" t="s">
        <v>122</v>
      </c>
      <c r="E277" s="50" t="s">
        <v>12018</v>
      </c>
      <c r="F277" s="50" t="s">
        <v>6224</v>
      </c>
      <c r="G277" s="50" t="e">
        <f>VLOOKUP(B277,aa!B:F,5,0)</f>
        <v>#N/A</v>
      </c>
      <c r="H277" s="50" t="e">
        <f>VLOOKUP(B277,aa!B:J,9,0)</f>
        <v>#N/A</v>
      </c>
      <c r="I277" s="50" t="e">
        <f>VLOOKUP(B277,aa!B:L,11,0)</f>
        <v>#N/A</v>
      </c>
      <c r="J277" s="50" t="e">
        <f>VLOOKUP(B277,aa!B:O,14,0)</f>
        <v>#N/A</v>
      </c>
      <c r="K277" s="50" t="e">
        <f>VLOOKUP(B277,aa!B:R,17,0)</f>
        <v>#N/A</v>
      </c>
      <c r="L277" s="50" t="s">
        <v>97</v>
      </c>
      <c r="M277" s="50">
        <v>561000</v>
      </c>
      <c r="N277" s="50">
        <v>561000</v>
      </c>
      <c r="O277" s="50">
        <v>561000</v>
      </c>
      <c r="P277" s="50">
        <v>935</v>
      </c>
      <c r="Q277" s="50" t="s">
        <v>310</v>
      </c>
      <c r="R277" s="50">
        <v>0</v>
      </c>
      <c r="S277" s="50">
        <v>0</v>
      </c>
      <c r="U277" s="50">
        <v>0</v>
      </c>
      <c r="V277" s="50">
        <v>0</v>
      </c>
      <c r="X277" s="50" t="s">
        <v>102</v>
      </c>
      <c r="Y277" s="50" t="s">
        <v>275</v>
      </c>
      <c r="AA277" s="50" t="s">
        <v>12019</v>
      </c>
      <c r="AB277" s="50" t="s">
        <v>109</v>
      </c>
      <c r="AC277" s="50" t="s">
        <v>102</v>
      </c>
      <c r="AD277" s="50" t="s">
        <v>109</v>
      </c>
      <c r="AE277" s="50" t="s">
        <v>102</v>
      </c>
      <c r="AF277" s="50" t="s">
        <v>109</v>
      </c>
      <c r="AG277" s="50" t="s">
        <v>102</v>
      </c>
      <c r="AH277" s="50" t="s">
        <v>109</v>
      </c>
      <c r="AI277" s="50" t="s">
        <v>102</v>
      </c>
      <c r="AJ277" s="50" t="s">
        <v>102</v>
      </c>
      <c r="AK277" s="50" t="s">
        <v>16162</v>
      </c>
      <c r="AL277" s="50" t="s">
        <v>16162</v>
      </c>
      <c r="AM277" s="50" t="s">
        <v>16163</v>
      </c>
      <c r="AN277" s="50" t="s">
        <v>16164</v>
      </c>
      <c r="AO277" s="50" t="s">
        <v>16165</v>
      </c>
      <c r="AP277" s="50" t="s">
        <v>317</v>
      </c>
      <c r="AQ277" s="50" t="s">
        <v>317</v>
      </c>
      <c r="AV277" s="50" t="s">
        <v>318</v>
      </c>
      <c r="AW277" s="50" t="s">
        <v>118</v>
      </c>
      <c r="AX277" s="50" t="s">
        <v>102</v>
      </c>
      <c r="AY277" s="50" t="s">
        <v>119</v>
      </c>
      <c r="BC277" s="50" t="s">
        <v>120</v>
      </c>
      <c r="BD277" s="50" t="s">
        <v>319</v>
      </c>
      <c r="BE277" s="50" t="s">
        <v>320</v>
      </c>
      <c r="BF277" s="50" t="s">
        <v>122</v>
      </c>
      <c r="BG277" s="50" t="s">
        <v>123</v>
      </c>
      <c r="BH277" s="50" t="s">
        <v>124</v>
      </c>
      <c r="BI277" s="50" t="s">
        <v>12023</v>
      </c>
      <c r="BJ277" s="50" t="s">
        <v>11889</v>
      </c>
      <c r="BK277" s="50" t="s">
        <v>127</v>
      </c>
      <c r="BL277" s="50" t="s">
        <v>16166</v>
      </c>
      <c r="BM277" s="50" t="s">
        <v>6231</v>
      </c>
      <c r="BN277" s="50" t="s">
        <v>16167</v>
      </c>
      <c r="BO277" s="50" t="s">
        <v>8537</v>
      </c>
      <c r="BP277" s="50" t="s">
        <v>593</v>
      </c>
      <c r="BQ277" s="50" t="s">
        <v>350</v>
      </c>
      <c r="BR277" s="50" t="s">
        <v>594</v>
      </c>
      <c r="BS277" s="50" t="s">
        <v>595</v>
      </c>
      <c r="BT277" s="50" t="s">
        <v>328</v>
      </c>
      <c r="BV277" s="50" t="s">
        <v>16168</v>
      </c>
      <c r="BW277" s="50" t="s">
        <v>6234</v>
      </c>
      <c r="BX277" s="50" t="s">
        <v>354</v>
      </c>
      <c r="BY277" s="50" t="s">
        <v>6235</v>
      </c>
      <c r="BZ277" s="50" t="s">
        <v>6236</v>
      </c>
      <c r="CA277" s="50" t="s">
        <v>6235</v>
      </c>
      <c r="CB277" s="50" t="s">
        <v>6234</v>
      </c>
      <c r="CC277" s="50" t="s">
        <v>6235</v>
      </c>
      <c r="CD277" s="50" t="s">
        <v>6236</v>
      </c>
      <c r="CE277" s="50" t="s">
        <v>12027</v>
      </c>
      <c r="CF277" s="50" t="s">
        <v>6235</v>
      </c>
      <c r="CG277" s="50" t="s">
        <v>12028</v>
      </c>
      <c r="CH277" s="50" t="s">
        <v>1594</v>
      </c>
      <c r="CI277" s="50" t="s">
        <v>6237</v>
      </c>
      <c r="CK277" s="50" t="s">
        <v>6238</v>
      </c>
      <c r="CL277" s="50" t="s">
        <v>16169</v>
      </c>
      <c r="CM277" s="50" t="s">
        <v>319</v>
      </c>
      <c r="CN277" s="50" t="s">
        <v>320</v>
      </c>
      <c r="CO277" s="50" t="s">
        <v>6238</v>
      </c>
      <c r="CQ277" s="50" t="s">
        <v>6237</v>
      </c>
      <c r="CR277" s="50" t="s">
        <v>6237</v>
      </c>
    </row>
    <row r="278" spans="1:97" hidden="1">
      <c r="A278" s="50" t="s">
        <v>149</v>
      </c>
      <c r="B278" s="50">
        <v>3347883</v>
      </c>
      <c r="C278" s="50" t="e">
        <f>VLOOKUP(B278,'Drop schools 2026'!B:C,2,0)</f>
        <v>#N/A</v>
      </c>
      <c r="D278" s="50" t="s">
        <v>212</v>
      </c>
      <c r="E278" s="50" t="s">
        <v>11947</v>
      </c>
      <c r="F278" s="50" t="s">
        <v>5630</v>
      </c>
      <c r="G278" s="50" t="str">
        <f>VLOOKUP(B278,aa!B:F,5,0)</f>
        <v>Ei ASSET,Ei Mindspark</v>
      </c>
      <c r="H278" s="50">
        <f>VLOOKUP(B278,aa!B:J,9,0)</f>
        <v>0</v>
      </c>
      <c r="I278" s="50">
        <f>VLOOKUP(B278,aa!B:L,11,0)</f>
        <v>0</v>
      </c>
      <c r="J278" s="50">
        <f>VLOOKUP(B278,aa!B:O,14,0)</f>
        <v>0</v>
      </c>
      <c r="K278" s="50">
        <f>VLOOKUP(B278,aa!B:R,17,0)</f>
        <v>0</v>
      </c>
      <c r="L278" s="50" t="s">
        <v>193</v>
      </c>
      <c r="M278" s="50">
        <v>555640</v>
      </c>
      <c r="N278" s="50">
        <v>622800</v>
      </c>
      <c r="O278" s="50">
        <v>182528</v>
      </c>
      <c r="P278" s="50">
        <v>587</v>
      </c>
      <c r="Q278" s="50" t="s">
        <v>195</v>
      </c>
      <c r="R278" s="50">
        <v>0</v>
      </c>
      <c r="S278" s="50">
        <v>0</v>
      </c>
      <c r="U278" s="50">
        <v>373112</v>
      </c>
      <c r="V278" s="50">
        <v>587</v>
      </c>
      <c r="W278" s="50" t="s">
        <v>11949</v>
      </c>
      <c r="X278" s="50" t="s">
        <v>102</v>
      </c>
      <c r="Y278" s="50" t="s">
        <v>103</v>
      </c>
      <c r="Z278" s="50" t="s">
        <v>104</v>
      </c>
      <c r="AB278" s="50" t="s">
        <v>11950</v>
      </c>
      <c r="AC278" s="50" t="s">
        <v>15691</v>
      </c>
      <c r="AD278" s="50" t="s">
        <v>11952</v>
      </c>
      <c r="AE278" s="50" t="s">
        <v>15691</v>
      </c>
      <c r="AF278" s="50" t="s">
        <v>109</v>
      </c>
      <c r="AG278" s="50" t="s">
        <v>102</v>
      </c>
      <c r="AH278" s="50" t="s">
        <v>109</v>
      </c>
      <c r="AI278" s="50" t="s">
        <v>102</v>
      </c>
      <c r="AJ278" s="50" t="s">
        <v>15692</v>
      </c>
      <c r="AK278" s="50" t="s">
        <v>11954</v>
      </c>
      <c r="AL278" s="50" t="s">
        <v>11954</v>
      </c>
      <c r="AM278" s="50" t="s">
        <v>15693</v>
      </c>
      <c r="AN278" s="50" t="s">
        <v>15694</v>
      </c>
      <c r="AO278" s="50" t="s">
        <v>15695</v>
      </c>
      <c r="AP278" s="50" t="s">
        <v>11958</v>
      </c>
      <c r="AQ278" s="50" t="s">
        <v>11958</v>
      </c>
      <c r="AV278" s="50" t="s">
        <v>207</v>
      </c>
      <c r="AW278" s="50" t="s">
        <v>118</v>
      </c>
      <c r="AX278" s="50" t="s">
        <v>102</v>
      </c>
      <c r="AY278" s="50" t="s">
        <v>119</v>
      </c>
      <c r="BB278" s="50" t="s">
        <v>250</v>
      </c>
      <c r="BC278" s="50" t="s">
        <v>209</v>
      </c>
      <c r="BD278" s="50" t="s">
        <v>5637</v>
      </c>
      <c r="BE278" s="50" t="s">
        <v>211</v>
      </c>
      <c r="BF278" s="50" t="s">
        <v>212</v>
      </c>
      <c r="BG278" s="50" t="s">
        <v>213</v>
      </c>
      <c r="BH278" s="50" t="s">
        <v>124</v>
      </c>
      <c r="BI278" s="50" t="s">
        <v>11959</v>
      </c>
      <c r="BJ278" s="50" t="s">
        <v>11960</v>
      </c>
      <c r="BK278" s="50" t="s">
        <v>127</v>
      </c>
      <c r="BL278" s="50" t="s">
        <v>15696</v>
      </c>
      <c r="BM278" s="50" t="s">
        <v>5639</v>
      </c>
      <c r="BN278" s="50" t="s">
        <v>15697</v>
      </c>
      <c r="BO278" s="50" t="s">
        <v>11948</v>
      </c>
      <c r="BP278" s="50" t="s">
        <v>1880</v>
      </c>
      <c r="BQ278" s="50" t="s">
        <v>7992</v>
      </c>
      <c r="BR278" s="50" t="s">
        <v>1882</v>
      </c>
      <c r="BS278" s="50" t="s">
        <v>1883</v>
      </c>
      <c r="BT278" s="50" t="s">
        <v>222</v>
      </c>
      <c r="BV278" s="50" t="s">
        <v>15698</v>
      </c>
      <c r="BW278" s="50" t="s">
        <v>15699</v>
      </c>
      <c r="BX278" s="50" t="s">
        <v>138</v>
      </c>
      <c r="BY278" s="50" t="s">
        <v>225</v>
      </c>
      <c r="BZ278" s="50" t="s">
        <v>226</v>
      </c>
      <c r="CA278" s="50" t="s">
        <v>5642</v>
      </c>
      <c r="CB278" s="50" t="s">
        <v>15700</v>
      </c>
      <c r="CC278" s="50" t="s">
        <v>15701</v>
      </c>
      <c r="CD278" s="50" t="s">
        <v>15702</v>
      </c>
      <c r="CE278" s="50" t="s">
        <v>15703</v>
      </c>
      <c r="CF278" s="50" t="s">
        <v>15704</v>
      </c>
      <c r="CG278" s="50" t="s">
        <v>15702</v>
      </c>
      <c r="CH278" s="50" t="s">
        <v>102</v>
      </c>
      <c r="CI278" s="50" t="s">
        <v>5643</v>
      </c>
      <c r="CK278" s="50" t="s">
        <v>5644</v>
      </c>
      <c r="CM278" s="50" t="s">
        <v>5637</v>
      </c>
      <c r="CN278" s="50" t="s">
        <v>211</v>
      </c>
      <c r="CO278" s="50" t="s">
        <v>5644</v>
      </c>
      <c r="CP278" s="50" t="s">
        <v>230</v>
      </c>
      <c r="CQ278" s="50" t="s">
        <v>5643</v>
      </c>
      <c r="CR278" s="50" t="s">
        <v>5643</v>
      </c>
    </row>
    <row r="279" spans="1:97" hidden="1">
      <c r="A279" s="50" t="s">
        <v>149</v>
      </c>
      <c r="B279" s="50">
        <v>3990957</v>
      </c>
      <c r="C279" s="50" t="str">
        <f>VLOOKUP(B279,'Drop schools 2026'!B:C,2,0)</f>
        <v>Drop</v>
      </c>
      <c r="D279" s="50" t="s">
        <v>212</v>
      </c>
      <c r="E279" s="50" t="s">
        <v>11947</v>
      </c>
      <c r="F279" s="50" t="s">
        <v>8104</v>
      </c>
      <c r="G279" s="50" t="e">
        <f>VLOOKUP(B279,aa!B:F,5,0)</f>
        <v>#N/A</v>
      </c>
      <c r="H279" s="50" t="e">
        <f>VLOOKUP(B279,aa!B:J,9,0)</f>
        <v>#N/A</v>
      </c>
      <c r="I279" s="50" t="e">
        <f>VLOOKUP(B279,aa!B:L,11,0)</f>
        <v>#N/A</v>
      </c>
      <c r="J279" s="50" t="e">
        <f>VLOOKUP(B279,aa!B:O,14,0)</f>
        <v>#N/A</v>
      </c>
      <c r="K279" s="50" t="e">
        <f>VLOOKUP(B279,aa!B:R,17,0)</f>
        <v>#N/A</v>
      </c>
      <c r="L279" s="50" t="s">
        <v>152</v>
      </c>
      <c r="M279" s="50">
        <v>551000</v>
      </c>
      <c r="N279" s="50">
        <v>551000</v>
      </c>
      <c r="O279" s="50">
        <v>0</v>
      </c>
      <c r="P279" s="50">
        <v>0</v>
      </c>
      <c r="R279" s="50">
        <v>551000</v>
      </c>
      <c r="S279" s="50">
        <v>433</v>
      </c>
      <c r="T279" s="50" t="s">
        <v>8106</v>
      </c>
      <c r="U279" s="50">
        <v>0</v>
      </c>
      <c r="V279" s="50">
        <v>0</v>
      </c>
      <c r="X279" s="50" t="s">
        <v>102</v>
      </c>
      <c r="Y279" s="50" t="s">
        <v>103</v>
      </c>
      <c r="Z279" s="50" t="s">
        <v>104</v>
      </c>
      <c r="AB279" s="50" t="s">
        <v>14023</v>
      </c>
      <c r="AC279" s="50" t="s">
        <v>17494</v>
      </c>
      <c r="AD279" s="50" t="s">
        <v>11884</v>
      </c>
      <c r="AE279" s="50" t="s">
        <v>17494</v>
      </c>
      <c r="AF279" s="50" t="s">
        <v>109</v>
      </c>
      <c r="AG279" s="50" t="s">
        <v>102</v>
      </c>
      <c r="AH279" s="50" t="s">
        <v>109</v>
      </c>
      <c r="AI279" s="50" t="s">
        <v>102</v>
      </c>
      <c r="AJ279" s="50" t="s">
        <v>102</v>
      </c>
      <c r="AK279" s="50" t="s">
        <v>8747</v>
      </c>
      <c r="AL279" s="50" t="s">
        <v>8747</v>
      </c>
      <c r="AM279" s="50" t="s">
        <v>17495</v>
      </c>
      <c r="AN279" s="50" t="s">
        <v>17496</v>
      </c>
      <c r="AO279" s="50" t="s">
        <v>17497</v>
      </c>
      <c r="AP279" s="50" t="s">
        <v>116</v>
      </c>
      <c r="AQ279" s="50" t="s">
        <v>116</v>
      </c>
      <c r="AV279" s="50" t="s">
        <v>102</v>
      </c>
      <c r="AX279" s="50" t="s">
        <v>801</v>
      </c>
      <c r="AY279" s="50" t="s">
        <v>119</v>
      </c>
      <c r="BA279" s="50" t="s">
        <v>250</v>
      </c>
      <c r="BC279" s="50" t="s">
        <v>171</v>
      </c>
      <c r="BD279" s="50" t="s">
        <v>920</v>
      </c>
      <c r="BE279" s="50" t="s">
        <v>211</v>
      </c>
      <c r="BF279" s="50" t="s">
        <v>212</v>
      </c>
      <c r="BG279" s="50" t="s">
        <v>213</v>
      </c>
      <c r="BH279" s="50" t="s">
        <v>124</v>
      </c>
      <c r="BI279" s="50" t="s">
        <v>11959</v>
      </c>
      <c r="BJ279" s="50" t="s">
        <v>11889</v>
      </c>
      <c r="BK279" s="50" t="s">
        <v>127</v>
      </c>
      <c r="BL279" s="50" t="s">
        <v>17498</v>
      </c>
      <c r="BM279" s="50" t="s">
        <v>8115</v>
      </c>
      <c r="BN279" s="50" t="s">
        <v>17499</v>
      </c>
      <c r="BO279" s="50" t="s">
        <v>1408</v>
      </c>
      <c r="BP279" s="50" t="s">
        <v>415</v>
      </c>
      <c r="BQ279" s="50" t="s">
        <v>180</v>
      </c>
      <c r="BR279" s="50" t="s">
        <v>416</v>
      </c>
      <c r="BS279" s="50" t="s">
        <v>417</v>
      </c>
      <c r="BT279" s="50" t="s">
        <v>2151</v>
      </c>
      <c r="BV279" s="50" t="s">
        <v>17500</v>
      </c>
      <c r="BW279" s="50" t="s">
        <v>8118</v>
      </c>
      <c r="BX279" s="50" t="s">
        <v>138</v>
      </c>
      <c r="BY279" s="50" t="s">
        <v>8119</v>
      </c>
      <c r="BZ279" s="50" t="s">
        <v>8120</v>
      </c>
      <c r="CA279" s="50" t="s">
        <v>8121</v>
      </c>
      <c r="CB279" s="50" t="s">
        <v>8118</v>
      </c>
      <c r="CC279" s="50" t="s">
        <v>8119</v>
      </c>
      <c r="CD279" s="50" t="s">
        <v>8120</v>
      </c>
      <c r="CE279" s="50" t="s">
        <v>8118</v>
      </c>
      <c r="CF279" s="50" t="s">
        <v>8119</v>
      </c>
      <c r="CG279" s="50" t="s">
        <v>8120</v>
      </c>
      <c r="CH279" s="50" t="s">
        <v>3968</v>
      </c>
      <c r="CI279" s="50" t="s">
        <v>8122</v>
      </c>
      <c r="CK279" s="50" t="s">
        <v>8123</v>
      </c>
      <c r="CL279" s="50" t="s">
        <v>8122</v>
      </c>
      <c r="CM279" s="50" t="s">
        <v>920</v>
      </c>
      <c r="CN279" s="50" t="s">
        <v>211</v>
      </c>
      <c r="CO279" s="50" t="s">
        <v>8123</v>
      </c>
      <c r="CQ279" s="50" t="s">
        <v>8122</v>
      </c>
      <c r="CR279" s="50" t="s">
        <v>8122</v>
      </c>
      <c r="CS279" s="50" t="s">
        <v>26046</v>
      </c>
    </row>
    <row r="280" spans="1:97" hidden="1">
      <c r="A280" s="50" t="s">
        <v>495</v>
      </c>
      <c r="B280" s="50">
        <v>185882</v>
      </c>
      <c r="C280" s="50" t="e">
        <f>VLOOKUP(B280,'Drop schools 2026'!B:C,2,0)</f>
        <v>#N/A</v>
      </c>
      <c r="D280" s="50" t="s">
        <v>212</v>
      </c>
      <c r="E280" s="50" t="s">
        <v>293</v>
      </c>
      <c r="F280" s="50" t="s">
        <v>2103</v>
      </c>
      <c r="G280" s="50" t="e">
        <f>VLOOKUP(B280,aa!B:F,5,0)</f>
        <v>#N/A</v>
      </c>
      <c r="H280" s="50" t="e">
        <f>VLOOKUP(B280,aa!B:J,9,0)</f>
        <v>#N/A</v>
      </c>
      <c r="I280" s="50" t="e">
        <f>VLOOKUP(B280,aa!B:L,11,0)</f>
        <v>#N/A</v>
      </c>
      <c r="J280" s="50" t="e">
        <f>VLOOKUP(B280,aa!B:O,14,0)</f>
        <v>#N/A</v>
      </c>
      <c r="K280" s="50" t="e">
        <f>VLOOKUP(B280,aa!B:R,17,0)</f>
        <v>#N/A</v>
      </c>
      <c r="L280" s="50" t="s">
        <v>97</v>
      </c>
      <c r="M280" s="50">
        <v>546511</v>
      </c>
      <c r="N280" s="50">
        <v>546511</v>
      </c>
      <c r="O280" s="50">
        <v>546511</v>
      </c>
      <c r="P280" s="50">
        <v>621</v>
      </c>
      <c r="Q280" s="50" t="s">
        <v>12942</v>
      </c>
      <c r="R280" s="50">
        <v>0</v>
      </c>
      <c r="S280" s="50">
        <v>0</v>
      </c>
      <c r="U280" s="50">
        <v>0</v>
      </c>
      <c r="V280" s="50">
        <v>0</v>
      </c>
      <c r="X280" s="50" t="s">
        <v>102</v>
      </c>
      <c r="Y280" s="50" t="s">
        <v>275</v>
      </c>
      <c r="AA280" s="50" t="s">
        <v>12480</v>
      </c>
      <c r="AB280" s="50" t="s">
        <v>109</v>
      </c>
      <c r="AC280" s="50" t="s">
        <v>102</v>
      </c>
      <c r="AD280" s="50" t="s">
        <v>109</v>
      </c>
      <c r="AE280" s="50" t="s">
        <v>102</v>
      </c>
      <c r="AF280" s="50" t="s">
        <v>109</v>
      </c>
      <c r="AG280" s="50" t="s">
        <v>102</v>
      </c>
      <c r="AH280" s="50" t="s">
        <v>109</v>
      </c>
      <c r="AI280" s="50" t="s">
        <v>102</v>
      </c>
      <c r="AJ280" s="50" t="s">
        <v>102</v>
      </c>
      <c r="AK280" s="50" t="s">
        <v>13064</v>
      </c>
      <c r="AL280" s="50" t="s">
        <v>13064</v>
      </c>
      <c r="AM280" s="50" t="s">
        <v>13065</v>
      </c>
      <c r="AN280" s="50" t="s">
        <v>13066</v>
      </c>
      <c r="AO280" s="50" t="s">
        <v>13067</v>
      </c>
      <c r="AP280" s="50" t="s">
        <v>13068</v>
      </c>
      <c r="AQ280" s="50" t="s">
        <v>13069</v>
      </c>
      <c r="AU280" s="50" t="s">
        <v>169</v>
      </c>
      <c r="AV280" s="50" t="s">
        <v>318</v>
      </c>
      <c r="AW280" s="50" t="s">
        <v>118</v>
      </c>
      <c r="AX280" s="50" t="s">
        <v>102</v>
      </c>
      <c r="AY280" s="50" t="s">
        <v>119</v>
      </c>
      <c r="BC280" s="50" t="s">
        <v>120</v>
      </c>
      <c r="BD280" s="50" t="s">
        <v>920</v>
      </c>
      <c r="BE280" s="50" t="s">
        <v>211</v>
      </c>
      <c r="BF280" s="50" t="s">
        <v>212</v>
      </c>
      <c r="BG280" s="50" t="s">
        <v>213</v>
      </c>
      <c r="BH280" s="50" t="s">
        <v>124</v>
      </c>
      <c r="BI280" s="50" t="s">
        <v>12312</v>
      </c>
      <c r="BJ280" s="50" t="s">
        <v>11889</v>
      </c>
      <c r="BK280" s="50" t="s">
        <v>127</v>
      </c>
      <c r="BL280" s="50" t="s">
        <v>13070</v>
      </c>
      <c r="BM280" s="50" t="s">
        <v>2113</v>
      </c>
      <c r="BN280" s="50" t="s">
        <v>13071</v>
      </c>
      <c r="BO280" s="50" t="s">
        <v>12312</v>
      </c>
      <c r="BP280" s="50" t="s">
        <v>1309</v>
      </c>
      <c r="BQ280" s="50" t="s">
        <v>180</v>
      </c>
      <c r="BR280" s="50" t="s">
        <v>1310</v>
      </c>
      <c r="BS280" s="50" t="s">
        <v>1311</v>
      </c>
      <c r="BT280" s="50" t="s">
        <v>1312</v>
      </c>
      <c r="BV280" s="50" t="s">
        <v>13072</v>
      </c>
      <c r="BW280" s="50" t="s">
        <v>13073</v>
      </c>
      <c r="BX280" s="50" t="s">
        <v>138</v>
      </c>
      <c r="BY280" s="50" t="s">
        <v>13074</v>
      </c>
      <c r="BZ280" s="50" t="s">
        <v>2118</v>
      </c>
      <c r="CA280" s="50" t="s">
        <v>2117</v>
      </c>
      <c r="CB280" s="50" t="s">
        <v>13073</v>
      </c>
      <c r="CC280" s="50" t="s">
        <v>13074</v>
      </c>
      <c r="CD280" s="50" t="s">
        <v>2118</v>
      </c>
      <c r="CE280" s="50" t="s">
        <v>13073</v>
      </c>
      <c r="CF280" s="50" t="s">
        <v>13074</v>
      </c>
      <c r="CG280" s="50" t="s">
        <v>2118</v>
      </c>
      <c r="CH280" s="50" t="s">
        <v>2119</v>
      </c>
      <c r="CI280" s="50" t="s">
        <v>2120</v>
      </c>
      <c r="CK280" s="50" t="s">
        <v>2121</v>
      </c>
      <c r="CL280" s="50" t="s">
        <v>2120</v>
      </c>
      <c r="CM280" s="50" t="s">
        <v>920</v>
      </c>
      <c r="CN280" s="50" t="s">
        <v>211</v>
      </c>
      <c r="CO280" s="50" t="s">
        <v>2121</v>
      </c>
      <c r="CQ280" s="50" t="s">
        <v>2120</v>
      </c>
      <c r="CR280" s="50" t="s">
        <v>2120</v>
      </c>
      <c r="CS280" s="50" t="s">
        <v>26044</v>
      </c>
    </row>
    <row r="281" spans="1:97" hidden="1">
      <c r="A281" s="50" t="s">
        <v>149</v>
      </c>
      <c r="B281" s="50">
        <v>207682</v>
      </c>
      <c r="C281" s="50" t="e">
        <f>VLOOKUP(B281,'Drop schools 2026'!B:C,2,0)</f>
        <v>#N/A</v>
      </c>
      <c r="D281" s="50" t="s">
        <v>212</v>
      </c>
      <c r="E281" s="50" t="s">
        <v>11947</v>
      </c>
      <c r="F281" s="50" t="s">
        <v>2648</v>
      </c>
      <c r="G281" s="50" t="e">
        <f>VLOOKUP(B281,aa!B:F,5,0)</f>
        <v>#N/A</v>
      </c>
      <c r="H281" s="50" t="e">
        <f>VLOOKUP(B281,aa!B:J,9,0)</f>
        <v>#N/A</v>
      </c>
      <c r="I281" s="50" t="e">
        <f>VLOOKUP(B281,aa!B:L,11,0)</f>
        <v>#N/A</v>
      </c>
      <c r="J281" s="50" t="e">
        <f>VLOOKUP(B281,aa!B:O,14,0)</f>
        <v>#N/A</v>
      </c>
      <c r="K281" s="50" t="e">
        <f>VLOOKUP(B281,aa!B:R,17,0)</f>
        <v>#N/A</v>
      </c>
      <c r="L281" s="50" t="s">
        <v>97</v>
      </c>
      <c r="M281" s="50">
        <v>546156</v>
      </c>
      <c r="N281" s="50">
        <v>546156</v>
      </c>
      <c r="O281" s="50">
        <v>546156</v>
      </c>
      <c r="P281" s="50">
        <v>1560</v>
      </c>
      <c r="Q281" s="50" t="s">
        <v>2650</v>
      </c>
      <c r="R281" s="50">
        <v>0</v>
      </c>
      <c r="S281" s="50">
        <v>0</v>
      </c>
      <c r="U281" s="50">
        <v>0</v>
      </c>
      <c r="V281" s="50">
        <v>0</v>
      </c>
      <c r="X281" s="50" t="s">
        <v>102</v>
      </c>
      <c r="Y281" s="50" t="s">
        <v>275</v>
      </c>
      <c r="AA281" s="50" t="s">
        <v>13496</v>
      </c>
      <c r="AB281" s="50" t="s">
        <v>109</v>
      </c>
      <c r="AC281" s="50" t="s">
        <v>102</v>
      </c>
      <c r="AD281" s="50" t="s">
        <v>109</v>
      </c>
      <c r="AE281" s="50" t="s">
        <v>102</v>
      </c>
      <c r="AF281" s="50" t="s">
        <v>109</v>
      </c>
      <c r="AG281" s="50" t="s">
        <v>102</v>
      </c>
      <c r="AH281" s="50" t="s">
        <v>109</v>
      </c>
      <c r="AI281" s="50" t="s">
        <v>102</v>
      </c>
      <c r="AJ281" s="50" t="s">
        <v>102</v>
      </c>
      <c r="AM281" s="50" t="s">
        <v>13497</v>
      </c>
      <c r="AN281" s="50" t="s">
        <v>102</v>
      </c>
      <c r="AO281" s="50" t="s">
        <v>13497</v>
      </c>
      <c r="AP281" s="50" t="s">
        <v>13498</v>
      </c>
      <c r="AQ281" s="50" t="s">
        <v>13498</v>
      </c>
      <c r="AV281" s="50" t="s">
        <v>117</v>
      </c>
      <c r="AW281" s="50" t="s">
        <v>118</v>
      </c>
      <c r="AX281" s="50" t="s">
        <v>102</v>
      </c>
      <c r="AY281" s="50" t="s">
        <v>119</v>
      </c>
      <c r="BC281" s="50" t="s">
        <v>120</v>
      </c>
      <c r="BD281" s="50" t="s">
        <v>1786</v>
      </c>
      <c r="BE281" s="50" t="s">
        <v>410</v>
      </c>
      <c r="BF281" s="50" t="s">
        <v>212</v>
      </c>
      <c r="BG281" s="50" t="s">
        <v>213</v>
      </c>
      <c r="BH281" s="50" t="s">
        <v>124</v>
      </c>
      <c r="BI281" s="50" t="s">
        <v>11959</v>
      </c>
      <c r="BJ281" s="50" t="s">
        <v>11960</v>
      </c>
      <c r="BK281" s="50" t="s">
        <v>127</v>
      </c>
      <c r="BL281" s="50" t="s">
        <v>13499</v>
      </c>
      <c r="BM281" s="50" t="s">
        <v>2657</v>
      </c>
      <c r="BN281" s="50" t="s">
        <v>13500</v>
      </c>
      <c r="BO281" s="50" t="s">
        <v>10221</v>
      </c>
      <c r="BP281" s="50" t="s">
        <v>415</v>
      </c>
      <c r="BQ281" s="50" t="s">
        <v>180</v>
      </c>
      <c r="BR281" s="50" t="s">
        <v>416</v>
      </c>
      <c r="BS281" s="50" t="s">
        <v>417</v>
      </c>
      <c r="BT281" s="50" t="s">
        <v>2151</v>
      </c>
      <c r="BV281" s="50" t="s">
        <v>13501</v>
      </c>
      <c r="BW281" s="50" t="s">
        <v>13502</v>
      </c>
      <c r="BX281" s="50" t="s">
        <v>598</v>
      </c>
      <c r="BY281" s="50" t="s">
        <v>13503</v>
      </c>
      <c r="BZ281" s="50" t="s">
        <v>13504</v>
      </c>
      <c r="CA281" s="50" t="s">
        <v>2663</v>
      </c>
      <c r="CB281" s="50" t="s">
        <v>13505</v>
      </c>
      <c r="CC281" s="50" t="s">
        <v>13506</v>
      </c>
      <c r="CD281" s="50" t="s">
        <v>13504</v>
      </c>
      <c r="CE281" s="50" t="s">
        <v>13507</v>
      </c>
      <c r="CF281" s="50" t="s">
        <v>2667</v>
      </c>
      <c r="CG281" s="50" t="s">
        <v>2668</v>
      </c>
      <c r="CH281" s="50" t="s">
        <v>102</v>
      </c>
      <c r="CI281" s="50" t="s">
        <v>2669</v>
      </c>
      <c r="CK281" s="50" t="s">
        <v>2670</v>
      </c>
      <c r="CM281" s="50" t="s">
        <v>1786</v>
      </c>
      <c r="CN281" s="50" t="s">
        <v>410</v>
      </c>
      <c r="CO281" s="50" t="s">
        <v>2670</v>
      </c>
      <c r="CQ281" s="50" t="s">
        <v>2669</v>
      </c>
      <c r="CR281" s="50" t="s">
        <v>2669</v>
      </c>
      <c r="CS281" s="50" t="s">
        <v>26040</v>
      </c>
    </row>
    <row r="282" spans="1:97" hidden="1">
      <c r="A282" s="50" t="s">
        <v>495</v>
      </c>
      <c r="B282" s="50">
        <v>416343</v>
      </c>
      <c r="C282" s="50" t="e">
        <f>VLOOKUP(B282,'Drop schools 2026'!B:C,2,0)</f>
        <v>#N/A</v>
      </c>
      <c r="D282" s="50" t="s">
        <v>622</v>
      </c>
      <c r="E282" s="50" t="s">
        <v>632</v>
      </c>
      <c r="F282" s="50" t="s">
        <v>8816</v>
      </c>
      <c r="G282" s="50" t="e">
        <f>VLOOKUP(B282,aa!B:F,5,0)</f>
        <v>#N/A</v>
      </c>
      <c r="H282" s="50" t="e">
        <f>VLOOKUP(B282,aa!B:J,9,0)</f>
        <v>#N/A</v>
      </c>
      <c r="I282" s="50" t="e">
        <f>VLOOKUP(B282,aa!B:L,11,0)</f>
        <v>#N/A</v>
      </c>
      <c r="J282" s="50" t="e">
        <f>VLOOKUP(B282,aa!B:O,14,0)</f>
        <v>#N/A</v>
      </c>
      <c r="K282" s="50" t="e">
        <f>VLOOKUP(B282,aa!B:R,17,0)</f>
        <v>#N/A</v>
      </c>
      <c r="L282" s="50" t="s">
        <v>97</v>
      </c>
      <c r="M282" s="50">
        <v>542816</v>
      </c>
      <c r="N282" s="50">
        <v>542816</v>
      </c>
      <c r="O282" s="50">
        <v>542816</v>
      </c>
      <c r="P282" s="50">
        <v>656</v>
      </c>
      <c r="Q282" s="50" t="s">
        <v>18213</v>
      </c>
      <c r="R282" s="50">
        <v>0</v>
      </c>
      <c r="S282" s="50">
        <v>0</v>
      </c>
      <c r="U282" s="50">
        <v>0</v>
      </c>
      <c r="V282" s="50">
        <v>0</v>
      </c>
      <c r="X282" s="50" t="s">
        <v>102</v>
      </c>
      <c r="Y282" s="50" t="s">
        <v>103</v>
      </c>
      <c r="Z282" s="50" t="s">
        <v>104</v>
      </c>
      <c r="AB282" s="50" t="s">
        <v>17783</v>
      </c>
      <c r="AC282" s="50" t="s">
        <v>18214</v>
      </c>
      <c r="AD282" s="50" t="s">
        <v>18215</v>
      </c>
      <c r="AE282" s="50" t="s">
        <v>18216</v>
      </c>
      <c r="AF282" s="50" t="s">
        <v>109</v>
      </c>
      <c r="AG282" s="50" t="s">
        <v>102</v>
      </c>
      <c r="AH282" s="50" t="s">
        <v>109</v>
      </c>
      <c r="AI282" s="50" t="s">
        <v>102</v>
      </c>
      <c r="AJ282" s="50" t="s">
        <v>18217</v>
      </c>
      <c r="AK282" s="50" t="s">
        <v>12873</v>
      </c>
      <c r="AL282" s="50" t="s">
        <v>13964</v>
      </c>
      <c r="AM282" s="50" t="s">
        <v>18218</v>
      </c>
      <c r="AN282" s="50" t="s">
        <v>18219</v>
      </c>
      <c r="AO282" s="50" t="s">
        <v>1089</v>
      </c>
      <c r="AP282" s="50" t="s">
        <v>18220</v>
      </c>
      <c r="AQ282" s="50" t="s">
        <v>18220</v>
      </c>
      <c r="AV282" s="50" t="s">
        <v>117</v>
      </c>
      <c r="AW282" s="50" t="s">
        <v>118</v>
      </c>
      <c r="AX282" s="50" t="s">
        <v>102</v>
      </c>
      <c r="AY282" s="50" t="s">
        <v>119</v>
      </c>
      <c r="BC282" s="50" t="s">
        <v>120</v>
      </c>
      <c r="BD282" s="50" t="s">
        <v>8824</v>
      </c>
      <c r="BE282" s="50" t="s">
        <v>621</v>
      </c>
      <c r="BF282" s="50" t="s">
        <v>622</v>
      </c>
      <c r="BG282" s="50" t="s">
        <v>976</v>
      </c>
      <c r="BH282" s="50" t="s">
        <v>124</v>
      </c>
      <c r="BI282" s="50" t="s">
        <v>11959</v>
      </c>
      <c r="BJ282" s="50" t="s">
        <v>11889</v>
      </c>
      <c r="BK282" s="50" t="s">
        <v>127</v>
      </c>
      <c r="BL282" s="50" t="s">
        <v>18221</v>
      </c>
      <c r="BM282" s="50" t="s">
        <v>8826</v>
      </c>
      <c r="BN282" s="50" t="s">
        <v>18222</v>
      </c>
      <c r="BO282" s="50" t="s">
        <v>17783</v>
      </c>
      <c r="BP282" s="50" t="s">
        <v>1670</v>
      </c>
      <c r="BQ282" s="50" t="s">
        <v>132</v>
      </c>
      <c r="BR282" s="50" t="s">
        <v>1671</v>
      </c>
      <c r="BS282" s="50" t="s">
        <v>1672</v>
      </c>
      <c r="BT282" s="50" t="s">
        <v>507</v>
      </c>
      <c r="BV282" s="50" t="s">
        <v>18223</v>
      </c>
      <c r="BW282" s="50" t="s">
        <v>18224</v>
      </c>
      <c r="BX282" s="50" t="s">
        <v>138</v>
      </c>
      <c r="BY282" s="50" t="s">
        <v>8831</v>
      </c>
      <c r="BZ282" s="50" t="s">
        <v>18225</v>
      </c>
      <c r="CA282" s="50" t="s">
        <v>8829</v>
      </c>
      <c r="CB282" s="50" t="s">
        <v>18224</v>
      </c>
      <c r="CC282" s="50" t="s">
        <v>8831</v>
      </c>
      <c r="CD282" s="50" t="s">
        <v>18225</v>
      </c>
      <c r="CE282" s="50" t="s">
        <v>8833</v>
      </c>
      <c r="CF282" s="50" t="s">
        <v>8834</v>
      </c>
      <c r="CG282" s="50" t="s">
        <v>8835</v>
      </c>
      <c r="CH282" s="50" t="s">
        <v>102</v>
      </c>
      <c r="CI282" s="50" t="s">
        <v>18226</v>
      </c>
      <c r="CK282" s="50" t="s">
        <v>7502</v>
      </c>
      <c r="CM282" s="50" t="s">
        <v>8824</v>
      </c>
      <c r="CN282" s="50" t="s">
        <v>621</v>
      </c>
      <c r="CO282" s="50" t="s">
        <v>7502</v>
      </c>
      <c r="CP282" s="50" t="s">
        <v>8837</v>
      </c>
      <c r="CQ282" s="50" t="s">
        <v>8836</v>
      </c>
      <c r="CR282" s="50" t="s">
        <v>8836</v>
      </c>
    </row>
    <row r="283" spans="1:97" hidden="1">
      <c r="A283" s="50" t="s">
        <v>149</v>
      </c>
      <c r="B283" s="50">
        <v>3478771</v>
      </c>
      <c r="C283" s="50" t="e">
        <f>VLOOKUP(B283,'Drop schools 2026'!B:C,2,0)</f>
        <v>#N/A</v>
      </c>
      <c r="D283" s="50" t="s">
        <v>122</v>
      </c>
      <c r="E283" s="50" t="s">
        <v>12030</v>
      </c>
      <c r="F283" s="50" t="s">
        <v>6317</v>
      </c>
      <c r="G283" s="50" t="str">
        <f>VLOOKUP(B283,aa!B:F,5,0)</f>
        <v>Ei CARES</v>
      </c>
      <c r="H283" s="50">
        <f>VLOOKUP(B283,aa!B:J,9,0)</f>
        <v>609577</v>
      </c>
      <c r="I283" s="50">
        <f>VLOOKUP(B283,aa!B:L,11,0)</f>
        <v>0</v>
      </c>
      <c r="J283" s="50">
        <f>VLOOKUP(B283,aa!B:O,14,0)</f>
        <v>609577</v>
      </c>
      <c r="K283" s="50">
        <f>VLOOKUP(B283,aa!B:R,17,0)</f>
        <v>0</v>
      </c>
      <c r="L283" s="50" t="s">
        <v>152</v>
      </c>
      <c r="M283" s="50">
        <v>542330</v>
      </c>
      <c r="N283" s="50">
        <v>542330</v>
      </c>
      <c r="O283" s="50">
        <v>0</v>
      </c>
      <c r="P283" s="50">
        <v>0</v>
      </c>
      <c r="R283" s="50">
        <v>542330</v>
      </c>
      <c r="S283" s="50">
        <v>493</v>
      </c>
      <c r="T283" s="50" t="s">
        <v>466</v>
      </c>
      <c r="U283" s="50">
        <v>0</v>
      </c>
      <c r="V283" s="50">
        <v>0</v>
      </c>
      <c r="X283" s="50" t="s">
        <v>102</v>
      </c>
      <c r="Y283" s="50" t="s">
        <v>103</v>
      </c>
      <c r="Z283" s="50" t="s">
        <v>155</v>
      </c>
      <c r="AB283" s="50" t="s">
        <v>7484</v>
      </c>
      <c r="AC283" s="50" t="s">
        <v>16223</v>
      </c>
      <c r="AD283" s="50" t="s">
        <v>12480</v>
      </c>
      <c r="AE283" s="50" t="s">
        <v>16223</v>
      </c>
      <c r="AF283" s="50" t="s">
        <v>12041</v>
      </c>
      <c r="AG283" s="50" t="s">
        <v>16223</v>
      </c>
      <c r="AH283" s="50" t="s">
        <v>12820</v>
      </c>
      <c r="AI283" s="50" t="s">
        <v>16223</v>
      </c>
      <c r="AJ283" s="50" t="s">
        <v>102</v>
      </c>
      <c r="AK283" s="50" t="s">
        <v>12931</v>
      </c>
      <c r="AL283" s="50" t="s">
        <v>12931</v>
      </c>
      <c r="AM283" s="50" t="s">
        <v>16224</v>
      </c>
      <c r="AN283" s="50" t="s">
        <v>16225</v>
      </c>
      <c r="AO283" s="50" t="s">
        <v>16226</v>
      </c>
      <c r="AP283" s="50" t="s">
        <v>3853</v>
      </c>
      <c r="AQ283" s="50" t="s">
        <v>3853</v>
      </c>
      <c r="AV283" s="50" t="s">
        <v>102</v>
      </c>
      <c r="AX283" s="50" t="s">
        <v>155</v>
      </c>
      <c r="AY283" s="50" t="s">
        <v>447</v>
      </c>
      <c r="AZ283" s="50" t="s">
        <v>170</v>
      </c>
      <c r="BA283" s="50" t="s">
        <v>118</v>
      </c>
      <c r="BC283" s="50" t="s">
        <v>120</v>
      </c>
      <c r="BD283" s="50" t="s">
        <v>6323</v>
      </c>
      <c r="BE283" s="50" t="s">
        <v>2800</v>
      </c>
      <c r="BF283" s="50" t="s">
        <v>122</v>
      </c>
      <c r="BG283" s="50" t="s">
        <v>346</v>
      </c>
      <c r="BH283" s="50" t="s">
        <v>124</v>
      </c>
      <c r="BI283" s="50" t="s">
        <v>12023</v>
      </c>
      <c r="BJ283" s="50" t="s">
        <v>11889</v>
      </c>
      <c r="BK283" s="50" t="s">
        <v>127</v>
      </c>
      <c r="BL283" s="50" t="s">
        <v>16227</v>
      </c>
      <c r="BM283" s="50" t="s">
        <v>6325</v>
      </c>
      <c r="BN283" s="50" t="s">
        <v>16228</v>
      </c>
      <c r="BO283" s="50" t="s">
        <v>13202</v>
      </c>
      <c r="BP283" s="50" t="s">
        <v>593</v>
      </c>
      <c r="BQ283" s="50" t="s">
        <v>350</v>
      </c>
      <c r="BR283" s="50" t="s">
        <v>594</v>
      </c>
      <c r="BS283" s="50" t="s">
        <v>595</v>
      </c>
      <c r="BT283" s="50" t="s">
        <v>328</v>
      </c>
      <c r="BV283" s="50" t="s">
        <v>16229</v>
      </c>
      <c r="BW283" s="50" t="s">
        <v>6328</v>
      </c>
      <c r="BX283" s="50" t="s">
        <v>138</v>
      </c>
      <c r="BY283" s="50" t="s">
        <v>6329</v>
      </c>
      <c r="BZ283" s="50" t="s">
        <v>6330</v>
      </c>
      <c r="CA283" s="50" t="s">
        <v>6331</v>
      </c>
      <c r="CB283" s="50" t="s">
        <v>6328</v>
      </c>
      <c r="CC283" s="50" t="s">
        <v>6329</v>
      </c>
      <c r="CD283" s="50" t="s">
        <v>6330</v>
      </c>
      <c r="CE283" s="50" t="s">
        <v>16230</v>
      </c>
      <c r="CF283" s="50" t="s">
        <v>6333</v>
      </c>
      <c r="CG283" s="50" t="s">
        <v>6334</v>
      </c>
      <c r="CH283" s="50" t="s">
        <v>102</v>
      </c>
      <c r="CI283" s="50" t="s">
        <v>6335</v>
      </c>
      <c r="CK283" s="50" t="s">
        <v>6336</v>
      </c>
      <c r="CM283" s="50" t="s">
        <v>6323</v>
      </c>
      <c r="CN283" s="50" t="s">
        <v>2800</v>
      </c>
      <c r="CO283" s="50" t="s">
        <v>6336</v>
      </c>
      <c r="CQ283" s="50" t="s">
        <v>6335</v>
      </c>
      <c r="CR283" s="50" t="s">
        <v>6335</v>
      </c>
    </row>
    <row r="284" spans="1:97">
      <c r="A284" s="50" t="s">
        <v>337</v>
      </c>
      <c r="B284" s="50">
        <v>5018196</v>
      </c>
      <c r="C284" s="50" t="e">
        <f>VLOOKUP(B284,'Drop schools 2026'!B:C,2,0)</f>
        <v>#N/A</v>
      </c>
      <c r="D284" s="50" t="s">
        <v>122</v>
      </c>
      <c r="E284" s="50" t="s">
        <v>13158</v>
      </c>
      <c r="F284" s="50" t="s">
        <v>19494</v>
      </c>
      <c r="G284" s="50" t="e">
        <f>VLOOKUP(B284,aa!B:F,5,0)</f>
        <v>#N/A</v>
      </c>
      <c r="H284" s="50" t="e">
        <f>VLOOKUP(B284,aa!B:J,9,0)</f>
        <v>#N/A</v>
      </c>
      <c r="I284" s="50" t="e">
        <f>VLOOKUP(B284,aa!B:L,11,0)</f>
        <v>#N/A</v>
      </c>
      <c r="J284" s="50" t="e">
        <f>VLOOKUP(B284,aa!B:O,14,0)</f>
        <v>#N/A</v>
      </c>
      <c r="K284" s="50" t="e">
        <f>VLOOKUP(B284,aa!B:R,17,0)</f>
        <v>#N/A</v>
      </c>
      <c r="L284" s="50" t="s">
        <v>97</v>
      </c>
      <c r="M284" s="50">
        <v>540558</v>
      </c>
      <c r="N284" s="50">
        <v>540558</v>
      </c>
      <c r="O284" s="50">
        <v>540558</v>
      </c>
      <c r="P284" s="50">
        <v>530</v>
      </c>
      <c r="Q284" s="50" t="s">
        <v>19442</v>
      </c>
      <c r="R284" s="50">
        <v>0</v>
      </c>
      <c r="S284" s="50">
        <v>0</v>
      </c>
      <c r="U284" s="50">
        <v>0</v>
      </c>
      <c r="V284" s="50">
        <v>0</v>
      </c>
      <c r="X284" s="50" t="s">
        <v>102</v>
      </c>
      <c r="Y284" s="50" t="s">
        <v>103</v>
      </c>
      <c r="Z284" s="50" t="s">
        <v>104</v>
      </c>
      <c r="AB284" s="50" t="s">
        <v>12312</v>
      </c>
      <c r="AC284" s="50" t="s">
        <v>19495</v>
      </c>
      <c r="AD284" s="50" t="s">
        <v>12427</v>
      </c>
      <c r="AE284" s="50" t="s">
        <v>19495</v>
      </c>
      <c r="AF284" s="50" t="s">
        <v>109</v>
      </c>
      <c r="AG284" s="50" t="s">
        <v>102</v>
      </c>
      <c r="AH284" s="50" t="s">
        <v>109</v>
      </c>
      <c r="AI284" s="50" t="s">
        <v>102</v>
      </c>
      <c r="AJ284" s="50" t="s">
        <v>19496</v>
      </c>
      <c r="AK284" s="50" t="s">
        <v>13583</v>
      </c>
      <c r="AL284" s="50" t="s">
        <v>13583</v>
      </c>
      <c r="AM284" s="50" t="s">
        <v>19497</v>
      </c>
      <c r="AN284" s="50" t="s">
        <v>19498</v>
      </c>
      <c r="AO284" s="50" t="s">
        <v>19499</v>
      </c>
      <c r="AP284" s="50" t="s">
        <v>19445</v>
      </c>
      <c r="AQ284" s="50" t="s">
        <v>19445</v>
      </c>
      <c r="AV284" s="50" t="s">
        <v>318</v>
      </c>
      <c r="AW284" s="50" t="s">
        <v>118</v>
      </c>
      <c r="AX284" s="50" t="s">
        <v>102</v>
      </c>
      <c r="AY284" s="50" t="s">
        <v>119</v>
      </c>
      <c r="BC284" s="50" t="s">
        <v>120</v>
      </c>
      <c r="BD284" s="50" t="s">
        <v>1407</v>
      </c>
      <c r="BE284" s="50" t="s">
        <v>449</v>
      </c>
      <c r="BF284" s="50" t="s">
        <v>122</v>
      </c>
      <c r="BG284" s="50" t="s">
        <v>450</v>
      </c>
      <c r="BH284" s="50" t="s">
        <v>124</v>
      </c>
      <c r="BI284" s="50" t="s">
        <v>12082</v>
      </c>
      <c r="BJ284" s="50" t="s">
        <v>11889</v>
      </c>
      <c r="BK284" s="50" t="s">
        <v>127</v>
      </c>
      <c r="BL284" s="50" t="s">
        <v>19500</v>
      </c>
      <c r="BM284" s="50" t="s">
        <v>19501</v>
      </c>
      <c r="BN284" s="50" t="s">
        <v>19502</v>
      </c>
      <c r="BO284" s="50" t="s">
        <v>9460</v>
      </c>
      <c r="BP284" s="50" t="s">
        <v>1108</v>
      </c>
      <c r="BQ284" s="50" t="s">
        <v>350</v>
      </c>
      <c r="BR284" s="50" t="s">
        <v>1109</v>
      </c>
      <c r="BS284" s="50" t="s">
        <v>1110</v>
      </c>
      <c r="BT284" s="50" t="s">
        <v>1111</v>
      </c>
      <c r="BV284" s="50" t="s">
        <v>19503</v>
      </c>
      <c r="BW284" s="50" t="s">
        <v>224</v>
      </c>
      <c r="BX284" s="50" t="s">
        <v>598</v>
      </c>
      <c r="BY284" s="50" t="s">
        <v>225</v>
      </c>
      <c r="BZ284" s="50" t="s">
        <v>226</v>
      </c>
      <c r="CB284" s="50" t="s">
        <v>224</v>
      </c>
      <c r="CC284" s="50" t="s">
        <v>225</v>
      </c>
      <c r="CD284" s="50" t="s">
        <v>226</v>
      </c>
      <c r="CE284" s="50" t="s">
        <v>224</v>
      </c>
      <c r="CF284" s="50" t="s">
        <v>225</v>
      </c>
      <c r="CG284" s="50" t="s">
        <v>226</v>
      </c>
      <c r="CH284" s="50" t="s">
        <v>102</v>
      </c>
      <c r="CI284" s="50" t="s">
        <v>19504</v>
      </c>
      <c r="CK284" s="50" t="s">
        <v>4078</v>
      </c>
      <c r="CM284" s="50" t="s">
        <v>1407</v>
      </c>
      <c r="CN284" s="50" t="s">
        <v>449</v>
      </c>
      <c r="CO284" s="50" t="s">
        <v>4078</v>
      </c>
      <c r="CP284" s="50" t="s">
        <v>5919</v>
      </c>
      <c r="CQ284" s="50" t="s">
        <v>19505</v>
      </c>
      <c r="CR284" s="50" t="s">
        <v>19505</v>
      </c>
    </row>
    <row r="285" spans="1:97">
      <c r="A285" s="50" t="s">
        <v>337</v>
      </c>
      <c r="B285" s="50">
        <v>641697</v>
      </c>
      <c r="C285" s="50" t="str">
        <f>VLOOKUP(B285,'Drop schools 2026'!B:C,2,0)</f>
        <v>Drop</v>
      </c>
      <c r="D285" s="50" t="s">
        <v>122</v>
      </c>
      <c r="E285" s="50" t="s">
        <v>11898</v>
      </c>
      <c r="F285" s="50" t="s">
        <v>21381</v>
      </c>
      <c r="G285" s="50" t="e">
        <f>VLOOKUP(B285,aa!B:F,5,0)</f>
        <v>#N/A</v>
      </c>
      <c r="H285" s="50" t="e">
        <f>VLOOKUP(B285,aa!B:J,9,0)</f>
        <v>#N/A</v>
      </c>
      <c r="I285" s="50" t="e">
        <f>VLOOKUP(B285,aa!B:L,11,0)</f>
        <v>#N/A</v>
      </c>
      <c r="J285" s="50" t="e">
        <f>VLOOKUP(B285,aa!B:O,14,0)</f>
        <v>#N/A</v>
      </c>
      <c r="K285" s="50" t="e">
        <f>VLOOKUP(B285,aa!B:R,17,0)</f>
        <v>#N/A</v>
      </c>
      <c r="L285" s="50" t="s">
        <v>152</v>
      </c>
      <c r="M285" s="50">
        <v>540072</v>
      </c>
      <c r="N285" s="50">
        <v>540072</v>
      </c>
      <c r="O285" s="50">
        <v>0</v>
      </c>
      <c r="P285" s="50">
        <v>0</v>
      </c>
      <c r="R285" s="50">
        <v>540072</v>
      </c>
      <c r="S285" s="50">
        <v>900</v>
      </c>
      <c r="T285" s="50" t="s">
        <v>310</v>
      </c>
      <c r="U285" s="50">
        <v>0</v>
      </c>
      <c r="V285" s="50">
        <v>0</v>
      </c>
      <c r="X285" s="50" t="s">
        <v>102</v>
      </c>
      <c r="Y285" s="50" t="s">
        <v>103</v>
      </c>
      <c r="Z285" s="50" t="s">
        <v>155</v>
      </c>
      <c r="AB285" s="50" t="s">
        <v>945</v>
      </c>
      <c r="AC285" s="50" t="s">
        <v>21382</v>
      </c>
      <c r="AD285" s="50" t="s">
        <v>1165</v>
      </c>
      <c r="AE285" s="50" t="s">
        <v>21382</v>
      </c>
      <c r="AF285" s="50" t="s">
        <v>12609</v>
      </c>
      <c r="AG285" s="50" t="s">
        <v>21382</v>
      </c>
      <c r="AH285" s="50" t="s">
        <v>11886</v>
      </c>
      <c r="AI285" s="50" t="s">
        <v>21382</v>
      </c>
      <c r="AJ285" s="50" t="s">
        <v>21383</v>
      </c>
      <c r="AK285" s="50" t="s">
        <v>857</v>
      </c>
      <c r="AL285" s="50" t="s">
        <v>6615</v>
      </c>
      <c r="AM285" s="50" t="s">
        <v>21384</v>
      </c>
      <c r="AN285" s="50" t="s">
        <v>21385</v>
      </c>
      <c r="AO285" s="50" t="s">
        <v>2987</v>
      </c>
      <c r="AP285" s="50" t="s">
        <v>1963</v>
      </c>
      <c r="AQ285" s="50" t="s">
        <v>21386</v>
      </c>
      <c r="AS285" s="50" t="s">
        <v>169</v>
      </c>
      <c r="AV285" s="50" t="s">
        <v>102</v>
      </c>
      <c r="AX285" s="50" t="s">
        <v>1384</v>
      </c>
      <c r="AY285" s="50" t="s">
        <v>447</v>
      </c>
      <c r="AZ285" s="50" t="s">
        <v>170</v>
      </c>
      <c r="BA285" s="50" t="s">
        <v>118</v>
      </c>
      <c r="BC285" s="50" t="s">
        <v>171</v>
      </c>
      <c r="BD285" s="50" t="s">
        <v>9178</v>
      </c>
      <c r="BE285" s="50" t="s">
        <v>320</v>
      </c>
      <c r="BF285" s="50" t="s">
        <v>122</v>
      </c>
      <c r="BG285" s="50" t="s">
        <v>123</v>
      </c>
      <c r="BH285" s="50" t="s">
        <v>124</v>
      </c>
      <c r="BI285" s="50" t="s">
        <v>12023</v>
      </c>
      <c r="BJ285" s="50" t="s">
        <v>11889</v>
      </c>
      <c r="BK285" s="50" t="s">
        <v>127</v>
      </c>
      <c r="BL285" s="50" t="s">
        <v>21387</v>
      </c>
      <c r="BM285" s="50" t="s">
        <v>21388</v>
      </c>
      <c r="BN285" s="50" t="s">
        <v>21389</v>
      </c>
      <c r="BO285" s="50" t="s">
        <v>5928</v>
      </c>
      <c r="BP285" s="50" t="s">
        <v>7005</v>
      </c>
      <c r="BQ285" s="50" t="s">
        <v>350</v>
      </c>
      <c r="BR285" s="50" t="s">
        <v>7006</v>
      </c>
      <c r="BS285" s="50" t="s">
        <v>7007</v>
      </c>
      <c r="BT285" s="50" t="s">
        <v>7008</v>
      </c>
      <c r="BV285" s="50" t="s">
        <v>21390</v>
      </c>
      <c r="BW285" s="50" t="s">
        <v>21391</v>
      </c>
      <c r="BX285" s="50" t="s">
        <v>138</v>
      </c>
      <c r="BY285" s="50" t="s">
        <v>21392</v>
      </c>
      <c r="BZ285" s="50" t="s">
        <v>21393</v>
      </c>
      <c r="CA285" s="50" t="s">
        <v>21392</v>
      </c>
      <c r="CB285" s="50" t="s">
        <v>21391</v>
      </c>
      <c r="CC285" s="50" t="s">
        <v>21392</v>
      </c>
      <c r="CD285" s="50" t="s">
        <v>21393</v>
      </c>
      <c r="CE285" s="50" t="s">
        <v>21394</v>
      </c>
      <c r="CF285" s="50" t="s">
        <v>21395</v>
      </c>
      <c r="CG285" s="50" t="s">
        <v>21396</v>
      </c>
      <c r="CH285" s="50" t="s">
        <v>21397</v>
      </c>
      <c r="CI285" s="50" t="s">
        <v>21381</v>
      </c>
      <c r="CK285" s="50" t="s">
        <v>9897</v>
      </c>
      <c r="CL285" s="50" t="s">
        <v>21398</v>
      </c>
      <c r="CM285" s="50" t="s">
        <v>9178</v>
      </c>
      <c r="CN285" s="50" t="s">
        <v>320</v>
      </c>
      <c r="CO285" s="50" t="s">
        <v>9897</v>
      </c>
      <c r="CP285" s="50" t="s">
        <v>21399</v>
      </c>
      <c r="CQ285" s="50" t="s">
        <v>21400</v>
      </c>
      <c r="CR285" s="50" t="s">
        <v>21401</v>
      </c>
    </row>
    <row r="286" spans="1:97" hidden="1">
      <c r="A286" s="50" t="s">
        <v>337</v>
      </c>
      <c r="B286" s="50">
        <v>5018668</v>
      </c>
      <c r="C286" s="50" t="str">
        <f>VLOOKUP(B286,'Drop schools 2026'!B:C,2,0)</f>
        <v>Drop</v>
      </c>
      <c r="D286" s="50" t="s">
        <v>212</v>
      </c>
      <c r="E286" s="50" t="s">
        <v>12423</v>
      </c>
      <c r="F286" s="50" t="s">
        <v>20104</v>
      </c>
      <c r="G286" s="50" t="str">
        <f>VLOOKUP(B286,aa!B:F,5,0)</f>
        <v>Ei Mindspark</v>
      </c>
      <c r="H286" s="50">
        <f>VLOOKUP(B286,aa!B:J,9,0)</f>
        <v>337332</v>
      </c>
      <c r="I286" s="50">
        <f>VLOOKUP(B286,aa!B:L,11,0)</f>
        <v>0</v>
      </c>
      <c r="J286" s="50">
        <f>VLOOKUP(B286,aa!B:O,14,0)</f>
        <v>0</v>
      </c>
      <c r="K286" s="50">
        <f>VLOOKUP(B286,aa!B:R,17,0)</f>
        <v>337332</v>
      </c>
      <c r="L286" s="50" t="s">
        <v>643</v>
      </c>
      <c r="M286" s="50">
        <v>537465</v>
      </c>
      <c r="N286" s="50">
        <v>603677</v>
      </c>
      <c r="O286" s="50">
        <v>0</v>
      </c>
      <c r="P286" s="50">
        <v>0</v>
      </c>
      <c r="R286" s="50">
        <v>169621</v>
      </c>
      <c r="S286" s="50">
        <v>424</v>
      </c>
      <c r="T286" s="50" t="s">
        <v>6051</v>
      </c>
      <c r="U286" s="50">
        <v>367844</v>
      </c>
      <c r="V286" s="50">
        <v>434</v>
      </c>
      <c r="W286" s="50" t="s">
        <v>19950</v>
      </c>
      <c r="X286" s="50" t="s">
        <v>102</v>
      </c>
      <c r="Y286" s="50" t="s">
        <v>679</v>
      </c>
      <c r="Z286" s="50" t="s">
        <v>398</v>
      </c>
      <c r="AA286" s="50" t="s">
        <v>6134</v>
      </c>
      <c r="AB286" s="50" t="s">
        <v>20106</v>
      </c>
      <c r="AC286" s="50" t="s">
        <v>20107</v>
      </c>
      <c r="AD286" s="50" t="s">
        <v>20108</v>
      </c>
      <c r="AE286" s="50" t="s">
        <v>20109</v>
      </c>
      <c r="AF286" s="50" t="s">
        <v>14084</v>
      </c>
      <c r="AG286" s="50" t="s">
        <v>20109</v>
      </c>
      <c r="AH286" s="50" t="s">
        <v>109</v>
      </c>
      <c r="AI286" s="50" t="s">
        <v>102</v>
      </c>
      <c r="AJ286" s="50" t="s">
        <v>102</v>
      </c>
      <c r="AK286" s="50" t="s">
        <v>20110</v>
      </c>
      <c r="AL286" s="50" t="s">
        <v>20110</v>
      </c>
      <c r="AM286" s="50" t="s">
        <v>20111</v>
      </c>
      <c r="AN286" s="50" t="s">
        <v>20112</v>
      </c>
      <c r="AO286" s="50" t="s">
        <v>20113</v>
      </c>
      <c r="AP286" s="50" t="s">
        <v>19959</v>
      </c>
      <c r="AQ286" s="50" t="s">
        <v>19959</v>
      </c>
      <c r="AV286" s="50" t="s">
        <v>102</v>
      </c>
      <c r="AX286" s="50" t="s">
        <v>1103</v>
      </c>
      <c r="AY286" s="50" t="s">
        <v>119</v>
      </c>
      <c r="AZ286" s="50" t="s">
        <v>170</v>
      </c>
      <c r="BA286" s="50" t="s">
        <v>250</v>
      </c>
      <c r="BB286" s="50" t="s">
        <v>250</v>
      </c>
      <c r="BC286" s="50" t="s">
        <v>120</v>
      </c>
      <c r="BD286" s="50" t="s">
        <v>20114</v>
      </c>
      <c r="BE286" s="50" t="s">
        <v>410</v>
      </c>
      <c r="BF286" s="50" t="s">
        <v>212</v>
      </c>
      <c r="BG286" s="50" t="s">
        <v>410</v>
      </c>
      <c r="BH286" s="50" t="s">
        <v>124</v>
      </c>
      <c r="BI286" s="50" t="s">
        <v>12023</v>
      </c>
      <c r="BJ286" s="50" t="s">
        <v>11889</v>
      </c>
      <c r="BK286" s="50" t="s">
        <v>127</v>
      </c>
      <c r="BL286" s="50" t="s">
        <v>20115</v>
      </c>
      <c r="BM286" s="50" t="s">
        <v>20116</v>
      </c>
      <c r="BN286" s="50" t="s">
        <v>20117</v>
      </c>
      <c r="BO286" s="50" t="s">
        <v>20105</v>
      </c>
      <c r="BP286" s="50" t="s">
        <v>4053</v>
      </c>
      <c r="BQ286" s="50" t="s">
        <v>132</v>
      </c>
      <c r="BR286" s="50" t="s">
        <v>4054</v>
      </c>
      <c r="BS286" s="50" t="s">
        <v>4055</v>
      </c>
      <c r="BT286" s="50" t="s">
        <v>4056</v>
      </c>
      <c r="BV286" s="50" t="s">
        <v>20118</v>
      </c>
      <c r="BW286" s="50" t="s">
        <v>20119</v>
      </c>
      <c r="BX286" s="50" t="s">
        <v>354</v>
      </c>
      <c r="BY286" s="50" t="s">
        <v>20120</v>
      </c>
      <c r="BZ286" s="50" t="s">
        <v>20121</v>
      </c>
      <c r="CA286" s="50" t="s">
        <v>20120</v>
      </c>
      <c r="CB286" s="50" t="s">
        <v>20122</v>
      </c>
      <c r="CC286" s="50" t="s">
        <v>20123</v>
      </c>
      <c r="CD286" s="50" t="s">
        <v>20124</v>
      </c>
      <c r="CE286" s="50" t="s">
        <v>20122</v>
      </c>
      <c r="CF286" s="50" t="s">
        <v>20125</v>
      </c>
      <c r="CG286" s="50" t="s">
        <v>20124</v>
      </c>
      <c r="CH286" s="50" t="s">
        <v>4062</v>
      </c>
      <c r="CI286" s="50" t="s">
        <v>20114</v>
      </c>
      <c r="CK286" s="50" t="s">
        <v>20126</v>
      </c>
      <c r="CL286" s="50" t="s">
        <v>20127</v>
      </c>
      <c r="CM286" s="50" t="s">
        <v>20114</v>
      </c>
      <c r="CN286" s="50" t="s">
        <v>410</v>
      </c>
      <c r="CO286" s="50" t="s">
        <v>20126</v>
      </c>
      <c r="CQ286" s="50" t="s">
        <v>20114</v>
      </c>
      <c r="CR286" s="50" t="s">
        <v>20128</v>
      </c>
    </row>
    <row r="287" spans="1:97">
      <c r="A287" s="50" t="s">
        <v>337</v>
      </c>
      <c r="B287" s="50">
        <v>3301477</v>
      </c>
      <c r="C287" s="50" t="str">
        <f>VLOOKUP(B287,'Drop schools 2026'!B:C,2,0)</f>
        <v>Drop</v>
      </c>
      <c r="D287" s="50" t="s">
        <v>122</v>
      </c>
      <c r="E287" s="50" t="s">
        <v>11898</v>
      </c>
      <c r="F287" s="50" t="s">
        <v>15433</v>
      </c>
      <c r="G287" s="50" t="e">
        <f>VLOOKUP(B287,aa!B:F,5,0)</f>
        <v>#N/A</v>
      </c>
      <c r="H287" s="50" t="e">
        <f>VLOOKUP(B287,aa!B:J,9,0)</f>
        <v>#N/A</v>
      </c>
      <c r="I287" s="50" t="e">
        <f>VLOOKUP(B287,aa!B:L,11,0)</f>
        <v>#N/A</v>
      </c>
      <c r="J287" s="50" t="e">
        <f>VLOOKUP(B287,aa!B:O,14,0)</f>
        <v>#N/A</v>
      </c>
      <c r="K287" s="50" t="e">
        <f>VLOOKUP(B287,aa!B:R,17,0)</f>
        <v>#N/A</v>
      </c>
      <c r="L287" s="50" t="s">
        <v>152</v>
      </c>
      <c r="M287" s="50">
        <v>532928</v>
      </c>
      <c r="N287" s="50">
        <v>532928</v>
      </c>
      <c r="O287" s="50">
        <v>0</v>
      </c>
      <c r="P287" s="50">
        <v>0</v>
      </c>
      <c r="R287" s="50">
        <v>532928</v>
      </c>
      <c r="S287" s="50">
        <v>731</v>
      </c>
      <c r="T287" s="50" t="s">
        <v>15434</v>
      </c>
      <c r="U287" s="50">
        <v>0</v>
      </c>
      <c r="V287" s="50">
        <v>0</v>
      </c>
      <c r="X287" s="50" t="s">
        <v>102</v>
      </c>
      <c r="Y287" s="50" t="s">
        <v>103</v>
      </c>
      <c r="Z287" s="50" t="s">
        <v>155</v>
      </c>
      <c r="AB287" s="50" t="s">
        <v>2950</v>
      </c>
      <c r="AC287" s="50" t="s">
        <v>15435</v>
      </c>
      <c r="AD287" s="50" t="s">
        <v>1408</v>
      </c>
      <c r="AE287" s="50" t="s">
        <v>15435</v>
      </c>
      <c r="AF287" s="50" t="s">
        <v>12289</v>
      </c>
      <c r="AG287" s="50" t="s">
        <v>15435</v>
      </c>
      <c r="AH287" s="50" t="s">
        <v>11886</v>
      </c>
      <c r="AI287" s="50" t="s">
        <v>15435</v>
      </c>
      <c r="AJ287" s="50" t="s">
        <v>102</v>
      </c>
      <c r="AK287" s="50" t="s">
        <v>559</v>
      </c>
      <c r="AL287" s="50" t="s">
        <v>14267</v>
      </c>
      <c r="AM287" s="50" t="s">
        <v>15436</v>
      </c>
      <c r="AN287" s="50" t="s">
        <v>15437</v>
      </c>
      <c r="AO287" s="50" t="s">
        <v>15438</v>
      </c>
      <c r="AP287" s="50" t="s">
        <v>15439</v>
      </c>
      <c r="AQ287" s="50" t="s">
        <v>15439</v>
      </c>
      <c r="AV287" s="50" t="s">
        <v>102</v>
      </c>
      <c r="AX287" s="50" t="s">
        <v>155</v>
      </c>
      <c r="AY287" s="50" t="s">
        <v>119</v>
      </c>
      <c r="AZ287" s="50" t="s">
        <v>170</v>
      </c>
      <c r="BA287" s="50" t="s">
        <v>118</v>
      </c>
      <c r="BC287" s="50" t="s">
        <v>120</v>
      </c>
      <c r="BD287" s="50" t="s">
        <v>251</v>
      </c>
      <c r="BE287" s="50" t="s">
        <v>252</v>
      </c>
      <c r="BF287" s="50" t="s">
        <v>122</v>
      </c>
      <c r="BG287" s="50" t="s">
        <v>253</v>
      </c>
      <c r="BH287" s="50" t="s">
        <v>124</v>
      </c>
      <c r="BI287" s="50" t="s">
        <v>2950</v>
      </c>
      <c r="BJ287" s="50" t="s">
        <v>14400</v>
      </c>
      <c r="BK287" s="50" t="s">
        <v>127</v>
      </c>
      <c r="BL287" s="50" t="s">
        <v>15440</v>
      </c>
      <c r="BM287" s="50" t="s">
        <v>15441</v>
      </c>
      <c r="BN287" s="50" t="s">
        <v>15442</v>
      </c>
      <c r="BO287" s="50" t="s">
        <v>2950</v>
      </c>
      <c r="BP287" s="50" t="s">
        <v>12453</v>
      </c>
      <c r="BQ287" s="50" t="s">
        <v>180</v>
      </c>
      <c r="BR287" s="50" t="s">
        <v>12454</v>
      </c>
      <c r="BS287" s="50" t="s">
        <v>12455</v>
      </c>
      <c r="BT287" s="50" t="s">
        <v>1995</v>
      </c>
      <c r="BU287" s="50" t="s">
        <v>1111</v>
      </c>
      <c r="BV287" s="50" t="s">
        <v>15443</v>
      </c>
      <c r="BW287" s="50" t="s">
        <v>15444</v>
      </c>
      <c r="BX287" s="50" t="s">
        <v>354</v>
      </c>
      <c r="BY287" s="50" t="s">
        <v>15445</v>
      </c>
      <c r="BZ287" s="50" t="s">
        <v>15446</v>
      </c>
      <c r="CA287" s="50" t="s">
        <v>15445</v>
      </c>
      <c r="CB287" s="50" t="s">
        <v>15447</v>
      </c>
      <c r="CC287" s="50" t="s">
        <v>15445</v>
      </c>
      <c r="CD287" s="50" t="s">
        <v>15448</v>
      </c>
      <c r="CE287" s="50" t="s">
        <v>15447</v>
      </c>
      <c r="CF287" s="50" t="s">
        <v>15445</v>
      </c>
      <c r="CG287" s="50" t="s">
        <v>15448</v>
      </c>
      <c r="CH287" s="50" t="s">
        <v>5811</v>
      </c>
      <c r="CI287" s="50" t="s">
        <v>15449</v>
      </c>
      <c r="CK287" s="50" t="s">
        <v>270</v>
      </c>
      <c r="CL287" s="50" t="s">
        <v>15450</v>
      </c>
      <c r="CM287" s="50" t="s">
        <v>251</v>
      </c>
      <c r="CN287" s="50" t="s">
        <v>252</v>
      </c>
      <c r="CO287" s="50" t="s">
        <v>270</v>
      </c>
      <c r="CQ287" s="50" t="s">
        <v>15451</v>
      </c>
      <c r="CR287" s="50" t="s">
        <v>15451</v>
      </c>
    </row>
    <row r="288" spans="1:97" hidden="1">
      <c r="A288" s="50" t="s">
        <v>149</v>
      </c>
      <c r="B288" s="50">
        <v>165035</v>
      </c>
      <c r="C288" s="50" t="e">
        <f>VLOOKUP(B288,'Drop schools 2026'!B:C,2,0)</f>
        <v>#N/A</v>
      </c>
      <c r="D288" s="50" t="s">
        <v>122</v>
      </c>
      <c r="E288" s="50" t="s">
        <v>12507</v>
      </c>
      <c r="F288" s="50" t="s">
        <v>1446</v>
      </c>
      <c r="G288" s="50" t="e">
        <f>VLOOKUP(B288,aa!B:F,5,0)</f>
        <v>#N/A</v>
      </c>
      <c r="H288" s="50" t="e">
        <f>VLOOKUP(B288,aa!B:J,9,0)</f>
        <v>#N/A</v>
      </c>
      <c r="I288" s="50" t="e">
        <f>VLOOKUP(B288,aa!B:L,11,0)</f>
        <v>#N/A</v>
      </c>
      <c r="J288" s="50" t="e">
        <f>VLOOKUP(B288,aa!B:O,14,0)</f>
        <v>#N/A</v>
      </c>
      <c r="K288" s="50" t="e">
        <f>VLOOKUP(B288,aa!B:R,17,0)</f>
        <v>#N/A</v>
      </c>
      <c r="L288" s="50" t="s">
        <v>848</v>
      </c>
      <c r="M288" s="50">
        <v>527823</v>
      </c>
      <c r="N288" s="50">
        <v>622831</v>
      </c>
      <c r="O288" s="50">
        <v>0</v>
      </c>
      <c r="P288" s="50">
        <v>0</v>
      </c>
      <c r="R288" s="50">
        <v>0</v>
      </c>
      <c r="S288" s="50">
        <v>0</v>
      </c>
      <c r="U288" s="50">
        <v>527823</v>
      </c>
      <c r="V288" s="50">
        <v>173</v>
      </c>
      <c r="W288" s="50" t="s">
        <v>1652</v>
      </c>
      <c r="X288" s="50" t="s">
        <v>102</v>
      </c>
      <c r="Y288" s="50" t="s">
        <v>275</v>
      </c>
      <c r="AA288" s="50" t="s">
        <v>12737</v>
      </c>
      <c r="AB288" s="50" t="s">
        <v>109</v>
      </c>
      <c r="AC288" s="50" t="s">
        <v>102</v>
      </c>
      <c r="AD288" s="50" t="s">
        <v>109</v>
      </c>
      <c r="AE288" s="50" t="s">
        <v>102</v>
      </c>
      <c r="AF288" s="50" t="s">
        <v>109</v>
      </c>
      <c r="AG288" s="50" t="s">
        <v>102</v>
      </c>
      <c r="AH288" s="50" t="s">
        <v>109</v>
      </c>
      <c r="AI288" s="50" t="s">
        <v>102</v>
      </c>
      <c r="AJ288" s="50" t="s">
        <v>12738</v>
      </c>
      <c r="AK288" s="50" t="s">
        <v>12695</v>
      </c>
      <c r="AL288" s="50" t="s">
        <v>12695</v>
      </c>
      <c r="AM288" s="50" t="s">
        <v>12739</v>
      </c>
      <c r="AN288" s="50" t="s">
        <v>12740</v>
      </c>
      <c r="AO288" s="50" t="s">
        <v>102</v>
      </c>
      <c r="AP288" s="50" t="s">
        <v>102</v>
      </c>
      <c r="AV288" s="50" t="s">
        <v>102</v>
      </c>
      <c r="AX288" s="50" t="s">
        <v>102</v>
      </c>
      <c r="AY288" s="50" t="s">
        <v>119</v>
      </c>
      <c r="BB288" s="50" t="s">
        <v>250</v>
      </c>
      <c r="BC288" s="50" t="s">
        <v>120</v>
      </c>
      <c r="BD288" s="50" t="s">
        <v>1067</v>
      </c>
      <c r="BE288" s="50" t="s">
        <v>556</v>
      </c>
      <c r="BF288" s="50" t="s">
        <v>122</v>
      </c>
      <c r="BG288" s="50" t="s">
        <v>557</v>
      </c>
      <c r="BH288" s="50" t="s">
        <v>124</v>
      </c>
      <c r="BI288" s="50" t="s">
        <v>11976</v>
      </c>
      <c r="BJ288" s="50" t="s">
        <v>11889</v>
      </c>
      <c r="BK288" s="50" t="s">
        <v>127</v>
      </c>
      <c r="BL288" s="50" t="s">
        <v>12741</v>
      </c>
      <c r="BM288" s="50" t="s">
        <v>1457</v>
      </c>
      <c r="BN288" s="50" t="s">
        <v>12742</v>
      </c>
      <c r="BO288" s="50" t="s">
        <v>12425</v>
      </c>
      <c r="BP288" s="50" t="s">
        <v>12743</v>
      </c>
      <c r="BQ288" s="50" t="s">
        <v>350</v>
      </c>
      <c r="BR288" s="50" t="s">
        <v>12744</v>
      </c>
      <c r="BS288" s="50" t="s">
        <v>12745</v>
      </c>
      <c r="BT288" s="50" t="s">
        <v>1075</v>
      </c>
      <c r="BV288" s="50" t="s">
        <v>12746</v>
      </c>
      <c r="BW288" s="50" t="s">
        <v>12747</v>
      </c>
      <c r="BX288" s="50" t="s">
        <v>569</v>
      </c>
      <c r="BY288" s="50" t="s">
        <v>1463</v>
      </c>
      <c r="BZ288" s="50" t="s">
        <v>1462</v>
      </c>
      <c r="CA288" s="50" t="s">
        <v>1463</v>
      </c>
      <c r="CB288" s="50" t="s">
        <v>12747</v>
      </c>
      <c r="CC288" s="50" t="s">
        <v>1463</v>
      </c>
      <c r="CD288" s="50" t="s">
        <v>1462</v>
      </c>
      <c r="CE288" s="50" t="s">
        <v>12747</v>
      </c>
      <c r="CF288" s="50" t="s">
        <v>1463</v>
      </c>
      <c r="CG288" s="50" t="s">
        <v>1462</v>
      </c>
      <c r="CH288" s="50" t="s">
        <v>102</v>
      </c>
      <c r="CI288" s="50" t="s">
        <v>1446</v>
      </c>
      <c r="CK288" s="50" t="s">
        <v>1465</v>
      </c>
      <c r="CM288" s="50" t="s">
        <v>1067</v>
      </c>
      <c r="CN288" s="50" t="s">
        <v>556</v>
      </c>
      <c r="CO288" s="50" t="s">
        <v>1465</v>
      </c>
      <c r="CQ288" s="50" t="s">
        <v>1464</v>
      </c>
      <c r="CR288" s="50" t="s">
        <v>1464</v>
      </c>
    </row>
    <row r="289" spans="1:97" hidden="1">
      <c r="A289" s="50" t="s">
        <v>337</v>
      </c>
      <c r="B289" s="50">
        <v>5018430</v>
      </c>
      <c r="C289" s="50" t="e">
        <f>VLOOKUP(B289,'Drop schools 2026'!B:C,2,0)</f>
        <v>#N/A</v>
      </c>
      <c r="D289" s="50" t="s">
        <v>212</v>
      </c>
      <c r="E289" s="50" t="s">
        <v>12423</v>
      </c>
      <c r="F289" s="50" t="s">
        <v>19740</v>
      </c>
      <c r="G289" s="50" t="str">
        <f>VLOOKUP(B289,aa!B:F,5,0)</f>
        <v>Ei Mindspark</v>
      </c>
      <c r="H289" s="50">
        <f>VLOOKUP(B289,aa!B:J,9,0)</f>
        <v>450053</v>
      </c>
      <c r="I289" s="50">
        <f>VLOOKUP(B289,aa!B:L,11,0)</f>
        <v>0</v>
      </c>
      <c r="J289" s="50">
        <f>VLOOKUP(B289,aa!B:O,14,0)</f>
        <v>0</v>
      </c>
      <c r="K289" s="50">
        <f>VLOOKUP(B289,aa!B:R,17,0)</f>
        <v>450053</v>
      </c>
      <c r="L289" s="50" t="s">
        <v>848</v>
      </c>
      <c r="M289" s="50">
        <v>522545</v>
      </c>
      <c r="N289" s="50">
        <v>616603</v>
      </c>
      <c r="O289" s="50">
        <v>0</v>
      </c>
      <c r="P289" s="50">
        <v>0</v>
      </c>
      <c r="R289" s="50">
        <v>0</v>
      </c>
      <c r="S289" s="50">
        <v>0</v>
      </c>
      <c r="U289" s="50">
        <v>522545</v>
      </c>
      <c r="V289" s="50">
        <v>519</v>
      </c>
      <c r="W289" s="50" t="s">
        <v>19742</v>
      </c>
      <c r="X289" s="50" t="s">
        <v>102</v>
      </c>
      <c r="Y289" s="50" t="s">
        <v>103</v>
      </c>
      <c r="Z289" s="50" t="s">
        <v>155</v>
      </c>
      <c r="AB289" s="50" t="s">
        <v>1941</v>
      </c>
      <c r="AC289" s="50" t="s">
        <v>19743</v>
      </c>
      <c r="AD289" s="50" t="s">
        <v>12040</v>
      </c>
      <c r="AE289" s="50" t="s">
        <v>19743</v>
      </c>
      <c r="AF289" s="50" t="s">
        <v>12427</v>
      </c>
      <c r="AG289" s="50" t="s">
        <v>19743</v>
      </c>
      <c r="AH289" s="50" t="s">
        <v>13395</v>
      </c>
      <c r="AI289" s="50" t="s">
        <v>19743</v>
      </c>
      <c r="AJ289" s="50" t="s">
        <v>19744</v>
      </c>
      <c r="AK289" s="50" t="s">
        <v>1941</v>
      </c>
      <c r="AL289" s="50" t="s">
        <v>14351</v>
      </c>
      <c r="AM289" s="50" t="s">
        <v>19745</v>
      </c>
      <c r="AN289" s="50" t="s">
        <v>19746</v>
      </c>
      <c r="AO289" s="50" t="s">
        <v>19747</v>
      </c>
      <c r="AP289" s="50" t="s">
        <v>19748</v>
      </c>
      <c r="AQ289" s="50" t="s">
        <v>19748</v>
      </c>
      <c r="AV289" s="50" t="s">
        <v>102</v>
      </c>
      <c r="AX289" s="50" t="s">
        <v>102</v>
      </c>
      <c r="AY289" s="50" t="s">
        <v>119</v>
      </c>
      <c r="BB289" s="50" t="s">
        <v>250</v>
      </c>
      <c r="BC289" s="50" t="s">
        <v>120</v>
      </c>
      <c r="BD289" s="50" t="s">
        <v>1759</v>
      </c>
      <c r="BE289" s="50" t="s">
        <v>410</v>
      </c>
      <c r="BF289" s="50" t="s">
        <v>212</v>
      </c>
      <c r="BG289" s="50" t="s">
        <v>410</v>
      </c>
      <c r="BH289" s="50" t="s">
        <v>124</v>
      </c>
      <c r="BI289" s="50" t="s">
        <v>12023</v>
      </c>
      <c r="BJ289" s="50" t="s">
        <v>11889</v>
      </c>
      <c r="BK289" s="50" t="s">
        <v>127</v>
      </c>
      <c r="BL289" s="50" t="s">
        <v>19749</v>
      </c>
      <c r="BM289" s="50" t="s">
        <v>19750</v>
      </c>
      <c r="BN289" s="50" t="s">
        <v>19751</v>
      </c>
      <c r="BO289" s="50" t="s">
        <v>19741</v>
      </c>
      <c r="BP289" s="50" t="s">
        <v>1582</v>
      </c>
      <c r="BQ289" s="50" t="s">
        <v>132</v>
      </c>
      <c r="BR289" s="50" t="s">
        <v>1583</v>
      </c>
      <c r="BS289" s="50" t="s">
        <v>1584</v>
      </c>
      <c r="BT289" s="50" t="s">
        <v>899</v>
      </c>
      <c r="BV289" s="50" t="s">
        <v>19752</v>
      </c>
      <c r="BW289" s="50" t="s">
        <v>19753</v>
      </c>
      <c r="BX289" s="50" t="s">
        <v>138</v>
      </c>
      <c r="BY289" s="50" t="s">
        <v>19754</v>
      </c>
      <c r="BZ289" s="50" t="s">
        <v>19755</v>
      </c>
      <c r="CA289" s="50" t="s">
        <v>19754</v>
      </c>
      <c r="CB289" s="50" t="s">
        <v>19756</v>
      </c>
      <c r="CC289" s="50" t="s">
        <v>19754</v>
      </c>
      <c r="CD289" s="50" t="s">
        <v>19757</v>
      </c>
      <c r="CE289" s="50" t="s">
        <v>19756</v>
      </c>
      <c r="CF289" s="50" t="s">
        <v>19754</v>
      </c>
      <c r="CG289" s="50" t="s">
        <v>19757</v>
      </c>
      <c r="CH289" s="50" t="s">
        <v>5007</v>
      </c>
      <c r="CI289" s="50" t="s">
        <v>19758</v>
      </c>
      <c r="CK289" s="50" t="s">
        <v>19759</v>
      </c>
      <c r="CL289" s="50" t="s">
        <v>19758</v>
      </c>
      <c r="CM289" s="50" t="s">
        <v>1759</v>
      </c>
      <c r="CN289" s="50" t="s">
        <v>10076</v>
      </c>
      <c r="CO289" s="50" t="s">
        <v>19759</v>
      </c>
      <c r="CQ289" s="50" t="s">
        <v>19760</v>
      </c>
      <c r="CR289" s="50" t="s">
        <v>19760</v>
      </c>
    </row>
    <row r="290" spans="1:97" hidden="1">
      <c r="A290" s="50" t="s">
        <v>93</v>
      </c>
      <c r="B290" s="50">
        <v>2475745</v>
      </c>
      <c r="C290" s="50" t="e">
        <f>VLOOKUP(B290,'Drop schools 2026'!B:C,2,0)</f>
        <v>#N/A</v>
      </c>
      <c r="D290" s="50" t="s">
        <v>212</v>
      </c>
      <c r="E290" s="50" t="s">
        <v>293</v>
      </c>
      <c r="F290" s="50" t="s">
        <v>3672</v>
      </c>
      <c r="G290" s="50" t="e">
        <f>VLOOKUP(B290,aa!B:F,5,0)</f>
        <v>#N/A</v>
      </c>
      <c r="H290" s="50" t="e">
        <f>VLOOKUP(B290,aa!B:J,9,0)</f>
        <v>#N/A</v>
      </c>
      <c r="I290" s="50" t="e">
        <f>VLOOKUP(B290,aa!B:L,11,0)</f>
        <v>#N/A</v>
      </c>
      <c r="J290" s="50" t="e">
        <f>VLOOKUP(B290,aa!B:O,14,0)</f>
        <v>#N/A</v>
      </c>
      <c r="K290" s="50" t="e">
        <f>VLOOKUP(B290,aa!B:R,17,0)</f>
        <v>#N/A</v>
      </c>
      <c r="L290" s="50" t="s">
        <v>848</v>
      </c>
      <c r="M290" s="50">
        <v>520730</v>
      </c>
      <c r="N290" s="50">
        <v>614461</v>
      </c>
      <c r="O290" s="50">
        <v>0</v>
      </c>
      <c r="P290" s="50">
        <v>0</v>
      </c>
      <c r="R290" s="50">
        <v>0</v>
      </c>
      <c r="S290" s="50">
        <v>0</v>
      </c>
      <c r="U290" s="50">
        <v>520730</v>
      </c>
      <c r="V290" s="50">
        <v>256</v>
      </c>
      <c r="W290" s="50" t="s">
        <v>1399</v>
      </c>
      <c r="X290" s="50" t="s">
        <v>102</v>
      </c>
      <c r="Y290" s="50" t="s">
        <v>275</v>
      </c>
      <c r="AA290" s="50" t="s">
        <v>12082</v>
      </c>
      <c r="AB290" s="50" t="s">
        <v>109</v>
      </c>
      <c r="AC290" s="50" t="s">
        <v>102</v>
      </c>
      <c r="AD290" s="50" t="s">
        <v>109</v>
      </c>
      <c r="AE290" s="50" t="s">
        <v>102</v>
      </c>
      <c r="AF290" s="50" t="s">
        <v>109</v>
      </c>
      <c r="AG290" s="50" t="s">
        <v>102</v>
      </c>
      <c r="AH290" s="50" t="s">
        <v>109</v>
      </c>
      <c r="AI290" s="50" t="s">
        <v>102</v>
      </c>
      <c r="AJ290" s="50" t="s">
        <v>14192</v>
      </c>
      <c r="AK290" s="50" t="s">
        <v>14193</v>
      </c>
      <c r="AL290" s="50" t="s">
        <v>14193</v>
      </c>
      <c r="AM290" s="50" t="s">
        <v>3675</v>
      </c>
      <c r="AN290" s="50" t="s">
        <v>14194</v>
      </c>
      <c r="AO290" s="50" t="s">
        <v>889</v>
      </c>
      <c r="AP290" s="50" t="s">
        <v>3677</v>
      </c>
      <c r="AQ290" s="50" t="s">
        <v>3677</v>
      </c>
      <c r="AV290" s="50" t="s">
        <v>102</v>
      </c>
      <c r="AX290" s="50" t="s">
        <v>102</v>
      </c>
      <c r="AY290" s="50" t="s">
        <v>119</v>
      </c>
      <c r="BB290" s="50" t="s">
        <v>250</v>
      </c>
      <c r="BC290" s="50" t="s">
        <v>3678</v>
      </c>
      <c r="BD290" s="50" t="s">
        <v>920</v>
      </c>
      <c r="BE290" s="50" t="s">
        <v>211</v>
      </c>
      <c r="BF290" s="50" t="s">
        <v>212</v>
      </c>
      <c r="BG290" s="50" t="s">
        <v>213</v>
      </c>
      <c r="BH290" s="50" t="s">
        <v>124</v>
      </c>
      <c r="BI290" s="50" t="s">
        <v>12082</v>
      </c>
      <c r="BJ290" s="50" t="s">
        <v>12720</v>
      </c>
      <c r="BK290" s="50" t="s">
        <v>127</v>
      </c>
      <c r="BL290" s="50" t="s">
        <v>14195</v>
      </c>
      <c r="BM290" s="50" t="s">
        <v>3681</v>
      </c>
      <c r="BN290" s="50" t="s">
        <v>14196</v>
      </c>
      <c r="BO290" s="50" t="s">
        <v>12425</v>
      </c>
      <c r="BP290" s="50" t="s">
        <v>1309</v>
      </c>
      <c r="BQ290" s="50" t="s">
        <v>180</v>
      </c>
      <c r="BR290" s="50" t="s">
        <v>1310</v>
      </c>
      <c r="BS290" s="50" t="s">
        <v>1311</v>
      </c>
      <c r="BT290" s="50" t="s">
        <v>1312</v>
      </c>
      <c r="BU290" s="50" t="s">
        <v>2151</v>
      </c>
      <c r="BV290" s="50" t="s">
        <v>14197</v>
      </c>
      <c r="BW290" s="50" t="s">
        <v>14198</v>
      </c>
      <c r="BX290" s="50" t="s">
        <v>598</v>
      </c>
      <c r="BY290" s="50" t="s">
        <v>14199</v>
      </c>
      <c r="BZ290" s="50" t="s">
        <v>3686</v>
      </c>
      <c r="CA290" s="50" t="s">
        <v>3687</v>
      </c>
      <c r="CB290" s="50" t="s">
        <v>14200</v>
      </c>
      <c r="CC290" s="50" t="s">
        <v>3685</v>
      </c>
      <c r="CD290" s="50" t="s">
        <v>14201</v>
      </c>
      <c r="CE290" s="50" t="s">
        <v>14202</v>
      </c>
      <c r="CF290" s="50" t="s">
        <v>14203</v>
      </c>
      <c r="CG290" s="50" t="s">
        <v>14204</v>
      </c>
      <c r="CH290" s="50" t="s">
        <v>3688</v>
      </c>
      <c r="CI290" s="50" t="s">
        <v>3689</v>
      </c>
      <c r="CK290" s="50" t="s">
        <v>3690</v>
      </c>
      <c r="CL290" s="50" t="s">
        <v>14205</v>
      </c>
      <c r="CM290" s="50" t="s">
        <v>920</v>
      </c>
      <c r="CN290" s="50" t="s">
        <v>2474</v>
      </c>
      <c r="CO290" s="50" t="s">
        <v>3690</v>
      </c>
      <c r="CQ290" s="50" t="s">
        <v>3689</v>
      </c>
      <c r="CR290" s="50" t="s">
        <v>3689</v>
      </c>
      <c r="CS290" s="50" t="s">
        <v>26047</v>
      </c>
    </row>
    <row r="291" spans="1:97" hidden="1">
      <c r="A291" s="50" t="s">
        <v>149</v>
      </c>
      <c r="B291" s="50">
        <v>226552</v>
      </c>
      <c r="C291" s="50" t="e">
        <f>VLOOKUP(B291,'Drop schools 2026'!B:C,2,0)</f>
        <v>#N/A</v>
      </c>
      <c r="D291" s="50" t="s">
        <v>122</v>
      </c>
      <c r="E291" s="50" t="s">
        <v>11882</v>
      </c>
      <c r="F291" s="50" t="s">
        <v>2906</v>
      </c>
      <c r="G291" s="50" t="str">
        <f>VLOOKUP(B291,aa!B:F,5,0)</f>
        <v>Ei ASSET, Ei Mindspark</v>
      </c>
      <c r="H291" s="50">
        <f>VLOOKUP(B291,aa!B:J,9,0)</f>
        <v>536715</v>
      </c>
      <c r="I291" s="50">
        <f>VLOOKUP(B291,aa!B:L,11,0)</f>
        <v>228171</v>
      </c>
      <c r="J291" s="50">
        <f>VLOOKUP(B291,aa!B:O,14,0)</f>
        <v>0</v>
      </c>
      <c r="K291" s="50">
        <f>VLOOKUP(B291,aa!B:R,17,0)</f>
        <v>308544</v>
      </c>
      <c r="L291" s="50" t="s">
        <v>193</v>
      </c>
      <c r="M291" s="50">
        <v>520670</v>
      </c>
      <c r="N291" s="50">
        <v>577166</v>
      </c>
      <c r="O291" s="50">
        <v>206806</v>
      </c>
      <c r="P291" s="50">
        <v>213</v>
      </c>
      <c r="Q291" s="50" t="s">
        <v>13650</v>
      </c>
      <c r="R291" s="50">
        <v>0</v>
      </c>
      <c r="S291" s="50">
        <v>0</v>
      </c>
      <c r="U291" s="50">
        <v>313864</v>
      </c>
      <c r="V291" s="50">
        <v>118</v>
      </c>
      <c r="W291" s="50" t="s">
        <v>13651</v>
      </c>
      <c r="X291" s="50" t="s">
        <v>102</v>
      </c>
      <c r="Y291" s="50" t="s">
        <v>103</v>
      </c>
      <c r="Z291" s="50" t="s">
        <v>801</v>
      </c>
      <c r="AB291" s="50" t="s">
        <v>13652</v>
      </c>
      <c r="AC291" s="50" t="s">
        <v>13653</v>
      </c>
      <c r="AD291" s="50" t="s">
        <v>11976</v>
      </c>
      <c r="AE291" s="50" t="s">
        <v>13653</v>
      </c>
      <c r="AF291" s="50" t="s">
        <v>12571</v>
      </c>
      <c r="AG291" s="50" t="s">
        <v>13654</v>
      </c>
      <c r="AH291" s="50" t="s">
        <v>12595</v>
      </c>
      <c r="AI291" s="50" t="s">
        <v>13654</v>
      </c>
      <c r="AJ291" s="50" t="s">
        <v>13655</v>
      </c>
      <c r="AK291" s="50" t="s">
        <v>8783</v>
      </c>
      <c r="AL291" s="50" t="s">
        <v>13656</v>
      </c>
      <c r="AM291" s="50" t="s">
        <v>13657</v>
      </c>
      <c r="AN291" s="50" t="s">
        <v>13658</v>
      </c>
      <c r="AO291" s="50" t="s">
        <v>13659</v>
      </c>
      <c r="AP291" s="50" t="s">
        <v>13660</v>
      </c>
      <c r="AQ291" s="50" t="s">
        <v>13660</v>
      </c>
      <c r="AV291" s="50" t="s">
        <v>207</v>
      </c>
      <c r="AW291" s="50" t="s">
        <v>118</v>
      </c>
      <c r="AX291" s="50" t="s">
        <v>102</v>
      </c>
      <c r="AY291" s="50" t="s">
        <v>119</v>
      </c>
      <c r="BB291" s="50" t="s">
        <v>250</v>
      </c>
      <c r="BC291" s="50" t="s">
        <v>120</v>
      </c>
      <c r="BD291" s="50" t="s">
        <v>2204</v>
      </c>
      <c r="BE291" s="50" t="s">
        <v>121</v>
      </c>
      <c r="BF291" s="50" t="s">
        <v>122</v>
      </c>
      <c r="BG291" s="50" t="s">
        <v>123</v>
      </c>
      <c r="BH291" s="50" t="s">
        <v>124</v>
      </c>
      <c r="BI291" s="50" t="s">
        <v>13661</v>
      </c>
      <c r="BJ291" s="50" t="s">
        <v>13662</v>
      </c>
      <c r="BK291" s="50" t="s">
        <v>127</v>
      </c>
      <c r="BL291" s="50" t="s">
        <v>13663</v>
      </c>
      <c r="BM291" s="50" t="s">
        <v>2925</v>
      </c>
      <c r="BN291" s="50" t="s">
        <v>13664</v>
      </c>
      <c r="BO291" s="50" t="s">
        <v>13649</v>
      </c>
      <c r="BP291" s="50" t="s">
        <v>3267</v>
      </c>
      <c r="BQ291" s="50" t="s">
        <v>350</v>
      </c>
      <c r="BR291" s="50" t="s">
        <v>3268</v>
      </c>
      <c r="BS291" s="50" t="s">
        <v>3269</v>
      </c>
      <c r="BT291" s="50" t="s">
        <v>135</v>
      </c>
      <c r="BU291" s="50" t="s">
        <v>135</v>
      </c>
      <c r="BV291" s="50" t="s">
        <v>13665</v>
      </c>
      <c r="BW291" s="50" t="s">
        <v>2932</v>
      </c>
      <c r="BX291" s="50" t="s">
        <v>296</v>
      </c>
      <c r="BY291" s="50" t="s">
        <v>2933</v>
      </c>
      <c r="BZ291" s="50" t="s">
        <v>2934</v>
      </c>
      <c r="CA291" s="50" t="s">
        <v>2935</v>
      </c>
      <c r="CB291" s="50" t="s">
        <v>13666</v>
      </c>
      <c r="CC291" s="50" t="s">
        <v>13667</v>
      </c>
      <c r="CD291" s="50" t="s">
        <v>2934</v>
      </c>
      <c r="CE291" s="50" t="s">
        <v>13666</v>
      </c>
      <c r="CF291" s="50" t="s">
        <v>13667</v>
      </c>
      <c r="CG291" s="50" t="s">
        <v>2934</v>
      </c>
      <c r="CH291" s="50" t="s">
        <v>102</v>
      </c>
      <c r="CI291" s="50" t="s">
        <v>13668</v>
      </c>
      <c r="CK291" s="50" t="s">
        <v>2942</v>
      </c>
      <c r="CM291" s="50" t="s">
        <v>2204</v>
      </c>
      <c r="CN291" s="50" t="s">
        <v>121</v>
      </c>
      <c r="CO291" s="50" t="s">
        <v>2942</v>
      </c>
      <c r="CQ291" s="50" t="s">
        <v>2941</v>
      </c>
      <c r="CR291" s="50" t="s">
        <v>2941</v>
      </c>
    </row>
    <row r="292" spans="1:97" hidden="1">
      <c r="A292" s="50" t="s">
        <v>337</v>
      </c>
      <c r="B292" s="50">
        <v>3589593</v>
      </c>
      <c r="C292" s="50" t="e">
        <f>VLOOKUP(B292,'Drop schools 2026'!B:C,2,0)</f>
        <v>#N/A</v>
      </c>
      <c r="D292" s="50" t="s">
        <v>622</v>
      </c>
      <c r="E292" s="50" t="s">
        <v>632</v>
      </c>
      <c r="F292" s="50" t="s">
        <v>16550</v>
      </c>
      <c r="G292" s="50" t="e">
        <f>VLOOKUP(B292,aa!B:F,5,0)</f>
        <v>#N/A</v>
      </c>
      <c r="H292" s="50" t="e">
        <f>VLOOKUP(B292,aa!B:J,9,0)</f>
        <v>#N/A</v>
      </c>
      <c r="I292" s="50" t="e">
        <f>VLOOKUP(B292,aa!B:L,11,0)</f>
        <v>#N/A</v>
      </c>
      <c r="J292" s="50" t="e">
        <f>VLOOKUP(B292,aa!B:O,14,0)</f>
        <v>#N/A</v>
      </c>
      <c r="K292" s="50" t="e">
        <f>VLOOKUP(B292,aa!B:R,17,0)</f>
        <v>#N/A</v>
      </c>
      <c r="L292" s="50" t="s">
        <v>97</v>
      </c>
      <c r="M292" s="50">
        <v>518373</v>
      </c>
      <c r="N292" s="50">
        <v>518373</v>
      </c>
      <c r="O292" s="50">
        <v>518373</v>
      </c>
      <c r="P292" s="50">
        <v>734</v>
      </c>
      <c r="Q292" s="50" t="s">
        <v>5793</v>
      </c>
      <c r="R292" s="50">
        <v>0</v>
      </c>
      <c r="S292" s="50">
        <v>0</v>
      </c>
      <c r="U292" s="50">
        <v>0</v>
      </c>
      <c r="V292" s="50">
        <v>0</v>
      </c>
      <c r="X292" s="50" t="s">
        <v>102</v>
      </c>
      <c r="Y292" s="50" t="s">
        <v>103</v>
      </c>
      <c r="Z292" s="50" t="s">
        <v>104</v>
      </c>
      <c r="AB292" s="50" t="s">
        <v>5694</v>
      </c>
      <c r="AC292" s="50" t="s">
        <v>16551</v>
      </c>
      <c r="AD292" s="50" t="s">
        <v>13033</v>
      </c>
      <c r="AE292" s="50" t="s">
        <v>16551</v>
      </c>
      <c r="AF292" s="50" t="s">
        <v>109</v>
      </c>
      <c r="AG292" s="50" t="s">
        <v>102</v>
      </c>
      <c r="AH292" s="50" t="s">
        <v>109</v>
      </c>
      <c r="AI292" s="50" t="s">
        <v>102</v>
      </c>
      <c r="AJ292" s="50" t="s">
        <v>16552</v>
      </c>
      <c r="AK292" s="50" t="s">
        <v>13435</v>
      </c>
      <c r="AL292" s="50" t="s">
        <v>16553</v>
      </c>
      <c r="AM292" s="50" t="s">
        <v>16554</v>
      </c>
      <c r="AN292" s="50" t="s">
        <v>16555</v>
      </c>
      <c r="AO292" s="50" t="s">
        <v>16556</v>
      </c>
      <c r="AP292" s="50" t="s">
        <v>16557</v>
      </c>
      <c r="AQ292" s="50" t="s">
        <v>16557</v>
      </c>
      <c r="AV292" s="50" t="s">
        <v>117</v>
      </c>
      <c r="AW292" s="50" t="s">
        <v>118</v>
      </c>
      <c r="AX292" s="50" t="s">
        <v>102</v>
      </c>
      <c r="AY292" s="50" t="s">
        <v>119</v>
      </c>
      <c r="BC292" s="50" t="s">
        <v>120</v>
      </c>
      <c r="BD292" s="50" t="s">
        <v>4864</v>
      </c>
      <c r="BE292" s="50" t="s">
        <v>621</v>
      </c>
      <c r="BF292" s="50" t="s">
        <v>622</v>
      </c>
      <c r="BG292" s="50" t="s">
        <v>623</v>
      </c>
      <c r="BH292" s="50" t="s">
        <v>124</v>
      </c>
      <c r="BI292" s="50" t="s">
        <v>5548</v>
      </c>
      <c r="BJ292" s="50" t="s">
        <v>16558</v>
      </c>
      <c r="BK292" s="50" t="s">
        <v>127</v>
      </c>
      <c r="BL292" s="50" t="s">
        <v>16559</v>
      </c>
      <c r="BM292" s="50" t="s">
        <v>16560</v>
      </c>
      <c r="BN292" s="50" t="s">
        <v>16561</v>
      </c>
      <c r="BO292" s="50" t="s">
        <v>5694</v>
      </c>
      <c r="BP292" s="50" t="s">
        <v>1670</v>
      </c>
      <c r="BQ292" s="50" t="s">
        <v>132</v>
      </c>
      <c r="BR292" s="50" t="s">
        <v>1671</v>
      </c>
      <c r="BS292" s="50" t="s">
        <v>1672</v>
      </c>
      <c r="BT292" s="50" t="s">
        <v>507</v>
      </c>
      <c r="BU292" s="50" t="s">
        <v>1279</v>
      </c>
      <c r="BV292" s="50" t="s">
        <v>16562</v>
      </c>
      <c r="BW292" s="50" t="s">
        <v>16563</v>
      </c>
      <c r="BX292" s="50" t="s">
        <v>138</v>
      </c>
      <c r="BY292" s="50" t="s">
        <v>16564</v>
      </c>
      <c r="BZ292" s="50" t="s">
        <v>16565</v>
      </c>
      <c r="CA292" s="50" t="s">
        <v>16564</v>
      </c>
      <c r="CB292" s="50" t="s">
        <v>16566</v>
      </c>
      <c r="CC292" s="50" t="s">
        <v>16564</v>
      </c>
      <c r="CD292" s="50" t="s">
        <v>16565</v>
      </c>
      <c r="CE292" s="50" t="s">
        <v>16567</v>
      </c>
      <c r="CF292" s="50" t="s">
        <v>16568</v>
      </c>
      <c r="CG292" s="50" t="s">
        <v>16569</v>
      </c>
      <c r="CH292" s="50" t="s">
        <v>4937</v>
      </c>
      <c r="CI292" s="50" t="s">
        <v>16570</v>
      </c>
      <c r="CK292" s="50" t="s">
        <v>16571</v>
      </c>
      <c r="CL292" s="50" t="s">
        <v>16572</v>
      </c>
      <c r="CM292" s="50" t="s">
        <v>4864</v>
      </c>
      <c r="CN292" s="50" t="s">
        <v>621</v>
      </c>
      <c r="CO292" s="50" t="s">
        <v>16571</v>
      </c>
      <c r="CP292" s="50" t="s">
        <v>16573</v>
      </c>
      <c r="CQ292" s="50" t="s">
        <v>16574</v>
      </c>
      <c r="CR292" s="50" t="s">
        <v>16574</v>
      </c>
    </row>
    <row r="293" spans="1:97">
      <c r="A293" s="50" t="s">
        <v>337</v>
      </c>
      <c r="B293" s="50">
        <v>2037085</v>
      </c>
      <c r="C293" s="50" t="e">
        <f>VLOOKUP(B293,'Drop schools 2026'!B:C,2,0)</f>
        <v>#N/A</v>
      </c>
      <c r="D293" s="50" t="s">
        <v>122</v>
      </c>
      <c r="E293" s="50" t="s">
        <v>12507</v>
      </c>
      <c r="F293" s="53" t="s">
        <v>13337</v>
      </c>
      <c r="G293" s="50" t="e">
        <f>VLOOKUP(B293,aa!B:F,5,0)</f>
        <v>#N/A</v>
      </c>
      <c r="H293" s="50" t="e">
        <f>VLOOKUP(B293,aa!B:J,9,0)</f>
        <v>#N/A</v>
      </c>
      <c r="I293" s="50" t="e">
        <f>VLOOKUP(B293,aa!B:L,11,0)</f>
        <v>#N/A</v>
      </c>
      <c r="J293" s="50" t="e">
        <f>VLOOKUP(B293,aa!B:O,14,0)</f>
        <v>#N/A</v>
      </c>
      <c r="K293" s="50" t="e">
        <f>VLOOKUP(B293,aa!B:R,17,0)</f>
        <v>#N/A</v>
      </c>
      <c r="L293" s="50" t="s">
        <v>152</v>
      </c>
      <c r="M293" s="50">
        <v>515264</v>
      </c>
      <c r="N293" s="50">
        <v>515264</v>
      </c>
      <c r="O293" s="50">
        <v>0</v>
      </c>
      <c r="P293" s="50">
        <v>0</v>
      </c>
      <c r="R293" s="50">
        <v>515264</v>
      </c>
      <c r="S293" s="50">
        <v>644</v>
      </c>
      <c r="T293" s="50" t="s">
        <v>1297</v>
      </c>
      <c r="U293" s="50">
        <v>0</v>
      </c>
      <c r="V293" s="50">
        <v>0</v>
      </c>
      <c r="X293" s="50" t="s">
        <v>102</v>
      </c>
      <c r="Y293" s="50" t="s">
        <v>103</v>
      </c>
      <c r="Z293" s="50" t="s">
        <v>155</v>
      </c>
      <c r="AB293" s="50" t="s">
        <v>3993</v>
      </c>
      <c r="AC293" s="50" t="s">
        <v>13338</v>
      </c>
      <c r="AD293" s="50" t="s">
        <v>4563</v>
      </c>
      <c r="AE293" s="50" t="s">
        <v>13339</v>
      </c>
      <c r="AF293" s="50" t="s">
        <v>13340</v>
      </c>
      <c r="AG293" s="50" t="s">
        <v>13341</v>
      </c>
      <c r="AH293" s="50" t="s">
        <v>11886</v>
      </c>
      <c r="AI293" s="50" t="s">
        <v>13342</v>
      </c>
      <c r="AJ293" s="50" t="s">
        <v>13343</v>
      </c>
      <c r="AK293" s="50" t="s">
        <v>1202</v>
      </c>
      <c r="AL293" s="50" t="s">
        <v>13344</v>
      </c>
      <c r="AM293" s="50" t="s">
        <v>13345</v>
      </c>
      <c r="AN293" s="50" t="s">
        <v>13346</v>
      </c>
      <c r="AO293" s="50" t="s">
        <v>6604</v>
      </c>
      <c r="AP293" s="50" t="s">
        <v>13347</v>
      </c>
      <c r="AQ293" s="50" t="s">
        <v>13347</v>
      </c>
      <c r="AV293" s="50" t="s">
        <v>102</v>
      </c>
      <c r="AX293" s="50" t="s">
        <v>155</v>
      </c>
      <c r="AY293" s="50" t="s">
        <v>447</v>
      </c>
      <c r="AZ293" s="50" t="s">
        <v>170</v>
      </c>
      <c r="BA293" s="50" t="s">
        <v>118</v>
      </c>
      <c r="BB293" s="50" t="s">
        <v>208</v>
      </c>
      <c r="BC293" s="50" t="s">
        <v>120</v>
      </c>
      <c r="BD293" s="50" t="s">
        <v>13348</v>
      </c>
      <c r="BE293" s="50" t="s">
        <v>556</v>
      </c>
      <c r="BF293" s="50" t="s">
        <v>122</v>
      </c>
      <c r="BG293" s="50" t="s">
        <v>557</v>
      </c>
      <c r="BH293" s="50" t="s">
        <v>124</v>
      </c>
      <c r="BI293" s="50" t="s">
        <v>12023</v>
      </c>
      <c r="BJ293" s="50" t="s">
        <v>11889</v>
      </c>
      <c r="BK293" s="50" t="s">
        <v>127</v>
      </c>
      <c r="BL293" s="50" t="s">
        <v>13349</v>
      </c>
      <c r="BM293" s="50" t="s">
        <v>13350</v>
      </c>
      <c r="BN293" s="50" t="s">
        <v>13351</v>
      </c>
      <c r="BO293" s="50" t="s">
        <v>5548</v>
      </c>
      <c r="BP293" s="50" t="s">
        <v>1071</v>
      </c>
      <c r="BQ293" s="50" t="s">
        <v>350</v>
      </c>
      <c r="BR293" s="50" t="s">
        <v>1072</v>
      </c>
      <c r="BS293" s="50" t="s">
        <v>1073</v>
      </c>
      <c r="BT293" s="50" t="s">
        <v>1074</v>
      </c>
      <c r="BV293" s="50" t="s">
        <v>13352</v>
      </c>
      <c r="BW293" s="50" t="s">
        <v>13353</v>
      </c>
      <c r="BX293" s="50" t="s">
        <v>138</v>
      </c>
      <c r="BY293" s="50" t="s">
        <v>13354</v>
      </c>
      <c r="BZ293" s="50" t="s">
        <v>13355</v>
      </c>
      <c r="CA293" s="50" t="s">
        <v>13356</v>
      </c>
      <c r="CB293" s="50" t="s">
        <v>13357</v>
      </c>
      <c r="CC293" s="50" t="s">
        <v>13358</v>
      </c>
      <c r="CD293" s="50" t="s">
        <v>13355</v>
      </c>
      <c r="CE293" s="50" t="s">
        <v>13357</v>
      </c>
      <c r="CF293" s="50" t="s">
        <v>13358</v>
      </c>
      <c r="CG293" s="50" t="s">
        <v>13355</v>
      </c>
      <c r="CH293" s="50" t="s">
        <v>13359</v>
      </c>
      <c r="CI293" s="50" t="s">
        <v>13360</v>
      </c>
      <c r="CK293" s="50" t="s">
        <v>13361</v>
      </c>
      <c r="CL293" s="50" t="s">
        <v>13360</v>
      </c>
      <c r="CM293" s="50" t="s">
        <v>13348</v>
      </c>
      <c r="CN293" s="50" t="s">
        <v>556</v>
      </c>
      <c r="CO293" s="50" t="s">
        <v>13361</v>
      </c>
      <c r="CP293" s="50" t="s">
        <v>13362</v>
      </c>
      <c r="CQ293" s="50" t="s">
        <v>13363</v>
      </c>
      <c r="CR293" s="50" t="s">
        <v>13363</v>
      </c>
    </row>
    <row r="294" spans="1:97" hidden="1">
      <c r="A294" s="50" t="s">
        <v>149</v>
      </c>
      <c r="B294" s="50">
        <v>3292556</v>
      </c>
      <c r="C294" s="50" t="e">
        <f>VLOOKUP(B294,'Drop schools 2026'!B:C,2,0)</f>
        <v>#N/A</v>
      </c>
      <c r="D294" s="50" t="s">
        <v>122</v>
      </c>
      <c r="E294" s="50" t="s">
        <v>12491</v>
      </c>
      <c r="F294" s="50" t="s">
        <v>5347</v>
      </c>
      <c r="G294" s="50" t="str">
        <f>VLOOKUP(B294,aa!B:F,5,0)</f>
        <v>Ei ASSET</v>
      </c>
      <c r="H294" s="50">
        <f>VLOOKUP(B294,aa!B:J,9,0)</f>
        <v>519474</v>
      </c>
      <c r="I294" s="50">
        <f>VLOOKUP(B294,aa!B:L,11,0)</f>
        <v>519474</v>
      </c>
      <c r="J294" s="50">
        <f>VLOOKUP(B294,aa!B:O,14,0)</f>
        <v>0</v>
      </c>
      <c r="K294" s="50">
        <f>VLOOKUP(B294,aa!B:R,17,0)</f>
        <v>0</v>
      </c>
      <c r="L294" s="50" t="s">
        <v>97</v>
      </c>
      <c r="M294" s="50">
        <v>510402</v>
      </c>
      <c r="N294" s="50">
        <v>510402</v>
      </c>
      <c r="O294" s="50">
        <v>510402</v>
      </c>
      <c r="P294" s="50">
        <v>645</v>
      </c>
      <c r="Q294" s="50" t="s">
        <v>15401</v>
      </c>
      <c r="R294" s="50">
        <v>0</v>
      </c>
      <c r="S294" s="50">
        <v>0</v>
      </c>
      <c r="U294" s="50">
        <v>0</v>
      </c>
      <c r="V294" s="50">
        <v>0</v>
      </c>
      <c r="X294" s="50" t="s">
        <v>102</v>
      </c>
      <c r="Y294" s="50" t="s">
        <v>103</v>
      </c>
      <c r="Z294" s="50" t="s">
        <v>104</v>
      </c>
      <c r="AB294" s="50" t="s">
        <v>11959</v>
      </c>
      <c r="AC294" s="50" t="s">
        <v>15402</v>
      </c>
      <c r="AD294" s="50" t="s">
        <v>5651</v>
      </c>
      <c r="AE294" s="50" t="s">
        <v>15402</v>
      </c>
      <c r="AF294" s="50" t="s">
        <v>109</v>
      </c>
      <c r="AG294" s="50" t="s">
        <v>102</v>
      </c>
      <c r="AH294" s="50" t="s">
        <v>109</v>
      </c>
      <c r="AI294" s="50" t="s">
        <v>102</v>
      </c>
      <c r="AJ294" s="50" t="s">
        <v>102</v>
      </c>
      <c r="AK294" s="50" t="s">
        <v>5351</v>
      </c>
      <c r="AL294" s="50" t="s">
        <v>12327</v>
      </c>
      <c r="AM294" s="50" t="s">
        <v>15403</v>
      </c>
      <c r="AN294" s="50" t="s">
        <v>15404</v>
      </c>
      <c r="AO294" s="50" t="s">
        <v>15405</v>
      </c>
      <c r="AP294" s="50" t="s">
        <v>15406</v>
      </c>
      <c r="AQ294" s="50" t="s">
        <v>15406</v>
      </c>
      <c r="AV294" s="50" t="s">
        <v>318</v>
      </c>
      <c r="AW294" s="50" t="s">
        <v>118</v>
      </c>
      <c r="AX294" s="50" t="s">
        <v>102</v>
      </c>
      <c r="AY294" s="50" t="s">
        <v>119</v>
      </c>
      <c r="BC294" s="50" t="s">
        <v>120</v>
      </c>
      <c r="BD294" s="50" t="s">
        <v>4153</v>
      </c>
      <c r="BE294" s="50" t="s">
        <v>320</v>
      </c>
      <c r="BF294" s="50" t="s">
        <v>122</v>
      </c>
      <c r="BG294" s="50" t="s">
        <v>123</v>
      </c>
      <c r="BH294" s="50" t="s">
        <v>124</v>
      </c>
      <c r="BI294" s="50" t="s">
        <v>12023</v>
      </c>
      <c r="BJ294" s="50" t="s">
        <v>11889</v>
      </c>
      <c r="BK294" s="50" t="s">
        <v>127</v>
      </c>
      <c r="BL294" s="50" t="s">
        <v>15407</v>
      </c>
      <c r="BM294" s="50" t="s">
        <v>5358</v>
      </c>
      <c r="BN294" s="50" t="s">
        <v>15408</v>
      </c>
      <c r="BO294" s="50" t="s">
        <v>12496</v>
      </c>
      <c r="BP294" s="50" t="s">
        <v>8788</v>
      </c>
      <c r="BQ294" s="50" t="s">
        <v>180</v>
      </c>
      <c r="BR294" s="50" t="s">
        <v>8789</v>
      </c>
      <c r="BS294" s="50" t="s">
        <v>8790</v>
      </c>
      <c r="BT294" s="50" t="s">
        <v>1006</v>
      </c>
      <c r="BV294" s="50" t="s">
        <v>15409</v>
      </c>
      <c r="BW294" s="50" t="s">
        <v>15410</v>
      </c>
      <c r="BX294" s="50" t="s">
        <v>598</v>
      </c>
      <c r="BY294" s="50" t="s">
        <v>15411</v>
      </c>
      <c r="BZ294" s="50" t="s">
        <v>15412</v>
      </c>
      <c r="CA294" s="50" t="s">
        <v>5364</v>
      </c>
      <c r="CB294" s="50" t="s">
        <v>15413</v>
      </c>
      <c r="CC294" s="50" t="s">
        <v>15414</v>
      </c>
      <c r="CD294" s="50" t="s">
        <v>15412</v>
      </c>
      <c r="CE294" s="50" t="s">
        <v>15415</v>
      </c>
      <c r="CF294" s="50" t="s">
        <v>15411</v>
      </c>
      <c r="CG294" s="50" t="s">
        <v>15412</v>
      </c>
      <c r="CH294" s="50" t="s">
        <v>102</v>
      </c>
      <c r="CI294" s="50" t="s">
        <v>5365</v>
      </c>
      <c r="CK294" s="50" t="s">
        <v>5366</v>
      </c>
      <c r="CM294" s="50" t="s">
        <v>4153</v>
      </c>
      <c r="CN294" s="50" t="s">
        <v>320</v>
      </c>
      <c r="CO294" s="50" t="s">
        <v>5366</v>
      </c>
      <c r="CQ294" s="50" t="s">
        <v>5365</v>
      </c>
      <c r="CR294" s="50" t="s">
        <v>5365</v>
      </c>
    </row>
    <row r="295" spans="1:97" hidden="1">
      <c r="A295" s="50" t="s">
        <v>149</v>
      </c>
      <c r="B295" s="50">
        <v>530653</v>
      </c>
      <c r="C295" s="50" t="e">
        <f>VLOOKUP(B295,'Drop schools 2026'!B:C,2,0)</f>
        <v>#N/A</v>
      </c>
      <c r="D295" s="50" t="s">
        <v>622</v>
      </c>
      <c r="E295" s="50" t="s">
        <v>985</v>
      </c>
      <c r="F295" s="50" t="s">
        <v>10970</v>
      </c>
      <c r="G295" s="50" t="e">
        <f>VLOOKUP(B295,aa!B:F,5,0)</f>
        <v>#N/A</v>
      </c>
      <c r="H295" s="50" t="e">
        <f>VLOOKUP(B295,aa!B:J,9,0)</f>
        <v>#N/A</v>
      </c>
      <c r="I295" s="50" t="e">
        <f>VLOOKUP(B295,aa!B:L,11,0)</f>
        <v>#N/A</v>
      </c>
      <c r="J295" s="50" t="e">
        <f>VLOOKUP(B295,aa!B:O,14,0)</f>
        <v>#N/A</v>
      </c>
      <c r="K295" s="50" t="e">
        <f>VLOOKUP(B295,aa!B:R,17,0)</f>
        <v>#N/A</v>
      </c>
      <c r="L295" s="50" t="s">
        <v>97</v>
      </c>
      <c r="M295" s="50">
        <v>509768</v>
      </c>
      <c r="N295" s="50">
        <v>509768</v>
      </c>
      <c r="O295" s="50">
        <v>509768</v>
      </c>
      <c r="P295" s="50">
        <v>722</v>
      </c>
      <c r="Q295" s="50" t="s">
        <v>5793</v>
      </c>
      <c r="R295" s="50">
        <v>0</v>
      </c>
      <c r="S295" s="50">
        <v>0</v>
      </c>
      <c r="U295" s="50">
        <v>0</v>
      </c>
      <c r="V295" s="50">
        <v>0</v>
      </c>
      <c r="X295" s="50" t="s">
        <v>102</v>
      </c>
      <c r="Y295" s="50" t="s">
        <v>103</v>
      </c>
      <c r="Z295" s="50" t="s">
        <v>104</v>
      </c>
      <c r="AB295" s="50" t="s">
        <v>12541</v>
      </c>
      <c r="AC295" s="50" t="s">
        <v>21046</v>
      </c>
      <c r="AD295" s="50" t="s">
        <v>12289</v>
      </c>
      <c r="AE295" s="50" t="s">
        <v>21046</v>
      </c>
      <c r="AF295" s="50" t="s">
        <v>109</v>
      </c>
      <c r="AG295" s="50" t="s">
        <v>102</v>
      </c>
      <c r="AH295" s="50" t="s">
        <v>109</v>
      </c>
      <c r="AI295" s="50" t="s">
        <v>102</v>
      </c>
      <c r="AJ295" s="50" t="s">
        <v>21047</v>
      </c>
      <c r="AK295" s="50" t="s">
        <v>10221</v>
      </c>
      <c r="AL295" s="50" t="s">
        <v>14080</v>
      </c>
      <c r="AM295" s="50" t="s">
        <v>21048</v>
      </c>
      <c r="AN295" s="50" t="s">
        <v>21049</v>
      </c>
      <c r="AO295" s="50" t="s">
        <v>102</v>
      </c>
      <c r="AP295" s="50" t="s">
        <v>5798</v>
      </c>
      <c r="AQ295" s="50" t="s">
        <v>5798</v>
      </c>
      <c r="AV295" s="50" t="s">
        <v>318</v>
      </c>
      <c r="AW295" s="50" t="s">
        <v>118</v>
      </c>
      <c r="AX295" s="50" t="s">
        <v>102</v>
      </c>
      <c r="AY295" s="50" t="s">
        <v>119</v>
      </c>
      <c r="BC295" s="50" t="s">
        <v>120</v>
      </c>
      <c r="BD295" s="50" t="s">
        <v>2127</v>
      </c>
      <c r="BE295" s="50" t="s">
        <v>621</v>
      </c>
      <c r="BF295" s="50" t="s">
        <v>622</v>
      </c>
      <c r="BG295" s="50" t="s">
        <v>976</v>
      </c>
      <c r="BH295" s="50" t="s">
        <v>124</v>
      </c>
      <c r="BI295" s="50" t="s">
        <v>2483</v>
      </c>
      <c r="BJ295" s="50" t="s">
        <v>11889</v>
      </c>
      <c r="BK295" s="50" t="s">
        <v>127</v>
      </c>
      <c r="BL295" s="50" t="s">
        <v>21050</v>
      </c>
      <c r="BM295" s="50" t="s">
        <v>10977</v>
      </c>
      <c r="BN295" s="50" t="s">
        <v>21051</v>
      </c>
      <c r="BO295" s="50" t="s">
        <v>12644</v>
      </c>
      <c r="BP295" s="50" t="s">
        <v>981</v>
      </c>
      <c r="BQ295" s="50" t="s">
        <v>132</v>
      </c>
      <c r="BR295" s="50" t="s">
        <v>982</v>
      </c>
      <c r="BS295" s="50" t="s">
        <v>983</v>
      </c>
      <c r="BT295" s="50" t="s">
        <v>984</v>
      </c>
      <c r="BV295" s="50" t="s">
        <v>21052</v>
      </c>
      <c r="BW295" s="50" t="s">
        <v>21053</v>
      </c>
      <c r="BX295" s="50" t="s">
        <v>138</v>
      </c>
      <c r="BY295" s="50" t="s">
        <v>21054</v>
      </c>
      <c r="BZ295" s="50" t="s">
        <v>21055</v>
      </c>
      <c r="CA295" s="50" t="s">
        <v>10981</v>
      </c>
      <c r="CB295" s="50" t="s">
        <v>21053</v>
      </c>
      <c r="CC295" s="50" t="s">
        <v>21054</v>
      </c>
      <c r="CD295" s="50" t="s">
        <v>21055</v>
      </c>
      <c r="CE295" s="50" t="s">
        <v>21056</v>
      </c>
      <c r="CF295" s="50" t="s">
        <v>21057</v>
      </c>
      <c r="CG295" s="50" t="s">
        <v>21058</v>
      </c>
      <c r="CH295" s="50" t="s">
        <v>102</v>
      </c>
      <c r="CI295" s="50" t="s">
        <v>21059</v>
      </c>
      <c r="CK295" s="50" t="s">
        <v>10984</v>
      </c>
      <c r="CM295" s="50" t="s">
        <v>2127</v>
      </c>
      <c r="CN295" s="50" t="s">
        <v>621</v>
      </c>
      <c r="CO295" s="50" t="s">
        <v>10984</v>
      </c>
      <c r="CP295" s="50" t="s">
        <v>10985</v>
      </c>
      <c r="CQ295" s="50" t="s">
        <v>10983</v>
      </c>
      <c r="CR295" s="50" t="s">
        <v>10983</v>
      </c>
      <c r="CS295" s="50" t="s">
        <v>26047</v>
      </c>
    </row>
    <row r="296" spans="1:97" hidden="1">
      <c r="A296" s="50" t="s">
        <v>337</v>
      </c>
      <c r="B296" s="50">
        <v>3997080</v>
      </c>
      <c r="C296" s="50" t="e">
        <f>VLOOKUP(B296,'Drop schools 2026'!B:C,2,0)</f>
        <v>#N/A</v>
      </c>
      <c r="D296" s="50" t="s">
        <v>122</v>
      </c>
      <c r="E296" s="50" t="s">
        <v>12018</v>
      </c>
      <c r="F296" s="50" t="s">
        <v>17736</v>
      </c>
      <c r="G296" s="50" t="str">
        <f>VLOOKUP(B296,aa!B:F,5,0)</f>
        <v>Ei CARES</v>
      </c>
      <c r="H296" s="50">
        <f>VLOOKUP(B296,aa!B:J,9,0)</f>
        <v>589297</v>
      </c>
      <c r="I296" s="50">
        <f>VLOOKUP(B296,aa!B:L,11,0)</f>
        <v>0</v>
      </c>
      <c r="J296" s="50">
        <f>VLOOKUP(B296,aa!B:O,14,0)</f>
        <v>589297</v>
      </c>
      <c r="K296" s="50">
        <f>VLOOKUP(B296,aa!B:R,17,0)</f>
        <v>0</v>
      </c>
      <c r="L296" s="50" t="s">
        <v>152</v>
      </c>
      <c r="M296" s="50">
        <v>506089</v>
      </c>
      <c r="N296" s="50">
        <v>506089</v>
      </c>
      <c r="O296" s="50">
        <v>0</v>
      </c>
      <c r="P296" s="50">
        <v>0</v>
      </c>
      <c r="R296" s="50">
        <v>506089</v>
      </c>
      <c r="S296" s="50">
        <v>444</v>
      </c>
      <c r="T296" s="50" t="s">
        <v>1495</v>
      </c>
      <c r="U296" s="50">
        <v>0</v>
      </c>
      <c r="V296" s="50">
        <v>0</v>
      </c>
      <c r="X296" s="50" t="s">
        <v>102</v>
      </c>
      <c r="Y296" s="50" t="s">
        <v>103</v>
      </c>
      <c r="Z296" s="50" t="s">
        <v>155</v>
      </c>
      <c r="AB296" s="50" t="s">
        <v>6177</v>
      </c>
      <c r="AC296" s="50" t="s">
        <v>17737</v>
      </c>
      <c r="AD296" s="50" t="s">
        <v>7439</v>
      </c>
      <c r="AE296" s="50" t="s">
        <v>17737</v>
      </c>
      <c r="AF296" s="50" t="s">
        <v>13583</v>
      </c>
      <c r="AG296" s="50" t="s">
        <v>17737</v>
      </c>
      <c r="AH296" s="50" t="s">
        <v>12728</v>
      </c>
      <c r="AI296" s="50" t="s">
        <v>17737</v>
      </c>
      <c r="AJ296" s="50" t="s">
        <v>102</v>
      </c>
      <c r="AK296" s="50" t="s">
        <v>8054</v>
      </c>
      <c r="AL296" s="50" t="s">
        <v>12931</v>
      </c>
      <c r="AM296" s="50" t="s">
        <v>17738</v>
      </c>
      <c r="AN296" s="50" t="s">
        <v>14971</v>
      </c>
      <c r="AO296" s="50" t="s">
        <v>17739</v>
      </c>
      <c r="AP296" s="50" t="s">
        <v>5460</v>
      </c>
      <c r="AQ296" s="50" t="s">
        <v>5460</v>
      </c>
      <c r="AV296" s="50" t="s">
        <v>102</v>
      </c>
      <c r="AX296" s="50" t="s">
        <v>155</v>
      </c>
      <c r="AY296" s="50" t="s">
        <v>447</v>
      </c>
      <c r="AZ296" s="50" t="s">
        <v>1138</v>
      </c>
      <c r="BA296" s="50" t="s">
        <v>118</v>
      </c>
      <c r="BC296" s="50" t="s">
        <v>120</v>
      </c>
      <c r="BD296" s="50" t="s">
        <v>17740</v>
      </c>
      <c r="BE296" s="50" t="s">
        <v>345</v>
      </c>
      <c r="BF296" s="50" t="s">
        <v>122</v>
      </c>
      <c r="BG296" s="50" t="s">
        <v>346</v>
      </c>
      <c r="BH296" s="50" t="s">
        <v>124</v>
      </c>
      <c r="BI296" s="50" t="s">
        <v>5694</v>
      </c>
      <c r="BJ296" s="50" t="s">
        <v>11889</v>
      </c>
      <c r="BK296" s="50" t="s">
        <v>127</v>
      </c>
      <c r="BL296" s="50" t="s">
        <v>17741</v>
      </c>
      <c r="BM296" s="50" t="s">
        <v>17742</v>
      </c>
      <c r="BN296" s="50" t="s">
        <v>17743</v>
      </c>
      <c r="BO296" s="50" t="s">
        <v>7479</v>
      </c>
      <c r="BP296" s="50" t="s">
        <v>12226</v>
      </c>
      <c r="BQ296" s="50" t="s">
        <v>350</v>
      </c>
      <c r="BR296" s="50" t="s">
        <v>12228</v>
      </c>
      <c r="BS296" s="50" t="s">
        <v>12229</v>
      </c>
      <c r="BT296" s="50" t="s">
        <v>8623</v>
      </c>
      <c r="BV296" s="50" t="s">
        <v>17744</v>
      </c>
      <c r="BW296" s="50" t="s">
        <v>17745</v>
      </c>
      <c r="BX296" s="50" t="s">
        <v>138</v>
      </c>
      <c r="BY296" s="50" t="s">
        <v>17746</v>
      </c>
      <c r="BZ296" s="50" t="s">
        <v>17747</v>
      </c>
      <c r="CA296" s="50" t="s">
        <v>17746</v>
      </c>
      <c r="CB296" s="50" t="s">
        <v>17748</v>
      </c>
      <c r="CC296" s="50" t="s">
        <v>17746</v>
      </c>
      <c r="CD296" s="50" t="s">
        <v>17747</v>
      </c>
      <c r="CE296" s="50" t="s">
        <v>17749</v>
      </c>
      <c r="CF296" s="50" t="s">
        <v>17750</v>
      </c>
      <c r="CG296" s="50" t="s">
        <v>17751</v>
      </c>
      <c r="CH296" s="50" t="s">
        <v>1016</v>
      </c>
      <c r="CI296" s="50" t="s">
        <v>17752</v>
      </c>
      <c r="CK296" s="50" t="s">
        <v>17753</v>
      </c>
      <c r="CL296" s="50" t="s">
        <v>17754</v>
      </c>
      <c r="CM296" s="50" t="s">
        <v>17740</v>
      </c>
      <c r="CN296" s="50" t="s">
        <v>345</v>
      </c>
      <c r="CO296" s="50" t="s">
        <v>17753</v>
      </c>
      <c r="CQ296" s="50" t="s">
        <v>17755</v>
      </c>
      <c r="CR296" s="50" t="s">
        <v>17755</v>
      </c>
    </row>
    <row r="297" spans="1:97" hidden="1">
      <c r="A297" s="50" t="s">
        <v>337</v>
      </c>
      <c r="B297" s="50">
        <v>5017849</v>
      </c>
      <c r="C297" s="50" t="e">
        <f>VLOOKUP(B297,'Drop schools 2026'!B:C,2,0)</f>
        <v>#N/A</v>
      </c>
      <c r="D297" s="50" t="s">
        <v>122</v>
      </c>
      <c r="E297" s="50" t="s">
        <v>12507</v>
      </c>
      <c r="F297" s="50" t="s">
        <v>19218</v>
      </c>
      <c r="G297" s="50" t="str">
        <f>VLOOKUP(B297,aa!B:F,5,0)</f>
        <v>Ei CARES</v>
      </c>
      <c r="H297" s="50">
        <f>VLOOKUP(B297,aa!B:J,9,0)</f>
        <v>727932</v>
      </c>
      <c r="I297" s="50">
        <f>VLOOKUP(B297,aa!B:L,11,0)</f>
        <v>0</v>
      </c>
      <c r="J297" s="50">
        <f>VLOOKUP(B297,aa!B:O,14,0)</f>
        <v>727932</v>
      </c>
      <c r="K297" s="50">
        <f>VLOOKUP(B297,aa!B:R,17,0)</f>
        <v>0</v>
      </c>
      <c r="L297" s="50" t="s">
        <v>643</v>
      </c>
      <c r="M297" s="50">
        <v>503593</v>
      </c>
      <c r="N297" s="50">
        <v>503593</v>
      </c>
      <c r="O297" s="50">
        <v>0</v>
      </c>
      <c r="P297" s="50">
        <v>0</v>
      </c>
      <c r="R297" s="50">
        <v>503593</v>
      </c>
      <c r="S297" s="50">
        <v>294</v>
      </c>
      <c r="T297" s="50" t="s">
        <v>16842</v>
      </c>
      <c r="U297" s="50">
        <v>0</v>
      </c>
      <c r="V297" s="50">
        <v>386</v>
      </c>
      <c r="W297" s="50" t="s">
        <v>102</v>
      </c>
      <c r="X297" s="50" t="s">
        <v>102</v>
      </c>
      <c r="Y297" s="50" t="s">
        <v>679</v>
      </c>
      <c r="Z297" s="50" t="s">
        <v>155</v>
      </c>
      <c r="AA297" s="50" t="s">
        <v>13769</v>
      </c>
      <c r="AB297" s="50" t="s">
        <v>19220</v>
      </c>
      <c r="AC297" s="50" t="s">
        <v>19221</v>
      </c>
      <c r="AD297" s="50" t="s">
        <v>15488</v>
      </c>
      <c r="AE297" s="50" t="s">
        <v>19221</v>
      </c>
      <c r="AF297" s="50" t="s">
        <v>19222</v>
      </c>
      <c r="AG297" s="50" t="s">
        <v>19221</v>
      </c>
      <c r="AH297" s="50" t="s">
        <v>19223</v>
      </c>
      <c r="AI297" s="50" t="s">
        <v>19221</v>
      </c>
      <c r="AJ297" s="50" t="s">
        <v>19224</v>
      </c>
      <c r="AK297" s="50" t="s">
        <v>10221</v>
      </c>
      <c r="AL297" s="50" t="s">
        <v>16007</v>
      </c>
      <c r="AM297" s="50" t="s">
        <v>19225</v>
      </c>
      <c r="AN297" s="50" t="s">
        <v>19226</v>
      </c>
      <c r="AO297" s="50" t="s">
        <v>19227</v>
      </c>
      <c r="AP297" s="50" t="s">
        <v>19228</v>
      </c>
      <c r="AQ297" s="50" t="s">
        <v>19228</v>
      </c>
      <c r="AV297" s="50" t="s">
        <v>102</v>
      </c>
      <c r="AX297" s="50" t="s">
        <v>655</v>
      </c>
      <c r="AY297" s="50" t="s">
        <v>249</v>
      </c>
      <c r="AZ297" s="50" t="s">
        <v>170</v>
      </c>
      <c r="BA297" s="50" t="s">
        <v>118</v>
      </c>
      <c r="BB297" s="50" t="s">
        <v>250</v>
      </c>
      <c r="BC297" s="50" t="s">
        <v>120</v>
      </c>
      <c r="BD297" s="50" t="s">
        <v>7324</v>
      </c>
      <c r="BE297" s="50" t="s">
        <v>556</v>
      </c>
      <c r="BF297" s="50" t="s">
        <v>122</v>
      </c>
      <c r="BG297" s="50" t="s">
        <v>557</v>
      </c>
      <c r="BH297" s="50" t="s">
        <v>124</v>
      </c>
      <c r="BI297" s="50" t="s">
        <v>19229</v>
      </c>
      <c r="BJ297" s="50" t="s">
        <v>19230</v>
      </c>
      <c r="BK297" s="50" t="s">
        <v>127</v>
      </c>
      <c r="BL297" s="50" t="s">
        <v>19231</v>
      </c>
      <c r="BM297" s="50" t="s">
        <v>19232</v>
      </c>
      <c r="BN297" s="50" t="s">
        <v>19233</v>
      </c>
      <c r="BO297" s="50" t="s">
        <v>19219</v>
      </c>
      <c r="BP297" s="50" t="s">
        <v>19234</v>
      </c>
      <c r="BQ297" s="50" t="s">
        <v>350</v>
      </c>
      <c r="BR297" s="50" t="s">
        <v>19235</v>
      </c>
      <c r="BS297" s="50" t="s">
        <v>19236</v>
      </c>
      <c r="BT297" s="50" t="s">
        <v>566</v>
      </c>
      <c r="BV297" s="50" t="s">
        <v>19237</v>
      </c>
      <c r="BW297" s="50" t="s">
        <v>7329</v>
      </c>
      <c r="BX297" s="50" t="s">
        <v>138</v>
      </c>
      <c r="BY297" s="50" t="s">
        <v>19238</v>
      </c>
      <c r="BZ297" s="50" t="s">
        <v>7331</v>
      </c>
      <c r="CA297" s="50" t="s">
        <v>16852</v>
      </c>
      <c r="CB297" s="50" t="s">
        <v>19239</v>
      </c>
      <c r="CC297" s="50" t="s">
        <v>19238</v>
      </c>
      <c r="CD297" s="50" t="s">
        <v>19240</v>
      </c>
      <c r="CE297" s="50" t="s">
        <v>19239</v>
      </c>
      <c r="CF297" s="50" t="s">
        <v>19238</v>
      </c>
      <c r="CG297" s="50" t="s">
        <v>19240</v>
      </c>
      <c r="CH297" s="50" t="s">
        <v>19241</v>
      </c>
      <c r="CI297" s="50" t="s">
        <v>19242</v>
      </c>
      <c r="CK297" s="50" t="s">
        <v>7334</v>
      </c>
      <c r="CL297" s="50" t="s">
        <v>19243</v>
      </c>
      <c r="CM297" s="50" t="s">
        <v>7324</v>
      </c>
      <c r="CN297" s="50" t="s">
        <v>556</v>
      </c>
      <c r="CO297" s="50" t="s">
        <v>7334</v>
      </c>
      <c r="CP297" s="50" t="s">
        <v>19244</v>
      </c>
      <c r="CQ297" s="50" t="s">
        <v>19242</v>
      </c>
      <c r="CR297" s="50" t="s">
        <v>19242</v>
      </c>
    </row>
    <row r="298" spans="1:97">
      <c r="A298" s="50" t="s">
        <v>337</v>
      </c>
      <c r="B298" s="50">
        <v>3777013</v>
      </c>
      <c r="C298" s="50" t="e">
        <f>VLOOKUP(B298,'Drop schools 2026'!B:C,2,0)</f>
        <v>#N/A</v>
      </c>
      <c r="D298" s="50" t="s">
        <v>122</v>
      </c>
      <c r="E298" s="50" t="s">
        <v>12121</v>
      </c>
      <c r="F298" s="53" t="s">
        <v>7417</v>
      </c>
      <c r="G298" s="50" t="e">
        <f>VLOOKUP(B298,aa!B:F,5,0)</f>
        <v>#N/A</v>
      </c>
      <c r="H298" s="50" t="e">
        <f>VLOOKUP(B298,aa!B:J,9,0)</f>
        <v>#N/A</v>
      </c>
      <c r="I298" s="50" t="e">
        <f>VLOOKUP(B298,aa!B:L,11,0)</f>
        <v>#N/A</v>
      </c>
      <c r="J298" s="50" t="e">
        <f>VLOOKUP(B298,aa!B:O,14,0)</f>
        <v>#N/A</v>
      </c>
      <c r="K298" s="50" t="e">
        <f>VLOOKUP(B298,aa!B:R,17,0)</f>
        <v>#N/A</v>
      </c>
      <c r="L298" s="50" t="s">
        <v>152</v>
      </c>
      <c r="M298" s="50">
        <v>502071</v>
      </c>
      <c r="N298" s="50">
        <v>502071</v>
      </c>
      <c r="O298" s="50">
        <v>0</v>
      </c>
      <c r="P298" s="50">
        <v>0</v>
      </c>
      <c r="R298" s="50">
        <v>502071</v>
      </c>
      <c r="S298" s="50">
        <v>268</v>
      </c>
      <c r="T298" s="50" t="s">
        <v>1158</v>
      </c>
      <c r="U298" s="50">
        <v>0</v>
      </c>
      <c r="V298" s="50">
        <v>0</v>
      </c>
      <c r="X298" s="50" t="s">
        <v>102</v>
      </c>
      <c r="Y298" s="50" t="s">
        <v>103</v>
      </c>
      <c r="Z298" s="50" t="s">
        <v>398</v>
      </c>
      <c r="AB298" s="50" t="s">
        <v>442</v>
      </c>
      <c r="AC298" s="50" t="s">
        <v>16932</v>
      </c>
      <c r="AD298" s="50" t="s">
        <v>13340</v>
      </c>
      <c r="AE298" s="50" t="s">
        <v>16933</v>
      </c>
      <c r="AF298" s="50" t="s">
        <v>6895</v>
      </c>
      <c r="AG298" s="50" t="s">
        <v>16933</v>
      </c>
      <c r="AH298" s="50" t="s">
        <v>109</v>
      </c>
      <c r="AI298" s="50" t="s">
        <v>102</v>
      </c>
      <c r="AJ298" s="50" t="s">
        <v>16934</v>
      </c>
      <c r="AK298" s="50" t="s">
        <v>3280</v>
      </c>
      <c r="AL298" s="50" t="s">
        <v>13867</v>
      </c>
      <c r="AM298" s="50" t="s">
        <v>16935</v>
      </c>
      <c r="AN298" s="50" t="s">
        <v>16936</v>
      </c>
      <c r="AO298" s="50" t="s">
        <v>16937</v>
      </c>
      <c r="AP298" s="50" t="s">
        <v>16938</v>
      </c>
      <c r="AQ298" s="50" t="s">
        <v>16938</v>
      </c>
      <c r="AV298" s="50" t="s">
        <v>102</v>
      </c>
      <c r="AX298" s="50" t="s">
        <v>1758</v>
      </c>
      <c r="AY298" s="50" t="s">
        <v>119</v>
      </c>
      <c r="AZ298" s="50" t="s">
        <v>170</v>
      </c>
      <c r="BA298" s="50" t="s">
        <v>118</v>
      </c>
      <c r="BC298" s="50" t="s">
        <v>120</v>
      </c>
      <c r="BD298" s="50" t="s">
        <v>7420</v>
      </c>
      <c r="BE298" s="50" t="s">
        <v>556</v>
      </c>
      <c r="BF298" s="50" t="s">
        <v>122</v>
      </c>
      <c r="BG298" s="50" t="s">
        <v>557</v>
      </c>
      <c r="BH298" s="50" t="s">
        <v>124</v>
      </c>
      <c r="BI298" s="50" t="s">
        <v>12023</v>
      </c>
      <c r="BJ298" s="50" t="s">
        <v>11889</v>
      </c>
      <c r="BK298" s="50" t="s">
        <v>127</v>
      </c>
      <c r="BL298" s="50" t="s">
        <v>16939</v>
      </c>
      <c r="BM298" s="50" t="s">
        <v>7421</v>
      </c>
      <c r="BN298" s="50" t="s">
        <v>16940</v>
      </c>
      <c r="BO298" s="50" t="s">
        <v>648</v>
      </c>
      <c r="BP298" s="50" t="s">
        <v>563</v>
      </c>
      <c r="BQ298" s="50" t="s">
        <v>350</v>
      </c>
      <c r="BR298" s="50" t="s">
        <v>564</v>
      </c>
      <c r="BS298" s="50" t="s">
        <v>565</v>
      </c>
      <c r="BT298" s="50" t="s">
        <v>563</v>
      </c>
      <c r="BU298" s="50" t="s">
        <v>566</v>
      </c>
      <c r="BV298" s="50" t="s">
        <v>16941</v>
      </c>
      <c r="BW298" s="50" t="s">
        <v>7422</v>
      </c>
      <c r="BX298" s="50" t="s">
        <v>354</v>
      </c>
      <c r="BY298" s="50" t="s">
        <v>7423</v>
      </c>
      <c r="BZ298" s="50" t="s">
        <v>16942</v>
      </c>
      <c r="CA298" s="50" t="s">
        <v>7424</v>
      </c>
      <c r="CB298" s="50" t="s">
        <v>7425</v>
      </c>
      <c r="CC298" s="50" t="s">
        <v>7424</v>
      </c>
      <c r="CD298" s="50" t="s">
        <v>16943</v>
      </c>
      <c r="CE298" s="50" t="s">
        <v>7425</v>
      </c>
      <c r="CF298" s="50" t="s">
        <v>7424</v>
      </c>
      <c r="CG298" s="50" t="s">
        <v>16943</v>
      </c>
      <c r="CH298" s="50" t="s">
        <v>6457</v>
      </c>
      <c r="CI298" s="50" t="s">
        <v>7426</v>
      </c>
      <c r="CK298" s="50" t="s">
        <v>7427</v>
      </c>
      <c r="CL298" s="50" t="s">
        <v>7426</v>
      </c>
      <c r="CM298" s="50" t="s">
        <v>7420</v>
      </c>
      <c r="CN298" s="50" t="s">
        <v>556</v>
      </c>
      <c r="CO298" s="50" t="s">
        <v>7427</v>
      </c>
      <c r="CP298" s="50" t="s">
        <v>7428</v>
      </c>
      <c r="CQ298" s="50" t="s">
        <v>7426</v>
      </c>
      <c r="CR298" s="50" t="s">
        <v>7426</v>
      </c>
    </row>
    <row r="299" spans="1:97" hidden="1">
      <c r="A299" s="50" t="s">
        <v>337</v>
      </c>
      <c r="B299" s="50">
        <v>4164567</v>
      </c>
      <c r="C299" s="50" t="e">
        <f>VLOOKUP(B299,'Drop schools 2026'!B:C,2,0)</f>
        <v>#N/A</v>
      </c>
      <c r="D299" s="50" t="s">
        <v>212</v>
      </c>
      <c r="E299" s="50" t="s">
        <v>11995</v>
      </c>
      <c r="F299" s="50" t="s">
        <v>18227</v>
      </c>
      <c r="G299" s="50" t="e">
        <f>VLOOKUP(B299,aa!B:F,5,0)</f>
        <v>#N/A</v>
      </c>
      <c r="H299" s="50" t="e">
        <f>VLOOKUP(B299,aa!B:J,9,0)</f>
        <v>#N/A</v>
      </c>
      <c r="I299" s="50" t="e">
        <f>VLOOKUP(B299,aa!B:L,11,0)</f>
        <v>#N/A</v>
      </c>
      <c r="J299" s="50" t="e">
        <f>VLOOKUP(B299,aa!B:O,14,0)</f>
        <v>#N/A</v>
      </c>
      <c r="K299" s="50" t="e">
        <f>VLOOKUP(B299,aa!B:R,17,0)</f>
        <v>#N/A</v>
      </c>
      <c r="L299" s="50" t="s">
        <v>848</v>
      </c>
      <c r="M299" s="50">
        <v>501444</v>
      </c>
      <c r="N299" s="50">
        <v>591704</v>
      </c>
      <c r="O299" s="50">
        <v>0</v>
      </c>
      <c r="P299" s="50">
        <v>0</v>
      </c>
      <c r="R299" s="50">
        <v>0</v>
      </c>
      <c r="S299" s="50">
        <v>0</v>
      </c>
      <c r="U299" s="50">
        <v>501444</v>
      </c>
      <c r="V299" s="50">
        <v>370</v>
      </c>
      <c r="W299" s="50" t="s">
        <v>18228</v>
      </c>
      <c r="X299" s="50" t="s">
        <v>102</v>
      </c>
      <c r="Y299" s="50" t="s">
        <v>103</v>
      </c>
      <c r="Z299" s="50" t="s">
        <v>104</v>
      </c>
      <c r="AB299" s="50" t="s">
        <v>648</v>
      </c>
      <c r="AC299" s="50" t="s">
        <v>18229</v>
      </c>
      <c r="AD299" s="50" t="s">
        <v>411</v>
      </c>
      <c r="AE299" s="50" t="s">
        <v>18229</v>
      </c>
      <c r="AF299" s="50" t="s">
        <v>109</v>
      </c>
      <c r="AG299" s="50" t="s">
        <v>102</v>
      </c>
      <c r="AH299" s="50" t="s">
        <v>109</v>
      </c>
      <c r="AI299" s="50" t="s">
        <v>102</v>
      </c>
      <c r="AJ299" s="50" t="s">
        <v>102</v>
      </c>
      <c r="AK299" s="50" t="s">
        <v>648</v>
      </c>
      <c r="AL299" s="50" t="s">
        <v>12912</v>
      </c>
      <c r="AM299" s="50" t="s">
        <v>18230</v>
      </c>
      <c r="AN299" s="50" t="s">
        <v>18231</v>
      </c>
      <c r="AO299" s="50" t="s">
        <v>18232</v>
      </c>
      <c r="AP299" s="50" t="s">
        <v>18233</v>
      </c>
      <c r="AQ299" s="50" t="s">
        <v>18233</v>
      </c>
      <c r="AV299" s="50" t="s">
        <v>102</v>
      </c>
      <c r="AX299" s="50" t="s">
        <v>102</v>
      </c>
      <c r="AY299" s="50" t="s">
        <v>119</v>
      </c>
      <c r="BB299" s="50" t="s">
        <v>250</v>
      </c>
      <c r="BC299" s="50" t="s">
        <v>120</v>
      </c>
      <c r="BD299" s="50" t="s">
        <v>18234</v>
      </c>
      <c r="BE299" s="50" t="s">
        <v>6390</v>
      </c>
      <c r="BF299" s="50" t="s">
        <v>212</v>
      </c>
      <c r="BG299" s="50" t="s">
        <v>286</v>
      </c>
      <c r="BH299" s="50" t="s">
        <v>124</v>
      </c>
      <c r="BI299" s="50" t="s">
        <v>12023</v>
      </c>
      <c r="BJ299" s="50" t="s">
        <v>11889</v>
      </c>
      <c r="BK299" s="50" t="s">
        <v>127</v>
      </c>
      <c r="BL299" s="50" t="s">
        <v>18235</v>
      </c>
      <c r="BM299" s="50" t="s">
        <v>18236</v>
      </c>
      <c r="BN299" s="50" t="s">
        <v>18237</v>
      </c>
      <c r="BO299" s="50" t="s">
        <v>1523</v>
      </c>
      <c r="BP299" s="50" t="s">
        <v>17884</v>
      </c>
      <c r="BQ299" s="50" t="s">
        <v>132</v>
      </c>
      <c r="BR299" s="50" t="s">
        <v>17885</v>
      </c>
      <c r="BS299" s="50" t="s">
        <v>17886</v>
      </c>
      <c r="BT299" s="50" t="s">
        <v>17887</v>
      </c>
      <c r="BU299" s="50" t="s">
        <v>17559</v>
      </c>
      <c r="BV299" s="50" t="s">
        <v>18238</v>
      </c>
      <c r="BW299" s="50" t="s">
        <v>18239</v>
      </c>
      <c r="BX299" s="50" t="s">
        <v>138</v>
      </c>
      <c r="BY299" s="50" t="s">
        <v>18240</v>
      </c>
      <c r="BZ299" s="50" t="s">
        <v>18241</v>
      </c>
      <c r="CA299" s="50" t="s">
        <v>18242</v>
      </c>
      <c r="CB299" s="50" t="s">
        <v>18243</v>
      </c>
      <c r="CC299" s="50" t="s">
        <v>18240</v>
      </c>
      <c r="CD299" s="50" t="s">
        <v>18241</v>
      </c>
      <c r="CE299" s="50" t="s">
        <v>18243</v>
      </c>
      <c r="CF299" s="50" t="s">
        <v>18240</v>
      </c>
      <c r="CG299" s="50" t="s">
        <v>18241</v>
      </c>
      <c r="CH299" s="50" t="s">
        <v>907</v>
      </c>
      <c r="CI299" s="50" t="s">
        <v>18244</v>
      </c>
      <c r="CK299" s="50" t="s">
        <v>18245</v>
      </c>
      <c r="CL299" s="50" t="s">
        <v>18244</v>
      </c>
      <c r="CM299" s="50" t="s">
        <v>18234</v>
      </c>
      <c r="CN299" s="50" t="s">
        <v>6390</v>
      </c>
      <c r="CO299" s="50" t="s">
        <v>18245</v>
      </c>
      <c r="CQ299" s="50" t="s">
        <v>18244</v>
      </c>
      <c r="CR299" s="50" t="s">
        <v>18244</v>
      </c>
      <c r="CS299" s="50" t="s">
        <v>26042</v>
      </c>
    </row>
    <row r="300" spans="1:97" hidden="1">
      <c r="A300" s="50" t="s">
        <v>495</v>
      </c>
      <c r="B300" s="50">
        <v>365439</v>
      </c>
      <c r="C300" s="50" t="e">
        <f>VLOOKUP(B300,'Drop schools 2026'!B:C,2,0)</f>
        <v>#N/A</v>
      </c>
      <c r="D300" s="50" t="s">
        <v>622</v>
      </c>
      <c r="E300" s="50" t="s">
        <v>3562</v>
      </c>
      <c r="F300" s="50" t="s">
        <v>7036</v>
      </c>
      <c r="G300" s="50" t="str">
        <f>VLOOKUP(B300,aa!B:F,5,0)</f>
        <v>Ei ASSET</v>
      </c>
      <c r="H300" s="50">
        <f>VLOOKUP(B300,aa!B:J,9,0)</f>
        <v>259018</v>
      </c>
      <c r="I300" s="50">
        <f>VLOOKUP(B300,aa!B:L,11,0)</f>
        <v>259018</v>
      </c>
      <c r="J300" s="50">
        <f>VLOOKUP(B300,aa!B:O,14,0)</f>
        <v>0</v>
      </c>
      <c r="K300" s="50">
        <f>VLOOKUP(B300,aa!B:R,17,0)</f>
        <v>0</v>
      </c>
      <c r="L300" s="50" t="s">
        <v>97</v>
      </c>
      <c r="M300" s="50">
        <v>498338</v>
      </c>
      <c r="N300" s="50">
        <v>498338</v>
      </c>
      <c r="O300" s="50">
        <v>498338</v>
      </c>
      <c r="P300" s="50">
        <v>623</v>
      </c>
      <c r="Q300" s="50" t="s">
        <v>1297</v>
      </c>
      <c r="R300" s="50">
        <v>0</v>
      </c>
      <c r="S300" s="50">
        <v>0</v>
      </c>
      <c r="U300" s="50">
        <v>0</v>
      </c>
      <c r="V300" s="50">
        <v>0</v>
      </c>
      <c r="X300" s="50" t="s">
        <v>102</v>
      </c>
      <c r="Y300" s="50" t="s">
        <v>275</v>
      </c>
      <c r="AA300" s="50" t="s">
        <v>12041</v>
      </c>
      <c r="AB300" s="50" t="s">
        <v>109</v>
      </c>
      <c r="AC300" s="50" t="s">
        <v>102</v>
      </c>
      <c r="AD300" s="50" t="s">
        <v>109</v>
      </c>
      <c r="AE300" s="50" t="s">
        <v>102</v>
      </c>
      <c r="AF300" s="50" t="s">
        <v>109</v>
      </c>
      <c r="AG300" s="50" t="s">
        <v>102</v>
      </c>
      <c r="AH300" s="50" t="s">
        <v>109</v>
      </c>
      <c r="AI300" s="50" t="s">
        <v>102</v>
      </c>
      <c r="AJ300" s="50" t="s">
        <v>102</v>
      </c>
      <c r="AK300" s="50" t="s">
        <v>3849</v>
      </c>
      <c r="AL300" s="50" t="s">
        <v>3849</v>
      </c>
      <c r="AM300" s="50" t="s">
        <v>16713</v>
      </c>
      <c r="AN300" s="50" t="s">
        <v>16714</v>
      </c>
      <c r="AO300" s="50" t="s">
        <v>16715</v>
      </c>
      <c r="AP300" s="50" t="s">
        <v>6139</v>
      </c>
      <c r="AQ300" s="50" t="s">
        <v>16716</v>
      </c>
      <c r="AU300" s="50" t="s">
        <v>169</v>
      </c>
      <c r="AV300" s="50" t="s">
        <v>117</v>
      </c>
      <c r="AW300" s="50" t="s">
        <v>118</v>
      </c>
      <c r="AX300" s="50" t="s">
        <v>102</v>
      </c>
      <c r="AY300" s="50" t="s">
        <v>119</v>
      </c>
      <c r="BC300" s="50" t="s">
        <v>171</v>
      </c>
      <c r="BD300" s="50" t="s">
        <v>2327</v>
      </c>
      <c r="BE300" s="50" t="s">
        <v>730</v>
      </c>
      <c r="BF300" s="50" t="s">
        <v>622</v>
      </c>
      <c r="BG300" s="50" t="s">
        <v>730</v>
      </c>
      <c r="BH300" s="50" t="s">
        <v>124</v>
      </c>
      <c r="BI300" s="50" t="s">
        <v>11959</v>
      </c>
      <c r="BJ300" s="50" t="s">
        <v>11960</v>
      </c>
      <c r="BK300" s="50" t="s">
        <v>127</v>
      </c>
      <c r="BL300" s="50" t="s">
        <v>16717</v>
      </c>
      <c r="BM300" s="50" t="s">
        <v>7042</v>
      </c>
      <c r="BN300" s="50" t="s">
        <v>16718</v>
      </c>
      <c r="BO300" s="50" t="s">
        <v>13034</v>
      </c>
      <c r="BP300" s="50" t="s">
        <v>734</v>
      </c>
      <c r="BQ300" s="50" t="s">
        <v>350</v>
      </c>
      <c r="BR300" s="50" t="s">
        <v>735</v>
      </c>
      <c r="BS300" s="50" t="s">
        <v>736</v>
      </c>
      <c r="BT300" s="50" t="s">
        <v>2569</v>
      </c>
      <c r="BU300" s="50" t="s">
        <v>985</v>
      </c>
      <c r="BV300" s="50" t="s">
        <v>16719</v>
      </c>
      <c r="BW300" s="50" t="s">
        <v>7044</v>
      </c>
      <c r="BX300" s="50" t="s">
        <v>138</v>
      </c>
      <c r="BY300" s="50" t="s">
        <v>16720</v>
      </c>
      <c r="BZ300" s="50" t="s">
        <v>16721</v>
      </c>
      <c r="CA300" s="50" t="s">
        <v>7046</v>
      </c>
      <c r="CB300" s="50" t="s">
        <v>7044</v>
      </c>
      <c r="CC300" s="50" t="s">
        <v>16720</v>
      </c>
      <c r="CD300" s="50" t="s">
        <v>16721</v>
      </c>
      <c r="CE300" s="50" t="s">
        <v>13694</v>
      </c>
      <c r="CF300" s="50" t="s">
        <v>7046</v>
      </c>
      <c r="CG300" s="50" t="s">
        <v>13695</v>
      </c>
      <c r="CH300" s="50" t="s">
        <v>3841</v>
      </c>
      <c r="CI300" s="50" t="s">
        <v>13696</v>
      </c>
      <c r="CK300" s="50" t="s">
        <v>2982</v>
      </c>
      <c r="CL300" s="50" t="s">
        <v>13697</v>
      </c>
      <c r="CM300" s="50" t="s">
        <v>2327</v>
      </c>
      <c r="CN300" s="50" t="s">
        <v>730</v>
      </c>
      <c r="CO300" s="50" t="s">
        <v>2982</v>
      </c>
      <c r="CP300" s="50" t="s">
        <v>2983</v>
      </c>
      <c r="CQ300" s="50" t="s">
        <v>7047</v>
      </c>
      <c r="CR300" s="50" t="s">
        <v>7047</v>
      </c>
    </row>
    <row r="301" spans="1:97" hidden="1">
      <c r="A301" s="50" t="s">
        <v>337</v>
      </c>
      <c r="B301" s="50">
        <v>2508568</v>
      </c>
      <c r="C301" s="50" t="e">
        <f>VLOOKUP(B301,'Drop schools 2026'!B:C,2,0)</f>
        <v>#N/A</v>
      </c>
      <c r="D301" s="50" t="s">
        <v>122</v>
      </c>
      <c r="E301" s="50" t="s">
        <v>12018</v>
      </c>
      <c r="F301" s="50" t="s">
        <v>14300</v>
      </c>
      <c r="G301" s="50" t="str">
        <f>VLOOKUP(B301,aa!B:F,5,0)</f>
        <v>Ei CARES</v>
      </c>
      <c r="H301" s="50">
        <f>VLOOKUP(B301,aa!B:J,9,0)</f>
        <v>405266</v>
      </c>
      <c r="I301" s="50">
        <f>VLOOKUP(B301,aa!B:L,11,0)</f>
        <v>0</v>
      </c>
      <c r="J301" s="50">
        <f>VLOOKUP(B301,aa!B:O,14,0)</f>
        <v>405266</v>
      </c>
      <c r="K301" s="50">
        <f>VLOOKUP(B301,aa!B:R,17,0)</f>
        <v>0</v>
      </c>
      <c r="L301" s="50" t="s">
        <v>152</v>
      </c>
      <c r="M301" s="50">
        <v>498000</v>
      </c>
      <c r="N301" s="50">
        <v>498000</v>
      </c>
      <c r="O301" s="50">
        <v>0</v>
      </c>
      <c r="P301" s="50">
        <v>0</v>
      </c>
      <c r="R301" s="50">
        <v>498000</v>
      </c>
      <c r="S301" s="50">
        <v>678</v>
      </c>
      <c r="T301" s="50" t="s">
        <v>14301</v>
      </c>
      <c r="U301" s="50">
        <v>0</v>
      </c>
      <c r="V301" s="50">
        <v>0</v>
      </c>
      <c r="X301" s="50" t="s">
        <v>102</v>
      </c>
      <c r="Y301" s="50" t="s">
        <v>679</v>
      </c>
      <c r="Z301" s="50" t="s">
        <v>155</v>
      </c>
      <c r="AA301" s="50" t="s">
        <v>12211</v>
      </c>
      <c r="AB301" s="50" t="s">
        <v>12212</v>
      </c>
      <c r="AC301" s="50" t="s">
        <v>14302</v>
      </c>
      <c r="AD301" s="50" t="s">
        <v>12214</v>
      </c>
      <c r="AE301" s="50" t="s">
        <v>14302</v>
      </c>
      <c r="AF301" s="50" t="s">
        <v>12215</v>
      </c>
      <c r="AG301" s="50" t="s">
        <v>14302</v>
      </c>
      <c r="AH301" s="50" t="s">
        <v>12216</v>
      </c>
      <c r="AI301" s="50" t="s">
        <v>14302</v>
      </c>
      <c r="AJ301" s="50" t="s">
        <v>102</v>
      </c>
      <c r="AK301" s="50" t="s">
        <v>12217</v>
      </c>
      <c r="AL301" s="50" t="s">
        <v>12217</v>
      </c>
      <c r="AM301" s="50" t="s">
        <v>14303</v>
      </c>
      <c r="AN301" s="50" t="s">
        <v>14304</v>
      </c>
      <c r="AO301" s="50" t="s">
        <v>14305</v>
      </c>
      <c r="AP301" s="50" t="s">
        <v>12221</v>
      </c>
      <c r="AQ301" s="50" t="s">
        <v>12221</v>
      </c>
      <c r="AV301" s="50" t="s">
        <v>102</v>
      </c>
      <c r="AX301" s="50" t="s">
        <v>12222</v>
      </c>
      <c r="AY301" s="50" t="s">
        <v>447</v>
      </c>
      <c r="BA301" s="50" t="s">
        <v>250</v>
      </c>
      <c r="BC301" s="50" t="s">
        <v>120</v>
      </c>
      <c r="BD301" s="50" t="s">
        <v>3490</v>
      </c>
      <c r="BE301" s="50" t="s">
        <v>345</v>
      </c>
      <c r="BF301" s="50" t="s">
        <v>122</v>
      </c>
      <c r="BG301" s="50" t="s">
        <v>346</v>
      </c>
      <c r="BH301" s="50" t="s">
        <v>124</v>
      </c>
      <c r="BI301" s="50" t="s">
        <v>12023</v>
      </c>
      <c r="BJ301" s="50" t="s">
        <v>11889</v>
      </c>
      <c r="BK301" s="50" t="s">
        <v>127</v>
      </c>
      <c r="BL301" s="50" t="s">
        <v>14306</v>
      </c>
      <c r="BM301" s="50" t="s">
        <v>14307</v>
      </c>
      <c r="BN301" s="50" t="s">
        <v>14308</v>
      </c>
      <c r="BO301" s="50" t="s">
        <v>12209</v>
      </c>
      <c r="BP301" s="50" t="s">
        <v>12226</v>
      </c>
      <c r="BQ301" s="50" t="s">
        <v>5833</v>
      </c>
      <c r="BR301" s="50" t="s">
        <v>12228</v>
      </c>
      <c r="BS301" s="50" t="s">
        <v>12229</v>
      </c>
      <c r="BT301" s="50" t="s">
        <v>8623</v>
      </c>
      <c r="BV301" s="50" t="s">
        <v>14309</v>
      </c>
      <c r="BW301" s="50" t="s">
        <v>12231</v>
      </c>
      <c r="BX301" s="50" t="s">
        <v>354</v>
      </c>
      <c r="BY301" s="50" t="s">
        <v>12232</v>
      </c>
      <c r="BZ301" s="50" t="s">
        <v>12233</v>
      </c>
      <c r="CA301" s="50" t="s">
        <v>14310</v>
      </c>
      <c r="CB301" s="50" t="s">
        <v>12235</v>
      </c>
      <c r="CC301" s="50" t="s">
        <v>14311</v>
      </c>
      <c r="CD301" s="50" t="s">
        <v>12236</v>
      </c>
      <c r="CE301" s="50" t="s">
        <v>12237</v>
      </c>
      <c r="CF301" s="50" t="s">
        <v>14312</v>
      </c>
      <c r="CG301" s="50" t="s">
        <v>12239</v>
      </c>
      <c r="CH301" s="50" t="s">
        <v>907</v>
      </c>
      <c r="CI301" s="50" t="s">
        <v>14313</v>
      </c>
      <c r="CK301" s="50" t="s">
        <v>14314</v>
      </c>
      <c r="CL301" s="50" t="s">
        <v>14313</v>
      </c>
      <c r="CM301" s="50" t="s">
        <v>3490</v>
      </c>
      <c r="CN301" s="50" t="s">
        <v>345</v>
      </c>
      <c r="CO301" s="50" t="s">
        <v>14314</v>
      </c>
      <c r="CQ301" s="50" t="s">
        <v>14315</v>
      </c>
      <c r="CR301" s="50" t="s">
        <v>14315</v>
      </c>
    </row>
    <row r="302" spans="1:97" hidden="1">
      <c r="A302" s="50" t="s">
        <v>149</v>
      </c>
      <c r="B302" s="50">
        <v>2448365</v>
      </c>
      <c r="C302" s="50" t="e">
        <f>VLOOKUP(B302,'Drop schools 2026'!B:C,2,0)</f>
        <v>#N/A</v>
      </c>
      <c r="D302" s="50" t="s">
        <v>122</v>
      </c>
      <c r="E302" s="50" t="s">
        <v>12121</v>
      </c>
      <c r="F302" s="50" t="s">
        <v>3372</v>
      </c>
      <c r="G302" s="50" t="e">
        <f>VLOOKUP(B302,aa!B:F,5,0)</f>
        <v>#N/A</v>
      </c>
      <c r="H302" s="50" t="e">
        <f>VLOOKUP(B302,aa!B:J,9,0)</f>
        <v>#N/A</v>
      </c>
      <c r="I302" s="50" t="e">
        <f>VLOOKUP(B302,aa!B:L,11,0)</f>
        <v>#N/A</v>
      </c>
      <c r="J302" s="50" t="e">
        <f>VLOOKUP(B302,aa!B:O,14,0)</f>
        <v>#N/A</v>
      </c>
      <c r="K302" s="50" t="e">
        <f>VLOOKUP(B302,aa!B:R,17,0)</f>
        <v>#N/A</v>
      </c>
      <c r="L302" s="50" t="s">
        <v>152</v>
      </c>
      <c r="M302" s="50">
        <v>497987</v>
      </c>
      <c r="N302" s="50">
        <v>497987</v>
      </c>
      <c r="O302" s="50">
        <v>0</v>
      </c>
      <c r="P302" s="50">
        <v>0</v>
      </c>
      <c r="R302" s="50">
        <v>497987</v>
      </c>
      <c r="S302" s="50">
        <v>332</v>
      </c>
      <c r="T302" s="50" t="s">
        <v>6441</v>
      </c>
      <c r="U302" s="50">
        <v>0</v>
      </c>
      <c r="V302" s="50">
        <v>0</v>
      </c>
      <c r="X302" s="50" t="s">
        <v>102</v>
      </c>
      <c r="Y302" s="50" t="s">
        <v>103</v>
      </c>
      <c r="Z302" s="50" t="s">
        <v>155</v>
      </c>
      <c r="AB302" s="50" t="s">
        <v>12492</v>
      </c>
      <c r="AC302" s="50" t="s">
        <v>13962</v>
      </c>
      <c r="AD302" s="50" t="s">
        <v>12040</v>
      </c>
      <c r="AE302" s="50" t="s">
        <v>13962</v>
      </c>
      <c r="AF302" s="50" t="s">
        <v>12427</v>
      </c>
      <c r="AG302" s="50" t="s">
        <v>13962</v>
      </c>
      <c r="AH302" s="50" t="s">
        <v>13395</v>
      </c>
      <c r="AI302" s="50" t="s">
        <v>13962</v>
      </c>
      <c r="AJ302" s="50" t="s">
        <v>13963</v>
      </c>
      <c r="AK302" s="50" t="s">
        <v>13174</v>
      </c>
      <c r="AL302" s="50" t="s">
        <v>13964</v>
      </c>
      <c r="AM302" s="50" t="s">
        <v>13965</v>
      </c>
      <c r="AN302" s="50" t="s">
        <v>13966</v>
      </c>
      <c r="AO302" s="50" t="s">
        <v>13967</v>
      </c>
      <c r="AP302" s="50" t="s">
        <v>13968</v>
      </c>
      <c r="AQ302" s="50" t="s">
        <v>13968</v>
      </c>
      <c r="AV302" s="50" t="s">
        <v>102</v>
      </c>
      <c r="AX302" s="50" t="s">
        <v>155</v>
      </c>
      <c r="AY302" s="50" t="s">
        <v>119</v>
      </c>
      <c r="AZ302" s="50" t="s">
        <v>170</v>
      </c>
      <c r="BA302" s="50" t="s">
        <v>118</v>
      </c>
      <c r="BC302" s="50" t="s">
        <v>120</v>
      </c>
      <c r="BD302" s="50" t="s">
        <v>1433</v>
      </c>
      <c r="BE302" s="50" t="s">
        <v>556</v>
      </c>
      <c r="BF302" s="50" t="s">
        <v>122</v>
      </c>
      <c r="BG302" s="50" t="s">
        <v>557</v>
      </c>
      <c r="BH302" s="50" t="s">
        <v>124</v>
      </c>
      <c r="BI302" s="50" t="s">
        <v>12023</v>
      </c>
      <c r="BJ302" s="50" t="s">
        <v>11889</v>
      </c>
      <c r="BK302" s="50" t="s">
        <v>127</v>
      </c>
      <c r="BL302" s="50" t="s">
        <v>13969</v>
      </c>
      <c r="BM302" s="50" t="s">
        <v>3386</v>
      </c>
      <c r="BN302" s="50" t="s">
        <v>13970</v>
      </c>
      <c r="BO302" s="50" t="s">
        <v>12692</v>
      </c>
      <c r="BP302" s="50" t="s">
        <v>1142</v>
      </c>
      <c r="BQ302" s="50" t="s">
        <v>132</v>
      </c>
      <c r="BR302" s="50" t="s">
        <v>1143</v>
      </c>
      <c r="BS302" s="50" t="s">
        <v>1144</v>
      </c>
      <c r="BT302" s="50" t="s">
        <v>566</v>
      </c>
      <c r="BV302" s="50" t="s">
        <v>13971</v>
      </c>
      <c r="BW302" s="50" t="s">
        <v>13972</v>
      </c>
      <c r="BX302" s="50" t="s">
        <v>354</v>
      </c>
      <c r="BY302" s="50" t="s">
        <v>13973</v>
      </c>
      <c r="BZ302" s="50" t="s">
        <v>3391</v>
      </c>
      <c r="CA302" s="50" t="s">
        <v>3392</v>
      </c>
      <c r="CB302" s="50" t="s">
        <v>13972</v>
      </c>
      <c r="CC302" s="50" t="s">
        <v>13973</v>
      </c>
      <c r="CD302" s="50" t="s">
        <v>3391</v>
      </c>
      <c r="CE302" s="50" t="s">
        <v>13972</v>
      </c>
      <c r="CF302" s="50" t="s">
        <v>13973</v>
      </c>
      <c r="CG302" s="50" t="s">
        <v>3391</v>
      </c>
      <c r="CH302" s="50" t="s">
        <v>102</v>
      </c>
      <c r="CI302" s="50" t="s">
        <v>13974</v>
      </c>
      <c r="CK302" s="50" t="s">
        <v>1445</v>
      </c>
      <c r="CM302" s="50" t="s">
        <v>1433</v>
      </c>
      <c r="CN302" s="50" t="s">
        <v>556</v>
      </c>
      <c r="CO302" s="50" t="s">
        <v>1445</v>
      </c>
      <c r="CP302" s="50" t="s">
        <v>3394</v>
      </c>
      <c r="CQ302" s="50" t="s">
        <v>3393</v>
      </c>
      <c r="CR302" s="50" t="s">
        <v>3393</v>
      </c>
    </row>
    <row r="303" spans="1:97" hidden="1">
      <c r="A303" s="50" t="s">
        <v>337</v>
      </c>
      <c r="B303" s="50">
        <v>559960</v>
      </c>
      <c r="C303" s="50" t="e">
        <f>VLOOKUP(B303,'Drop schools 2026'!B:C,2,0)</f>
        <v>#N/A</v>
      </c>
      <c r="D303" s="50" t="s">
        <v>212</v>
      </c>
      <c r="E303" s="50" t="s">
        <v>23397</v>
      </c>
      <c r="F303" s="50" t="s">
        <v>21129</v>
      </c>
      <c r="G303" s="50" t="e">
        <f>VLOOKUP(B303,aa!B:F,5,0)</f>
        <v>#N/A</v>
      </c>
      <c r="H303" s="50" t="e">
        <f>VLOOKUP(B303,aa!B:J,9,0)</f>
        <v>#N/A</v>
      </c>
      <c r="I303" s="50" t="e">
        <f>VLOOKUP(B303,aa!B:L,11,0)</f>
        <v>#N/A</v>
      </c>
      <c r="J303" s="50" t="e">
        <f>VLOOKUP(B303,aa!B:O,14,0)</f>
        <v>#N/A</v>
      </c>
      <c r="K303" s="50" t="e">
        <f>VLOOKUP(B303,aa!B:R,17,0)</f>
        <v>#N/A</v>
      </c>
      <c r="L303" s="50" t="s">
        <v>97</v>
      </c>
      <c r="M303" s="50">
        <v>495000</v>
      </c>
      <c r="N303" s="50">
        <v>495000</v>
      </c>
      <c r="O303" s="50">
        <v>495000</v>
      </c>
      <c r="P303" s="50">
        <v>825</v>
      </c>
      <c r="Q303" s="50" t="s">
        <v>310</v>
      </c>
      <c r="R303" s="50">
        <v>0</v>
      </c>
      <c r="S303" s="50">
        <v>0</v>
      </c>
      <c r="U303" s="50">
        <v>0</v>
      </c>
      <c r="V303" s="50">
        <v>0</v>
      </c>
      <c r="X303" s="50" t="s">
        <v>102</v>
      </c>
      <c r="Y303" s="50" t="s">
        <v>103</v>
      </c>
      <c r="Z303" s="50" t="s">
        <v>398</v>
      </c>
      <c r="AB303" s="50" t="s">
        <v>12128</v>
      </c>
      <c r="AC303" s="50" t="s">
        <v>21130</v>
      </c>
      <c r="AD303" s="50" t="s">
        <v>12836</v>
      </c>
      <c r="AE303" s="50" t="s">
        <v>21131</v>
      </c>
      <c r="AF303" s="50" t="s">
        <v>12838</v>
      </c>
      <c r="AG303" s="50" t="s">
        <v>21131</v>
      </c>
      <c r="AH303" s="50" t="s">
        <v>109</v>
      </c>
      <c r="AI303" s="50" t="s">
        <v>102</v>
      </c>
      <c r="AJ303" s="50" t="s">
        <v>102</v>
      </c>
      <c r="AM303" s="50" t="s">
        <v>21132</v>
      </c>
      <c r="AN303" s="50" t="s">
        <v>102</v>
      </c>
      <c r="AO303" s="50" t="s">
        <v>21132</v>
      </c>
      <c r="AP303" s="50" t="s">
        <v>317</v>
      </c>
      <c r="AQ303" s="50" t="s">
        <v>317</v>
      </c>
      <c r="AV303" s="50" t="s">
        <v>318</v>
      </c>
      <c r="AW303" s="50" t="s">
        <v>118</v>
      </c>
      <c r="AX303" s="50" t="s">
        <v>102</v>
      </c>
      <c r="AY303" s="50" t="s">
        <v>119</v>
      </c>
      <c r="BC303" s="50" t="s">
        <v>120</v>
      </c>
      <c r="BD303" s="50" t="s">
        <v>920</v>
      </c>
      <c r="BE303" s="50" t="s">
        <v>211</v>
      </c>
      <c r="BF303" s="50" t="s">
        <v>212</v>
      </c>
      <c r="BG303" s="50" t="s">
        <v>213</v>
      </c>
      <c r="BH303" s="50" t="s">
        <v>124</v>
      </c>
      <c r="BI303" s="50" t="s">
        <v>12023</v>
      </c>
      <c r="BJ303" s="50" t="s">
        <v>11889</v>
      </c>
      <c r="BK303" s="50" t="s">
        <v>127</v>
      </c>
      <c r="BL303" s="50" t="s">
        <v>21133</v>
      </c>
      <c r="BM303" s="50" t="s">
        <v>21134</v>
      </c>
      <c r="BN303" s="50" t="s">
        <v>21135</v>
      </c>
      <c r="BO303" s="50" t="s">
        <v>411</v>
      </c>
      <c r="BP303" s="50" t="s">
        <v>480</v>
      </c>
      <c r="BQ303" s="50" t="s">
        <v>505</v>
      </c>
      <c r="BR303" s="50" t="s">
        <v>481</v>
      </c>
      <c r="BS303" s="50" t="s">
        <v>482</v>
      </c>
      <c r="BT303" s="50" t="s">
        <v>2593</v>
      </c>
      <c r="BU303" s="50" t="s">
        <v>4997</v>
      </c>
      <c r="BV303" s="50" t="s">
        <v>21136</v>
      </c>
      <c r="BW303" s="50" t="s">
        <v>21137</v>
      </c>
      <c r="BX303" s="50" t="s">
        <v>138</v>
      </c>
      <c r="BY303" s="50" t="s">
        <v>481</v>
      </c>
      <c r="BZ303" s="50" t="s">
        <v>12845</v>
      </c>
      <c r="CA303" s="50" t="s">
        <v>21138</v>
      </c>
      <c r="CB303" s="50" t="s">
        <v>21139</v>
      </c>
      <c r="CC303" s="50" t="s">
        <v>21140</v>
      </c>
      <c r="CD303" s="50" t="s">
        <v>21141</v>
      </c>
      <c r="CE303" s="50" t="s">
        <v>21142</v>
      </c>
      <c r="CF303" s="50" t="s">
        <v>21143</v>
      </c>
      <c r="CG303" s="50" t="s">
        <v>21144</v>
      </c>
      <c r="CH303" s="50" t="s">
        <v>5581</v>
      </c>
      <c r="CI303" s="50" t="s">
        <v>21145</v>
      </c>
      <c r="CK303" s="50" t="s">
        <v>21146</v>
      </c>
      <c r="CL303" s="50" t="s">
        <v>21145</v>
      </c>
      <c r="CM303" s="50" t="s">
        <v>920</v>
      </c>
      <c r="CN303" s="50" t="s">
        <v>211</v>
      </c>
      <c r="CO303" s="50" t="s">
        <v>21146</v>
      </c>
      <c r="CQ303" s="50" t="s">
        <v>21147</v>
      </c>
      <c r="CR303" s="50" t="s">
        <v>21147</v>
      </c>
    </row>
    <row r="304" spans="1:97">
      <c r="A304" s="50" t="s">
        <v>337</v>
      </c>
      <c r="B304" s="50">
        <v>1338674</v>
      </c>
      <c r="C304" s="50" t="str">
        <f>VLOOKUP(B304,'Drop schools 2026'!B:C,2,0)</f>
        <v>Drop</v>
      </c>
      <c r="D304" s="50" t="s">
        <v>122</v>
      </c>
      <c r="E304" s="50" t="s">
        <v>11882</v>
      </c>
      <c r="F304" s="50" t="s">
        <v>12442</v>
      </c>
      <c r="G304" s="50" t="e">
        <f>VLOOKUP(B304,aa!B:F,5,0)</f>
        <v>#N/A</v>
      </c>
      <c r="H304" s="50" t="e">
        <f>VLOOKUP(B304,aa!B:J,9,0)</f>
        <v>#N/A</v>
      </c>
      <c r="I304" s="50" t="e">
        <f>VLOOKUP(B304,aa!B:L,11,0)</f>
        <v>#N/A</v>
      </c>
      <c r="J304" s="50" t="e">
        <f>VLOOKUP(B304,aa!B:O,14,0)</f>
        <v>#N/A</v>
      </c>
      <c r="K304" s="50" t="e">
        <f>VLOOKUP(B304,aa!B:R,17,0)</f>
        <v>#N/A</v>
      </c>
      <c r="L304" s="50" t="s">
        <v>152</v>
      </c>
      <c r="M304" s="50">
        <v>494546</v>
      </c>
      <c r="N304" s="50">
        <v>494546</v>
      </c>
      <c r="O304" s="50">
        <v>0</v>
      </c>
      <c r="P304" s="50">
        <v>0</v>
      </c>
      <c r="R304" s="50">
        <v>494546</v>
      </c>
      <c r="S304" s="50">
        <v>575</v>
      </c>
      <c r="T304" s="50" t="s">
        <v>12443</v>
      </c>
      <c r="U304" s="50">
        <v>0</v>
      </c>
      <c r="V304" s="50">
        <v>0</v>
      </c>
      <c r="X304" s="50" t="s">
        <v>102</v>
      </c>
      <c r="Y304" s="50" t="s">
        <v>103</v>
      </c>
      <c r="Z304" s="50" t="s">
        <v>155</v>
      </c>
      <c r="AB304" s="50" t="s">
        <v>1631</v>
      </c>
      <c r="AC304" s="50" t="s">
        <v>12444</v>
      </c>
      <c r="AD304" s="50" t="s">
        <v>1408</v>
      </c>
      <c r="AE304" s="50" t="s">
        <v>12444</v>
      </c>
      <c r="AF304" s="50" t="s">
        <v>12289</v>
      </c>
      <c r="AG304" s="50" t="s">
        <v>12444</v>
      </c>
      <c r="AH304" s="50" t="s">
        <v>11886</v>
      </c>
      <c r="AI304" s="50" t="s">
        <v>12444</v>
      </c>
      <c r="AJ304" s="50" t="s">
        <v>102</v>
      </c>
      <c r="AK304" s="50" t="s">
        <v>9246</v>
      </c>
      <c r="AL304" s="50" t="s">
        <v>9246</v>
      </c>
      <c r="AM304" s="50" t="s">
        <v>12445</v>
      </c>
      <c r="AN304" s="50" t="s">
        <v>12446</v>
      </c>
      <c r="AO304" s="50" t="s">
        <v>12447</v>
      </c>
      <c r="AP304" s="50" t="s">
        <v>12448</v>
      </c>
      <c r="AQ304" s="50" t="s">
        <v>12448</v>
      </c>
      <c r="AV304" s="50" t="s">
        <v>102</v>
      </c>
      <c r="AX304" s="50" t="s">
        <v>155</v>
      </c>
      <c r="AY304" s="50" t="s">
        <v>119</v>
      </c>
      <c r="AZ304" s="50" t="s">
        <v>170</v>
      </c>
      <c r="BA304" s="50" t="s">
        <v>118</v>
      </c>
      <c r="BC304" s="50" t="s">
        <v>120</v>
      </c>
      <c r="BD304" s="50" t="s">
        <v>12449</v>
      </c>
      <c r="BE304" s="50" t="s">
        <v>252</v>
      </c>
      <c r="BF304" s="50" t="s">
        <v>122</v>
      </c>
      <c r="BG304" s="50" t="s">
        <v>253</v>
      </c>
      <c r="BH304" s="50" t="s">
        <v>124</v>
      </c>
      <c r="BI304" s="50" t="s">
        <v>12023</v>
      </c>
      <c r="BJ304" s="50" t="s">
        <v>11889</v>
      </c>
      <c r="BK304" s="50" t="s">
        <v>127</v>
      </c>
      <c r="BL304" s="50" t="s">
        <v>12450</v>
      </c>
      <c r="BM304" s="50" t="s">
        <v>12451</v>
      </c>
      <c r="BN304" s="50" t="s">
        <v>12452</v>
      </c>
      <c r="BO304" s="50" t="s">
        <v>3880</v>
      </c>
      <c r="BP304" s="50" t="s">
        <v>12453</v>
      </c>
      <c r="BQ304" s="50" t="s">
        <v>350</v>
      </c>
      <c r="BR304" s="50" t="s">
        <v>12454</v>
      </c>
      <c r="BS304" s="50" t="s">
        <v>12455</v>
      </c>
      <c r="BT304" s="50" t="s">
        <v>1995</v>
      </c>
      <c r="BU304" s="50" t="s">
        <v>5574</v>
      </c>
      <c r="BV304" s="50" t="s">
        <v>12456</v>
      </c>
      <c r="BW304" s="50" t="s">
        <v>12457</v>
      </c>
      <c r="BX304" s="50" t="s">
        <v>354</v>
      </c>
      <c r="BY304" s="50" t="s">
        <v>225</v>
      </c>
      <c r="BZ304" s="50" t="s">
        <v>12458</v>
      </c>
      <c r="CA304" s="50" t="s">
        <v>12459</v>
      </c>
      <c r="CB304" s="50" t="s">
        <v>12460</v>
      </c>
      <c r="CC304" s="50" t="s">
        <v>12459</v>
      </c>
      <c r="CD304" s="50" t="s">
        <v>12461</v>
      </c>
      <c r="CE304" s="50" t="s">
        <v>12460</v>
      </c>
      <c r="CF304" s="50" t="s">
        <v>12459</v>
      </c>
      <c r="CG304" s="50" t="s">
        <v>12461</v>
      </c>
      <c r="CH304" s="50" t="s">
        <v>9917</v>
      </c>
      <c r="CI304" s="50" t="s">
        <v>12462</v>
      </c>
      <c r="CK304" s="50" t="s">
        <v>12463</v>
      </c>
      <c r="CM304" s="50" t="s">
        <v>12449</v>
      </c>
      <c r="CN304" s="50" t="s">
        <v>252</v>
      </c>
      <c r="CO304" s="50" t="s">
        <v>12464</v>
      </c>
      <c r="CQ304" s="50" t="s">
        <v>12465</v>
      </c>
      <c r="CR304" s="50" t="s">
        <v>12465</v>
      </c>
    </row>
    <row r="305" spans="1:97" hidden="1">
      <c r="A305" s="50" t="s">
        <v>495</v>
      </c>
      <c r="B305" s="50">
        <v>3302667</v>
      </c>
      <c r="C305" s="50" t="e">
        <f>VLOOKUP(B305,'Drop schools 2026'!B:C,2,0)</f>
        <v>#N/A</v>
      </c>
      <c r="D305" s="50" t="s">
        <v>622</v>
      </c>
      <c r="E305" s="50" t="s">
        <v>2525</v>
      </c>
      <c r="F305" s="50" t="s">
        <v>5394</v>
      </c>
      <c r="G305" s="50" t="str">
        <f>VLOOKUP(B305,aa!B:F,5,0)</f>
        <v>Ei ASSET, Ei CARES</v>
      </c>
      <c r="H305" s="50">
        <f>VLOOKUP(B305,aa!B:J,9,0)</f>
        <v>591327</v>
      </c>
      <c r="I305" s="50">
        <f>VLOOKUP(B305,aa!B:L,11,0)</f>
        <v>67500</v>
      </c>
      <c r="J305" s="50">
        <f>VLOOKUP(B305,aa!B:O,14,0)</f>
        <v>523827</v>
      </c>
      <c r="K305" s="50">
        <f>VLOOKUP(B305,aa!B:R,17,0)</f>
        <v>0</v>
      </c>
      <c r="L305" s="50" t="s">
        <v>152</v>
      </c>
      <c r="M305" s="50">
        <v>493638</v>
      </c>
      <c r="N305" s="50">
        <v>493638</v>
      </c>
      <c r="O305" s="50">
        <v>0</v>
      </c>
      <c r="P305" s="50">
        <v>0</v>
      </c>
      <c r="R305" s="50">
        <v>493638</v>
      </c>
      <c r="S305" s="50">
        <v>524</v>
      </c>
      <c r="T305" s="50" t="s">
        <v>15452</v>
      </c>
      <c r="U305" s="50">
        <v>0</v>
      </c>
      <c r="V305" s="50">
        <v>0</v>
      </c>
      <c r="X305" s="50" t="s">
        <v>102</v>
      </c>
      <c r="Y305" s="50" t="s">
        <v>103</v>
      </c>
      <c r="Z305" s="50" t="s">
        <v>104</v>
      </c>
      <c r="AB305" s="50" t="s">
        <v>8708</v>
      </c>
      <c r="AC305" s="50" t="s">
        <v>15453</v>
      </c>
      <c r="AD305" s="50" t="s">
        <v>12327</v>
      </c>
      <c r="AE305" s="50" t="s">
        <v>15453</v>
      </c>
      <c r="AF305" s="50" t="s">
        <v>109</v>
      </c>
      <c r="AG305" s="50" t="s">
        <v>102</v>
      </c>
      <c r="AH305" s="50" t="s">
        <v>109</v>
      </c>
      <c r="AI305" s="50" t="s">
        <v>102</v>
      </c>
      <c r="AJ305" s="50" t="s">
        <v>15454</v>
      </c>
      <c r="AK305" s="50" t="s">
        <v>12429</v>
      </c>
      <c r="AL305" s="50" t="s">
        <v>11952</v>
      </c>
      <c r="AM305" s="50" t="s">
        <v>15455</v>
      </c>
      <c r="AN305" s="50" t="s">
        <v>15456</v>
      </c>
      <c r="AO305" s="50" t="s">
        <v>15457</v>
      </c>
      <c r="AP305" s="50" t="s">
        <v>727</v>
      </c>
      <c r="AQ305" s="50" t="s">
        <v>15458</v>
      </c>
      <c r="AU305" s="50" t="s">
        <v>169</v>
      </c>
      <c r="AV305" s="50" t="s">
        <v>102</v>
      </c>
      <c r="AX305" s="50" t="s">
        <v>155</v>
      </c>
      <c r="AY305" s="50" t="s">
        <v>119</v>
      </c>
      <c r="AZ305" s="50" t="s">
        <v>170</v>
      </c>
      <c r="BA305" s="50" t="s">
        <v>118</v>
      </c>
      <c r="BC305" s="50" t="s">
        <v>120</v>
      </c>
      <c r="BD305" s="50" t="s">
        <v>729</v>
      </c>
      <c r="BE305" s="50" t="s">
        <v>730</v>
      </c>
      <c r="BF305" s="50" t="s">
        <v>622</v>
      </c>
      <c r="BG305" s="50" t="s">
        <v>730</v>
      </c>
      <c r="BH305" s="50" t="s">
        <v>124</v>
      </c>
      <c r="BI305" s="50" t="s">
        <v>12023</v>
      </c>
      <c r="BJ305" s="50" t="s">
        <v>11889</v>
      </c>
      <c r="BK305" s="50" t="s">
        <v>127</v>
      </c>
      <c r="BL305" s="50" t="s">
        <v>15459</v>
      </c>
      <c r="BM305" s="50" t="s">
        <v>5403</v>
      </c>
      <c r="BN305" s="50" t="s">
        <v>15460</v>
      </c>
      <c r="BO305" s="50" t="s">
        <v>12324</v>
      </c>
      <c r="BP305" s="50" t="s">
        <v>734</v>
      </c>
      <c r="BQ305" s="50" t="s">
        <v>350</v>
      </c>
      <c r="BR305" s="50" t="s">
        <v>735</v>
      </c>
      <c r="BS305" s="50" t="s">
        <v>736</v>
      </c>
      <c r="BT305" s="50" t="s">
        <v>737</v>
      </c>
      <c r="BV305" s="50" t="s">
        <v>15461</v>
      </c>
      <c r="BW305" s="50" t="s">
        <v>5410</v>
      </c>
      <c r="BX305" s="50" t="s">
        <v>138</v>
      </c>
      <c r="BY305" s="50" t="s">
        <v>15462</v>
      </c>
      <c r="BZ305" s="50" t="s">
        <v>15463</v>
      </c>
      <c r="CA305" s="50" t="s">
        <v>5409</v>
      </c>
      <c r="CB305" s="50" t="s">
        <v>5410</v>
      </c>
      <c r="CC305" s="50" t="s">
        <v>15462</v>
      </c>
      <c r="CD305" s="50" t="s">
        <v>15463</v>
      </c>
      <c r="CE305" s="50" t="s">
        <v>15464</v>
      </c>
      <c r="CF305" s="50" t="s">
        <v>15465</v>
      </c>
      <c r="CG305" s="50" t="s">
        <v>15466</v>
      </c>
      <c r="CH305" s="50" t="s">
        <v>5412</v>
      </c>
      <c r="CI305" s="50" t="s">
        <v>15467</v>
      </c>
      <c r="CK305" s="50" t="s">
        <v>3970</v>
      </c>
      <c r="CL305" s="50" t="s">
        <v>15468</v>
      </c>
      <c r="CM305" s="50" t="s">
        <v>729</v>
      </c>
      <c r="CN305" s="50" t="s">
        <v>730</v>
      </c>
      <c r="CO305" s="50" t="s">
        <v>3970</v>
      </c>
      <c r="CP305" s="50" t="s">
        <v>5414</v>
      </c>
      <c r="CQ305" s="50" t="s">
        <v>5413</v>
      </c>
      <c r="CR305" s="50" t="s">
        <v>5413</v>
      </c>
    </row>
    <row r="306" spans="1:97" hidden="1">
      <c r="A306" s="50" t="s">
        <v>149</v>
      </c>
      <c r="B306" s="50">
        <v>3347570</v>
      </c>
      <c r="C306" s="50" t="e">
        <f>VLOOKUP(B306,'Drop schools 2026'!B:C,2,0)</f>
        <v>#N/A</v>
      </c>
      <c r="D306" s="50" t="s">
        <v>212</v>
      </c>
      <c r="E306" s="50" t="s">
        <v>11947</v>
      </c>
      <c r="F306" s="50" t="s">
        <v>5584</v>
      </c>
      <c r="G306" s="50" t="str">
        <f>VLOOKUP(B306,aa!B:F,5,0)</f>
        <v>Ei ASSET,Ei Mindspark</v>
      </c>
      <c r="H306" s="50">
        <f>VLOOKUP(B306,aa!B:J,9,0)</f>
        <v>0</v>
      </c>
      <c r="I306" s="50">
        <f>VLOOKUP(B306,aa!B:L,11,0)</f>
        <v>0</v>
      </c>
      <c r="J306" s="50">
        <f>VLOOKUP(B306,aa!B:O,14,0)</f>
        <v>0</v>
      </c>
      <c r="K306" s="50">
        <f>VLOOKUP(B306,aa!B:R,17,0)</f>
        <v>0</v>
      </c>
      <c r="L306" s="50" t="s">
        <v>193</v>
      </c>
      <c r="M306" s="50">
        <v>492901</v>
      </c>
      <c r="N306" s="50">
        <v>552462</v>
      </c>
      <c r="O306" s="50">
        <v>162005</v>
      </c>
      <c r="P306" s="50">
        <v>521</v>
      </c>
      <c r="Q306" s="50" t="s">
        <v>195</v>
      </c>
      <c r="R306" s="50">
        <v>0</v>
      </c>
      <c r="S306" s="50">
        <v>0</v>
      </c>
      <c r="U306" s="50">
        <v>330896</v>
      </c>
      <c r="V306" s="50">
        <v>521</v>
      </c>
      <c r="W306" s="50" t="s">
        <v>12956</v>
      </c>
      <c r="X306" s="50" t="s">
        <v>102</v>
      </c>
      <c r="Y306" s="50" t="s">
        <v>103</v>
      </c>
      <c r="Z306" s="50" t="s">
        <v>104</v>
      </c>
      <c r="AB306" s="50" t="s">
        <v>11950</v>
      </c>
      <c r="AC306" s="50" t="s">
        <v>15651</v>
      </c>
      <c r="AD306" s="50" t="s">
        <v>15652</v>
      </c>
      <c r="AE306" s="50" t="s">
        <v>15651</v>
      </c>
      <c r="AF306" s="50" t="s">
        <v>109</v>
      </c>
      <c r="AG306" s="50" t="s">
        <v>102</v>
      </c>
      <c r="AH306" s="50" t="s">
        <v>109</v>
      </c>
      <c r="AI306" s="50" t="s">
        <v>102</v>
      </c>
      <c r="AJ306" s="50" t="s">
        <v>15653</v>
      </c>
      <c r="AK306" s="50" t="s">
        <v>11954</v>
      </c>
      <c r="AL306" s="50" t="s">
        <v>11954</v>
      </c>
      <c r="AM306" s="50" t="s">
        <v>15654</v>
      </c>
      <c r="AN306" s="50" t="s">
        <v>15655</v>
      </c>
      <c r="AO306" s="50" t="s">
        <v>15656</v>
      </c>
      <c r="AP306" s="50" t="s">
        <v>12962</v>
      </c>
      <c r="AQ306" s="50" t="s">
        <v>12962</v>
      </c>
      <c r="AV306" s="50" t="s">
        <v>207</v>
      </c>
      <c r="AW306" s="50" t="s">
        <v>118</v>
      </c>
      <c r="AX306" s="50" t="s">
        <v>102</v>
      </c>
      <c r="AY306" s="50" t="s">
        <v>119</v>
      </c>
      <c r="BB306" s="50" t="s">
        <v>250</v>
      </c>
      <c r="BC306" s="50" t="s">
        <v>120</v>
      </c>
      <c r="BD306" s="50" t="s">
        <v>5591</v>
      </c>
      <c r="BE306" s="50" t="s">
        <v>211</v>
      </c>
      <c r="BF306" s="50" t="s">
        <v>212</v>
      </c>
      <c r="BG306" s="50" t="s">
        <v>213</v>
      </c>
      <c r="BH306" s="50" t="s">
        <v>124</v>
      </c>
      <c r="BI306" s="50" t="s">
        <v>11959</v>
      </c>
      <c r="BJ306" s="50" t="s">
        <v>11960</v>
      </c>
      <c r="BK306" s="50" t="s">
        <v>127</v>
      </c>
      <c r="BL306" s="50" t="s">
        <v>15657</v>
      </c>
      <c r="BM306" s="50" t="s">
        <v>5593</v>
      </c>
      <c r="BN306" s="50" t="s">
        <v>15658</v>
      </c>
      <c r="BO306" s="50" t="s">
        <v>11948</v>
      </c>
      <c r="BP306" s="50" t="s">
        <v>1880</v>
      </c>
      <c r="BQ306" s="50" t="s">
        <v>7992</v>
      </c>
      <c r="BR306" s="50" t="s">
        <v>1882</v>
      </c>
      <c r="BS306" s="50" t="s">
        <v>1883</v>
      </c>
      <c r="BT306" s="50" t="s">
        <v>222</v>
      </c>
      <c r="BV306" s="50" t="s">
        <v>15659</v>
      </c>
      <c r="BW306" s="50" t="s">
        <v>15660</v>
      </c>
      <c r="BX306" s="50" t="s">
        <v>138</v>
      </c>
      <c r="BY306" s="50" t="s">
        <v>225</v>
      </c>
      <c r="BZ306" s="50" t="s">
        <v>226</v>
      </c>
      <c r="CA306" s="50" t="s">
        <v>5596</v>
      </c>
      <c r="CB306" s="50" t="s">
        <v>15661</v>
      </c>
      <c r="CC306" s="50" t="s">
        <v>15662</v>
      </c>
      <c r="CD306" s="50" t="s">
        <v>15663</v>
      </c>
      <c r="CE306" s="50" t="s">
        <v>15664</v>
      </c>
      <c r="CF306" s="50" t="s">
        <v>15662</v>
      </c>
      <c r="CG306" s="50" t="s">
        <v>15663</v>
      </c>
      <c r="CH306" s="50" t="s">
        <v>102</v>
      </c>
      <c r="CI306" s="50" t="s">
        <v>5597</v>
      </c>
      <c r="CK306" s="50" t="s">
        <v>5598</v>
      </c>
      <c r="CM306" s="50" t="s">
        <v>5591</v>
      </c>
      <c r="CN306" s="50" t="s">
        <v>211</v>
      </c>
      <c r="CO306" s="50" t="s">
        <v>5598</v>
      </c>
      <c r="CP306" s="50" t="s">
        <v>230</v>
      </c>
      <c r="CQ306" s="50" t="s">
        <v>5597</v>
      </c>
      <c r="CR306" s="50" t="s">
        <v>5597</v>
      </c>
    </row>
    <row r="307" spans="1:97" hidden="1">
      <c r="A307" s="50" t="s">
        <v>93</v>
      </c>
      <c r="B307" s="50">
        <v>2473458</v>
      </c>
      <c r="C307" s="50" t="e">
        <f>VLOOKUP(B307,'Drop schools 2026'!B:C,2,0)</f>
        <v>#N/A</v>
      </c>
      <c r="D307" s="50" t="s">
        <v>212</v>
      </c>
      <c r="E307" s="50" t="s">
        <v>12423</v>
      </c>
      <c r="F307" s="50" t="s">
        <v>3639</v>
      </c>
      <c r="G307" s="50" t="e">
        <f>VLOOKUP(B307,aa!B:F,5,0)</f>
        <v>#N/A</v>
      </c>
      <c r="H307" s="50" t="e">
        <f>VLOOKUP(B307,aa!B:J,9,0)</f>
        <v>#N/A</v>
      </c>
      <c r="I307" s="50" t="e">
        <f>VLOOKUP(B307,aa!B:L,11,0)</f>
        <v>#N/A</v>
      </c>
      <c r="J307" s="50" t="e">
        <f>VLOOKUP(B307,aa!B:O,14,0)</f>
        <v>#N/A</v>
      </c>
      <c r="K307" s="50" t="e">
        <f>VLOOKUP(B307,aa!B:R,17,0)</f>
        <v>#N/A</v>
      </c>
      <c r="L307" s="50" t="s">
        <v>97</v>
      </c>
      <c r="M307" s="50">
        <v>491261</v>
      </c>
      <c r="N307" s="50">
        <v>491261</v>
      </c>
      <c r="O307" s="50">
        <v>491261</v>
      </c>
      <c r="P307" s="50">
        <v>614</v>
      </c>
      <c r="Q307" s="50" t="s">
        <v>1297</v>
      </c>
      <c r="R307" s="50">
        <v>0</v>
      </c>
      <c r="S307" s="50">
        <v>0</v>
      </c>
      <c r="U307" s="50">
        <v>0</v>
      </c>
      <c r="V307" s="50">
        <v>0</v>
      </c>
      <c r="X307" s="50" t="s">
        <v>102</v>
      </c>
      <c r="Y307" s="50" t="s">
        <v>275</v>
      </c>
      <c r="AA307" s="50" t="s">
        <v>11932</v>
      </c>
      <c r="AB307" s="50" t="s">
        <v>109</v>
      </c>
      <c r="AC307" s="50" t="s">
        <v>102</v>
      </c>
      <c r="AD307" s="50" t="s">
        <v>109</v>
      </c>
      <c r="AE307" s="50" t="s">
        <v>102</v>
      </c>
      <c r="AF307" s="50" t="s">
        <v>109</v>
      </c>
      <c r="AG307" s="50" t="s">
        <v>102</v>
      </c>
      <c r="AH307" s="50" t="s">
        <v>109</v>
      </c>
      <c r="AI307" s="50" t="s">
        <v>102</v>
      </c>
      <c r="AJ307" s="50" t="s">
        <v>102</v>
      </c>
      <c r="AK307" s="50" t="s">
        <v>12715</v>
      </c>
      <c r="AL307" s="50" t="s">
        <v>12289</v>
      </c>
      <c r="AM307" s="50" t="s">
        <v>14183</v>
      </c>
      <c r="AN307" s="50" t="s">
        <v>14184</v>
      </c>
      <c r="AO307" s="50" t="s">
        <v>14185</v>
      </c>
      <c r="AP307" s="50" t="s">
        <v>168</v>
      </c>
      <c r="AQ307" s="50" t="s">
        <v>168</v>
      </c>
      <c r="AV307" s="50" t="s">
        <v>318</v>
      </c>
      <c r="AW307" s="50" t="s">
        <v>118</v>
      </c>
      <c r="AX307" s="50" t="s">
        <v>102</v>
      </c>
      <c r="AY307" s="50" t="s">
        <v>119</v>
      </c>
      <c r="BC307" s="50" t="s">
        <v>120</v>
      </c>
      <c r="BD307" s="50" t="s">
        <v>1759</v>
      </c>
      <c r="BE307" s="50" t="s">
        <v>410</v>
      </c>
      <c r="BF307" s="50" t="s">
        <v>212</v>
      </c>
      <c r="BG307" s="50" t="s">
        <v>410</v>
      </c>
      <c r="BH307" s="50" t="s">
        <v>124</v>
      </c>
      <c r="BI307" s="50" t="s">
        <v>12023</v>
      </c>
      <c r="BJ307" s="50" t="s">
        <v>11889</v>
      </c>
      <c r="BK307" s="50" t="s">
        <v>127</v>
      </c>
      <c r="BL307" s="50" t="s">
        <v>14186</v>
      </c>
      <c r="BM307" s="50" t="s">
        <v>3647</v>
      </c>
      <c r="BN307" s="50" t="s">
        <v>14187</v>
      </c>
      <c r="BO307" s="50" t="s">
        <v>3033</v>
      </c>
      <c r="BP307" s="50" t="s">
        <v>1582</v>
      </c>
      <c r="BQ307" s="50" t="s">
        <v>132</v>
      </c>
      <c r="BR307" s="50" t="s">
        <v>1583</v>
      </c>
      <c r="BS307" s="50" t="s">
        <v>1584</v>
      </c>
      <c r="BT307" s="50" t="s">
        <v>1585</v>
      </c>
      <c r="BV307" s="50" t="s">
        <v>14188</v>
      </c>
      <c r="BW307" s="50" t="s">
        <v>14189</v>
      </c>
      <c r="BX307" s="50" t="s">
        <v>138</v>
      </c>
      <c r="BY307" s="50" t="s">
        <v>3651</v>
      </c>
      <c r="BZ307" s="50" t="s">
        <v>3652</v>
      </c>
      <c r="CA307" s="50" t="s">
        <v>3651</v>
      </c>
      <c r="CB307" s="50" t="s">
        <v>14190</v>
      </c>
      <c r="CC307" s="50" t="s">
        <v>3651</v>
      </c>
      <c r="CD307" s="50" t="s">
        <v>14191</v>
      </c>
      <c r="CE307" s="50" t="s">
        <v>7073</v>
      </c>
      <c r="CF307" s="50" t="s">
        <v>3651</v>
      </c>
      <c r="CG307" s="50" t="s">
        <v>14191</v>
      </c>
      <c r="CH307" s="50" t="s">
        <v>573</v>
      </c>
      <c r="CI307" s="50" t="s">
        <v>3653</v>
      </c>
      <c r="CK307" s="50" t="s">
        <v>3654</v>
      </c>
      <c r="CL307" s="50" t="s">
        <v>3653</v>
      </c>
      <c r="CM307" s="50" t="s">
        <v>1759</v>
      </c>
      <c r="CN307" s="50" t="s">
        <v>410</v>
      </c>
      <c r="CO307" s="50" t="s">
        <v>3654</v>
      </c>
      <c r="CQ307" s="50" t="s">
        <v>3653</v>
      </c>
      <c r="CR307" s="50" t="s">
        <v>3653</v>
      </c>
      <c r="CS307" s="50" t="s">
        <v>26040</v>
      </c>
    </row>
    <row r="308" spans="1:97">
      <c r="A308" s="50" t="s">
        <v>337</v>
      </c>
      <c r="B308" s="50">
        <v>5097252</v>
      </c>
      <c r="C308" s="50" t="e">
        <f>VLOOKUP(B308,'Drop schools 2026'!B:C,2,0)</f>
        <v>#N/A</v>
      </c>
      <c r="D308" s="50" t="s">
        <v>122</v>
      </c>
      <c r="E308" s="50" t="s">
        <v>12121</v>
      </c>
      <c r="F308" s="53" t="s">
        <v>20859</v>
      </c>
      <c r="G308" s="50" t="e">
        <f>VLOOKUP(B308,aa!B:F,5,0)</f>
        <v>#N/A</v>
      </c>
      <c r="H308" s="50" t="e">
        <f>VLOOKUP(B308,aa!B:J,9,0)</f>
        <v>#N/A</v>
      </c>
      <c r="I308" s="50" t="e">
        <f>VLOOKUP(B308,aa!B:L,11,0)</f>
        <v>#N/A</v>
      </c>
      <c r="J308" s="50" t="e">
        <f>VLOOKUP(B308,aa!B:O,14,0)</f>
        <v>#N/A</v>
      </c>
      <c r="K308" s="50" t="e">
        <f>VLOOKUP(B308,aa!B:R,17,0)</f>
        <v>#N/A</v>
      </c>
      <c r="L308" s="50" t="s">
        <v>97</v>
      </c>
      <c r="M308" s="50">
        <v>487822</v>
      </c>
      <c r="N308" s="50">
        <v>487822</v>
      </c>
      <c r="O308" s="50">
        <v>487822</v>
      </c>
      <c r="P308" s="50">
        <v>841</v>
      </c>
      <c r="Q308" s="50" t="s">
        <v>14554</v>
      </c>
      <c r="R308" s="50">
        <v>0</v>
      </c>
      <c r="S308" s="50">
        <v>0</v>
      </c>
      <c r="U308" s="50">
        <v>0</v>
      </c>
      <c r="V308" s="50">
        <v>0</v>
      </c>
      <c r="X308" s="50" t="s">
        <v>102</v>
      </c>
      <c r="Y308" s="50" t="s">
        <v>275</v>
      </c>
      <c r="AA308" s="50" t="s">
        <v>12211</v>
      </c>
      <c r="AB308" s="50" t="s">
        <v>109</v>
      </c>
      <c r="AC308" s="50" t="s">
        <v>102</v>
      </c>
      <c r="AD308" s="50" t="s">
        <v>109</v>
      </c>
      <c r="AE308" s="50" t="s">
        <v>102</v>
      </c>
      <c r="AF308" s="50" t="s">
        <v>109</v>
      </c>
      <c r="AG308" s="50" t="s">
        <v>102</v>
      </c>
      <c r="AH308" s="50" t="s">
        <v>109</v>
      </c>
      <c r="AI308" s="50" t="s">
        <v>102</v>
      </c>
      <c r="AJ308" s="50" t="s">
        <v>102</v>
      </c>
      <c r="AK308" s="50" t="s">
        <v>11911</v>
      </c>
      <c r="AL308" s="50" t="s">
        <v>11911</v>
      </c>
      <c r="AM308" s="50" t="s">
        <v>20860</v>
      </c>
      <c r="AN308" s="50" t="s">
        <v>20861</v>
      </c>
      <c r="AO308" s="50" t="s">
        <v>20862</v>
      </c>
      <c r="AP308" s="50" t="s">
        <v>20863</v>
      </c>
      <c r="AQ308" s="50" t="s">
        <v>20863</v>
      </c>
      <c r="AV308" s="50" t="s">
        <v>117</v>
      </c>
      <c r="AW308" s="50" t="s">
        <v>118</v>
      </c>
      <c r="AX308" s="50" t="s">
        <v>102</v>
      </c>
      <c r="AY308" s="50" t="s">
        <v>119</v>
      </c>
      <c r="BC308" s="50" t="s">
        <v>20864</v>
      </c>
      <c r="BD308" s="50" t="s">
        <v>1104</v>
      </c>
      <c r="BE308" s="50" t="s">
        <v>449</v>
      </c>
      <c r="BF308" s="50" t="s">
        <v>122</v>
      </c>
      <c r="BG308" s="50" t="s">
        <v>253</v>
      </c>
      <c r="BH308" s="50" t="s">
        <v>124</v>
      </c>
      <c r="BI308" s="50" t="s">
        <v>12023</v>
      </c>
      <c r="BJ308" s="50" t="s">
        <v>11889</v>
      </c>
      <c r="BK308" s="50" t="s">
        <v>127</v>
      </c>
      <c r="BL308" s="50" t="s">
        <v>20865</v>
      </c>
      <c r="BM308" s="50" t="s">
        <v>20866</v>
      </c>
      <c r="BN308" s="50" t="s">
        <v>20867</v>
      </c>
      <c r="BO308" s="50" t="s">
        <v>12211</v>
      </c>
      <c r="BP308" s="50" t="s">
        <v>10675</v>
      </c>
      <c r="BQ308" s="50" t="s">
        <v>350</v>
      </c>
      <c r="BR308" s="50" t="s">
        <v>10676</v>
      </c>
      <c r="BS308" s="50" t="s">
        <v>10677</v>
      </c>
      <c r="BT308" s="50" t="s">
        <v>10678</v>
      </c>
      <c r="BV308" s="50" t="s">
        <v>20868</v>
      </c>
      <c r="BW308" s="50" t="s">
        <v>20869</v>
      </c>
      <c r="BX308" s="50" t="s">
        <v>138</v>
      </c>
      <c r="BY308" s="50" t="s">
        <v>1997</v>
      </c>
      <c r="BZ308" s="50" t="s">
        <v>20870</v>
      </c>
      <c r="CA308" s="50" t="s">
        <v>20871</v>
      </c>
      <c r="CB308" s="50" t="s">
        <v>20869</v>
      </c>
      <c r="CC308" s="50" t="s">
        <v>1997</v>
      </c>
      <c r="CD308" s="50" t="s">
        <v>20870</v>
      </c>
      <c r="CE308" s="50" t="s">
        <v>20869</v>
      </c>
      <c r="CF308" s="50" t="s">
        <v>1997</v>
      </c>
      <c r="CG308" s="50" t="s">
        <v>20870</v>
      </c>
      <c r="CH308" s="50" t="s">
        <v>11377</v>
      </c>
      <c r="CI308" s="50" t="s">
        <v>20872</v>
      </c>
      <c r="CK308" s="50" t="s">
        <v>10687</v>
      </c>
      <c r="CL308" s="50" t="s">
        <v>20872</v>
      </c>
      <c r="CM308" s="50" t="s">
        <v>1104</v>
      </c>
      <c r="CN308" s="50" t="s">
        <v>449</v>
      </c>
      <c r="CO308" s="50" t="s">
        <v>10687</v>
      </c>
      <c r="CQ308" s="50" t="s">
        <v>20873</v>
      </c>
      <c r="CR308" s="50" t="s">
        <v>20873</v>
      </c>
    </row>
    <row r="309" spans="1:97" hidden="1">
      <c r="A309" s="50" t="s">
        <v>149</v>
      </c>
      <c r="B309" s="50">
        <v>3886389</v>
      </c>
      <c r="C309" s="50" t="e">
        <f>VLOOKUP(B309,'Drop schools 2026'!B:C,2,0)</f>
        <v>#N/A</v>
      </c>
      <c r="D309" s="50" t="s">
        <v>122</v>
      </c>
      <c r="E309" s="50" t="s">
        <v>11882</v>
      </c>
      <c r="F309" s="50" t="s">
        <v>7827</v>
      </c>
      <c r="G309" s="50" t="e">
        <f>VLOOKUP(B309,aa!B:F,5,0)</f>
        <v>#N/A</v>
      </c>
      <c r="H309" s="50" t="e">
        <f>VLOOKUP(B309,aa!B:J,9,0)</f>
        <v>#N/A</v>
      </c>
      <c r="I309" s="50" t="e">
        <f>VLOOKUP(B309,aa!B:L,11,0)</f>
        <v>#N/A</v>
      </c>
      <c r="J309" s="50" t="e">
        <f>VLOOKUP(B309,aa!B:O,14,0)</f>
        <v>#N/A</v>
      </c>
      <c r="K309" s="50" t="e">
        <f>VLOOKUP(B309,aa!B:R,17,0)</f>
        <v>#N/A</v>
      </c>
      <c r="L309" s="50" t="s">
        <v>2163</v>
      </c>
      <c r="M309" s="50">
        <v>483135</v>
      </c>
      <c r="N309" s="50">
        <v>530435</v>
      </c>
      <c r="O309" s="50">
        <v>66600</v>
      </c>
      <c r="P309" s="50">
        <v>111</v>
      </c>
      <c r="Q309" s="50" t="s">
        <v>310</v>
      </c>
      <c r="R309" s="50">
        <v>153759</v>
      </c>
      <c r="S309" s="50">
        <v>111</v>
      </c>
      <c r="T309" s="50" t="s">
        <v>17262</v>
      </c>
      <c r="U309" s="50">
        <v>262776</v>
      </c>
      <c r="V309" s="50">
        <v>112</v>
      </c>
      <c r="W309" s="50" t="s">
        <v>17263</v>
      </c>
      <c r="X309" s="50" t="s">
        <v>102</v>
      </c>
      <c r="Y309" s="50" t="s">
        <v>679</v>
      </c>
      <c r="Z309" s="50" t="s">
        <v>155</v>
      </c>
      <c r="AA309" s="50" t="s">
        <v>8199</v>
      </c>
      <c r="AB309" s="50" t="s">
        <v>16037</v>
      </c>
      <c r="AC309" s="50" t="s">
        <v>17264</v>
      </c>
      <c r="AD309" s="50" t="s">
        <v>17265</v>
      </c>
      <c r="AE309" s="50" t="s">
        <v>17264</v>
      </c>
      <c r="AF309" s="50" t="s">
        <v>15488</v>
      </c>
      <c r="AG309" s="50" t="s">
        <v>17264</v>
      </c>
      <c r="AH309" s="50" t="s">
        <v>13263</v>
      </c>
      <c r="AI309" s="50" t="s">
        <v>17264</v>
      </c>
      <c r="AJ309" s="50" t="s">
        <v>102</v>
      </c>
      <c r="AM309" s="50" t="s">
        <v>17266</v>
      </c>
      <c r="AN309" s="50" t="s">
        <v>102</v>
      </c>
      <c r="AO309" s="50" t="s">
        <v>17266</v>
      </c>
      <c r="AP309" s="50" t="s">
        <v>17267</v>
      </c>
      <c r="AQ309" s="50" t="s">
        <v>17268</v>
      </c>
      <c r="AU309" s="50" t="s">
        <v>169</v>
      </c>
      <c r="AV309" s="50" t="s">
        <v>207</v>
      </c>
      <c r="AW309" s="50" t="s">
        <v>118</v>
      </c>
      <c r="AX309" s="50" t="s">
        <v>655</v>
      </c>
      <c r="AY309" s="50" t="s">
        <v>119</v>
      </c>
      <c r="BA309" s="50" t="s">
        <v>250</v>
      </c>
      <c r="BB309" s="50" t="s">
        <v>250</v>
      </c>
      <c r="BC309" s="50" t="s">
        <v>1242</v>
      </c>
      <c r="BD309" s="50" t="s">
        <v>1407</v>
      </c>
      <c r="BE309" s="50" t="s">
        <v>449</v>
      </c>
      <c r="BF309" s="50" t="s">
        <v>122</v>
      </c>
      <c r="BG309" s="50" t="s">
        <v>450</v>
      </c>
      <c r="BH309" s="50" t="s">
        <v>124</v>
      </c>
      <c r="BI309" s="50" t="s">
        <v>17269</v>
      </c>
      <c r="BJ309" s="50" t="s">
        <v>12963</v>
      </c>
      <c r="BK309" s="50" t="s">
        <v>127</v>
      </c>
      <c r="BL309" s="50" t="s">
        <v>17270</v>
      </c>
      <c r="BM309" s="50" t="s">
        <v>7839</v>
      </c>
      <c r="BN309" s="50" t="s">
        <v>17271</v>
      </c>
      <c r="BO309" s="50" t="s">
        <v>17261</v>
      </c>
      <c r="BP309" s="50" t="s">
        <v>3267</v>
      </c>
      <c r="BQ309" s="50" t="s">
        <v>350</v>
      </c>
      <c r="BR309" s="50" t="s">
        <v>3268</v>
      </c>
      <c r="BS309" s="50" t="s">
        <v>3269</v>
      </c>
      <c r="BT309" s="50" t="s">
        <v>135</v>
      </c>
      <c r="BV309" s="50" t="s">
        <v>17272</v>
      </c>
      <c r="BW309" s="50" t="s">
        <v>17273</v>
      </c>
      <c r="BX309" s="50" t="s">
        <v>3121</v>
      </c>
      <c r="BY309" s="50" t="s">
        <v>7843</v>
      </c>
      <c r="BZ309" s="50" t="s">
        <v>7844</v>
      </c>
      <c r="CA309" s="50" t="s">
        <v>7845</v>
      </c>
      <c r="CB309" s="50" t="s">
        <v>17273</v>
      </c>
      <c r="CC309" s="50" t="s">
        <v>7843</v>
      </c>
      <c r="CD309" s="50" t="s">
        <v>7844</v>
      </c>
      <c r="CE309" s="50" t="s">
        <v>17273</v>
      </c>
      <c r="CF309" s="50" t="s">
        <v>7843</v>
      </c>
      <c r="CG309" s="50" t="s">
        <v>7844</v>
      </c>
      <c r="CH309" s="50" t="s">
        <v>102</v>
      </c>
      <c r="CI309" s="50" t="s">
        <v>17274</v>
      </c>
      <c r="CK309" s="50" t="s">
        <v>1419</v>
      </c>
      <c r="CM309" s="50" t="s">
        <v>1407</v>
      </c>
      <c r="CN309" s="50" t="s">
        <v>449</v>
      </c>
      <c r="CO309" s="50" t="s">
        <v>1419</v>
      </c>
      <c r="CQ309" s="50" t="s">
        <v>7846</v>
      </c>
      <c r="CR309" s="50" t="s">
        <v>7846</v>
      </c>
    </row>
    <row r="310" spans="1:97" hidden="1">
      <c r="A310" s="50" t="s">
        <v>149</v>
      </c>
      <c r="B310" s="50">
        <v>3896752</v>
      </c>
      <c r="C310" s="50" t="e">
        <f>VLOOKUP(B310,'Drop schools 2026'!B:C,2,0)</f>
        <v>#N/A</v>
      </c>
      <c r="D310" s="50" t="s">
        <v>622</v>
      </c>
      <c r="E310" s="50" t="s">
        <v>3562</v>
      </c>
      <c r="F310" s="50" t="s">
        <v>7847</v>
      </c>
      <c r="G310" s="50" t="str">
        <f>VLOOKUP(B310,aa!B:F,5,0)</f>
        <v>Ei ASSET</v>
      </c>
      <c r="H310" s="50">
        <f>VLOOKUP(B310,aa!B:J,9,0)</f>
        <v>181708</v>
      </c>
      <c r="I310" s="50">
        <f>VLOOKUP(B310,aa!B:L,11,0)</f>
        <v>181708</v>
      </c>
      <c r="J310" s="50">
        <f>VLOOKUP(B310,aa!B:O,14,0)</f>
        <v>0</v>
      </c>
      <c r="K310" s="50">
        <f>VLOOKUP(B310,aa!B:R,17,0)</f>
        <v>0</v>
      </c>
      <c r="L310" s="50" t="s">
        <v>193</v>
      </c>
      <c r="M310" s="50">
        <v>481656</v>
      </c>
      <c r="N310" s="50">
        <v>547561</v>
      </c>
      <c r="O310" s="50">
        <v>115518</v>
      </c>
      <c r="P310" s="50">
        <v>165</v>
      </c>
      <c r="Q310" s="50" t="s">
        <v>799</v>
      </c>
      <c r="R310" s="50">
        <v>0</v>
      </c>
      <c r="S310" s="50">
        <v>0</v>
      </c>
      <c r="U310" s="50">
        <v>366138</v>
      </c>
      <c r="V310" s="50">
        <v>180</v>
      </c>
      <c r="W310" s="50" t="s">
        <v>1399</v>
      </c>
      <c r="X310" s="50" t="s">
        <v>102</v>
      </c>
      <c r="Y310" s="50" t="s">
        <v>679</v>
      </c>
      <c r="Z310" s="50" t="s">
        <v>104</v>
      </c>
      <c r="AA310" s="50" t="s">
        <v>126</v>
      </c>
      <c r="AB310" s="50" t="s">
        <v>17284</v>
      </c>
      <c r="AC310" s="50" t="s">
        <v>17285</v>
      </c>
      <c r="AD310" s="50" t="s">
        <v>12595</v>
      </c>
      <c r="AE310" s="50" t="s">
        <v>17286</v>
      </c>
      <c r="AF310" s="50" t="s">
        <v>109</v>
      </c>
      <c r="AG310" s="50" t="s">
        <v>102</v>
      </c>
      <c r="AH310" s="50" t="s">
        <v>109</v>
      </c>
      <c r="AI310" s="50" t="s">
        <v>102</v>
      </c>
      <c r="AJ310" s="50" t="s">
        <v>102</v>
      </c>
      <c r="AK310" s="50" t="s">
        <v>17287</v>
      </c>
      <c r="AL310" s="50" t="s">
        <v>17287</v>
      </c>
      <c r="AM310" s="50" t="s">
        <v>17288</v>
      </c>
      <c r="AN310" s="50" t="s">
        <v>17289</v>
      </c>
      <c r="AO310" s="50" t="s">
        <v>17290</v>
      </c>
      <c r="AP310" s="50" t="s">
        <v>17291</v>
      </c>
      <c r="AQ310" s="50" t="s">
        <v>17292</v>
      </c>
      <c r="AR310" s="50" t="s">
        <v>343</v>
      </c>
      <c r="AU310" s="50" t="s">
        <v>169</v>
      </c>
      <c r="AV310" s="50" t="s">
        <v>207</v>
      </c>
      <c r="AW310" s="50" t="s">
        <v>118</v>
      </c>
      <c r="AX310" s="50" t="s">
        <v>102</v>
      </c>
      <c r="AY310" s="50" t="s">
        <v>119</v>
      </c>
      <c r="BB310" s="50" t="s">
        <v>250</v>
      </c>
      <c r="BC310" s="50" t="s">
        <v>209</v>
      </c>
      <c r="BD310" s="50" t="s">
        <v>1729</v>
      </c>
      <c r="BE310" s="50" t="s">
        <v>730</v>
      </c>
      <c r="BF310" s="50" t="s">
        <v>622</v>
      </c>
      <c r="BG310" s="50" t="s">
        <v>730</v>
      </c>
      <c r="BH310" s="50" t="s">
        <v>124</v>
      </c>
      <c r="BI310" s="50" t="s">
        <v>11959</v>
      </c>
      <c r="BJ310" s="50" t="s">
        <v>11960</v>
      </c>
      <c r="BK310" s="50" t="s">
        <v>127</v>
      </c>
      <c r="BL310" s="50" t="s">
        <v>17293</v>
      </c>
      <c r="BM310" s="50" t="s">
        <v>7860</v>
      </c>
      <c r="BN310" s="50" t="s">
        <v>17294</v>
      </c>
      <c r="BO310" s="50" t="s">
        <v>17283</v>
      </c>
      <c r="BP310" s="50" t="s">
        <v>7559</v>
      </c>
      <c r="BQ310" s="50" t="s">
        <v>350</v>
      </c>
      <c r="BR310" s="50" t="s">
        <v>7560</v>
      </c>
      <c r="BS310" s="50" t="s">
        <v>7561</v>
      </c>
      <c r="BT310" s="50" t="s">
        <v>7862</v>
      </c>
      <c r="BV310" s="50" t="s">
        <v>17295</v>
      </c>
      <c r="BW310" s="50" t="s">
        <v>7864</v>
      </c>
      <c r="BX310" s="50" t="s">
        <v>354</v>
      </c>
      <c r="BY310" s="50" t="s">
        <v>7865</v>
      </c>
      <c r="BZ310" s="50" t="s">
        <v>17296</v>
      </c>
      <c r="CA310" s="50" t="s">
        <v>7865</v>
      </c>
      <c r="CB310" s="50" t="s">
        <v>17297</v>
      </c>
      <c r="CC310" s="50" t="s">
        <v>7865</v>
      </c>
      <c r="CD310" s="50" t="s">
        <v>17296</v>
      </c>
      <c r="CE310" s="50" t="s">
        <v>17297</v>
      </c>
      <c r="CF310" s="50" t="s">
        <v>7865</v>
      </c>
      <c r="CG310" s="50" t="s">
        <v>17296</v>
      </c>
      <c r="CH310" s="50" t="s">
        <v>102</v>
      </c>
      <c r="CI310" s="50" t="s">
        <v>7867</v>
      </c>
      <c r="CK310" s="50" t="s">
        <v>7868</v>
      </c>
      <c r="CM310" s="50" t="s">
        <v>1729</v>
      </c>
      <c r="CN310" s="50" t="s">
        <v>730</v>
      </c>
      <c r="CO310" s="50" t="s">
        <v>7868</v>
      </c>
      <c r="CQ310" s="50" t="s">
        <v>7867</v>
      </c>
      <c r="CR310" s="50" t="s">
        <v>7867</v>
      </c>
      <c r="CS310" s="50" t="s">
        <v>26040</v>
      </c>
    </row>
    <row r="311" spans="1:97" hidden="1">
      <c r="A311" s="50" t="s">
        <v>149</v>
      </c>
      <c r="B311" s="50">
        <v>218537</v>
      </c>
      <c r="C311" s="50" t="e">
        <f>VLOOKUP(B311,'Drop schools 2026'!B:C,2,0)</f>
        <v>#N/A</v>
      </c>
      <c r="D311" s="50" t="s">
        <v>122</v>
      </c>
      <c r="E311" s="50" t="s">
        <v>12121</v>
      </c>
      <c r="F311" s="50" t="s">
        <v>2831</v>
      </c>
      <c r="G311" s="50" t="e">
        <f>VLOOKUP(B311,aa!B:F,5,0)</f>
        <v>#N/A</v>
      </c>
      <c r="H311" s="50" t="e">
        <f>VLOOKUP(B311,aa!B:J,9,0)</f>
        <v>#N/A</v>
      </c>
      <c r="I311" s="50" t="e">
        <f>VLOOKUP(B311,aa!B:L,11,0)</f>
        <v>#N/A</v>
      </c>
      <c r="J311" s="50" t="e">
        <f>VLOOKUP(B311,aa!B:O,14,0)</f>
        <v>#N/A</v>
      </c>
      <c r="K311" s="50" t="e">
        <f>VLOOKUP(B311,aa!B:R,17,0)</f>
        <v>#N/A</v>
      </c>
      <c r="L311" s="50" t="s">
        <v>97</v>
      </c>
      <c r="M311" s="50">
        <v>480596</v>
      </c>
      <c r="N311" s="50">
        <v>480596</v>
      </c>
      <c r="O311" s="50">
        <v>480596</v>
      </c>
      <c r="P311" s="50">
        <v>961</v>
      </c>
      <c r="Q311" s="50" t="s">
        <v>364</v>
      </c>
      <c r="R311" s="50">
        <v>0</v>
      </c>
      <c r="S311" s="50">
        <v>0</v>
      </c>
      <c r="U311" s="50">
        <v>0</v>
      </c>
      <c r="V311" s="50">
        <v>0</v>
      </c>
      <c r="X311" s="50" t="s">
        <v>102</v>
      </c>
      <c r="Y311" s="50" t="s">
        <v>103</v>
      </c>
      <c r="Z311" s="50" t="s">
        <v>104</v>
      </c>
      <c r="AB311" s="50" t="s">
        <v>7020</v>
      </c>
      <c r="AC311" s="50" t="s">
        <v>13632</v>
      </c>
      <c r="AD311" s="50" t="s">
        <v>12099</v>
      </c>
      <c r="AE311" s="50" t="s">
        <v>13632</v>
      </c>
      <c r="AF311" s="50" t="s">
        <v>109</v>
      </c>
      <c r="AG311" s="50" t="s">
        <v>102</v>
      </c>
      <c r="AH311" s="50" t="s">
        <v>109</v>
      </c>
      <c r="AI311" s="50" t="s">
        <v>102</v>
      </c>
      <c r="AJ311" s="50" t="s">
        <v>13633</v>
      </c>
      <c r="AK311" s="50" t="s">
        <v>13216</v>
      </c>
      <c r="AL311" s="50" t="s">
        <v>12470</v>
      </c>
      <c r="AM311" s="50" t="s">
        <v>13634</v>
      </c>
      <c r="AN311" s="50" t="s">
        <v>13635</v>
      </c>
      <c r="AO311" s="50" t="s">
        <v>115</v>
      </c>
      <c r="AP311" s="50" t="s">
        <v>2353</v>
      </c>
      <c r="AQ311" s="50" t="s">
        <v>2353</v>
      </c>
      <c r="AV311" s="50" t="s">
        <v>117</v>
      </c>
      <c r="AW311" s="50" t="s">
        <v>118</v>
      </c>
      <c r="AX311" s="50" t="s">
        <v>102</v>
      </c>
      <c r="AY311" s="50" t="s">
        <v>119</v>
      </c>
      <c r="BC311" s="50" t="s">
        <v>120</v>
      </c>
      <c r="BD311" s="50" t="s">
        <v>8152</v>
      </c>
      <c r="BE311" s="50" t="s">
        <v>449</v>
      </c>
      <c r="BF311" s="50" t="s">
        <v>122</v>
      </c>
      <c r="BG311" s="50" t="s">
        <v>253</v>
      </c>
      <c r="BH311" s="50" t="s">
        <v>124</v>
      </c>
      <c r="BI311" s="50" t="s">
        <v>12023</v>
      </c>
      <c r="BJ311" s="50" t="s">
        <v>11889</v>
      </c>
      <c r="BK311" s="50" t="s">
        <v>127</v>
      </c>
      <c r="BL311" s="50" t="s">
        <v>13636</v>
      </c>
      <c r="BM311" s="50" t="s">
        <v>2842</v>
      </c>
      <c r="BN311" s="50" t="s">
        <v>13637</v>
      </c>
      <c r="BO311" s="50" t="s">
        <v>6768</v>
      </c>
      <c r="BP311" s="50" t="s">
        <v>13638</v>
      </c>
      <c r="BQ311" s="50" t="s">
        <v>132</v>
      </c>
      <c r="BR311" s="50" t="s">
        <v>13639</v>
      </c>
      <c r="BS311" s="50" t="s">
        <v>13640</v>
      </c>
      <c r="BT311" s="50" t="s">
        <v>2847</v>
      </c>
      <c r="BV311" s="50" t="s">
        <v>13641</v>
      </c>
      <c r="BW311" s="50" t="s">
        <v>13642</v>
      </c>
      <c r="BX311" s="50" t="s">
        <v>569</v>
      </c>
      <c r="BY311" s="50" t="s">
        <v>8158</v>
      </c>
      <c r="BZ311" s="50" t="s">
        <v>13643</v>
      </c>
      <c r="CA311" s="50" t="s">
        <v>2852</v>
      </c>
      <c r="CB311" s="50" t="s">
        <v>13644</v>
      </c>
      <c r="CC311" s="50" t="s">
        <v>13645</v>
      </c>
      <c r="CD311" s="50" t="s">
        <v>13643</v>
      </c>
      <c r="CE311" s="50" t="s">
        <v>13646</v>
      </c>
      <c r="CF311" s="50" t="s">
        <v>8158</v>
      </c>
      <c r="CG311" s="50" t="s">
        <v>13643</v>
      </c>
      <c r="CH311" s="50" t="s">
        <v>2853</v>
      </c>
      <c r="CI311" s="50" t="s">
        <v>13647</v>
      </c>
      <c r="CK311" s="50" t="s">
        <v>10907</v>
      </c>
      <c r="CL311" s="50" t="s">
        <v>13648</v>
      </c>
      <c r="CM311" s="50" t="s">
        <v>2840</v>
      </c>
      <c r="CN311" s="50" t="s">
        <v>449</v>
      </c>
      <c r="CO311" s="50" t="s">
        <v>2855</v>
      </c>
      <c r="CP311" s="50" t="s">
        <v>2857</v>
      </c>
      <c r="CQ311" s="50" t="s">
        <v>2858</v>
      </c>
      <c r="CR311" s="50" t="s">
        <v>2856</v>
      </c>
    </row>
    <row r="312" spans="1:97" hidden="1">
      <c r="A312" s="50" t="s">
        <v>337</v>
      </c>
      <c r="B312" s="50">
        <v>3386433</v>
      </c>
      <c r="C312" s="50" t="e">
        <f>VLOOKUP(B312,'Drop schools 2026'!B:C,2,0)</f>
        <v>#N/A</v>
      </c>
      <c r="D312" s="50" t="s">
        <v>622</v>
      </c>
      <c r="E312" s="50" t="s">
        <v>3562</v>
      </c>
      <c r="F312" s="50" t="s">
        <v>15753</v>
      </c>
      <c r="G312" s="50" t="str">
        <f>VLOOKUP(B312,aa!B:F,5,0)</f>
        <v>Ei CARES</v>
      </c>
      <c r="H312" s="50">
        <f>VLOOKUP(B312,aa!B:J,9,0)</f>
        <v>735098</v>
      </c>
      <c r="I312" s="50">
        <f>VLOOKUP(B312,aa!B:L,11,0)</f>
        <v>0</v>
      </c>
      <c r="J312" s="50">
        <f>VLOOKUP(B312,aa!B:O,14,0)</f>
        <v>735098</v>
      </c>
      <c r="K312" s="50">
        <f>VLOOKUP(B312,aa!B:R,17,0)</f>
        <v>0</v>
      </c>
      <c r="L312" s="50" t="s">
        <v>152</v>
      </c>
      <c r="M312" s="50">
        <v>480064</v>
      </c>
      <c r="N312" s="50">
        <v>480064</v>
      </c>
      <c r="O312" s="50">
        <v>0</v>
      </c>
      <c r="P312" s="50">
        <v>0</v>
      </c>
      <c r="R312" s="50">
        <v>480064</v>
      </c>
      <c r="S312" s="50">
        <v>320</v>
      </c>
      <c r="T312" s="50" t="s">
        <v>6441</v>
      </c>
      <c r="U312" s="50">
        <v>0</v>
      </c>
      <c r="V312" s="50">
        <v>0</v>
      </c>
      <c r="X312" s="50" t="s">
        <v>102</v>
      </c>
      <c r="Y312" s="50" t="s">
        <v>103</v>
      </c>
      <c r="Z312" s="50" t="s">
        <v>155</v>
      </c>
      <c r="AB312" s="50" t="s">
        <v>7719</v>
      </c>
      <c r="AC312" s="50" t="s">
        <v>15754</v>
      </c>
      <c r="AD312" s="50" t="s">
        <v>12040</v>
      </c>
      <c r="AE312" s="50" t="s">
        <v>15754</v>
      </c>
      <c r="AF312" s="50" t="s">
        <v>12427</v>
      </c>
      <c r="AG312" s="50" t="s">
        <v>15754</v>
      </c>
      <c r="AH312" s="50" t="s">
        <v>12713</v>
      </c>
      <c r="AI312" s="50" t="s">
        <v>15754</v>
      </c>
      <c r="AJ312" s="50" t="s">
        <v>102</v>
      </c>
      <c r="AK312" s="50" t="s">
        <v>2392</v>
      </c>
      <c r="AL312" s="50" t="s">
        <v>15755</v>
      </c>
      <c r="AM312" s="50" t="s">
        <v>15756</v>
      </c>
      <c r="AN312" s="50" t="s">
        <v>15757</v>
      </c>
      <c r="AO312" s="50" t="s">
        <v>15758</v>
      </c>
      <c r="AP312" s="50" t="s">
        <v>6447</v>
      </c>
      <c r="AQ312" s="50" t="s">
        <v>6447</v>
      </c>
      <c r="AV312" s="50" t="s">
        <v>102</v>
      </c>
      <c r="AX312" s="50" t="s">
        <v>155</v>
      </c>
      <c r="AY312" s="50" t="s">
        <v>119</v>
      </c>
      <c r="AZ312" s="50" t="s">
        <v>170</v>
      </c>
      <c r="BA312" s="50" t="s">
        <v>118</v>
      </c>
      <c r="BC312" s="50" t="s">
        <v>120</v>
      </c>
      <c r="BD312" s="50" t="s">
        <v>15759</v>
      </c>
      <c r="BE312" s="50" t="s">
        <v>730</v>
      </c>
      <c r="BF312" s="50" t="s">
        <v>622</v>
      </c>
      <c r="BG312" s="50" t="s">
        <v>730</v>
      </c>
      <c r="BH312" s="50" t="s">
        <v>124</v>
      </c>
      <c r="BI312" s="50" t="s">
        <v>12023</v>
      </c>
      <c r="BJ312" s="50" t="s">
        <v>11889</v>
      </c>
      <c r="BK312" s="50" t="s">
        <v>127</v>
      </c>
      <c r="BL312" s="50" t="s">
        <v>15760</v>
      </c>
      <c r="BM312" s="50" t="s">
        <v>15761</v>
      </c>
      <c r="BN312" s="50" t="s">
        <v>15762</v>
      </c>
      <c r="BO312" s="50" t="s">
        <v>7719</v>
      </c>
      <c r="BP312" s="50" t="s">
        <v>5197</v>
      </c>
      <c r="BQ312" s="50" t="s">
        <v>350</v>
      </c>
      <c r="BR312" s="50" t="s">
        <v>5198</v>
      </c>
      <c r="BS312" s="50" t="s">
        <v>5199</v>
      </c>
      <c r="BT312" s="50" t="s">
        <v>2331</v>
      </c>
      <c r="BV312" s="50" t="s">
        <v>15763</v>
      </c>
      <c r="BW312" s="50" t="s">
        <v>15764</v>
      </c>
      <c r="BX312" s="50" t="s">
        <v>138</v>
      </c>
      <c r="BY312" s="50" t="s">
        <v>15765</v>
      </c>
      <c r="BZ312" s="50" t="s">
        <v>15766</v>
      </c>
      <c r="CA312" s="50" t="s">
        <v>15765</v>
      </c>
      <c r="CB312" s="50" t="s">
        <v>15767</v>
      </c>
      <c r="CC312" s="50" t="s">
        <v>15765</v>
      </c>
      <c r="CD312" s="50" t="s">
        <v>15766</v>
      </c>
      <c r="CE312" s="50" t="s">
        <v>15768</v>
      </c>
      <c r="CF312" s="50" t="s">
        <v>15765</v>
      </c>
      <c r="CG312" s="50" t="s">
        <v>15769</v>
      </c>
      <c r="CH312" s="50" t="s">
        <v>11006</v>
      </c>
      <c r="CI312" s="50" t="s">
        <v>15770</v>
      </c>
      <c r="CK312" s="50" t="s">
        <v>15771</v>
      </c>
      <c r="CL312" s="50" t="s">
        <v>15772</v>
      </c>
      <c r="CM312" s="50" t="s">
        <v>15759</v>
      </c>
      <c r="CN312" s="50" t="s">
        <v>730</v>
      </c>
      <c r="CO312" s="50" t="s">
        <v>15771</v>
      </c>
      <c r="CQ312" s="50" t="s">
        <v>15773</v>
      </c>
      <c r="CR312" s="50" t="s">
        <v>15773</v>
      </c>
    </row>
    <row r="313" spans="1:97" hidden="1">
      <c r="A313" s="50" t="s">
        <v>149</v>
      </c>
      <c r="B313" s="50">
        <v>5017918</v>
      </c>
      <c r="C313" s="50" t="e">
        <f>VLOOKUP(B313,'Drop schools 2026'!B:C,2,0)</f>
        <v>#N/A</v>
      </c>
      <c r="D313" s="50" t="s">
        <v>212</v>
      </c>
      <c r="E313" s="50" t="s">
        <v>418</v>
      </c>
      <c r="F313" s="50" t="s">
        <v>19268</v>
      </c>
      <c r="G313" s="50" t="str">
        <f>VLOOKUP(B313,aa!B:F,5,0)</f>
        <v>Ei CARES,Ei Mindspark</v>
      </c>
      <c r="H313" s="50">
        <f>VLOOKUP(B313,aa!B:J,9,0)</f>
        <v>346129</v>
      </c>
      <c r="I313" s="50">
        <f>VLOOKUP(B313,aa!B:L,11,0)</f>
        <v>0</v>
      </c>
      <c r="J313" s="50">
        <f>VLOOKUP(B313,aa!B:O,14,0)</f>
        <v>187350</v>
      </c>
      <c r="K313" s="50">
        <f>VLOOKUP(B313,aa!B:R,17,0)</f>
        <v>158779</v>
      </c>
      <c r="L313" s="50" t="s">
        <v>8024</v>
      </c>
      <c r="M313" s="50">
        <v>476462</v>
      </c>
      <c r="N313" s="50">
        <v>530402</v>
      </c>
      <c r="O313" s="50">
        <v>0</v>
      </c>
      <c r="P313" s="50">
        <v>0</v>
      </c>
      <c r="R313" s="50">
        <v>176795</v>
      </c>
      <c r="S313" s="50">
        <v>314</v>
      </c>
      <c r="T313" s="50" t="s">
        <v>12799</v>
      </c>
      <c r="U313" s="50">
        <v>299667</v>
      </c>
      <c r="V313" s="50">
        <v>314</v>
      </c>
      <c r="W313" s="50" t="s">
        <v>6010</v>
      </c>
      <c r="X313" s="50" t="s">
        <v>102</v>
      </c>
      <c r="Y313" s="50" t="s">
        <v>103</v>
      </c>
      <c r="Z313" s="50" t="s">
        <v>104</v>
      </c>
      <c r="AB313" s="50" t="s">
        <v>11599</v>
      </c>
      <c r="AC313" s="50" t="s">
        <v>19269</v>
      </c>
      <c r="AD313" s="50" t="s">
        <v>11886</v>
      </c>
      <c r="AE313" s="50" t="s">
        <v>19269</v>
      </c>
      <c r="AF313" s="50" t="s">
        <v>109</v>
      </c>
      <c r="AG313" s="50" t="s">
        <v>102</v>
      </c>
      <c r="AH313" s="50" t="s">
        <v>109</v>
      </c>
      <c r="AI313" s="50" t="s">
        <v>102</v>
      </c>
      <c r="AJ313" s="50" t="s">
        <v>19270</v>
      </c>
      <c r="AK313" s="50" t="s">
        <v>8060</v>
      </c>
      <c r="AL313" s="50" t="s">
        <v>8060</v>
      </c>
      <c r="AM313" s="50" t="s">
        <v>19271</v>
      </c>
      <c r="AN313" s="50" t="s">
        <v>19272</v>
      </c>
      <c r="AO313" s="50" t="s">
        <v>19273</v>
      </c>
      <c r="AP313" s="50" t="s">
        <v>12806</v>
      </c>
      <c r="AQ313" s="50" t="s">
        <v>12806</v>
      </c>
      <c r="AV313" s="50" t="s">
        <v>102</v>
      </c>
      <c r="AX313" s="50" t="s">
        <v>1758</v>
      </c>
      <c r="AY313" s="50" t="s">
        <v>119</v>
      </c>
      <c r="BA313" s="50" t="s">
        <v>250</v>
      </c>
      <c r="BB313" s="50" t="s">
        <v>250</v>
      </c>
      <c r="BC313" s="50" t="s">
        <v>120</v>
      </c>
      <c r="BD313" s="50" t="s">
        <v>1552</v>
      </c>
      <c r="BE313" s="50" t="s">
        <v>410</v>
      </c>
      <c r="BF313" s="50" t="s">
        <v>212</v>
      </c>
      <c r="BG313" s="50" t="s">
        <v>410</v>
      </c>
      <c r="BH313" s="50" t="s">
        <v>124</v>
      </c>
      <c r="BI313" s="50" t="s">
        <v>7020</v>
      </c>
      <c r="BJ313" s="50" t="s">
        <v>14455</v>
      </c>
      <c r="BK313" s="50" t="s">
        <v>127</v>
      </c>
      <c r="BL313" s="50" t="s">
        <v>19274</v>
      </c>
      <c r="BM313" s="50" t="s">
        <v>19275</v>
      </c>
      <c r="BN313" s="50" t="s">
        <v>19276</v>
      </c>
      <c r="BO313" s="50" t="s">
        <v>11300</v>
      </c>
      <c r="BP313" s="50" t="s">
        <v>866</v>
      </c>
      <c r="BQ313" s="50" t="s">
        <v>132</v>
      </c>
      <c r="BR313" s="50" t="s">
        <v>867</v>
      </c>
      <c r="BS313" s="50" t="s">
        <v>868</v>
      </c>
      <c r="BT313" s="50" t="s">
        <v>222</v>
      </c>
      <c r="BV313" s="50" t="s">
        <v>19277</v>
      </c>
      <c r="BW313" s="50" t="s">
        <v>1557</v>
      </c>
      <c r="BX313" s="50" t="s">
        <v>354</v>
      </c>
      <c r="BY313" s="50" t="s">
        <v>1558</v>
      </c>
      <c r="BZ313" s="50" t="s">
        <v>12810</v>
      </c>
      <c r="CA313" s="50" t="s">
        <v>1560</v>
      </c>
      <c r="CB313" s="50" t="s">
        <v>19278</v>
      </c>
      <c r="CC313" s="50" t="s">
        <v>12812</v>
      </c>
      <c r="CD313" s="50" t="s">
        <v>12813</v>
      </c>
      <c r="CE313" s="50" t="s">
        <v>19279</v>
      </c>
      <c r="CF313" s="50" t="s">
        <v>1562</v>
      </c>
      <c r="CG313" s="50" t="s">
        <v>1563</v>
      </c>
      <c r="CH313" s="50" t="s">
        <v>102</v>
      </c>
      <c r="CI313" s="50" t="s">
        <v>1564</v>
      </c>
      <c r="CK313" s="50" t="s">
        <v>1565</v>
      </c>
      <c r="CM313" s="50" t="s">
        <v>1552</v>
      </c>
      <c r="CN313" s="50" t="s">
        <v>410</v>
      </c>
      <c r="CO313" s="50" t="s">
        <v>1565</v>
      </c>
      <c r="CP313" s="50" t="s">
        <v>1566</v>
      </c>
      <c r="CQ313" s="50" t="s">
        <v>1564</v>
      </c>
      <c r="CR313" s="50" t="s">
        <v>1564</v>
      </c>
    </row>
    <row r="314" spans="1:97" hidden="1">
      <c r="A314" s="50" t="s">
        <v>149</v>
      </c>
      <c r="B314" s="50">
        <v>5014915</v>
      </c>
      <c r="C314" s="50" t="e">
        <f>VLOOKUP(B314,'Drop schools 2026'!B:C,2,0)</f>
        <v>#N/A</v>
      </c>
      <c r="D314" s="50" t="s">
        <v>622</v>
      </c>
      <c r="E314" s="50" t="s">
        <v>2525</v>
      </c>
      <c r="F314" s="50" t="s">
        <v>9387</v>
      </c>
      <c r="G314" s="50" t="str">
        <f>VLOOKUP(B314,aa!B:F,5,0)</f>
        <v>Ei Mindspark</v>
      </c>
      <c r="H314" s="50">
        <f>VLOOKUP(B314,aa!B:J,9,0)</f>
        <v>344113</v>
      </c>
      <c r="I314" s="50">
        <f>VLOOKUP(B314,aa!B:L,11,0)</f>
        <v>0</v>
      </c>
      <c r="J314" s="50">
        <f>VLOOKUP(B314,aa!B:O,14,0)</f>
        <v>0</v>
      </c>
      <c r="K314" s="50">
        <f>VLOOKUP(B314,aa!B:R,17,0)</f>
        <v>344113</v>
      </c>
      <c r="L314" s="50" t="s">
        <v>848</v>
      </c>
      <c r="M314" s="50">
        <v>476307</v>
      </c>
      <c r="N314" s="50">
        <v>562042</v>
      </c>
      <c r="O314" s="50">
        <v>0</v>
      </c>
      <c r="P314" s="50">
        <v>0</v>
      </c>
      <c r="R314" s="50">
        <v>0</v>
      </c>
      <c r="S314" s="50">
        <v>0</v>
      </c>
      <c r="U314" s="50">
        <v>476307</v>
      </c>
      <c r="V314" s="50">
        <v>281</v>
      </c>
      <c r="W314" s="50" t="s">
        <v>2007</v>
      </c>
      <c r="X314" s="50" t="s">
        <v>102</v>
      </c>
      <c r="Y314" s="50" t="s">
        <v>275</v>
      </c>
      <c r="AA314" s="50" t="s">
        <v>126</v>
      </c>
      <c r="AB314" s="50" t="s">
        <v>109</v>
      </c>
      <c r="AC314" s="50" t="s">
        <v>102</v>
      </c>
      <c r="AD314" s="50" t="s">
        <v>109</v>
      </c>
      <c r="AE314" s="50" t="s">
        <v>102</v>
      </c>
      <c r="AF314" s="50" t="s">
        <v>109</v>
      </c>
      <c r="AG314" s="50" t="s">
        <v>102</v>
      </c>
      <c r="AH314" s="50" t="s">
        <v>109</v>
      </c>
      <c r="AI314" s="50" t="s">
        <v>102</v>
      </c>
      <c r="AJ314" s="50" t="s">
        <v>102</v>
      </c>
      <c r="AK314" s="50" t="s">
        <v>12911</v>
      </c>
      <c r="AL314" s="50" t="s">
        <v>18671</v>
      </c>
      <c r="AM314" s="50" t="s">
        <v>18672</v>
      </c>
      <c r="AN314" s="50" t="s">
        <v>18673</v>
      </c>
      <c r="AO314" s="50" t="s">
        <v>18674</v>
      </c>
      <c r="AP314" s="50" t="s">
        <v>18675</v>
      </c>
      <c r="AQ314" s="50" t="s">
        <v>18676</v>
      </c>
      <c r="AR314" s="50" t="s">
        <v>343</v>
      </c>
      <c r="AU314" s="50" t="s">
        <v>169</v>
      </c>
      <c r="AV314" s="50" t="s">
        <v>102</v>
      </c>
      <c r="AX314" s="50" t="s">
        <v>102</v>
      </c>
      <c r="AY314" s="50" t="s">
        <v>119</v>
      </c>
      <c r="BB314" s="50" t="s">
        <v>250</v>
      </c>
      <c r="BC314" s="50" t="s">
        <v>120</v>
      </c>
      <c r="BD314" s="50" t="s">
        <v>1729</v>
      </c>
      <c r="BE314" s="50" t="s">
        <v>730</v>
      </c>
      <c r="BF314" s="50" t="s">
        <v>622</v>
      </c>
      <c r="BG314" s="50" t="s">
        <v>730</v>
      </c>
      <c r="BH314" s="50" t="s">
        <v>124</v>
      </c>
      <c r="BI314" s="50" t="s">
        <v>12023</v>
      </c>
      <c r="BJ314" s="50" t="s">
        <v>11889</v>
      </c>
      <c r="BK314" s="50" t="s">
        <v>127</v>
      </c>
      <c r="BL314" s="50" t="s">
        <v>18677</v>
      </c>
      <c r="BM314" s="50" t="s">
        <v>9396</v>
      </c>
      <c r="BN314" s="50" t="s">
        <v>18678</v>
      </c>
      <c r="BO314" s="50" t="s">
        <v>4813</v>
      </c>
      <c r="BP314" s="50" t="s">
        <v>3606</v>
      </c>
      <c r="BQ314" s="50" t="s">
        <v>180</v>
      </c>
      <c r="BR314" s="50" t="s">
        <v>3607</v>
      </c>
      <c r="BS314" s="50" t="s">
        <v>3608</v>
      </c>
      <c r="BT314" s="50" t="s">
        <v>2525</v>
      </c>
      <c r="BV314" s="50" t="s">
        <v>18679</v>
      </c>
      <c r="BW314" s="50" t="s">
        <v>18680</v>
      </c>
      <c r="BX314" s="50" t="s">
        <v>354</v>
      </c>
      <c r="BY314" s="50" t="s">
        <v>9402</v>
      </c>
      <c r="BZ314" s="50" t="s">
        <v>18681</v>
      </c>
      <c r="CA314" s="50" t="s">
        <v>9402</v>
      </c>
      <c r="CB314" s="50" t="s">
        <v>18682</v>
      </c>
      <c r="CC314" s="50" t="s">
        <v>9402</v>
      </c>
      <c r="CD314" s="50" t="s">
        <v>9404</v>
      </c>
      <c r="CE314" s="50" t="s">
        <v>18680</v>
      </c>
      <c r="CF314" s="50" t="s">
        <v>9402</v>
      </c>
      <c r="CG314" s="50" t="s">
        <v>18681</v>
      </c>
      <c r="CH314" s="50" t="s">
        <v>102</v>
      </c>
      <c r="CI314" s="50" t="s">
        <v>9405</v>
      </c>
      <c r="CK314" s="50" t="s">
        <v>1743</v>
      </c>
      <c r="CM314" s="50" t="s">
        <v>1729</v>
      </c>
      <c r="CN314" s="50" t="s">
        <v>730</v>
      </c>
      <c r="CO314" s="50" t="s">
        <v>9406</v>
      </c>
      <c r="CQ314" s="50" t="s">
        <v>9405</v>
      </c>
      <c r="CR314" s="50" t="s">
        <v>9405</v>
      </c>
      <c r="CS314" s="50" t="s">
        <v>26040</v>
      </c>
    </row>
    <row r="315" spans="1:97" hidden="1">
      <c r="A315" s="50" t="s">
        <v>149</v>
      </c>
      <c r="B315" s="50">
        <v>3347997</v>
      </c>
      <c r="C315" s="50" t="e">
        <f>VLOOKUP(B315,'Drop schools 2026'!B:C,2,0)</f>
        <v>#N/A</v>
      </c>
      <c r="D315" s="50" t="s">
        <v>212</v>
      </c>
      <c r="E315" s="50" t="s">
        <v>11947</v>
      </c>
      <c r="F315" s="50" t="s">
        <v>5645</v>
      </c>
      <c r="G315" s="50" t="e">
        <f>VLOOKUP(B315,aa!B:F,5,0)</f>
        <v>#N/A</v>
      </c>
      <c r="H315" s="50" t="e">
        <f>VLOOKUP(B315,aa!B:J,9,0)</f>
        <v>#N/A</v>
      </c>
      <c r="I315" s="50" t="e">
        <f>VLOOKUP(B315,aa!B:L,11,0)</f>
        <v>#N/A</v>
      </c>
      <c r="J315" s="50" t="e">
        <f>VLOOKUP(B315,aa!B:O,14,0)</f>
        <v>#N/A</v>
      </c>
      <c r="K315" s="50" t="e">
        <f>VLOOKUP(B315,aa!B:R,17,0)</f>
        <v>#N/A</v>
      </c>
      <c r="L315" s="50" t="s">
        <v>848</v>
      </c>
      <c r="M315" s="50">
        <v>475480</v>
      </c>
      <c r="N315" s="50">
        <v>561066</v>
      </c>
      <c r="O315" s="50">
        <v>0</v>
      </c>
      <c r="P315" s="50">
        <v>0</v>
      </c>
      <c r="R315" s="50">
        <v>0</v>
      </c>
      <c r="S315" s="50">
        <v>0</v>
      </c>
      <c r="U315" s="50">
        <v>475480</v>
      </c>
      <c r="V315" s="50">
        <v>235</v>
      </c>
      <c r="W315" s="50" t="s">
        <v>10244</v>
      </c>
      <c r="X315" s="50" t="s">
        <v>102</v>
      </c>
      <c r="Y315" s="50" t="s">
        <v>103</v>
      </c>
      <c r="Z315" s="50" t="s">
        <v>398</v>
      </c>
      <c r="AB315" s="50" t="s">
        <v>12541</v>
      </c>
      <c r="AC315" s="50" t="s">
        <v>15705</v>
      </c>
      <c r="AD315" s="50" t="s">
        <v>13110</v>
      </c>
      <c r="AE315" s="50" t="s">
        <v>15706</v>
      </c>
      <c r="AF315" s="50" t="s">
        <v>14024</v>
      </c>
      <c r="AG315" s="50" t="s">
        <v>15705</v>
      </c>
      <c r="AH315" s="50" t="s">
        <v>109</v>
      </c>
      <c r="AI315" s="50" t="s">
        <v>102</v>
      </c>
      <c r="AJ315" s="50" t="s">
        <v>15707</v>
      </c>
      <c r="AK315" s="50" t="s">
        <v>12923</v>
      </c>
      <c r="AL315" s="50" t="s">
        <v>14238</v>
      </c>
      <c r="AM315" s="50" t="s">
        <v>15708</v>
      </c>
      <c r="AN315" s="50" t="s">
        <v>15709</v>
      </c>
      <c r="AO315" s="50" t="s">
        <v>15710</v>
      </c>
      <c r="AP315" s="50" t="s">
        <v>15711</v>
      </c>
      <c r="AQ315" s="50" t="s">
        <v>15711</v>
      </c>
      <c r="AV315" s="50" t="s">
        <v>102</v>
      </c>
      <c r="AX315" s="50" t="s">
        <v>102</v>
      </c>
      <c r="AY315" s="50" t="s">
        <v>119</v>
      </c>
      <c r="BB315" s="50" t="s">
        <v>250</v>
      </c>
      <c r="BC315" s="50" t="s">
        <v>120</v>
      </c>
      <c r="BD315" s="50" t="s">
        <v>920</v>
      </c>
      <c r="BE315" s="50" t="s">
        <v>211</v>
      </c>
      <c r="BF315" s="50" t="s">
        <v>212</v>
      </c>
      <c r="BG315" s="50" t="s">
        <v>213</v>
      </c>
      <c r="BH315" s="50" t="s">
        <v>124</v>
      </c>
      <c r="BI315" s="50" t="s">
        <v>12644</v>
      </c>
      <c r="BJ315" s="50" t="s">
        <v>12047</v>
      </c>
      <c r="BK315" s="50" t="s">
        <v>127</v>
      </c>
      <c r="BL315" s="50" t="s">
        <v>15712</v>
      </c>
      <c r="BM315" s="50" t="s">
        <v>5658</v>
      </c>
      <c r="BN315" s="50" t="s">
        <v>15713</v>
      </c>
      <c r="BO315" s="50" t="s">
        <v>12644</v>
      </c>
      <c r="BP315" s="50" t="s">
        <v>415</v>
      </c>
      <c r="BQ315" s="50" t="s">
        <v>180</v>
      </c>
      <c r="BR315" s="50" t="s">
        <v>416</v>
      </c>
      <c r="BS315" s="50" t="s">
        <v>417</v>
      </c>
      <c r="BT315" s="50" t="s">
        <v>2151</v>
      </c>
      <c r="BV315" s="50" t="s">
        <v>15714</v>
      </c>
      <c r="BW315" s="50" t="s">
        <v>5661</v>
      </c>
      <c r="BX315" s="50" t="s">
        <v>138</v>
      </c>
      <c r="BY315" s="50" t="s">
        <v>5662</v>
      </c>
      <c r="BZ315" s="50" t="s">
        <v>5663</v>
      </c>
      <c r="CA315" s="50" t="s">
        <v>5662</v>
      </c>
      <c r="CB315" s="50" t="s">
        <v>5661</v>
      </c>
      <c r="CC315" s="50" t="s">
        <v>5662</v>
      </c>
      <c r="CD315" s="50" t="s">
        <v>5663</v>
      </c>
      <c r="CE315" s="50" t="s">
        <v>5661</v>
      </c>
      <c r="CF315" s="50" t="s">
        <v>5662</v>
      </c>
      <c r="CG315" s="50" t="s">
        <v>5663</v>
      </c>
      <c r="CH315" s="50" t="s">
        <v>102</v>
      </c>
      <c r="CI315" s="50" t="s">
        <v>5664</v>
      </c>
      <c r="CK315" s="50" t="s">
        <v>3690</v>
      </c>
      <c r="CM315" s="50" t="s">
        <v>920</v>
      </c>
      <c r="CN315" s="50" t="s">
        <v>211</v>
      </c>
      <c r="CO315" s="50" t="s">
        <v>3690</v>
      </c>
      <c r="CP315" s="50" t="s">
        <v>5665</v>
      </c>
      <c r="CQ315" s="50" t="s">
        <v>5664</v>
      </c>
      <c r="CR315" s="50" t="s">
        <v>5664</v>
      </c>
      <c r="CS315" s="50" t="s">
        <v>26044</v>
      </c>
    </row>
    <row r="316" spans="1:97" hidden="1">
      <c r="A316" s="50" t="s">
        <v>149</v>
      </c>
      <c r="B316" s="50">
        <v>2821214</v>
      </c>
      <c r="C316" s="50" t="str">
        <f>VLOOKUP(B316,RISK!B:C,2,0)</f>
        <v>Risk</v>
      </c>
      <c r="D316" s="50" t="s">
        <v>212</v>
      </c>
      <c r="E316" s="50" t="s">
        <v>12423</v>
      </c>
      <c r="F316" s="50" t="s">
        <v>4429</v>
      </c>
      <c r="G316" s="50" t="e">
        <f>VLOOKUP(B316,aa!B:F,5,0)</f>
        <v>#N/A</v>
      </c>
      <c r="H316" s="50" t="e">
        <f>VLOOKUP(B316,aa!B:J,9,0)</f>
        <v>#N/A</v>
      </c>
      <c r="I316" s="50" t="e">
        <f>VLOOKUP(B316,aa!B:L,11,0)</f>
        <v>#N/A</v>
      </c>
      <c r="J316" s="50" t="e">
        <f>VLOOKUP(B316,aa!B:O,14,0)</f>
        <v>#N/A</v>
      </c>
      <c r="K316" s="50" t="e">
        <f>VLOOKUP(B316,aa!B:R,17,0)</f>
        <v>#N/A</v>
      </c>
      <c r="L316" s="50" t="s">
        <v>848</v>
      </c>
      <c r="M316" s="50">
        <v>475339</v>
      </c>
      <c r="N316" s="50">
        <v>560900</v>
      </c>
      <c r="O316" s="50">
        <v>0</v>
      </c>
      <c r="P316" s="50">
        <v>0</v>
      </c>
      <c r="R316" s="50">
        <v>0</v>
      </c>
      <c r="S316" s="50">
        <v>0</v>
      </c>
      <c r="U316" s="50">
        <v>475339</v>
      </c>
      <c r="V316" s="50">
        <v>271</v>
      </c>
      <c r="W316" s="50" t="s">
        <v>14720</v>
      </c>
      <c r="X316" s="50" t="s">
        <v>102</v>
      </c>
      <c r="Y316" s="50" t="s">
        <v>103</v>
      </c>
      <c r="Z316" s="50" t="s">
        <v>104</v>
      </c>
      <c r="AB316" s="50" t="s">
        <v>12040</v>
      </c>
      <c r="AC316" s="50" t="s">
        <v>14721</v>
      </c>
      <c r="AD316" s="50" t="s">
        <v>12713</v>
      </c>
      <c r="AE316" s="50" t="s">
        <v>14721</v>
      </c>
      <c r="AF316" s="50" t="s">
        <v>109</v>
      </c>
      <c r="AG316" s="50" t="s">
        <v>102</v>
      </c>
      <c r="AH316" s="50" t="s">
        <v>109</v>
      </c>
      <c r="AI316" s="50" t="s">
        <v>102</v>
      </c>
      <c r="AJ316" s="50" t="s">
        <v>14722</v>
      </c>
      <c r="AK316" s="50" t="s">
        <v>12020</v>
      </c>
      <c r="AL316" s="50" t="s">
        <v>12020</v>
      </c>
      <c r="AM316" s="50" t="s">
        <v>14723</v>
      </c>
      <c r="AN316" s="50" t="s">
        <v>14724</v>
      </c>
      <c r="AO316" s="50" t="s">
        <v>14721</v>
      </c>
      <c r="AP316" s="50" t="s">
        <v>14725</v>
      </c>
      <c r="AQ316" s="50" t="s">
        <v>14725</v>
      </c>
      <c r="AV316" s="50" t="s">
        <v>102</v>
      </c>
      <c r="AX316" s="50" t="s">
        <v>102</v>
      </c>
      <c r="AY316" s="50" t="s">
        <v>119</v>
      </c>
      <c r="BB316" s="50" t="s">
        <v>250</v>
      </c>
      <c r="BC316" s="50" t="s">
        <v>120</v>
      </c>
      <c r="BD316" s="50" t="s">
        <v>3537</v>
      </c>
      <c r="BE316" s="50" t="s">
        <v>410</v>
      </c>
      <c r="BF316" s="50" t="s">
        <v>212</v>
      </c>
      <c r="BG316" s="50" t="s">
        <v>410</v>
      </c>
      <c r="BH316" s="50" t="s">
        <v>124</v>
      </c>
      <c r="BI316" s="50" t="s">
        <v>1547</v>
      </c>
      <c r="BJ316" s="50" t="s">
        <v>11960</v>
      </c>
      <c r="BK316" s="50" t="s">
        <v>127</v>
      </c>
      <c r="BL316" s="50" t="s">
        <v>14726</v>
      </c>
      <c r="BM316" s="50" t="s">
        <v>4435</v>
      </c>
      <c r="BN316" s="50" t="s">
        <v>14727</v>
      </c>
      <c r="BO316" s="50" t="s">
        <v>1547</v>
      </c>
      <c r="BP316" s="50" t="s">
        <v>866</v>
      </c>
      <c r="BQ316" s="50" t="s">
        <v>350</v>
      </c>
      <c r="BR316" s="50" t="s">
        <v>867</v>
      </c>
      <c r="BS316" s="50" t="s">
        <v>868</v>
      </c>
      <c r="BT316" s="50" t="s">
        <v>418</v>
      </c>
      <c r="BV316" s="50" t="s">
        <v>14728</v>
      </c>
      <c r="BW316" s="50" t="s">
        <v>4438</v>
      </c>
      <c r="BY316" s="50" t="s">
        <v>4439</v>
      </c>
      <c r="BZ316" s="50" t="s">
        <v>4440</v>
      </c>
      <c r="CA316" s="50" t="s">
        <v>4441</v>
      </c>
      <c r="CB316" s="50" t="s">
        <v>4438</v>
      </c>
      <c r="CC316" s="50" t="s">
        <v>4439</v>
      </c>
      <c r="CD316" s="50" t="s">
        <v>4440</v>
      </c>
      <c r="CE316" s="50" t="s">
        <v>14729</v>
      </c>
      <c r="CF316" s="50" t="s">
        <v>4439</v>
      </c>
      <c r="CG316" s="50" t="s">
        <v>4440</v>
      </c>
      <c r="CH316" s="50" t="s">
        <v>102</v>
      </c>
      <c r="CI316" s="50" t="s">
        <v>4442</v>
      </c>
      <c r="CK316" s="50" t="s">
        <v>4443</v>
      </c>
      <c r="CM316" s="50" t="s">
        <v>3537</v>
      </c>
      <c r="CN316" s="50" t="s">
        <v>410</v>
      </c>
      <c r="CO316" s="50" t="s">
        <v>4443</v>
      </c>
      <c r="CP316" s="50" t="s">
        <v>4066</v>
      </c>
      <c r="CQ316" s="50" t="s">
        <v>4442</v>
      </c>
      <c r="CR316" s="50" t="s">
        <v>4442</v>
      </c>
      <c r="CS316" s="50" t="s">
        <v>26042</v>
      </c>
    </row>
    <row r="317" spans="1:97" hidden="1">
      <c r="A317" s="50" t="s">
        <v>337</v>
      </c>
      <c r="B317" s="50">
        <v>214620</v>
      </c>
      <c r="C317" s="50" t="e">
        <f>VLOOKUP(B317,'Drop schools 2026'!B:C,2,0)</f>
        <v>#N/A</v>
      </c>
      <c r="D317" s="50" t="s">
        <v>174</v>
      </c>
      <c r="E317" s="50" t="s">
        <v>183</v>
      </c>
      <c r="F317" s="50" t="s">
        <v>13582</v>
      </c>
      <c r="G317" s="50" t="e">
        <f>VLOOKUP(B317,aa!B:F,5,0)</f>
        <v>#N/A</v>
      </c>
      <c r="H317" s="50" t="e">
        <f>VLOOKUP(B317,aa!B:J,9,0)</f>
        <v>#N/A</v>
      </c>
      <c r="I317" s="50" t="e">
        <f>VLOOKUP(B317,aa!B:L,11,0)</f>
        <v>#N/A</v>
      </c>
      <c r="J317" s="50" t="e">
        <f>VLOOKUP(B317,aa!B:O,14,0)</f>
        <v>#N/A</v>
      </c>
      <c r="K317" s="50" t="e">
        <f>VLOOKUP(B317,aa!B:R,17,0)</f>
        <v>#N/A</v>
      </c>
      <c r="L317" s="50" t="s">
        <v>97</v>
      </c>
      <c r="M317" s="50">
        <v>474345</v>
      </c>
      <c r="N317" s="50">
        <v>474345</v>
      </c>
      <c r="O317" s="50">
        <v>474345</v>
      </c>
      <c r="P317" s="50">
        <v>620</v>
      </c>
      <c r="Q317" s="50" t="s">
        <v>13584</v>
      </c>
      <c r="R317" s="50">
        <v>0</v>
      </c>
      <c r="S317" s="50">
        <v>0</v>
      </c>
      <c r="U317" s="50">
        <v>0</v>
      </c>
      <c r="V317" s="50">
        <v>0</v>
      </c>
      <c r="X317" s="50" t="s">
        <v>102</v>
      </c>
      <c r="Y317" s="50" t="s">
        <v>275</v>
      </c>
      <c r="AA317" s="50" t="s">
        <v>12158</v>
      </c>
      <c r="AB317" s="50" t="s">
        <v>109</v>
      </c>
      <c r="AC317" s="50" t="s">
        <v>102</v>
      </c>
      <c r="AD317" s="50" t="s">
        <v>109</v>
      </c>
      <c r="AE317" s="50" t="s">
        <v>102</v>
      </c>
      <c r="AF317" s="50" t="s">
        <v>109</v>
      </c>
      <c r="AG317" s="50" t="s">
        <v>102</v>
      </c>
      <c r="AH317" s="50" t="s">
        <v>109</v>
      </c>
      <c r="AI317" s="50" t="s">
        <v>102</v>
      </c>
      <c r="AJ317" s="50" t="s">
        <v>102</v>
      </c>
      <c r="AK317" s="50" t="s">
        <v>8060</v>
      </c>
      <c r="AL317" s="50" t="s">
        <v>8060</v>
      </c>
      <c r="AM317" s="50" t="s">
        <v>13585</v>
      </c>
      <c r="AN317" s="50" t="s">
        <v>13586</v>
      </c>
      <c r="AO317" s="50" t="s">
        <v>13587</v>
      </c>
      <c r="AP317" s="50" t="s">
        <v>13588</v>
      </c>
      <c r="AQ317" s="50" t="s">
        <v>13588</v>
      </c>
      <c r="AV317" s="50" t="s">
        <v>117</v>
      </c>
      <c r="AW317" s="50" t="s">
        <v>118</v>
      </c>
      <c r="AX317" s="50" t="s">
        <v>102</v>
      </c>
      <c r="AY317" s="50" t="s">
        <v>119</v>
      </c>
      <c r="BC317" s="50" t="s">
        <v>120</v>
      </c>
      <c r="BD317" s="50" t="s">
        <v>375</v>
      </c>
      <c r="BE317" s="50" t="s">
        <v>376</v>
      </c>
      <c r="BF317" s="50" t="s">
        <v>174</v>
      </c>
      <c r="BG317" s="50" t="s">
        <v>376</v>
      </c>
      <c r="BH317" s="50" t="s">
        <v>124</v>
      </c>
      <c r="BI317" s="50" t="s">
        <v>12327</v>
      </c>
      <c r="BJ317" s="50" t="s">
        <v>13208</v>
      </c>
      <c r="BK317" s="50" t="s">
        <v>127</v>
      </c>
      <c r="BL317" s="50" t="s">
        <v>13589</v>
      </c>
      <c r="BM317" s="50" t="s">
        <v>13590</v>
      </c>
      <c r="BN317" s="50" t="s">
        <v>13591</v>
      </c>
      <c r="BO317" s="50" t="s">
        <v>13583</v>
      </c>
      <c r="BP317" s="50" t="s">
        <v>6926</v>
      </c>
      <c r="BQ317" s="50" t="s">
        <v>180</v>
      </c>
      <c r="BR317" s="50" t="s">
        <v>6927</v>
      </c>
      <c r="BS317" s="50" t="s">
        <v>6928</v>
      </c>
      <c r="BT317" s="50" t="s">
        <v>1858</v>
      </c>
      <c r="BV317" s="50" t="s">
        <v>13592</v>
      </c>
      <c r="BW317" s="50" t="s">
        <v>13593</v>
      </c>
      <c r="BX317" s="50" t="s">
        <v>138</v>
      </c>
      <c r="BY317" s="50" t="s">
        <v>13594</v>
      </c>
      <c r="BZ317" s="50" t="s">
        <v>13595</v>
      </c>
      <c r="CA317" s="50" t="s">
        <v>13596</v>
      </c>
      <c r="CB317" s="50" t="s">
        <v>13593</v>
      </c>
      <c r="CC317" s="50" t="s">
        <v>13594</v>
      </c>
      <c r="CD317" s="50" t="s">
        <v>13595</v>
      </c>
      <c r="CE317" s="50" t="s">
        <v>13593</v>
      </c>
      <c r="CF317" s="50" t="s">
        <v>13594</v>
      </c>
      <c r="CG317" s="50" t="s">
        <v>13595</v>
      </c>
      <c r="CH317" s="50" t="s">
        <v>13597</v>
      </c>
      <c r="CI317" s="50" t="s">
        <v>13598</v>
      </c>
      <c r="CK317" s="50" t="s">
        <v>13599</v>
      </c>
      <c r="CL317" s="50" t="s">
        <v>13598</v>
      </c>
      <c r="CM317" s="50" t="s">
        <v>375</v>
      </c>
      <c r="CN317" s="50" t="s">
        <v>376</v>
      </c>
      <c r="CO317" s="50" t="s">
        <v>13599</v>
      </c>
      <c r="CQ317" s="50" t="s">
        <v>13598</v>
      </c>
      <c r="CR317" s="50" t="s">
        <v>13598</v>
      </c>
    </row>
    <row r="318" spans="1:97" hidden="1">
      <c r="A318" s="50" t="s">
        <v>149</v>
      </c>
      <c r="B318" s="50">
        <v>3837686</v>
      </c>
      <c r="C318" s="50" t="e">
        <f>VLOOKUP(B318,'Drop schools 2026'!B:C,2,0)</f>
        <v>#N/A</v>
      </c>
      <c r="D318" s="50" t="s">
        <v>212</v>
      </c>
      <c r="E318" s="50" t="s">
        <v>11947</v>
      </c>
      <c r="F318" s="50" t="s">
        <v>7631</v>
      </c>
      <c r="G318" s="50" t="str">
        <f>VLOOKUP(B318,aa!B:F,5,0)</f>
        <v>Ei ASSET,Ei Mindspark</v>
      </c>
      <c r="H318" s="50">
        <f>VLOOKUP(B318,aa!B:J,9,0)</f>
        <v>0</v>
      </c>
      <c r="I318" s="50">
        <f>VLOOKUP(B318,aa!B:L,11,0)</f>
        <v>0</v>
      </c>
      <c r="J318" s="50">
        <f>VLOOKUP(B318,aa!B:O,14,0)</f>
        <v>0</v>
      </c>
      <c r="K318" s="50">
        <f>VLOOKUP(B318,aa!B:R,17,0)</f>
        <v>0</v>
      </c>
      <c r="L318" s="50" t="s">
        <v>193</v>
      </c>
      <c r="M318" s="50">
        <v>473287</v>
      </c>
      <c r="N318" s="50">
        <v>530493</v>
      </c>
      <c r="O318" s="50">
        <v>155475</v>
      </c>
      <c r="P318" s="50">
        <v>500</v>
      </c>
      <c r="Q318" s="50" t="s">
        <v>195</v>
      </c>
      <c r="R318" s="50">
        <v>0</v>
      </c>
      <c r="S318" s="50">
        <v>0</v>
      </c>
      <c r="U318" s="50">
        <v>317812</v>
      </c>
      <c r="V318" s="50">
        <v>500</v>
      </c>
      <c r="W318" s="50" t="s">
        <v>11949</v>
      </c>
      <c r="X318" s="50" t="s">
        <v>102</v>
      </c>
      <c r="Y318" s="50" t="s">
        <v>103</v>
      </c>
      <c r="Z318" s="50" t="s">
        <v>104</v>
      </c>
      <c r="AB318" s="50" t="s">
        <v>11950</v>
      </c>
      <c r="AC318" s="50" t="s">
        <v>17098</v>
      </c>
      <c r="AD318" s="50" t="s">
        <v>11952</v>
      </c>
      <c r="AE318" s="50" t="s">
        <v>17098</v>
      </c>
      <c r="AF318" s="50" t="s">
        <v>109</v>
      </c>
      <c r="AG318" s="50" t="s">
        <v>102</v>
      </c>
      <c r="AH318" s="50" t="s">
        <v>109</v>
      </c>
      <c r="AI318" s="50" t="s">
        <v>102</v>
      </c>
      <c r="AJ318" s="50" t="s">
        <v>17099</v>
      </c>
      <c r="AK318" s="50" t="s">
        <v>11954</v>
      </c>
      <c r="AL318" s="50" t="s">
        <v>11954</v>
      </c>
      <c r="AM318" s="50" t="s">
        <v>17100</v>
      </c>
      <c r="AN318" s="50" t="s">
        <v>17101</v>
      </c>
      <c r="AO318" s="50" t="s">
        <v>17102</v>
      </c>
      <c r="AP318" s="50" t="s">
        <v>11958</v>
      </c>
      <c r="AQ318" s="50" t="s">
        <v>11958</v>
      </c>
      <c r="AV318" s="50" t="s">
        <v>207</v>
      </c>
      <c r="AW318" s="50" t="s">
        <v>118</v>
      </c>
      <c r="AX318" s="50" t="s">
        <v>102</v>
      </c>
      <c r="AY318" s="50" t="s">
        <v>119</v>
      </c>
      <c r="BB318" s="50" t="s">
        <v>250</v>
      </c>
      <c r="BC318" s="50" t="s">
        <v>120</v>
      </c>
      <c r="BD318" s="50" t="s">
        <v>5637</v>
      </c>
      <c r="BE318" s="50" t="s">
        <v>211</v>
      </c>
      <c r="BF318" s="50" t="s">
        <v>212</v>
      </c>
      <c r="BG318" s="50" t="s">
        <v>213</v>
      </c>
      <c r="BH318" s="50" t="s">
        <v>124</v>
      </c>
      <c r="BI318" s="50" t="s">
        <v>11959</v>
      </c>
      <c r="BJ318" s="50" t="s">
        <v>11960</v>
      </c>
      <c r="BK318" s="50" t="s">
        <v>127</v>
      </c>
      <c r="BL318" s="50" t="s">
        <v>17103</v>
      </c>
      <c r="BM318" s="50" t="s">
        <v>7639</v>
      </c>
      <c r="BN318" s="50" t="s">
        <v>17104</v>
      </c>
      <c r="BO318" s="50" t="s">
        <v>11948</v>
      </c>
      <c r="BP318" s="50" t="s">
        <v>1880</v>
      </c>
      <c r="BQ318" s="50" t="s">
        <v>7992</v>
      </c>
      <c r="BR318" s="50" t="s">
        <v>1882</v>
      </c>
      <c r="BS318" s="50" t="s">
        <v>1883</v>
      </c>
      <c r="BT318" s="50" t="s">
        <v>222</v>
      </c>
      <c r="BV318" s="50" t="s">
        <v>17105</v>
      </c>
      <c r="BW318" s="50" t="s">
        <v>224</v>
      </c>
      <c r="BX318" s="50" t="s">
        <v>138</v>
      </c>
      <c r="BY318" s="50" t="s">
        <v>225</v>
      </c>
      <c r="BZ318" s="50" t="s">
        <v>226</v>
      </c>
      <c r="CA318" s="50" t="s">
        <v>7642</v>
      </c>
      <c r="CB318" s="50" t="s">
        <v>17106</v>
      </c>
      <c r="CC318" s="50" t="s">
        <v>17107</v>
      </c>
      <c r="CD318" s="50" t="s">
        <v>17108</v>
      </c>
      <c r="CE318" s="50" t="s">
        <v>17109</v>
      </c>
      <c r="CF318" s="50" t="s">
        <v>17107</v>
      </c>
      <c r="CG318" s="50" t="s">
        <v>17108</v>
      </c>
      <c r="CH318" s="50" t="s">
        <v>102</v>
      </c>
      <c r="CI318" s="50" t="s">
        <v>7643</v>
      </c>
      <c r="CK318" s="50" t="s">
        <v>7644</v>
      </c>
      <c r="CM318" s="50" t="s">
        <v>5637</v>
      </c>
      <c r="CN318" s="50" t="s">
        <v>211</v>
      </c>
      <c r="CO318" s="50" t="s">
        <v>7644</v>
      </c>
      <c r="CP318" s="50" t="s">
        <v>230</v>
      </c>
      <c r="CQ318" s="50" t="s">
        <v>7643</v>
      </c>
      <c r="CR318" s="50" t="s">
        <v>7643</v>
      </c>
    </row>
    <row r="319" spans="1:97" hidden="1">
      <c r="A319" s="50" t="s">
        <v>93</v>
      </c>
      <c r="B319" s="50">
        <v>3306257</v>
      </c>
      <c r="C319" s="50" t="str">
        <f>VLOOKUP(B319,RISK!B:C,2,0)</f>
        <v>Risk</v>
      </c>
      <c r="D319" s="50" t="s">
        <v>122</v>
      </c>
      <c r="E319" s="50" t="s">
        <v>12507</v>
      </c>
      <c r="F319" s="50" t="s">
        <v>2831</v>
      </c>
      <c r="G319" s="50" t="e">
        <f>VLOOKUP(B319,aa!B:F,5,0)</f>
        <v>#N/A</v>
      </c>
      <c r="H319" s="50" t="e">
        <f>VLOOKUP(B319,aa!B:J,9,0)</f>
        <v>#N/A</v>
      </c>
      <c r="I319" s="50" t="e">
        <f>VLOOKUP(B319,aa!B:L,11,0)</f>
        <v>#N/A</v>
      </c>
      <c r="J319" s="50" t="e">
        <f>VLOOKUP(B319,aa!B:O,14,0)</f>
        <v>#N/A</v>
      </c>
      <c r="K319" s="50" t="e">
        <f>VLOOKUP(B319,aa!B:R,17,0)</f>
        <v>#N/A</v>
      </c>
      <c r="L319" s="50" t="s">
        <v>152</v>
      </c>
      <c r="M319" s="50">
        <v>467334</v>
      </c>
      <c r="N319" s="50">
        <v>467334</v>
      </c>
      <c r="O319" s="50">
        <v>0</v>
      </c>
      <c r="P319" s="50">
        <v>0</v>
      </c>
      <c r="R319" s="50">
        <v>467334</v>
      </c>
      <c r="S319" s="50">
        <v>410</v>
      </c>
      <c r="T319" s="50" t="s">
        <v>1495</v>
      </c>
      <c r="U319" s="50">
        <v>0</v>
      </c>
      <c r="V319" s="50">
        <v>0</v>
      </c>
      <c r="X319" s="50" t="s">
        <v>102</v>
      </c>
      <c r="Y319" s="50" t="s">
        <v>103</v>
      </c>
      <c r="Z319" s="50" t="s">
        <v>155</v>
      </c>
      <c r="AB319" s="50" t="s">
        <v>3207</v>
      </c>
      <c r="AC319" s="50" t="s">
        <v>15514</v>
      </c>
      <c r="AD319" s="50" t="s">
        <v>6177</v>
      </c>
      <c r="AE319" s="50" t="s">
        <v>15515</v>
      </c>
      <c r="AF319" s="50" t="s">
        <v>9460</v>
      </c>
      <c r="AG319" s="50" t="s">
        <v>15515</v>
      </c>
      <c r="AH319" s="50" t="s">
        <v>12043</v>
      </c>
      <c r="AI319" s="50" t="s">
        <v>15515</v>
      </c>
      <c r="AJ319" s="50" t="s">
        <v>102</v>
      </c>
      <c r="AM319" s="50" t="s">
        <v>15516</v>
      </c>
      <c r="AN319" s="50" t="s">
        <v>102</v>
      </c>
      <c r="AO319" s="50" t="s">
        <v>15516</v>
      </c>
      <c r="AP319" s="50" t="s">
        <v>5460</v>
      </c>
      <c r="AQ319" s="50" t="s">
        <v>5460</v>
      </c>
      <c r="AV319" s="50" t="s">
        <v>102</v>
      </c>
      <c r="AX319" s="50" t="s">
        <v>155</v>
      </c>
      <c r="AY319" s="50" t="s">
        <v>447</v>
      </c>
      <c r="AZ319" s="50" t="s">
        <v>170</v>
      </c>
      <c r="BA319" s="50" t="s">
        <v>118</v>
      </c>
      <c r="BC319" s="50" t="s">
        <v>120</v>
      </c>
      <c r="BD319" s="50" t="s">
        <v>5461</v>
      </c>
      <c r="BE319" s="50" t="s">
        <v>556</v>
      </c>
      <c r="BF319" s="50" t="s">
        <v>122</v>
      </c>
      <c r="BG319" s="50" t="s">
        <v>557</v>
      </c>
      <c r="BH319" s="50" t="s">
        <v>124</v>
      </c>
      <c r="BI319" s="50" t="s">
        <v>12023</v>
      </c>
      <c r="BJ319" s="50" t="s">
        <v>11889</v>
      </c>
      <c r="BK319" s="50" t="s">
        <v>127</v>
      </c>
      <c r="BL319" s="50" t="s">
        <v>15517</v>
      </c>
      <c r="BM319" s="50" t="s">
        <v>5463</v>
      </c>
      <c r="BN319" s="50" t="s">
        <v>15518</v>
      </c>
      <c r="BO319" s="50" t="s">
        <v>4497</v>
      </c>
      <c r="BP319" s="50" t="s">
        <v>1071</v>
      </c>
      <c r="BQ319" s="50" t="s">
        <v>258</v>
      </c>
      <c r="BR319" s="50" t="s">
        <v>1072</v>
      </c>
      <c r="BS319" s="50" t="s">
        <v>1073</v>
      </c>
      <c r="BT319" s="50" t="s">
        <v>1074</v>
      </c>
      <c r="BU319" s="50" t="s">
        <v>1075</v>
      </c>
      <c r="BV319" s="50" t="s">
        <v>15519</v>
      </c>
      <c r="BW319" s="50" t="s">
        <v>15520</v>
      </c>
      <c r="BX319" s="50" t="s">
        <v>138</v>
      </c>
      <c r="BY319" s="50" t="s">
        <v>15521</v>
      </c>
      <c r="BZ319" s="50" t="s">
        <v>5468</v>
      </c>
      <c r="CA319" s="50" t="s">
        <v>5469</v>
      </c>
      <c r="CB319" s="50" t="s">
        <v>5470</v>
      </c>
      <c r="CC319" s="50" t="s">
        <v>15521</v>
      </c>
      <c r="CD319" s="50" t="s">
        <v>5468</v>
      </c>
      <c r="CE319" s="50" t="s">
        <v>5470</v>
      </c>
      <c r="CF319" s="50" t="s">
        <v>15521</v>
      </c>
      <c r="CG319" s="50" t="s">
        <v>5468</v>
      </c>
      <c r="CH319" s="50" t="s">
        <v>5471</v>
      </c>
      <c r="CI319" s="50" t="s">
        <v>5472</v>
      </c>
      <c r="CK319" s="50" t="s">
        <v>5473</v>
      </c>
      <c r="CL319" s="50" t="s">
        <v>5472</v>
      </c>
      <c r="CM319" s="50" t="s">
        <v>5461</v>
      </c>
      <c r="CN319" s="50" t="s">
        <v>556</v>
      </c>
      <c r="CO319" s="50" t="s">
        <v>5473</v>
      </c>
      <c r="CQ319" s="50" t="s">
        <v>5472</v>
      </c>
      <c r="CR319" s="50" t="s">
        <v>5472</v>
      </c>
    </row>
    <row r="320" spans="1:97" hidden="1">
      <c r="A320" s="50" t="s">
        <v>149</v>
      </c>
      <c r="B320" s="50">
        <v>205449</v>
      </c>
      <c r="C320" s="50" t="e">
        <f>VLOOKUP(B320,'Drop schools 2026'!B:C,2,0)</f>
        <v>#N/A</v>
      </c>
      <c r="D320" s="50" t="s">
        <v>622</v>
      </c>
      <c r="E320" s="50" t="s">
        <v>2525</v>
      </c>
      <c r="F320" s="50" t="s">
        <v>2502</v>
      </c>
      <c r="G320" s="50" t="str">
        <f>VLOOKUP(B320,aa!B:F,5,0)</f>
        <v>Ei ASSET,Ei Mindspark</v>
      </c>
      <c r="H320" s="50">
        <f>VLOOKUP(B320,aa!B:J,9,0)</f>
        <v>465577</v>
      </c>
      <c r="I320" s="50">
        <f>VLOOKUP(B320,aa!B:L,11,0)</f>
        <v>211966</v>
      </c>
      <c r="J320" s="50">
        <f>VLOOKUP(B320,aa!B:O,14,0)</f>
        <v>0</v>
      </c>
      <c r="K320" s="50">
        <f>VLOOKUP(B320,aa!B:R,17,0)</f>
        <v>253611</v>
      </c>
      <c r="L320" s="50" t="s">
        <v>3549</v>
      </c>
      <c r="M320" s="50">
        <v>466383</v>
      </c>
      <c r="N320" s="50">
        <v>510346</v>
      </c>
      <c r="O320" s="50">
        <v>222144</v>
      </c>
      <c r="P320" s="50">
        <v>240</v>
      </c>
      <c r="Q320" s="50" t="s">
        <v>13417</v>
      </c>
      <c r="R320" s="50">
        <v>0</v>
      </c>
      <c r="S320" s="50">
        <v>0</v>
      </c>
      <c r="U320" s="50">
        <v>244239</v>
      </c>
      <c r="V320" s="50">
        <v>120</v>
      </c>
      <c r="W320" s="50" t="s">
        <v>13418</v>
      </c>
      <c r="X320" s="50" t="s">
        <v>102</v>
      </c>
      <c r="Y320" s="50" t="s">
        <v>103</v>
      </c>
      <c r="Z320" s="50" t="s">
        <v>155</v>
      </c>
      <c r="AB320" s="50" t="s">
        <v>1305</v>
      </c>
      <c r="AC320" s="50" t="s">
        <v>13419</v>
      </c>
      <c r="AD320" s="50" t="s">
        <v>1408</v>
      </c>
      <c r="AE320" s="50" t="s">
        <v>13419</v>
      </c>
      <c r="AF320" s="50" t="s">
        <v>13420</v>
      </c>
      <c r="AG320" s="50" t="s">
        <v>13419</v>
      </c>
      <c r="AH320" s="50" t="s">
        <v>11884</v>
      </c>
      <c r="AI320" s="50" t="s">
        <v>13419</v>
      </c>
      <c r="AJ320" s="50" t="s">
        <v>13421</v>
      </c>
      <c r="AK320" s="50" t="s">
        <v>1604</v>
      </c>
      <c r="AL320" s="50" t="s">
        <v>11884</v>
      </c>
      <c r="AM320" s="50" t="s">
        <v>13422</v>
      </c>
      <c r="AN320" s="50" t="s">
        <v>13423</v>
      </c>
      <c r="AO320" s="50" t="s">
        <v>13424</v>
      </c>
      <c r="AP320" s="50" t="s">
        <v>13425</v>
      </c>
      <c r="AQ320" s="50" t="s">
        <v>13426</v>
      </c>
      <c r="AT320" s="50" t="s">
        <v>169</v>
      </c>
      <c r="AU320" s="50" t="s">
        <v>169</v>
      </c>
      <c r="AV320" s="50" t="s">
        <v>318</v>
      </c>
      <c r="AW320" s="50" t="s">
        <v>250</v>
      </c>
      <c r="AX320" s="50" t="s">
        <v>102</v>
      </c>
      <c r="AY320" s="50" t="s">
        <v>119</v>
      </c>
      <c r="BB320" s="50" t="s">
        <v>250</v>
      </c>
      <c r="BC320" s="50" t="s">
        <v>171</v>
      </c>
      <c r="BD320" s="50" t="s">
        <v>2327</v>
      </c>
      <c r="BE320" s="50" t="s">
        <v>730</v>
      </c>
      <c r="BF320" s="50" t="s">
        <v>622</v>
      </c>
      <c r="BG320" s="50" t="s">
        <v>730</v>
      </c>
      <c r="BH320" s="50" t="s">
        <v>124</v>
      </c>
      <c r="BI320" s="50" t="s">
        <v>12023</v>
      </c>
      <c r="BJ320" s="50" t="s">
        <v>11889</v>
      </c>
      <c r="BK320" s="50" t="s">
        <v>127</v>
      </c>
      <c r="BL320" s="50" t="s">
        <v>13427</v>
      </c>
      <c r="BM320" s="50" t="s">
        <v>2523</v>
      </c>
      <c r="BN320" s="50" t="s">
        <v>13428</v>
      </c>
      <c r="BO320" s="50" t="s">
        <v>6177</v>
      </c>
      <c r="BP320" s="50" t="s">
        <v>3606</v>
      </c>
      <c r="BQ320" s="50" t="s">
        <v>350</v>
      </c>
      <c r="BR320" s="50" t="s">
        <v>3607</v>
      </c>
      <c r="BS320" s="50" t="s">
        <v>3608</v>
      </c>
      <c r="BT320" s="50" t="s">
        <v>2525</v>
      </c>
      <c r="BV320" s="50" t="s">
        <v>13429</v>
      </c>
      <c r="BW320" s="50" t="s">
        <v>2527</v>
      </c>
      <c r="BX320" s="50" t="s">
        <v>569</v>
      </c>
      <c r="BY320" s="50" t="s">
        <v>2528</v>
      </c>
      <c r="BZ320" s="50" t="s">
        <v>13430</v>
      </c>
      <c r="CA320" s="50" t="s">
        <v>2530</v>
      </c>
      <c r="CB320" s="50" t="s">
        <v>13431</v>
      </c>
      <c r="CC320" s="50" t="s">
        <v>13432</v>
      </c>
      <c r="CD320" s="50" t="s">
        <v>13433</v>
      </c>
      <c r="CE320" s="50" t="s">
        <v>13434</v>
      </c>
      <c r="CF320" s="50" t="s">
        <v>2528</v>
      </c>
      <c r="CG320" s="50" t="s">
        <v>13430</v>
      </c>
      <c r="CH320" s="50" t="s">
        <v>102</v>
      </c>
      <c r="CI320" s="50" t="s">
        <v>2531</v>
      </c>
      <c r="CK320" s="50" t="s">
        <v>2532</v>
      </c>
      <c r="CM320" s="50" t="s">
        <v>2327</v>
      </c>
      <c r="CN320" s="50" t="s">
        <v>730</v>
      </c>
      <c r="CO320" s="50" t="s">
        <v>2532</v>
      </c>
      <c r="CP320" s="50" t="s">
        <v>2533</v>
      </c>
      <c r="CQ320" s="50" t="s">
        <v>2531</v>
      </c>
      <c r="CR320" s="50" t="s">
        <v>2531</v>
      </c>
    </row>
    <row r="321" spans="1:97" hidden="1">
      <c r="A321" s="50" t="s">
        <v>149</v>
      </c>
      <c r="B321" s="50">
        <v>7268</v>
      </c>
      <c r="C321" s="50" t="e">
        <f>VLOOKUP(B321,'Drop schools 2026'!B:C,2,0)</f>
        <v>#N/A</v>
      </c>
      <c r="D321" s="50" t="s">
        <v>622</v>
      </c>
      <c r="E321" s="50" t="s">
        <v>1279</v>
      </c>
      <c r="F321" s="50" t="s">
        <v>11614</v>
      </c>
      <c r="G321" s="50" t="e">
        <f>VLOOKUP(B321,aa!B:F,5,0)</f>
        <v>#N/A</v>
      </c>
      <c r="H321" s="50" t="e">
        <f>VLOOKUP(B321,aa!B:J,9,0)</f>
        <v>#N/A</v>
      </c>
      <c r="I321" s="50" t="e">
        <f>VLOOKUP(B321,aa!B:L,11,0)</f>
        <v>#N/A</v>
      </c>
      <c r="J321" s="50" t="e">
        <f>VLOOKUP(B321,aa!B:O,14,0)</f>
        <v>#N/A</v>
      </c>
      <c r="K321" s="50" t="e">
        <f>VLOOKUP(B321,aa!B:R,17,0)</f>
        <v>#N/A</v>
      </c>
      <c r="L321" s="50" t="s">
        <v>97</v>
      </c>
      <c r="M321" s="50">
        <v>466130</v>
      </c>
      <c r="N321" s="50">
        <v>466130</v>
      </c>
      <c r="O321" s="50">
        <v>466130</v>
      </c>
      <c r="P321" s="50">
        <v>755</v>
      </c>
      <c r="Q321" s="50" t="s">
        <v>21463</v>
      </c>
      <c r="R321" s="50">
        <v>0</v>
      </c>
      <c r="S321" s="50">
        <v>0</v>
      </c>
      <c r="U321" s="50">
        <v>0</v>
      </c>
      <c r="V321" s="50">
        <v>0</v>
      </c>
      <c r="X321" s="50" t="s">
        <v>102</v>
      </c>
      <c r="Y321" s="50" t="s">
        <v>103</v>
      </c>
      <c r="Z321" s="50" t="s">
        <v>104</v>
      </c>
      <c r="AB321" s="50" t="s">
        <v>12923</v>
      </c>
      <c r="AC321" s="50" t="s">
        <v>21464</v>
      </c>
      <c r="AD321" s="50" t="s">
        <v>11952</v>
      </c>
      <c r="AE321" s="50" t="s">
        <v>21465</v>
      </c>
      <c r="AF321" s="50" t="s">
        <v>109</v>
      </c>
      <c r="AG321" s="50" t="s">
        <v>102</v>
      </c>
      <c r="AH321" s="50" t="s">
        <v>109</v>
      </c>
      <c r="AI321" s="50" t="s">
        <v>102</v>
      </c>
      <c r="AJ321" s="50" t="s">
        <v>21466</v>
      </c>
      <c r="AK321" s="50" t="s">
        <v>12429</v>
      </c>
      <c r="AL321" s="50" t="s">
        <v>19723</v>
      </c>
      <c r="AM321" s="50" t="s">
        <v>21467</v>
      </c>
      <c r="AN321" s="50" t="s">
        <v>21468</v>
      </c>
      <c r="AO321" s="50" t="s">
        <v>21469</v>
      </c>
      <c r="AP321" s="50" t="s">
        <v>21470</v>
      </c>
      <c r="AQ321" s="50" t="s">
        <v>21470</v>
      </c>
      <c r="AV321" s="50" t="s">
        <v>117</v>
      </c>
      <c r="AW321" s="50" t="s">
        <v>118</v>
      </c>
      <c r="AX321" s="50" t="s">
        <v>102</v>
      </c>
      <c r="AY321" s="50" t="s">
        <v>119</v>
      </c>
      <c r="BC321" s="50" t="s">
        <v>171</v>
      </c>
      <c r="BD321" s="50" t="s">
        <v>623</v>
      </c>
      <c r="BE321" s="50" t="s">
        <v>621</v>
      </c>
      <c r="BF321" s="50" t="s">
        <v>622</v>
      </c>
      <c r="BG321" s="50" t="s">
        <v>623</v>
      </c>
      <c r="BH321" s="50" t="s">
        <v>124</v>
      </c>
      <c r="BI321" s="50" t="s">
        <v>11959</v>
      </c>
      <c r="BJ321" s="50" t="s">
        <v>11960</v>
      </c>
      <c r="BK321" s="50" t="s">
        <v>127</v>
      </c>
      <c r="BL321" s="50" t="s">
        <v>21471</v>
      </c>
      <c r="BM321" s="50" t="s">
        <v>11624</v>
      </c>
      <c r="BN321" s="50" t="s">
        <v>21472</v>
      </c>
      <c r="BO321" s="50" t="s">
        <v>12923</v>
      </c>
      <c r="BP321" s="50" t="s">
        <v>629</v>
      </c>
      <c r="BQ321" s="50" t="s">
        <v>350</v>
      </c>
      <c r="BR321" s="50" t="s">
        <v>630</v>
      </c>
      <c r="BS321" s="50" t="s">
        <v>631</v>
      </c>
      <c r="BT321" s="50" t="s">
        <v>1279</v>
      </c>
      <c r="BV321" s="50" t="s">
        <v>21473</v>
      </c>
      <c r="BW321" s="50" t="s">
        <v>21474</v>
      </c>
      <c r="BX321" s="50" t="s">
        <v>138</v>
      </c>
      <c r="BY321" s="50" t="s">
        <v>21475</v>
      </c>
      <c r="BZ321" s="50" t="s">
        <v>21476</v>
      </c>
      <c r="CA321" s="50" t="s">
        <v>11630</v>
      </c>
      <c r="CB321" s="50" t="s">
        <v>21474</v>
      </c>
      <c r="CC321" s="50" t="s">
        <v>21475</v>
      </c>
      <c r="CD321" s="50" t="s">
        <v>21476</v>
      </c>
      <c r="CE321" s="50" t="s">
        <v>21474</v>
      </c>
      <c r="CF321" s="50" t="s">
        <v>21475</v>
      </c>
      <c r="CG321" s="50" t="s">
        <v>21476</v>
      </c>
      <c r="CH321" s="50" t="s">
        <v>102</v>
      </c>
      <c r="CI321" s="50" t="s">
        <v>11631</v>
      </c>
      <c r="CK321" s="50" t="s">
        <v>4550</v>
      </c>
      <c r="CM321" s="50" t="s">
        <v>623</v>
      </c>
      <c r="CN321" s="50" t="s">
        <v>621</v>
      </c>
      <c r="CO321" s="50" t="s">
        <v>4550</v>
      </c>
      <c r="CP321" s="50" t="s">
        <v>7140</v>
      </c>
      <c r="CQ321" s="50" t="s">
        <v>11631</v>
      </c>
      <c r="CR321" s="50" t="s">
        <v>11631</v>
      </c>
      <c r="CS321" s="50" t="s">
        <v>26048</v>
      </c>
    </row>
    <row r="322" spans="1:97">
      <c r="A322" s="50" t="s">
        <v>337</v>
      </c>
      <c r="B322" s="50">
        <v>5018197</v>
      </c>
      <c r="C322" s="50" t="e">
        <f>VLOOKUP(B322,'Drop schools 2026'!B:C,2,0)</f>
        <v>#N/A</v>
      </c>
      <c r="D322" s="50" t="s">
        <v>122</v>
      </c>
      <c r="E322" s="50" t="s">
        <v>13158</v>
      </c>
      <c r="F322" s="50" t="s">
        <v>19506</v>
      </c>
      <c r="G322" s="50" t="e">
        <f>VLOOKUP(B322,aa!B:F,5,0)</f>
        <v>#N/A</v>
      </c>
      <c r="H322" s="50" t="e">
        <f>VLOOKUP(B322,aa!B:J,9,0)</f>
        <v>#N/A</v>
      </c>
      <c r="I322" s="50" t="e">
        <f>VLOOKUP(B322,aa!B:L,11,0)</f>
        <v>#N/A</v>
      </c>
      <c r="J322" s="50" t="e">
        <f>VLOOKUP(B322,aa!B:O,14,0)</f>
        <v>#N/A</v>
      </c>
      <c r="K322" s="50" t="e">
        <f>VLOOKUP(B322,aa!B:R,17,0)</f>
        <v>#N/A</v>
      </c>
      <c r="L322" s="50" t="s">
        <v>97</v>
      </c>
      <c r="M322" s="50">
        <v>465084</v>
      </c>
      <c r="N322" s="50">
        <v>465084</v>
      </c>
      <c r="O322" s="50">
        <v>465084</v>
      </c>
      <c r="P322" s="50">
        <v>456</v>
      </c>
      <c r="Q322" s="50" t="s">
        <v>19442</v>
      </c>
      <c r="R322" s="50">
        <v>0</v>
      </c>
      <c r="S322" s="50">
        <v>0</v>
      </c>
      <c r="U322" s="50">
        <v>0</v>
      </c>
      <c r="V322" s="50">
        <v>0</v>
      </c>
      <c r="X322" s="50" t="s">
        <v>102</v>
      </c>
      <c r="Y322" s="50" t="s">
        <v>103</v>
      </c>
      <c r="Z322" s="50" t="s">
        <v>104</v>
      </c>
      <c r="AB322" s="50" t="s">
        <v>12312</v>
      </c>
      <c r="AC322" s="50" t="s">
        <v>19507</v>
      </c>
      <c r="AD322" s="50" t="s">
        <v>12427</v>
      </c>
      <c r="AE322" s="50" t="s">
        <v>19507</v>
      </c>
      <c r="AF322" s="50" t="s">
        <v>109</v>
      </c>
      <c r="AG322" s="50" t="s">
        <v>102</v>
      </c>
      <c r="AH322" s="50" t="s">
        <v>109</v>
      </c>
      <c r="AI322" s="50" t="s">
        <v>102</v>
      </c>
      <c r="AJ322" s="50" t="s">
        <v>19508</v>
      </c>
      <c r="AK322" s="50" t="s">
        <v>13583</v>
      </c>
      <c r="AL322" s="50" t="s">
        <v>13583</v>
      </c>
      <c r="AM322" s="50" t="s">
        <v>19509</v>
      </c>
      <c r="AN322" s="50" t="s">
        <v>19510</v>
      </c>
      <c r="AO322" s="50" t="s">
        <v>19511</v>
      </c>
      <c r="AP322" s="50" t="s">
        <v>19445</v>
      </c>
      <c r="AQ322" s="50" t="s">
        <v>19445</v>
      </c>
      <c r="AV322" s="50" t="s">
        <v>318</v>
      </c>
      <c r="AW322" s="50" t="s">
        <v>118</v>
      </c>
      <c r="AX322" s="50" t="s">
        <v>102</v>
      </c>
      <c r="AY322" s="50" t="s">
        <v>119</v>
      </c>
      <c r="BC322" s="50" t="s">
        <v>120</v>
      </c>
      <c r="BD322" s="50" t="s">
        <v>3058</v>
      </c>
      <c r="BE322" s="50" t="s">
        <v>320</v>
      </c>
      <c r="BF322" s="50" t="s">
        <v>122</v>
      </c>
      <c r="BG322" s="50" t="s">
        <v>123</v>
      </c>
      <c r="BH322" s="50" t="s">
        <v>124</v>
      </c>
      <c r="BI322" s="50" t="s">
        <v>13680</v>
      </c>
      <c r="BJ322" s="50" t="s">
        <v>11889</v>
      </c>
      <c r="BK322" s="50" t="s">
        <v>127</v>
      </c>
      <c r="BL322" s="50" t="s">
        <v>19512</v>
      </c>
      <c r="BM322" s="50" t="s">
        <v>19513</v>
      </c>
      <c r="BN322" s="50" t="s">
        <v>19514</v>
      </c>
      <c r="BO322" s="50" t="s">
        <v>9460</v>
      </c>
      <c r="BP322" s="50" t="s">
        <v>1108</v>
      </c>
      <c r="BQ322" s="50" t="s">
        <v>350</v>
      </c>
      <c r="BR322" s="50" t="s">
        <v>1109</v>
      </c>
      <c r="BS322" s="50" t="s">
        <v>1110</v>
      </c>
      <c r="BT322" s="50" t="s">
        <v>1111</v>
      </c>
      <c r="BV322" s="50" t="s">
        <v>19515</v>
      </c>
      <c r="BW322" s="50" t="s">
        <v>224</v>
      </c>
      <c r="BX322" s="50" t="s">
        <v>598</v>
      </c>
      <c r="BY322" s="50" t="s">
        <v>225</v>
      </c>
      <c r="BZ322" s="50" t="s">
        <v>226</v>
      </c>
      <c r="CB322" s="50" t="s">
        <v>224</v>
      </c>
      <c r="CC322" s="50" t="s">
        <v>225</v>
      </c>
      <c r="CD322" s="50" t="s">
        <v>226</v>
      </c>
      <c r="CE322" s="50" t="s">
        <v>224</v>
      </c>
      <c r="CF322" s="50" t="s">
        <v>225</v>
      </c>
      <c r="CG322" s="50" t="s">
        <v>226</v>
      </c>
      <c r="CH322" s="50" t="s">
        <v>102</v>
      </c>
      <c r="CI322" s="50" t="s">
        <v>19516</v>
      </c>
      <c r="CK322" s="50" t="s">
        <v>3070</v>
      </c>
      <c r="CM322" s="50" t="s">
        <v>3058</v>
      </c>
      <c r="CN322" s="50" t="s">
        <v>320</v>
      </c>
      <c r="CO322" s="50" t="s">
        <v>3070</v>
      </c>
      <c r="CP322" s="50" t="s">
        <v>5919</v>
      </c>
      <c r="CQ322" s="50" t="s">
        <v>19516</v>
      </c>
      <c r="CR322" s="50" t="s">
        <v>19516</v>
      </c>
    </row>
    <row r="323" spans="1:97" hidden="1">
      <c r="A323" s="50" t="s">
        <v>337</v>
      </c>
      <c r="B323" s="50">
        <v>5023577</v>
      </c>
      <c r="C323" s="50" t="e">
        <f>VLOOKUP(B323,'Drop schools 2026'!B:C,2,0)</f>
        <v>#N/A</v>
      </c>
      <c r="D323" s="50" t="s">
        <v>622</v>
      </c>
      <c r="E323" s="50" t="s">
        <v>3562</v>
      </c>
      <c r="F323" s="50" t="s">
        <v>20129</v>
      </c>
      <c r="G323" s="50" t="e">
        <f>VLOOKUP(B323,aa!B:F,5,0)</f>
        <v>#N/A</v>
      </c>
      <c r="H323" s="50" t="e">
        <f>VLOOKUP(B323,aa!B:J,9,0)</f>
        <v>#N/A</v>
      </c>
      <c r="I323" s="50" t="e">
        <f>VLOOKUP(B323,aa!B:L,11,0)</f>
        <v>#N/A</v>
      </c>
      <c r="J323" s="50" t="e">
        <f>VLOOKUP(B323,aa!B:O,14,0)</f>
        <v>#N/A</v>
      </c>
      <c r="K323" s="50" t="e">
        <f>VLOOKUP(B323,aa!B:R,17,0)</f>
        <v>#N/A</v>
      </c>
      <c r="L323" s="50" t="s">
        <v>152</v>
      </c>
      <c r="M323" s="50">
        <v>465062</v>
      </c>
      <c r="N323" s="50">
        <v>465062</v>
      </c>
      <c r="O323" s="50">
        <v>0</v>
      </c>
      <c r="P323" s="50">
        <v>0</v>
      </c>
      <c r="R323" s="50">
        <v>465062</v>
      </c>
      <c r="S323" s="50">
        <v>310</v>
      </c>
      <c r="T323" s="50" t="s">
        <v>6441</v>
      </c>
      <c r="U323" s="50">
        <v>0</v>
      </c>
      <c r="V323" s="50">
        <v>0</v>
      </c>
      <c r="X323" s="50" t="s">
        <v>102</v>
      </c>
      <c r="Y323" s="50" t="s">
        <v>103</v>
      </c>
      <c r="Z323" s="50" t="s">
        <v>104</v>
      </c>
      <c r="AB323" s="50" t="s">
        <v>7719</v>
      </c>
      <c r="AC323" s="50" t="s">
        <v>20130</v>
      </c>
      <c r="AD323" s="50" t="s">
        <v>9814</v>
      </c>
      <c r="AE323" s="50" t="s">
        <v>20130</v>
      </c>
      <c r="AF323" s="50" t="s">
        <v>109</v>
      </c>
      <c r="AG323" s="50" t="s">
        <v>102</v>
      </c>
      <c r="AH323" s="50" t="s">
        <v>109</v>
      </c>
      <c r="AI323" s="50" t="s">
        <v>102</v>
      </c>
      <c r="AJ323" s="50" t="s">
        <v>4425</v>
      </c>
      <c r="AK323" s="50" t="s">
        <v>857</v>
      </c>
      <c r="AL323" s="50" t="s">
        <v>13344</v>
      </c>
      <c r="AM323" s="50" t="s">
        <v>20131</v>
      </c>
      <c r="AN323" s="50" t="s">
        <v>20132</v>
      </c>
      <c r="AO323" s="50" t="s">
        <v>20133</v>
      </c>
      <c r="AP323" s="50" t="s">
        <v>6447</v>
      </c>
      <c r="AQ323" s="50" t="s">
        <v>6447</v>
      </c>
      <c r="AV323" s="50" t="s">
        <v>102</v>
      </c>
      <c r="AX323" s="50" t="s">
        <v>155</v>
      </c>
      <c r="AY323" s="50" t="s">
        <v>119</v>
      </c>
      <c r="AZ323" s="50" t="s">
        <v>170</v>
      </c>
      <c r="BA323" s="50" t="s">
        <v>118</v>
      </c>
      <c r="BC323" s="50" t="s">
        <v>10399</v>
      </c>
      <c r="BD323" s="50" t="s">
        <v>20134</v>
      </c>
      <c r="BE323" s="50" t="s">
        <v>730</v>
      </c>
      <c r="BF323" s="50" t="s">
        <v>622</v>
      </c>
      <c r="BG323" s="50" t="s">
        <v>730</v>
      </c>
      <c r="BH323" s="50" t="s">
        <v>124</v>
      </c>
      <c r="BI323" s="50" t="s">
        <v>12023</v>
      </c>
      <c r="BJ323" s="50" t="s">
        <v>11889</v>
      </c>
      <c r="BK323" s="50" t="s">
        <v>127</v>
      </c>
      <c r="BL323" s="50" t="s">
        <v>20135</v>
      </c>
      <c r="BM323" s="50" t="s">
        <v>20136</v>
      </c>
      <c r="BN323" s="50" t="s">
        <v>20137</v>
      </c>
      <c r="BO323" s="50" t="s">
        <v>8128</v>
      </c>
      <c r="BP323" s="50" t="s">
        <v>5197</v>
      </c>
      <c r="BQ323" s="50" t="s">
        <v>350</v>
      </c>
      <c r="BR323" s="50" t="s">
        <v>5198</v>
      </c>
      <c r="BS323" s="50" t="s">
        <v>5199</v>
      </c>
      <c r="BT323" s="50" t="s">
        <v>2331</v>
      </c>
      <c r="BV323" s="50" t="s">
        <v>20138</v>
      </c>
      <c r="BW323" s="50" t="s">
        <v>20139</v>
      </c>
      <c r="BX323" s="50" t="s">
        <v>138</v>
      </c>
      <c r="BY323" s="50" t="s">
        <v>20140</v>
      </c>
      <c r="BZ323" s="50" t="s">
        <v>20141</v>
      </c>
      <c r="CA323" s="50" t="s">
        <v>20140</v>
      </c>
      <c r="CB323" s="50" t="s">
        <v>20142</v>
      </c>
      <c r="CC323" s="50" t="s">
        <v>20143</v>
      </c>
      <c r="CD323" s="50" t="s">
        <v>20144</v>
      </c>
      <c r="CE323" s="50" t="s">
        <v>20145</v>
      </c>
      <c r="CF323" s="50" t="s">
        <v>20143</v>
      </c>
      <c r="CG323" s="50" t="s">
        <v>20146</v>
      </c>
      <c r="CH323" s="50" t="s">
        <v>8459</v>
      </c>
      <c r="CI323" s="50" t="s">
        <v>20147</v>
      </c>
      <c r="CK323" s="50" t="s">
        <v>20148</v>
      </c>
      <c r="CM323" s="50" t="s">
        <v>20134</v>
      </c>
      <c r="CN323" s="50" t="s">
        <v>730</v>
      </c>
      <c r="CO323" s="50" t="s">
        <v>20148</v>
      </c>
      <c r="CP323" s="50" t="s">
        <v>20149</v>
      </c>
      <c r="CQ323" s="50" t="s">
        <v>20150</v>
      </c>
      <c r="CR323" s="50" t="s">
        <v>20150</v>
      </c>
    </row>
    <row r="324" spans="1:97" hidden="1">
      <c r="A324" s="50" t="s">
        <v>337</v>
      </c>
      <c r="B324" s="50">
        <v>5018487</v>
      </c>
      <c r="C324" s="50" t="e">
        <f>VLOOKUP(B324,'Drop schools 2026'!B:C,2,0)</f>
        <v>#N/A</v>
      </c>
      <c r="D324" s="50" t="s">
        <v>212</v>
      </c>
      <c r="E324" s="50" t="s">
        <v>293</v>
      </c>
      <c r="F324" s="50" t="s">
        <v>10750</v>
      </c>
      <c r="G324" s="50" t="str">
        <f>VLOOKUP(B324,aa!B:F,5,0)</f>
        <v>Ei CARES</v>
      </c>
      <c r="H324" s="50">
        <f>VLOOKUP(B324,aa!B:J,9,0)</f>
        <v>498193</v>
      </c>
      <c r="I324" s="50">
        <f>VLOOKUP(B324,aa!B:L,11,0)</f>
        <v>0</v>
      </c>
      <c r="J324" s="50">
        <f>VLOOKUP(B324,aa!B:O,14,0)</f>
        <v>498193</v>
      </c>
      <c r="K324" s="50">
        <f>VLOOKUP(B324,aa!B:R,17,0)</f>
        <v>0</v>
      </c>
      <c r="L324" s="50" t="s">
        <v>152</v>
      </c>
      <c r="M324" s="50">
        <v>463561</v>
      </c>
      <c r="N324" s="50">
        <v>463561</v>
      </c>
      <c r="O324" s="50">
        <v>0</v>
      </c>
      <c r="P324" s="50">
        <v>0</v>
      </c>
      <c r="R324" s="50">
        <v>463561</v>
      </c>
      <c r="S324" s="50">
        <v>488</v>
      </c>
      <c r="T324" s="50" t="s">
        <v>936</v>
      </c>
      <c r="U324" s="50">
        <v>0</v>
      </c>
      <c r="V324" s="50">
        <v>0</v>
      </c>
      <c r="X324" s="50" t="s">
        <v>102</v>
      </c>
      <c r="Y324" s="50" t="s">
        <v>103</v>
      </c>
      <c r="Z324" s="50" t="s">
        <v>398</v>
      </c>
      <c r="AB324" s="50" t="s">
        <v>3974</v>
      </c>
      <c r="AC324" s="50" t="s">
        <v>19884</v>
      </c>
      <c r="AD324" s="50" t="s">
        <v>625</v>
      </c>
      <c r="AE324" s="50" t="s">
        <v>16650</v>
      </c>
      <c r="AF324" s="50" t="s">
        <v>14059</v>
      </c>
      <c r="AG324" s="50" t="s">
        <v>16650</v>
      </c>
      <c r="AH324" s="50" t="s">
        <v>109</v>
      </c>
      <c r="AI324" s="50" t="s">
        <v>102</v>
      </c>
      <c r="AJ324" s="50" t="s">
        <v>13421</v>
      </c>
      <c r="AK324" s="50" t="s">
        <v>1719</v>
      </c>
      <c r="AL324" s="50" t="s">
        <v>14415</v>
      </c>
      <c r="AM324" s="50" t="s">
        <v>19885</v>
      </c>
      <c r="AN324" s="50" t="s">
        <v>19886</v>
      </c>
      <c r="AO324" s="50" t="s">
        <v>19887</v>
      </c>
      <c r="AP324" s="50" t="s">
        <v>14419</v>
      </c>
      <c r="AQ324" s="50" t="s">
        <v>14419</v>
      </c>
      <c r="AV324" s="50" t="s">
        <v>102</v>
      </c>
      <c r="AX324" s="50" t="s">
        <v>155</v>
      </c>
      <c r="AY324" s="50" t="s">
        <v>447</v>
      </c>
      <c r="AZ324" s="50" t="s">
        <v>1138</v>
      </c>
      <c r="BA324" s="50" t="s">
        <v>118</v>
      </c>
      <c r="BC324" s="50" t="s">
        <v>120</v>
      </c>
      <c r="BD324" s="50" t="s">
        <v>920</v>
      </c>
      <c r="BE324" s="50" t="s">
        <v>211</v>
      </c>
      <c r="BF324" s="50" t="s">
        <v>212</v>
      </c>
      <c r="BG324" s="50" t="s">
        <v>213</v>
      </c>
      <c r="BH324" s="50" t="s">
        <v>124</v>
      </c>
      <c r="BI324" s="50" t="s">
        <v>11959</v>
      </c>
      <c r="BJ324" s="50" t="s">
        <v>11960</v>
      </c>
      <c r="BK324" s="50" t="s">
        <v>127</v>
      </c>
      <c r="BL324" s="50" t="s">
        <v>19888</v>
      </c>
      <c r="BM324" s="50" t="s">
        <v>10751</v>
      </c>
      <c r="BN324" s="50" t="s">
        <v>10752</v>
      </c>
      <c r="BO324" s="50" t="s">
        <v>3974</v>
      </c>
      <c r="BP324" s="50" t="s">
        <v>3443</v>
      </c>
      <c r="BQ324" s="50" t="s">
        <v>180</v>
      </c>
      <c r="BR324" s="50" t="s">
        <v>3444</v>
      </c>
      <c r="BS324" s="50" t="s">
        <v>3445</v>
      </c>
      <c r="BT324" s="50" t="s">
        <v>2463</v>
      </c>
      <c r="BV324" s="50" t="s">
        <v>19889</v>
      </c>
      <c r="BW324" s="50" t="s">
        <v>3977</v>
      </c>
      <c r="BX324" s="50" t="s">
        <v>138</v>
      </c>
      <c r="BY324" s="50" t="s">
        <v>10753</v>
      </c>
      <c r="BZ324" s="50" t="s">
        <v>10754</v>
      </c>
      <c r="CA324" s="50" t="s">
        <v>10753</v>
      </c>
      <c r="CB324" s="50" t="s">
        <v>19890</v>
      </c>
      <c r="CC324" s="50" t="s">
        <v>3978</v>
      </c>
      <c r="CD324" s="50" t="s">
        <v>10754</v>
      </c>
      <c r="CE324" s="50" t="s">
        <v>19890</v>
      </c>
      <c r="CF324" s="50" t="s">
        <v>3978</v>
      </c>
      <c r="CG324" s="50" t="s">
        <v>10754</v>
      </c>
      <c r="CH324" s="50" t="s">
        <v>1709</v>
      </c>
      <c r="CI324" s="50" t="s">
        <v>10755</v>
      </c>
      <c r="CK324" s="50" t="s">
        <v>3982</v>
      </c>
      <c r="CM324" s="50" t="s">
        <v>920</v>
      </c>
      <c r="CN324" s="50" t="s">
        <v>211</v>
      </c>
      <c r="CO324" s="50" t="s">
        <v>3982</v>
      </c>
      <c r="CP324" s="50" t="s">
        <v>3983</v>
      </c>
      <c r="CQ324" s="50" t="s">
        <v>10756</v>
      </c>
      <c r="CR324" s="50" t="s">
        <v>10756</v>
      </c>
    </row>
    <row r="325" spans="1:97" hidden="1">
      <c r="A325" s="50" t="s">
        <v>337</v>
      </c>
      <c r="B325" s="50">
        <v>185694</v>
      </c>
      <c r="C325" s="50" t="e">
        <f>VLOOKUP(B325,'Drop schools 2026'!B:C,2,0)</f>
        <v>#N/A</v>
      </c>
      <c r="D325" s="50" t="s">
        <v>212</v>
      </c>
      <c r="E325" s="50" t="s">
        <v>12834</v>
      </c>
      <c r="F325" s="50" t="s">
        <v>13045</v>
      </c>
      <c r="G325" s="50" t="e">
        <f>VLOOKUP(B325,aa!B:F,5,0)</f>
        <v>#N/A</v>
      </c>
      <c r="H325" s="50" t="e">
        <f>VLOOKUP(B325,aa!B:J,9,0)</f>
        <v>#N/A</v>
      </c>
      <c r="I325" s="50" t="e">
        <f>VLOOKUP(B325,aa!B:L,11,0)</f>
        <v>#N/A</v>
      </c>
      <c r="J325" s="50" t="e">
        <f>VLOOKUP(B325,aa!B:O,14,0)</f>
        <v>#N/A</v>
      </c>
      <c r="K325" s="50" t="e">
        <f>VLOOKUP(B325,aa!B:R,17,0)</f>
        <v>#N/A</v>
      </c>
      <c r="L325" s="50" t="s">
        <v>97</v>
      </c>
      <c r="M325" s="50">
        <v>462600</v>
      </c>
      <c r="N325" s="50">
        <v>462600</v>
      </c>
      <c r="O325" s="50">
        <v>462600</v>
      </c>
      <c r="P325" s="50">
        <v>771</v>
      </c>
      <c r="Q325" s="50" t="s">
        <v>310</v>
      </c>
      <c r="R325" s="50">
        <v>0</v>
      </c>
      <c r="S325" s="50">
        <v>0</v>
      </c>
      <c r="U325" s="50">
        <v>0</v>
      </c>
      <c r="V325" s="50">
        <v>0</v>
      </c>
      <c r="X325" s="50" t="s">
        <v>102</v>
      </c>
      <c r="Y325" s="50" t="s">
        <v>103</v>
      </c>
      <c r="Z325" s="50" t="s">
        <v>398</v>
      </c>
      <c r="AB325" s="50" t="s">
        <v>12128</v>
      </c>
      <c r="AC325" s="50" t="s">
        <v>13046</v>
      </c>
      <c r="AD325" s="50" t="s">
        <v>12836</v>
      </c>
      <c r="AE325" s="50" t="s">
        <v>13047</v>
      </c>
      <c r="AF325" s="50" t="s">
        <v>12838</v>
      </c>
      <c r="AG325" s="50" t="s">
        <v>13047</v>
      </c>
      <c r="AH325" s="50" t="s">
        <v>109</v>
      </c>
      <c r="AI325" s="50" t="s">
        <v>102</v>
      </c>
      <c r="AJ325" s="50" t="s">
        <v>102</v>
      </c>
      <c r="AM325" s="50" t="s">
        <v>13048</v>
      </c>
      <c r="AN325" s="50" t="s">
        <v>102</v>
      </c>
      <c r="AO325" s="50" t="s">
        <v>13048</v>
      </c>
      <c r="AP325" s="50" t="s">
        <v>317</v>
      </c>
      <c r="AQ325" s="50" t="s">
        <v>317</v>
      </c>
      <c r="AV325" s="50" t="s">
        <v>318</v>
      </c>
      <c r="AW325" s="50" t="s">
        <v>118</v>
      </c>
      <c r="AX325" s="50" t="s">
        <v>102</v>
      </c>
      <c r="AY325" s="50" t="s">
        <v>119</v>
      </c>
      <c r="BC325" s="50" t="s">
        <v>1964</v>
      </c>
      <c r="BD325" s="50" t="s">
        <v>7718</v>
      </c>
      <c r="BE325" s="50" t="s">
        <v>211</v>
      </c>
      <c r="BF325" s="50" t="s">
        <v>212</v>
      </c>
      <c r="BG325" s="50" t="s">
        <v>213</v>
      </c>
      <c r="BH325" s="50" t="s">
        <v>124</v>
      </c>
      <c r="BI325" s="50" t="s">
        <v>12023</v>
      </c>
      <c r="BJ325" s="50" t="s">
        <v>11889</v>
      </c>
      <c r="BK325" s="50" t="s">
        <v>127</v>
      </c>
      <c r="BL325" s="50" t="s">
        <v>13049</v>
      </c>
      <c r="BM325" s="50" t="s">
        <v>13050</v>
      </c>
      <c r="BN325" s="50" t="s">
        <v>13051</v>
      </c>
      <c r="BO325" s="50" t="s">
        <v>411</v>
      </c>
      <c r="BP325" s="50" t="s">
        <v>480</v>
      </c>
      <c r="BQ325" s="50" t="s">
        <v>505</v>
      </c>
      <c r="BR325" s="50" t="s">
        <v>481</v>
      </c>
      <c r="BS325" s="50" t="s">
        <v>482</v>
      </c>
      <c r="BT325" s="50" t="s">
        <v>2593</v>
      </c>
      <c r="BV325" s="50" t="s">
        <v>13052</v>
      </c>
      <c r="BW325" s="50" t="s">
        <v>13053</v>
      </c>
      <c r="BX325" s="50" t="s">
        <v>138</v>
      </c>
      <c r="BY325" s="50" t="s">
        <v>481</v>
      </c>
      <c r="BZ325" s="50" t="s">
        <v>12845</v>
      </c>
      <c r="CA325" s="50" t="s">
        <v>13054</v>
      </c>
      <c r="CB325" s="50" t="s">
        <v>13055</v>
      </c>
      <c r="CC325" s="50" t="s">
        <v>13056</v>
      </c>
      <c r="CD325" s="50" t="s">
        <v>13057</v>
      </c>
      <c r="CE325" s="50" t="s">
        <v>13058</v>
      </c>
      <c r="CF325" s="50" t="s">
        <v>13059</v>
      </c>
      <c r="CG325" s="50" t="s">
        <v>13060</v>
      </c>
      <c r="CH325" s="50" t="s">
        <v>5581</v>
      </c>
      <c r="CI325" s="50" t="s">
        <v>13061</v>
      </c>
      <c r="CK325" s="50" t="s">
        <v>13062</v>
      </c>
      <c r="CL325" s="50" t="s">
        <v>13061</v>
      </c>
      <c r="CM325" s="50" t="s">
        <v>7718</v>
      </c>
      <c r="CN325" s="50" t="s">
        <v>211</v>
      </c>
      <c r="CO325" s="50" t="s">
        <v>13062</v>
      </c>
      <c r="CQ325" s="50" t="s">
        <v>7718</v>
      </c>
      <c r="CR325" s="50" t="s">
        <v>13063</v>
      </c>
    </row>
    <row r="326" spans="1:97" hidden="1">
      <c r="A326" s="50" t="s">
        <v>149</v>
      </c>
      <c r="B326" s="50">
        <v>63421</v>
      </c>
      <c r="C326" s="50" t="str">
        <f>VLOOKUP(B326,'Drop schools 2026'!B:C,2,0)</f>
        <v>Drop</v>
      </c>
      <c r="D326" s="50" t="s">
        <v>622</v>
      </c>
      <c r="E326" s="50" t="s">
        <v>3562</v>
      </c>
      <c r="F326" s="50" t="s">
        <v>11475</v>
      </c>
      <c r="G326" s="50" t="e">
        <f>VLOOKUP(B326,aa!B:F,5,0)</f>
        <v>#N/A</v>
      </c>
      <c r="H326" s="50" t="e">
        <f>VLOOKUP(B326,aa!B:J,9,0)</f>
        <v>#N/A</v>
      </c>
      <c r="I326" s="50" t="e">
        <f>VLOOKUP(B326,aa!B:L,11,0)</f>
        <v>#N/A</v>
      </c>
      <c r="J326" s="50" t="e">
        <f>VLOOKUP(B326,aa!B:O,14,0)</f>
        <v>#N/A</v>
      </c>
      <c r="K326" s="50" t="e">
        <f>VLOOKUP(B326,aa!B:R,17,0)</f>
        <v>#N/A</v>
      </c>
      <c r="L326" s="50" t="s">
        <v>152</v>
      </c>
      <c r="M326" s="50">
        <v>461177</v>
      </c>
      <c r="N326" s="50">
        <v>461177</v>
      </c>
      <c r="O326" s="50">
        <v>0</v>
      </c>
      <c r="P326" s="50">
        <v>0</v>
      </c>
      <c r="R326" s="50">
        <v>461177</v>
      </c>
      <c r="S326" s="50">
        <v>427</v>
      </c>
      <c r="T326" s="50" t="s">
        <v>1651</v>
      </c>
      <c r="U326" s="50">
        <v>0</v>
      </c>
      <c r="V326" s="50">
        <v>0</v>
      </c>
      <c r="X326" s="50" t="s">
        <v>102</v>
      </c>
      <c r="Y326" s="50" t="s">
        <v>103</v>
      </c>
      <c r="Z326" s="50" t="s">
        <v>104</v>
      </c>
      <c r="AB326" s="50" t="s">
        <v>12887</v>
      </c>
      <c r="AC326" s="50" t="s">
        <v>21367</v>
      </c>
      <c r="AD326" s="50" t="s">
        <v>12427</v>
      </c>
      <c r="AE326" s="50" t="s">
        <v>21367</v>
      </c>
      <c r="AF326" s="50" t="s">
        <v>109</v>
      </c>
      <c r="AG326" s="50" t="s">
        <v>102</v>
      </c>
      <c r="AH326" s="50" t="s">
        <v>109</v>
      </c>
      <c r="AI326" s="50" t="s">
        <v>102</v>
      </c>
      <c r="AJ326" s="50" t="s">
        <v>21368</v>
      </c>
      <c r="AK326" s="50" t="s">
        <v>14292</v>
      </c>
      <c r="AL326" s="50" t="s">
        <v>14292</v>
      </c>
      <c r="AM326" s="50" t="s">
        <v>21369</v>
      </c>
      <c r="AN326" s="50" t="s">
        <v>21370</v>
      </c>
      <c r="AO326" s="50" t="s">
        <v>21371</v>
      </c>
      <c r="AP326" s="50" t="s">
        <v>21372</v>
      </c>
      <c r="AQ326" s="50" t="s">
        <v>21373</v>
      </c>
      <c r="AU326" s="50" t="s">
        <v>169</v>
      </c>
      <c r="AV326" s="50" t="s">
        <v>102</v>
      </c>
      <c r="AX326" s="50" t="s">
        <v>155</v>
      </c>
      <c r="AY326" s="50" t="s">
        <v>447</v>
      </c>
      <c r="AZ326" s="50" t="s">
        <v>1138</v>
      </c>
      <c r="BA326" s="50" t="s">
        <v>118</v>
      </c>
      <c r="BC326" s="50" t="s">
        <v>209</v>
      </c>
      <c r="BD326" s="50" t="s">
        <v>11483</v>
      </c>
      <c r="BE326" s="50" t="s">
        <v>730</v>
      </c>
      <c r="BF326" s="50" t="s">
        <v>622</v>
      </c>
      <c r="BG326" s="50" t="s">
        <v>730</v>
      </c>
      <c r="BH326" s="50" t="s">
        <v>124</v>
      </c>
      <c r="BI326" s="50" t="s">
        <v>12023</v>
      </c>
      <c r="BJ326" s="50" t="s">
        <v>11889</v>
      </c>
      <c r="BK326" s="50" t="s">
        <v>127</v>
      </c>
      <c r="BL326" s="50" t="s">
        <v>21374</v>
      </c>
      <c r="BM326" s="50" t="s">
        <v>11485</v>
      </c>
      <c r="BN326" s="50" t="s">
        <v>21375</v>
      </c>
      <c r="BO326" s="50" t="s">
        <v>2392</v>
      </c>
      <c r="BP326" s="50" t="s">
        <v>3606</v>
      </c>
      <c r="BQ326" s="50" t="s">
        <v>350</v>
      </c>
      <c r="BR326" s="50" t="s">
        <v>3607</v>
      </c>
      <c r="BS326" s="50" t="s">
        <v>3608</v>
      </c>
      <c r="BT326" s="50" t="s">
        <v>3562</v>
      </c>
      <c r="BV326" s="50" t="s">
        <v>21376</v>
      </c>
      <c r="BW326" s="50" t="s">
        <v>11488</v>
      </c>
      <c r="BX326" s="50" t="s">
        <v>138</v>
      </c>
      <c r="BY326" s="50" t="s">
        <v>11489</v>
      </c>
      <c r="BZ326" s="50" t="s">
        <v>11490</v>
      </c>
      <c r="CA326" s="50" t="s">
        <v>11491</v>
      </c>
      <c r="CB326" s="50" t="s">
        <v>11488</v>
      </c>
      <c r="CC326" s="50" t="s">
        <v>11489</v>
      </c>
      <c r="CD326" s="50" t="s">
        <v>11490</v>
      </c>
      <c r="CE326" s="50" t="s">
        <v>21377</v>
      </c>
      <c r="CF326" s="50" t="s">
        <v>21378</v>
      </c>
      <c r="CG326" s="50" t="s">
        <v>21379</v>
      </c>
      <c r="CH326" s="50" t="s">
        <v>1538</v>
      </c>
      <c r="CI326" s="50" t="s">
        <v>11492</v>
      </c>
      <c r="CK326" s="50" t="s">
        <v>11493</v>
      </c>
      <c r="CL326" s="50" t="s">
        <v>21380</v>
      </c>
      <c r="CM326" s="50" t="s">
        <v>11483</v>
      </c>
      <c r="CN326" s="50" t="s">
        <v>730</v>
      </c>
      <c r="CO326" s="50" t="s">
        <v>11493</v>
      </c>
      <c r="CP326" s="50" t="s">
        <v>11494</v>
      </c>
      <c r="CQ326" s="50" t="s">
        <v>11495</v>
      </c>
      <c r="CR326" s="50" t="s">
        <v>11492</v>
      </c>
      <c r="CS326" s="50" t="s">
        <v>26046</v>
      </c>
    </row>
    <row r="327" spans="1:97" hidden="1">
      <c r="A327" s="50" t="s">
        <v>149</v>
      </c>
      <c r="B327" s="50">
        <v>2844474</v>
      </c>
      <c r="C327" s="50" t="e">
        <f>VLOOKUP(B327,'Drop schools 2026'!B:C,2,0)</f>
        <v>#N/A</v>
      </c>
      <c r="D327" s="50" t="s">
        <v>212</v>
      </c>
      <c r="E327" s="50" t="s">
        <v>418</v>
      </c>
      <c r="F327" s="50" t="s">
        <v>4475</v>
      </c>
      <c r="G327" s="50" t="e">
        <f>VLOOKUP(B327,aa!B:F,5,0)</f>
        <v>#N/A</v>
      </c>
      <c r="H327" s="50" t="e">
        <f>VLOOKUP(B327,aa!B:J,9,0)</f>
        <v>#N/A</v>
      </c>
      <c r="I327" s="50" t="e">
        <f>VLOOKUP(B327,aa!B:L,11,0)</f>
        <v>#N/A</v>
      </c>
      <c r="J327" s="50" t="e">
        <f>VLOOKUP(B327,aa!B:O,14,0)</f>
        <v>#N/A</v>
      </c>
      <c r="K327" s="50" t="e">
        <f>VLOOKUP(B327,aa!B:R,17,0)</f>
        <v>#N/A</v>
      </c>
      <c r="L327" s="50" t="s">
        <v>97</v>
      </c>
      <c r="M327" s="50">
        <v>458263</v>
      </c>
      <c r="N327" s="50">
        <v>458263</v>
      </c>
      <c r="O327" s="50">
        <v>458263</v>
      </c>
      <c r="P327" s="50">
        <v>536</v>
      </c>
      <c r="Q327" s="50" t="s">
        <v>14775</v>
      </c>
      <c r="R327" s="50">
        <v>0</v>
      </c>
      <c r="S327" s="50">
        <v>0</v>
      </c>
      <c r="U327" s="50">
        <v>0</v>
      </c>
      <c r="V327" s="50">
        <v>0</v>
      </c>
      <c r="X327" s="50" t="s">
        <v>102</v>
      </c>
      <c r="Y327" s="50" t="s">
        <v>103</v>
      </c>
      <c r="Z327" s="50" t="s">
        <v>104</v>
      </c>
      <c r="AB327" s="50" t="s">
        <v>1165</v>
      </c>
      <c r="AC327" s="50" t="s">
        <v>14776</v>
      </c>
      <c r="AD327" s="50" t="s">
        <v>12888</v>
      </c>
      <c r="AE327" s="50" t="s">
        <v>14776</v>
      </c>
      <c r="AF327" s="50" t="s">
        <v>109</v>
      </c>
      <c r="AG327" s="50" t="s">
        <v>102</v>
      </c>
      <c r="AH327" s="50" t="s">
        <v>109</v>
      </c>
      <c r="AI327" s="50" t="s">
        <v>102</v>
      </c>
      <c r="AJ327" s="50" t="s">
        <v>14777</v>
      </c>
      <c r="AK327" s="50" t="s">
        <v>12063</v>
      </c>
      <c r="AL327" s="50" t="s">
        <v>13675</v>
      </c>
      <c r="AM327" s="50" t="s">
        <v>14778</v>
      </c>
      <c r="AN327" s="50" t="s">
        <v>14779</v>
      </c>
      <c r="AO327" s="50" t="s">
        <v>115</v>
      </c>
      <c r="AP327" s="50" t="s">
        <v>14780</v>
      </c>
      <c r="AQ327" s="50" t="s">
        <v>14780</v>
      </c>
      <c r="AV327" s="50" t="s">
        <v>318</v>
      </c>
      <c r="AW327" s="50" t="s">
        <v>118</v>
      </c>
      <c r="AX327" s="50" t="s">
        <v>102</v>
      </c>
      <c r="AY327" s="50" t="s">
        <v>119</v>
      </c>
      <c r="BC327" s="50" t="s">
        <v>120</v>
      </c>
      <c r="BD327" s="50" t="s">
        <v>920</v>
      </c>
      <c r="BE327" s="50" t="s">
        <v>211</v>
      </c>
      <c r="BF327" s="50" t="s">
        <v>212</v>
      </c>
      <c r="BG327" s="50" t="s">
        <v>213</v>
      </c>
      <c r="BH327" s="50" t="s">
        <v>124</v>
      </c>
      <c r="BI327" s="50" t="s">
        <v>11959</v>
      </c>
      <c r="BJ327" s="50" t="s">
        <v>11960</v>
      </c>
      <c r="BK327" s="50" t="s">
        <v>127</v>
      </c>
      <c r="BL327" s="50" t="s">
        <v>14781</v>
      </c>
      <c r="BM327" s="50" t="s">
        <v>4486</v>
      </c>
      <c r="BN327" s="50" t="s">
        <v>14782</v>
      </c>
      <c r="BO327" s="50" t="s">
        <v>12100</v>
      </c>
      <c r="BP327" s="50" t="s">
        <v>7108</v>
      </c>
      <c r="BQ327" s="50" t="s">
        <v>180</v>
      </c>
      <c r="BR327" s="50" t="s">
        <v>7109</v>
      </c>
      <c r="BS327" s="50" t="s">
        <v>2151</v>
      </c>
      <c r="BT327" s="50" t="s">
        <v>2151</v>
      </c>
      <c r="BV327" s="50" t="s">
        <v>14783</v>
      </c>
      <c r="BW327" s="50" t="s">
        <v>3585</v>
      </c>
      <c r="BX327" s="50" t="s">
        <v>598</v>
      </c>
      <c r="BY327" s="50" t="s">
        <v>225</v>
      </c>
      <c r="BZ327" s="50" t="s">
        <v>8332</v>
      </c>
      <c r="CA327" s="50" t="s">
        <v>4489</v>
      </c>
      <c r="CB327" s="50" t="s">
        <v>14784</v>
      </c>
      <c r="CC327" s="50" t="s">
        <v>14785</v>
      </c>
      <c r="CD327" s="50" t="s">
        <v>14786</v>
      </c>
      <c r="CE327" s="50" t="s">
        <v>14787</v>
      </c>
      <c r="CF327" s="50" t="s">
        <v>14788</v>
      </c>
      <c r="CG327" s="50" t="s">
        <v>14786</v>
      </c>
      <c r="CH327" s="50" t="s">
        <v>102</v>
      </c>
      <c r="CI327" s="50" t="s">
        <v>4490</v>
      </c>
      <c r="CK327" s="50" t="s">
        <v>4491</v>
      </c>
      <c r="CM327" s="50" t="s">
        <v>920</v>
      </c>
      <c r="CN327" s="50" t="s">
        <v>211</v>
      </c>
      <c r="CO327" s="50" t="s">
        <v>4491</v>
      </c>
      <c r="CP327" s="50" t="s">
        <v>3589</v>
      </c>
      <c r="CQ327" s="50" t="s">
        <v>4490</v>
      </c>
      <c r="CR327" s="50" t="s">
        <v>4490</v>
      </c>
      <c r="CS327" s="50" t="s">
        <v>26040</v>
      </c>
    </row>
    <row r="328" spans="1:97" hidden="1">
      <c r="A328" s="50" t="s">
        <v>337</v>
      </c>
      <c r="B328" s="50">
        <v>3997396</v>
      </c>
      <c r="C328" s="50" t="e">
        <f>VLOOKUP(B328,'Drop schools 2026'!B:C,2,0)</f>
        <v>#N/A</v>
      </c>
      <c r="D328" s="50" t="s">
        <v>622</v>
      </c>
      <c r="E328" s="50" t="s">
        <v>985</v>
      </c>
      <c r="F328" s="50" t="s">
        <v>17756</v>
      </c>
      <c r="G328" s="50" t="e">
        <f>VLOOKUP(B328,aa!B:F,5,0)</f>
        <v>#N/A</v>
      </c>
      <c r="H328" s="50" t="e">
        <f>VLOOKUP(B328,aa!B:J,9,0)</f>
        <v>#N/A</v>
      </c>
      <c r="I328" s="50" t="e">
        <f>VLOOKUP(B328,aa!B:L,11,0)</f>
        <v>#N/A</v>
      </c>
      <c r="J328" s="50" t="e">
        <f>VLOOKUP(B328,aa!B:O,14,0)</f>
        <v>#N/A</v>
      </c>
      <c r="K328" s="50" t="e">
        <f>VLOOKUP(B328,aa!B:R,17,0)</f>
        <v>#N/A</v>
      </c>
      <c r="L328" s="50" t="s">
        <v>152</v>
      </c>
      <c r="M328" s="50">
        <v>457430</v>
      </c>
      <c r="N328" s="50">
        <v>457430</v>
      </c>
      <c r="O328" s="50">
        <v>0</v>
      </c>
      <c r="P328" s="50">
        <v>0</v>
      </c>
      <c r="R328" s="50">
        <v>457430</v>
      </c>
      <c r="S328" s="50">
        <v>295</v>
      </c>
      <c r="T328" s="50" t="s">
        <v>17757</v>
      </c>
      <c r="U328" s="50">
        <v>0</v>
      </c>
      <c r="V328" s="50">
        <v>0</v>
      </c>
      <c r="X328" s="50" t="s">
        <v>102</v>
      </c>
      <c r="Y328" s="50" t="s">
        <v>103</v>
      </c>
      <c r="Z328" s="50" t="s">
        <v>398</v>
      </c>
      <c r="AB328" s="50" t="s">
        <v>15939</v>
      </c>
      <c r="AC328" s="50" t="s">
        <v>17758</v>
      </c>
      <c r="AD328" s="50" t="s">
        <v>12040</v>
      </c>
      <c r="AE328" s="50" t="s">
        <v>17759</v>
      </c>
      <c r="AF328" s="50" t="s">
        <v>12289</v>
      </c>
      <c r="AG328" s="50" t="s">
        <v>17759</v>
      </c>
      <c r="AH328" s="50" t="s">
        <v>109</v>
      </c>
      <c r="AI328" s="50" t="s">
        <v>102</v>
      </c>
      <c r="AJ328" s="50" t="s">
        <v>102</v>
      </c>
      <c r="AK328" s="50" t="s">
        <v>112</v>
      </c>
      <c r="AL328" s="50" t="s">
        <v>12062</v>
      </c>
      <c r="AM328" s="50" t="s">
        <v>17760</v>
      </c>
      <c r="AN328" s="50" t="s">
        <v>17761</v>
      </c>
      <c r="AO328" s="50" t="s">
        <v>17762</v>
      </c>
      <c r="AP328" s="50" t="s">
        <v>17763</v>
      </c>
      <c r="AQ328" s="50" t="s">
        <v>17763</v>
      </c>
      <c r="AV328" s="50" t="s">
        <v>102</v>
      </c>
      <c r="AX328" s="50" t="s">
        <v>102</v>
      </c>
      <c r="AY328" s="50" t="s">
        <v>447</v>
      </c>
      <c r="AZ328" s="50" t="s">
        <v>170</v>
      </c>
      <c r="BA328" s="50" t="s">
        <v>118</v>
      </c>
      <c r="BC328" s="50" t="s">
        <v>120</v>
      </c>
      <c r="BD328" s="50" t="s">
        <v>17764</v>
      </c>
      <c r="BE328" s="50" t="s">
        <v>621</v>
      </c>
      <c r="BF328" s="50" t="s">
        <v>622</v>
      </c>
      <c r="BG328" s="50" t="s">
        <v>976</v>
      </c>
      <c r="BH328" s="50" t="s">
        <v>124</v>
      </c>
      <c r="BI328" s="50" t="s">
        <v>12023</v>
      </c>
      <c r="BJ328" s="50" t="s">
        <v>12047</v>
      </c>
      <c r="BK328" s="50" t="s">
        <v>127</v>
      </c>
      <c r="BL328" s="50" t="s">
        <v>17765</v>
      </c>
      <c r="BM328" s="50" t="s">
        <v>17766</v>
      </c>
      <c r="BN328" s="50" t="s">
        <v>17767</v>
      </c>
      <c r="BO328" s="50" t="s">
        <v>15939</v>
      </c>
      <c r="BP328" s="50" t="s">
        <v>13638</v>
      </c>
      <c r="BQ328" s="50" t="s">
        <v>132</v>
      </c>
      <c r="BR328" s="50" t="s">
        <v>13639</v>
      </c>
      <c r="BS328" s="50" t="s">
        <v>13640</v>
      </c>
      <c r="BT328" s="50" t="s">
        <v>2847</v>
      </c>
      <c r="BV328" s="50" t="s">
        <v>17768</v>
      </c>
      <c r="BW328" s="50" t="s">
        <v>17769</v>
      </c>
      <c r="BX328" s="50" t="s">
        <v>138</v>
      </c>
      <c r="BY328" s="50" t="s">
        <v>17770</v>
      </c>
      <c r="BZ328" s="50" t="s">
        <v>17771</v>
      </c>
      <c r="CA328" s="50" t="s">
        <v>17772</v>
      </c>
      <c r="CB328" s="50" t="s">
        <v>17769</v>
      </c>
      <c r="CC328" s="50" t="s">
        <v>17770</v>
      </c>
      <c r="CD328" s="50" t="s">
        <v>17771</v>
      </c>
      <c r="CE328" s="50" t="s">
        <v>17773</v>
      </c>
      <c r="CF328" s="50" t="s">
        <v>17770</v>
      </c>
      <c r="CG328" s="50" t="s">
        <v>17774</v>
      </c>
      <c r="CH328" s="50" t="s">
        <v>3918</v>
      </c>
      <c r="CI328" s="50" t="s">
        <v>17775</v>
      </c>
      <c r="CK328" s="50" t="s">
        <v>17776</v>
      </c>
      <c r="CL328" s="50" t="s">
        <v>17777</v>
      </c>
      <c r="CM328" s="50" t="s">
        <v>17764</v>
      </c>
      <c r="CN328" s="50" t="s">
        <v>621</v>
      </c>
      <c r="CO328" s="50" t="s">
        <v>17776</v>
      </c>
      <c r="CP328" s="50" t="s">
        <v>17778</v>
      </c>
      <c r="CQ328" s="50" t="s">
        <v>17779</v>
      </c>
      <c r="CR328" s="50" t="s">
        <v>17779</v>
      </c>
    </row>
    <row r="329" spans="1:97" hidden="1">
      <c r="A329" s="50" t="s">
        <v>149</v>
      </c>
      <c r="B329" s="50">
        <v>1482482</v>
      </c>
      <c r="C329" s="50" t="str">
        <f>VLOOKUP(B329,'Drop schools 2026'!B:C,2,0)</f>
        <v>Drop</v>
      </c>
      <c r="D329" s="50" t="s">
        <v>122</v>
      </c>
      <c r="E329" s="50" t="s">
        <v>12491</v>
      </c>
      <c r="F329" s="50" t="s">
        <v>992</v>
      </c>
      <c r="G329" s="50" t="e">
        <f>VLOOKUP(B329,aa!B:F,5,0)</f>
        <v>#N/A</v>
      </c>
      <c r="H329" s="50" t="e">
        <f>VLOOKUP(B329,aa!B:J,9,0)</f>
        <v>#N/A</v>
      </c>
      <c r="I329" s="50" t="e">
        <f>VLOOKUP(B329,aa!B:L,11,0)</f>
        <v>#N/A</v>
      </c>
      <c r="J329" s="50" t="e">
        <f>VLOOKUP(B329,aa!B:O,14,0)</f>
        <v>#N/A</v>
      </c>
      <c r="K329" s="50" t="e">
        <f>VLOOKUP(B329,aa!B:R,17,0)</f>
        <v>#N/A</v>
      </c>
      <c r="L329" s="50" t="s">
        <v>152</v>
      </c>
      <c r="M329" s="50">
        <v>457350</v>
      </c>
      <c r="N329" s="50">
        <v>457350</v>
      </c>
      <c r="O329" s="50">
        <v>0</v>
      </c>
      <c r="P329" s="50">
        <v>0</v>
      </c>
      <c r="R329" s="50">
        <v>457350</v>
      </c>
      <c r="S329" s="50">
        <v>605</v>
      </c>
      <c r="T329" s="50" t="s">
        <v>12493</v>
      </c>
      <c r="U329" s="50">
        <v>0</v>
      </c>
      <c r="V329" s="50">
        <v>0</v>
      </c>
      <c r="X329" s="50" t="s">
        <v>102</v>
      </c>
      <c r="Y329" s="50" t="s">
        <v>275</v>
      </c>
      <c r="AA329" s="50" t="s">
        <v>12494</v>
      </c>
      <c r="AB329" s="50" t="s">
        <v>109</v>
      </c>
      <c r="AC329" s="50" t="s">
        <v>102</v>
      </c>
      <c r="AD329" s="50" t="s">
        <v>109</v>
      </c>
      <c r="AE329" s="50" t="s">
        <v>102</v>
      </c>
      <c r="AF329" s="50" t="s">
        <v>109</v>
      </c>
      <c r="AG329" s="50" t="s">
        <v>102</v>
      </c>
      <c r="AH329" s="50" t="s">
        <v>109</v>
      </c>
      <c r="AI329" s="50" t="s">
        <v>102</v>
      </c>
      <c r="AJ329" s="50" t="s">
        <v>12495</v>
      </c>
      <c r="AK329" s="50" t="s">
        <v>12496</v>
      </c>
      <c r="AL329" s="50" t="s">
        <v>12496</v>
      </c>
      <c r="AM329" s="50" t="s">
        <v>12497</v>
      </c>
      <c r="AN329" s="50" t="s">
        <v>12498</v>
      </c>
      <c r="AO329" s="50" t="s">
        <v>12499</v>
      </c>
      <c r="AP329" s="50" t="s">
        <v>12500</v>
      </c>
      <c r="AQ329" s="50" t="s">
        <v>12500</v>
      </c>
      <c r="AV329" s="50" t="s">
        <v>102</v>
      </c>
      <c r="AX329" s="50" t="s">
        <v>104</v>
      </c>
      <c r="AY329" s="50" t="s">
        <v>119</v>
      </c>
      <c r="AZ329" s="50" t="s">
        <v>170</v>
      </c>
      <c r="BA329" s="50" t="s">
        <v>118</v>
      </c>
      <c r="BC329" s="50" t="s">
        <v>120</v>
      </c>
      <c r="BD329" s="50" t="s">
        <v>1002</v>
      </c>
      <c r="BE329" s="50" t="s">
        <v>320</v>
      </c>
      <c r="BF329" s="50" t="s">
        <v>122</v>
      </c>
      <c r="BG329" s="50" t="s">
        <v>123</v>
      </c>
      <c r="BH329" s="50" t="s">
        <v>124</v>
      </c>
      <c r="BI329" s="50" t="s">
        <v>12023</v>
      </c>
      <c r="BJ329" s="50" t="s">
        <v>11889</v>
      </c>
      <c r="BK329" s="50" t="s">
        <v>127</v>
      </c>
      <c r="BL329" s="50" t="s">
        <v>12501</v>
      </c>
      <c r="BM329" s="50" t="s">
        <v>1004</v>
      </c>
      <c r="BN329" s="50" t="s">
        <v>12502</v>
      </c>
      <c r="BO329" s="50" t="s">
        <v>12492</v>
      </c>
      <c r="BP329" s="50" t="s">
        <v>8788</v>
      </c>
      <c r="BQ329" s="50" t="s">
        <v>350</v>
      </c>
      <c r="BR329" s="50" t="s">
        <v>8789</v>
      </c>
      <c r="BS329" s="50" t="s">
        <v>8790</v>
      </c>
      <c r="BT329" s="50" t="s">
        <v>1006</v>
      </c>
      <c r="BV329" s="50" t="s">
        <v>12503</v>
      </c>
      <c r="BW329" s="50" t="s">
        <v>12504</v>
      </c>
      <c r="BX329" s="50" t="s">
        <v>138</v>
      </c>
      <c r="BY329" s="50" t="s">
        <v>1011</v>
      </c>
      <c r="BZ329" s="50" t="s">
        <v>12505</v>
      </c>
      <c r="CA329" s="50" t="s">
        <v>1011</v>
      </c>
      <c r="CB329" s="50" t="s">
        <v>12504</v>
      </c>
      <c r="CC329" s="50" t="s">
        <v>1011</v>
      </c>
      <c r="CD329" s="50" t="s">
        <v>12505</v>
      </c>
      <c r="CE329" s="50" t="s">
        <v>12504</v>
      </c>
      <c r="CF329" s="50" t="s">
        <v>1011</v>
      </c>
      <c r="CG329" s="50" t="s">
        <v>12505</v>
      </c>
      <c r="CH329" s="50" t="s">
        <v>1016</v>
      </c>
      <c r="CI329" s="50" t="s">
        <v>1020</v>
      </c>
      <c r="CK329" s="50" t="s">
        <v>1018</v>
      </c>
      <c r="CL329" s="50" t="s">
        <v>1020</v>
      </c>
      <c r="CM329" s="50" t="s">
        <v>1002</v>
      </c>
      <c r="CN329" s="50" t="s">
        <v>320</v>
      </c>
      <c r="CO329" s="50" t="s">
        <v>1018</v>
      </c>
      <c r="CP329" s="50" t="s">
        <v>1019</v>
      </c>
      <c r="CQ329" s="50" t="s">
        <v>1020</v>
      </c>
      <c r="CR329" s="50" t="s">
        <v>1020</v>
      </c>
    </row>
    <row r="330" spans="1:97" hidden="1">
      <c r="A330" s="50" t="s">
        <v>93</v>
      </c>
      <c r="B330" s="50">
        <v>22983</v>
      </c>
      <c r="C330" s="50" t="e">
        <f>VLOOKUP(B330,'Drop schools 2026'!B:C,2,0)</f>
        <v>#N/A</v>
      </c>
      <c r="D330" s="50" t="s">
        <v>622</v>
      </c>
      <c r="E330" s="50" t="s">
        <v>2525</v>
      </c>
      <c r="F330" s="50" t="s">
        <v>3002</v>
      </c>
      <c r="G330" s="50" t="str">
        <f>VLOOKUP(B330,aa!B:F,5,0)</f>
        <v>Ei CARES</v>
      </c>
      <c r="H330" s="50">
        <f>VLOOKUP(B330,aa!B:J,9,0)</f>
        <v>676988</v>
      </c>
      <c r="I330" s="50">
        <f>VLOOKUP(B330,aa!B:L,11,0)</f>
        <v>0</v>
      </c>
      <c r="J330" s="50">
        <f>VLOOKUP(B330,aa!B:O,14,0)</f>
        <v>676988</v>
      </c>
      <c r="K330" s="50">
        <f>VLOOKUP(B330,aa!B:R,17,0)</f>
        <v>0</v>
      </c>
      <c r="L330" s="50" t="s">
        <v>152</v>
      </c>
      <c r="M330" s="50">
        <v>457327</v>
      </c>
      <c r="N330" s="50">
        <v>457327</v>
      </c>
      <c r="O330" s="50">
        <v>0</v>
      </c>
      <c r="P330" s="50">
        <v>0</v>
      </c>
      <c r="R330" s="50">
        <v>457327</v>
      </c>
      <c r="S330" s="50">
        <v>254</v>
      </c>
      <c r="T330" s="50" t="s">
        <v>3005</v>
      </c>
      <c r="U330" s="50">
        <v>0</v>
      </c>
      <c r="V330" s="50">
        <v>0</v>
      </c>
      <c r="X330" s="50" t="s">
        <v>102</v>
      </c>
      <c r="Y330" s="50" t="s">
        <v>103</v>
      </c>
      <c r="Z330" s="50" t="s">
        <v>104</v>
      </c>
      <c r="AB330" s="50" t="s">
        <v>3993</v>
      </c>
      <c r="AC330" s="50" t="s">
        <v>13709</v>
      </c>
      <c r="AD330" s="50" t="s">
        <v>11888</v>
      </c>
      <c r="AE330" s="50" t="s">
        <v>13709</v>
      </c>
      <c r="AF330" s="50" t="s">
        <v>109</v>
      </c>
      <c r="AG330" s="50" t="s">
        <v>102</v>
      </c>
      <c r="AH330" s="50" t="s">
        <v>109</v>
      </c>
      <c r="AI330" s="50" t="s">
        <v>102</v>
      </c>
      <c r="AJ330" s="50" t="s">
        <v>13710</v>
      </c>
      <c r="AK330" s="50" t="s">
        <v>4813</v>
      </c>
      <c r="AL330" s="50" t="s">
        <v>12099</v>
      </c>
      <c r="AM330" s="50" t="s">
        <v>13711</v>
      </c>
      <c r="AN330" s="50" t="s">
        <v>13712</v>
      </c>
      <c r="AO330" s="50" t="s">
        <v>13713</v>
      </c>
      <c r="AP330" s="50" t="s">
        <v>3012</v>
      </c>
      <c r="AQ330" s="50" t="s">
        <v>13714</v>
      </c>
      <c r="AU330" s="50" t="s">
        <v>169</v>
      </c>
      <c r="AV330" s="50" t="s">
        <v>102</v>
      </c>
      <c r="AX330" s="50" t="s">
        <v>155</v>
      </c>
      <c r="AY330" s="50" t="s">
        <v>119</v>
      </c>
      <c r="AZ330" s="50" t="s">
        <v>170</v>
      </c>
      <c r="BA330" s="50" t="s">
        <v>118</v>
      </c>
      <c r="BC330" s="50" t="s">
        <v>120</v>
      </c>
      <c r="BD330" s="50" t="s">
        <v>729</v>
      </c>
      <c r="BE330" s="50" t="s">
        <v>730</v>
      </c>
      <c r="BF330" s="50" t="s">
        <v>622</v>
      </c>
      <c r="BG330" s="50" t="s">
        <v>730</v>
      </c>
      <c r="BH330" s="50" t="s">
        <v>124</v>
      </c>
      <c r="BI330" s="50" t="s">
        <v>12023</v>
      </c>
      <c r="BJ330" s="50" t="s">
        <v>11889</v>
      </c>
      <c r="BK330" s="50" t="s">
        <v>127</v>
      </c>
      <c r="BL330" s="50" t="s">
        <v>13715</v>
      </c>
      <c r="BM330" s="50" t="s">
        <v>3014</v>
      </c>
      <c r="BN330" s="50" t="s">
        <v>13716</v>
      </c>
      <c r="BO330" s="50" t="s">
        <v>442</v>
      </c>
      <c r="BP330" s="50" t="s">
        <v>2262</v>
      </c>
      <c r="BQ330" s="50" t="s">
        <v>350</v>
      </c>
      <c r="BR330" s="50" t="s">
        <v>2263</v>
      </c>
      <c r="BS330" s="50" t="s">
        <v>2264</v>
      </c>
      <c r="BT330" s="50" t="s">
        <v>2569</v>
      </c>
      <c r="BV330" s="50" t="s">
        <v>13717</v>
      </c>
      <c r="BW330" s="50" t="s">
        <v>13718</v>
      </c>
      <c r="BX330" s="50" t="s">
        <v>138</v>
      </c>
      <c r="BY330" s="50" t="s">
        <v>3018</v>
      </c>
      <c r="BZ330" s="50" t="s">
        <v>3019</v>
      </c>
      <c r="CA330" s="50" t="s">
        <v>3020</v>
      </c>
      <c r="CB330" s="50" t="s">
        <v>13718</v>
      </c>
      <c r="CC330" s="50" t="s">
        <v>3018</v>
      </c>
      <c r="CD330" s="50" t="s">
        <v>3019</v>
      </c>
      <c r="CE330" s="50" t="s">
        <v>13719</v>
      </c>
      <c r="CF330" s="50" t="s">
        <v>3020</v>
      </c>
      <c r="CG330" s="50" t="s">
        <v>13720</v>
      </c>
      <c r="CH330" s="50" t="s">
        <v>3021</v>
      </c>
      <c r="CI330" s="50" t="s">
        <v>13721</v>
      </c>
      <c r="CK330" s="50" t="s">
        <v>3023</v>
      </c>
      <c r="CL330" s="50" t="s">
        <v>13721</v>
      </c>
      <c r="CM330" s="50" t="s">
        <v>729</v>
      </c>
      <c r="CN330" s="50" t="s">
        <v>730</v>
      </c>
      <c r="CO330" s="50" t="s">
        <v>3024</v>
      </c>
      <c r="CP330" s="50" t="s">
        <v>3025</v>
      </c>
      <c r="CQ330" s="50" t="s">
        <v>3022</v>
      </c>
      <c r="CR330" s="50" t="s">
        <v>3022</v>
      </c>
    </row>
    <row r="331" spans="1:97" hidden="1">
      <c r="A331" s="50" t="s">
        <v>337</v>
      </c>
      <c r="B331" s="50">
        <v>3460346</v>
      </c>
      <c r="C331" s="50" t="e">
        <f>VLOOKUP(B331,'Drop schools 2026'!B:C,2,0)</f>
        <v>#N/A</v>
      </c>
      <c r="D331" s="50" t="s">
        <v>174</v>
      </c>
      <c r="E331" s="50" t="s">
        <v>16075</v>
      </c>
      <c r="F331" s="50" t="s">
        <v>16074</v>
      </c>
      <c r="G331" s="50" t="str">
        <f>VLOOKUP(B331,aa!B:F,5,0)</f>
        <v>Ei CARES</v>
      </c>
      <c r="H331" s="50">
        <f>VLOOKUP(B331,aa!B:J,9,0)</f>
        <v>288514</v>
      </c>
      <c r="I331" s="50">
        <f>VLOOKUP(B331,aa!B:L,11,0)</f>
        <v>0</v>
      </c>
      <c r="J331" s="50">
        <f>VLOOKUP(B331,aa!B:O,14,0)</f>
        <v>288514</v>
      </c>
      <c r="K331" s="50">
        <f>VLOOKUP(B331,aa!B:R,17,0)</f>
        <v>0</v>
      </c>
      <c r="L331" s="50" t="s">
        <v>848</v>
      </c>
      <c r="M331" s="50">
        <v>456379</v>
      </c>
      <c r="N331" s="50">
        <v>538527</v>
      </c>
      <c r="O331" s="50">
        <v>0</v>
      </c>
      <c r="P331" s="50">
        <v>0</v>
      </c>
      <c r="R331" s="50">
        <v>0</v>
      </c>
      <c r="S331" s="50">
        <v>0</v>
      </c>
      <c r="U331" s="50">
        <v>456379</v>
      </c>
      <c r="V331" s="50">
        <v>359</v>
      </c>
      <c r="W331" s="50" t="s">
        <v>850</v>
      </c>
      <c r="X331" s="50" t="s">
        <v>102</v>
      </c>
      <c r="Y331" s="50" t="s">
        <v>103</v>
      </c>
      <c r="Z331" s="50" t="s">
        <v>155</v>
      </c>
      <c r="AB331" s="50" t="s">
        <v>12023</v>
      </c>
      <c r="AC331" s="50" t="s">
        <v>16076</v>
      </c>
      <c r="AD331" s="50" t="s">
        <v>11976</v>
      </c>
      <c r="AE331" s="50" t="s">
        <v>16076</v>
      </c>
      <c r="AF331" s="50" t="s">
        <v>11888</v>
      </c>
      <c r="AG331" s="50" t="s">
        <v>16076</v>
      </c>
      <c r="AH331" s="50" t="s">
        <v>12084</v>
      </c>
      <c r="AI331" s="50" t="s">
        <v>16076</v>
      </c>
      <c r="AJ331" s="50" t="s">
        <v>102</v>
      </c>
      <c r="AK331" s="50" t="s">
        <v>8186</v>
      </c>
      <c r="AL331" s="50" t="s">
        <v>13863</v>
      </c>
      <c r="AM331" s="50" t="s">
        <v>16077</v>
      </c>
      <c r="AN331" s="50" t="s">
        <v>16078</v>
      </c>
      <c r="AO331" s="50" t="s">
        <v>16079</v>
      </c>
      <c r="AP331" s="50" t="s">
        <v>13206</v>
      </c>
      <c r="AQ331" s="50" t="s">
        <v>13206</v>
      </c>
      <c r="AV331" s="50" t="s">
        <v>102</v>
      </c>
      <c r="AX331" s="50" t="s">
        <v>102</v>
      </c>
      <c r="AY331" s="50" t="s">
        <v>119</v>
      </c>
      <c r="BB331" s="50" t="s">
        <v>250</v>
      </c>
      <c r="BC331" s="50" t="s">
        <v>120</v>
      </c>
      <c r="BD331" s="50" t="s">
        <v>375</v>
      </c>
      <c r="BE331" s="50" t="s">
        <v>376</v>
      </c>
      <c r="BF331" s="50" t="s">
        <v>174</v>
      </c>
      <c r="BG331" s="50" t="s">
        <v>376</v>
      </c>
      <c r="BH331" s="50" t="s">
        <v>124</v>
      </c>
      <c r="BI331" s="50" t="s">
        <v>12023</v>
      </c>
      <c r="BJ331" s="50" t="s">
        <v>11889</v>
      </c>
      <c r="BK331" s="50" t="s">
        <v>127</v>
      </c>
      <c r="BL331" s="50" t="s">
        <v>16080</v>
      </c>
      <c r="BM331" s="50" t="s">
        <v>16081</v>
      </c>
      <c r="BN331" s="50" t="s">
        <v>16082</v>
      </c>
      <c r="BO331" s="50" t="s">
        <v>370</v>
      </c>
      <c r="BP331" s="50" t="s">
        <v>6926</v>
      </c>
      <c r="BQ331" s="50" t="s">
        <v>180</v>
      </c>
      <c r="BR331" s="50" t="s">
        <v>6927</v>
      </c>
      <c r="BS331" s="50" t="s">
        <v>6928</v>
      </c>
      <c r="BT331" s="50" t="s">
        <v>1858</v>
      </c>
      <c r="BV331" s="50" t="s">
        <v>16083</v>
      </c>
      <c r="BW331" s="50" t="s">
        <v>16084</v>
      </c>
      <c r="BX331" s="50" t="s">
        <v>354</v>
      </c>
      <c r="BY331" s="50" t="s">
        <v>16085</v>
      </c>
      <c r="BZ331" s="50" t="s">
        <v>16086</v>
      </c>
      <c r="CA331" s="50" t="s">
        <v>16085</v>
      </c>
      <c r="CB331" s="50" t="s">
        <v>16084</v>
      </c>
      <c r="CC331" s="50" t="s">
        <v>16085</v>
      </c>
      <c r="CD331" s="50" t="s">
        <v>16086</v>
      </c>
      <c r="CE331" s="50" t="s">
        <v>16084</v>
      </c>
      <c r="CF331" s="50" t="s">
        <v>16085</v>
      </c>
      <c r="CG331" s="50" t="s">
        <v>16086</v>
      </c>
      <c r="CH331" s="50" t="s">
        <v>16087</v>
      </c>
      <c r="CI331" s="50" t="s">
        <v>16088</v>
      </c>
      <c r="CK331" s="50" t="s">
        <v>1866</v>
      </c>
      <c r="CM331" s="50" t="s">
        <v>375</v>
      </c>
      <c r="CN331" s="50" t="s">
        <v>376</v>
      </c>
      <c r="CO331" s="50" t="s">
        <v>1866</v>
      </c>
      <c r="CQ331" s="50" t="s">
        <v>16088</v>
      </c>
      <c r="CR331" s="50" t="s">
        <v>16088</v>
      </c>
    </row>
    <row r="332" spans="1:97" hidden="1">
      <c r="A332" s="50" t="s">
        <v>149</v>
      </c>
      <c r="B332" s="50">
        <v>2456473</v>
      </c>
      <c r="C332" s="50" t="e">
        <f>VLOOKUP(B332,'Drop schools 2026'!B:C,2,0)</f>
        <v>#N/A</v>
      </c>
      <c r="D332" s="50" t="s">
        <v>212</v>
      </c>
      <c r="E332" s="50" t="s">
        <v>11947</v>
      </c>
      <c r="F332" s="50" t="s">
        <v>3429</v>
      </c>
      <c r="G332" s="50" t="e">
        <f>VLOOKUP(B332,aa!B:F,5,0)</f>
        <v>#N/A</v>
      </c>
      <c r="H332" s="50" t="e">
        <f>VLOOKUP(B332,aa!B:J,9,0)</f>
        <v>#N/A</v>
      </c>
      <c r="I332" s="50" t="e">
        <f>VLOOKUP(B332,aa!B:L,11,0)</f>
        <v>#N/A</v>
      </c>
      <c r="J332" s="50" t="e">
        <f>VLOOKUP(B332,aa!B:O,14,0)</f>
        <v>#N/A</v>
      </c>
      <c r="K332" s="50" t="e">
        <f>VLOOKUP(B332,aa!B:R,17,0)</f>
        <v>#N/A</v>
      </c>
      <c r="L332" s="50" t="s">
        <v>97</v>
      </c>
      <c r="M332" s="50">
        <v>455317</v>
      </c>
      <c r="N332" s="50">
        <v>455317</v>
      </c>
      <c r="O332" s="50">
        <v>455317</v>
      </c>
      <c r="P332" s="50">
        <v>828</v>
      </c>
      <c r="Q332" s="50" t="s">
        <v>3431</v>
      </c>
      <c r="R332" s="50">
        <v>0</v>
      </c>
      <c r="S332" s="50">
        <v>0</v>
      </c>
      <c r="U332" s="50">
        <v>0</v>
      </c>
      <c r="V332" s="50">
        <v>0</v>
      </c>
      <c r="X332" s="50" t="s">
        <v>102</v>
      </c>
      <c r="Y332" s="50" t="s">
        <v>103</v>
      </c>
      <c r="Z332" s="50" t="s">
        <v>104</v>
      </c>
      <c r="AB332" s="50" t="s">
        <v>12040</v>
      </c>
      <c r="AC332" s="50" t="s">
        <v>14009</v>
      </c>
      <c r="AD332" s="50" t="s">
        <v>12713</v>
      </c>
      <c r="AE332" s="50" t="s">
        <v>14010</v>
      </c>
      <c r="AF332" s="50" t="s">
        <v>109</v>
      </c>
      <c r="AG332" s="50" t="s">
        <v>102</v>
      </c>
      <c r="AH332" s="50" t="s">
        <v>109</v>
      </c>
      <c r="AI332" s="50" t="s">
        <v>102</v>
      </c>
      <c r="AJ332" s="50" t="s">
        <v>14011</v>
      </c>
      <c r="AK332" s="50" t="s">
        <v>12427</v>
      </c>
      <c r="AL332" s="50" t="s">
        <v>13386</v>
      </c>
      <c r="AM332" s="50" t="s">
        <v>14012</v>
      </c>
      <c r="AN332" s="50" t="s">
        <v>14013</v>
      </c>
      <c r="AO332" s="50" t="s">
        <v>14014</v>
      </c>
      <c r="AP332" s="50" t="s">
        <v>4840</v>
      </c>
      <c r="AQ332" s="50" t="s">
        <v>4840</v>
      </c>
      <c r="AV332" s="50" t="s">
        <v>3439</v>
      </c>
      <c r="AW332" s="50" t="s">
        <v>118</v>
      </c>
      <c r="AX332" s="50" t="s">
        <v>102</v>
      </c>
      <c r="AY332" s="50" t="s">
        <v>119</v>
      </c>
      <c r="BC332" s="50" t="s">
        <v>171</v>
      </c>
      <c r="BD332" s="50" t="s">
        <v>920</v>
      </c>
      <c r="BE332" s="50" t="s">
        <v>211</v>
      </c>
      <c r="BF332" s="50" t="s">
        <v>212</v>
      </c>
      <c r="BG332" s="50" t="s">
        <v>213</v>
      </c>
      <c r="BH332" s="50" t="s">
        <v>124</v>
      </c>
      <c r="BI332" s="50" t="s">
        <v>11959</v>
      </c>
      <c r="BJ332" s="50" t="s">
        <v>11889</v>
      </c>
      <c r="BK332" s="50" t="s">
        <v>127</v>
      </c>
      <c r="BL332" s="50" t="s">
        <v>14015</v>
      </c>
      <c r="BM332" s="50" t="s">
        <v>3441</v>
      </c>
      <c r="BN332" s="50" t="s">
        <v>14016</v>
      </c>
      <c r="BO332" s="50" t="s">
        <v>1408</v>
      </c>
      <c r="BP332" s="50" t="s">
        <v>415</v>
      </c>
      <c r="BQ332" s="50" t="s">
        <v>180</v>
      </c>
      <c r="BR332" s="50" t="s">
        <v>416</v>
      </c>
      <c r="BS332" s="50" t="s">
        <v>417</v>
      </c>
      <c r="BT332" s="50" t="s">
        <v>2151</v>
      </c>
      <c r="BV332" s="50" t="s">
        <v>14017</v>
      </c>
      <c r="BW332" s="50" t="s">
        <v>14018</v>
      </c>
      <c r="BX332" s="50" t="s">
        <v>138</v>
      </c>
      <c r="BY332" s="50" t="s">
        <v>3448</v>
      </c>
      <c r="BZ332" s="50" t="s">
        <v>14019</v>
      </c>
      <c r="CA332" s="50" t="s">
        <v>3450</v>
      </c>
      <c r="CB332" s="50" t="s">
        <v>14018</v>
      </c>
      <c r="CC332" s="50" t="s">
        <v>3448</v>
      </c>
      <c r="CD332" s="50" t="s">
        <v>14019</v>
      </c>
      <c r="CE332" s="50" t="s">
        <v>14018</v>
      </c>
      <c r="CF332" s="50" t="s">
        <v>3448</v>
      </c>
      <c r="CG332" s="50" t="s">
        <v>14019</v>
      </c>
      <c r="CH332" s="50" t="s">
        <v>2270</v>
      </c>
      <c r="CI332" s="50" t="s">
        <v>11329</v>
      </c>
      <c r="CK332" s="50" t="s">
        <v>3453</v>
      </c>
      <c r="CL332" s="50" t="s">
        <v>3452</v>
      </c>
      <c r="CM332" s="50" t="s">
        <v>920</v>
      </c>
      <c r="CN332" s="50" t="s">
        <v>211</v>
      </c>
      <c r="CO332" s="50" t="s">
        <v>3453</v>
      </c>
      <c r="CP332" s="50" t="s">
        <v>3455</v>
      </c>
      <c r="CQ332" s="50" t="s">
        <v>3452</v>
      </c>
      <c r="CR332" s="50" t="s">
        <v>3454</v>
      </c>
      <c r="CS332" s="50" t="s">
        <v>26043</v>
      </c>
    </row>
    <row r="333" spans="1:97" hidden="1">
      <c r="A333" s="50" t="s">
        <v>149</v>
      </c>
      <c r="B333" s="50">
        <v>3455532</v>
      </c>
      <c r="C333" s="50" t="e">
        <f>VLOOKUP(B333,'Drop schools 2026'!B:C,2,0)</f>
        <v>#N/A</v>
      </c>
      <c r="D333" s="50" t="s">
        <v>622</v>
      </c>
      <c r="E333" s="50" t="s">
        <v>1279</v>
      </c>
      <c r="F333" s="50" t="s">
        <v>6109</v>
      </c>
      <c r="G333" s="50" t="e">
        <f>VLOOKUP(B333,aa!B:F,5,0)</f>
        <v>#N/A</v>
      </c>
      <c r="H333" s="50" t="e">
        <f>VLOOKUP(B333,aa!B:J,9,0)</f>
        <v>#N/A</v>
      </c>
      <c r="I333" s="50" t="e">
        <f>VLOOKUP(B333,aa!B:L,11,0)</f>
        <v>#N/A</v>
      </c>
      <c r="J333" s="50" t="e">
        <f>VLOOKUP(B333,aa!B:O,14,0)</f>
        <v>#N/A</v>
      </c>
      <c r="K333" s="50" t="e">
        <f>VLOOKUP(B333,aa!B:R,17,0)</f>
        <v>#N/A</v>
      </c>
      <c r="L333" s="50" t="s">
        <v>97</v>
      </c>
      <c r="M333" s="50">
        <v>450846</v>
      </c>
      <c r="N333" s="50">
        <v>450846</v>
      </c>
      <c r="O333" s="50">
        <v>450846</v>
      </c>
      <c r="P333" s="50">
        <v>828</v>
      </c>
      <c r="Q333" s="50" t="s">
        <v>16052</v>
      </c>
      <c r="R333" s="50">
        <v>0</v>
      </c>
      <c r="S333" s="50">
        <v>0</v>
      </c>
      <c r="U333" s="50">
        <v>0</v>
      </c>
      <c r="V333" s="50">
        <v>0</v>
      </c>
      <c r="X333" s="50" t="s">
        <v>102</v>
      </c>
      <c r="Y333" s="50" t="s">
        <v>275</v>
      </c>
      <c r="AA333" s="50" t="s">
        <v>7145</v>
      </c>
      <c r="AB333" s="50" t="s">
        <v>109</v>
      </c>
      <c r="AC333" s="50" t="s">
        <v>102</v>
      </c>
      <c r="AD333" s="50" t="s">
        <v>109</v>
      </c>
      <c r="AE333" s="50" t="s">
        <v>102</v>
      </c>
      <c r="AF333" s="50" t="s">
        <v>109</v>
      </c>
      <c r="AG333" s="50" t="s">
        <v>102</v>
      </c>
      <c r="AH333" s="50" t="s">
        <v>109</v>
      </c>
      <c r="AI333" s="50" t="s">
        <v>102</v>
      </c>
      <c r="AJ333" s="50" t="s">
        <v>16053</v>
      </c>
      <c r="AK333" s="50" t="s">
        <v>16054</v>
      </c>
      <c r="AL333" s="50" t="s">
        <v>16054</v>
      </c>
      <c r="AM333" s="50" t="s">
        <v>16055</v>
      </c>
      <c r="AN333" s="50" t="s">
        <v>16056</v>
      </c>
      <c r="AO333" s="50" t="s">
        <v>16057</v>
      </c>
      <c r="AP333" s="50" t="s">
        <v>16058</v>
      </c>
      <c r="AQ333" s="50" t="s">
        <v>16058</v>
      </c>
      <c r="AV333" s="50" t="s">
        <v>318</v>
      </c>
      <c r="AW333" s="50" t="s">
        <v>118</v>
      </c>
      <c r="AX333" s="50" t="s">
        <v>102</v>
      </c>
      <c r="AY333" s="50" t="s">
        <v>119</v>
      </c>
      <c r="BC333" s="50" t="s">
        <v>120</v>
      </c>
      <c r="BD333" s="50" t="s">
        <v>4864</v>
      </c>
      <c r="BE333" s="50" t="s">
        <v>621</v>
      </c>
      <c r="BF333" s="50" t="s">
        <v>622</v>
      </c>
      <c r="BG333" s="50" t="s">
        <v>623</v>
      </c>
      <c r="BH333" s="50" t="s">
        <v>124</v>
      </c>
      <c r="BI333" s="50" t="s">
        <v>12023</v>
      </c>
      <c r="BJ333" s="50" t="s">
        <v>11889</v>
      </c>
      <c r="BK333" s="50" t="s">
        <v>127</v>
      </c>
      <c r="BL333" s="50" t="s">
        <v>16059</v>
      </c>
      <c r="BM333" s="50" t="s">
        <v>6118</v>
      </c>
      <c r="BN333" s="50" t="s">
        <v>16060</v>
      </c>
      <c r="BO333" s="50" t="s">
        <v>7145</v>
      </c>
      <c r="BP333" s="50" t="s">
        <v>629</v>
      </c>
      <c r="BQ333" s="50" t="s">
        <v>180</v>
      </c>
      <c r="BR333" s="50" t="s">
        <v>630</v>
      </c>
      <c r="BS333" s="50" t="s">
        <v>631</v>
      </c>
      <c r="BT333" s="50" t="s">
        <v>1279</v>
      </c>
      <c r="BV333" s="50" t="s">
        <v>16061</v>
      </c>
      <c r="BW333" s="50" t="s">
        <v>6121</v>
      </c>
      <c r="BX333" s="50" t="s">
        <v>138</v>
      </c>
      <c r="BY333" s="50" t="s">
        <v>6122</v>
      </c>
      <c r="BZ333" s="50" t="s">
        <v>6123</v>
      </c>
      <c r="CA333" s="50" t="s">
        <v>6124</v>
      </c>
      <c r="CB333" s="50" t="s">
        <v>6121</v>
      </c>
      <c r="CC333" s="50" t="s">
        <v>6122</v>
      </c>
      <c r="CD333" s="50" t="s">
        <v>6123</v>
      </c>
      <c r="CE333" s="50" t="s">
        <v>16062</v>
      </c>
      <c r="CF333" s="50" t="s">
        <v>6126</v>
      </c>
      <c r="CG333" s="50" t="s">
        <v>16063</v>
      </c>
      <c r="CH333" s="50" t="s">
        <v>102</v>
      </c>
      <c r="CI333" s="50" t="s">
        <v>6127</v>
      </c>
      <c r="CK333" s="50" t="s">
        <v>6128</v>
      </c>
      <c r="CM333" s="50" t="s">
        <v>4864</v>
      </c>
      <c r="CN333" s="50" t="s">
        <v>621</v>
      </c>
      <c r="CO333" s="50" t="s">
        <v>6128</v>
      </c>
      <c r="CQ333" s="50" t="s">
        <v>6127</v>
      </c>
      <c r="CR333" s="50" t="s">
        <v>6127</v>
      </c>
      <c r="CS333" s="50" t="s">
        <v>26047</v>
      </c>
    </row>
    <row r="334" spans="1:97" hidden="1">
      <c r="A334" s="50" t="s">
        <v>149</v>
      </c>
      <c r="B334" s="50">
        <v>370</v>
      </c>
      <c r="C334" s="50" t="e">
        <f>VLOOKUP(B334,'Drop schools 2026'!B:C,2,0)</f>
        <v>#N/A</v>
      </c>
      <c r="D334" s="50" t="s">
        <v>622</v>
      </c>
      <c r="E334" s="50" t="s">
        <v>1279</v>
      </c>
      <c r="F334" s="50" t="s">
        <v>7119</v>
      </c>
      <c r="G334" s="50" t="e">
        <f>VLOOKUP(B334,aa!B:F,5,0)</f>
        <v>#N/A</v>
      </c>
      <c r="H334" s="50" t="e">
        <f>VLOOKUP(B334,aa!B:J,9,0)</f>
        <v>#N/A</v>
      </c>
      <c r="I334" s="50" t="e">
        <f>VLOOKUP(B334,aa!B:L,11,0)</f>
        <v>#N/A</v>
      </c>
      <c r="J334" s="50" t="e">
        <f>VLOOKUP(B334,aa!B:O,14,0)</f>
        <v>#N/A</v>
      </c>
      <c r="K334" s="50" t="e">
        <f>VLOOKUP(B334,aa!B:R,17,0)</f>
        <v>#N/A</v>
      </c>
      <c r="L334" s="50" t="s">
        <v>97</v>
      </c>
      <c r="M334" s="50">
        <v>448068</v>
      </c>
      <c r="N334" s="50">
        <v>448068</v>
      </c>
      <c r="O334" s="50">
        <v>448068</v>
      </c>
      <c r="P334" s="50">
        <v>729</v>
      </c>
      <c r="Q334" s="50" t="s">
        <v>11616</v>
      </c>
      <c r="R334" s="50">
        <v>0</v>
      </c>
      <c r="S334" s="50">
        <v>0</v>
      </c>
      <c r="U334" s="50">
        <v>0</v>
      </c>
      <c r="V334" s="50">
        <v>0</v>
      </c>
      <c r="X334" s="50" t="s">
        <v>102</v>
      </c>
      <c r="Y334" s="50" t="s">
        <v>103</v>
      </c>
      <c r="Z334" s="50" t="s">
        <v>104</v>
      </c>
      <c r="AB334" s="50" t="s">
        <v>12923</v>
      </c>
      <c r="AC334" s="50" t="s">
        <v>16745</v>
      </c>
      <c r="AD334" s="50" t="s">
        <v>11952</v>
      </c>
      <c r="AE334" s="50" t="s">
        <v>16746</v>
      </c>
      <c r="AF334" s="50" t="s">
        <v>109</v>
      </c>
      <c r="AG334" s="50" t="s">
        <v>102</v>
      </c>
      <c r="AH334" s="50" t="s">
        <v>109</v>
      </c>
      <c r="AI334" s="50" t="s">
        <v>102</v>
      </c>
      <c r="AJ334" s="50" t="s">
        <v>16747</v>
      </c>
      <c r="AK334" s="50" t="s">
        <v>12429</v>
      </c>
      <c r="AL334" s="50" t="s">
        <v>13867</v>
      </c>
      <c r="AM334" s="50" t="s">
        <v>16748</v>
      </c>
      <c r="AN334" s="50" t="s">
        <v>16749</v>
      </c>
      <c r="AO334" s="50" t="s">
        <v>16750</v>
      </c>
      <c r="AP334" s="50" t="s">
        <v>7836</v>
      </c>
      <c r="AQ334" s="50" t="s">
        <v>7836</v>
      </c>
      <c r="AV334" s="50" t="s">
        <v>117</v>
      </c>
      <c r="AW334" s="50" t="s">
        <v>118</v>
      </c>
      <c r="AX334" s="50" t="s">
        <v>102</v>
      </c>
      <c r="AY334" s="50" t="s">
        <v>119</v>
      </c>
      <c r="BC334" s="50" t="s">
        <v>171</v>
      </c>
      <c r="BD334" s="50" t="s">
        <v>623</v>
      </c>
      <c r="BE334" s="50" t="s">
        <v>621</v>
      </c>
      <c r="BF334" s="50" t="s">
        <v>622</v>
      </c>
      <c r="BG334" s="50" t="s">
        <v>623</v>
      </c>
      <c r="BH334" s="50" t="s">
        <v>124</v>
      </c>
      <c r="BI334" s="50" t="s">
        <v>11959</v>
      </c>
      <c r="BJ334" s="50" t="s">
        <v>11960</v>
      </c>
      <c r="BK334" s="50" t="s">
        <v>127</v>
      </c>
      <c r="BL334" s="50" t="s">
        <v>16751</v>
      </c>
      <c r="BM334" s="50" t="s">
        <v>7131</v>
      </c>
      <c r="BN334" s="50" t="s">
        <v>16752</v>
      </c>
      <c r="BO334" s="50" t="s">
        <v>10729</v>
      </c>
      <c r="BP334" s="50" t="s">
        <v>629</v>
      </c>
      <c r="BQ334" s="50" t="s">
        <v>132</v>
      </c>
      <c r="BR334" s="50" t="s">
        <v>630</v>
      </c>
      <c r="BS334" s="50" t="s">
        <v>631</v>
      </c>
      <c r="BT334" s="50" t="s">
        <v>1279</v>
      </c>
      <c r="BV334" s="50" t="s">
        <v>16753</v>
      </c>
      <c r="BW334" s="50" t="s">
        <v>7134</v>
      </c>
      <c r="BX334" s="50" t="s">
        <v>138</v>
      </c>
      <c r="BY334" s="50" t="s">
        <v>7135</v>
      </c>
      <c r="BZ334" s="50" t="s">
        <v>7136</v>
      </c>
      <c r="CA334" s="50" t="s">
        <v>7137</v>
      </c>
      <c r="CB334" s="50" t="s">
        <v>7134</v>
      </c>
      <c r="CC334" s="50" t="s">
        <v>7135</v>
      </c>
      <c r="CD334" s="50" t="s">
        <v>7136</v>
      </c>
      <c r="CE334" s="50" t="s">
        <v>7134</v>
      </c>
      <c r="CF334" s="50" t="s">
        <v>7135</v>
      </c>
      <c r="CG334" s="50" t="s">
        <v>7136</v>
      </c>
      <c r="CH334" s="50" t="s">
        <v>102</v>
      </c>
      <c r="CI334" s="50" t="s">
        <v>7138</v>
      </c>
      <c r="CK334" s="50" t="s">
        <v>7139</v>
      </c>
      <c r="CM334" s="50" t="s">
        <v>623</v>
      </c>
      <c r="CN334" s="50" t="s">
        <v>621</v>
      </c>
      <c r="CO334" s="50" t="s">
        <v>7139</v>
      </c>
      <c r="CP334" s="50" t="s">
        <v>7140</v>
      </c>
      <c r="CQ334" s="50" t="s">
        <v>7138</v>
      </c>
      <c r="CR334" s="50" t="s">
        <v>7138</v>
      </c>
      <c r="CS334" s="50" t="s">
        <v>26048</v>
      </c>
    </row>
    <row r="335" spans="1:97" hidden="1">
      <c r="A335" s="50" t="s">
        <v>337</v>
      </c>
      <c r="B335" s="50">
        <v>4091040</v>
      </c>
      <c r="C335" s="50" t="e">
        <f>VLOOKUP(B335,'Drop schools 2026'!B:C,2,0)</f>
        <v>#N/A</v>
      </c>
      <c r="D335" s="50" t="s">
        <v>174</v>
      </c>
      <c r="E335" s="50" t="s">
        <v>12155</v>
      </c>
      <c r="F335" s="50" t="s">
        <v>18069</v>
      </c>
      <c r="G335" s="50" t="str">
        <f>VLOOKUP(B335,aa!B:F,5,0)</f>
        <v>Ei CARES</v>
      </c>
      <c r="H335" s="50">
        <f>VLOOKUP(B335,aa!B:J,9,0)</f>
        <v>436451</v>
      </c>
      <c r="I335" s="50">
        <f>VLOOKUP(B335,aa!B:L,11,0)</f>
        <v>0</v>
      </c>
      <c r="J335" s="50">
        <f>VLOOKUP(B335,aa!B:O,14,0)</f>
        <v>436451</v>
      </c>
      <c r="K335" s="50">
        <f>VLOOKUP(B335,aa!B:R,17,0)</f>
        <v>0</v>
      </c>
      <c r="L335" s="50" t="s">
        <v>152</v>
      </c>
      <c r="M335" s="50">
        <v>447065</v>
      </c>
      <c r="N335" s="50">
        <v>447065</v>
      </c>
      <c r="O335" s="50">
        <v>0</v>
      </c>
      <c r="P335" s="50">
        <v>0</v>
      </c>
      <c r="R335" s="50">
        <v>447065</v>
      </c>
      <c r="S335" s="50">
        <v>552</v>
      </c>
      <c r="T335" s="50" t="s">
        <v>6750</v>
      </c>
      <c r="U335" s="50">
        <v>0</v>
      </c>
      <c r="V335" s="50">
        <v>0</v>
      </c>
      <c r="X335" s="50" t="s">
        <v>102</v>
      </c>
      <c r="Y335" s="50" t="s">
        <v>103</v>
      </c>
      <c r="Z335" s="50" t="s">
        <v>155</v>
      </c>
      <c r="AB335" s="50" t="s">
        <v>1305</v>
      </c>
      <c r="AC335" s="50" t="s">
        <v>18070</v>
      </c>
      <c r="AD335" s="50" t="s">
        <v>13033</v>
      </c>
      <c r="AE335" s="50" t="s">
        <v>18070</v>
      </c>
      <c r="AF335" s="50" t="s">
        <v>13034</v>
      </c>
      <c r="AG335" s="50" t="s">
        <v>18070</v>
      </c>
      <c r="AH335" s="50" t="s">
        <v>12713</v>
      </c>
      <c r="AI335" s="50" t="s">
        <v>18070</v>
      </c>
      <c r="AJ335" s="50" t="s">
        <v>102</v>
      </c>
      <c r="AK335" s="50" t="s">
        <v>8996</v>
      </c>
      <c r="AL335" s="50" t="s">
        <v>13000</v>
      </c>
      <c r="AM335" s="50" t="s">
        <v>18071</v>
      </c>
      <c r="AN335" s="50" t="s">
        <v>18072</v>
      </c>
      <c r="AO335" s="50" t="s">
        <v>18073</v>
      </c>
      <c r="AP335" s="50" t="s">
        <v>18074</v>
      </c>
      <c r="AQ335" s="50" t="s">
        <v>18074</v>
      </c>
      <c r="AV335" s="50" t="s">
        <v>102</v>
      </c>
      <c r="AX335" s="50" t="s">
        <v>155</v>
      </c>
      <c r="AY335" s="50" t="s">
        <v>447</v>
      </c>
      <c r="AZ335" s="50" t="s">
        <v>170</v>
      </c>
      <c r="BA335" s="50" t="s">
        <v>118</v>
      </c>
      <c r="BC335" s="50" t="s">
        <v>120</v>
      </c>
      <c r="BD335" s="50" t="s">
        <v>18075</v>
      </c>
      <c r="BE335" s="50" t="s">
        <v>173</v>
      </c>
      <c r="BF335" s="50" t="s">
        <v>174</v>
      </c>
      <c r="BG335" s="50" t="s">
        <v>173</v>
      </c>
      <c r="BH335" s="50" t="s">
        <v>124</v>
      </c>
      <c r="BI335" s="50" t="s">
        <v>12023</v>
      </c>
      <c r="BJ335" s="50" t="s">
        <v>11889</v>
      </c>
      <c r="BK335" s="50" t="s">
        <v>127</v>
      </c>
      <c r="BL335" s="50" t="s">
        <v>18076</v>
      </c>
      <c r="BM335" s="50" t="s">
        <v>18077</v>
      </c>
      <c r="BN335" s="50" t="s">
        <v>18078</v>
      </c>
      <c r="BO335" s="50" t="s">
        <v>107</v>
      </c>
      <c r="BP335" s="50" t="s">
        <v>9823</v>
      </c>
      <c r="BQ335" s="50" t="s">
        <v>180</v>
      </c>
      <c r="BR335" s="50" t="s">
        <v>9824</v>
      </c>
      <c r="BS335" s="50" t="s">
        <v>9825</v>
      </c>
      <c r="BT335" s="50" t="s">
        <v>1176</v>
      </c>
      <c r="BV335" s="50" t="s">
        <v>18079</v>
      </c>
      <c r="BW335" s="50" t="s">
        <v>18080</v>
      </c>
      <c r="BX335" s="50" t="s">
        <v>138</v>
      </c>
      <c r="BY335" s="50" t="s">
        <v>18081</v>
      </c>
      <c r="BZ335" s="50" t="s">
        <v>18082</v>
      </c>
      <c r="CA335" s="50" t="s">
        <v>18083</v>
      </c>
      <c r="CB335" s="50" t="s">
        <v>18084</v>
      </c>
      <c r="CC335" s="50" t="s">
        <v>18081</v>
      </c>
      <c r="CD335" s="50" t="s">
        <v>18082</v>
      </c>
      <c r="CE335" s="50" t="s">
        <v>18085</v>
      </c>
      <c r="CF335" s="50" t="s">
        <v>18086</v>
      </c>
      <c r="CG335" s="50" t="s">
        <v>18087</v>
      </c>
      <c r="CH335" s="50" t="s">
        <v>18088</v>
      </c>
      <c r="CI335" s="50" t="s">
        <v>18089</v>
      </c>
      <c r="CK335" s="50" t="s">
        <v>18090</v>
      </c>
      <c r="CL335" s="50" t="s">
        <v>18089</v>
      </c>
      <c r="CM335" s="50" t="s">
        <v>18075</v>
      </c>
      <c r="CN335" s="50" t="s">
        <v>173</v>
      </c>
      <c r="CO335" s="50" t="s">
        <v>18090</v>
      </c>
      <c r="CQ335" s="50" t="s">
        <v>18089</v>
      </c>
      <c r="CR335" s="50" t="s">
        <v>18089</v>
      </c>
    </row>
    <row r="336" spans="1:97" hidden="1">
      <c r="A336" s="50" t="s">
        <v>149</v>
      </c>
      <c r="B336" s="50">
        <v>3284749</v>
      </c>
      <c r="C336" s="50" t="e">
        <f>VLOOKUP(B336,'Drop schools 2026'!B:C,2,0)</f>
        <v>#N/A</v>
      </c>
      <c r="D336" s="50" t="s">
        <v>622</v>
      </c>
      <c r="E336" s="50" t="s">
        <v>985</v>
      </c>
      <c r="F336" s="50" t="s">
        <v>5264</v>
      </c>
      <c r="G336" s="50" t="e">
        <f>VLOOKUP(B336,aa!B:F,5,0)</f>
        <v>#N/A</v>
      </c>
      <c r="H336" s="50" t="e">
        <f>VLOOKUP(B336,aa!B:J,9,0)</f>
        <v>#N/A</v>
      </c>
      <c r="I336" s="50" t="e">
        <f>VLOOKUP(B336,aa!B:L,11,0)</f>
        <v>#N/A</v>
      </c>
      <c r="J336" s="50" t="e">
        <f>VLOOKUP(B336,aa!B:O,14,0)</f>
        <v>#N/A</v>
      </c>
      <c r="K336" s="50" t="e">
        <f>VLOOKUP(B336,aa!B:R,17,0)</f>
        <v>#N/A</v>
      </c>
      <c r="L336" s="50" t="s">
        <v>97</v>
      </c>
      <c r="M336" s="50">
        <v>444761</v>
      </c>
      <c r="N336" s="50">
        <v>444761</v>
      </c>
      <c r="O336" s="50">
        <v>444761</v>
      </c>
      <c r="P336" s="50">
        <v>622</v>
      </c>
      <c r="Q336" s="50" t="s">
        <v>1954</v>
      </c>
      <c r="R336" s="50">
        <v>0</v>
      </c>
      <c r="S336" s="50">
        <v>0</v>
      </c>
      <c r="U336" s="50">
        <v>0</v>
      </c>
      <c r="V336" s="50">
        <v>0</v>
      </c>
      <c r="X336" s="50" t="s">
        <v>102</v>
      </c>
      <c r="Y336" s="50" t="s">
        <v>103</v>
      </c>
      <c r="Z336" s="50" t="s">
        <v>104</v>
      </c>
      <c r="AB336" s="50" t="s">
        <v>1165</v>
      </c>
      <c r="AC336" s="50" t="s">
        <v>15361</v>
      </c>
      <c r="AD336" s="50" t="s">
        <v>12427</v>
      </c>
      <c r="AE336" s="50" t="s">
        <v>15361</v>
      </c>
      <c r="AF336" s="50" t="s">
        <v>109</v>
      </c>
      <c r="AG336" s="50" t="s">
        <v>102</v>
      </c>
      <c r="AH336" s="50" t="s">
        <v>109</v>
      </c>
      <c r="AI336" s="50" t="s">
        <v>102</v>
      </c>
      <c r="AJ336" s="50" t="s">
        <v>15362</v>
      </c>
      <c r="AK336" s="50" t="s">
        <v>11929</v>
      </c>
      <c r="AL336" s="50" t="s">
        <v>15363</v>
      </c>
      <c r="AM336" s="50" t="s">
        <v>15364</v>
      </c>
      <c r="AN336" s="50" t="s">
        <v>15365</v>
      </c>
      <c r="AO336" s="50" t="s">
        <v>15366</v>
      </c>
      <c r="AP336" s="50" t="s">
        <v>15367</v>
      </c>
      <c r="AQ336" s="50" t="s">
        <v>15367</v>
      </c>
      <c r="AV336" s="50" t="s">
        <v>318</v>
      </c>
      <c r="AW336" s="50" t="s">
        <v>118</v>
      </c>
      <c r="AX336" s="50" t="s">
        <v>102</v>
      </c>
      <c r="AY336" s="50" t="s">
        <v>119</v>
      </c>
      <c r="BC336" s="50" t="s">
        <v>120</v>
      </c>
      <c r="BD336" s="50" t="s">
        <v>2127</v>
      </c>
      <c r="BE336" s="50" t="s">
        <v>621</v>
      </c>
      <c r="BF336" s="50" t="s">
        <v>622</v>
      </c>
      <c r="BG336" s="50" t="s">
        <v>976</v>
      </c>
      <c r="BH336" s="50" t="s">
        <v>124</v>
      </c>
      <c r="BI336" s="50" t="s">
        <v>1408</v>
      </c>
      <c r="BJ336" s="50" t="s">
        <v>11889</v>
      </c>
      <c r="BK336" s="50" t="s">
        <v>127</v>
      </c>
      <c r="BL336" s="50" t="s">
        <v>15368</v>
      </c>
      <c r="BM336" s="50" t="s">
        <v>5273</v>
      </c>
      <c r="BN336" s="50" t="s">
        <v>15369</v>
      </c>
      <c r="BO336" s="50" t="s">
        <v>1408</v>
      </c>
      <c r="BP336" s="50" t="s">
        <v>981</v>
      </c>
      <c r="BQ336" s="50" t="s">
        <v>132</v>
      </c>
      <c r="BR336" s="50" t="s">
        <v>982</v>
      </c>
      <c r="BS336" s="50" t="s">
        <v>983</v>
      </c>
      <c r="BT336" s="50" t="s">
        <v>984</v>
      </c>
      <c r="BV336" s="50" t="s">
        <v>15370</v>
      </c>
      <c r="BW336" s="50" t="s">
        <v>5276</v>
      </c>
      <c r="BX336" s="50" t="s">
        <v>138</v>
      </c>
      <c r="BY336" s="50" t="s">
        <v>5277</v>
      </c>
      <c r="BZ336" s="50" t="s">
        <v>5278</v>
      </c>
      <c r="CA336" s="50" t="s">
        <v>5279</v>
      </c>
      <c r="CB336" s="50" t="s">
        <v>15371</v>
      </c>
      <c r="CC336" s="50" t="s">
        <v>5277</v>
      </c>
      <c r="CD336" s="50" t="s">
        <v>5278</v>
      </c>
      <c r="CE336" s="50" t="s">
        <v>15372</v>
      </c>
      <c r="CF336" s="50" t="s">
        <v>15373</v>
      </c>
      <c r="CG336" s="50" t="s">
        <v>15374</v>
      </c>
      <c r="CH336" s="50" t="s">
        <v>102</v>
      </c>
      <c r="CI336" s="50" t="s">
        <v>15375</v>
      </c>
      <c r="CK336" s="50" t="s">
        <v>5281</v>
      </c>
      <c r="CM336" s="50" t="s">
        <v>2127</v>
      </c>
      <c r="CN336" s="50" t="s">
        <v>621</v>
      </c>
      <c r="CO336" s="50" t="s">
        <v>5281</v>
      </c>
      <c r="CP336" s="50" t="s">
        <v>5282</v>
      </c>
      <c r="CQ336" s="50" t="s">
        <v>5280</v>
      </c>
      <c r="CR336" s="50" t="s">
        <v>5280</v>
      </c>
      <c r="CS336" s="50" t="s">
        <v>26048</v>
      </c>
    </row>
    <row r="337" spans="1:97" hidden="1">
      <c r="A337" s="50" t="s">
        <v>149</v>
      </c>
      <c r="B337" s="50">
        <v>3752732</v>
      </c>
      <c r="C337" s="50" t="e">
        <f>VLOOKUP(B337,'Drop schools 2026'!B:C,2,0)</f>
        <v>#N/A</v>
      </c>
      <c r="D337" s="50" t="s">
        <v>122</v>
      </c>
      <c r="E337" s="50" t="s">
        <v>12507</v>
      </c>
      <c r="F337" s="50" t="s">
        <v>7315</v>
      </c>
      <c r="G337" s="50" t="str">
        <f>VLOOKUP(B337,aa!B:F,5,0)</f>
        <v>Ei CARES</v>
      </c>
      <c r="H337" s="50">
        <f>VLOOKUP(B337,aa!B:J,9,0)</f>
        <v>666991</v>
      </c>
      <c r="I337" s="50">
        <f>VLOOKUP(B337,aa!B:L,11,0)</f>
        <v>0</v>
      </c>
      <c r="J337" s="50">
        <f>VLOOKUP(B337,aa!B:O,14,0)</f>
        <v>666991</v>
      </c>
      <c r="K337" s="50">
        <f>VLOOKUP(B337,aa!B:R,17,0)</f>
        <v>0</v>
      </c>
      <c r="L337" s="50" t="s">
        <v>152</v>
      </c>
      <c r="M337" s="50">
        <v>441928</v>
      </c>
      <c r="N337" s="50">
        <v>441928</v>
      </c>
      <c r="O337" s="50">
        <v>0</v>
      </c>
      <c r="P337" s="50">
        <v>0</v>
      </c>
      <c r="R337" s="50">
        <v>441928</v>
      </c>
      <c r="S337" s="50">
        <v>258</v>
      </c>
      <c r="T337" s="50" t="s">
        <v>16842</v>
      </c>
      <c r="U337" s="50">
        <v>0</v>
      </c>
      <c r="V337" s="50">
        <v>0</v>
      </c>
      <c r="X337" s="50" t="s">
        <v>102</v>
      </c>
      <c r="Y337" s="50" t="s">
        <v>103</v>
      </c>
      <c r="Z337" s="50" t="s">
        <v>155</v>
      </c>
      <c r="AB337" s="50" t="s">
        <v>11959</v>
      </c>
      <c r="AC337" s="50" t="s">
        <v>16843</v>
      </c>
      <c r="AD337" s="50" t="s">
        <v>12082</v>
      </c>
      <c r="AE337" s="50" t="s">
        <v>16843</v>
      </c>
      <c r="AF337" s="50" t="s">
        <v>11888</v>
      </c>
      <c r="AG337" s="50" t="s">
        <v>16843</v>
      </c>
      <c r="AH337" s="50" t="s">
        <v>12084</v>
      </c>
      <c r="AI337" s="50" t="s">
        <v>16843</v>
      </c>
      <c r="AJ337" s="50" t="s">
        <v>102</v>
      </c>
      <c r="AK337" s="50" t="s">
        <v>1408</v>
      </c>
      <c r="AL337" s="50" t="s">
        <v>16844</v>
      </c>
      <c r="AM337" s="50" t="s">
        <v>16845</v>
      </c>
      <c r="AN337" s="50" t="s">
        <v>16846</v>
      </c>
      <c r="AO337" s="50" t="s">
        <v>16847</v>
      </c>
      <c r="AP337" s="50" t="s">
        <v>16848</v>
      </c>
      <c r="AQ337" s="50" t="s">
        <v>16848</v>
      </c>
      <c r="AV337" s="50" t="s">
        <v>102</v>
      </c>
      <c r="AX337" s="50" t="s">
        <v>155</v>
      </c>
      <c r="AY337" s="50" t="s">
        <v>119</v>
      </c>
      <c r="AZ337" s="50" t="s">
        <v>170</v>
      </c>
      <c r="BA337" s="50" t="s">
        <v>118</v>
      </c>
      <c r="BC337" s="50" t="s">
        <v>120</v>
      </c>
      <c r="BD337" s="50" t="s">
        <v>7324</v>
      </c>
      <c r="BE337" s="50" t="s">
        <v>556</v>
      </c>
      <c r="BF337" s="50" t="s">
        <v>122</v>
      </c>
      <c r="BG337" s="50" t="s">
        <v>557</v>
      </c>
      <c r="BH337" s="50" t="s">
        <v>124</v>
      </c>
      <c r="BI337" s="50" t="s">
        <v>12492</v>
      </c>
      <c r="BJ337" s="50" t="s">
        <v>11889</v>
      </c>
      <c r="BK337" s="50" t="s">
        <v>127</v>
      </c>
      <c r="BL337" s="50" t="s">
        <v>16849</v>
      </c>
      <c r="BM337" s="50" t="s">
        <v>7326</v>
      </c>
      <c r="BN337" s="50" t="s">
        <v>16850</v>
      </c>
      <c r="BO337" s="50" t="s">
        <v>12711</v>
      </c>
      <c r="BP337" s="50" t="s">
        <v>1142</v>
      </c>
      <c r="BQ337" s="50" t="s">
        <v>350</v>
      </c>
      <c r="BR337" s="50" t="s">
        <v>1143</v>
      </c>
      <c r="BS337" s="50" t="s">
        <v>1144</v>
      </c>
      <c r="BT337" s="50" t="s">
        <v>566</v>
      </c>
      <c r="BV337" s="50" t="s">
        <v>16851</v>
      </c>
      <c r="BW337" s="50" t="s">
        <v>7329</v>
      </c>
      <c r="BX337" s="50" t="s">
        <v>138</v>
      </c>
      <c r="BY337" s="50" t="s">
        <v>16852</v>
      </c>
      <c r="BZ337" s="50" t="s">
        <v>7331</v>
      </c>
      <c r="CA337" s="50" t="s">
        <v>7330</v>
      </c>
      <c r="CB337" s="50" t="s">
        <v>7329</v>
      </c>
      <c r="CC337" s="50" t="s">
        <v>16852</v>
      </c>
      <c r="CD337" s="50" t="s">
        <v>7331</v>
      </c>
      <c r="CE337" s="50" t="s">
        <v>7329</v>
      </c>
      <c r="CF337" s="50" t="s">
        <v>16852</v>
      </c>
      <c r="CG337" s="50" t="s">
        <v>7331</v>
      </c>
      <c r="CH337" s="50" t="s">
        <v>7332</v>
      </c>
      <c r="CI337" s="50" t="s">
        <v>7315</v>
      </c>
      <c r="CK337" s="50" t="s">
        <v>7334</v>
      </c>
      <c r="CM337" s="50" t="s">
        <v>7324</v>
      </c>
      <c r="CN337" s="50" t="s">
        <v>556</v>
      </c>
      <c r="CO337" s="50" t="s">
        <v>7334</v>
      </c>
      <c r="CQ337" s="50" t="s">
        <v>7333</v>
      </c>
      <c r="CR337" s="50" t="s">
        <v>7333</v>
      </c>
    </row>
    <row r="338" spans="1:97" hidden="1">
      <c r="A338" s="50" t="s">
        <v>337</v>
      </c>
      <c r="B338" s="50">
        <v>452934</v>
      </c>
      <c r="C338" s="50" t="str">
        <f>VLOOKUP(B338,'Drop schools 2026'!B:C,2,0)</f>
        <v>Drop</v>
      </c>
      <c r="D338" s="50" t="s">
        <v>174</v>
      </c>
      <c r="E338" s="50" t="s">
        <v>12155</v>
      </c>
      <c r="F338" s="50" t="s">
        <v>18350</v>
      </c>
      <c r="G338" s="50" t="e">
        <f>VLOOKUP(B338,aa!B:F,5,0)</f>
        <v>#N/A</v>
      </c>
      <c r="H338" s="50" t="e">
        <f>VLOOKUP(B338,aa!B:J,9,0)</f>
        <v>#N/A</v>
      </c>
      <c r="I338" s="50" t="e">
        <f>VLOOKUP(B338,aa!B:L,11,0)</f>
        <v>#N/A</v>
      </c>
      <c r="J338" s="50" t="e">
        <f>VLOOKUP(B338,aa!B:O,14,0)</f>
        <v>#N/A</v>
      </c>
      <c r="K338" s="50" t="e">
        <f>VLOOKUP(B338,aa!B:R,17,0)</f>
        <v>#N/A</v>
      </c>
      <c r="L338" s="50" t="s">
        <v>152</v>
      </c>
      <c r="M338" s="50">
        <v>439699</v>
      </c>
      <c r="N338" s="50">
        <v>439699</v>
      </c>
      <c r="O338" s="50">
        <v>0</v>
      </c>
      <c r="P338" s="50">
        <v>0</v>
      </c>
      <c r="R338" s="50">
        <v>439699</v>
      </c>
      <c r="S338" s="50">
        <v>543</v>
      </c>
      <c r="T338" s="50" t="s">
        <v>18352</v>
      </c>
      <c r="U338" s="50">
        <v>0</v>
      </c>
      <c r="V338" s="50">
        <v>0</v>
      </c>
      <c r="X338" s="50" t="s">
        <v>102</v>
      </c>
      <c r="Y338" s="50" t="s">
        <v>679</v>
      </c>
      <c r="Z338" s="50" t="s">
        <v>155</v>
      </c>
      <c r="AA338" s="50" t="s">
        <v>6895</v>
      </c>
      <c r="AB338" s="50" t="s">
        <v>18353</v>
      </c>
      <c r="AC338" s="50" t="s">
        <v>18354</v>
      </c>
      <c r="AD338" s="50" t="s">
        <v>18355</v>
      </c>
      <c r="AE338" s="50" t="s">
        <v>18354</v>
      </c>
      <c r="AF338" s="50" t="s">
        <v>18356</v>
      </c>
      <c r="AG338" s="50" t="s">
        <v>18354</v>
      </c>
      <c r="AH338" s="50" t="s">
        <v>18357</v>
      </c>
      <c r="AI338" s="50" t="s">
        <v>18354</v>
      </c>
      <c r="AJ338" s="50" t="s">
        <v>102</v>
      </c>
      <c r="AK338" s="50" t="s">
        <v>8128</v>
      </c>
      <c r="AL338" s="50" t="s">
        <v>14825</v>
      </c>
      <c r="AM338" s="50" t="s">
        <v>18358</v>
      </c>
      <c r="AN338" s="50" t="s">
        <v>18359</v>
      </c>
      <c r="AO338" s="50" t="s">
        <v>18360</v>
      </c>
      <c r="AP338" s="50" t="s">
        <v>18361</v>
      </c>
      <c r="AQ338" s="50" t="s">
        <v>18361</v>
      </c>
      <c r="AV338" s="50" t="s">
        <v>102</v>
      </c>
      <c r="AX338" s="50" t="s">
        <v>104</v>
      </c>
      <c r="AY338" s="50" t="s">
        <v>447</v>
      </c>
      <c r="AZ338" s="50" t="s">
        <v>170</v>
      </c>
      <c r="BA338" s="50" t="s">
        <v>118</v>
      </c>
      <c r="BC338" s="50" t="s">
        <v>171</v>
      </c>
      <c r="BD338" s="50" t="s">
        <v>18362</v>
      </c>
      <c r="BE338" s="50" t="s">
        <v>173</v>
      </c>
      <c r="BF338" s="50" t="s">
        <v>174</v>
      </c>
      <c r="BG338" s="50" t="s">
        <v>173</v>
      </c>
      <c r="BH338" s="50" t="s">
        <v>124</v>
      </c>
      <c r="BI338" s="50" t="s">
        <v>12023</v>
      </c>
      <c r="BJ338" s="50" t="s">
        <v>11889</v>
      </c>
      <c r="BK338" s="50" t="s">
        <v>127</v>
      </c>
      <c r="BL338" s="50" t="s">
        <v>18363</v>
      </c>
      <c r="BM338" s="50" t="s">
        <v>18364</v>
      </c>
      <c r="BN338" s="50" t="s">
        <v>18365</v>
      </c>
      <c r="BO338" s="50" t="s">
        <v>18351</v>
      </c>
      <c r="BP338" s="50" t="s">
        <v>9823</v>
      </c>
      <c r="BQ338" s="50" t="s">
        <v>7992</v>
      </c>
      <c r="BR338" s="50" t="s">
        <v>9824</v>
      </c>
      <c r="BS338" s="50" t="s">
        <v>9825</v>
      </c>
      <c r="BT338" s="50" t="s">
        <v>1176</v>
      </c>
      <c r="BV338" s="50" t="s">
        <v>18366</v>
      </c>
      <c r="BW338" s="50" t="s">
        <v>18367</v>
      </c>
      <c r="BX338" s="50" t="s">
        <v>1282</v>
      </c>
      <c r="BY338" s="50" t="s">
        <v>18368</v>
      </c>
      <c r="BZ338" s="50" t="s">
        <v>18369</v>
      </c>
      <c r="CA338" s="50" t="s">
        <v>18370</v>
      </c>
      <c r="CB338" s="50" t="s">
        <v>18371</v>
      </c>
      <c r="CC338" s="50" t="s">
        <v>18372</v>
      </c>
      <c r="CD338" s="50" t="s">
        <v>18373</v>
      </c>
      <c r="CE338" s="50" t="s">
        <v>18371</v>
      </c>
      <c r="CF338" s="50" t="s">
        <v>18372</v>
      </c>
      <c r="CG338" s="50" t="s">
        <v>18373</v>
      </c>
      <c r="CH338" s="50" t="s">
        <v>18374</v>
      </c>
      <c r="CI338" s="50" t="s">
        <v>18350</v>
      </c>
      <c r="CK338" s="50" t="s">
        <v>18375</v>
      </c>
      <c r="CM338" s="50" t="s">
        <v>18362</v>
      </c>
      <c r="CN338" s="50" t="s">
        <v>173</v>
      </c>
      <c r="CO338" s="50" t="s">
        <v>18375</v>
      </c>
      <c r="CQ338" s="50" t="s">
        <v>18376</v>
      </c>
      <c r="CR338" s="50" t="s">
        <v>18376</v>
      </c>
      <c r="CS338" s="50" t="s">
        <v>26046</v>
      </c>
    </row>
    <row r="339" spans="1:97" hidden="1">
      <c r="A339" s="50" t="s">
        <v>337</v>
      </c>
      <c r="B339" s="50">
        <v>3316343</v>
      </c>
      <c r="C339" s="50" t="e">
        <f>VLOOKUP(B339,'Drop schools 2026'!B:C,2,0)</f>
        <v>#N/A</v>
      </c>
      <c r="D339" s="50" t="s">
        <v>122</v>
      </c>
      <c r="E339" s="50" t="s">
        <v>12507</v>
      </c>
      <c r="F339" s="50" t="s">
        <v>15536</v>
      </c>
      <c r="G339" s="50" t="str">
        <f>VLOOKUP(B339,aa!B:F,5,0)</f>
        <v>Ei CARES</v>
      </c>
      <c r="H339" s="50">
        <f>VLOOKUP(B339,aa!B:J,9,0)</f>
        <v>452572</v>
      </c>
      <c r="I339" s="50">
        <f>VLOOKUP(B339,aa!B:L,11,0)</f>
        <v>0</v>
      </c>
      <c r="J339" s="50">
        <f>VLOOKUP(B339,aa!B:O,14,0)</f>
        <v>452572</v>
      </c>
      <c r="K339" s="50">
        <f>VLOOKUP(B339,aa!B:R,17,0)</f>
        <v>0</v>
      </c>
      <c r="L339" s="50" t="s">
        <v>152</v>
      </c>
      <c r="M339" s="50">
        <v>438820</v>
      </c>
      <c r="N339" s="50">
        <v>438820</v>
      </c>
      <c r="O339" s="50">
        <v>0</v>
      </c>
      <c r="P339" s="50">
        <v>0</v>
      </c>
      <c r="R339" s="50">
        <v>438820</v>
      </c>
      <c r="S339" s="50">
        <v>351</v>
      </c>
      <c r="T339" s="50" t="s">
        <v>1424</v>
      </c>
      <c r="U339" s="50">
        <v>0</v>
      </c>
      <c r="V339" s="50">
        <v>0</v>
      </c>
      <c r="X339" s="50" t="s">
        <v>102</v>
      </c>
      <c r="Y339" s="50" t="s">
        <v>103</v>
      </c>
      <c r="Z339" s="50" t="s">
        <v>398</v>
      </c>
      <c r="AB339" s="50" t="s">
        <v>11300</v>
      </c>
      <c r="AC339" s="50" t="s">
        <v>15537</v>
      </c>
      <c r="AD339" s="50" t="s">
        <v>12737</v>
      </c>
      <c r="AE339" s="50" t="s">
        <v>15538</v>
      </c>
      <c r="AF339" s="50" t="s">
        <v>11902</v>
      </c>
      <c r="AG339" s="50" t="s">
        <v>15538</v>
      </c>
      <c r="AH339" s="50" t="s">
        <v>109</v>
      </c>
      <c r="AI339" s="50" t="s">
        <v>102</v>
      </c>
      <c r="AJ339" s="50" t="s">
        <v>102</v>
      </c>
      <c r="AK339" s="50" t="s">
        <v>3258</v>
      </c>
      <c r="AL339" s="50" t="s">
        <v>13867</v>
      </c>
      <c r="AM339" s="50" t="s">
        <v>15539</v>
      </c>
      <c r="AN339" s="50" t="s">
        <v>15540</v>
      </c>
      <c r="AO339" s="50" t="s">
        <v>15541</v>
      </c>
      <c r="AP339" s="50" t="s">
        <v>1431</v>
      </c>
      <c r="AQ339" s="50" t="s">
        <v>1431</v>
      </c>
      <c r="AV339" s="50" t="s">
        <v>102</v>
      </c>
      <c r="AX339" s="50" t="s">
        <v>155</v>
      </c>
      <c r="AY339" s="50" t="s">
        <v>447</v>
      </c>
      <c r="AZ339" s="50" t="s">
        <v>170</v>
      </c>
      <c r="BA339" s="50" t="s">
        <v>118</v>
      </c>
      <c r="BC339" s="50" t="s">
        <v>120</v>
      </c>
      <c r="BD339" s="50" t="s">
        <v>15542</v>
      </c>
      <c r="BE339" s="50" t="s">
        <v>556</v>
      </c>
      <c r="BF339" s="50" t="s">
        <v>122</v>
      </c>
      <c r="BG339" s="50" t="s">
        <v>557</v>
      </c>
      <c r="BH339" s="50" t="s">
        <v>124</v>
      </c>
      <c r="BI339" s="50" t="s">
        <v>12023</v>
      </c>
      <c r="BJ339" s="50" t="s">
        <v>11889</v>
      </c>
      <c r="BK339" s="50" t="s">
        <v>127</v>
      </c>
      <c r="BL339" s="50" t="s">
        <v>15543</v>
      </c>
      <c r="BM339" s="50" t="s">
        <v>15544</v>
      </c>
      <c r="BN339" s="50" t="s">
        <v>15545</v>
      </c>
      <c r="BO339" s="50" t="s">
        <v>11300</v>
      </c>
      <c r="BP339" s="50" t="s">
        <v>563</v>
      </c>
      <c r="BQ339" s="50" t="s">
        <v>350</v>
      </c>
      <c r="BR339" s="50" t="s">
        <v>564</v>
      </c>
      <c r="BS339" s="50" t="s">
        <v>565</v>
      </c>
      <c r="BT339" s="50" t="s">
        <v>563</v>
      </c>
      <c r="BV339" s="50" t="s">
        <v>15546</v>
      </c>
      <c r="BW339" s="50" t="s">
        <v>15547</v>
      </c>
      <c r="BX339" s="50" t="s">
        <v>138</v>
      </c>
      <c r="BY339" s="50" t="s">
        <v>15548</v>
      </c>
      <c r="BZ339" s="50" t="s">
        <v>15549</v>
      </c>
      <c r="CA339" s="50" t="s">
        <v>15548</v>
      </c>
      <c r="CB339" s="50" t="s">
        <v>15547</v>
      </c>
      <c r="CC339" s="50" t="s">
        <v>15550</v>
      </c>
      <c r="CD339" s="50" t="s">
        <v>15549</v>
      </c>
      <c r="CE339" s="50" t="s">
        <v>15551</v>
      </c>
      <c r="CF339" s="50" t="s">
        <v>15552</v>
      </c>
      <c r="CG339" s="50" t="s">
        <v>15553</v>
      </c>
      <c r="CH339" s="50" t="s">
        <v>15554</v>
      </c>
      <c r="CI339" s="50" t="s">
        <v>15555</v>
      </c>
      <c r="CK339" s="50" t="s">
        <v>15556</v>
      </c>
      <c r="CL339" s="50" t="s">
        <v>15557</v>
      </c>
      <c r="CM339" s="50" t="s">
        <v>15542</v>
      </c>
      <c r="CN339" s="50" t="s">
        <v>556</v>
      </c>
      <c r="CO339" s="50" t="s">
        <v>15556</v>
      </c>
      <c r="CQ339" s="50" t="s">
        <v>15558</v>
      </c>
      <c r="CR339" s="50" t="s">
        <v>15558</v>
      </c>
    </row>
    <row r="340" spans="1:97" hidden="1">
      <c r="A340" s="50" t="s">
        <v>337</v>
      </c>
      <c r="B340" s="50">
        <v>241346</v>
      </c>
      <c r="C340" s="50" t="str">
        <f>VLOOKUP(B340,RISK!B:C,2,0)</f>
        <v>Risk</v>
      </c>
      <c r="D340" s="50" t="s">
        <v>622</v>
      </c>
      <c r="E340" s="50" t="s">
        <v>2525</v>
      </c>
      <c r="F340" s="50" t="s">
        <v>4754</v>
      </c>
      <c r="G340" s="50" t="e">
        <f>VLOOKUP(B340,aa!B:F,5,0)</f>
        <v>#N/A</v>
      </c>
      <c r="H340" s="50" t="e">
        <f>VLOOKUP(B340,aa!B:J,9,0)</f>
        <v>#N/A</v>
      </c>
      <c r="I340" s="50" t="e">
        <f>VLOOKUP(B340,aa!B:L,11,0)</f>
        <v>#N/A</v>
      </c>
      <c r="J340" s="50" t="e">
        <f>VLOOKUP(B340,aa!B:O,14,0)</f>
        <v>#N/A</v>
      </c>
      <c r="K340" s="50" t="e">
        <f>VLOOKUP(B340,aa!B:R,17,0)</f>
        <v>#N/A</v>
      </c>
      <c r="L340" s="50" t="s">
        <v>848</v>
      </c>
      <c r="M340" s="50">
        <v>434422</v>
      </c>
      <c r="N340" s="50">
        <v>512618</v>
      </c>
      <c r="O340" s="50">
        <v>0</v>
      </c>
      <c r="P340" s="50">
        <v>0</v>
      </c>
      <c r="R340" s="50">
        <v>0</v>
      </c>
      <c r="S340" s="50">
        <v>0</v>
      </c>
      <c r="U340" s="50">
        <v>434422</v>
      </c>
      <c r="V340" s="50">
        <v>181</v>
      </c>
      <c r="W340" s="50" t="s">
        <v>4372</v>
      </c>
      <c r="X340" s="50" t="s">
        <v>102</v>
      </c>
      <c r="Y340" s="50" t="s">
        <v>103</v>
      </c>
      <c r="Z340" s="50" t="s">
        <v>155</v>
      </c>
      <c r="AB340" s="50" t="s">
        <v>12023</v>
      </c>
      <c r="AC340" s="50" t="s">
        <v>13923</v>
      </c>
      <c r="AD340" s="50" t="s">
        <v>11976</v>
      </c>
      <c r="AE340" s="50" t="s">
        <v>13923</v>
      </c>
      <c r="AF340" s="50" t="s">
        <v>11888</v>
      </c>
      <c r="AG340" s="50" t="s">
        <v>13923</v>
      </c>
      <c r="AH340" s="50" t="s">
        <v>11886</v>
      </c>
      <c r="AI340" s="50" t="s">
        <v>13923</v>
      </c>
      <c r="AJ340" s="50" t="s">
        <v>102</v>
      </c>
      <c r="AM340" s="50" t="s">
        <v>13924</v>
      </c>
      <c r="AN340" s="50" t="s">
        <v>102</v>
      </c>
      <c r="AO340" s="50" t="s">
        <v>13924</v>
      </c>
      <c r="AP340" s="50" t="s">
        <v>7699</v>
      </c>
      <c r="AQ340" s="50" t="s">
        <v>7699</v>
      </c>
      <c r="AV340" s="50" t="s">
        <v>102</v>
      </c>
      <c r="AX340" s="50" t="s">
        <v>102</v>
      </c>
      <c r="AY340" s="50" t="s">
        <v>119</v>
      </c>
      <c r="BB340" s="50" t="s">
        <v>250</v>
      </c>
      <c r="BC340" s="50" t="s">
        <v>120</v>
      </c>
      <c r="BD340" s="50" t="s">
        <v>2258</v>
      </c>
      <c r="BE340" s="50" t="s">
        <v>730</v>
      </c>
      <c r="BF340" s="50" t="s">
        <v>622</v>
      </c>
      <c r="BG340" s="50" t="s">
        <v>730</v>
      </c>
      <c r="BH340" s="50" t="s">
        <v>124</v>
      </c>
      <c r="BI340" s="50" t="s">
        <v>12023</v>
      </c>
      <c r="BJ340" s="50" t="s">
        <v>11889</v>
      </c>
      <c r="BK340" s="50" t="s">
        <v>127</v>
      </c>
      <c r="BL340" s="50" t="s">
        <v>13925</v>
      </c>
      <c r="BM340" s="50" t="s">
        <v>13926</v>
      </c>
      <c r="BN340" s="50" t="s">
        <v>13927</v>
      </c>
      <c r="BO340" s="50" t="s">
        <v>3485</v>
      </c>
      <c r="BP340" s="50" t="s">
        <v>2262</v>
      </c>
      <c r="BQ340" s="50" t="s">
        <v>350</v>
      </c>
      <c r="BR340" s="50" t="s">
        <v>2263</v>
      </c>
      <c r="BS340" s="50" t="s">
        <v>2264</v>
      </c>
      <c r="BT340" s="50" t="s">
        <v>2331</v>
      </c>
      <c r="BV340" s="50" t="s">
        <v>13928</v>
      </c>
      <c r="BW340" s="50" t="s">
        <v>13929</v>
      </c>
      <c r="BX340" s="50" t="s">
        <v>138</v>
      </c>
      <c r="BY340" s="50" t="s">
        <v>13930</v>
      </c>
      <c r="BZ340" s="50" t="s">
        <v>13931</v>
      </c>
      <c r="CA340" s="50" t="s">
        <v>13932</v>
      </c>
      <c r="CB340" s="50" t="s">
        <v>13933</v>
      </c>
      <c r="CC340" s="50" t="s">
        <v>13932</v>
      </c>
      <c r="CD340" s="50" t="s">
        <v>13931</v>
      </c>
      <c r="CE340" s="50" t="s">
        <v>13933</v>
      </c>
      <c r="CF340" s="50" t="s">
        <v>13932</v>
      </c>
      <c r="CG340" s="50" t="s">
        <v>13931</v>
      </c>
      <c r="CH340" s="50" t="s">
        <v>13934</v>
      </c>
      <c r="CI340" s="50" t="s">
        <v>13935</v>
      </c>
      <c r="CK340" s="50" t="s">
        <v>2532</v>
      </c>
      <c r="CL340" s="50" t="s">
        <v>13935</v>
      </c>
      <c r="CM340" s="50" t="s">
        <v>2258</v>
      </c>
      <c r="CN340" s="50" t="s">
        <v>2273</v>
      </c>
      <c r="CO340" s="50" t="s">
        <v>2532</v>
      </c>
      <c r="CQ340" s="50" t="s">
        <v>13936</v>
      </c>
      <c r="CR340" s="50" t="s">
        <v>13936</v>
      </c>
      <c r="CS340" s="50" t="s">
        <v>26042</v>
      </c>
    </row>
    <row r="341" spans="1:97" hidden="1">
      <c r="A341" s="50" t="s">
        <v>337</v>
      </c>
      <c r="B341" s="50">
        <v>5016446</v>
      </c>
      <c r="C341" s="50" t="e">
        <f>VLOOKUP(B341,'Drop schools 2026'!B:C,2,0)</f>
        <v>#N/A</v>
      </c>
      <c r="D341" s="50" t="s">
        <v>212</v>
      </c>
      <c r="E341" s="50" t="s">
        <v>418</v>
      </c>
      <c r="F341" s="50" t="s">
        <v>18863</v>
      </c>
      <c r="G341" s="50" t="e">
        <f>VLOOKUP(B341,aa!B:F,5,0)</f>
        <v>#N/A</v>
      </c>
      <c r="H341" s="50" t="e">
        <f>VLOOKUP(B341,aa!B:J,9,0)</f>
        <v>#N/A</v>
      </c>
      <c r="I341" s="50" t="e">
        <f>VLOOKUP(B341,aa!B:L,11,0)</f>
        <v>#N/A</v>
      </c>
      <c r="J341" s="50" t="e">
        <f>VLOOKUP(B341,aa!B:O,14,0)</f>
        <v>#N/A</v>
      </c>
      <c r="K341" s="50" t="e">
        <f>VLOOKUP(B341,aa!B:R,17,0)</f>
        <v>#N/A</v>
      </c>
      <c r="L341" s="50" t="s">
        <v>848</v>
      </c>
      <c r="M341" s="50">
        <v>432390</v>
      </c>
      <c r="N341" s="50">
        <v>510220</v>
      </c>
      <c r="O341" s="50">
        <v>0</v>
      </c>
      <c r="P341" s="50">
        <v>0</v>
      </c>
      <c r="R341" s="50">
        <v>0</v>
      </c>
      <c r="S341" s="50">
        <v>0</v>
      </c>
      <c r="U341" s="50">
        <v>432390</v>
      </c>
      <c r="V341" s="50">
        <v>188</v>
      </c>
      <c r="W341" s="50" t="s">
        <v>12188</v>
      </c>
      <c r="X341" s="50" t="s">
        <v>102</v>
      </c>
      <c r="Y341" s="50" t="s">
        <v>103</v>
      </c>
      <c r="Z341" s="50" t="s">
        <v>104</v>
      </c>
      <c r="AB341" s="50" t="s">
        <v>11948</v>
      </c>
      <c r="AC341" s="50" t="s">
        <v>18864</v>
      </c>
      <c r="AD341" s="50" t="s">
        <v>13034</v>
      </c>
      <c r="AE341" s="50" t="s">
        <v>18864</v>
      </c>
      <c r="AF341" s="50" t="s">
        <v>109</v>
      </c>
      <c r="AG341" s="50" t="s">
        <v>102</v>
      </c>
      <c r="AH341" s="50" t="s">
        <v>109</v>
      </c>
      <c r="AI341" s="50" t="s">
        <v>102</v>
      </c>
      <c r="AJ341" s="50" t="s">
        <v>18865</v>
      </c>
      <c r="AK341" s="50" t="s">
        <v>8488</v>
      </c>
      <c r="AL341" s="50" t="s">
        <v>16162</v>
      </c>
      <c r="AM341" s="50" t="s">
        <v>18866</v>
      </c>
      <c r="AN341" s="50" t="s">
        <v>18867</v>
      </c>
      <c r="AO341" s="50" t="s">
        <v>18868</v>
      </c>
      <c r="AP341" s="50" t="s">
        <v>18869</v>
      </c>
      <c r="AQ341" s="50" t="s">
        <v>18869</v>
      </c>
      <c r="AV341" s="50" t="s">
        <v>102</v>
      </c>
      <c r="AX341" s="50" t="s">
        <v>102</v>
      </c>
      <c r="AY341" s="50" t="s">
        <v>119</v>
      </c>
      <c r="BB341" s="50" t="s">
        <v>250</v>
      </c>
      <c r="BC341" s="50" t="s">
        <v>120</v>
      </c>
      <c r="BD341" s="50" t="s">
        <v>409</v>
      </c>
      <c r="BE341" s="50" t="s">
        <v>410</v>
      </c>
      <c r="BF341" s="50" t="s">
        <v>212</v>
      </c>
      <c r="BG341" s="50" t="s">
        <v>410</v>
      </c>
      <c r="BH341" s="50" t="s">
        <v>124</v>
      </c>
      <c r="BI341" s="50" t="s">
        <v>13680</v>
      </c>
      <c r="BJ341" s="50" t="s">
        <v>12047</v>
      </c>
      <c r="BK341" s="50" t="s">
        <v>127</v>
      </c>
      <c r="BL341" s="50" t="s">
        <v>18870</v>
      </c>
      <c r="BM341" s="50" t="s">
        <v>18871</v>
      </c>
      <c r="BN341" s="50" t="s">
        <v>18872</v>
      </c>
      <c r="BO341" s="50" t="s">
        <v>11938</v>
      </c>
      <c r="BP341" s="50" t="s">
        <v>1699</v>
      </c>
      <c r="BQ341" s="50" t="s">
        <v>132</v>
      </c>
      <c r="BR341" s="50" t="s">
        <v>1700</v>
      </c>
      <c r="BS341" s="50" t="s">
        <v>1701</v>
      </c>
      <c r="BT341" s="50" t="s">
        <v>1702</v>
      </c>
      <c r="BV341" s="50" t="s">
        <v>18873</v>
      </c>
      <c r="BW341" s="50" t="s">
        <v>18874</v>
      </c>
      <c r="BX341" s="50" t="s">
        <v>138</v>
      </c>
      <c r="BY341" s="50" t="s">
        <v>18875</v>
      </c>
      <c r="BZ341" s="50" t="s">
        <v>18876</v>
      </c>
      <c r="CA341" s="50" t="s">
        <v>18877</v>
      </c>
      <c r="CB341" s="50" t="s">
        <v>18878</v>
      </c>
      <c r="CC341" s="50" t="s">
        <v>18875</v>
      </c>
      <c r="CD341" s="50" t="s">
        <v>18876</v>
      </c>
      <c r="CE341" s="50" t="s">
        <v>18878</v>
      </c>
      <c r="CF341" s="50" t="s">
        <v>18875</v>
      </c>
      <c r="CG341" s="50" t="s">
        <v>18876</v>
      </c>
      <c r="CH341" s="50" t="s">
        <v>2270</v>
      </c>
      <c r="CI341" s="50" t="s">
        <v>18879</v>
      </c>
      <c r="CK341" s="50" t="s">
        <v>18880</v>
      </c>
      <c r="CL341" s="50" t="s">
        <v>18879</v>
      </c>
      <c r="CM341" s="50" t="s">
        <v>409</v>
      </c>
      <c r="CN341" s="50" t="s">
        <v>410</v>
      </c>
      <c r="CO341" s="50" t="s">
        <v>18880</v>
      </c>
      <c r="CP341" s="50" t="s">
        <v>18881</v>
      </c>
      <c r="CQ341" s="50" t="s">
        <v>18882</v>
      </c>
      <c r="CR341" s="50" t="s">
        <v>18882</v>
      </c>
      <c r="CS341" s="50" t="s">
        <v>26047</v>
      </c>
    </row>
    <row r="342" spans="1:97" hidden="1">
      <c r="A342" s="50" t="s">
        <v>149</v>
      </c>
      <c r="B342" s="50">
        <v>1879439</v>
      </c>
      <c r="C342" s="50" t="e">
        <f>VLOOKUP(B342,'Drop schools 2026'!B:C,2,0)</f>
        <v>#N/A</v>
      </c>
      <c r="D342" s="50" t="s">
        <v>212</v>
      </c>
      <c r="E342" s="50" t="s">
        <v>11947</v>
      </c>
      <c r="F342" s="50" t="s">
        <v>2138</v>
      </c>
      <c r="G342" s="50" t="str">
        <f>VLOOKUP(B342,aa!B:F,5,0)</f>
        <v>Ei ASSET</v>
      </c>
      <c r="H342" s="50">
        <f>VLOOKUP(B342,aa!B:J,9,0)</f>
        <v>447253</v>
      </c>
      <c r="I342" s="50">
        <f>VLOOKUP(B342,aa!B:L,11,0)</f>
        <v>447253</v>
      </c>
      <c r="J342" s="50">
        <f>VLOOKUP(B342,aa!B:O,14,0)</f>
        <v>0</v>
      </c>
      <c r="K342" s="50">
        <f>VLOOKUP(B342,aa!B:R,17,0)</f>
        <v>0</v>
      </c>
      <c r="L342" s="50" t="s">
        <v>193</v>
      </c>
      <c r="M342" s="50">
        <v>431637</v>
      </c>
      <c r="N342" s="50">
        <v>431637</v>
      </c>
      <c r="O342" s="50">
        <v>431637</v>
      </c>
      <c r="P342" s="50">
        <v>489</v>
      </c>
      <c r="Q342" s="50" t="s">
        <v>13091</v>
      </c>
      <c r="R342" s="50">
        <v>0</v>
      </c>
      <c r="S342" s="50">
        <v>0</v>
      </c>
      <c r="U342" s="50">
        <v>0</v>
      </c>
      <c r="V342" s="50">
        <v>210</v>
      </c>
      <c r="W342" s="50" t="s">
        <v>102</v>
      </c>
      <c r="X342" s="50" t="s">
        <v>102</v>
      </c>
      <c r="Y342" s="50" t="s">
        <v>275</v>
      </c>
      <c r="AA342" s="50" t="s">
        <v>13092</v>
      </c>
      <c r="AB342" s="50" t="s">
        <v>109</v>
      </c>
      <c r="AC342" s="50" t="s">
        <v>102</v>
      </c>
      <c r="AD342" s="50" t="s">
        <v>109</v>
      </c>
      <c r="AE342" s="50" t="s">
        <v>102</v>
      </c>
      <c r="AF342" s="50" t="s">
        <v>109</v>
      </c>
      <c r="AG342" s="50" t="s">
        <v>102</v>
      </c>
      <c r="AH342" s="50" t="s">
        <v>109</v>
      </c>
      <c r="AI342" s="50" t="s">
        <v>102</v>
      </c>
      <c r="AJ342" s="50" t="s">
        <v>13093</v>
      </c>
      <c r="AK342" s="50" t="s">
        <v>11300</v>
      </c>
      <c r="AL342" s="50" t="s">
        <v>11300</v>
      </c>
      <c r="AM342" s="50" t="s">
        <v>13094</v>
      </c>
      <c r="AN342" s="50" t="s">
        <v>13095</v>
      </c>
      <c r="AO342" s="50" t="s">
        <v>102</v>
      </c>
      <c r="AP342" s="50" t="s">
        <v>13096</v>
      </c>
      <c r="AQ342" s="50" t="s">
        <v>13096</v>
      </c>
      <c r="AV342" s="50" t="s">
        <v>207</v>
      </c>
      <c r="AW342" s="50" t="s">
        <v>118</v>
      </c>
      <c r="AX342" s="50" t="s">
        <v>102</v>
      </c>
      <c r="AY342" s="50" t="s">
        <v>119</v>
      </c>
      <c r="BB342" s="50" t="s">
        <v>250</v>
      </c>
      <c r="BC342" s="50" t="s">
        <v>209</v>
      </c>
      <c r="BD342" s="50" t="s">
        <v>920</v>
      </c>
      <c r="BE342" s="50" t="s">
        <v>211</v>
      </c>
      <c r="BF342" s="50" t="s">
        <v>212</v>
      </c>
      <c r="BG342" s="50" t="s">
        <v>213</v>
      </c>
      <c r="BH342" s="50" t="s">
        <v>124</v>
      </c>
      <c r="BI342" s="50" t="s">
        <v>11959</v>
      </c>
      <c r="BJ342" s="50" t="s">
        <v>11960</v>
      </c>
      <c r="BK342" s="50" t="s">
        <v>127</v>
      </c>
      <c r="BL342" s="50" t="s">
        <v>13097</v>
      </c>
      <c r="BM342" s="50" t="s">
        <v>2149</v>
      </c>
      <c r="BN342" s="50" t="s">
        <v>13098</v>
      </c>
      <c r="BO342" s="50" t="s">
        <v>13090</v>
      </c>
      <c r="BP342" s="50" t="s">
        <v>13099</v>
      </c>
      <c r="BQ342" s="50" t="s">
        <v>180</v>
      </c>
      <c r="BR342" s="50" t="s">
        <v>13100</v>
      </c>
      <c r="BS342" s="50" t="s">
        <v>13101</v>
      </c>
      <c r="BT342" s="50" t="s">
        <v>2151</v>
      </c>
      <c r="BV342" s="50" t="s">
        <v>13102</v>
      </c>
      <c r="BW342" s="50" t="s">
        <v>13103</v>
      </c>
      <c r="BX342" s="50" t="s">
        <v>9092</v>
      </c>
      <c r="BY342" s="50" t="s">
        <v>13104</v>
      </c>
      <c r="BZ342" s="50" t="s">
        <v>13105</v>
      </c>
      <c r="CA342" s="50" t="s">
        <v>2156</v>
      </c>
      <c r="CB342" s="50" t="s">
        <v>13106</v>
      </c>
      <c r="CC342" s="50" t="s">
        <v>13107</v>
      </c>
      <c r="CD342" s="50" t="s">
        <v>13108</v>
      </c>
      <c r="CE342" s="50" t="s">
        <v>13103</v>
      </c>
      <c r="CF342" s="50" t="s">
        <v>13104</v>
      </c>
      <c r="CG342" s="50" t="s">
        <v>13108</v>
      </c>
      <c r="CH342" s="50" t="s">
        <v>102</v>
      </c>
      <c r="CI342" s="50" t="s">
        <v>2159</v>
      </c>
      <c r="CK342" s="50" t="s">
        <v>2160</v>
      </c>
      <c r="CM342" s="50" t="s">
        <v>920</v>
      </c>
      <c r="CN342" s="50" t="s">
        <v>211</v>
      </c>
      <c r="CO342" s="50" t="s">
        <v>2160</v>
      </c>
      <c r="CP342" s="50" t="s">
        <v>2161</v>
      </c>
      <c r="CQ342" s="50" t="s">
        <v>2159</v>
      </c>
      <c r="CR342" s="50" t="s">
        <v>2159</v>
      </c>
    </row>
    <row r="343" spans="1:97" hidden="1">
      <c r="A343" s="50" t="s">
        <v>149</v>
      </c>
      <c r="B343" s="50">
        <v>2104860</v>
      </c>
      <c r="C343" s="50" t="str">
        <f>VLOOKUP(B343,'Drop schools 2026'!B:C,2,0)</f>
        <v>Drop</v>
      </c>
      <c r="D343" s="50" t="s">
        <v>212</v>
      </c>
      <c r="E343" s="50" t="s">
        <v>418</v>
      </c>
      <c r="F343" s="50" t="s">
        <v>2697</v>
      </c>
      <c r="G343" s="50" t="e">
        <f>VLOOKUP(B343,aa!B:F,5,0)</f>
        <v>#N/A</v>
      </c>
      <c r="H343" s="50" t="e">
        <f>VLOOKUP(B343,aa!B:J,9,0)</f>
        <v>#N/A</v>
      </c>
      <c r="I343" s="50" t="e">
        <f>VLOOKUP(B343,aa!B:L,11,0)</f>
        <v>#N/A</v>
      </c>
      <c r="J343" s="50" t="e">
        <f>VLOOKUP(B343,aa!B:O,14,0)</f>
        <v>#N/A</v>
      </c>
      <c r="K343" s="50" t="e">
        <f>VLOOKUP(B343,aa!B:R,17,0)</f>
        <v>#N/A</v>
      </c>
      <c r="L343" s="50" t="s">
        <v>152</v>
      </c>
      <c r="M343" s="50">
        <v>430441</v>
      </c>
      <c r="N343" s="50">
        <v>430441</v>
      </c>
      <c r="O343" s="50">
        <v>0</v>
      </c>
      <c r="P343" s="50">
        <v>0</v>
      </c>
      <c r="R343" s="50">
        <v>430441</v>
      </c>
      <c r="S343" s="50">
        <v>246</v>
      </c>
      <c r="T343" s="50" t="s">
        <v>1376</v>
      </c>
      <c r="U343" s="50">
        <v>0</v>
      </c>
      <c r="V343" s="50">
        <v>0</v>
      </c>
      <c r="X343" s="50" t="s">
        <v>102</v>
      </c>
      <c r="Y343" s="50" t="s">
        <v>103</v>
      </c>
      <c r="Z343" s="50" t="s">
        <v>155</v>
      </c>
      <c r="AB343" s="50" t="s">
        <v>12541</v>
      </c>
      <c r="AC343" s="50" t="s">
        <v>13541</v>
      </c>
      <c r="AD343" s="50" t="s">
        <v>12289</v>
      </c>
      <c r="AE343" s="50" t="s">
        <v>13541</v>
      </c>
      <c r="AF343" s="50" t="s">
        <v>12084</v>
      </c>
      <c r="AG343" s="50" t="s">
        <v>13541</v>
      </c>
      <c r="AH343" s="50" t="s">
        <v>11886</v>
      </c>
      <c r="AI343" s="50" t="s">
        <v>13541</v>
      </c>
      <c r="AJ343" s="50" t="s">
        <v>13542</v>
      </c>
      <c r="AK343" s="50" t="s">
        <v>12695</v>
      </c>
      <c r="AL343" s="50" t="s">
        <v>12696</v>
      </c>
      <c r="AM343" s="50" t="s">
        <v>13543</v>
      </c>
      <c r="AN343" s="50" t="s">
        <v>13544</v>
      </c>
      <c r="AO343" s="50" t="s">
        <v>13545</v>
      </c>
      <c r="AP343" s="50" t="s">
        <v>1383</v>
      </c>
      <c r="AQ343" s="50" t="s">
        <v>1383</v>
      </c>
      <c r="AV343" s="50" t="s">
        <v>102</v>
      </c>
      <c r="AX343" s="50" t="s">
        <v>1384</v>
      </c>
      <c r="AY343" s="50" t="s">
        <v>119</v>
      </c>
      <c r="BA343" s="50" t="s">
        <v>250</v>
      </c>
      <c r="BC343" s="50" t="s">
        <v>120</v>
      </c>
      <c r="BD343" s="50" t="s">
        <v>2704</v>
      </c>
      <c r="BE343" s="50" t="s">
        <v>410</v>
      </c>
      <c r="BF343" s="50" t="s">
        <v>212</v>
      </c>
      <c r="BG343" s="50" t="s">
        <v>410</v>
      </c>
      <c r="BH343" s="50" t="s">
        <v>124</v>
      </c>
      <c r="BI343" s="50" t="s">
        <v>12128</v>
      </c>
      <c r="BJ343" s="50" t="s">
        <v>11960</v>
      </c>
      <c r="BK343" s="50" t="s">
        <v>127</v>
      </c>
      <c r="BL343" s="50" t="s">
        <v>13546</v>
      </c>
      <c r="BM343" s="50" t="s">
        <v>2706</v>
      </c>
      <c r="BN343" s="50" t="s">
        <v>13547</v>
      </c>
      <c r="BO343" s="50" t="s">
        <v>11938</v>
      </c>
      <c r="BP343" s="50" t="s">
        <v>866</v>
      </c>
      <c r="BQ343" s="50" t="s">
        <v>132</v>
      </c>
      <c r="BR343" s="50" t="s">
        <v>867</v>
      </c>
      <c r="BS343" s="50" t="s">
        <v>868</v>
      </c>
      <c r="BT343" s="50" t="s">
        <v>418</v>
      </c>
      <c r="BV343" s="50" t="s">
        <v>13548</v>
      </c>
      <c r="BW343" s="50" t="s">
        <v>12703</v>
      </c>
      <c r="BY343" s="50" t="s">
        <v>1391</v>
      </c>
      <c r="BZ343" s="50" t="s">
        <v>12704</v>
      </c>
      <c r="CA343" s="50" t="s">
        <v>1391</v>
      </c>
      <c r="CB343" s="50" t="s">
        <v>13549</v>
      </c>
      <c r="CC343" s="50" t="s">
        <v>13550</v>
      </c>
      <c r="CD343" s="50" t="s">
        <v>12704</v>
      </c>
      <c r="CE343" s="50" t="s">
        <v>13551</v>
      </c>
      <c r="CF343" s="50" t="s">
        <v>13552</v>
      </c>
      <c r="CG343" s="50" t="s">
        <v>12704</v>
      </c>
      <c r="CH343" s="50" t="s">
        <v>102</v>
      </c>
      <c r="CI343" s="50" t="s">
        <v>2709</v>
      </c>
      <c r="CK343" s="50" t="s">
        <v>2710</v>
      </c>
      <c r="CM343" s="50" t="s">
        <v>2704</v>
      </c>
      <c r="CN343" s="50" t="s">
        <v>1711</v>
      </c>
      <c r="CO343" s="50" t="s">
        <v>2710</v>
      </c>
      <c r="CP343" s="50" t="s">
        <v>1395</v>
      </c>
      <c r="CQ343" s="50" t="s">
        <v>2709</v>
      </c>
      <c r="CR343" s="50" t="s">
        <v>2709</v>
      </c>
      <c r="CS343" s="50" t="s">
        <v>26046</v>
      </c>
    </row>
    <row r="344" spans="1:97" hidden="1">
      <c r="A344" s="50" t="s">
        <v>337</v>
      </c>
      <c r="B344" s="50">
        <v>188264</v>
      </c>
      <c r="C344" s="50" t="e">
        <f>VLOOKUP(B344,'Drop schools 2026'!B:C,2,0)</f>
        <v>#N/A</v>
      </c>
      <c r="D344" s="50" t="s">
        <v>212</v>
      </c>
      <c r="E344" s="50" t="s">
        <v>418</v>
      </c>
      <c r="F344" s="50" t="s">
        <v>13124</v>
      </c>
      <c r="G344" s="50" t="e">
        <f>VLOOKUP(B344,aa!B:F,5,0)</f>
        <v>#N/A</v>
      </c>
      <c r="H344" s="50" t="e">
        <f>VLOOKUP(B344,aa!B:J,9,0)</f>
        <v>#N/A</v>
      </c>
      <c r="I344" s="50" t="e">
        <f>VLOOKUP(B344,aa!B:L,11,0)</f>
        <v>#N/A</v>
      </c>
      <c r="J344" s="50" t="e">
        <f>VLOOKUP(B344,aa!B:O,14,0)</f>
        <v>#N/A</v>
      </c>
      <c r="K344" s="50" t="e">
        <f>VLOOKUP(B344,aa!B:R,17,0)</f>
        <v>#N/A</v>
      </c>
      <c r="L344" s="50" t="s">
        <v>97</v>
      </c>
      <c r="M344" s="50">
        <v>428534</v>
      </c>
      <c r="N344" s="50">
        <v>428534</v>
      </c>
      <c r="O344" s="50">
        <v>428534</v>
      </c>
      <c r="P344" s="50">
        <v>857</v>
      </c>
      <c r="Q344" s="50" t="s">
        <v>364</v>
      </c>
      <c r="R344" s="50">
        <v>0</v>
      </c>
      <c r="S344" s="50">
        <v>0</v>
      </c>
      <c r="U344" s="50">
        <v>0</v>
      </c>
      <c r="V344" s="50">
        <v>0</v>
      </c>
      <c r="X344" s="50" t="s">
        <v>102</v>
      </c>
      <c r="Y344" s="50" t="s">
        <v>103</v>
      </c>
      <c r="Z344" s="50" t="s">
        <v>104</v>
      </c>
      <c r="AB344" s="50" t="s">
        <v>6341</v>
      </c>
      <c r="AC344" s="50" t="s">
        <v>13125</v>
      </c>
      <c r="AD344" s="50" t="s">
        <v>411</v>
      </c>
      <c r="AE344" s="50" t="s">
        <v>13126</v>
      </c>
      <c r="AF344" s="50" t="s">
        <v>109</v>
      </c>
      <c r="AG344" s="50" t="s">
        <v>102</v>
      </c>
      <c r="AH344" s="50" t="s">
        <v>109</v>
      </c>
      <c r="AI344" s="50" t="s">
        <v>102</v>
      </c>
      <c r="AJ344" s="50" t="s">
        <v>13127</v>
      </c>
      <c r="AK344" s="50" t="s">
        <v>6341</v>
      </c>
      <c r="AL344" s="50" t="s">
        <v>6341</v>
      </c>
      <c r="AM344" s="50" t="s">
        <v>13128</v>
      </c>
      <c r="AN344" s="50" t="s">
        <v>13129</v>
      </c>
      <c r="AO344" s="50" t="s">
        <v>13130</v>
      </c>
      <c r="AP344" s="50" t="s">
        <v>1785</v>
      </c>
      <c r="AQ344" s="50" t="s">
        <v>1785</v>
      </c>
      <c r="AV344" s="50" t="s">
        <v>318</v>
      </c>
      <c r="AW344" s="50" t="s">
        <v>250</v>
      </c>
      <c r="AX344" s="50" t="s">
        <v>102</v>
      </c>
      <c r="AY344" s="50" t="s">
        <v>119</v>
      </c>
      <c r="BC344" s="50" t="s">
        <v>120</v>
      </c>
      <c r="BD344" s="50" t="s">
        <v>409</v>
      </c>
      <c r="BE344" s="50" t="s">
        <v>410</v>
      </c>
      <c r="BF344" s="50" t="s">
        <v>212</v>
      </c>
      <c r="BG344" s="50" t="s">
        <v>410</v>
      </c>
      <c r="BH344" s="50" t="s">
        <v>124</v>
      </c>
      <c r="BI344" s="50" t="s">
        <v>6918</v>
      </c>
      <c r="BJ344" s="50" t="s">
        <v>13131</v>
      </c>
      <c r="BK344" s="50" t="s">
        <v>127</v>
      </c>
      <c r="BL344" s="50" t="s">
        <v>13132</v>
      </c>
      <c r="BM344" s="50" t="s">
        <v>13133</v>
      </c>
      <c r="BN344" s="50" t="s">
        <v>13134</v>
      </c>
      <c r="BO344" s="50" t="s">
        <v>4665</v>
      </c>
      <c r="BP344" s="50" t="s">
        <v>1699</v>
      </c>
      <c r="BQ344" s="50" t="s">
        <v>132</v>
      </c>
      <c r="BR344" s="50" t="s">
        <v>1700</v>
      </c>
      <c r="BS344" s="50" t="s">
        <v>1701</v>
      </c>
      <c r="BT344" s="50" t="s">
        <v>1702</v>
      </c>
      <c r="BV344" s="50" t="s">
        <v>13135</v>
      </c>
      <c r="BW344" s="50" t="s">
        <v>13136</v>
      </c>
      <c r="BX344" s="50" t="s">
        <v>598</v>
      </c>
      <c r="BY344" s="50" t="s">
        <v>13137</v>
      </c>
      <c r="BZ344" s="50" t="s">
        <v>13138</v>
      </c>
      <c r="CA344" s="50" t="s">
        <v>13137</v>
      </c>
      <c r="CB344" s="50" t="s">
        <v>13139</v>
      </c>
      <c r="CC344" s="50" t="s">
        <v>13137</v>
      </c>
      <c r="CD344" s="50" t="s">
        <v>13140</v>
      </c>
      <c r="CE344" s="50" t="s">
        <v>13141</v>
      </c>
      <c r="CF344" s="50" t="s">
        <v>13137</v>
      </c>
      <c r="CG344" s="50" t="s">
        <v>13138</v>
      </c>
      <c r="CH344" s="50" t="s">
        <v>4937</v>
      </c>
      <c r="CI344" s="50" t="s">
        <v>13142</v>
      </c>
      <c r="CK344" s="50" t="s">
        <v>428</v>
      </c>
      <c r="CL344" s="50" t="s">
        <v>13142</v>
      </c>
      <c r="CM344" s="50" t="s">
        <v>409</v>
      </c>
      <c r="CN344" s="50" t="s">
        <v>410</v>
      </c>
      <c r="CO344" s="50" t="s">
        <v>428</v>
      </c>
      <c r="CQ344" s="50" t="s">
        <v>13142</v>
      </c>
      <c r="CR344" s="50" t="s">
        <v>13142</v>
      </c>
      <c r="CS344" s="50" t="s">
        <v>26044</v>
      </c>
    </row>
    <row r="345" spans="1:97" hidden="1">
      <c r="A345" s="50" t="s">
        <v>149</v>
      </c>
      <c r="B345" s="50">
        <v>5015734</v>
      </c>
      <c r="C345" s="50" t="e">
        <f>VLOOKUP(B345,'Drop schools 2026'!B:C,2,0)</f>
        <v>#N/A</v>
      </c>
      <c r="D345" s="50" t="s">
        <v>622</v>
      </c>
      <c r="E345" s="50" t="s">
        <v>985</v>
      </c>
      <c r="F345" s="50" t="s">
        <v>9475</v>
      </c>
      <c r="G345" s="50" t="str">
        <f>VLOOKUP(B345,aa!B:F,5,0)</f>
        <v>Ei ASSET,Ei CARES,Ei Mindspark</v>
      </c>
      <c r="H345" s="50">
        <f>VLOOKUP(B345,aa!B:J,9,0)</f>
        <v>480522</v>
      </c>
      <c r="I345" s="50">
        <f>VLOOKUP(B345,aa!B:L,11,0)</f>
        <v>66393</v>
      </c>
      <c r="J345" s="50">
        <f>VLOOKUP(B345,aa!B:O,14,0)</f>
        <v>132787</v>
      </c>
      <c r="K345" s="50">
        <f>VLOOKUP(B345,aa!B:R,17,0)</f>
        <v>281342</v>
      </c>
      <c r="L345" s="50" t="s">
        <v>1746</v>
      </c>
      <c r="M345" s="50">
        <v>427858</v>
      </c>
      <c r="N345" s="50">
        <v>476296</v>
      </c>
      <c r="O345" s="50">
        <v>52920</v>
      </c>
      <c r="P345" s="50">
        <v>147</v>
      </c>
      <c r="Q345" s="50" t="s">
        <v>16964</v>
      </c>
      <c r="R345" s="50">
        <v>105840</v>
      </c>
      <c r="S345" s="50">
        <v>147</v>
      </c>
      <c r="T345" s="50" t="s">
        <v>995</v>
      </c>
      <c r="U345" s="50">
        <v>269098</v>
      </c>
      <c r="V345" s="50">
        <v>147</v>
      </c>
      <c r="W345" s="50" t="s">
        <v>18713</v>
      </c>
      <c r="X345" s="50" t="s">
        <v>102</v>
      </c>
      <c r="Y345" s="50" t="s">
        <v>103</v>
      </c>
      <c r="Z345" s="50" t="s">
        <v>398</v>
      </c>
      <c r="AB345" s="50" t="s">
        <v>411</v>
      </c>
      <c r="AC345" s="50" t="s">
        <v>18714</v>
      </c>
      <c r="AD345" s="50" t="s">
        <v>12888</v>
      </c>
      <c r="AE345" s="50" t="s">
        <v>18715</v>
      </c>
      <c r="AF345" s="50" t="s">
        <v>11886</v>
      </c>
      <c r="AG345" s="50" t="s">
        <v>18715</v>
      </c>
      <c r="AH345" s="50" t="s">
        <v>109</v>
      </c>
      <c r="AI345" s="50" t="s">
        <v>102</v>
      </c>
      <c r="AJ345" s="50" t="s">
        <v>102</v>
      </c>
      <c r="AK345" s="50" t="s">
        <v>11599</v>
      </c>
      <c r="AL345" s="50" t="s">
        <v>8060</v>
      </c>
      <c r="AM345" s="50" t="s">
        <v>18716</v>
      </c>
      <c r="AN345" s="50" t="s">
        <v>18717</v>
      </c>
      <c r="AO345" s="50" t="s">
        <v>18718</v>
      </c>
      <c r="AP345" s="50" t="s">
        <v>17879</v>
      </c>
      <c r="AQ345" s="50" t="s">
        <v>317</v>
      </c>
      <c r="AT345" s="50" t="s">
        <v>169</v>
      </c>
      <c r="AU345" s="50" t="s">
        <v>169</v>
      </c>
      <c r="AV345" s="50" t="s">
        <v>117</v>
      </c>
      <c r="AW345" s="50" t="s">
        <v>250</v>
      </c>
      <c r="AX345" s="50" t="s">
        <v>155</v>
      </c>
      <c r="AY345" s="50" t="s">
        <v>119</v>
      </c>
      <c r="BA345" s="50" t="s">
        <v>250</v>
      </c>
      <c r="BB345" s="50" t="s">
        <v>250</v>
      </c>
      <c r="BC345" s="50" t="s">
        <v>1242</v>
      </c>
      <c r="BD345" s="50" t="s">
        <v>9483</v>
      </c>
      <c r="BE345" s="50" t="s">
        <v>621</v>
      </c>
      <c r="BF345" s="50" t="s">
        <v>622</v>
      </c>
      <c r="BG345" s="50" t="s">
        <v>976</v>
      </c>
      <c r="BH345" s="50" t="s">
        <v>124</v>
      </c>
      <c r="BI345" s="50" t="s">
        <v>12023</v>
      </c>
      <c r="BJ345" s="50" t="s">
        <v>11889</v>
      </c>
      <c r="BK345" s="50" t="s">
        <v>127</v>
      </c>
      <c r="BL345" s="50" t="s">
        <v>18719</v>
      </c>
      <c r="BM345" s="50" t="s">
        <v>9485</v>
      </c>
      <c r="BN345" s="50" t="s">
        <v>18720</v>
      </c>
      <c r="BO345" s="50" t="s">
        <v>1305</v>
      </c>
      <c r="BP345" s="50" t="s">
        <v>350</v>
      </c>
      <c r="BQ345" s="50" t="s">
        <v>350</v>
      </c>
      <c r="BR345" s="50" t="s">
        <v>2440</v>
      </c>
      <c r="BS345" s="50" t="s">
        <v>18721</v>
      </c>
      <c r="BT345" s="50" t="s">
        <v>984</v>
      </c>
      <c r="BV345" s="50" t="s">
        <v>18722</v>
      </c>
      <c r="BW345" s="50" t="s">
        <v>9488</v>
      </c>
      <c r="BX345" s="50" t="s">
        <v>138</v>
      </c>
      <c r="BY345" s="50" t="s">
        <v>2440</v>
      </c>
      <c r="BZ345" s="50" t="s">
        <v>9490</v>
      </c>
      <c r="CA345" s="50" t="s">
        <v>9491</v>
      </c>
      <c r="CB345" s="50" t="s">
        <v>9488</v>
      </c>
      <c r="CC345" s="50" t="s">
        <v>18723</v>
      </c>
      <c r="CD345" s="50" t="s">
        <v>18724</v>
      </c>
      <c r="CE345" s="50" t="s">
        <v>9492</v>
      </c>
      <c r="CF345" s="50" t="s">
        <v>18725</v>
      </c>
      <c r="CG345" s="50" t="s">
        <v>9494</v>
      </c>
      <c r="CH345" s="50" t="s">
        <v>102</v>
      </c>
      <c r="CI345" s="50" t="s">
        <v>18726</v>
      </c>
      <c r="CK345" s="50" t="s">
        <v>9496</v>
      </c>
      <c r="CM345" s="50" t="s">
        <v>9483</v>
      </c>
      <c r="CN345" s="50" t="s">
        <v>621</v>
      </c>
      <c r="CO345" s="50" t="s">
        <v>9496</v>
      </c>
      <c r="CQ345" s="50" t="s">
        <v>9495</v>
      </c>
      <c r="CR345" s="50" t="s">
        <v>9495</v>
      </c>
    </row>
    <row r="346" spans="1:97" hidden="1">
      <c r="A346" s="50" t="s">
        <v>93</v>
      </c>
      <c r="B346" s="50">
        <v>3492029</v>
      </c>
      <c r="C346" s="50" t="e">
        <f>VLOOKUP(B346,'Drop schools 2026'!B:C,2,0)</f>
        <v>#N/A</v>
      </c>
      <c r="D346" s="50" t="s">
        <v>622</v>
      </c>
      <c r="E346" s="50" t="s">
        <v>3562</v>
      </c>
      <c r="F346" s="50" t="s">
        <v>6356</v>
      </c>
      <c r="G346" s="50" t="e">
        <f>VLOOKUP(B346,aa!B:F,5,0)</f>
        <v>#N/A</v>
      </c>
      <c r="H346" s="50" t="e">
        <f>VLOOKUP(B346,aa!B:J,9,0)</f>
        <v>#N/A</v>
      </c>
      <c r="I346" s="50" t="e">
        <f>VLOOKUP(B346,aa!B:L,11,0)</f>
        <v>#N/A</v>
      </c>
      <c r="J346" s="50" t="e">
        <f>VLOOKUP(B346,aa!B:O,14,0)</f>
        <v>#N/A</v>
      </c>
      <c r="K346" s="50" t="e">
        <f>VLOOKUP(B346,aa!B:R,17,0)</f>
        <v>#N/A</v>
      </c>
      <c r="L346" s="50" t="s">
        <v>848</v>
      </c>
      <c r="M346" s="50">
        <v>424631</v>
      </c>
      <c r="N346" s="50">
        <v>501065</v>
      </c>
      <c r="O346" s="50">
        <v>0</v>
      </c>
      <c r="P346" s="50">
        <v>0</v>
      </c>
      <c r="R346" s="50">
        <v>0</v>
      </c>
      <c r="S346" s="50">
        <v>0</v>
      </c>
      <c r="U346" s="50">
        <v>424631</v>
      </c>
      <c r="V346" s="50">
        <v>334</v>
      </c>
      <c r="W346" s="50" t="s">
        <v>850</v>
      </c>
      <c r="X346" s="50" t="s">
        <v>102</v>
      </c>
      <c r="Y346" s="50" t="s">
        <v>103</v>
      </c>
      <c r="Z346" s="50" t="s">
        <v>104</v>
      </c>
      <c r="AB346" s="50" t="s">
        <v>13033</v>
      </c>
      <c r="AC346" s="50" t="s">
        <v>16234</v>
      </c>
      <c r="AD346" s="50" t="s">
        <v>13863</v>
      </c>
      <c r="AE346" s="50" t="s">
        <v>16234</v>
      </c>
      <c r="AF346" s="50" t="s">
        <v>109</v>
      </c>
      <c r="AG346" s="50" t="s">
        <v>102</v>
      </c>
      <c r="AH346" s="50" t="s">
        <v>109</v>
      </c>
      <c r="AI346" s="50" t="s">
        <v>102</v>
      </c>
      <c r="AJ346" s="50" t="s">
        <v>102</v>
      </c>
      <c r="AK346" s="50" t="s">
        <v>10030</v>
      </c>
      <c r="AL346" s="50" t="s">
        <v>16235</v>
      </c>
      <c r="AM346" s="50" t="s">
        <v>16236</v>
      </c>
      <c r="AN346" s="50" t="s">
        <v>16237</v>
      </c>
      <c r="AO346" s="50" t="s">
        <v>16238</v>
      </c>
      <c r="AP346" s="50" t="s">
        <v>1785</v>
      </c>
      <c r="AQ346" s="50" t="s">
        <v>3305</v>
      </c>
      <c r="AU346" s="50" t="s">
        <v>169</v>
      </c>
      <c r="AV346" s="50" t="s">
        <v>102</v>
      </c>
      <c r="AX346" s="50" t="s">
        <v>102</v>
      </c>
      <c r="AY346" s="50" t="s">
        <v>119</v>
      </c>
      <c r="BB346" s="50" t="s">
        <v>250</v>
      </c>
      <c r="BC346" s="50" t="s">
        <v>209</v>
      </c>
      <c r="BD346" s="50" t="s">
        <v>1729</v>
      </c>
      <c r="BE346" s="50" t="s">
        <v>730</v>
      </c>
      <c r="BF346" s="50" t="s">
        <v>622</v>
      </c>
      <c r="BG346" s="50" t="s">
        <v>730</v>
      </c>
      <c r="BH346" s="50" t="s">
        <v>124</v>
      </c>
      <c r="BI346" s="50" t="s">
        <v>11976</v>
      </c>
      <c r="BJ346" s="50" t="s">
        <v>11889</v>
      </c>
      <c r="BK346" s="50" t="s">
        <v>127</v>
      </c>
      <c r="BL346" s="50" t="s">
        <v>16239</v>
      </c>
      <c r="BM346" s="50" t="s">
        <v>6363</v>
      </c>
      <c r="BN346" s="50" t="s">
        <v>16240</v>
      </c>
      <c r="BO346" s="50" t="s">
        <v>15421</v>
      </c>
      <c r="BP346" s="50" t="s">
        <v>3910</v>
      </c>
      <c r="BQ346" s="50" t="s">
        <v>350</v>
      </c>
      <c r="BR346" s="50" t="s">
        <v>3911</v>
      </c>
      <c r="BS346" s="50" t="s">
        <v>3912</v>
      </c>
      <c r="BT346" s="50" t="s">
        <v>2569</v>
      </c>
      <c r="BV346" s="50" t="s">
        <v>16241</v>
      </c>
      <c r="BW346" s="50" t="s">
        <v>6366</v>
      </c>
      <c r="BX346" s="50" t="s">
        <v>354</v>
      </c>
      <c r="BY346" s="50" t="s">
        <v>16242</v>
      </c>
      <c r="BZ346" s="50" t="s">
        <v>6368</v>
      </c>
      <c r="CA346" s="50" t="s">
        <v>6369</v>
      </c>
      <c r="CB346" s="50" t="s">
        <v>16243</v>
      </c>
      <c r="CC346" s="50" t="s">
        <v>16244</v>
      </c>
      <c r="CD346" s="50" t="s">
        <v>16245</v>
      </c>
      <c r="CE346" s="50" t="s">
        <v>16246</v>
      </c>
      <c r="CF346" s="50" t="s">
        <v>16244</v>
      </c>
      <c r="CG346" s="50" t="s">
        <v>16247</v>
      </c>
      <c r="CH346" s="50" t="s">
        <v>6370</v>
      </c>
      <c r="CI346" s="50" t="s">
        <v>16248</v>
      </c>
      <c r="CK346" s="50" t="s">
        <v>6372</v>
      </c>
      <c r="CL346" s="50" t="s">
        <v>16249</v>
      </c>
      <c r="CM346" s="50" t="s">
        <v>1729</v>
      </c>
      <c r="CN346" s="50" t="s">
        <v>730</v>
      </c>
      <c r="CO346" s="50" t="s">
        <v>6372</v>
      </c>
      <c r="CQ346" s="50" t="s">
        <v>6373</v>
      </c>
      <c r="CR346" s="50" t="s">
        <v>6371</v>
      </c>
      <c r="CS346" s="50" t="s">
        <v>26047</v>
      </c>
    </row>
    <row r="347" spans="1:97" hidden="1">
      <c r="A347" s="50" t="s">
        <v>93</v>
      </c>
      <c r="B347" s="50">
        <v>177663</v>
      </c>
      <c r="C347" s="50" t="e">
        <f>VLOOKUP(B347,'Drop schools 2026'!B:C,2,0)</f>
        <v>#N/A</v>
      </c>
      <c r="D347" s="50" t="s">
        <v>174</v>
      </c>
      <c r="E347" s="50" t="s">
        <v>12096</v>
      </c>
      <c r="F347" s="50" t="s">
        <v>1813</v>
      </c>
      <c r="G347" s="50" t="str">
        <f>VLOOKUP(B347,aa!B:F,5,0)</f>
        <v>Ei ASSET</v>
      </c>
      <c r="H347" s="50">
        <f>VLOOKUP(B347,aa!B:J,9,0)</f>
        <v>565587</v>
      </c>
      <c r="I347" s="50">
        <f>VLOOKUP(B347,aa!B:L,11,0)</f>
        <v>565587</v>
      </c>
      <c r="J347" s="50">
        <f>VLOOKUP(B347,aa!B:O,14,0)</f>
        <v>0</v>
      </c>
      <c r="K347" s="50">
        <f>VLOOKUP(B347,aa!B:R,17,0)</f>
        <v>0</v>
      </c>
      <c r="L347" s="50" t="s">
        <v>97</v>
      </c>
      <c r="M347" s="50">
        <v>424500</v>
      </c>
      <c r="N347" s="50">
        <v>424500</v>
      </c>
      <c r="O347" s="50">
        <v>424500</v>
      </c>
      <c r="P347" s="50">
        <v>566</v>
      </c>
      <c r="Q347" s="50" t="s">
        <v>101</v>
      </c>
      <c r="R347" s="50">
        <v>0</v>
      </c>
      <c r="S347" s="50">
        <v>0</v>
      </c>
      <c r="U347" s="50">
        <v>0</v>
      </c>
      <c r="V347" s="50">
        <v>0</v>
      </c>
      <c r="X347" s="50" t="s">
        <v>102</v>
      </c>
      <c r="Y347" s="50" t="s">
        <v>103</v>
      </c>
      <c r="Z347" s="50" t="s">
        <v>398</v>
      </c>
      <c r="AB347" s="50" t="s">
        <v>6341</v>
      </c>
      <c r="AC347" s="50" t="s">
        <v>12922</v>
      </c>
      <c r="AD347" s="50" t="s">
        <v>12923</v>
      </c>
      <c r="AE347" s="50" t="s">
        <v>12922</v>
      </c>
      <c r="AF347" s="50" t="s">
        <v>12467</v>
      </c>
      <c r="AG347" s="50" t="s">
        <v>12924</v>
      </c>
      <c r="AH347" s="50" t="s">
        <v>109</v>
      </c>
      <c r="AI347" s="50" t="s">
        <v>102</v>
      </c>
      <c r="AJ347" s="50" t="s">
        <v>12925</v>
      </c>
      <c r="AK347" s="50" t="s">
        <v>12926</v>
      </c>
      <c r="AL347" s="50" t="s">
        <v>12927</v>
      </c>
      <c r="AM347" s="50" t="s">
        <v>12928</v>
      </c>
      <c r="AN347" s="50" t="s">
        <v>12929</v>
      </c>
      <c r="AO347" s="50" t="s">
        <v>12930</v>
      </c>
      <c r="AP347" s="50" t="s">
        <v>116</v>
      </c>
      <c r="AQ347" s="50" t="s">
        <v>116</v>
      </c>
      <c r="AV347" s="50" t="s">
        <v>318</v>
      </c>
      <c r="AW347" s="50" t="s">
        <v>118</v>
      </c>
      <c r="AX347" s="50" t="s">
        <v>102</v>
      </c>
      <c r="AY347" s="50" t="s">
        <v>119</v>
      </c>
      <c r="BC347" s="50" t="s">
        <v>171</v>
      </c>
      <c r="BD347" s="50" t="s">
        <v>375</v>
      </c>
      <c r="BE347" s="50" t="s">
        <v>376</v>
      </c>
      <c r="BF347" s="50" t="s">
        <v>174</v>
      </c>
      <c r="BG347" s="50" t="s">
        <v>376</v>
      </c>
      <c r="BH347" s="50" t="s">
        <v>124</v>
      </c>
      <c r="BI347" s="50" t="s">
        <v>11959</v>
      </c>
      <c r="BJ347" s="50" t="s">
        <v>12931</v>
      </c>
      <c r="BK347" s="50" t="s">
        <v>127</v>
      </c>
      <c r="BL347" s="50" t="s">
        <v>12932</v>
      </c>
      <c r="BM347" s="50" t="s">
        <v>1829</v>
      </c>
      <c r="BN347" s="50" t="s">
        <v>12933</v>
      </c>
      <c r="BO347" s="50" t="s">
        <v>4665</v>
      </c>
      <c r="BP347" s="50" t="s">
        <v>12934</v>
      </c>
      <c r="BQ347" s="50" t="s">
        <v>180</v>
      </c>
      <c r="BR347" s="50" t="s">
        <v>12935</v>
      </c>
      <c r="BS347" s="50" t="s">
        <v>12936</v>
      </c>
      <c r="BT347" s="50" t="s">
        <v>1834</v>
      </c>
      <c r="BV347" s="50" t="s">
        <v>12937</v>
      </c>
      <c r="BW347" s="50" t="s">
        <v>12938</v>
      </c>
      <c r="BX347" s="50" t="s">
        <v>138</v>
      </c>
      <c r="BY347" s="50" t="s">
        <v>1839</v>
      </c>
      <c r="BZ347" s="50" t="s">
        <v>1838</v>
      </c>
      <c r="CA347" s="50" t="s">
        <v>1839</v>
      </c>
      <c r="CB347" s="50" t="s">
        <v>12939</v>
      </c>
      <c r="CC347" s="50" t="s">
        <v>1839</v>
      </c>
      <c r="CD347" s="50" t="s">
        <v>1838</v>
      </c>
      <c r="CE347" s="50" t="s">
        <v>12940</v>
      </c>
      <c r="CF347" s="50" t="s">
        <v>1839</v>
      </c>
      <c r="CG347" s="50" t="s">
        <v>12941</v>
      </c>
      <c r="CH347" s="50" t="s">
        <v>334</v>
      </c>
      <c r="CI347" s="50" t="s">
        <v>1841</v>
      </c>
      <c r="CK347" s="50" t="s">
        <v>1842</v>
      </c>
      <c r="CL347" s="50" t="s">
        <v>1841</v>
      </c>
      <c r="CM347" s="50" t="s">
        <v>375</v>
      </c>
      <c r="CN347" s="50" t="s">
        <v>376</v>
      </c>
      <c r="CO347" s="50" t="s">
        <v>1842</v>
      </c>
      <c r="CP347" s="50" t="s">
        <v>1843</v>
      </c>
      <c r="CQ347" s="50" t="s">
        <v>1841</v>
      </c>
      <c r="CR347" s="50" t="s">
        <v>1841</v>
      </c>
    </row>
    <row r="348" spans="1:97" hidden="1">
      <c r="A348" s="50" t="s">
        <v>149</v>
      </c>
      <c r="B348" s="50">
        <v>3459074</v>
      </c>
      <c r="C348" s="50" t="e">
        <f>VLOOKUP(B348,'Drop schools 2026'!B:C,2,0)</f>
        <v>#N/A</v>
      </c>
      <c r="D348" s="50" t="s">
        <v>122</v>
      </c>
      <c r="E348" s="50" t="s">
        <v>11882</v>
      </c>
      <c r="F348" s="50" t="s">
        <v>6148</v>
      </c>
      <c r="G348" s="50" t="e">
        <f>VLOOKUP(B348,aa!B:F,5,0)</f>
        <v>#N/A</v>
      </c>
      <c r="H348" s="50" t="e">
        <f>VLOOKUP(B348,aa!B:J,9,0)</f>
        <v>#N/A</v>
      </c>
      <c r="I348" s="50" t="e">
        <f>VLOOKUP(B348,aa!B:L,11,0)</f>
        <v>#N/A</v>
      </c>
      <c r="J348" s="50" t="e">
        <f>VLOOKUP(B348,aa!B:O,14,0)</f>
        <v>#N/A</v>
      </c>
      <c r="K348" s="50" t="e">
        <f>VLOOKUP(B348,aa!B:R,17,0)</f>
        <v>#N/A</v>
      </c>
      <c r="L348" s="50" t="s">
        <v>97</v>
      </c>
      <c r="M348" s="50">
        <v>422021</v>
      </c>
      <c r="N348" s="50">
        <v>422021</v>
      </c>
      <c r="O348" s="50">
        <v>422021</v>
      </c>
      <c r="P348" s="50">
        <v>422</v>
      </c>
      <c r="Q348" s="50" t="s">
        <v>5042</v>
      </c>
      <c r="R348" s="50">
        <v>0</v>
      </c>
      <c r="S348" s="50">
        <v>0</v>
      </c>
      <c r="U348" s="50">
        <v>0</v>
      </c>
      <c r="V348" s="50">
        <v>0</v>
      </c>
      <c r="X348" s="50" t="s">
        <v>102</v>
      </c>
      <c r="Y348" s="50" t="s">
        <v>103</v>
      </c>
      <c r="Z348" s="50" t="s">
        <v>398</v>
      </c>
      <c r="AB348" s="50" t="s">
        <v>1408</v>
      </c>
      <c r="AC348" s="50" t="s">
        <v>16064</v>
      </c>
      <c r="AD348" s="50" t="s">
        <v>12040</v>
      </c>
      <c r="AE348" s="50" t="s">
        <v>16064</v>
      </c>
      <c r="AF348" s="50" t="s">
        <v>3679</v>
      </c>
      <c r="AG348" s="50" t="s">
        <v>16065</v>
      </c>
      <c r="AH348" s="50" t="s">
        <v>109</v>
      </c>
      <c r="AI348" s="50" t="s">
        <v>102</v>
      </c>
      <c r="AJ348" s="50" t="s">
        <v>102</v>
      </c>
      <c r="AK348" s="50" t="s">
        <v>11952</v>
      </c>
      <c r="AL348" s="50" t="s">
        <v>11952</v>
      </c>
      <c r="AM348" s="50" t="s">
        <v>16066</v>
      </c>
      <c r="AN348" s="50" t="s">
        <v>16067</v>
      </c>
      <c r="AO348" s="50" t="s">
        <v>16068</v>
      </c>
      <c r="AP348" s="50" t="s">
        <v>3677</v>
      </c>
      <c r="AQ348" s="50" t="s">
        <v>3677</v>
      </c>
      <c r="AV348" s="50" t="s">
        <v>318</v>
      </c>
      <c r="AW348" s="50" t="s">
        <v>118</v>
      </c>
      <c r="AX348" s="50" t="s">
        <v>102</v>
      </c>
      <c r="AY348" s="50" t="s">
        <v>119</v>
      </c>
      <c r="BC348" s="50" t="s">
        <v>120</v>
      </c>
      <c r="BD348" s="50" t="s">
        <v>1407</v>
      </c>
      <c r="BE348" s="50" t="s">
        <v>449</v>
      </c>
      <c r="BF348" s="50" t="s">
        <v>122</v>
      </c>
      <c r="BG348" s="50" t="s">
        <v>450</v>
      </c>
      <c r="BH348" s="50" t="s">
        <v>124</v>
      </c>
      <c r="BI348" s="50" t="s">
        <v>12023</v>
      </c>
      <c r="BJ348" s="50" t="s">
        <v>11889</v>
      </c>
      <c r="BK348" s="50" t="s">
        <v>127</v>
      </c>
      <c r="BL348" s="50" t="s">
        <v>16069</v>
      </c>
      <c r="BM348" s="50" t="s">
        <v>6156</v>
      </c>
      <c r="BN348" s="50" t="s">
        <v>16070</v>
      </c>
      <c r="BO348" s="50" t="s">
        <v>2483</v>
      </c>
      <c r="BP348" s="50" t="s">
        <v>3267</v>
      </c>
      <c r="BQ348" s="50" t="s">
        <v>350</v>
      </c>
      <c r="BR348" s="50" t="s">
        <v>3268</v>
      </c>
      <c r="BS348" s="50" t="s">
        <v>3269</v>
      </c>
      <c r="BT348" s="50" t="s">
        <v>135</v>
      </c>
      <c r="BV348" s="50" t="s">
        <v>16071</v>
      </c>
      <c r="BW348" s="50" t="s">
        <v>16072</v>
      </c>
      <c r="BX348" s="50" t="s">
        <v>354</v>
      </c>
      <c r="BY348" s="50" t="s">
        <v>6160</v>
      </c>
      <c r="BZ348" s="50" t="s">
        <v>6161</v>
      </c>
      <c r="CA348" s="50" t="s">
        <v>6162</v>
      </c>
      <c r="CB348" s="50" t="s">
        <v>16072</v>
      </c>
      <c r="CC348" s="50" t="s">
        <v>6160</v>
      </c>
      <c r="CD348" s="50" t="s">
        <v>6161</v>
      </c>
      <c r="CE348" s="50" t="s">
        <v>16072</v>
      </c>
      <c r="CF348" s="50" t="s">
        <v>6160</v>
      </c>
      <c r="CG348" s="50" t="s">
        <v>6161</v>
      </c>
      <c r="CH348" s="50" t="s">
        <v>5768</v>
      </c>
      <c r="CI348" s="50" t="s">
        <v>16073</v>
      </c>
      <c r="CK348" s="50" t="s">
        <v>1419</v>
      </c>
      <c r="CM348" s="50" t="s">
        <v>1407</v>
      </c>
      <c r="CN348" s="50" t="s">
        <v>449</v>
      </c>
      <c r="CO348" s="50" t="s">
        <v>1419</v>
      </c>
      <c r="CP348" s="50" t="s">
        <v>6170</v>
      </c>
      <c r="CQ348" s="50" t="s">
        <v>6169</v>
      </c>
      <c r="CR348" s="50" t="s">
        <v>6169</v>
      </c>
    </row>
    <row r="349" spans="1:97" hidden="1">
      <c r="A349" s="50" t="s">
        <v>149</v>
      </c>
      <c r="B349" s="50">
        <v>2516584</v>
      </c>
      <c r="C349" s="50" t="e">
        <f>VLOOKUP(B349,'Drop schools 2026'!B:C,2,0)</f>
        <v>#N/A</v>
      </c>
      <c r="D349" s="50" t="s">
        <v>212</v>
      </c>
      <c r="E349" s="50" t="s">
        <v>11995</v>
      </c>
      <c r="F349" s="50" t="s">
        <v>3883</v>
      </c>
      <c r="G349" s="50" t="e">
        <f>VLOOKUP(B349,aa!B:F,5,0)</f>
        <v>#N/A</v>
      </c>
      <c r="H349" s="50" t="e">
        <f>VLOOKUP(B349,aa!B:J,9,0)</f>
        <v>#N/A</v>
      </c>
      <c r="I349" s="50" t="e">
        <f>VLOOKUP(B349,aa!B:L,11,0)</f>
        <v>#N/A</v>
      </c>
      <c r="J349" s="50" t="e">
        <f>VLOOKUP(B349,aa!B:O,14,0)</f>
        <v>#N/A</v>
      </c>
      <c r="K349" s="50" t="e">
        <f>VLOOKUP(B349,aa!B:R,17,0)</f>
        <v>#N/A</v>
      </c>
      <c r="L349" s="50" t="s">
        <v>97</v>
      </c>
      <c r="M349" s="50">
        <v>421119</v>
      </c>
      <c r="N349" s="50">
        <v>421119</v>
      </c>
      <c r="O349" s="50">
        <v>421119</v>
      </c>
      <c r="P349" s="50">
        <v>739</v>
      </c>
      <c r="Q349" s="50" t="s">
        <v>519</v>
      </c>
      <c r="R349" s="50">
        <v>0</v>
      </c>
      <c r="S349" s="50">
        <v>0</v>
      </c>
      <c r="U349" s="50">
        <v>0</v>
      </c>
      <c r="V349" s="50">
        <v>0</v>
      </c>
      <c r="X349" s="50" t="s">
        <v>102</v>
      </c>
      <c r="Y349" s="50" t="s">
        <v>275</v>
      </c>
      <c r="AA349" s="50" t="s">
        <v>3679</v>
      </c>
      <c r="AB349" s="50" t="s">
        <v>109</v>
      </c>
      <c r="AC349" s="50" t="s">
        <v>102</v>
      </c>
      <c r="AD349" s="50" t="s">
        <v>109</v>
      </c>
      <c r="AE349" s="50" t="s">
        <v>102</v>
      </c>
      <c r="AF349" s="50" t="s">
        <v>109</v>
      </c>
      <c r="AG349" s="50" t="s">
        <v>102</v>
      </c>
      <c r="AH349" s="50" t="s">
        <v>109</v>
      </c>
      <c r="AI349" s="50" t="s">
        <v>102</v>
      </c>
      <c r="AJ349" s="50" t="s">
        <v>14372</v>
      </c>
      <c r="AK349" s="50" t="s">
        <v>14373</v>
      </c>
      <c r="AL349" s="50" t="s">
        <v>14373</v>
      </c>
      <c r="AM349" s="50" t="s">
        <v>14374</v>
      </c>
      <c r="AN349" s="50" t="s">
        <v>14375</v>
      </c>
      <c r="AO349" s="50" t="s">
        <v>102</v>
      </c>
      <c r="AP349" s="50" t="s">
        <v>12148</v>
      </c>
      <c r="AQ349" s="50" t="s">
        <v>12148</v>
      </c>
      <c r="AV349" s="50" t="s">
        <v>318</v>
      </c>
      <c r="AW349" s="50" t="s">
        <v>118</v>
      </c>
      <c r="AX349" s="50" t="s">
        <v>102</v>
      </c>
      <c r="AY349" s="50" t="s">
        <v>119</v>
      </c>
      <c r="BC349" s="50" t="s">
        <v>120</v>
      </c>
      <c r="BD349" s="50" t="s">
        <v>284</v>
      </c>
      <c r="BE349" s="50" t="s">
        <v>285</v>
      </c>
      <c r="BF349" s="50" t="s">
        <v>212</v>
      </c>
      <c r="BG349" s="50" t="s">
        <v>286</v>
      </c>
      <c r="BH349" s="50" t="s">
        <v>124</v>
      </c>
      <c r="BI349" s="50" t="s">
        <v>11959</v>
      </c>
      <c r="BJ349" s="50" t="s">
        <v>11889</v>
      </c>
      <c r="BK349" s="50" t="s">
        <v>127</v>
      </c>
      <c r="BL349" s="50" t="s">
        <v>14376</v>
      </c>
      <c r="BM349" s="50" t="s">
        <v>3889</v>
      </c>
      <c r="BN349" s="50" t="s">
        <v>14377</v>
      </c>
      <c r="BO349" s="50" t="s">
        <v>12128</v>
      </c>
      <c r="BP349" s="50" t="s">
        <v>956</v>
      </c>
      <c r="BQ349" s="50" t="s">
        <v>132</v>
      </c>
      <c r="BR349" s="50" t="s">
        <v>958</v>
      </c>
      <c r="BS349" s="50" t="s">
        <v>959</v>
      </c>
      <c r="BT349" s="50" t="s">
        <v>293</v>
      </c>
      <c r="BV349" s="50" t="s">
        <v>14378</v>
      </c>
      <c r="BW349" s="50" t="s">
        <v>14379</v>
      </c>
      <c r="BX349" s="50" t="s">
        <v>138</v>
      </c>
      <c r="BY349" s="50" t="s">
        <v>14380</v>
      </c>
      <c r="BZ349" s="50" t="s">
        <v>3897</v>
      </c>
      <c r="CB349" s="50" t="s">
        <v>14379</v>
      </c>
      <c r="CC349" s="50" t="s">
        <v>14380</v>
      </c>
      <c r="CD349" s="50" t="s">
        <v>3897</v>
      </c>
      <c r="CE349" s="50" t="s">
        <v>14379</v>
      </c>
      <c r="CF349" s="50" t="s">
        <v>14380</v>
      </c>
      <c r="CG349" s="50" t="s">
        <v>3897</v>
      </c>
      <c r="CH349" s="50" t="s">
        <v>102</v>
      </c>
      <c r="CI349" s="50" t="s">
        <v>3898</v>
      </c>
      <c r="CK349" s="50" t="s">
        <v>3899</v>
      </c>
      <c r="CM349" s="50" t="s">
        <v>284</v>
      </c>
      <c r="CN349" s="50" t="s">
        <v>285</v>
      </c>
      <c r="CO349" s="50" t="s">
        <v>3899</v>
      </c>
      <c r="CP349" s="50" t="s">
        <v>540</v>
      </c>
      <c r="CQ349" s="50" t="s">
        <v>3898</v>
      </c>
      <c r="CR349" s="50" t="s">
        <v>3898</v>
      </c>
      <c r="CS349" s="50" t="s">
        <v>26043</v>
      </c>
    </row>
    <row r="350" spans="1:97">
      <c r="A350" s="50" t="s">
        <v>337</v>
      </c>
      <c r="B350" s="50">
        <v>2557342</v>
      </c>
      <c r="C350" s="50" t="e">
        <f>VLOOKUP(B350,'Drop schools 2026'!B:C,2,0)</f>
        <v>#N/A</v>
      </c>
      <c r="D350" s="50" t="s">
        <v>122</v>
      </c>
      <c r="E350" s="50" t="s">
        <v>11898</v>
      </c>
      <c r="F350" s="50" t="s">
        <v>14505</v>
      </c>
      <c r="G350" s="50" t="e">
        <f>VLOOKUP(B350,aa!B:F,5,0)</f>
        <v>#N/A</v>
      </c>
      <c r="H350" s="50" t="e">
        <f>VLOOKUP(B350,aa!B:J,9,0)</f>
        <v>#N/A</v>
      </c>
      <c r="I350" s="50" t="e">
        <f>VLOOKUP(B350,aa!B:L,11,0)</f>
        <v>#N/A</v>
      </c>
      <c r="J350" s="50" t="e">
        <f>VLOOKUP(B350,aa!B:O,14,0)</f>
        <v>#N/A</v>
      </c>
      <c r="K350" s="50" t="e">
        <f>VLOOKUP(B350,aa!B:R,17,0)</f>
        <v>#N/A</v>
      </c>
      <c r="L350" s="50" t="s">
        <v>152</v>
      </c>
      <c r="M350" s="50">
        <v>420685</v>
      </c>
      <c r="N350" s="50">
        <v>420685</v>
      </c>
      <c r="O350" s="50">
        <v>0</v>
      </c>
      <c r="P350" s="50">
        <v>0</v>
      </c>
      <c r="R350" s="50">
        <v>420685</v>
      </c>
      <c r="S350" s="50">
        <v>267</v>
      </c>
      <c r="T350" s="50" t="s">
        <v>14506</v>
      </c>
      <c r="U350" s="50">
        <v>0</v>
      </c>
      <c r="V350" s="50">
        <v>0</v>
      </c>
      <c r="X350" s="50" t="s">
        <v>102</v>
      </c>
      <c r="Y350" s="50" t="s">
        <v>103</v>
      </c>
      <c r="Z350" s="50" t="s">
        <v>155</v>
      </c>
      <c r="AB350" s="50" t="s">
        <v>1957</v>
      </c>
      <c r="AC350" s="50" t="s">
        <v>14507</v>
      </c>
      <c r="AD350" s="50" t="s">
        <v>625</v>
      </c>
      <c r="AE350" s="50" t="s">
        <v>14507</v>
      </c>
      <c r="AF350" s="50" t="s">
        <v>12888</v>
      </c>
      <c r="AG350" s="50" t="s">
        <v>14507</v>
      </c>
      <c r="AH350" s="50" t="s">
        <v>11886</v>
      </c>
      <c r="AI350" s="50" t="s">
        <v>14507</v>
      </c>
      <c r="AJ350" s="50" t="s">
        <v>102</v>
      </c>
      <c r="AK350" s="50" t="s">
        <v>2323</v>
      </c>
      <c r="AL350" s="50" t="s">
        <v>2323</v>
      </c>
      <c r="AM350" s="50" t="s">
        <v>14508</v>
      </c>
      <c r="AN350" s="50" t="s">
        <v>14509</v>
      </c>
      <c r="AO350" s="50" t="s">
        <v>14510</v>
      </c>
      <c r="AP350" s="50" t="s">
        <v>14511</v>
      </c>
      <c r="AQ350" s="50" t="s">
        <v>14511</v>
      </c>
      <c r="AV350" s="50" t="s">
        <v>102</v>
      </c>
      <c r="AX350" s="50" t="s">
        <v>155</v>
      </c>
      <c r="AY350" s="50" t="s">
        <v>447</v>
      </c>
      <c r="AZ350" s="50" t="s">
        <v>1138</v>
      </c>
      <c r="BA350" s="50" t="s">
        <v>118</v>
      </c>
      <c r="BC350" s="50" t="s">
        <v>120</v>
      </c>
      <c r="BD350" s="50" t="s">
        <v>9082</v>
      </c>
      <c r="BE350" s="50" t="s">
        <v>1244</v>
      </c>
      <c r="BF350" s="50" t="s">
        <v>122</v>
      </c>
      <c r="BG350" s="50" t="s">
        <v>1244</v>
      </c>
      <c r="BH350" s="50" t="s">
        <v>124</v>
      </c>
      <c r="BI350" s="50" t="s">
        <v>3258</v>
      </c>
      <c r="BJ350" s="50" t="s">
        <v>11889</v>
      </c>
      <c r="BK350" s="50" t="s">
        <v>127</v>
      </c>
      <c r="BL350" s="50" t="s">
        <v>14512</v>
      </c>
      <c r="BM350" s="50" t="s">
        <v>14513</v>
      </c>
      <c r="BN350" s="50" t="s">
        <v>14514</v>
      </c>
      <c r="BO350" s="50" t="s">
        <v>1957</v>
      </c>
      <c r="BP350" s="50" t="s">
        <v>9627</v>
      </c>
      <c r="BQ350" s="50" t="s">
        <v>180</v>
      </c>
      <c r="BR350" s="50" t="s">
        <v>9628</v>
      </c>
      <c r="BS350" s="50" t="s">
        <v>9629</v>
      </c>
      <c r="BT350" s="50" t="s">
        <v>10231</v>
      </c>
      <c r="BV350" s="50" t="s">
        <v>14515</v>
      </c>
      <c r="BW350" s="50" t="s">
        <v>14516</v>
      </c>
      <c r="BX350" s="50" t="s">
        <v>138</v>
      </c>
      <c r="BY350" s="50" t="s">
        <v>14517</v>
      </c>
      <c r="BZ350" s="50" t="s">
        <v>14518</v>
      </c>
      <c r="CA350" s="50" t="s">
        <v>14519</v>
      </c>
      <c r="CB350" s="50" t="s">
        <v>14520</v>
      </c>
      <c r="CC350" s="50" t="s">
        <v>14517</v>
      </c>
      <c r="CD350" s="50" t="s">
        <v>14518</v>
      </c>
      <c r="CE350" s="50" t="s">
        <v>14520</v>
      </c>
      <c r="CF350" s="50" t="s">
        <v>14517</v>
      </c>
      <c r="CG350" s="50" t="s">
        <v>14518</v>
      </c>
      <c r="CH350" s="50" t="s">
        <v>2405</v>
      </c>
      <c r="CI350" s="50" t="s">
        <v>14521</v>
      </c>
      <c r="CK350" s="50" t="s">
        <v>14522</v>
      </c>
      <c r="CL350" s="50" t="s">
        <v>14521</v>
      </c>
      <c r="CM350" s="50" t="s">
        <v>9082</v>
      </c>
      <c r="CN350" s="50" t="s">
        <v>1244</v>
      </c>
      <c r="CO350" s="50" t="s">
        <v>14522</v>
      </c>
      <c r="CQ350" s="50" t="s">
        <v>14521</v>
      </c>
      <c r="CR350" s="50" t="s">
        <v>14521</v>
      </c>
    </row>
    <row r="351" spans="1:97" hidden="1">
      <c r="A351" s="50" t="s">
        <v>149</v>
      </c>
      <c r="B351" s="50">
        <v>2382287</v>
      </c>
      <c r="C351" s="50" t="e">
        <f>VLOOKUP(B351,'Drop schools 2026'!B:C,2,0)</f>
        <v>#N/A</v>
      </c>
      <c r="D351" s="50" t="s">
        <v>122</v>
      </c>
      <c r="E351" s="50" t="s">
        <v>12030</v>
      </c>
      <c r="F351" s="50" t="s">
        <v>3107</v>
      </c>
      <c r="G351" s="50" t="e">
        <f>VLOOKUP(B351,aa!B:F,5,0)</f>
        <v>#N/A</v>
      </c>
      <c r="H351" s="50" t="e">
        <f>VLOOKUP(B351,aa!B:J,9,0)</f>
        <v>#N/A</v>
      </c>
      <c r="I351" s="50" t="e">
        <f>VLOOKUP(B351,aa!B:L,11,0)</f>
        <v>#N/A</v>
      </c>
      <c r="J351" s="50" t="e">
        <f>VLOOKUP(B351,aa!B:O,14,0)</f>
        <v>#N/A</v>
      </c>
      <c r="K351" s="50" t="e">
        <f>VLOOKUP(B351,aa!B:R,17,0)</f>
        <v>#N/A</v>
      </c>
      <c r="L351" s="50" t="s">
        <v>97</v>
      </c>
      <c r="M351" s="50">
        <v>420012</v>
      </c>
      <c r="N351" s="50">
        <v>420012</v>
      </c>
      <c r="O351" s="50">
        <v>420012</v>
      </c>
      <c r="P351" s="50">
        <v>800</v>
      </c>
      <c r="Q351" s="50" t="s">
        <v>4107</v>
      </c>
      <c r="R351" s="50">
        <v>0</v>
      </c>
      <c r="S351" s="50">
        <v>0</v>
      </c>
      <c r="U351" s="50">
        <v>0</v>
      </c>
      <c r="V351" s="50">
        <v>0</v>
      </c>
      <c r="X351" s="50" t="s">
        <v>102</v>
      </c>
      <c r="Y351" s="50" t="s">
        <v>275</v>
      </c>
      <c r="AA351" s="50" t="s">
        <v>8054</v>
      </c>
      <c r="AB351" s="50" t="s">
        <v>109</v>
      </c>
      <c r="AC351" s="50" t="s">
        <v>102</v>
      </c>
      <c r="AD351" s="50" t="s">
        <v>109</v>
      </c>
      <c r="AE351" s="50" t="s">
        <v>102</v>
      </c>
      <c r="AF351" s="50" t="s">
        <v>109</v>
      </c>
      <c r="AG351" s="50" t="s">
        <v>102</v>
      </c>
      <c r="AH351" s="50" t="s">
        <v>109</v>
      </c>
      <c r="AI351" s="50" t="s">
        <v>102</v>
      </c>
      <c r="AJ351" s="50" t="s">
        <v>13821</v>
      </c>
      <c r="AK351" s="50" t="s">
        <v>13486</v>
      </c>
      <c r="AL351" s="50" t="s">
        <v>13486</v>
      </c>
      <c r="AM351" s="50" t="s">
        <v>13822</v>
      </c>
      <c r="AN351" s="50" t="s">
        <v>13823</v>
      </c>
      <c r="AO351" s="50" t="s">
        <v>102</v>
      </c>
      <c r="AP351" s="50" t="s">
        <v>6115</v>
      </c>
      <c r="AQ351" s="50" t="s">
        <v>13824</v>
      </c>
      <c r="AR351" s="50" t="s">
        <v>343</v>
      </c>
      <c r="AU351" s="50" t="s">
        <v>169</v>
      </c>
      <c r="AV351" s="50" t="s">
        <v>117</v>
      </c>
      <c r="AW351" s="50" t="s">
        <v>118</v>
      </c>
      <c r="AX351" s="50" t="s">
        <v>102</v>
      </c>
      <c r="AY351" s="50" t="s">
        <v>119</v>
      </c>
      <c r="BC351" s="50" t="s">
        <v>120</v>
      </c>
      <c r="BD351" s="50" t="s">
        <v>2204</v>
      </c>
      <c r="BE351" s="50" t="s">
        <v>121</v>
      </c>
      <c r="BF351" s="50" t="s">
        <v>122</v>
      </c>
      <c r="BG351" s="50" t="s">
        <v>123</v>
      </c>
      <c r="BH351" s="50" t="s">
        <v>124</v>
      </c>
      <c r="BI351" s="50" t="s">
        <v>12023</v>
      </c>
      <c r="BJ351" s="50" t="s">
        <v>11889</v>
      </c>
      <c r="BK351" s="50" t="s">
        <v>127</v>
      </c>
      <c r="BL351" s="50" t="s">
        <v>13825</v>
      </c>
      <c r="BM351" s="50" t="s">
        <v>3117</v>
      </c>
      <c r="BN351" s="50" t="s">
        <v>13826</v>
      </c>
      <c r="BO351" s="50" t="s">
        <v>13527</v>
      </c>
      <c r="BP351" s="50" t="s">
        <v>1108</v>
      </c>
      <c r="BQ351" s="50" t="s">
        <v>350</v>
      </c>
      <c r="BR351" s="50" t="s">
        <v>1109</v>
      </c>
      <c r="BS351" s="50" t="s">
        <v>1110</v>
      </c>
      <c r="BT351" s="50" t="s">
        <v>328</v>
      </c>
      <c r="BV351" s="50" t="s">
        <v>13827</v>
      </c>
      <c r="BW351" s="50" t="s">
        <v>3120</v>
      </c>
      <c r="BX351" s="50" t="s">
        <v>138</v>
      </c>
      <c r="BY351" s="50" t="s">
        <v>3124</v>
      </c>
      <c r="BZ351" s="50" t="s">
        <v>3123</v>
      </c>
      <c r="CA351" s="50" t="s">
        <v>3124</v>
      </c>
      <c r="CB351" s="50" t="s">
        <v>13828</v>
      </c>
      <c r="CC351" s="50" t="s">
        <v>3122</v>
      </c>
      <c r="CD351" s="50" t="s">
        <v>3123</v>
      </c>
      <c r="CE351" s="50" t="s">
        <v>13828</v>
      </c>
      <c r="CF351" s="50" t="s">
        <v>3122</v>
      </c>
      <c r="CG351" s="50" t="s">
        <v>3123</v>
      </c>
      <c r="CH351" s="50" t="s">
        <v>102</v>
      </c>
      <c r="CI351" s="50" t="s">
        <v>13829</v>
      </c>
      <c r="CK351" s="50" t="s">
        <v>2775</v>
      </c>
      <c r="CM351" s="50" t="s">
        <v>2204</v>
      </c>
      <c r="CN351" s="50" t="s">
        <v>121</v>
      </c>
      <c r="CO351" s="50" t="s">
        <v>2775</v>
      </c>
      <c r="CP351" s="50" t="s">
        <v>3129</v>
      </c>
      <c r="CQ351" s="50" t="s">
        <v>3130</v>
      </c>
      <c r="CR351" s="50" t="s">
        <v>3130</v>
      </c>
    </row>
    <row r="352" spans="1:97">
      <c r="A352" s="50" t="s">
        <v>337</v>
      </c>
      <c r="B352" s="50">
        <v>3472699</v>
      </c>
      <c r="C352" s="50" t="e">
        <f>VLOOKUP(B352,'Drop schools 2026'!B:C,2,0)</f>
        <v>#N/A</v>
      </c>
      <c r="D352" s="50" t="s">
        <v>122</v>
      </c>
      <c r="E352" s="50" t="s">
        <v>12030</v>
      </c>
      <c r="F352" s="53" t="s">
        <v>16145</v>
      </c>
      <c r="G352" s="50" t="e">
        <f>VLOOKUP(B352,aa!B:F,5,0)</f>
        <v>#N/A</v>
      </c>
      <c r="H352" s="50" t="e">
        <f>VLOOKUP(B352,aa!B:J,9,0)</f>
        <v>#N/A</v>
      </c>
      <c r="I352" s="50" t="e">
        <f>VLOOKUP(B352,aa!B:L,11,0)</f>
        <v>#N/A</v>
      </c>
      <c r="J352" s="50" t="e">
        <f>VLOOKUP(B352,aa!B:O,14,0)</f>
        <v>#N/A</v>
      </c>
      <c r="K352" s="50" t="e">
        <f>VLOOKUP(B352,aa!B:R,17,0)</f>
        <v>#N/A</v>
      </c>
      <c r="L352" s="50" t="s">
        <v>97</v>
      </c>
      <c r="M352" s="50">
        <v>418800</v>
      </c>
      <c r="N352" s="50">
        <v>418800</v>
      </c>
      <c r="O352" s="50">
        <v>418800</v>
      </c>
      <c r="P352" s="50">
        <v>698</v>
      </c>
      <c r="Q352" s="50" t="s">
        <v>310</v>
      </c>
      <c r="R352" s="50">
        <v>0</v>
      </c>
      <c r="S352" s="50">
        <v>0</v>
      </c>
      <c r="U352" s="50">
        <v>0</v>
      </c>
      <c r="V352" s="50">
        <v>0</v>
      </c>
      <c r="X352" s="50" t="s">
        <v>102</v>
      </c>
      <c r="Y352" s="50" t="s">
        <v>103</v>
      </c>
      <c r="Z352" s="50" t="s">
        <v>104</v>
      </c>
      <c r="AB352" s="50" t="s">
        <v>12427</v>
      </c>
      <c r="AC352" s="50" t="s">
        <v>8503</v>
      </c>
      <c r="AD352" s="50" t="s">
        <v>12427</v>
      </c>
      <c r="AE352" s="50" t="s">
        <v>8503</v>
      </c>
      <c r="AF352" s="50" t="s">
        <v>109</v>
      </c>
      <c r="AG352" s="50" t="s">
        <v>102</v>
      </c>
      <c r="AH352" s="50" t="s">
        <v>109</v>
      </c>
      <c r="AI352" s="50" t="s">
        <v>102</v>
      </c>
      <c r="AJ352" s="50" t="s">
        <v>14701</v>
      </c>
      <c r="AK352" s="50" t="s">
        <v>11932</v>
      </c>
      <c r="AL352" s="50" t="s">
        <v>15177</v>
      </c>
      <c r="AM352" s="50" t="s">
        <v>16146</v>
      </c>
      <c r="AN352" s="50" t="s">
        <v>9643</v>
      </c>
      <c r="AO352" s="50" t="s">
        <v>16147</v>
      </c>
      <c r="AP352" s="50" t="s">
        <v>317</v>
      </c>
      <c r="AQ352" s="50" t="s">
        <v>317</v>
      </c>
      <c r="AV352" s="50" t="s">
        <v>318</v>
      </c>
      <c r="AW352" s="50" t="s">
        <v>118</v>
      </c>
      <c r="AX352" s="50" t="s">
        <v>102</v>
      </c>
      <c r="AY352" s="50" t="s">
        <v>119</v>
      </c>
      <c r="BC352" s="50" t="s">
        <v>120</v>
      </c>
      <c r="BD352" s="50" t="s">
        <v>16148</v>
      </c>
      <c r="BE352" s="50" t="s">
        <v>2800</v>
      </c>
      <c r="BF352" s="50" t="s">
        <v>122</v>
      </c>
      <c r="BG352" s="50" t="s">
        <v>346</v>
      </c>
      <c r="BH352" s="50" t="s">
        <v>124</v>
      </c>
      <c r="BI352" s="50" t="s">
        <v>12023</v>
      </c>
      <c r="BJ352" s="50" t="s">
        <v>11889</v>
      </c>
      <c r="BK352" s="50" t="s">
        <v>127</v>
      </c>
      <c r="BL352" s="50" t="s">
        <v>16149</v>
      </c>
      <c r="BM352" s="50" t="s">
        <v>16150</v>
      </c>
      <c r="BN352" s="50" t="s">
        <v>16151</v>
      </c>
      <c r="BO352" s="50" t="s">
        <v>16054</v>
      </c>
      <c r="BP352" s="50" t="s">
        <v>4845</v>
      </c>
      <c r="BQ352" s="50" t="s">
        <v>350</v>
      </c>
      <c r="BR352" s="50" t="s">
        <v>4846</v>
      </c>
      <c r="BS352" s="50" t="s">
        <v>4847</v>
      </c>
      <c r="BT352" s="50" t="s">
        <v>328</v>
      </c>
      <c r="BU352" s="50" t="s">
        <v>5574</v>
      </c>
      <c r="BV352" s="50" t="s">
        <v>16152</v>
      </c>
      <c r="BW352" s="50" t="s">
        <v>16153</v>
      </c>
      <c r="BX352" s="50" t="s">
        <v>569</v>
      </c>
      <c r="BY352" s="50" t="s">
        <v>16154</v>
      </c>
      <c r="BZ352" s="50" t="s">
        <v>16155</v>
      </c>
      <c r="CA352" s="50" t="s">
        <v>16156</v>
      </c>
      <c r="CB352" s="50" t="s">
        <v>16157</v>
      </c>
      <c r="CC352" s="50" t="s">
        <v>16158</v>
      </c>
      <c r="CD352" s="50" t="s">
        <v>16155</v>
      </c>
      <c r="CE352" s="50" t="s">
        <v>16157</v>
      </c>
      <c r="CF352" s="50" t="s">
        <v>16158</v>
      </c>
      <c r="CG352" s="50" t="s">
        <v>16155</v>
      </c>
      <c r="CH352" s="50" t="s">
        <v>3841</v>
      </c>
      <c r="CI352" s="50" t="s">
        <v>16159</v>
      </c>
      <c r="CK352" s="50" t="s">
        <v>16160</v>
      </c>
      <c r="CL352" s="50" t="s">
        <v>16159</v>
      </c>
      <c r="CM352" s="50" t="s">
        <v>16148</v>
      </c>
      <c r="CN352" s="50" t="s">
        <v>2800</v>
      </c>
      <c r="CO352" s="50" t="s">
        <v>16160</v>
      </c>
      <c r="CQ352" s="50" t="s">
        <v>16161</v>
      </c>
      <c r="CR352" s="50" t="s">
        <v>16161</v>
      </c>
    </row>
    <row r="353" spans="1:97" hidden="1">
      <c r="A353" s="50" t="s">
        <v>149</v>
      </c>
      <c r="B353" s="50">
        <v>236318</v>
      </c>
      <c r="C353" s="50" t="e">
        <f>VLOOKUP(B353,'Drop schools 2026'!B:C,2,0)</f>
        <v>#N/A</v>
      </c>
      <c r="D353" s="50" t="s">
        <v>122</v>
      </c>
      <c r="E353" s="50" t="s">
        <v>12491</v>
      </c>
      <c r="F353" s="50" t="s">
        <v>3071</v>
      </c>
      <c r="G353" s="50" t="str">
        <f>VLOOKUP(B353,aa!B:F,5,0)</f>
        <v>Ei ASSET, Ei Mindspark</v>
      </c>
      <c r="H353" s="50">
        <f>VLOOKUP(B353,aa!B:J,9,0)</f>
        <v>2461304</v>
      </c>
      <c r="I353" s="50">
        <f>VLOOKUP(B353,aa!B:L,11,0)</f>
        <v>820500</v>
      </c>
      <c r="J353" s="50">
        <f>VLOOKUP(B353,aa!B:O,14,0)</f>
        <v>0</v>
      </c>
      <c r="K353" s="50">
        <f>VLOOKUP(B353,aa!B:R,17,0)</f>
        <v>1640804</v>
      </c>
      <c r="L353" s="50" t="s">
        <v>97</v>
      </c>
      <c r="M353" s="50">
        <v>417750</v>
      </c>
      <c r="N353" s="50">
        <v>417750</v>
      </c>
      <c r="O353" s="50">
        <v>417750</v>
      </c>
      <c r="P353" s="50">
        <v>557</v>
      </c>
      <c r="Q353" s="50" t="s">
        <v>101</v>
      </c>
      <c r="R353" s="50">
        <v>0</v>
      </c>
      <c r="S353" s="50">
        <v>0</v>
      </c>
      <c r="U353" s="50">
        <v>0</v>
      </c>
      <c r="V353" s="50">
        <v>0</v>
      </c>
      <c r="X353" s="50" t="s">
        <v>102</v>
      </c>
      <c r="Y353" s="50" t="s">
        <v>275</v>
      </c>
      <c r="AA353" s="50" t="s">
        <v>9460</v>
      </c>
      <c r="AB353" s="50" t="s">
        <v>109</v>
      </c>
      <c r="AC353" s="50" t="s">
        <v>102</v>
      </c>
      <c r="AD353" s="50" t="s">
        <v>109</v>
      </c>
      <c r="AE353" s="50" t="s">
        <v>102</v>
      </c>
      <c r="AF353" s="50" t="s">
        <v>109</v>
      </c>
      <c r="AG353" s="50" t="s">
        <v>102</v>
      </c>
      <c r="AH353" s="50" t="s">
        <v>109</v>
      </c>
      <c r="AI353" s="50" t="s">
        <v>102</v>
      </c>
      <c r="AJ353" s="50" t="s">
        <v>102</v>
      </c>
      <c r="AK353" s="50" t="s">
        <v>8258</v>
      </c>
      <c r="AL353" s="50" t="s">
        <v>8258</v>
      </c>
      <c r="AM353" s="50" t="s">
        <v>13758</v>
      </c>
      <c r="AN353" s="50" t="s">
        <v>13759</v>
      </c>
      <c r="AO353" s="50" t="s">
        <v>13760</v>
      </c>
      <c r="AP353" s="50" t="s">
        <v>116</v>
      </c>
      <c r="AQ353" s="50" t="s">
        <v>116</v>
      </c>
      <c r="AV353" s="50" t="s">
        <v>117</v>
      </c>
      <c r="AW353" s="50" t="s">
        <v>118</v>
      </c>
      <c r="AX353" s="50" t="s">
        <v>102</v>
      </c>
      <c r="AY353" s="50" t="s">
        <v>119</v>
      </c>
      <c r="BC353" s="50" t="s">
        <v>120</v>
      </c>
      <c r="BD353" s="50" t="s">
        <v>3079</v>
      </c>
      <c r="BE353" s="50" t="s">
        <v>1244</v>
      </c>
      <c r="BF353" s="50" t="s">
        <v>122</v>
      </c>
      <c r="BG353" s="50" t="s">
        <v>1244</v>
      </c>
      <c r="BH353" s="50" t="s">
        <v>124</v>
      </c>
      <c r="BI353" s="50" t="s">
        <v>12023</v>
      </c>
      <c r="BJ353" s="50" t="s">
        <v>11889</v>
      </c>
      <c r="BK353" s="50" t="s">
        <v>127</v>
      </c>
      <c r="BL353" s="50" t="s">
        <v>13761</v>
      </c>
      <c r="BM353" s="50" t="s">
        <v>3081</v>
      </c>
      <c r="BN353" s="50" t="s">
        <v>13762</v>
      </c>
      <c r="BO353" s="50" t="s">
        <v>10221</v>
      </c>
      <c r="BP353" s="50" t="s">
        <v>8788</v>
      </c>
      <c r="BQ353" s="50" t="s">
        <v>180</v>
      </c>
      <c r="BR353" s="50" t="s">
        <v>8789</v>
      </c>
      <c r="BS353" s="50" t="s">
        <v>8790</v>
      </c>
      <c r="BT353" s="50" t="s">
        <v>1006</v>
      </c>
      <c r="BV353" s="50" t="s">
        <v>13763</v>
      </c>
      <c r="BW353" s="50" t="s">
        <v>13764</v>
      </c>
      <c r="BX353" s="50" t="s">
        <v>598</v>
      </c>
      <c r="BY353" s="50" t="s">
        <v>13765</v>
      </c>
      <c r="BZ353" s="50" t="s">
        <v>13766</v>
      </c>
      <c r="CA353" s="50" t="s">
        <v>3090</v>
      </c>
      <c r="CB353" s="50" t="s">
        <v>13767</v>
      </c>
      <c r="CC353" s="50" t="s">
        <v>3090</v>
      </c>
      <c r="CD353" s="50" t="s">
        <v>13766</v>
      </c>
      <c r="CE353" s="50" t="s">
        <v>13764</v>
      </c>
      <c r="CF353" s="50" t="s">
        <v>13765</v>
      </c>
      <c r="CG353" s="50" t="s">
        <v>13766</v>
      </c>
      <c r="CH353" s="50" t="s">
        <v>102</v>
      </c>
      <c r="CI353" s="50" t="s">
        <v>3091</v>
      </c>
      <c r="CK353" s="50" t="s">
        <v>3092</v>
      </c>
      <c r="CM353" s="50" t="s">
        <v>3079</v>
      </c>
      <c r="CN353" s="50" t="s">
        <v>1244</v>
      </c>
      <c r="CO353" s="50" t="s">
        <v>3092</v>
      </c>
      <c r="CQ353" s="50" t="s">
        <v>3091</v>
      </c>
      <c r="CR353" s="50" t="s">
        <v>3091</v>
      </c>
    </row>
    <row r="354" spans="1:97" hidden="1">
      <c r="A354" s="50" t="s">
        <v>337</v>
      </c>
      <c r="B354" s="50">
        <v>3153272</v>
      </c>
      <c r="C354" s="50" t="e">
        <f>VLOOKUP(B354,'Drop schools 2026'!B:C,2,0)</f>
        <v>#N/A</v>
      </c>
      <c r="D354" s="50" t="s">
        <v>212</v>
      </c>
      <c r="E354" s="50" t="s">
        <v>12834</v>
      </c>
      <c r="F354" s="50" t="s">
        <v>15035</v>
      </c>
      <c r="G354" s="50" t="e">
        <f>VLOOKUP(B354,aa!B:F,5,0)</f>
        <v>#N/A</v>
      </c>
      <c r="H354" s="50" t="e">
        <f>VLOOKUP(B354,aa!B:J,9,0)</f>
        <v>#N/A</v>
      </c>
      <c r="I354" s="50" t="e">
        <f>VLOOKUP(B354,aa!B:L,11,0)</f>
        <v>#N/A</v>
      </c>
      <c r="J354" s="50" t="e">
        <f>VLOOKUP(B354,aa!B:O,14,0)</f>
        <v>#N/A</v>
      </c>
      <c r="K354" s="50" t="e">
        <f>VLOOKUP(B354,aa!B:R,17,0)</f>
        <v>#N/A</v>
      </c>
      <c r="L354" s="50" t="s">
        <v>97</v>
      </c>
      <c r="M354" s="50">
        <v>417600</v>
      </c>
      <c r="N354" s="50">
        <v>417600</v>
      </c>
      <c r="O354" s="50">
        <v>417600</v>
      </c>
      <c r="P354" s="50">
        <v>696</v>
      </c>
      <c r="Q354" s="50" t="s">
        <v>310</v>
      </c>
      <c r="R354" s="50">
        <v>0</v>
      </c>
      <c r="S354" s="50">
        <v>0</v>
      </c>
      <c r="U354" s="50">
        <v>0</v>
      </c>
      <c r="V354" s="50">
        <v>0</v>
      </c>
      <c r="X354" s="50" t="s">
        <v>102</v>
      </c>
      <c r="Y354" s="50" t="s">
        <v>103</v>
      </c>
      <c r="Z354" s="50" t="s">
        <v>398</v>
      </c>
      <c r="AB354" s="50" t="s">
        <v>12128</v>
      </c>
      <c r="AC354" s="50" t="s">
        <v>15036</v>
      </c>
      <c r="AD354" s="50" t="s">
        <v>12836</v>
      </c>
      <c r="AE354" s="50" t="s">
        <v>15037</v>
      </c>
      <c r="AF354" s="50" t="s">
        <v>12838</v>
      </c>
      <c r="AG354" s="50" t="s">
        <v>15037</v>
      </c>
      <c r="AH354" s="50" t="s">
        <v>109</v>
      </c>
      <c r="AI354" s="50" t="s">
        <v>102</v>
      </c>
      <c r="AJ354" s="50" t="s">
        <v>102</v>
      </c>
      <c r="AM354" s="50" t="s">
        <v>15038</v>
      </c>
      <c r="AN354" s="50" t="s">
        <v>102</v>
      </c>
      <c r="AO354" s="50" t="s">
        <v>15038</v>
      </c>
      <c r="AP354" s="50" t="s">
        <v>317</v>
      </c>
      <c r="AQ354" s="50" t="s">
        <v>317</v>
      </c>
      <c r="AV354" s="50" t="s">
        <v>318</v>
      </c>
      <c r="AW354" s="50" t="s">
        <v>118</v>
      </c>
      <c r="AX354" s="50" t="s">
        <v>102</v>
      </c>
      <c r="AY354" s="50" t="s">
        <v>119</v>
      </c>
      <c r="BC354" s="50" t="s">
        <v>120</v>
      </c>
      <c r="BD354" s="50" t="s">
        <v>920</v>
      </c>
      <c r="BE354" s="50" t="s">
        <v>211</v>
      </c>
      <c r="BF354" s="50" t="s">
        <v>212</v>
      </c>
      <c r="BG354" s="50" t="s">
        <v>213</v>
      </c>
      <c r="BH354" s="50" t="s">
        <v>124</v>
      </c>
      <c r="BI354" s="50" t="s">
        <v>12023</v>
      </c>
      <c r="BJ354" s="50" t="s">
        <v>11889</v>
      </c>
      <c r="BK354" s="50" t="s">
        <v>127</v>
      </c>
      <c r="BL354" s="50" t="s">
        <v>15039</v>
      </c>
      <c r="BM354" s="50" t="s">
        <v>15040</v>
      </c>
      <c r="BN354" s="50" t="s">
        <v>15041</v>
      </c>
      <c r="BO354" s="50" t="s">
        <v>411</v>
      </c>
      <c r="BP354" s="50" t="s">
        <v>480</v>
      </c>
      <c r="BQ354" s="50" t="s">
        <v>505</v>
      </c>
      <c r="BR354" s="50" t="s">
        <v>481</v>
      </c>
      <c r="BS354" s="50" t="s">
        <v>482</v>
      </c>
      <c r="BT354" s="50" t="s">
        <v>2593</v>
      </c>
      <c r="BU354" s="50" t="s">
        <v>15042</v>
      </c>
      <c r="BV354" s="50" t="s">
        <v>15043</v>
      </c>
      <c r="BW354" s="50" t="s">
        <v>15044</v>
      </c>
      <c r="BX354" s="50" t="s">
        <v>138</v>
      </c>
      <c r="BY354" s="50" t="s">
        <v>481</v>
      </c>
      <c r="BZ354" s="50" t="s">
        <v>12845</v>
      </c>
      <c r="CA354" s="50" t="s">
        <v>15045</v>
      </c>
      <c r="CB354" s="50" t="s">
        <v>15044</v>
      </c>
      <c r="CC354" s="50" t="s">
        <v>15045</v>
      </c>
      <c r="CD354" s="50" t="s">
        <v>15046</v>
      </c>
      <c r="CE354" s="50" t="s">
        <v>15047</v>
      </c>
      <c r="CF354" s="50" t="s">
        <v>15048</v>
      </c>
      <c r="CG354" s="50" t="s">
        <v>15049</v>
      </c>
      <c r="CH354" s="50" t="s">
        <v>12852</v>
      </c>
      <c r="CI354" s="50" t="s">
        <v>15050</v>
      </c>
      <c r="CK354" s="50" t="s">
        <v>9228</v>
      </c>
      <c r="CL354" s="50" t="s">
        <v>15050</v>
      </c>
      <c r="CM354" s="50" t="s">
        <v>920</v>
      </c>
      <c r="CN354" s="50" t="s">
        <v>211</v>
      </c>
      <c r="CO354" s="50" t="s">
        <v>9228</v>
      </c>
      <c r="CQ354" s="50" t="s">
        <v>15051</v>
      </c>
      <c r="CR354" s="50" t="s">
        <v>15051</v>
      </c>
    </row>
    <row r="355" spans="1:97" hidden="1">
      <c r="A355" s="50" t="s">
        <v>149</v>
      </c>
      <c r="B355" s="50">
        <v>2496983</v>
      </c>
      <c r="C355" s="50" t="e">
        <f>VLOOKUP(B355,'Drop schools 2026'!B:C,2,0)</f>
        <v>#N/A</v>
      </c>
      <c r="D355" s="50" t="s">
        <v>212</v>
      </c>
      <c r="E355" s="50" t="s">
        <v>12423</v>
      </c>
      <c r="F355" s="50" t="s">
        <v>3725</v>
      </c>
      <c r="G355" s="50" t="e">
        <f>VLOOKUP(B355,aa!B:F,5,0)</f>
        <v>#N/A</v>
      </c>
      <c r="H355" s="50" t="e">
        <f>VLOOKUP(B355,aa!B:J,9,0)</f>
        <v>#N/A</v>
      </c>
      <c r="I355" s="50" t="e">
        <f>VLOOKUP(B355,aa!B:L,11,0)</f>
        <v>#N/A</v>
      </c>
      <c r="J355" s="50" t="e">
        <f>VLOOKUP(B355,aa!B:O,14,0)</f>
        <v>#N/A</v>
      </c>
      <c r="K355" s="50" t="e">
        <f>VLOOKUP(B355,aa!B:R,17,0)</f>
        <v>#N/A</v>
      </c>
      <c r="L355" s="50" t="s">
        <v>97</v>
      </c>
      <c r="M355" s="50">
        <v>412704</v>
      </c>
      <c r="N355" s="50">
        <v>412704</v>
      </c>
      <c r="O355" s="50">
        <v>412704</v>
      </c>
      <c r="P355" s="50">
        <v>483</v>
      </c>
      <c r="Q355" s="50" t="s">
        <v>14234</v>
      </c>
      <c r="R355" s="50">
        <v>0</v>
      </c>
      <c r="S355" s="50">
        <v>0</v>
      </c>
      <c r="U355" s="50">
        <v>0</v>
      </c>
      <c r="V355" s="50">
        <v>0</v>
      </c>
      <c r="X355" s="50" t="s">
        <v>102</v>
      </c>
      <c r="Y355" s="50" t="s">
        <v>103</v>
      </c>
      <c r="Z355" s="50" t="s">
        <v>104</v>
      </c>
      <c r="AB355" s="50" t="s">
        <v>1165</v>
      </c>
      <c r="AC355" s="50" t="s">
        <v>14235</v>
      </c>
      <c r="AD355" s="50" t="s">
        <v>12888</v>
      </c>
      <c r="AE355" s="50" t="s">
        <v>14236</v>
      </c>
      <c r="AF355" s="50" t="s">
        <v>109</v>
      </c>
      <c r="AG355" s="50" t="s">
        <v>102</v>
      </c>
      <c r="AH355" s="50" t="s">
        <v>109</v>
      </c>
      <c r="AI355" s="50" t="s">
        <v>102</v>
      </c>
      <c r="AJ355" s="50" t="s">
        <v>14237</v>
      </c>
      <c r="AK355" s="50" t="s">
        <v>12020</v>
      </c>
      <c r="AL355" s="50" t="s">
        <v>14238</v>
      </c>
      <c r="AM355" s="50" t="s">
        <v>14239</v>
      </c>
      <c r="AN355" s="50" t="s">
        <v>14240</v>
      </c>
      <c r="AO355" s="50" t="s">
        <v>3579</v>
      </c>
      <c r="AP355" s="50" t="s">
        <v>14241</v>
      </c>
      <c r="AQ355" s="50" t="s">
        <v>14241</v>
      </c>
      <c r="AV355" s="50" t="s">
        <v>318</v>
      </c>
      <c r="AW355" s="50" t="s">
        <v>118</v>
      </c>
      <c r="AX355" s="50" t="s">
        <v>102</v>
      </c>
      <c r="AY355" s="50" t="s">
        <v>119</v>
      </c>
      <c r="BC355" s="50" t="s">
        <v>120</v>
      </c>
      <c r="BD355" s="50" t="s">
        <v>3735</v>
      </c>
      <c r="BE355" s="50" t="s">
        <v>410</v>
      </c>
      <c r="BF355" s="50" t="s">
        <v>212</v>
      </c>
      <c r="BG355" s="50" t="s">
        <v>410</v>
      </c>
      <c r="BH355" s="50" t="s">
        <v>124</v>
      </c>
      <c r="BI355" s="50" t="s">
        <v>12082</v>
      </c>
      <c r="BJ355" s="50" t="s">
        <v>11889</v>
      </c>
      <c r="BK355" s="50" t="s">
        <v>127</v>
      </c>
      <c r="BL355" s="50" t="s">
        <v>14242</v>
      </c>
      <c r="BM355" s="50" t="s">
        <v>3737</v>
      </c>
      <c r="BN355" s="50" t="s">
        <v>14243</v>
      </c>
      <c r="BO355" s="50" t="s">
        <v>6341</v>
      </c>
      <c r="BP355" s="50" t="s">
        <v>866</v>
      </c>
      <c r="BQ355" s="50" t="s">
        <v>132</v>
      </c>
      <c r="BR355" s="50" t="s">
        <v>867</v>
      </c>
      <c r="BS355" s="50" t="s">
        <v>868</v>
      </c>
      <c r="BT355" s="50" t="s">
        <v>418</v>
      </c>
      <c r="BV355" s="50" t="s">
        <v>14244</v>
      </c>
      <c r="BW355" s="50" t="s">
        <v>3585</v>
      </c>
      <c r="BX355" s="50" t="s">
        <v>598</v>
      </c>
      <c r="BY355" s="50" t="s">
        <v>225</v>
      </c>
      <c r="BZ355" s="50" t="s">
        <v>226</v>
      </c>
      <c r="CA355" s="50" t="s">
        <v>3740</v>
      </c>
      <c r="CB355" s="50" t="s">
        <v>14245</v>
      </c>
      <c r="CC355" s="50" t="s">
        <v>3740</v>
      </c>
      <c r="CD355" s="50" t="s">
        <v>14246</v>
      </c>
      <c r="CE355" s="50" t="s">
        <v>14247</v>
      </c>
      <c r="CF355" s="50" t="s">
        <v>14248</v>
      </c>
      <c r="CG355" s="50" t="s">
        <v>14249</v>
      </c>
      <c r="CH355" s="50" t="s">
        <v>102</v>
      </c>
      <c r="CI355" s="50" t="s">
        <v>3741</v>
      </c>
      <c r="CK355" s="50" t="s">
        <v>3742</v>
      </c>
      <c r="CM355" s="50" t="s">
        <v>3735</v>
      </c>
      <c r="CN355" s="50" t="s">
        <v>410</v>
      </c>
      <c r="CO355" s="50" t="s">
        <v>3742</v>
      </c>
      <c r="CP355" s="50" t="s">
        <v>3589</v>
      </c>
      <c r="CQ355" s="50" t="s">
        <v>3741</v>
      </c>
      <c r="CR355" s="50" t="s">
        <v>3741</v>
      </c>
      <c r="CS355" s="50" t="s">
        <v>26040</v>
      </c>
    </row>
    <row r="356" spans="1:97">
      <c r="A356" s="50" t="s">
        <v>337</v>
      </c>
      <c r="B356" s="50">
        <v>5039845</v>
      </c>
      <c r="C356" s="50" t="str">
        <f>VLOOKUP(B356,'Drop schools 2026'!B:C,2,0)</f>
        <v>Drop</v>
      </c>
      <c r="D356" s="50" t="s">
        <v>122</v>
      </c>
      <c r="E356" s="50" t="s">
        <v>12030</v>
      </c>
      <c r="F356" s="50" t="s">
        <v>20290</v>
      </c>
      <c r="G356" s="50" t="e">
        <f>VLOOKUP(B356,aa!B:F,5,0)</f>
        <v>#N/A</v>
      </c>
      <c r="H356" s="50" t="e">
        <f>VLOOKUP(B356,aa!B:J,9,0)</f>
        <v>#N/A</v>
      </c>
      <c r="I356" s="50" t="e">
        <f>VLOOKUP(B356,aa!B:L,11,0)</f>
        <v>#N/A</v>
      </c>
      <c r="J356" s="50" t="e">
        <f>VLOOKUP(B356,aa!B:O,14,0)</f>
        <v>#N/A</v>
      </c>
      <c r="K356" s="50" t="e">
        <f>VLOOKUP(B356,aa!B:R,17,0)</f>
        <v>#N/A</v>
      </c>
      <c r="L356" s="50" t="s">
        <v>193</v>
      </c>
      <c r="M356" s="50">
        <v>408314</v>
      </c>
      <c r="N356" s="50">
        <v>465067</v>
      </c>
      <c r="O356" s="50">
        <v>93019</v>
      </c>
      <c r="P356" s="50">
        <v>186</v>
      </c>
      <c r="Q356" s="50" t="s">
        <v>364</v>
      </c>
      <c r="R356" s="50">
        <v>0</v>
      </c>
      <c r="S356" s="50">
        <v>0</v>
      </c>
      <c r="U356" s="50">
        <v>315295</v>
      </c>
      <c r="V356" s="50">
        <v>186</v>
      </c>
      <c r="W356" s="50" t="s">
        <v>2007</v>
      </c>
      <c r="X356" s="50" t="s">
        <v>102</v>
      </c>
      <c r="Y356" s="50" t="s">
        <v>103</v>
      </c>
      <c r="Z356" s="50" t="s">
        <v>104</v>
      </c>
      <c r="AB356" s="50" t="s">
        <v>3258</v>
      </c>
      <c r="AC356" s="50" t="s">
        <v>20291</v>
      </c>
      <c r="AD356" s="50" t="s">
        <v>14020</v>
      </c>
      <c r="AE356" s="50" t="s">
        <v>20292</v>
      </c>
      <c r="AF356" s="50" t="s">
        <v>109</v>
      </c>
      <c r="AG356" s="50" t="s">
        <v>102</v>
      </c>
      <c r="AH356" s="50" t="s">
        <v>109</v>
      </c>
      <c r="AI356" s="50" t="s">
        <v>102</v>
      </c>
      <c r="AJ356" s="50" t="s">
        <v>20293</v>
      </c>
      <c r="AK356" s="50" t="s">
        <v>3258</v>
      </c>
      <c r="AL356" s="50" t="s">
        <v>20294</v>
      </c>
      <c r="AM356" s="50" t="s">
        <v>20295</v>
      </c>
      <c r="AN356" s="50" t="s">
        <v>20296</v>
      </c>
      <c r="AO356" s="50" t="s">
        <v>20297</v>
      </c>
      <c r="AP356" s="50" t="s">
        <v>20298</v>
      </c>
      <c r="AQ356" s="50" t="s">
        <v>20298</v>
      </c>
      <c r="AV356" s="50" t="s">
        <v>247</v>
      </c>
      <c r="AW356" s="50" t="s">
        <v>118</v>
      </c>
      <c r="AX356" s="50" t="s">
        <v>102</v>
      </c>
      <c r="AY356" s="50" t="s">
        <v>119</v>
      </c>
      <c r="BB356" s="50" t="s">
        <v>250</v>
      </c>
      <c r="BC356" s="50" t="s">
        <v>120</v>
      </c>
      <c r="BD356" s="50" t="s">
        <v>8930</v>
      </c>
      <c r="BE356" s="50" t="s">
        <v>8930</v>
      </c>
      <c r="BF356" s="50" t="s">
        <v>122</v>
      </c>
      <c r="BG356" s="50" t="s">
        <v>346</v>
      </c>
      <c r="BH356" s="50" t="s">
        <v>124</v>
      </c>
      <c r="BI356" s="50" t="s">
        <v>12023</v>
      </c>
      <c r="BJ356" s="50" t="s">
        <v>11889</v>
      </c>
      <c r="BK356" s="50" t="s">
        <v>127</v>
      </c>
      <c r="BL356" s="50" t="s">
        <v>20299</v>
      </c>
      <c r="BM356" s="50" t="s">
        <v>20300</v>
      </c>
      <c r="BN356" s="50" t="s">
        <v>20301</v>
      </c>
      <c r="BO356" s="50" t="s">
        <v>3258</v>
      </c>
      <c r="BP356" s="50" t="s">
        <v>349</v>
      </c>
      <c r="BQ356" s="50" t="s">
        <v>350</v>
      </c>
      <c r="BR356" s="50" t="s">
        <v>351</v>
      </c>
      <c r="BS356" s="50" t="s">
        <v>352</v>
      </c>
      <c r="BT356" s="50" t="s">
        <v>328</v>
      </c>
      <c r="BV356" s="50" t="s">
        <v>20302</v>
      </c>
      <c r="BW356" s="50" t="s">
        <v>20303</v>
      </c>
      <c r="BX356" s="50" t="s">
        <v>354</v>
      </c>
      <c r="BY356" s="50" t="s">
        <v>20304</v>
      </c>
      <c r="BZ356" s="50" t="s">
        <v>20305</v>
      </c>
      <c r="CA356" s="50" t="s">
        <v>20304</v>
      </c>
      <c r="CB356" s="50" t="s">
        <v>20306</v>
      </c>
      <c r="CC356" s="50" t="s">
        <v>20304</v>
      </c>
      <c r="CD356" s="50" t="s">
        <v>20305</v>
      </c>
      <c r="CE356" s="50" t="s">
        <v>20307</v>
      </c>
      <c r="CF356" s="50" t="s">
        <v>20304</v>
      </c>
      <c r="CG356" s="50" t="s">
        <v>20308</v>
      </c>
      <c r="CH356" s="50" t="s">
        <v>12171</v>
      </c>
      <c r="CI356" s="50" t="s">
        <v>20290</v>
      </c>
      <c r="CK356" s="50" t="s">
        <v>20309</v>
      </c>
      <c r="CL356" s="50" t="s">
        <v>20290</v>
      </c>
      <c r="CM356" s="50" t="s">
        <v>8930</v>
      </c>
      <c r="CN356" s="50" t="s">
        <v>8930</v>
      </c>
      <c r="CO356" s="50" t="s">
        <v>20309</v>
      </c>
      <c r="CP356" s="50" t="s">
        <v>20310</v>
      </c>
      <c r="CQ356" s="50" t="s">
        <v>20311</v>
      </c>
      <c r="CR356" s="50" t="s">
        <v>20311</v>
      </c>
    </row>
    <row r="357" spans="1:97" hidden="1">
      <c r="A357" s="50" t="s">
        <v>337</v>
      </c>
      <c r="B357" s="50">
        <v>2379583</v>
      </c>
      <c r="C357" s="50" t="e">
        <f>VLOOKUP(B357,'Drop schools 2026'!B:C,2,0)</f>
        <v>#N/A</v>
      </c>
      <c r="D357" s="50" t="s">
        <v>212</v>
      </c>
      <c r="E357" s="50" t="s">
        <v>12834</v>
      </c>
      <c r="F357" s="50" t="s">
        <v>13804</v>
      </c>
      <c r="G357" s="50" t="e">
        <f>VLOOKUP(B357,aa!B:F,5,0)</f>
        <v>#N/A</v>
      </c>
      <c r="H357" s="50" t="e">
        <f>VLOOKUP(B357,aa!B:J,9,0)</f>
        <v>#N/A</v>
      </c>
      <c r="I357" s="50" t="e">
        <f>VLOOKUP(B357,aa!B:L,11,0)</f>
        <v>#N/A</v>
      </c>
      <c r="J357" s="50" t="e">
        <f>VLOOKUP(B357,aa!B:O,14,0)</f>
        <v>#N/A</v>
      </c>
      <c r="K357" s="50" t="e">
        <f>VLOOKUP(B357,aa!B:R,17,0)</f>
        <v>#N/A</v>
      </c>
      <c r="L357" s="50" t="s">
        <v>97</v>
      </c>
      <c r="M357" s="50">
        <v>408000</v>
      </c>
      <c r="N357" s="50">
        <v>408000</v>
      </c>
      <c r="O357" s="50">
        <v>408000</v>
      </c>
      <c r="P357" s="50">
        <v>680</v>
      </c>
      <c r="Q357" s="50" t="s">
        <v>310</v>
      </c>
      <c r="R357" s="50">
        <v>0</v>
      </c>
      <c r="S357" s="50">
        <v>0</v>
      </c>
      <c r="U357" s="50">
        <v>0</v>
      </c>
      <c r="V357" s="50">
        <v>0</v>
      </c>
      <c r="X357" s="50" t="s">
        <v>102</v>
      </c>
      <c r="Y357" s="50" t="s">
        <v>103</v>
      </c>
      <c r="Z357" s="50" t="s">
        <v>398</v>
      </c>
      <c r="AB357" s="50" t="s">
        <v>12128</v>
      </c>
      <c r="AC357" s="50" t="s">
        <v>13805</v>
      </c>
      <c r="AD357" s="50" t="s">
        <v>12836</v>
      </c>
      <c r="AE357" s="50" t="s">
        <v>13806</v>
      </c>
      <c r="AF357" s="50" t="s">
        <v>12838</v>
      </c>
      <c r="AG357" s="50" t="s">
        <v>13806</v>
      </c>
      <c r="AH357" s="50" t="s">
        <v>109</v>
      </c>
      <c r="AI357" s="50" t="s">
        <v>102</v>
      </c>
      <c r="AJ357" s="50" t="s">
        <v>102</v>
      </c>
      <c r="AM357" s="50" t="s">
        <v>13807</v>
      </c>
      <c r="AN357" s="50" t="s">
        <v>102</v>
      </c>
      <c r="AO357" s="50" t="s">
        <v>13807</v>
      </c>
      <c r="AP357" s="50" t="s">
        <v>317</v>
      </c>
      <c r="AQ357" s="50" t="s">
        <v>317</v>
      </c>
      <c r="AV357" s="50" t="s">
        <v>318</v>
      </c>
      <c r="AW357" s="50" t="s">
        <v>118</v>
      </c>
      <c r="AX357" s="50" t="s">
        <v>102</v>
      </c>
      <c r="AY357" s="50" t="s">
        <v>119</v>
      </c>
      <c r="BC357" s="50" t="s">
        <v>120</v>
      </c>
      <c r="BD357" s="50" t="s">
        <v>920</v>
      </c>
      <c r="BE357" s="50" t="s">
        <v>211</v>
      </c>
      <c r="BF357" s="50" t="s">
        <v>212</v>
      </c>
      <c r="BG357" s="50" t="s">
        <v>213</v>
      </c>
      <c r="BH357" s="50" t="s">
        <v>124</v>
      </c>
      <c r="BI357" s="50" t="s">
        <v>12023</v>
      </c>
      <c r="BJ357" s="50" t="s">
        <v>11889</v>
      </c>
      <c r="BK357" s="50" t="s">
        <v>127</v>
      </c>
      <c r="BL357" s="50" t="s">
        <v>13808</v>
      </c>
      <c r="BM357" s="50" t="s">
        <v>13809</v>
      </c>
      <c r="BN357" s="50" t="s">
        <v>13810</v>
      </c>
      <c r="BO357" s="50" t="s">
        <v>411</v>
      </c>
      <c r="BP357" s="50" t="s">
        <v>480</v>
      </c>
      <c r="BQ357" s="50" t="s">
        <v>505</v>
      </c>
      <c r="BR357" s="50" t="s">
        <v>481</v>
      </c>
      <c r="BS357" s="50" t="s">
        <v>482</v>
      </c>
      <c r="BT357" s="50" t="s">
        <v>2593</v>
      </c>
      <c r="BU357" s="50" t="s">
        <v>4997</v>
      </c>
      <c r="BV357" s="50" t="s">
        <v>13811</v>
      </c>
      <c r="BW357" s="50" t="s">
        <v>13812</v>
      </c>
      <c r="BX357" s="50" t="s">
        <v>138</v>
      </c>
      <c r="BY357" s="50" t="s">
        <v>481</v>
      </c>
      <c r="BZ357" s="50" t="s">
        <v>12845</v>
      </c>
      <c r="CA357" s="50" t="s">
        <v>13813</v>
      </c>
      <c r="CB357" s="50" t="s">
        <v>13055</v>
      </c>
      <c r="CC357" s="50" t="s">
        <v>13814</v>
      </c>
      <c r="CD357" s="50" t="s">
        <v>13057</v>
      </c>
      <c r="CE357" s="50" t="s">
        <v>13815</v>
      </c>
      <c r="CF357" s="50" t="s">
        <v>13816</v>
      </c>
      <c r="CG357" s="50" t="s">
        <v>13817</v>
      </c>
      <c r="CH357" s="50" t="s">
        <v>5581</v>
      </c>
      <c r="CI357" s="50" t="s">
        <v>13818</v>
      </c>
      <c r="CK357" s="50" t="s">
        <v>13819</v>
      </c>
      <c r="CL357" s="50" t="s">
        <v>13818</v>
      </c>
      <c r="CM357" s="50" t="s">
        <v>920</v>
      </c>
      <c r="CN357" s="50" t="s">
        <v>211</v>
      </c>
      <c r="CO357" s="50" t="s">
        <v>13819</v>
      </c>
      <c r="CQ357" s="50" t="s">
        <v>13820</v>
      </c>
      <c r="CR357" s="50" t="s">
        <v>13820</v>
      </c>
    </row>
    <row r="358" spans="1:97">
      <c r="A358" s="50" t="s">
        <v>337</v>
      </c>
      <c r="B358" s="50">
        <v>5018537</v>
      </c>
      <c r="C358" s="50" t="e">
        <f>VLOOKUP(B358,'Drop schools 2026'!B:C,2,0)</f>
        <v>#N/A</v>
      </c>
      <c r="D358" s="50" t="s">
        <v>122</v>
      </c>
      <c r="E358" s="50" t="s">
        <v>11882</v>
      </c>
      <c r="F358" s="52" t="s">
        <v>19997</v>
      </c>
      <c r="G358" s="50" t="e">
        <f>VLOOKUP(B358,aa!B:F,5,0)</f>
        <v>#N/A</v>
      </c>
      <c r="H358" s="50" t="e">
        <f>VLOOKUP(B358,aa!B:J,9,0)</f>
        <v>#N/A</v>
      </c>
      <c r="I358" s="50" t="e">
        <f>VLOOKUP(B358,aa!B:L,11,0)</f>
        <v>#N/A</v>
      </c>
      <c r="J358" s="50" t="e">
        <f>VLOOKUP(B358,aa!B:O,14,0)</f>
        <v>#N/A</v>
      </c>
      <c r="K358" s="50" t="e">
        <f>VLOOKUP(B358,aa!B:R,17,0)</f>
        <v>#N/A</v>
      </c>
      <c r="L358" s="50" t="s">
        <v>152</v>
      </c>
      <c r="M358" s="50">
        <v>402500</v>
      </c>
      <c r="N358" s="50">
        <v>402500</v>
      </c>
      <c r="O358" s="50">
        <v>0</v>
      </c>
      <c r="P358" s="50">
        <v>0</v>
      </c>
      <c r="R358" s="50">
        <v>402500</v>
      </c>
      <c r="S358" s="50">
        <v>250</v>
      </c>
      <c r="T358" s="50" t="s">
        <v>6839</v>
      </c>
      <c r="U358" s="50">
        <v>0</v>
      </c>
      <c r="V358" s="50">
        <v>0</v>
      </c>
      <c r="X358" s="50" t="s">
        <v>102</v>
      </c>
      <c r="Y358" s="50" t="s">
        <v>103</v>
      </c>
      <c r="Z358" s="50" t="s">
        <v>155</v>
      </c>
      <c r="AB358" s="50" t="s">
        <v>3880</v>
      </c>
      <c r="AC358" s="50" t="s">
        <v>19998</v>
      </c>
      <c r="AD358" s="50" t="s">
        <v>1408</v>
      </c>
      <c r="AE358" s="50" t="s">
        <v>19998</v>
      </c>
      <c r="AF358" s="50" t="s">
        <v>12289</v>
      </c>
      <c r="AG358" s="50" t="s">
        <v>19998</v>
      </c>
      <c r="AH358" s="50" t="s">
        <v>6895</v>
      </c>
      <c r="AI358" s="50" t="s">
        <v>19998</v>
      </c>
      <c r="AJ358" s="50" t="s">
        <v>102</v>
      </c>
      <c r="AK358" s="50" t="s">
        <v>4757</v>
      </c>
      <c r="AL358" s="50" t="s">
        <v>12086</v>
      </c>
      <c r="AM358" s="50" t="s">
        <v>19999</v>
      </c>
      <c r="AN358" s="50" t="s">
        <v>20000</v>
      </c>
      <c r="AO358" s="50" t="s">
        <v>20001</v>
      </c>
      <c r="AP358" s="50" t="s">
        <v>20002</v>
      </c>
      <c r="AQ358" s="50" t="s">
        <v>20002</v>
      </c>
      <c r="AV358" s="50" t="s">
        <v>102</v>
      </c>
      <c r="AX358" s="50" t="s">
        <v>155</v>
      </c>
      <c r="AY358" s="50" t="s">
        <v>119</v>
      </c>
      <c r="AZ358" s="50" t="s">
        <v>170</v>
      </c>
      <c r="BA358" s="50" t="s">
        <v>118</v>
      </c>
      <c r="BC358" s="50" t="s">
        <v>120</v>
      </c>
      <c r="BD358" s="50" t="s">
        <v>20003</v>
      </c>
      <c r="BE358" s="50" t="s">
        <v>252</v>
      </c>
      <c r="BF358" s="50" t="s">
        <v>122</v>
      </c>
      <c r="BG358" s="50" t="s">
        <v>253</v>
      </c>
      <c r="BH358" s="50" t="s">
        <v>124</v>
      </c>
      <c r="BI358" s="50" t="s">
        <v>12023</v>
      </c>
      <c r="BJ358" s="50" t="s">
        <v>11889</v>
      </c>
      <c r="BK358" s="50" t="s">
        <v>127</v>
      </c>
      <c r="BL358" s="50" t="s">
        <v>20004</v>
      </c>
      <c r="BM358" s="50" t="s">
        <v>20005</v>
      </c>
      <c r="BN358" s="50" t="s">
        <v>20006</v>
      </c>
      <c r="BO358" s="50" t="s">
        <v>680</v>
      </c>
      <c r="BP358" s="50" t="s">
        <v>12453</v>
      </c>
      <c r="BQ358" s="50" t="s">
        <v>258</v>
      </c>
      <c r="BR358" s="50" t="s">
        <v>12454</v>
      </c>
      <c r="BS358" s="50" t="s">
        <v>12455</v>
      </c>
      <c r="BT358" s="50" t="s">
        <v>1995</v>
      </c>
      <c r="BV358" s="50" t="s">
        <v>20007</v>
      </c>
      <c r="BW358" s="50" t="s">
        <v>20008</v>
      </c>
      <c r="BX358" s="50" t="s">
        <v>354</v>
      </c>
      <c r="BY358" s="50" t="s">
        <v>20009</v>
      </c>
      <c r="BZ358" s="50" t="s">
        <v>20010</v>
      </c>
      <c r="CA358" s="50" t="s">
        <v>20009</v>
      </c>
      <c r="CB358" s="50" t="s">
        <v>20011</v>
      </c>
      <c r="CC358" s="50" t="s">
        <v>20012</v>
      </c>
      <c r="CD358" s="50" t="s">
        <v>20013</v>
      </c>
      <c r="CE358" s="50" t="s">
        <v>20011</v>
      </c>
      <c r="CF358" s="50" t="s">
        <v>20012</v>
      </c>
      <c r="CG358" s="50" t="s">
        <v>20013</v>
      </c>
      <c r="CH358" s="50" t="s">
        <v>3968</v>
      </c>
      <c r="CI358" s="50" t="s">
        <v>20014</v>
      </c>
      <c r="CK358" s="50" t="s">
        <v>20015</v>
      </c>
      <c r="CL358" s="50" t="s">
        <v>20014</v>
      </c>
      <c r="CM358" s="50" t="s">
        <v>20003</v>
      </c>
      <c r="CN358" s="50" t="s">
        <v>252</v>
      </c>
      <c r="CO358" s="50" t="s">
        <v>20015</v>
      </c>
      <c r="CQ358" s="50" t="s">
        <v>20014</v>
      </c>
      <c r="CR358" s="50" t="s">
        <v>20016</v>
      </c>
    </row>
    <row r="359" spans="1:97" hidden="1">
      <c r="A359" s="50" t="s">
        <v>93</v>
      </c>
      <c r="B359" s="50">
        <v>19028</v>
      </c>
      <c r="C359" s="50" t="e">
        <f>VLOOKUP(B359,'Drop schools 2026'!B:C,2,0)</f>
        <v>#N/A</v>
      </c>
      <c r="D359" s="50" t="s">
        <v>122</v>
      </c>
      <c r="E359" s="50" t="s">
        <v>13158</v>
      </c>
      <c r="F359" s="50" t="s">
        <v>2191</v>
      </c>
      <c r="G359" s="50" t="e">
        <f>VLOOKUP(B359,aa!B:F,5,0)</f>
        <v>#N/A</v>
      </c>
      <c r="H359" s="50" t="e">
        <f>VLOOKUP(B359,aa!B:J,9,0)</f>
        <v>#N/A</v>
      </c>
      <c r="I359" s="50" t="e">
        <f>VLOOKUP(B359,aa!B:L,11,0)</f>
        <v>#N/A</v>
      </c>
      <c r="J359" s="50" t="e">
        <f>VLOOKUP(B359,aa!B:O,14,0)</f>
        <v>#N/A</v>
      </c>
      <c r="K359" s="50" t="e">
        <f>VLOOKUP(B359,aa!B:R,17,0)</f>
        <v>#N/A</v>
      </c>
      <c r="L359" s="50" t="s">
        <v>2193</v>
      </c>
      <c r="M359" s="50">
        <v>400000</v>
      </c>
      <c r="N359" s="50">
        <v>472000</v>
      </c>
      <c r="O359" s="50">
        <v>0</v>
      </c>
      <c r="P359" s="50">
        <v>1740</v>
      </c>
      <c r="Q359" s="50" t="s">
        <v>102</v>
      </c>
      <c r="R359" s="50">
        <v>0</v>
      </c>
      <c r="S359" s="50">
        <v>0</v>
      </c>
      <c r="T359" s="50" t="s">
        <v>102</v>
      </c>
      <c r="U359" s="50">
        <v>0</v>
      </c>
      <c r="V359" s="50">
        <v>0</v>
      </c>
      <c r="W359" s="50" t="s">
        <v>102</v>
      </c>
      <c r="X359" s="50" t="s">
        <v>2195</v>
      </c>
      <c r="Y359" s="50" t="s">
        <v>103</v>
      </c>
      <c r="Z359" s="50" t="s">
        <v>2196</v>
      </c>
      <c r="AA359" s="50" t="s">
        <v>12023</v>
      </c>
      <c r="AB359" s="50" t="s">
        <v>13159</v>
      </c>
      <c r="AC359" s="50" t="s">
        <v>102</v>
      </c>
      <c r="AD359" s="50" t="s">
        <v>13160</v>
      </c>
      <c r="AE359" s="50" t="s">
        <v>102</v>
      </c>
      <c r="AF359" s="50" t="s">
        <v>13161</v>
      </c>
      <c r="AG359" s="50" t="s">
        <v>102</v>
      </c>
      <c r="AH359" s="50" t="s">
        <v>12764</v>
      </c>
      <c r="AI359" s="50" t="s">
        <v>102</v>
      </c>
      <c r="AJ359" s="50" t="s">
        <v>102</v>
      </c>
      <c r="AK359" s="50" t="s">
        <v>12023</v>
      </c>
      <c r="AL359" s="50" t="s">
        <v>12023</v>
      </c>
      <c r="AM359" s="50" t="s">
        <v>2195</v>
      </c>
      <c r="AN359" s="50" t="s">
        <v>102</v>
      </c>
      <c r="AO359" s="50" t="s">
        <v>2195</v>
      </c>
      <c r="AP359" s="50" t="s">
        <v>2202</v>
      </c>
      <c r="AQ359" s="50" t="s">
        <v>2202</v>
      </c>
      <c r="AR359" s="50" t="s">
        <v>102</v>
      </c>
      <c r="AS359" s="50" t="s">
        <v>102</v>
      </c>
      <c r="AT359" s="50" t="s">
        <v>102</v>
      </c>
      <c r="AU359" s="50" t="s">
        <v>102</v>
      </c>
      <c r="AV359" s="50" t="s">
        <v>247</v>
      </c>
      <c r="AW359" s="50" t="s">
        <v>118</v>
      </c>
      <c r="AX359" s="50" t="s">
        <v>102</v>
      </c>
      <c r="AY359" s="50" t="s">
        <v>119</v>
      </c>
      <c r="BC359" s="50" t="s">
        <v>120</v>
      </c>
      <c r="BD359" s="50" t="s">
        <v>2204</v>
      </c>
      <c r="BE359" s="50" t="s">
        <v>121</v>
      </c>
      <c r="BF359" s="50" t="s">
        <v>122</v>
      </c>
      <c r="BG359" s="50" t="s">
        <v>123</v>
      </c>
      <c r="BH359" s="50" t="s">
        <v>124</v>
      </c>
      <c r="BI359" s="50" t="s">
        <v>12023</v>
      </c>
      <c r="BJ359" s="50" t="s">
        <v>13162</v>
      </c>
      <c r="BK359" s="50" t="s">
        <v>2207</v>
      </c>
      <c r="BL359" s="50" t="s">
        <v>13163</v>
      </c>
      <c r="BM359" s="50" t="s">
        <v>2209</v>
      </c>
      <c r="BN359" s="50" t="s">
        <v>13164</v>
      </c>
      <c r="BO359" s="50" t="s">
        <v>13159</v>
      </c>
      <c r="BP359" s="50" t="s">
        <v>2766</v>
      </c>
      <c r="BQ359" s="50" t="s">
        <v>3064</v>
      </c>
      <c r="BR359" s="50" t="s">
        <v>2213</v>
      </c>
      <c r="BS359" s="50" t="s">
        <v>2214</v>
      </c>
      <c r="BT359" s="50" t="s">
        <v>2215</v>
      </c>
      <c r="BU359" s="50" t="s">
        <v>2216</v>
      </c>
      <c r="BV359" s="50" t="s">
        <v>13165</v>
      </c>
      <c r="BW359" s="50" t="s">
        <v>13166</v>
      </c>
      <c r="BX359" s="50" t="s">
        <v>138</v>
      </c>
      <c r="BY359" s="50" t="s">
        <v>225</v>
      </c>
      <c r="BZ359" s="50" t="s">
        <v>2222</v>
      </c>
      <c r="CA359" s="50" t="s">
        <v>2220</v>
      </c>
      <c r="CB359" s="50" t="s">
        <v>3066</v>
      </c>
      <c r="CC359" s="50" t="s">
        <v>2220</v>
      </c>
      <c r="CD359" s="50" t="s">
        <v>2222</v>
      </c>
      <c r="CE359" s="50" t="s">
        <v>13167</v>
      </c>
      <c r="CF359" s="50" t="s">
        <v>2220</v>
      </c>
      <c r="CG359" s="50" t="s">
        <v>13168</v>
      </c>
      <c r="CH359" s="50" t="s">
        <v>2223</v>
      </c>
      <c r="CI359" s="50" t="s">
        <v>13169</v>
      </c>
      <c r="CK359" s="50" t="s">
        <v>2225</v>
      </c>
      <c r="CL359" s="50" t="s">
        <v>2224</v>
      </c>
      <c r="CM359" s="50" t="s">
        <v>2204</v>
      </c>
      <c r="CN359" s="50" t="s">
        <v>2226</v>
      </c>
      <c r="CO359" s="50" t="s">
        <v>2225</v>
      </c>
      <c r="CQ359" s="50" t="s">
        <v>2224</v>
      </c>
      <c r="CR359" s="50" t="s">
        <v>2224</v>
      </c>
    </row>
    <row r="360" spans="1:97" hidden="1">
      <c r="A360" s="50" t="s">
        <v>93</v>
      </c>
      <c r="B360" s="50">
        <v>212432</v>
      </c>
      <c r="C360" s="50" t="e">
        <f>VLOOKUP(B360,'Drop schools 2026'!B:C,2,0)</f>
        <v>#N/A</v>
      </c>
      <c r="D360" s="50" t="s">
        <v>122</v>
      </c>
      <c r="E360" s="50" t="s">
        <v>13158</v>
      </c>
      <c r="F360" s="50" t="s">
        <v>13569</v>
      </c>
      <c r="G360" s="50" t="e">
        <f>VLOOKUP(B360,aa!B:F,5,0)</f>
        <v>#N/A</v>
      </c>
      <c r="H360" s="50" t="e">
        <f>VLOOKUP(B360,aa!B:J,9,0)</f>
        <v>#N/A</v>
      </c>
      <c r="I360" s="50" t="e">
        <f>VLOOKUP(B360,aa!B:L,11,0)</f>
        <v>#N/A</v>
      </c>
      <c r="J360" s="50" t="e">
        <f>VLOOKUP(B360,aa!B:O,14,0)</f>
        <v>#N/A</v>
      </c>
      <c r="K360" s="50" t="e">
        <f>VLOOKUP(B360,aa!B:R,17,0)</f>
        <v>#N/A</v>
      </c>
      <c r="L360" s="50" t="s">
        <v>2193</v>
      </c>
      <c r="M360" s="50">
        <v>400000</v>
      </c>
      <c r="N360" s="50">
        <v>472000</v>
      </c>
      <c r="O360" s="50">
        <v>0</v>
      </c>
      <c r="P360" s="50">
        <v>1124</v>
      </c>
      <c r="Q360" s="50" t="s">
        <v>102</v>
      </c>
      <c r="R360" s="50">
        <v>0</v>
      </c>
      <c r="S360" s="50">
        <v>0</v>
      </c>
      <c r="T360" s="50" t="s">
        <v>102</v>
      </c>
      <c r="U360" s="50">
        <v>0</v>
      </c>
      <c r="V360" s="50">
        <v>0</v>
      </c>
      <c r="W360" s="50" t="s">
        <v>102</v>
      </c>
      <c r="X360" s="50" t="s">
        <v>2195</v>
      </c>
      <c r="Y360" s="50" t="s">
        <v>103</v>
      </c>
      <c r="Z360" s="50" t="s">
        <v>2196</v>
      </c>
      <c r="AA360" s="50" t="s">
        <v>12023</v>
      </c>
      <c r="AB360" s="50" t="s">
        <v>13159</v>
      </c>
      <c r="AC360" s="50" t="s">
        <v>102</v>
      </c>
      <c r="AD360" s="50" t="s">
        <v>13160</v>
      </c>
      <c r="AE360" s="50" t="s">
        <v>102</v>
      </c>
      <c r="AF360" s="50" t="s">
        <v>13161</v>
      </c>
      <c r="AG360" s="50" t="s">
        <v>102</v>
      </c>
      <c r="AH360" s="50" t="s">
        <v>12764</v>
      </c>
      <c r="AI360" s="50" t="s">
        <v>102</v>
      </c>
      <c r="AJ360" s="50" t="s">
        <v>102</v>
      </c>
      <c r="AK360" s="50" t="s">
        <v>12023</v>
      </c>
      <c r="AL360" s="50" t="s">
        <v>12023</v>
      </c>
      <c r="AM360" s="50" t="s">
        <v>2195</v>
      </c>
      <c r="AN360" s="50" t="s">
        <v>102</v>
      </c>
      <c r="AO360" s="50" t="s">
        <v>2195</v>
      </c>
      <c r="AP360" s="50" t="s">
        <v>2202</v>
      </c>
      <c r="AQ360" s="50" t="s">
        <v>2202</v>
      </c>
      <c r="AR360" s="50" t="s">
        <v>102</v>
      </c>
      <c r="AS360" s="50" t="s">
        <v>102</v>
      </c>
      <c r="AT360" s="50" t="s">
        <v>102</v>
      </c>
      <c r="AU360" s="50" t="s">
        <v>102</v>
      </c>
      <c r="AV360" s="50" t="s">
        <v>247</v>
      </c>
      <c r="AW360" s="50" t="s">
        <v>118</v>
      </c>
      <c r="AX360" s="50" t="s">
        <v>102</v>
      </c>
      <c r="AY360" s="50" t="s">
        <v>119</v>
      </c>
      <c r="BC360" s="50" t="s">
        <v>120</v>
      </c>
      <c r="BD360" s="50" t="s">
        <v>2204</v>
      </c>
      <c r="BE360" s="50" t="s">
        <v>121</v>
      </c>
      <c r="BF360" s="50" t="s">
        <v>122</v>
      </c>
      <c r="BG360" s="50" t="s">
        <v>123</v>
      </c>
      <c r="BH360" s="50" t="s">
        <v>124</v>
      </c>
      <c r="BI360" s="50" t="s">
        <v>12023</v>
      </c>
      <c r="BJ360" s="50" t="s">
        <v>13162</v>
      </c>
      <c r="BK360" s="50" t="s">
        <v>2207</v>
      </c>
      <c r="BL360" s="50" t="s">
        <v>13570</v>
      </c>
      <c r="BM360" s="50" t="s">
        <v>2764</v>
      </c>
      <c r="BN360" s="50" t="s">
        <v>13571</v>
      </c>
      <c r="BO360" s="50" t="s">
        <v>13159</v>
      </c>
      <c r="BP360" s="50" t="s">
        <v>2766</v>
      </c>
      <c r="BQ360" s="50" t="s">
        <v>3064</v>
      </c>
      <c r="BR360" s="50" t="s">
        <v>2213</v>
      </c>
      <c r="BS360" s="50" t="s">
        <v>2214</v>
      </c>
      <c r="BT360" s="50" t="s">
        <v>2215</v>
      </c>
      <c r="BU360" s="50" t="s">
        <v>2216</v>
      </c>
      <c r="BV360" s="50" t="s">
        <v>13572</v>
      </c>
      <c r="BW360" s="50" t="s">
        <v>13573</v>
      </c>
      <c r="BX360" s="50" t="s">
        <v>138</v>
      </c>
      <c r="BY360" s="50" t="s">
        <v>225</v>
      </c>
      <c r="BZ360" s="50" t="s">
        <v>13574</v>
      </c>
      <c r="CA360" s="50" t="s">
        <v>2772</v>
      </c>
      <c r="CB360" s="50" t="s">
        <v>13573</v>
      </c>
      <c r="CC360" s="50" t="s">
        <v>2772</v>
      </c>
      <c r="CD360" s="50" t="s">
        <v>13574</v>
      </c>
      <c r="CE360" s="50" t="s">
        <v>13575</v>
      </c>
      <c r="CF360" s="50" t="s">
        <v>2772</v>
      </c>
      <c r="CG360" s="50" t="s">
        <v>13574</v>
      </c>
      <c r="CH360" s="50" t="s">
        <v>2773</v>
      </c>
      <c r="CI360" s="50" t="s">
        <v>13576</v>
      </c>
      <c r="CK360" s="50" t="s">
        <v>2775</v>
      </c>
      <c r="CL360" s="50" t="s">
        <v>2774</v>
      </c>
      <c r="CM360" s="50" t="s">
        <v>2204</v>
      </c>
      <c r="CN360" s="50" t="s">
        <v>2226</v>
      </c>
      <c r="CO360" s="50" t="s">
        <v>2775</v>
      </c>
      <c r="CP360" s="50" t="s">
        <v>2776</v>
      </c>
      <c r="CQ360" s="50" t="s">
        <v>2774</v>
      </c>
      <c r="CR360" s="50" t="s">
        <v>2774</v>
      </c>
    </row>
    <row r="361" spans="1:97" hidden="1">
      <c r="A361" s="50" t="s">
        <v>93</v>
      </c>
      <c r="B361" s="50">
        <v>234775</v>
      </c>
      <c r="C361" s="50" t="e">
        <f>VLOOKUP(B361,'Drop schools 2026'!B:C,2,0)</f>
        <v>#N/A</v>
      </c>
      <c r="D361" s="50" t="s">
        <v>122</v>
      </c>
      <c r="E361" s="50" t="s">
        <v>13158</v>
      </c>
      <c r="F361" s="50" t="s">
        <v>13749</v>
      </c>
      <c r="G361" s="50" t="e">
        <f>VLOOKUP(B361,aa!B:F,5,0)</f>
        <v>#N/A</v>
      </c>
      <c r="H361" s="50" t="e">
        <f>VLOOKUP(B361,aa!B:J,9,0)</f>
        <v>#N/A</v>
      </c>
      <c r="I361" s="50" t="e">
        <f>VLOOKUP(B361,aa!B:L,11,0)</f>
        <v>#N/A</v>
      </c>
      <c r="J361" s="50" t="e">
        <f>VLOOKUP(B361,aa!B:O,14,0)</f>
        <v>#N/A</v>
      </c>
      <c r="K361" s="50" t="e">
        <f>VLOOKUP(B361,aa!B:R,17,0)</f>
        <v>#N/A</v>
      </c>
      <c r="L361" s="50" t="s">
        <v>2193</v>
      </c>
      <c r="M361" s="50">
        <v>400000</v>
      </c>
      <c r="N361" s="50">
        <v>472000</v>
      </c>
      <c r="O361" s="50">
        <v>0</v>
      </c>
      <c r="P361" s="50">
        <v>1345</v>
      </c>
      <c r="Q361" s="50" t="s">
        <v>102</v>
      </c>
      <c r="R361" s="50">
        <v>0</v>
      </c>
      <c r="S361" s="50">
        <v>0</v>
      </c>
      <c r="T361" s="50" t="s">
        <v>102</v>
      </c>
      <c r="U361" s="50">
        <v>0</v>
      </c>
      <c r="V361" s="50">
        <v>0</v>
      </c>
      <c r="W361" s="50" t="s">
        <v>102</v>
      </c>
      <c r="X361" s="50" t="s">
        <v>2195</v>
      </c>
      <c r="Y361" s="50" t="s">
        <v>103</v>
      </c>
      <c r="Z361" s="50" t="s">
        <v>2196</v>
      </c>
      <c r="AA361" s="50" t="s">
        <v>12023</v>
      </c>
      <c r="AB361" s="50" t="s">
        <v>13159</v>
      </c>
      <c r="AC361" s="50" t="s">
        <v>102</v>
      </c>
      <c r="AD361" s="50" t="s">
        <v>13160</v>
      </c>
      <c r="AE361" s="50" t="s">
        <v>102</v>
      </c>
      <c r="AF361" s="50" t="s">
        <v>13161</v>
      </c>
      <c r="AG361" s="50" t="s">
        <v>102</v>
      </c>
      <c r="AH361" s="50" t="s">
        <v>12764</v>
      </c>
      <c r="AI361" s="50" t="s">
        <v>102</v>
      </c>
      <c r="AJ361" s="50" t="s">
        <v>102</v>
      </c>
      <c r="AK361" s="50" t="s">
        <v>12023</v>
      </c>
      <c r="AL361" s="50" t="s">
        <v>12023</v>
      </c>
      <c r="AM361" s="50" t="s">
        <v>2195</v>
      </c>
      <c r="AN361" s="50" t="s">
        <v>102</v>
      </c>
      <c r="AO361" s="50" t="s">
        <v>2195</v>
      </c>
      <c r="AP361" s="50" t="s">
        <v>2202</v>
      </c>
      <c r="AQ361" s="50" t="s">
        <v>2202</v>
      </c>
      <c r="AR361" s="50" t="s">
        <v>102</v>
      </c>
      <c r="AS361" s="50" t="s">
        <v>102</v>
      </c>
      <c r="AT361" s="50" t="s">
        <v>102</v>
      </c>
      <c r="AU361" s="50" t="s">
        <v>102</v>
      </c>
      <c r="AV361" s="50" t="s">
        <v>247</v>
      </c>
      <c r="AW361" s="50" t="s">
        <v>118</v>
      </c>
      <c r="AX361" s="50" t="s">
        <v>102</v>
      </c>
      <c r="AY361" s="50" t="s">
        <v>119</v>
      </c>
      <c r="BC361" s="50" t="s">
        <v>120</v>
      </c>
      <c r="BD361" s="50" t="s">
        <v>3058</v>
      </c>
      <c r="BE361" s="50" t="s">
        <v>320</v>
      </c>
      <c r="BF361" s="50" t="s">
        <v>122</v>
      </c>
      <c r="BG361" s="50" t="s">
        <v>123</v>
      </c>
      <c r="BH361" s="50" t="s">
        <v>124</v>
      </c>
      <c r="BI361" s="50" t="s">
        <v>12023</v>
      </c>
      <c r="BJ361" s="50" t="s">
        <v>13162</v>
      </c>
      <c r="BK361" s="50" t="s">
        <v>2207</v>
      </c>
      <c r="BL361" s="50" t="s">
        <v>13750</v>
      </c>
      <c r="BM361" s="50" t="s">
        <v>3062</v>
      </c>
      <c r="BN361" s="50" t="s">
        <v>13751</v>
      </c>
      <c r="BO361" s="50" t="s">
        <v>13159</v>
      </c>
      <c r="BP361" s="50" t="s">
        <v>2766</v>
      </c>
      <c r="BQ361" s="50" t="s">
        <v>3064</v>
      </c>
      <c r="BR361" s="50" t="s">
        <v>2213</v>
      </c>
      <c r="BS361" s="50" t="s">
        <v>2214</v>
      </c>
      <c r="BT361" s="50" t="s">
        <v>2215</v>
      </c>
      <c r="BU361" s="50" t="s">
        <v>2216</v>
      </c>
      <c r="BV361" s="50" t="s">
        <v>13752</v>
      </c>
      <c r="BW361" s="50" t="s">
        <v>13753</v>
      </c>
      <c r="BX361" s="50" t="s">
        <v>138</v>
      </c>
      <c r="BY361" s="50" t="s">
        <v>225</v>
      </c>
      <c r="BZ361" s="50" t="s">
        <v>13754</v>
      </c>
      <c r="CA361" s="50" t="s">
        <v>3067</v>
      </c>
      <c r="CB361" s="50" t="s">
        <v>13753</v>
      </c>
      <c r="CC361" s="50" t="s">
        <v>13755</v>
      </c>
      <c r="CD361" s="50" t="s">
        <v>13754</v>
      </c>
      <c r="CE361" s="50" t="s">
        <v>13756</v>
      </c>
      <c r="CF361" s="50" t="s">
        <v>3067</v>
      </c>
      <c r="CG361" s="50" t="s">
        <v>13757</v>
      </c>
      <c r="CH361" s="50" t="s">
        <v>3068</v>
      </c>
      <c r="CI361" s="50" t="s">
        <v>3069</v>
      </c>
      <c r="CK361" s="50" t="s">
        <v>3070</v>
      </c>
      <c r="CL361" s="50" t="s">
        <v>3069</v>
      </c>
      <c r="CM361" s="50" t="s">
        <v>3058</v>
      </c>
      <c r="CN361" s="50" t="s">
        <v>320</v>
      </c>
      <c r="CO361" s="50" t="s">
        <v>3070</v>
      </c>
      <c r="CQ361" s="50" t="s">
        <v>3069</v>
      </c>
      <c r="CR361" s="50" t="s">
        <v>3069</v>
      </c>
    </row>
    <row r="362" spans="1:97" hidden="1">
      <c r="A362" s="50" t="s">
        <v>93</v>
      </c>
      <c r="B362" s="50">
        <v>2449</v>
      </c>
      <c r="C362" s="50" t="e">
        <f>VLOOKUP(B362,'Drop schools 2026'!B:C,2,0)</f>
        <v>#N/A</v>
      </c>
      <c r="D362" s="50" t="s">
        <v>122</v>
      </c>
      <c r="E362" s="50" t="s">
        <v>13158</v>
      </c>
      <c r="F362" s="50" t="s">
        <v>3395</v>
      </c>
      <c r="G362" s="50" t="e">
        <f>VLOOKUP(B362,aa!B:F,5,0)</f>
        <v>#N/A</v>
      </c>
      <c r="H362" s="50" t="e">
        <f>VLOOKUP(B362,aa!B:J,9,0)</f>
        <v>#N/A</v>
      </c>
      <c r="I362" s="50" t="e">
        <f>VLOOKUP(B362,aa!B:L,11,0)</f>
        <v>#N/A</v>
      </c>
      <c r="J362" s="50" t="e">
        <f>VLOOKUP(B362,aa!B:O,14,0)</f>
        <v>#N/A</v>
      </c>
      <c r="K362" s="50" t="e">
        <f>VLOOKUP(B362,aa!B:R,17,0)</f>
        <v>#N/A</v>
      </c>
      <c r="L362" s="50" t="s">
        <v>2193</v>
      </c>
      <c r="M362" s="50">
        <v>400000</v>
      </c>
      <c r="N362" s="50">
        <v>472000</v>
      </c>
      <c r="O362" s="50">
        <v>0</v>
      </c>
      <c r="P362" s="50">
        <v>1296</v>
      </c>
      <c r="Q362" s="50" t="s">
        <v>102</v>
      </c>
      <c r="R362" s="50">
        <v>0</v>
      </c>
      <c r="S362" s="50">
        <v>0</v>
      </c>
      <c r="T362" s="50" t="s">
        <v>102</v>
      </c>
      <c r="U362" s="50">
        <v>0</v>
      </c>
      <c r="V362" s="50">
        <v>0</v>
      </c>
      <c r="W362" s="50" t="s">
        <v>102</v>
      </c>
      <c r="X362" s="50" t="s">
        <v>2195</v>
      </c>
      <c r="Y362" s="50" t="s">
        <v>103</v>
      </c>
      <c r="Z362" s="50" t="s">
        <v>2196</v>
      </c>
      <c r="AA362" s="50" t="s">
        <v>12023</v>
      </c>
      <c r="AB362" s="50" t="s">
        <v>13159</v>
      </c>
      <c r="AC362" s="50" t="s">
        <v>102</v>
      </c>
      <c r="AD362" s="50" t="s">
        <v>13160</v>
      </c>
      <c r="AE362" s="50" t="s">
        <v>102</v>
      </c>
      <c r="AF362" s="50" t="s">
        <v>13161</v>
      </c>
      <c r="AG362" s="50" t="s">
        <v>102</v>
      </c>
      <c r="AH362" s="50" t="s">
        <v>12764</v>
      </c>
      <c r="AI362" s="50" t="s">
        <v>102</v>
      </c>
      <c r="AJ362" s="50" t="s">
        <v>102</v>
      </c>
      <c r="AK362" s="50" t="s">
        <v>12023</v>
      </c>
      <c r="AL362" s="50" t="s">
        <v>12023</v>
      </c>
      <c r="AM362" s="50" t="s">
        <v>2195</v>
      </c>
      <c r="AN362" s="50" t="s">
        <v>102</v>
      </c>
      <c r="AO362" s="50" t="s">
        <v>2195</v>
      </c>
      <c r="AP362" s="50" t="s">
        <v>2202</v>
      </c>
      <c r="AQ362" s="50" t="s">
        <v>2202</v>
      </c>
      <c r="AR362" s="50" t="s">
        <v>102</v>
      </c>
      <c r="AS362" s="50" t="s">
        <v>102</v>
      </c>
      <c r="AT362" s="50" t="s">
        <v>102</v>
      </c>
      <c r="AU362" s="50" t="s">
        <v>102</v>
      </c>
      <c r="AV362" s="50" t="s">
        <v>247</v>
      </c>
      <c r="AW362" s="50" t="s">
        <v>118</v>
      </c>
      <c r="AX362" s="50" t="s">
        <v>102</v>
      </c>
      <c r="AY362" s="50" t="s">
        <v>119</v>
      </c>
      <c r="BC362" s="50" t="s">
        <v>120</v>
      </c>
      <c r="BD362" s="50" t="s">
        <v>2204</v>
      </c>
      <c r="BE362" s="50" t="s">
        <v>121</v>
      </c>
      <c r="BF362" s="50" t="s">
        <v>122</v>
      </c>
      <c r="BG362" s="50" t="s">
        <v>123</v>
      </c>
      <c r="BH362" s="50" t="s">
        <v>124</v>
      </c>
      <c r="BI362" s="50" t="s">
        <v>12023</v>
      </c>
      <c r="BJ362" s="50" t="s">
        <v>13162</v>
      </c>
      <c r="BK362" s="50" t="s">
        <v>2207</v>
      </c>
      <c r="BL362" s="50" t="s">
        <v>13975</v>
      </c>
      <c r="BM362" s="50" t="s">
        <v>3403</v>
      </c>
      <c r="BN362" s="50" t="s">
        <v>13976</v>
      </c>
      <c r="BO362" s="50" t="s">
        <v>13159</v>
      </c>
      <c r="BP362" s="50" t="s">
        <v>2766</v>
      </c>
      <c r="BQ362" s="50" t="s">
        <v>3064</v>
      </c>
      <c r="BR362" s="50" t="s">
        <v>2213</v>
      </c>
      <c r="BS362" s="50" t="s">
        <v>2214</v>
      </c>
      <c r="BT362" s="50" t="s">
        <v>2215</v>
      </c>
      <c r="BU362" s="50" t="s">
        <v>3405</v>
      </c>
      <c r="BV362" s="50" t="s">
        <v>13977</v>
      </c>
      <c r="BW362" s="50" t="s">
        <v>13978</v>
      </c>
      <c r="BX362" s="50" t="s">
        <v>138</v>
      </c>
      <c r="BY362" s="50" t="s">
        <v>225</v>
      </c>
      <c r="CA362" s="50" t="s">
        <v>3408</v>
      </c>
      <c r="CB362" s="50" t="s">
        <v>13979</v>
      </c>
      <c r="CC362" s="50" t="s">
        <v>13980</v>
      </c>
      <c r="CD362" s="50" t="s">
        <v>13981</v>
      </c>
      <c r="CE362" s="50" t="s">
        <v>13982</v>
      </c>
      <c r="CF362" s="50" t="s">
        <v>13980</v>
      </c>
      <c r="CG362" s="50" t="s">
        <v>13981</v>
      </c>
      <c r="CH362" s="50" t="s">
        <v>3409</v>
      </c>
      <c r="CI362" s="50" t="s">
        <v>13983</v>
      </c>
      <c r="CK362" s="50" t="s">
        <v>3411</v>
      </c>
      <c r="CL362" s="50" t="s">
        <v>13983</v>
      </c>
      <c r="CM362" s="50" t="s">
        <v>2204</v>
      </c>
      <c r="CN362" s="50" t="s">
        <v>121</v>
      </c>
      <c r="CO362" s="50" t="s">
        <v>3411</v>
      </c>
      <c r="CQ362" s="50" t="s">
        <v>3410</v>
      </c>
      <c r="CR362" s="50" t="s">
        <v>3410</v>
      </c>
    </row>
    <row r="363" spans="1:97" hidden="1">
      <c r="A363" s="50" t="s">
        <v>93</v>
      </c>
      <c r="B363" s="50">
        <v>265162</v>
      </c>
      <c r="C363" s="50" t="e">
        <f>VLOOKUP(B363,'Drop schools 2026'!B:C,2,0)</f>
        <v>#N/A</v>
      </c>
      <c r="D363" s="50" t="s">
        <v>122</v>
      </c>
      <c r="E363" s="50" t="s">
        <v>13158</v>
      </c>
      <c r="F363" s="50" t="s">
        <v>14646</v>
      </c>
      <c r="G363" s="50" t="e">
        <f>VLOOKUP(B363,aa!B:F,5,0)</f>
        <v>#N/A</v>
      </c>
      <c r="H363" s="50" t="e">
        <f>VLOOKUP(B363,aa!B:J,9,0)</f>
        <v>#N/A</v>
      </c>
      <c r="I363" s="50" t="e">
        <f>VLOOKUP(B363,aa!B:L,11,0)</f>
        <v>#N/A</v>
      </c>
      <c r="J363" s="50" t="e">
        <f>VLOOKUP(B363,aa!B:O,14,0)</f>
        <v>#N/A</v>
      </c>
      <c r="K363" s="50" t="e">
        <f>VLOOKUP(B363,aa!B:R,17,0)</f>
        <v>#N/A</v>
      </c>
      <c r="L363" s="50" t="s">
        <v>2193</v>
      </c>
      <c r="M363" s="50">
        <v>400000</v>
      </c>
      <c r="N363" s="50">
        <v>472000</v>
      </c>
      <c r="O363" s="50">
        <v>0</v>
      </c>
      <c r="P363" s="50">
        <v>1610</v>
      </c>
      <c r="Q363" s="50" t="s">
        <v>102</v>
      </c>
      <c r="R363" s="50">
        <v>0</v>
      </c>
      <c r="S363" s="50">
        <v>0</v>
      </c>
      <c r="T363" s="50" t="s">
        <v>102</v>
      </c>
      <c r="U363" s="50">
        <v>0</v>
      </c>
      <c r="V363" s="50">
        <v>0</v>
      </c>
      <c r="W363" s="50" t="s">
        <v>102</v>
      </c>
      <c r="X363" s="50" t="s">
        <v>2195</v>
      </c>
      <c r="Y363" s="50" t="s">
        <v>103</v>
      </c>
      <c r="Z363" s="50" t="s">
        <v>2196</v>
      </c>
      <c r="AA363" s="50" t="s">
        <v>12023</v>
      </c>
      <c r="AB363" s="50" t="s">
        <v>13159</v>
      </c>
      <c r="AC363" s="50" t="s">
        <v>102</v>
      </c>
      <c r="AD363" s="50" t="s">
        <v>13160</v>
      </c>
      <c r="AE363" s="50" t="s">
        <v>102</v>
      </c>
      <c r="AF363" s="50" t="s">
        <v>13161</v>
      </c>
      <c r="AG363" s="50" t="s">
        <v>102</v>
      </c>
      <c r="AH363" s="50" t="s">
        <v>12764</v>
      </c>
      <c r="AI363" s="50" t="s">
        <v>102</v>
      </c>
      <c r="AJ363" s="50" t="s">
        <v>102</v>
      </c>
      <c r="AK363" s="50" t="s">
        <v>12023</v>
      </c>
      <c r="AL363" s="50" t="s">
        <v>12023</v>
      </c>
      <c r="AM363" s="50" t="s">
        <v>2195</v>
      </c>
      <c r="AN363" s="50" t="s">
        <v>102</v>
      </c>
      <c r="AO363" s="50" t="s">
        <v>2195</v>
      </c>
      <c r="AP363" s="50" t="s">
        <v>2202</v>
      </c>
      <c r="AQ363" s="50" t="s">
        <v>2202</v>
      </c>
      <c r="AR363" s="50" t="s">
        <v>102</v>
      </c>
      <c r="AS363" s="50" t="s">
        <v>102</v>
      </c>
      <c r="AT363" s="50" t="s">
        <v>102</v>
      </c>
      <c r="AU363" s="50" t="s">
        <v>102</v>
      </c>
      <c r="AV363" s="50" t="s">
        <v>247</v>
      </c>
      <c r="AW363" s="50" t="s">
        <v>118</v>
      </c>
      <c r="AX363" s="50" t="s">
        <v>102</v>
      </c>
      <c r="AY363" s="50" t="s">
        <v>119</v>
      </c>
      <c r="BC363" s="50" t="s">
        <v>120</v>
      </c>
      <c r="BD363" s="50" t="s">
        <v>3854</v>
      </c>
      <c r="BE363" s="50" t="s">
        <v>449</v>
      </c>
      <c r="BF363" s="50" t="s">
        <v>122</v>
      </c>
      <c r="BG363" s="50" t="s">
        <v>4256</v>
      </c>
      <c r="BH363" s="50" t="s">
        <v>124</v>
      </c>
      <c r="BI363" s="50" t="s">
        <v>12023</v>
      </c>
      <c r="BJ363" s="50" t="s">
        <v>13162</v>
      </c>
      <c r="BK363" s="50" t="s">
        <v>2207</v>
      </c>
      <c r="BL363" s="50" t="s">
        <v>14647</v>
      </c>
      <c r="BM363" s="50" t="s">
        <v>4260</v>
      </c>
      <c r="BN363" s="50" t="s">
        <v>14648</v>
      </c>
      <c r="BO363" s="50" t="s">
        <v>13159</v>
      </c>
      <c r="BP363" s="50" t="s">
        <v>2766</v>
      </c>
      <c r="BQ363" s="50" t="s">
        <v>3064</v>
      </c>
      <c r="BR363" s="50" t="s">
        <v>2213</v>
      </c>
      <c r="BS363" s="50" t="s">
        <v>2214</v>
      </c>
      <c r="BT363" s="50" t="s">
        <v>2215</v>
      </c>
      <c r="BU363" s="50" t="s">
        <v>2216</v>
      </c>
      <c r="BV363" s="50" t="s">
        <v>14649</v>
      </c>
      <c r="BW363" s="50" t="s">
        <v>14650</v>
      </c>
      <c r="BX363" s="50" t="s">
        <v>138</v>
      </c>
      <c r="BY363" s="50" t="s">
        <v>225</v>
      </c>
      <c r="BZ363" s="50" t="s">
        <v>4267</v>
      </c>
      <c r="CA363" s="50" t="s">
        <v>4265</v>
      </c>
      <c r="CB363" s="50" t="s">
        <v>14651</v>
      </c>
      <c r="CC363" s="50" t="s">
        <v>14652</v>
      </c>
      <c r="CD363" s="50" t="s">
        <v>4267</v>
      </c>
      <c r="CE363" s="50" t="s">
        <v>14651</v>
      </c>
      <c r="CF363" s="50" t="s">
        <v>4265</v>
      </c>
      <c r="CG363" s="50" t="s">
        <v>4267</v>
      </c>
      <c r="CH363" s="50" t="s">
        <v>4269</v>
      </c>
      <c r="CI363" s="50" t="s">
        <v>14653</v>
      </c>
      <c r="CK363" s="50" t="s">
        <v>4271</v>
      </c>
      <c r="CL363" s="50" t="s">
        <v>4270</v>
      </c>
      <c r="CM363" s="50" t="s">
        <v>3854</v>
      </c>
      <c r="CN363" s="50" t="s">
        <v>449</v>
      </c>
      <c r="CO363" s="50" t="s">
        <v>4271</v>
      </c>
      <c r="CQ363" s="50" t="s">
        <v>4270</v>
      </c>
      <c r="CR363" s="50" t="s">
        <v>4270</v>
      </c>
    </row>
    <row r="364" spans="1:97" hidden="1">
      <c r="A364" s="50" t="s">
        <v>93</v>
      </c>
      <c r="B364" s="50">
        <v>3254316</v>
      </c>
      <c r="C364" s="50" t="e">
        <f>VLOOKUP(B364,'Drop schools 2026'!B:C,2,0)</f>
        <v>#N/A</v>
      </c>
      <c r="D364" s="50" t="s">
        <v>122</v>
      </c>
      <c r="E364" s="50" t="s">
        <v>13158</v>
      </c>
      <c r="F364" s="50" t="s">
        <v>15285</v>
      </c>
      <c r="G364" s="50" t="e">
        <f>VLOOKUP(B364,aa!B:F,5,0)</f>
        <v>#N/A</v>
      </c>
      <c r="H364" s="50" t="e">
        <f>VLOOKUP(B364,aa!B:J,9,0)</f>
        <v>#N/A</v>
      </c>
      <c r="I364" s="50" t="e">
        <f>VLOOKUP(B364,aa!B:L,11,0)</f>
        <v>#N/A</v>
      </c>
      <c r="J364" s="50" t="e">
        <f>VLOOKUP(B364,aa!B:O,14,0)</f>
        <v>#N/A</v>
      </c>
      <c r="K364" s="50" t="e">
        <f>VLOOKUP(B364,aa!B:R,17,0)</f>
        <v>#N/A</v>
      </c>
      <c r="L364" s="50" t="s">
        <v>2193</v>
      </c>
      <c r="M364" s="50">
        <v>400000</v>
      </c>
      <c r="N364" s="50">
        <v>472000</v>
      </c>
      <c r="O364" s="50">
        <v>0</v>
      </c>
      <c r="P364" s="50">
        <v>1249</v>
      </c>
      <c r="Q364" s="50" t="s">
        <v>102</v>
      </c>
      <c r="R364" s="50">
        <v>0</v>
      </c>
      <c r="S364" s="50">
        <v>0</v>
      </c>
      <c r="T364" s="50" t="s">
        <v>102</v>
      </c>
      <c r="U364" s="50">
        <v>0</v>
      </c>
      <c r="V364" s="50">
        <v>0</v>
      </c>
      <c r="W364" s="50" t="s">
        <v>102</v>
      </c>
      <c r="X364" s="50" t="s">
        <v>2195</v>
      </c>
      <c r="Y364" s="50" t="s">
        <v>103</v>
      </c>
      <c r="Z364" s="50" t="s">
        <v>2196</v>
      </c>
      <c r="AA364" s="50" t="s">
        <v>12023</v>
      </c>
      <c r="AB364" s="50" t="s">
        <v>13159</v>
      </c>
      <c r="AC364" s="50" t="s">
        <v>102</v>
      </c>
      <c r="AD364" s="50" t="s">
        <v>13160</v>
      </c>
      <c r="AE364" s="50" t="s">
        <v>102</v>
      </c>
      <c r="AF364" s="50" t="s">
        <v>13161</v>
      </c>
      <c r="AG364" s="50" t="s">
        <v>102</v>
      </c>
      <c r="AH364" s="50" t="s">
        <v>12764</v>
      </c>
      <c r="AI364" s="50" t="s">
        <v>102</v>
      </c>
      <c r="AJ364" s="50" t="s">
        <v>102</v>
      </c>
      <c r="AK364" s="50" t="s">
        <v>12023</v>
      </c>
      <c r="AL364" s="50" t="s">
        <v>12023</v>
      </c>
      <c r="AM364" s="50" t="s">
        <v>2195</v>
      </c>
      <c r="AN364" s="50" t="s">
        <v>102</v>
      </c>
      <c r="AO364" s="50" t="s">
        <v>2195</v>
      </c>
      <c r="AP364" s="50" t="s">
        <v>2202</v>
      </c>
      <c r="AQ364" s="50" t="s">
        <v>2202</v>
      </c>
      <c r="AR364" s="50" t="s">
        <v>102</v>
      </c>
      <c r="AS364" s="50" t="s">
        <v>102</v>
      </c>
      <c r="AT364" s="50" t="s">
        <v>102</v>
      </c>
      <c r="AU364" s="50" t="s">
        <v>102</v>
      </c>
      <c r="AV364" s="50" t="s">
        <v>247</v>
      </c>
      <c r="AW364" s="50" t="s">
        <v>118</v>
      </c>
      <c r="AX364" s="50" t="s">
        <v>102</v>
      </c>
      <c r="AY364" s="50" t="s">
        <v>119</v>
      </c>
      <c r="BC364" s="50" t="s">
        <v>5092</v>
      </c>
      <c r="BD364" s="50" t="s">
        <v>5093</v>
      </c>
      <c r="BE364" s="50" t="s">
        <v>449</v>
      </c>
      <c r="BF364" s="50" t="s">
        <v>122</v>
      </c>
      <c r="BG364" s="50" t="s">
        <v>5094</v>
      </c>
      <c r="BH364" s="50" t="s">
        <v>124</v>
      </c>
      <c r="BI364" s="50" t="s">
        <v>12023</v>
      </c>
      <c r="BJ364" s="50" t="s">
        <v>13162</v>
      </c>
      <c r="BK364" s="50" t="s">
        <v>2207</v>
      </c>
      <c r="BL364" s="50" t="s">
        <v>15286</v>
      </c>
      <c r="BM364" s="50" t="s">
        <v>5098</v>
      </c>
      <c r="BN364" s="50" t="s">
        <v>15287</v>
      </c>
      <c r="BO364" s="50" t="s">
        <v>13159</v>
      </c>
      <c r="BP364" s="50" t="s">
        <v>2766</v>
      </c>
      <c r="BQ364" s="50" t="s">
        <v>3064</v>
      </c>
      <c r="BR364" s="50" t="s">
        <v>2213</v>
      </c>
      <c r="BS364" s="50" t="s">
        <v>2214</v>
      </c>
      <c r="BT364" s="50" t="s">
        <v>2215</v>
      </c>
      <c r="BU364" s="50" t="s">
        <v>2216</v>
      </c>
      <c r="BV364" s="50" t="s">
        <v>15288</v>
      </c>
      <c r="BW364" s="50" t="s">
        <v>15289</v>
      </c>
      <c r="BX364" s="50" t="s">
        <v>138</v>
      </c>
      <c r="BY364" s="50" t="s">
        <v>225</v>
      </c>
      <c r="BZ364" s="50" t="s">
        <v>15290</v>
      </c>
      <c r="CA364" s="50" t="s">
        <v>5102</v>
      </c>
      <c r="CB364" s="50" t="s">
        <v>15289</v>
      </c>
      <c r="CC364" s="50" t="s">
        <v>15291</v>
      </c>
      <c r="CD364" s="50" t="s">
        <v>15290</v>
      </c>
      <c r="CE364" s="50" t="s">
        <v>15292</v>
      </c>
      <c r="CF364" s="50" t="s">
        <v>15291</v>
      </c>
      <c r="CG364" s="50" t="s">
        <v>15290</v>
      </c>
      <c r="CH364" s="50" t="s">
        <v>5103</v>
      </c>
      <c r="CI364" s="50" t="s">
        <v>15293</v>
      </c>
      <c r="CK364" s="50" t="s">
        <v>5105</v>
      </c>
      <c r="CL364" s="50" t="s">
        <v>15294</v>
      </c>
      <c r="CM364" s="50" t="s">
        <v>5093</v>
      </c>
      <c r="CN364" s="50" t="s">
        <v>449</v>
      </c>
      <c r="CO364" s="50" t="s">
        <v>5105</v>
      </c>
      <c r="CQ364" s="50" t="s">
        <v>5104</v>
      </c>
      <c r="CR364" s="50" t="s">
        <v>5104</v>
      </c>
    </row>
    <row r="365" spans="1:97" hidden="1">
      <c r="A365" s="50" t="s">
        <v>93</v>
      </c>
      <c r="B365" s="50">
        <v>353776</v>
      </c>
      <c r="C365" s="50" t="e">
        <f>VLOOKUP(B365,'Drop schools 2026'!B:C,2,0)</f>
        <v>#N/A</v>
      </c>
      <c r="D365" s="50" t="s">
        <v>122</v>
      </c>
      <c r="E365" s="50" t="s">
        <v>13158</v>
      </c>
      <c r="F365" s="50" t="s">
        <v>6571</v>
      </c>
      <c r="G365" s="50" t="e">
        <f>VLOOKUP(B365,aa!B:F,5,0)</f>
        <v>#N/A</v>
      </c>
      <c r="H365" s="50" t="e">
        <f>VLOOKUP(B365,aa!B:J,9,0)</f>
        <v>#N/A</v>
      </c>
      <c r="I365" s="50" t="e">
        <f>VLOOKUP(B365,aa!B:L,11,0)</f>
        <v>#N/A</v>
      </c>
      <c r="J365" s="50" t="e">
        <f>VLOOKUP(B365,aa!B:O,14,0)</f>
        <v>#N/A</v>
      </c>
      <c r="K365" s="50" t="e">
        <f>VLOOKUP(B365,aa!B:R,17,0)</f>
        <v>#N/A</v>
      </c>
      <c r="L365" s="50" t="s">
        <v>2193</v>
      </c>
      <c r="M365" s="50">
        <v>400000</v>
      </c>
      <c r="N365" s="50">
        <v>472000</v>
      </c>
      <c r="O365" s="50">
        <v>0</v>
      </c>
      <c r="P365" s="50">
        <v>1174</v>
      </c>
      <c r="Q365" s="50" t="s">
        <v>102</v>
      </c>
      <c r="R365" s="50">
        <v>0</v>
      </c>
      <c r="S365" s="50">
        <v>0</v>
      </c>
      <c r="T365" s="50" t="s">
        <v>102</v>
      </c>
      <c r="U365" s="50">
        <v>0</v>
      </c>
      <c r="V365" s="50">
        <v>0</v>
      </c>
      <c r="W365" s="50" t="s">
        <v>102</v>
      </c>
      <c r="X365" s="50" t="s">
        <v>2195</v>
      </c>
      <c r="Y365" s="50" t="s">
        <v>103</v>
      </c>
      <c r="Z365" s="50" t="s">
        <v>2196</v>
      </c>
      <c r="AA365" s="50" t="s">
        <v>12023</v>
      </c>
      <c r="AB365" s="50" t="s">
        <v>13159</v>
      </c>
      <c r="AC365" s="50" t="s">
        <v>102</v>
      </c>
      <c r="AD365" s="50" t="s">
        <v>13160</v>
      </c>
      <c r="AE365" s="50" t="s">
        <v>102</v>
      </c>
      <c r="AF365" s="50" t="s">
        <v>13161</v>
      </c>
      <c r="AG365" s="50" t="s">
        <v>102</v>
      </c>
      <c r="AH365" s="50" t="s">
        <v>12764</v>
      </c>
      <c r="AI365" s="50" t="s">
        <v>102</v>
      </c>
      <c r="AJ365" s="50" t="s">
        <v>102</v>
      </c>
      <c r="AK365" s="50" t="s">
        <v>12023</v>
      </c>
      <c r="AL365" s="50" t="s">
        <v>12023</v>
      </c>
      <c r="AM365" s="50" t="s">
        <v>2195</v>
      </c>
      <c r="AN365" s="50" t="s">
        <v>102</v>
      </c>
      <c r="AO365" s="50" t="s">
        <v>2195</v>
      </c>
      <c r="AP365" s="50" t="s">
        <v>2202</v>
      </c>
      <c r="AQ365" s="50" t="s">
        <v>2202</v>
      </c>
      <c r="AR365" s="50" t="s">
        <v>102</v>
      </c>
      <c r="AS365" s="50" t="s">
        <v>102</v>
      </c>
      <c r="AT365" s="50" t="s">
        <v>102</v>
      </c>
      <c r="AU365" s="50" t="s">
        <v>102</v>
      </c>
      <c r="AV365" s="50" t="s">
        <v>247</v>
      </c>
      <c r="AW365" s="50" t="s">
        <v>118</v>
      </c>
      <c r="AX365" s="50" t="s">
        <v>102</v>
      </c>
      <c r="AY365" s="50" t="s">
        <v>119</v>
      </c>
      <c r="BC365" s="50" t="s">
        <v>120</v>
      </c>
      <c r="BD365" s="50" t="s">
        <v>121</v>
      </c>
      <c r="BE365" s="50" t="s">
        <v>121</v>
      </c>
      <c r="BF365" s="50" t="s">
        <v>122</v>
      </c>
      <c r="BG365" s="50" t="s">
        <v>123</v>
      </c>
      <c r="BH365" s="50" t="s">
        <v>124</v>
      </c>
      <c r="BI365" s="50" t="s">
        <v>12023</v>
      </c>
      <c r="BJ365" s="50" t="s">
        <v>13162</v>
      </c>
      <c r="BK365" s="50" t="s">
        <v>2207</v>
      </c>
      <c r="BL365" s="50" t="s">
        <v>16411</v>
      </c>
      <c r="BM365" s="50" t="s">
        <v>6581</v>
      </c>
      <c r="BN365" s="50" t="s">
        <v>16412</v>
      </c>
      <c r="BO365" s="50" t="s">
        <v>13159</v>
      </c>
      <c r="BP365" s="50" t="s">
        <v>2766</v>
      </c>
      <c r="BQ365" s="50" t="s">
        <v>3064</v>
      </c>
      <c r="BR365" s="50" t="s">
        <v>2213</v>
      </c>
      <c r="BS365" s="50" t="s">
        <v>2214</v>
      </c>
      <c r="BT365" s="50" t="s">
        <v>2215</v>
      </c>
      <c r="BU365" s="50" t="s">
        <v>2216</v>
      </c>
      <c r="BV365" s="50" t="s">
        <v>16413</v>
      </c>
      <c r="BW365" s="50" t="s">
        <v>16414</v>
      </c>
      <c r="BX365" s="50" t="s">
        <v>138</v>
      </c>
      <c r="BY365" s="50" t="s">
        <v>225</v>
      </c>
      <c r="BZ365" s="50" t="s">
        <v>226</v>
      </c>
      <c r="CA365" s="50" t="s">
        <v>6585</v>
      </c>
      <c r="CB365" s="50" t="s">
        <v>16414</v>
      </c>
      <c r="CC365" s="50" t="s">
        <v>6585</v>
      </c>
      <c r="CD365" s="50" t="s">
        <v>226</v>
      </c>
      <c r="CE365" s="50" t="s">
        <v>16415</v>
      </c>
      <c r="CF365" s="50" t="s">
        <v>6585</v>
      </c>
      <c r="CG365" s="50" t="s">
        <v>16416</v>
      </c>
      <c r="CH365" s="50" t="s">
        <v>2773</v>
      </c>
      <c r="CI365" s="50" t="s">
        <v>16417</v>
      </c>
      <c r="CK365" s="50" t="s">
        <v>4735</v>
      </c>
      <c r="CL365" s="50" t="s">
        <v>16417</v>
      </c>
      <c r="CM365" s="50" t="s">
        <v>121</v>
      </c>
      <c r="CN365" s="50" t="s">
        <v>121</v>
      </c>
      <c r="CO365" s="50" t="s">
        <v>4735</v>
      </c>
      <c r="CQ365" s="50" t="s">
        <v>6586</v>
      </c>
      <c r="CR365" s="50" t="s">
        <v>6586</v>
      </c>
    </row>
    <row r="366" spans="1:97" hidden="1">
      <c r="A366" s="50" t="s">
        <v>93</v>
      </c>
      <c r="B366" s="50">
        <v>5014895</v>
      </c>
      <c r="C366" s="50" t="e">
        <f>VLOOKUP(B366,'Drop schools 2026'!B:C,2,0)</f>
        <v>#N/A</v>
      </c>
      <c r="D366" s="50" t="s">
        <v>122</v>
      </c>
      <c r="E366" s="50" t="s">
        <v>13158</v>
      </c>
      <c r="F366" s="50" t="s">
        <v>9350</v>
      </c>
      <c r="G366" s="50" t="e">
        <f>VLOOKUP(B366,aa!B:F,5,0)</f>
        <v>#N/A</v>
      </c>
      <c r="H366" s="50" t="e">
        <f>VLOOKUP(B366,aa!B:J,9,0)</f>
        <v>#N/A</v>
      </c>
      <c r="I366" s="50" t="e">
        <f>VLOOKUP(B366,aa!B:L,11,0)</f>
        <v>#N/A</v>
      </c>
      <c r="J366" s="50" t="e">
        <f>VLOOKUP(B366,aa!B:O,14,0)</f>
        <v>#N/A</v>
      </c>
      <c r="K366" s="50" t="e">
        <f>VLOOKUP(B366,aa!B:R,17,0)</f>
        <v>#N/A</v>
      </c>
      <c r="L366" s="50" t="s">
        <v>2193</v>
      </c>
      <c r="M366" s="50">
        <v>400000</v>
      </c>
      <c r="N366" s="50">
        <v>472000</v>
      </c>
      <c r="O366" s="50">
        <v>0</v>
      </c>
      <c r="P366" s="50">
        <v>786</v>
      </c>
      <c r="Q366" s="50" t="s">
        <v>102</v>
      </c>
      <c r="R366" s="50">
        <v>0</v>
      </c>
      <c r="S366" s="50">
        <v>0</v>
      </c>
      <c r="T366" s="50" t="s">
        <v>102</v>
      </c>
      <c r="U366" s="50">
        <v>0</v>
      </c>
      <c r="V366" s="50">
        <v>0</v>
      </c>
      <c r="W366" s="50" t="s">
        <v>102</v>
      </c>
      <c r="X366" s="50" t="s">
        <v>2195</v>
      </c>
      <c r="Y366" s="50" t="s">
        <v>103</v>
      </c>
      <c r="Z366" s="50" t="s">
        <v>2196</v>
      </c>
      <c r="AA366" s="50" t="s">
        <v>12023</v>
      </c>
      <c r="AB366" s="50" t="s">
        <v>13159</v>
      </c>
      <c r="AC366" s="50" t="s">
        <v>102</v>
      </c>
      <c r="AD366" s="50" t="s">
        <v>13160</v>
      </c>
      <c r="AE366" s="50" t="s">
        <v>102</v>
      </c>
      <c r="AF366" s="50" t="s">
        <v>13161</v>
      </c>
      <c r="AG366" s="50" t="s">
        <v>102</v>
      </c>
      <c r="AH366" s="50" t="s">
        <v>12764</v>
      </c>
      <c r="AI366" s="50" t="s">
        <v>102</v>
      </c>
      <c r="AJ366" s="50" t="s">
        <v>102</v>
      </c>
      <c r="AK366" s="50" t="s">
        <v>12023</v>
      </c>
      <c r="AL366" s="50" t="s">
        <v>12023</v>
      </c>
      <c r="AM366" s="50" t="s">
        <v>2195</v>
      </c>
      <c r="AN366" s="50" t="s">
        <v>102</v>
      </c>
      <c r="AO366" s="50" t="s">
        <v>2195</v>
      </c>
      <c r="AP366" s="50" t="s">
        <v>2202</v>
      </c>
      <c r="AQ366" s="50" t="s">
        <v>2202</v>
      </c>
      <c r="AR366" s="50" t="s">
        <v>102</v>
      </c>
      <c r="AS366" s="50" t="s">
        <v>102</v>
      </c>
      <c r="AT366" s="50" t="s">
        <v>102</v>
      </c>
      <c r="AU366" s="50" t="s">
        <v>102</v>
      </c>
      <c r="AV366" s="50" t="s">
        <v>247</v>
      </c>
      <c r="AW366" s="50" t="s">
        <v>118</v>
      </c>
      <c r="AX366" s="50" t="s">
        <v>102</v>
      </c>
      <c r="AY366" s="50" t="s">
        <v>119</v>
      </c>
      <c r="BC366" s="50" t="s">
        <v>120</v>
      </c>
      <c r="BD366" s="50" t="s">
        <v>121</v>
      </c>
      <c r="BE366" s="50" t="s">
        <v>121</v>
      </c>
      <c r="BF366" s="50" t="s">
        <v>122</v>
      </c>
      <c r="BG366" s="50" t="s">
        <v>123</v>
      </c>
      <c r="BH366" s="50" t="s">
        <v>124</v>
      </c>
      <c r="BI366" s="50" t="s">
        <v>12023</v>
      </c>
      <c r="BJ366" s="50" t="s">
        <v>13162</v>
      </c>
      <c r="BK366" s="50" t="s">
        <v>2207</v>
      </c>
      <c r="BL366" s="50" t="s">
        <v>18645</v>
      </c>
      <c r="BM366" s="50" t="s">
        <v>9359</v>
      </c>
      <c r="BN366" s="50" t="s">
        <v>18646</v>
      </c>
      <c r="BO366" s="50" t="s">
        <v>13159</v>
      </c>
      <c r="BP366" s="50" t="s">
        <v>2766</v>
      </c>
      <c r="BQ366" s="50" t="s">
        <v>3064</v>
      </c>
      <c r="BR366" s="50" t="s">
        <v>2213</v>
      </c>
      <c r="BS366" s="50" t="s">
        <v>2214</v>
      </c>
      <c r="BT366" s="50" t="s">
        <v>2215</v>
      </c>
      <c r="BU366" s="50" t="s">
        <v>2216</v>
      </c>
      <c r="BV366" s="50" t="s">
        <v>18647</v>
      </c>
      <c r="BW366" s="50" t="s">
        <v>18648</v>
      </c>
      <c r="BX366" s="50" t="s">
        <v>138</v>
      </c>
      <c r="BY366" s="50" t="s">
        <v>225</v>
      </c>
      <c r="BZ366" s="50" t="s">
        <v>9363</v>
      </c>
      <c r="CA366" s="50" t="s">
        <v>9364</v>
      </c>
      <c r="CB366" s="50" t="s">
        <v>18648</v>
      </c>
      <c r="CC366" s="50" t="s">
        <v>9364</v>
      </c>
      <c r="CD366" s="50" t="s">
        <v>9363</v>
      </c>
      <c r="CE366" s="50" t="s">
        <v>18649</v>
      </c>
      <c r="CF366" s="50" t="s">
        <v>9364</v>
      </c>
      <c r="CG366" s="50" t="s">
        <v>18650</v>
      </c>
      <c r="CH366" s="50" t="s">
        <v>9365</v>
      </c>
      <c r="CI366" s="50" t="s">
        <v>18651</v>
      </c>
      <c r="CK366" s="50" t="s">
        <v>9367</v>
      </c>
      <c r="CL366" s="50" t="s">
        <v>9366</v>
      </c>
      <c r="CM366" s="50" t="s">
        <v>121</v>
      </c>
      <c r="CN366" s="50" t="s">
        <v>121</v>
      </c>
      <c r="CO366" s="50" t="s">
        <v>9367</v>
      </c>
      <c r="CQ366" s="50" t="s">
        <v>9366</v>
      </c>
      <c r="CR366" s="50" t="s">
        <v>9368</v>
      </c>
    </row>
    <row r="367" spans="1:97" hidden="1">
      <c r="A367" s="50" t="s">
        <v>93</v>
      </c>
      <c r="B367" s="50">
        <v>5016187</v>
      </c>
      <c r="C367" s="50" t="e">
        <f>VLOOKUP(B367,'Drop schools 2026'!B:C,2,0)</f>
        <v>#N/A</v>
      </c>
      <c r="D367" s="50" t="s">
        <v>122</v>
      </c>
      <c r="E367" s="50" t="s">
        <v>13158</v>
      </c>
      <c r="F367" s="50" t="s">
        <v>9579</v>
      </c>
      <c r="G367" s="50" t="e">
        <f>VLOOKUP(B367,aa!B:F,5,0)</f>
        <v>#N/A</v>
      </c>
      <c r="H367" s="50" t="e">
        <f>VLOOKUP(B367,aa!B:J,9,0)</f>
        <v>#N/A</v>
      </c>
      <c r="I367" s="50" t="e">
        <f>VLOOKUP(B367,aa!B:L,11,0)</f>
        <v>#N/A</v>
      </c>
      <c r="J367" s="50" t="e">
        <f>VLOOKUP(B367,aa!B:O,14,0)</f>
        <v>#N/A</v>
      </c>
      <c r="K367" s="50" t="e">
        <f>VLOOKUP(B367,aa!B:R,17,0)</f>
        <v>#N/A</v>
      </c>
      <c r="L367" s="50" t="s">
        <v>2193</v>
      </c>
      <c r="M367" s="50">
        <v>400000</v>
      </c>
      <c r="N367" s="50">
        <v>472000</v>
      </c>
      <c r="O367" s="50">
        <v>0</v>
      </c>
      <c r="P367" s="50">
        <v>1200</v>
      </c>
      <c r="Q367" s="50" t="s">
        <v>102</v>
      </c>
      <c r="R367" s="50">
        <v>0</v>
      </c>
      <c r="S367" s="50">
        <v>0</v>
      </c>
      <c r="T367" s="50" t="s">
        <v>102</v>
      </c>
      <c r="U367" s="50">
        <v>0</v>
      </c>
      <c r="V367" s="50">
        <v>0</v>
      </c>
      <c r="W367" s="50" t="s">
        <v>102</v>
      </c>
      <c r="X367" s="50" t="s">
        <v>2195</v>
      </c>
      <c r="Y367" s="50" t="s">
        <v>103</v>
      </c>
      <c r="Z367" s="50" t="s">
        <v>2196</v>
      </c>
      <c r="AA367" s="50" t="s">
        <v>12023</v>
      </c>
      <c r="AB367" s="50" t="s">
        <v>13159</v>
      </c>
      <c r="AC367" s="50" t="s">
        <v>102</v>
      </c>
      <c r="AD367" s="50" t="s">
        <v>13160</v>
      </c>
      <c r="AE367" s="50" t="s">
        <v>102</v>
      </c>
      <c r="AF367" s="50" t="s">
        <v>13161</v>
      </c>
      <c r="AG367" s="50" t="s">
        <v>102</v>
      </c>
      <c r="AH367" s="50" t="s">
        <v>12764</v>
      </c>
      <c r="AI367" s="50" t="s">
        <v>102</v>
      </c>
      <c r="AJ367" s="50" t="s">
        <v>102</v>
      </c>
      <c r="AK367" s="50" t="s">
        <v>12023</v>
      </c>
      <c r="AL367" s="50" t="s">
        <v>12023</v>
      </c>
      <c r="AM367" s="50" t="s">
        <v>2195</v>
      </c>
      <c r="AN367" s="50" t="s">
        <v>102</v>
      </c>
      <c r="AO367" s="50" t="s">
        <v>2195</v>
      </c>
      <c r="AP367" s="50" t="s">
        <v>2202</v>
      </c>
      <c r="AQ367" s="50" t="s">
        <v>2202</v>
      </c>
      <c r="AR367" s="50" t="s">
        <v>102</v>
      </c>
      <c r="AS367" s="50" t="s">
        <v>102</v>
      </c>
      <c r="AT367" s="50" t="s">
        <v>102</v>
      </c>
      <c r="AU367" s="50" t="s">
        <v>102</v>
      </c>
      <c r="AV367" s="50" t="s">
        <v>247</v>
      </c>
      <c r="AW367" s="50" t="s">
        <v>118</v>
      </c>
      <c r="AX367" s="50" t="s">
        <v>102</v>
      </c>
      <c r="AY367" s="50" t="s">
        <v>119</v>
      </c>
      <c r="BC367" s="50" t="s">
        <v>120</v>
      </c>
      <c r="BD367" s="50" t="s">
        <v>3854</v>
      </c>
      <c r="BE367" s="50" t="s">
        <v>449</v>
      </c>
      <c r="BF367" s="50" t="s">
        <v>122</v>
      </c>
      <c r="BG367" s="50" t="s">
        <v>4256</v>
      </c>
      <c r="BH367" s="50" t="s">
        <v>124</v>
      </c>
      <c r="BI367" s="50" t="s">
        <v>12023</v>
      </c>
      <c r="BJ367" s="50" t="s">
        <v>13162</v>
      </c>
      <c r="BK367" s="50" t="s">
        <v>2207</v>
      </c>
      <c r="BL367" s="50" t="s">
        <v>18787</v>
      </c>
      <c r="BM367" s="50" t="s">
        <v>9586</v>
      </c>
      <c r="BN367" s="50" t="s">
        <v>18788</v>
      </c>
      <c r="BO367" s="50" t="s">
        <v>13159</v>
      </c>
      <c r="BP367" s="50" t="s">
        <v>2766</v>
      </c>
      <c r="BQ367" s="50" t="s">
        <v>3064</v>
      </c>
      <c r="BR367" s="50" t="s">
        <v>2213</v>
      </c>
      <c r="BS367" s="50" t="s">
        <v>2214</v>
      </c>
      <c r="BT367" s="50" t="s">
        <v>2215</v>
      </c>
      <c r="BU367" s="50" t="s">
        <v>2216</v>
      </c>
      <c r="BV367" s="50" t="s">
        <v>18789</v>
      </c>
      <c r="BW367" s="50" t="s">
        <v>18790</v>
      </c>
      <c r="BX367" s="50" t="s">
        <v>138</v>
      </c>
      <c r="BY367" s="50" t="s">
        <v>225</v>
      </c>
      <c r="BZ367" s="50" t="s">
        <v>18791</v>
      </c>
      <c r="CA367" s="50" t="s">
        <v>9590</v>
      </c>
      <c r="CB367" s="50" t="s">
        <v>18792</v>
      </c>
      <c r="CC367" s="50" t="s">
        <v>14652</v>
      </c>
      <c r="CD367" s="50" t="s">
        <v>18793</v>
      </c>
      <c r="CE367" s="50" t="s">
        <v>18792</v>
      </c>
      <c r="CF367" s="50" t="s">
        <v>14652</v>
      </c>
      <c r="CG367" s="50" t="s">
        <v>18793</v>
      </c>
      <c r="CH367" s="50" t="s">
        <v>4269</v>
      </c>
      <c r="CI367" s="50" t="s">
        <v>18794</v>
      </c>
      <c r="CK367" s="50" t="s">
        <v>7472</v>
      </c>
      <c r="CL367" s="50" t="s">
        <v>9591</v>
      </c>
      <c r="CM367" s="50" t="s">
        <v>3854</v>
      </c>
      <c r="CN367" s="50" t="s">
        <v>449</v>
      </c>
      <c r="CO367" s="50" t="s">
        <v>7472</v>
      </c>
      <c r="CQ367" s="50" t="s">
        <v>9591</v>
      </c>
      <c r="CR367" s="50" t="s">
        <v>9591</v>
      </c>
    </row>
    <row r="368" spans="1:97" hidden="1">
      <c r="A368" s="50" t="s">
        <v>93</v>
      </c>
      <c r="B368" s="50">
        <v>5017383</v>
      </c>
      <c r="C368" s="50" t="e">
        <f>VLOOKUP(B368,'Drop schools 2026'!B:C,2,0)</f>
        <v>#N/A</v>
      </c>
      <c r="D368" s="50" t="s">
        <v>122</v>
      </c>
      <c r="E368" s="50" t="s">
        <v>13158</v>
      </c>
      <c r="F368" s="50" t="s">
        <v>9939</v>
      </c>
      <c r="G368" s="50" t="e">
        <f>VLOOKUP(B368,aa!B:F,5,0)</f>
        <v>#N/A</v>
      </c>
      <c r="H368" s="50" t="e">
        <f>VLOOKUP(B368,aa!B:J,9,0)</f>
        <v>#N/A</v>
      </c>
      <c r="I368" s="50" t="e">
        <f>VLOOKUP(B368,aa!B:L,11,0)</f>
        <v>#N/A</v>
      </c>
      <c r="J368" s="50" t="e">
        <f>VLOOKUP(B368,aa!B:O,14,0)</f>
        <v>#N/A</v>
      </c>
      <c r="K368" s="50" t="e">
        <f>VLOOKUP(B368,aa!B:R,17,0)</f>
        <v>#N/A</v>
      </c>
      <c r="L368" s="50" t="s">
        <v>2193</v>
      </c>
      <c r="M368" s="50">
        <v>400000</v>
      </c>
      <c r="N368" s="50">
        <v>472000</v>
      </c>
      <c r="O368" s="50">
        <v>0</v>
      </c>
      <c r="P368" s="50">
        <v>466</v>
      </c>
      <c r="Q368" s="50" t="s">
        <v>102</v>
      </c>
      <c r="R368" s="50">
        <v>0</v>
      </c>
      <c r="S368" s="50">
        <v>0</v>
      </c>
      <c r="T368" s="50" t="s">
        <v>102</v>
      </c>
      <c r="U368" s="50">
        <v>0</v>
      </c>
      <c r="V368" s="50">
        <v>0</v>
      </c>
      <c r="W368" s="50" t="s">
        <v>102</v>
      </c>
      <c r="X368" s="50" t="s">
        <v>2195</v>
      </c>
      <c r="Y368" s="50" t="s">
        <v>103</v>
      </c>
      <c r="Z368" s="50" t="s">
        <v>2196</v>
      </c>
      <c r="AA368" s="50" t="s">
        <v>12023</v>
      </c>
      <c r="AB368" s="50" t="s">
        <v>13159</v>
      </c>
      <c r="AC368" s="50" t="s">
        <v>102</v>
      </c>
      <c r="AD368" s="50" t="s">
        <v>13160</v>
      </c>
      <c r="AE368" s="50" t="s">
        <v>102</v>
      </c>
      <c r="AF368" s="50" t="s">
        <v>13161</v>
      </c>
      <c r="AG368" s="50" t="s">
        <v>102</v>
      </c>
      <c r="AH368" s="50" t="s">
        <v>12764</v>
      </c>
      <c r="AI368" s="50" t="s">
        <v>102</v>
      </c>
      <c r="AJ368" s="50" t="s">
        <v>102</v>
      </c>
      <c r="AK368" s="50" t="s">
        <v>12023</v>
      </c>
      <c r="AL368" s="50" t="s">
        <v>12023</v>
      </c>
      <c r="AM368" s="50" t="s">
        <v>2195</v>
      </c>
      <c r="AN368" s="50" t="s">
        <v>102</v>
      </c>
      <c r="AO368" s="50" t="s">
        <v>2195</v>
      </c>
      <c r="AP368" s="50" t="s">
        <v>2202</v>
      </c>
      <c r="AQ368" s="50" t="s">
        <v>2202</v>
      </c>
      <c r="AR368" s="50" t="s">
        <v>102</v>
      </c>
      <c r="AS368" s="50" t="s">
        <v>102</v>
      </c>
      <c r="AT368" s="50" t="s">
        <v>102</v>
      </c>
      <c r="AU368" s="50" t="s">
        <v>102</v>
      </c>
      <c r="AV368" s="50" t="s">
        <v>247</v>
      </c>
      <c r="AW368" s="50" t="s">
        <v>118</v>
      </c>
      <c r="AX368" s="50" t="s">
        <v>102</v>
      </c>
      <c r="AY368" s="50" t="s">
        <v>119</v>
      </c>
      <c r="BC368" s="50" t="s">
        <v>120</v>
      </c>
      <c r="BD368" s="50" t="s">
        <v>1407</v>
      </c>
      <c r="BE368" s="50" t="s">
        <v>449</v>
      </c>
      <c r="BF368" s="50" t="s">
        <v>122</v>
      </c>
      <c r="BG368" s="50" t="s">
        <v>4256</v>
      </c>
      <c r="BH368" s="50" t="s">
        <v>124</v>
      </c>
      <c r="BI368" s="50" t="s">
        <v>12023</v>
      </c>
      <c r="BJ368" s="50" t="s">
        <v>13162</v>
      </c>
      <c r="BK368" s="50" t="s">
        <v>2207</v>
      </c>
      <c r="BL368" s="50" t="s">
        <v>19028</v>
      </c>
      <c r="BM368" s="50" t="s">
        <v>9948</v>
      </c>
      <c r="BN368" s="50" t="s">
        <v>19029</v>
      </c>
      <c r="BO368" s="50" t="s">
        <v>13159</v>
      </c>
      <c r="BP368" s="50" t="s">
        <v>2766</v>
      </c>
      <c r="BQ368" s="50" t="s">
        <v>3064</v>
      </c>
      <c r="BR368" s="50" t="s">
        <v>2213</v>
      </c>
      <c r="BS368" s="50" t="s">
        <v>2214</v>
      </c>
      <c r="BT368" s="50" t="s">
        <v>2215</v>
      </c>
      <c r="BU368" s="50" t="s">
        <v>2216</v>
      </c>
      <c r="BV368" s="50" t="s">
        <v>19030</v>
      </c>
      <c r="BW368" s="50" t="s">
        <v>19031</v>
      </c>
      <c r="BX368" s="50" t="s">
        <v>138</v>
      </c>
      <c r="BY368" s="50" t="s">
        <v>225</v>
      </c>
      <c r="BZ368" s="50" t="s">
        <v>19032</v>
      </c>
      <c r="CA368" s="50" t="s">
        <v>9952</v>
      </c>
      <c r="CB368" s="50" t="s">
        <v>19031</v>
      </c>
      <c r="CC368" s="50" t="s">
        <v>19033</v>
      </c>
      <c r="CD368" s="50" t="s">
        <v>19032</v>
      </c>
      <c r="CE368" s="50" t="s">
        <v>19034</v>
      </c>
      <c r="CF368" s="50" t="s">
        <v>19033</v>
      </c>
      <c r="CG368" s="50" t="s">
        <v>19035</v>
      </c>
      <c r="CH368" s="50" t="s">
        <v>3068</v>
      </c>
      <c r="CI368" s="50" t="s">
        <v>9953</v>
      </c>
      <c r="CK368" s="50" t="s">
        <v>7810</v>
      </c>
      <c r="CL368" s="50" t="s">
        <v>9953</v>
      </c>
      <c r="CM368" s="50" t="s">
        <v>1407</v>
      </c>
      <c r="CN368" s="50" t="s">
        <v>449</v>
      </c>
      <c r="CO368" s="50" t="s">
        <v>7810</v>
      </c>
      <c r="CQ368" s="50" t="s">
        <v>9953</v>
      </c>
      <c r="CR368" s="50" t="s">
        <v>9953</v>
      </c>
    </row>
    <row r="369" spans="1:97" hidden="1">
      <c r="A369" s="50" t="s">
        <v>93</v>
      </c>
      <c r="B369" s="50">
        <v>5018233</v>
      </c>
      <c r="C369" s="50" t="e">
        <f>VLOOKUP(B369,'Drop schools 2026'!B:C,2,0)</f>
        <v>#N/A</v>
      </c>
      <c r="D369" s="50" t="s">
        <v>122</v>
      </c>
      <c r="E369" s="50" t="s">
        <v>13158</v>
      </c>
      <c r="F369" s="50" t="s">
        <v>10630</v>
      </c>
      <c r="G369" s="50" t="e">
        <f>VLOOKUP(B369,aa!B:F,5,0)</f>
        <v>#N/A</v>
      </c>
      <c r="H369" s="50" t="e">
        <f>VLOOKUP(B369,aa!B:J,9,0)</f>
        <v>#N/A</v>
      </c>
      <c r="I369" s="50" t="e">
        <f>VLOOKUP(B369,aa!B:L,11,0)</f>
        <v>#N/A</v>
      </c>
      <c r="J369" s="50" t="e">
        <f>VLOOKUP(B369,aa!B:O,14,0)</f>
        <v>#N/A</v>
      </c>
      <c r="K369" s="50" t="e">
        <f>VLOOKUP(B369,aa!B:R,17,0)</f>
        <v>#N/A</v>
      </c>
      <c r="L369" s="50" t="s">
        <v>2193</v>
      </c>
      <c r="M369" s="50">
        <v>400000</v>
      </c>
      <c r="N369" s="50">
        <v>472000</v>
      </c>
      <c r="O369" s="50">
        <v>0</v>
      </c>
      <c r="P369" s="50">
        <v>1500</v>
      </c>
      <c r="Q369" s="50" t="s">
        <v>102</v>
      </c>
      <c r="R369" s="50">
        <v>0</v>
      </c>
      <c r="S369" s="50">
        <v>0</v>
      </c>
      <c r="T369" s="50" t="s">
        <v>102</v>
      </c>
      <c r="U369" s="50">
        <v>0</v>
      </c>
      <c r="V369" s="50">
        <v>0</v>
      </c>
      <c r="W369" s="50" t="s">
        <v>102</v>
      </c>
      <c r="X369" s="50" t="s">
        <v>2195</v>
      </c>
      <c r="Y369" s="50" t="s">
        <v>103</v>
      </c>
      <c r="Z369" s="50" t="s">
        <v>2196</v>
      </c>
      <c r="AA369" s="50" t="s">
        <v>12023</v>
      </c>
      <c r="AB369" s="50" t="s">
        <v>13159</v>
      </c>
      <c r="AC369" s="50" t="s">
        <v>102</v>
      </c>
      <c r="AD369" s="50" t="s">
        <v>13160</v>
      </c>
      <c r="AE369" s="50" t="s">
        <v>102</v>
      </c>
      <c r="AF369" s="50" t="s">
        <v>13161</v>
      </c>
      <c r="AG369" s="50" t="s">
        <v>102</v>
      </c>
      <c r="AH369" s="50" t="s">
        <v>12764</v>
      </c>
      <c r="AI369" s="50" t="s">
        <v>102</v>
      </c>
      <c r="AJ369" s="50" t="s">
        <v>102</v>
      </c>
      <c r="AK369" s="50" t="s">
        <v>12023</v>
      </c>
      <c r="AL369" s="50" t="s">
        <v>12023</v>
      </c>
      <c r="AM369" s="50" t="s">
        <v>2195</v>
      </c>
      <c r="AN369" s="50" t="s">
        <v>102</v>
      </c>
      <c r="AO369" s="50" t="s">
        <v>2195</v>
      </c>
      <c r="AP369" s="50" t="s">
        <v>2202</v>
      </c>
      <c r="AQ369" s="50" t="s">
        <v>2202</v>
      </c>
      <c r="AR369" s="50" t="s">
        <v>102</v>
      </c>
      <c r="AS369" s="50" t="s">
        <v>102</v>
      </c>
      <c r="AT369" s="50" t="s">
        <v>102</v>
      </c>
      <c r="AU369" s="50" t="s">
        <v>102</v>
      </c>
      <c r="AV369" s="50" t="s">
        <v>247</v>
      </c>
      <c r="AW369" s="50" t="s">
        <v>118</v>
      </c>
      <c r="AX369" s="50" t="s">
        <v>102</v>
      </c>
      <c r="AY369" s="50" t="s">
        <v>119</v>
      </c>
      <c r="BC369" s="50" t="s">
        <v>120</v>
      </c>
      <c r="BD369" s="50" t="s">
        <v>1407</v>
      </c>
      <c r="BE369" s="50" t="s">
        <v>449</v>
      </c>
      <c r="BF369" s="50" t="s">
        <v>122</v>
      </c>
      <c r="BG369" s="50" t="s">
        <v>4256</v>
      </c>
      <c r="BH369" s="50" t="s">
        <v>124</v>
      </c>
      <c r="BI369" s="50" t="s">
        <v>12023</v>
      </c>
      <c r="BJ369" s="50" t="s">
        <v>13162</v>
      </c>
      <c r="BK369" s="50" t="s">
        <v>2207</v>
      </c>
      <c r="BL369" s="50" t="s">
        <v>19538</v>
      </c>
      <c r="BM369" s="50" t="s">
        <v>10639</v>
      </c>
      <c r="BN369" s="50" t="s">
        <v>19539</v>
      </c>
      <c r="BO369" s="50" t="s">
        <v>13159</v>
      </c>
      <c r="BP369" s="50" t="s">
        <v>2766</v>
      </c>
      <c r="BQ369" s="50" t="s">
        <v>3064</v>
      </c>
      <c r="BR369" s="50" t="s">
        <v>2213</v>
      </c>
      <c r="BS369" s="50" t="s">
        <v>2214</v>
      </c>
      <c r="BT369" s="50" t="s">
        <v>2215</v>
      </c>
      <c r="BU369" s="50" t="s">
        <v>2216</v>
      </c>
      <c r="BV369" s="50" t="s">
        <v>19540</v>
      </c>
      <c r="BW369" s="50" t="s">
        <v>10642</v>
      </c>
      <c r="BX369" s="50" t="s">
        <v>138</v>
      </c>
      <c r="BY369" s="50" t="s">
        <v>225</v>
      </c>
      <c r="BZ369" s="50" t="s">
        <v>19541</v>
      </c>
      <c r="CA369" s="50" t="s">
        <v>10643</v>
      </c>
      <c r="CB369" s="50" t="s">
        <v>10642</v>
      </c>
      <c r="CC369" s="50" t="s">
        <v>19542</v>
      </c>
      <c r="CD369" s="50" t="s">
        <v>19541</v>
      </c>
      <c r="CE369" s="50" t="s">
        <v>19543</v>
      </c>
      <c r="CF369" s="50" t="s">
        <v>19542</v>
      </c>
      <c r="CG369" s="50" t="s">
        <v>19541</v>
      </c>
      <c r="CH369" s="50" t="s">
        <v>9365</v>
      </c>
      <c r="CI369" s="50" t="s">
        <v>10644</v>
      </c>
      <c r="CK369" s="50" t="s">
        <v>3786</v>
      </c>
      <c r="CL369" s="50" t="s">
        <v>10644</v>
      </c>
      <c r="CM369" s="50" t="s">
        <v>1407</v>
      </c>
      <c r="CN369" s="50" t="s">
        <v>449</v>
      </c>
      <c r="CO369" s="50" t="s">
        <v>3786</v>
      </c>
      <c r="CQ369" s="50" t="s">
        <v>10644</v>
      </c>
      <c r="CR369" s="50" t="s">
        <v>10644</v>
      </c>
    </row>
    <row r="370" spans="1:97" hidden="1">
      <c r="A370" s="50" t="s">
        <v>93</v>
      </c>
      <c r="B370" s="50">
        <v>5018234</v>
      </c>
      <c r="C370" s="50" t="e">
        <f>VLOOKUP(B370,'Drop schools 2026'!B:C,2,0)</f>
        <v>#N/A</v>
      </c>
      <c r="D370" s="50" t="s">
        <v>10651</v>
      </c>
      <c r="E370" s="50" t="s">
        <v>13158</v>
      </c>
      <c r="F370" s="50" t="s">
        <v>10645</v>
      </c>
      <c r="G370" s="50" t="e">
        <f>VLOOKUP(B370,aa!B:F,5,0)</f>
        <v>#N/A</v>
      </c>
      <c r="H370" s="50" t="e">
        <f>VLOOKUP(B370,aa!B:J,9,0)</f>
        <v>#N/A</v>
      </c>
      <c r="I370" s="50" t="e">
        <f>VLOOKUP(B370,aa!B:L,11,0)</f>
        <v>#N/A</v>
      </c>
      <c r="J370" s="50" t="e">
        <f>VLOOKUP(B370,aa!B:O,14,0)</f>
        <v>#N/A</v>
      </c>
      <c r="K370" s="50" t="e">
        <f>VLOOKUP(B370,aa!B:R,17,0)</f>
        <v>#N/A</v>
      </c>
      <c r="L370" s="50" t="s">
        <v>2193</v>
      </c>
      <c r="M370" s="50">
        <v>400000</v>
      </c>
      <c r="N370" s="50">
        <v>472000</v>
      </c>
      <c r="O370" s="50">
        <v>0</v>
      </c>
      <c r="P370" s="50">
        <v>1273</v>
      </c>
      <c r="Q370" s="50" t="s">
        <v>102</v>
      </c>
      <c r="R370" s="50">
        <v>0</v>
      </c>
      <c r="S370" s="50">
        <v>0</v>
      </c>
      <c r="T370" s="50" t="s">
        <v>102</v>
      </c>
      <c r="U370" s="50">
        <v>0</v>
      </c>
      <c r="V370" s="50">
        <v>0</v>
      </c>
      <c r="W370" s="50" t="s">
        <v>102</v>
      </c>
      <c r="X370" s="50" t="s">
        <v>2195</v>
      </c>
      <c r="Y370" s="50" t="s">
        <v>103</v>
      </c>
      <c r="Z370" s="50" t="s">
        <v>2196</v>
      </c>
      <c r="AA370" s="50" t="s">
        <v>12023</v>
      </c>
      <c r="AB370" s="50" t="s">
        <v>13159</v>
      </c>
      <c r="AC370" s="50" t="s">
        <v>102</v>
      </c>
      <c r="AD370" s="50" t="s">
        <v>13160</v>
      </c>
      <c r="AE370" s="50" t="s">
        <v>102</v>
      </c>
      <c r="AF370" s="50" t="s">
        <v>13161</v>
      </c>
      <c r="AG370" s="50" t="s">
        <v>102</v>
      </c>
      <c r="AH370" s="50" t="s">
        <v>12764</v>
      </c>
      <c r="AI370" s="50" t="s">
        <v>102</v>
      </c>
      <c r="AJ370" s="50" t="s">
        <v>102</v>
      </c>
      <c r="AK370" s="50" t="s">
        <v>12023</v>
      </c>
      <c r="AL370" s="50" t="s">
        <v>12023</v>
      </c>
      <c r="AM370" s="50" t="s">
        <v>2195</v>
      </c>
      <c r="AN370" s="50" t="s">
        <v>102</v>
      </c>
      <c r="AO370" s="50" t="s">
        <v>2195</v>
      </c>
      <c r="AP370" s="50" t="s">
        <v>2202</v>
      </c>
      <c r="AQ370" s="50" t="s">
        <v>2202</v>
      </c>
      <c r="AR370" s="50" t="s">
        <v>102</v>
      </c>
      <c r="AS370" s="50" t="s">
        <v>102</v>
      </c>
      <c r="AT370" s="50" t="s">
        <v>102</v>
      </c>
      <c r="AU370" s="50" t="s">
        <v>102</v>
      </c>
      <c r="AV370" s="50" t="s">
        <v>247</v>
      </c>
      <c r="AW370" s="50" t="s">
        <v>118</v>
      </c>
      <c r="AX370" s="50" t="s">
        <v>102</v>
      </c>
      <c r="AY370" s="50" t="s">
        <v>119</v>
      </c>
      <c r="BC370" s="50" t="s">
        <v>120</v>
      </c>
      <c r="BD370" s="50" t="s">
        <v>4864</v>
      </c>
      <c r="BE370" s="50" t="s">
        <v>621</v>
      </c>
      <c r="BF370" s="50" t="s">
        <v>10651</v>
      </c>
      <c r="BG370" s="50" t="s">
        <v>10652</v>
      </c>
      <c r="BH370" s="50" t="s">
        <v>124</v>
      </c>
      <c r="BI370" s="50" t="s">
        <v>12023</v>
      </c>
      <c r="BJ370" s="50" t="s">
        <v>13162</v>
      </c>
      <c r="BK370" s="50" t="s">
        <v>2207</v>
      </c>
      <c r="BL370" s="50" t="s">
        <v>19544</v>
      </c>
      <c r="BM370" s="50" t="s">
        <v>10656</v>
      </c>
      <c r="BN370" s="50" t="s">
        <v>19545</v>
      </c>
      <c r="BO370" s="50" t="s">
        <v>13159</v>
      </c>
      <c r="BP370" s="50" t="s">
        <v>2766</v>
      </c>
      <c r="BQ370" s="50" t="s">
        <v>3064</v>
      </c>
      <c r="BR370" s="50" t="s">
        <v>2213</v>
      </c>
      <c r="BS370" s="50" t="s">
        <v>2214</v>
      </c>
      <c r="BT370" s="50" t="s">
        <v>2215</v>
      </c>
      <c r="BU370" s="50" t="s">
        <v>2216</v>
      </c>
      <c r="BV370" s="50" t="s">
        <v>19546</v>
      </c>
      <c r="BW370" s="50" t="s">
        <v>19547</v>
      </c>
      <c r="BX370" s="50" t="s">
        <v>138</v>
      </c>
      <c r="BY370" s="50" t="s">
        <v>225</v>
      </c>
      <c r="BZ370" s="50" t="s">
        <v>19548</v>
      </c>
      <c r="CA370" s="50" t="s">
        <v>10660</v>
      </c>
      <c r="CB370" s="50" t="s">
        <v>19547</v>
      </c>
      <c r="CC370" s="50" t="s">
        <v>10660</v>
      </c>
      <c r="CD370" s="50" t="s">
        <v>19548</v>
      </c>
      <c r="CE370" s="50" t="s">
        <v>19549</v>
      </c>
      <c r="CF370" s="50" t="s">
        <v>10660</v>
      </c>
      <c r="CG370" s="50" t="s">
        <v>19548</v>
      </c>
      <c r="CH370" s="50" t="s">
        <v>10661</v>
      </c>
      <c r="CI370" s="50" t="s">
        <v>19550</v>
      </c>
      <c r="CK370" s="50" t="s">
        <v>5937</v>
      </c>
      <c r="CL370" s="50" t="s">
        <v>19551</v>
      </c>
      <c r="CM370" s="50" t="s">
        <v>4864</v>
      </c>
      <c r="CN370" s="50" t="s">
        <v>621</v>
      </c>
      <c r="CO370" s="50" t="s">
        <v>5937</v>
      </c>
      <c r="CQ370" s="50" t="s">
        <v>10662</v>
      </c>
      <c r="CR370" s="50" t="s">
        <v>10663</v>
      </c>
    </row>
    <row r="371" spans="1:97" hidden="1">
      <c r="A371" s="50" t="s">
        <v>149</v>
      </c>
      <c r="B371" s="50">
        <v>2476940</v>
      </c>
      <c r="C371" s="50" t="e">
        <f>VLOOKUP(B371,'Drop schools 2026'!B:C,2,0)</f>
        <v>#N/A</v>
      </c>
      <c r="D371" s="50" t="s">
        <v>212</v>
      </c>
      <c r="E371" s="50" t="s">
        <v>418</v>
      </c>
      <c r="F371" s="50" t="s">
        <v>3691</v>
      </c>
      <c r="G371" s="50" t="e">
        <f>VLOOKUP(B371,aa!B:F,5,0)</f>
        <v>#N/A</v>
      </c>
      <c r="H371" s="50" t="e">
        <f>VLOOKUP(B371,aa!B:J,9,0)</f>
        <v>#N/A</v>
      </c>
      <c r="I371" s="50" t="e">
        <f>VLOOKUP(B371,aa!B:L,11,0)</f>
        <v>#N/A</v>
      </c>
      <c r="J371" s="50" t="e">
        <f>VLOOKUP(B371,aa!B:O,14,0)</f>
        <v>#N/A</v>
      </c>
      <c r="K371" s="50" t="e">
        <f>VLOOKUP(B371,aa!B:R,17,0)</f>
        <v>#N/A</v>
      </c>
      <c r="L371" s="50" t="s">
        <v>97</v>
      </c>
      <c r="M371" s="50">
        <v>399860</v>
      </c>
      <c r="N371" s="50">
        <v>399860</v>
      </c>
      <c r="O371" s="50">
        <v>399860</v>
      </c>
      <c r="P371" s="50">
        <v>475</v>
      </c>
      <c r="Q371" s="50" t="s">
        <v>14206</v>
      </c>
      <c r="R371" s="50">
        <v>0</v>
      </c>
      <c r="S371" s="50">
        <v>0</v>
      </c>
      <c r="U371" s="50">
        <v>0</v>
      </c>
      <c r="V371" s="50">
        <v>0</v>
      </c>
      <c r="X371" s="50" t="s">
        <v>102</v>
      </c>
      <c r="Y371" s="50" t="s">
        <v>103</v>
      </c>
      <c r="Z371" s="50" t="s">
        <v>104</v>
      </c>
      <c r="AB371" s="50" t="s">
        <v>1165</v>
      </c>
      <c r="AC371" s="50" t="s">
        <v>14207</v>
      </c>
      <c r="AD371" s="50" t="s">
        <v>12888</v>
      </c>
      <c r="AE371" s="50" t="s">
        <v>14208</v>
      </c>
      <c r="AF371" s="50" t="s">
        <v>109</v>
      </c>
      <c r="AG371" s="50" t="s">
        <v>102</v>
      </c>
      <c r="AH371" s="50" t="s">
        <v>109</v>
      </c>
      <c r="AI371" s="50" t="s">
        <v>102</v>
      </c>
      <c r="AJ371" s="50" t="s">
        <v>14209</v>
      </c>
      <c r="AK371" s="50" t="s">
        <v>14210</v>
      </c>
      <c r="AL371" s="50" t="s">
        <v>14210</v>
      </c>
      <c r="AM371" s="50" t="s">
        <v>14211</v>
      </c>
      <c r="AN371" s="50" t="s">
        <v>14212</v>
      </c>
      <c r="AO371" s="50" t="s">
        <v>14213</v>
      </c>
      <c r="AP371" s="50" t="s">
        <v>14214</v>
      </c>
      <c r="AQ371" s="50" t="s">
        <v>14214</v>
      </c>
      <c r="AV371" s="50" t="s">
        <v>318</v>
      </c>
      <c r="AW371" s="50" t="s">
        <v>118</v>
      </c>
      <c r="AX371" s="50" t="s">
        <v>102</v>
      </c>
      <c r="AY371" s="50" t="s">
        <v>119</v>
      </c>
      <c r="BC371" s="50" t="s">
        <v>120</v>
      </c>
      <c r="BD371" s="50" t="s">
        <v>409</v>
      </c>
      <c r="BE371" s="50" t="s">
        <v>410</v>
      </c>
      <c r="BF371" s="50" t="s">
        <v>212</v>
      </c>
      <c r="BG371" s="50" t="s">
        <v>410</v>
      </c>
      <c r="BH371" s="50" t="s">
        <v>124</v>
      </c>
      <c r="BI371" s="50" t="s">
        <v>12082</v>
      </c>
      <c r="BJ371" s="50" t="s">
        <v>11889</v>
      </c>
      <c r="BK371" s="50" t="s">
        <v>127</v>
      </c>
      <c r="BL371" s="50" t="s">
        <v>14215</v>
      </c>
      <c r="BM371" s="50" t="s">
        <v>3702</v>
      </c>
      <c r="BN371" s="50" t="s">
        <v>14216</v>
      </c>
      <c r="BO371" s="50" t="s">
        <v>6443</v>
      </c>
      <c r="BP371" s="50" t="s">
        <v>866</v>
      </c>
      <c r="BQ371" s="50" t="s">
        <v>132</v>
      </c>
      <c r="BR371" s="50" t="s">
        <v>867</v>
      </c>
      <c r="BS371" s="50" t="s">
        <v>868</v>
      </c>
      <c r="BT371" s="50" t="s">
        <v>418</v>
      </c>
      <c r="BV371" s="50" t="s">
        <v>14217</v>
      </c>
      <c r="BW371" s="50" t="s">
        <v>3585</v>
      </c>
      <c r="BX371" s="50" t="s">
        <v>598</v>
      </c>
      <c r="BY371" s="50" t="s">
        <v>225</v>
      </c>
      <c r="BZ371" s="50" t="s">
        <v>10475</v>
      </c>
      <c r="CA371" s="50" t="s">
        <v>3705</v>
      </c>
      <c r="CB371" s="50" t="s">
        <v>14218</v>
      </c>
      <c r="CC371" s="50" t="s">
        <v>14219</v>
      </c>
      <c r="CD371" s="50" t="s">
        <v>14220</v>
      </c>
      <c r="CE371" s="50" t="s">
        <v>14221</v>
      </c>
      <c r="CF371" s="50" t="s">
        <v>14222</v>
      </c>
      <c r="CG371" s="50" t="s">
        <v>14223</v>
      </c>
      <c r="CH371" s="50" t="s">
        <v>102</v>
      </c>
      <c r="CI371" s="50" t="s">
        <v>3706</v>
      </c>
      <c r="CK371" s="50" t="s">
        <v>3707</v>
      </c>
      <c r="CM371" s="50" t="s">
        <v>409</v>
      </c>
      <c r="CN371" s="50" t="s">
        <v>410</v>
      </c>
      <c r="CO371" s="50" t="s">
        <v>3707</v>
      </c>
      <c r="CP371" s="50" t="s">
        <v>3589</v>
      </c>
      <c r="CQ371" s="50" t="s">
        <v>3706</v>
      </c>
      <c r="CR371" s="50" t="s">
        <v>3706</v>
      </c>
      <c r="CS371" s="50" t="s">
        <v>26040</v>
      </c>
    </row>
    <row r="372" spans="1:97" hidden="1">
      <c r="A372" s="50" t="s">
        <v>93</v>
      </c>
      <c r="B372" s="50">
        <v>2400949</v>
      </c>
      <c r="C372" s="50" t="e">
        <f>VLOOKUP(B372,'Drop schools 2026'!B:C,2,0)</f>
        <v>#N/A</v>
      </c>
      <c r="D372" s="50" t="s">
        <v>122</v>
      </c>
      <c r="E372" s="50" t="s">
        <v>11898</v>
      </c>
      <c r="F372" s="50" t="s">
        <v>3226</v>
      </c>
      <c r="G372" s="50" t="str">
        <f>VLOOKUP(B372,aa!B:F,5,0)</f>
        <v>Ei CARES</v>
      </c>
      <c r="H372" s="50">
        <f>VLOOKUP(B372,aa!B:J,9,0)</f>
        <v>356170</v>
      </c>
      <c r="I372" s="50">
        <f>VLOOKUP(B372,aa!B:L,11,0)</f>
        <v>0</v>
      </c>
      <c r="J372" s="50">
        <f>VLOOKUP(B372,aa!B:O,14,0)</f>
        <v>356170</v>
      </c>
      <c r="K372" s="50">
        <f>VLOOKUP(B372,aa!B:R,17,0)</f>
        <v>0</v>
      </c>
      <c r="L372" s="50" t="s">
        <v>152</v>
      </c>
      <c r="M372" s="50">
        <v>399808</v>
      </c>
      <c r="N372" s="50">
        <v>399808</v>
      </c>
      <c r="O372" s="50">
        <v>0</v>
      </c>
      <c r="P372" s="50">
        <v>0</v>
      </c>
      <c r="R372" s="50">
        <v>399808</v>
      </c>
      <c r="S372" s="50">
        <v>505</v>
      </c>
      <c r="T372" s="50" t="s">
        <v>13887</v>
      </c>
      <c r="U372" s="50">
        <v>0</v>
      </c>
      <c r="V372" s="50">
        <v>0</v>
      </c>
      <c r="X372" s="50" t="s">
        <v>102</v>
      </c>
      <c r="Y372" s="50" t="s">
        <v>103</v>
      </c>
      <c r="Z372" s="50" t="s">
        <v>398</v>
      </c>
      <c r="AB372" s="50" t="s">
        <v>11959</v>
      </c>
      <c r="AC372" s="50" t="s">
        <v>13888</v>
      </c>
      <c r="AD372" s="50" t="s">
        <v>5651</v>
      </c>
      <c r="AE372" s="50" t="s">
        <v>13889</v>
      </c>
      <c r="AF372" s="50" t="s">
        <v>12084</v>
      </c>
      <c r="AG372" s="50" t="s">
        <v>13889</v>
      </c>
      <c r="AH372" s="50" t="s">
        <v>109</v>
      </c>
      <c r="AI372" s="50" t="s">
        <v>102</v>
      </c>
      <c r="AJ372" s="50" t="s">
        <v>102</v>
      </c>
      <c r="AM372" s="50" t="s">
        <v>13890</v>
      </c>
      <c r="AN372" s="50" t="s">
        <v>102</v>
      </c>
      <c r="AO372" s="50" t="s">
        <v>13890</v>
      </c>
      <c r="AP372" s="50" t="s">
        <v>13891</v>
      </c>
      <c r="AQ372" s="50" t="s">
        <v>13891</v>
      </c>
      <c r="AV372" s="50" t="s">
        <v>102</v>
      </c>
      <c r="AX372" s="50" t="s">
        <v>102</v>
      </c>
      <c r="AY372" s="50" t="s">
        <v>447</v>
      </c>
      <c r="AZ372" s="50" t="s">
        <v>170</v>
      </c>
      <c r="BA372" s="50" t="s">
        <v>118</v>
      </c>
      <c r="BC372" s="50" t="s">
        <v>120</v>
      </c>
      <c r="BD372" s="50" t="s">
        <v>3239</v>
      </c>
      <c r="BE372" s="50" t="s">
        <v>449</v>
      </c>
      <c r="BF372" s="50" t="s">
        <v>122</v>
      </c>
      <c r="BG372" s="50" t="s">
        <v>253</v>
      </c>
      <c r="BH372" s="50" t="s">
        <v>124</v>
      </c>
      <c r="BI372" s="50" t="s">
        <v>12023</v>
      </c>
      <c r="BJ372" s="50" t="s">
        <v>11889</v>
      </c>
      <c r="BK372" s="50" t="s">
        <v>127</v>
      </c>
      <c r="BL372" s="50" t="s">
        <v>13892</v>
      </c>
      <c r="BM372" s="50" t="s">
        <v>3241</v>
      </c>
      <c r="BN372" s="50" t="s">
        <v>13893</v>
      </c>
      <c r="BO372" s="50" t="s">
        <v>13886</v>
      </c>
      <c r="BP372" s="50" t="s">
        <v>3243</v>
      </c>
      <c r="BQ372" s="50" t="s">
        <v>505</v>
      </c>
      <c r="BR372" s="50" t="s">
        <v>3244</v>
      </c>
      <c r="BS372" s="50" t="s">
        <v>3245</v>
      </c>
      <c r="BT372" s="50" t="s">
        <v>3246</v>
      </c>
      <c r="BU372" s="50" t="s">
        <v>135</v>
      </c>
      <c r="BV372" s="50" t="s">
        <v>13894</v>
      </c>
      <c r="BW372" s="50" t="s">
        <v>3248</v>
      </c>
      <c r="BX372" s="50" t="s">
        <v>138</v>
      </c>
      <c r="BY372" s="50" t="s">
        <v>3249</v>
      </c>
      <c r="BZ372" s="50" t="s">
        <v>3250</v>
      </c>
      <c r="CA372" s="50" t="s">
        <v>3249</v>
      </c>
      <c r="CB372" s="50" t="s">
        <v>3248</v>
      </c>
      <c r="CC372" s="50" t="s">
        <v>3249</v>
      </c>
      <c r="CD372" s="50" t="s">
        <v>3250</v>
      </c>
      <c r="CE372" s="50" t="s">
        <v>13895</v>
      </c>
      <c r="CF372" s="50" t="s">
        <v>13896</v>
      </c>
      <c r="CG372" s="50" t="s">
        <v>13897</v>
      </c>
      <c r="CH372" s="50" t="s">
        <v>3251</v>
      </c>
      <c r="CI372" s="50" t="s">
        <v>13898</v>
      </c>
      <c r="CK372" s="50" t="s">
        <v>3253</v>
      </c>
      <c r="CL372" s="50" t="s">
        <v>13898</v>
      </c>
      <c r="CM372" s="50" t="s">
        <v>3239</v>
      </c>
      <c r="CN372" s="50" t="s">
        <v>449</v>
      </c>
      <c r="CO372" s="50" t="s">
        <v>3253</v>
      </c>
      <c r="CQ372" s="50" t="s">
        <v>3252</v>
      </c>
      <c r="CR372" s="50" t="s">
        <v>3252</v>
      </c>
    </row>
    <row r="373" spans="1:97" hidden="1">
      <c r="A373" s="50" t="s">
        <v>337</v>
      </c>
      <c r="B373" s="50">
        <v>5018241</v>
      </c>
      <c r="C373" s="50" t="e">
        <f>VLOOKUP(B373,'Drop schools 2026'!B:C,2,0)</f>
        <v>#N/A</v>
      </c>
      <c r="D373" s="50" t="s">
        <v>174</v>
      </c>
      <c r="E373" s="50" t="s">
        <v>12096</v>
      </c>
      <c r="F373" s="50" t="s">
        <v>19572</v>
      </c>
      <c r="G373" s="50" t="str">
        <f>VLOOKUP(B373,aa!B:F,5,0)</f>
        <v>Ei Mindspark</v>
      </c>
      <c r="H373" s="50">
        <f>VLOOKUP(B373,aa!B:J,9,0)</f>
        <v>534389</v>
      </c>
      <c r="I373" s="50">
        <f>VLOOKUP(B373,aa!B:L,11,0)</f>
        <v>0</v>
      </c>
      <c r="J373" s="50">
        <f>VLOOKUP(B373,aa!B:O,14,0)</f>
        <v>0</v>
      </c>
      <c r="K373" s="50">
        <f>VLOOKUP(B373,aa!B:R,17,0)</f>
        <v>534389</v>
      </c>
      <c r="L373" s="50" t="s">
        <v>97</v>
      </c>
      <c r="M373" s="50">
        <v>399750</v>
      </c>
      <c r="N373" s="50">
        <v>399750</v>
      </c>
      <c r="O373" s="50">
        <v>399750</v>
      </c>
      <c r="P373" s="50">
        <v>533</v>
      </c>
      <c r="Q373" s="50" t="s">
        <v>101</v>
      </c>
      <c r="R373" s="50">
        <v>0</v>
      </c>
      <c r="S373" s="50">
        <v>0</v>
      </c>
      <c r="U373" s="50">
        <v>0</v>
      </c>
      <c r="V373" s="50">
        <v>0</v>
      </c>
      <c r="X373" s="50" t="s">
        <v>102</v>
      </c>
      <c r="Y373" s="50" t="s">
        <v>103</v>
      </c>
      <c r="Z373" s="50" t="s">
        <v>398</v>
      </c>
      <c r="AB373" s="50" t="s">
        <v>1200</v>
      </c>
      <c r="AC373" s="50" t="s">
        <v>19573</v>
      </c>
      <c r="AD373" s="50" t="s">
        <v>16918</v>
      </c>
      <c r="AE373" s="50" t="s">
        <v>19574</v>
      </c>
      <c r="AF373" s="50" t="s">
        <v>11927</v>
      </c>
      <c r="AG373" s="50" t="s">
        <v>19574</v>
      </c>
      <c r="AH373" s="50" t="s">
        <v>109</v>
      </c>
      <c r="AI373" s="50" t="s">
        <v>102</v>
      </c>
      <c r="AJ373" s="50" t="s">
        <v>102</v>
      </c>
      <c r="AK373" s="50" t="s">
        <v>2911</v>
      </c>
      <c r="AL373" s="50" t="s">
        <v>2911</v>
      </c>
      <c r="AM373" s="50" t="s">
        <v>19575</v>
      </c>
      <c r="AN373" s="50" t="s">
        <v>1538</v>
      </c>
      <c r="AO373" s="50" t="s">
        <v>19576</v>
      </c>
      <c r="AP373" s="50" t="s">
        <v>116</v>
      </c>
      <c r="AQ373" s="50" t="s">
        <v>116</v>
      </c>
      <c r="AV373" s="50" t="s">
        <v>117</v>
      </c>
      <c r="AW373" s="50" t="s">
        <v>118</v>
      </c>
      <c r="AX373" s="50" t="s">
        <v>102</v>
      </c>
      <c r="AY373" s="50" t="s">
        <v>119</v>
      </c>
      <c r="BC373" s="50" t="s">
        <v>120</v>
      </c>
      <c r="BD373" s="50" t="s">
        <v>19577</v>
      </c>
      <c r="BE373" s="50" t="s">
        <v>376</v>
      </c>
      <c r="BF373" s="50" t="s">
        <v>174</v>
      </c>
      <c r="BG373" s="50" t="s">
        <v>376</v>
      </c>
      <c r="BH373" s="50" t="s">
        <v>124</v>
      </c>
      <c r="BI373" s="50" t="s">
        <v>13496</v>
      </c>
      <c r="BJ373" s="50" t="s">
        <v>11886</v>
      </c>
      <c r="BK373" s="50" t="s">
        <v>127</v>
      </c>
      <c r="BL373" s="50" t="s">
        <v>19578</v>
      </c>
      <c r="BM373" s="50" t="s">
        <v>19579</v>
      </c>
      <c r="BN373" s="50" t="s">
        <v>19580</v>
      </c>
      <c r="BO373" s="50" t="s">
        <v>972</v>
      </c>
      <c r="BP373" s="50" t="s">
        <v>13780</v>
      </c>
      <c r="BQ373" s="50" t="s">
        <v>258</v>
      </c>
      <c r="BR373" s="50" t="s">
        <v>13781</v>
      </c>
      <c r="BS373" s="50" t="s">
        <v>13782</v>
      </c>
      <c r="BT373" s="50" t="s">
        <v>13783</v>
      </c>
      <c r="BV373" s="50" t="s">
        <v>19581</v>
      </c>
      <c r="BW373" s="50" t="s">
        <v>19582</v>
      </c>
      <c r="BX373" s="50" t="s">
        <v>354</v>
      </c>
      <c r="BY373" s="50" t="s">
        <v>19583</v>
      </c>
      <c r="CA373" s="50" t="s">
        <v>19583</v>
      </c>
      <c r="CB373" s="50" t="s">
        <v>19584</v>
      </c>
      <c r="CC373" s="50" t="s">
        <v>19585</v>
      </c>
      <c r="CD373" s="50" t="s">
        <v>19586</v>
      </c>
      <c r="CE373" s="50" t="s">
        <v>19587</v>
      </c>
      <c r="CF373" s="50" t="s">
        <v>19585</v>
      </c>
      <c r="CG373" s="50" t="s">
        <v>19588</v>
      </c>
      <c r="CH373" s="50" t="s">
        <v>2555</v>
      </c>
      <c r="CI373" s="50" t="s">
        <v>19589</v>
      </c>
      <c r="CK373" s="50" t="s">
        <v>19590</v>
      </c>
      <c r="CL373" s="50" t="s">
        <v>19589</v>
      </c>
      <c r="CM373" s="50" t="s">
        <v>19577</v>
      </c>
      <c r="CN373" s="50" t="s">
        <v>376</v>
      </c>
      <c r="CO373" s="50" t="s">
        <v>19590</v>
      </c>
      <c r="CQ373" s="50" t="s">
        <v>19589</v>
      </c>
      <c r="CR373" s="50" t="s">
        <v>19589</v>
      </c>
    </row>
    <row r="374" spans="1:97" hidden="1">
      <c r="A374" s="50" t="s">
        <v>93</v>
      </c>
      <c r="B374" s="50">
        <v>5002735</v>
      </c>
      <c r="C374" s="50" t="e">
        <f>VLOOKUP(B374,'Drop schools 2026'!B:C,2,0)</f>
        <v>#N/A</v>
      </c>
      <c r="D374" s="50" t="s">
        <v>622</v>
      </c>
      <c r="E374" s="50" t="s">
        <v>985</v>
      </c>
      <c r="F374" s="50" t="s">
        <v>18498</v>
      </c>
      <c r="G374" s="50" t="e">
        <f>VLOOKUP(B374,aa!B:F,5,0)</f>
        <v>#N/A</v>
      </c>
      <c r="H374" s="50" t="e">
        <f>VLOOKUP(B374,aa!B:J,9,0)</f>
        <v>#N/A</v>
      </c>
      <c r="I374" s="50" t="e">
        <f>VLOOKUP(B374,aa!B:L,11,0)</f>
        <v>#N/A</v>
      </c>
      <c r="J374" s="50" t="e">
        <f>VLOOKUP(B374,aa!B:O,14,0)</f>
        <v>#N/A</v>
      </c>
      <c r="K374" s="50" t="e">
        <f>VLOOKUP(B374,aa!B:R,17,0)</f>
        <v>#N/A</v>
      </c>
      <c r="L374" s="50" t="s">
        <v>97</v>
      </c>
      <c r="M374" s="50">
        <v>399714</v>
      </c>
      <c r="N374" s="50">
        <v>399714</v>
      </c>
      <c r="O374" s="50">
        <v>399714</v>
      </c>
      <c r="P374" s="50">
        <v>363</v>
      </c>
      <c r="Q374" s="50" t="s">
        <v>6782</v>
      </c>
      <c r="R374" s="50">
        <v>0</v>
      </c>
      <c r="S374" s="50">
        <v>0</v>
      </c>
      <c r="U374" s="50">
        <v>0</v>
      </c>
      <c r="V374" s="50">
        <v>0</v>
      </c>
      <c r="X374" s="50" t="s">
        <v>102</v>
      </c>
      <c r="Y374" s="50" t="s">
        <v>103</v>
      </c>
      <c r="Z374" s="50" t="s">
        <v>104</v>
      </c>
      <c r="AB374" s="50" t="s">
        <v>12923</v>
      </c>
      <c r="AC374" s="50" t="s">
        <v>18499</v>
      </c>
      <c r="AD374" s="50" t="s">
        <v>3679</v>
      </c>
      <c r="AE374" s="50" t="s">
        <v>18499</v>
      </c>
      <c r="AF374" s="50" t="s">
        <v>109</v>
      </c>
      <c r="AG374" s="50" t="s">
        <v>102</v>
      </c>
      <c r="AH374" s="50" t="s">
        <v>109</v>
      </c>
      <c r="AI374" s="50" t="s">
        <v>102</v>
      </c>
      <c r="AJ374" s="50" t="s">
        <v>102</v>
      </c>
      <c r="AK374" s="50" t="s">
        <v>11929</v>
      </c>
      <c r="AL374" s="50" t="s">
        <v>11929</v>
      </c>
      <c r="AM374" s="50" t="s">
        <v>18500</v>
      </c>
      <c r="AN374" s="50" t="s">
        <v>18501</v>
      </c>
      <c r="AO374" s="50" t="s">
        <v>18502</v>
      </c>
      <c r="AP374" s="50" t="s">
        <v>18503</v>
      </c>
      <c r="AQ374" s="50" t="s">
        <v>18503</v>
      </c>
      <c r="AV374" s="50" t="s">
        <v>318</v>
      </c>
      <c r="AW374" s="50" t="s">
        <v>118</v>
      </c>
      <c r="AX374" s="50" t="s">
        <v>102</v>
      </c>
      <c r="AY374" s="50" t="s">
        <v>119</v>
      </c>
      <c r="BC374" s="50" t="s">
        <v>120</v>
      </c>
      <c r="BD374" s="50" t="s">
        <v>2127</v>
      </c>
      <c r="BE374" s="50" t="s">
        <v>621</v>
      </c>
      <c r="BF374" s="50" t="s">
        <v>622</v>
      </c>
      <c r="BG374" s="50" t="s">
        <v>976</v>
      </c>
      <c r="BH374" s="50" t="s">
        <v>124</v>
      </c>
      <c r="BI374" s="50" t="s">
        <v>12082</v>
      </c>
      <c r="BJ374" s="50" t="s">
        <v>12289</v>
      </c>
      <c r="BK374" s="50" t="s">
        <v>127</v>
      </c>
      <c r="BL374" s="50" t="s">
        <v>18504</v>
      </c>
      <c r="BM374" s="50" t="s">
        <v>9159</v>
      </c>
      <c r="BN374" s="50" t="s">
        <v>18505</v>
      </c>
      <c r="BO374" s="50" t="s">
        <v>12100</v>
      </c>
      <c r="BP374" s="50" t="s">
        <v>18506</v>
      </c>
      <c r="BQ374" s="50" t="s">
        <v>350</v>
      </c>
      <c r="BR374" s="50" t="s">
        <v>18507</v>
      </c>
      <c r="BS374" s="50" t="s">
        <v>18508</v>
      </c>
      <c r="BT374" s="50" t="s">
        <v>984</v>
      </c>
      <c r="BV374" s="50" t="s">
        <v>18509</v>
      </c>
      <c r="BW374" s="50" t="s">
        <v>18510</v>
      </c>
      <c r="BX374" s="50" t="s">
        <v>138</v>
      </c>
      <c r="BY374" s="50" t="s">
        <v>9163</v>
      </c>
      <c r="BZ374" s="50" t="s">
        <v>9164</v>
      </c>
      <c r="CA374" s="50" t="s">
        <v>9165</v>
      </c>
      <c r="CB374" s="50" t="s">
        <v>18510</v>
      </c>
      <c r="CC374" s="50" t="s">
        <v>9163</v>
      </c>
      <c r="CD374" s="50" t="s">
        <v>9164</v>
      </c>
      <c r="CE374" s="50" t="s">
        <v>18510</v>
      </c>
      <c r="CF374" s="50" t="s">
        <v>9163</v>
      </c>
      <c r="CG374" s="50" t="s">
        <v>9164</v>
      </c>
      <c r="CH374" s="50" t="s">
        <v>2270</v>
      </c>
      <c r="CI374" s="50" t="s">
        <v>18511</v>
      </c>
      <c r="CK374" s="50" t="s">
        <v>9167</v>
      </c>
      <c r="CL374" s="50" t="s">
        <v>18512</v>
      </c>
      <c r="CM374" s="50" t="s">
        <v>2127</v>
      </c>
      <c r="CN374" s="50" t="s">
        <v>621</v>
      </c>
      <c r="CO374" s="50" t="s">
        <v>9167</v>
      </c>
      <c r="CQ374" s="50" t="s">
        <v>9166</v>
      </c>
      <c r="CR374" s="50" t="s">
        <v>9166</v>
      </c>
      <c r="CS374" s="50" t="s">
        <v>26044</v>
      </c>
    </row>
    <row r="375" spans="1:97" hidden="1">
      <c r="A375" s="50" t="s">
        <v>337</v>
      </c>
      <c r="B375" s="50">
        <v>3992841</v>
      </c>
      <c r="C375" s="50" t="str">
        <f>VLOOKUP(B375,'Drop schools 2026'!B:C,2,0)</f>
        <v>Drop</v>
      </c>
      <c r="D375" s="50" t="s">
        <v>174</v>
      </c>
      <c r="E375" s="50" t="s">
        <v>12155</v>
      </c>
      <c r="F375" s="50" t="s">
        <v>17598</v>
      </c>
      <c r="G375" s="50" t="e">
        <f>VLOOKUP(B375,aa!B:F,5,0)</f>
        <v>#N/A</v>
      </c>
      <c r="H375" s="50" t="e">
        <f>VLOOKUP(B375,aa!B:J,9,0)</f>
        <v>#N/A</v>
      </c>
      <c r="I375" s="50" t="e">
        <f>VLOOKUP(B375,aa!B:L,11,0)</f>
        <v>#N/A</v>
      </c>
      <c r="J375" s="50" t="e">
        <f>VLOOKUP(B375,aa!B:O,14,0)</f>
        <v>#N/A</v>
      </c>
      <c r="K375" s="50" t="e">
        <f>VLOOKUP(B375,aa!B:R,17,0)</f>
        <v>#N/A</v>
      </c>
      <c r="L375" s="50" t="s">
        <v>152</v>
      </c>
      <c r="M375" s="50">
        <v>399378</v>
      </c>
      <c r="N375" s="50">
        <v>399378</v>
      </c>
      <c r="O375" s="50">
        <v>0</v>
      </c>
      <c r="P375" s="50">
        <v>0</v>
      </c>
      <c r="R375" s="50">
        <v>399378</v>
      </c>
      <c r="S375" s="50">
        <v>222</v>
      </c>
      <c r="T375" s="50" t="s">
        <v>17599</v>
      </c>
      <c r="U375" s="50">
        <v>0</v>
      </c>
      <c r="V375" s="50">
        <v>0</v>
      </c>
      <c r="X375" s="50" t="s">
        <v>102</v>
      </c>
      <c r="Y375" s="50" t="s">
        <v>103</v>
      </c>
      <c r="Z375" s="50" t="s">
        <v>155</v>
      </c>
      <c r="AB375" s="50" t="s">
        <v>126</v>
      </c>
      <c r="AC375" s="50" t="s">
        <v>17600</v>
      </c>
      <c r="AD375" s="50" t="s">
        <v>11976</v>
      </c>
      <c r="AE375" s="50" t="s">
        <v>17600</v>
      </c>
      <c r="AF375" s="50" t="s">
        <v>11888</v>
      </c>
      <c r="AG375" s="50" t="s">
        <v>17600</v>
      </c>
      <c r="AH375" s="50" t="s">
        <v>11886</v>
      </c>
      <c r="AI375" s="50" t="s">
        <v>17600</v>
      </c>
      <c r="AJ375" s="50" t="s">
        <v>102</v>
      </c>
      <c r="AK375" s="50" t="s">
        <v>1201</v>
      </c>
      <c r="AL375" s="50" t="s">
        <v>5351</v>
      </c>
      <c r="AM375" s="50" t="s">
        <v>17601</v>
      </c>
      <c r="AN375" s="50" t="s">
        <v>9917</v>
      </c>
      <c r="AO375" s="50" t="s">
        <v>17602</v>
      </c>
      <c r="AP375" s="50" t="s">
        <v>17603</v>
      </c>
      <c r="AQ375" s="50" t="s">
        <v>17603</v>
      </c>
      <c r="AV375" s="50" t="s">
        <v>102</v>
      </c>
      <c r="AX375" s="50" t="s">
        <v>155</v>
      </c>
      <c r="AY375" s="50" t="s">
        <v>119</v>
      </c>
      <c r="AZ375" s="50" t="s">
        <v>170</v>
      </c>
      <c r="BA375" s="50" t="s">
        <v>118</v>
      </c>
      <c r="BC375" s="50" t="s">
        <v>120</v>
      </c>
      <c r="BD375" s="50" t="s">
        <v>17604</v>
      </c>
      <c r="BE375" s="50" t="s">
        <v>173</v>
      </c>
      <c r="BF375" s="50" t="s">
        <v>174</v>
      </c>
      <c r="BG375" s="50" t="s">
        <v>173</v>
      </c>
      <c r="BH375" s="50" t="s">
        <v>124</v>
      </c>
      <c r="BI375" s="50" t="s">
        <v>4665</v>
      </c>
      <c r="BJ375" s="50" t="s">
        <v>17605</v>
      </c>
      <c r="BK375" s="50" t="s">
        <v>127</v>
      </c>
      <c r="BL375" s="50" t="s">
        <v>17606</v>
      </c>
      <c r="BM375" s="50" t="s">
        <v>17607</v>
      </c>
      <c r="BN375" s="50" t="s">
        <v>17608</v>
      </c>
      <c r="BO375" s="50" t="s">
        <v>4536</v>
      </c>
      <c r="BP375" s="50" t="s">
        <v>5531</v>
      </c>
      <c r="BQ375" s="50" t="s">
        <v>180</v>
      </c>
      <c r="BR375" s="50" t="s">
        <v>5532</v>
      </c>
      <c r="BS375" s="50" t="s">
        <v>5533</v>
      </c>
      <c r="BT375" s="50" t="s">
        <v>8450</v>
      </c>
      <c r="BV375" s="50" t="s">
        <v>17609</v>
      </c>
      <c r="BW375" s="50" t="s">
        <v>17610</v>
      </c>
      <c r="BY375" s="50" t="s">
        <v>17611</v>
      </c>
      <c r="BZ375" s="50" t="s">
        <v>17612</v>
      </c>
      <c r="CA375" s="50" t="s">
        <v>17613</v>
      </c>
      <c r="CB375" s="50" t="s">
        <v>17614</v>
      </c>
      <c r="CC375" s="50" t="s">
        <v>17611</v>
      </c>
      <c r="CD375" s="50" t="s">
        <v>17612</v>
      </c>
      <c r="CE375" s="50" t="s">
        <v>17615</v>
      </c>
      <c r="CF375" s="50" t="s">
        <v>17613</v>
      </c>
      <c r="CG375" s="50" t="s">
        <v>17616</v>
      </c>
      <c r="CH375" s="50" t="s">
        <v>13597</v>
      </c>
      <c r="CI375" s="50" t="s">
        <v>17617</v>
      </c>
      <c r="CK375" s="50" t="s">
        <v>17618</v>
      </c>
      <c r="CL375" s="50" t="s">
        <v>17619</v>
      </c>
      <c r="CM375" s="50" t="s">
        <v>17604</v>
      </c>
      <c r="CN375" s="50" t="s">
        <v>173</v>
      </c>
      <c r="CO375" s="50" t="s">
        <v>17618</v>
      </c>
      <c r="CQ375" s="50" t="s">
        <v>17604</v>
      </c>
      <c r="CR375" s="50" t="s">
        <v>17604</v>
      </c>
      <c r="CS375" s="50" t="s">
        <v>26046</v>
      </c>
    </row>
    <row r="376" spans="1:97" hidden="1">
      <c r="A376" s="50" t="s">
        <v>337</v>
      </c>
      <c r="B376" s="50">
        <v>5003047</v>
      </c>
      <c r="C376" s="50" t="str">
        <f>VLOOKUP(B376,'Drop schools 2026'!B:C,2,0)</f>
        <v>Drop</v>
      </c>
      <c r="D376" s="50" t="s">
        <v>622</v>
      </c>
      <c r="E376" s="50" t="s">
        <v>985</v>
      </c>
      <c r="F376" s="50" t="s">
        <v>18528</v>
      </c>
      <c r="G376" s="50" t="e">
        <f>VLOOKUP(B376,aa!B:F,5,0)</f>
        <v>#N/A</v>
      </c>
      <c r="H376" s="50" t="e">
        <f>VLOOKUP(B376,aa!B:J,9,0)</f>
        <v>#N/A</v>
      </c>
      <c r="I376" s="50" t="e">
        <f>VLOOKUP(B376,aa!B:L,11,0)</f>
        <v>#N/A</v>
      </c>
      <c r="J376" s="50" t="e">
        <f>VLOOKUP(B376,aa!B:O,14,0)</f>
        <v>#N/A</v>
      </c>
      <c r="K376" s="50" t="e">
        <f>VLOOKUP(B376,aa!B:R,17,0)</f>
        <v>#N/A</v>
      </c>
      <c r="L376" s="50" t="s">
        <v>848</v>
      </c>
      <c r="M376" s="50">
        <v>397423</v>
      </c>
      <c r="N376" s="50">
        <v>468959</v>
      </c>
      <c r="O376" s="50">
        <v>0</v>
      </c>
      <c r="P376" s="50">
        <v>0</v>
      </c>
      <c r="R376" s="50">
        <v>0</v>
      </c>
      <c r="S376" s="50">
        <v>0</v>
      </c>
      <c r="U376" s="50">
        <v>397423</v>
      </c>
      <c r="V376" s="50">
        <v>130</v>
      </c>
      <c r="W376" s="50" t="s">
        <v>18529</v>
      </c>
      <c r="X376" s="50" t="s">
        <v>102</v>
      </c>
      <c r="Y376" s="50" t="s">
        <v>275</v>
      </c>
      <c r="AA376" s="50" t="s">
        <v>1719</v>
      </c>
      <c r="AB376" s="50" t="s">
        <v>109</v>
      </c>
      <c r="AC376" s="50" t="s">
        <v>102</v>
      </c>
      <c r="AD376" s="50" t="s">
        <v>109</v>
      </c>
      <c r="AE376" s="50" t="s">
        <v>102</v>
      </c>
      <c r="AF376" s="50" t="s">
        <v>109</v>
      </c>
      <c r="AG376" s="50" t="s">
        <v>102</v>
      </c>
      <c r="AH376" s="50" t="s">
        <v>109</v>
      </c>
      <c r="AI376" s="50" t="s">
        <v>102</v>
      </c>
      <c r="AJ376" s="50" t="s">
        <v>102</v>
      </c>
      <c r="AK376" s="50" t="s">
        <v>1473</v>
      </c>
      <c r="AL376" s="50" t="s">
        <v>2008</v>
      </c>
      <c r="AM376" s="50" t="s">
        <v>18530</v>
      </c>
      <c r="AN376" s="50" t="s">
        <v>18531</v>
      </c>
      <c r="AO376" s="50" t="s">
        <v>18532</v>
      </c>
      <c r="AP376" s="50" t="s">
        <v>18533</v>
      </c>
      <c r="AQ376" s="50" t="s">
        <v>18533</v>
      </c>
      <c r="AV376" s="50" t="s">
        <v>102</v>
      </c>
      <c r="AX376" s="50" t="s">
        <v>102</v>
      </c>
      <c r="AY376" s="50" t="s">
        <v>119</v>
      </c>
      <c r="BB376" s="50" t="s">
        <v>250</v>
      </c>
      <c r="BC376" s="50" t="s">
        <v>18534</v>
      </c>
      <c r="BD376" s="50" t="s">
        <v>18535</v>
      </c>
      <c r="BE376" s="50" t="s">
        <v>621</v>
      </c>
      <c r="BF376" s="50" t="s">
        <v>622</v>
      </c>
      <c r="BG376" s="50" t="s">
        <v>976</v>
      </c>
      <c r="BH376" s="50" t="s">
        <v>124</v>
      </c>
      <c r="BI376" s="50" t="s">
        <v>13033</v>
      </c>
      <c r="BJ376" s="50" t="s">
        <v>12720</v>
      </c>
      <c r="BK376" s="50" t="s">
        <v>127</v>
      </c>
      <c r="BL376" s="50" t="s">
        <v>18536</v>
      </c>
      <c r="BM376" s="50" t="s">
        <v>18537</v>
      </c>
      <c r="BN376" s="50" t="s">
        <v>18538</v>
      </c>
      <c r="BO376" s="50" t="s">
        <v>3974</v>
      </c>
      <c r="BP376" s="50" t="s">
        <v>4382</v>
      </c>
      <c r="BQ376" s="50" t="s">
        <v>258</v>
      </c>
      <c r="BR376" s="50" t="s">
        <v>4383</v>
      </c>
      <c r="BS376" s="50" t="s">
        <v>4384</v>
      </c>
      <c r="BT376" s="50" t="s">
        <v>984</v>
      </c>
      <c r="BV376" s="50" t="s">
        <v>18539</v>
      </c>
      <c r="BW376" s="50" t="s">
        <v>18540</v>
      </c>
      <c r="BX376" s="50" t="s">
        <v>138</v>
      </c>
      <c r="BY376" s="50" t="s">
        <v>18541</v>
      </c>
      <c r="BZ376" s="50" t="s">
        <v>18542</v>
      </c>
      <c r="CA376" s="50" t="s">
        <v>18543</v>
      </c>
      <c r="CB376" s="50" t="s">
        <v>18540</v>
      </c>
      <c r="CC376" s="50" t="s">
        <v>18541</v>
      </c>
      <c r="CD376" s="50" t="s">
        <v>18542</v>
      </c>
      <c r="CE376" s="50" t="s">
        <v>18540</v>
      </c>
      <c r="CF376" s="50" t="s">
        <v>18541</v>
      </c>
      <c r="CG376" s="50" t="s">
        <v>18542</v>
      </c>
      <c r="CH376" s="50" t="s">
        <v>18544</v>
      </c>
      <c r="CI376" s="50" t="s">
        <v>18545</v>
      </c>
      <c r="CK376" s="50" t="s">
        <v>18546</v>
      </c>
      <c r="CL376" s="50" t="s">
        <v>18545</v>
      </c>
      <c r="CM376" s="50" t="s">
        <v>18535</v>
      </c>
      <c r="CN376" s="50" t="s">
        <v>621</v>
      </c>
      <c r="CO376" s="50" t="s">
        <v>18546</v>
      </c>
      <c r="CQ376" s="50" t="s">
        <v>18547</v>
      </c>
      <c r="CR376" s="50" t="s">
        <v>18547</v>
      </c>
      <c r="CS376" s="52" t="s">
        <v>26042</v>
      </c>
    </row>
    <row r="377" spans="1:97" hidden="1">
      <c r="A377" s="50" t="s">
        <v>149</v>
      </c>
      <c r="B377" s="50">
        <v>3605584</v>
      </c>
      <c r="C377" s="50" t="e">
        <f>VLOOKUP(B377,'Drop schools 2026'!B:C,2,0)</f>
        <v>#N/A</v>
      </c>
      <c r="D377" s="50" t="s">
        <v>174</v>
      </c>
      <c r="E377" s="50" t="s">
        <v>12155</v>
      </c>
      <c r="F377" s="50" t="s">
        <v>6888</v>
      </c>
      <c r="G377" s="50" t="str">
        <f>VLOOKUP(B377,aa!B:F,5,0)</f>
        <v>Ei ASSET, Ei Mindspark</v>
      </c>
      <c r="H377" s="50">
        <f>VLOOKUP(B377,aa!B:J,9,0)</f>
        <v>450561</v>
      </c>
      <c r="I377" s="50">
        <f>VLOOKUP(B377,aa!B:L,11,0)</f>
        <v>126885</v>
      </c>
      <c r="J377" s="50">
        <f>VLOOKUP(B377,aa!B:O,14,0)</f>
        <v>0</v>
      </c>
      <c r="K377" s="50">
        <f>VLOOKUP(B377,aa!B:R,17,0)</f>
        <v>323676</v>
      </c>
      <c r="L377" s="50" t="s">
        <v>193</v>
      </c>
      <c r="M377" s="50">
        <v>395516</v>
      </c>
      <c r="N377" s="50">
        <v>446837</v>
      </c>
      <c r="O377" s="50">
        <v>110400</v>
      </c>
      <c r="P377" s="50">
        <v>184</v>
      </c>
      <c r="Q377" s="50" t="s">
        <v>310</v>
      </c>
      <c r="R377" s="50">
        <v>0</v>
      </c>
      <c r="S377" s="50">
        <v>0</v>
      </c>
      <c r="U377" s="50">
        <v>285116</v>
      </c>
      <c r="V377" s="50">
        <v>210</v>
      </c>
      <c r="W377" s="50" t="s">
        <v>10022</v>
      </c>
      <c r="X377" s="50" t="s">
        <v>102</v>
      </c>
      <c r="Y377" s="50" t="s">
        <v>679</v>
      </c>
      <c r="Z377" s="50" t="s">
        <v>155</v>
      </c>
      <c r="AA377" s="50" t="s">
        <v>12541</v>
      </c>
      <c r="AB377" s="50" t="s">
        <v>12542</v>
      </c>
      <c r="AC377" s="50" t="s">
        <v>16630</v>
      </c>
      <c r="AD377" s="50" t="s">
        <v>12544</v>
      </c>
      <c r="AE377" s="50" t="s">
        <v>16630</v>
      </c>
      <c r="AF377" s="50" t="s">
        <v>12545</v>
      </c>
      <c r="AG377" s="50" t="s">
        <v>16630</v>
      </c>
      <c r="AH377" s="50" t="s">
        <v>12216</v>
      </c>
      <c r="AI377" s="50" t="s">
        <v>16630</v>
      </c>
      <c r="AJ377" s="50" t="s">
        <v>16631</v>
      </c>
      <c r="AK377" s="50" t="s">
        <v>16632</v>
      </c>
      <c r="AL377" s="50" t="s">
        <v>16633</v>
      </c>
      <c r="AM377" s="50" t="s">
        <v>16634</v>
      </c>
      <c r="AN377" s="50" t="s">
        <v>16635</v>
      </c>
      <c r="AO377" s="50" t="s">
        <v>16636</v>
      </c>
      <c r="AP377" s="50" t="s">
        <v>16637</v>
      </c>
      <c r="AQ377" s="50" t="s">
        <v>16637</v>
      </c>
      <c r="AV377" s="50" t="s">
        <v>247</v>
      </c>
      <c r="AW377" s="50" t="s">
        <v>118</v>
      </c>
      <c r="AX377" s="50" t="s">
        <v>102</v>
      </c>
      <c r="AY377" s="50" t="s">
        <v>119</v>
      </c>
      <c r="BB377" s="50" t="s">
        <v>250</v>
      </c>
      <c r="BC377" s="50" t="s">
        <v>120</v>
      </c>
      <c r="BD377" s="50" t="s">
        <v>6900</v>
      </c>
      <c r="BE377" s="50" t="s">
        <v>173</v>
      </c>
      <c r="BF377" s="50" t="s">
        <v>174</v>
      </c>
      <c r="BG377" s="50" t="s">
        <v>173</v>
      </c>
      <c r="BH377" s="50" t="s">
        <v>124</v>
      </c>
      <c r="BI377" s="50" t="s">
        <v>12553</v>
      </c>
      <c r="BJ377" s="50" t="s">
        <v>12554</v>
      </c>
      <c r="BK377" s="50" t="s">
        <v>127</v>
      </c>
      <c r="BL377" s="50" t="s">
        <v>16638</v>
      </c>
      <c r="BM377" s="50" t="s">
        <v>6902</v>
      </c>
      <c r="BN377" s="50" t="s">
        <v>16639</v>
      </c>
      <c r="BO377" s="50" t="s">
        <v>12539</v>
      </c>
      <c r="BP377" s="50" t="s">
        <v>12557</v>
      </c>
      <c r="BQ377" s="50" t="s">
        <v>180</v>
      </c>
      <c r="BR377" s="50" t="s">
        <v>12558</v>
      </c>
      <c r="BS377" s="50" t="s">
        <v>12559</v>
      </c>
      <c r="BT377" s="50" t="s">
        <v>183</v>
      </c>
      <c r="BV377" s="50" t="s">
        <v>16640</v>
      </c>
      <c r="BW377" s="50" t="s">
        <v>1043</v>
      </c>
      <c r="BX377" s="50" t="s">
        <v>569</v>
      </c>
      <c r="BY377" s="50" t="s">
        <v>1044</v>
      </c>
      <c r="BZ377" s="50" t="s">
        <v>1045</v>
      </c>
      <c r="CA377" s="50" t="s">
        <v>6905</v>
      </c>
      <c r="CB377" s="50" t="s">
        <v>12561</v>
      </c>
      <c r="CC377" s="50" t="s">
        <v>16641</v>
      </c>
      <c r="CD377" s="50" t="s">
        <v>1049</v>
      </c>
      <c r="CE377" s="50" t="s">
        <v>16642</v>
      </c>
      <c r="CF377" s="50" t="s">
        <v>16643</v>
      </c>
      <c r="CG377" s="50" t="s">
        <v>16644</v>
      </c>
      <c r="CH377" s="50" t="s">
        <v>102</v>
      </c>
      <c r="CI377" s="50" t="s">
        <v>16645</v>
      </c>
      <c r="CK377" s="50" t="s">
        <v>6913</v>
      </c>
      <c r="CL377" s="50" t="s">
        <v>16646</v>
      </c>
      <c r="CM377" s="50" t="s">
        <v>6900</v>
      </c>
      <c r="CN377" s="50" t="s">
        <v>173</v>
      </c>
      <c r="CO377" s="50" t="s">
        <v>6913</v>
      </c>
      <c r="CP377" s="50" t="s">
        <v>1055</v>
      </c>
      <c r="CQ377" s="50" t="s">
        <v>6914</v>
      </c>
      <c r="CR377" s="50" t="s">
        <v>6915</v>
      </c>
    </row>
    <row r="378" spans="1:97" hidden="1">
      <c r="A378" s="50" t="s">
        <v>149</v>
      </c>
      <c r="B378" s="50">
        <v>2548143</v>
      </c>
      <c r="C378" s="50" t="e">
        <f>VLOOKUP(B378,'Drop schools 2026'!B:C,2,0)</f>
        <v>#N/A</v>
      </c>
      <c r="D378" s="50" t="s">
        <v>212</v>
      </c>
      <c r="E378" s="50" t="s">
        <v>418</v>
      </c>
      <c r="F378" s="50" t="s">
        <v>4007</v>
      </c>
      <c r="G378" s="50" t="e">
        <f>VLOOKUP(B378,aa!B:F,5,0)</f>
        <v>#N/A</v>
      </c>
      <c r="H378" s="50" t="e">
        <f>VLOOKUP(B378,aa!B:J,9,0)</f>
        <v>#N/A</v>
      </c>
      <c r="I378" s="50" t="e">
        <f>VLOOKUP(B378,aa!B:L,11,0)</f>
        <v>#N/A</v>
      </c>
      <c r="J378" s="50" t="e">
        <f>VLOOKUP(B378,aa!B:O,14,0)</f>
        <v>#N/A</v>
      </c>
      <c r="K378" s="50" t="e">
        <f>VLOOKUP(B378,aa!B:R,17,0)</f>
        <v>#N/A</v>
      </c>
      <c r="L378" s="50" t="s">
        <v>97</v>
      </c>
      <c r="M378" s="50">
        <v>393461</v>
      </c>
      <c r="N378" s="50">
        <v>393461</v>
      </c>
      <c r="O378" s="50">
        <v>393461</v>
      </c>
      <c r="P378" s="50">
        <v>787</v>
      </c>
      <c r="Q378" s="50" t="s">
        <v>364</v>
      </c>
      <c r="R378" s="50">
        <v>0</v>
      </c>
      <c r="S378" s="50">
        <v>0</v>
      </c>
      <c r="U378" s="50">
        <v>0</v>
      </c>
      <c r="V378" s="50">
        <v>0</v>
      </c>
      <c r="X378" s="50" t="s">
        <v>102</v>
      </c>
      <c r="Y378" s="50" t="s">
        <v>103</v>
      </c>
      <c r="Z378" s="50" t="s">
        <v>104</v>
      </c>
      <c r="AB378" s="50" t="s">
        <v>8708</v>
      </c>
      <c r="AC378" s="50" t="s">
        <v>14467</v>
      </c>
      <c r="AD378" s="50" t="s">
        <v>5651</v>
      </c>
      <c r="AE378" s="50" t="s">
        <v>14468</v>
      </c>
      <c r="AF378" s="50" t="s">
        <v>109</v>
      </c>
      <c r="AG378" s="50" t="s">
        <v>102</v>
      </c>
      <c r="AH378" s="50" t="s">
        <v>109</v>
      </c>
      <c r="AI378" s="50" t="s">
        <v>102</v>
      </c>
      <c r="AJ378" s="50" t="s">
        <v>14469</v>
      </c>
      <c r="AK378" s="50" t="s">
        <v>12019</v>
      </c>
      <c r="AL378" s="50" t="s">
        <v>12430</v>
      </c>
      <c r="AM378" s="50" t="s">
        <v>14470</v>
      </c>
      <c r="AN378" s="50" t="s">
        <v>14471</v>
      </c>
      <c r="AO378" s="50" t="s">
        <v>14472</v>
      </c>
      <c r="AP378" s="50" t="s">
        <v>2307</v>
      </c>
      <c r="AQ378" s="50" t="s">
        <v>2307</v>
      </c>
      <c r="AV378" s="50" t="s">
        <v>318</v>
      </c>
      <c r="AW378" s="50" t="s">
        <v>118</v>
      </c>
      <c r="AX378" s="50" t="s">
        <v>102</v>
      </c>
      <c r="AY378" s="50" t="s">
        <v>119</v>
      </c>
      <c r="BC378" s="50" t="s">
        <v>120</v>
      </c>
      <c r="BD378" s="50" t="s">
        <v>409</v>
      </c>
      <c r="BE378" s="50" t="s">
        <v>410</v>
      </c>
      <c r="BF378" s="50" t="s">
        <v>212</v>
      </c>
      <c r="BG378" s="50" t="s">
        <v>410</v>
      </c>
      <c r="BH378" s="50" t="s">
        <v>124</v>
      </c>
      <c r="BI378" s="50" t="s">
        <v>5351</v>
      </c>
      <c r="BJ378" s="50" t="s">
        <v>12250</v>
      </c>
      <c r="BK378" s="50" t="s">
        <v>127</v>
      </c>
      <c r="BL378" s="50" t="s">
        <v>14473</v>
      </c>
      <c r="BM378" s="50" t="s">
        <v>4016</v>
      </c>
      <c r="BN378" s="50" t="s">
        <v>14474</v>
      </c>
      <c r="BO378" s="50" t="s">
        <v>13216</v>
      </c>
      <c r="BP378" s="50" t="s">
        <v>866</v>
      </c>
      <c r="BQ378" s="50" t="s">
        <v>132</v>
      </c>
      <c r="BR378" s="50" t="s">
        <v>867</v>
      </c>
      <c r="BS378" s="50" t="s">
        <v>868</v>
      </c>
      <c r="BT378" s="50" t="s">
        <v>222</v>
      </c>
      <c r="BV378" s="50" t="s">
        <v>14475</v>
      </c>
      <c r="BW378" s="50" t="s">
        <v>2312</v>
      </c>
      <c r="BX378" s="50" t="s">
        <v>598</v>
      </c>
      <c r="BY378" s="50" t="s">
        <v>2313</v>
      </c>
      <c r="BZ378" s="50" t="s">
        <v>2314</v>
      </c>
      <c r="CA378" s="50" t="s">
        <v>4019</v>
      </c>
      <c r="CB378" s="50" t="s">
        <v>14476</v>
      </c>
      <c r="CC378" s="50" t="s">
        <v>4020</v>
      </c>
      <c r="CD378" s="50" t="s">
        <v>14477</v>
      </c>
      <c r="CE378" s="50" t="s">
        <v>14476</v>
      </c>
      <c r="CF378" s="50" t="s">
        <v>4020</v>
      </c>
      <c r="CG378" s="50" t="s">
        <v>14477</v>
      </c>
      <c r="CH378" s="50" t="s">
        <v>102</v>
      </c>
      <c r="CI378" s="50" t="s">
        <v>4021</v>
      </c>
      <c r="CK378" s="50" t="s">
        <v>4022</v>
      </c>
      <c r="CM378" s="50" t="s">
        <v>409</v>
      </c>
      <c r="CN378" s="50" t="s">
        <v>410</v>
      </c>
      <c r="CO378" s="50" t="s">
        <v>4022</v>
      </c>
      <c r="CP378" s="50" t="s">
        <v>2319</v>
      </c>
      <c r="CQ378" s="50" t="s">
        <v>4021</v>
      </c>
      <c r="CR378" s="50" t="s">
        <v>4021</v>
      </c>
      <c r="CS378" s="50" t="s">
        <v>26040</v>
      </c>
    </row>
    <row r="379" spans="1:97" hidden="1">
      <c r="A379" s="50" t="s">
        <v>149</v>
      </c>
      <c r="B379" s="50">
        <v>3833865</v>
      </c>
      <c r="C379" s="50" t="e">
        <f>VLOOKUP(B379,'Drop schools 2026'!B:C,2,0)</f>
        <v>#N/A</v>
      </c>
      <c r="D379" s="50" t="s">
        <v>122</v>
      </c>
      <c r="E379" s="50" t="s">
        <v>12507</v>
      </c>
      <c r="F379" s="50" t="s">
        <v>7592</v>
      </c>
      <c r="G379" s="50" t="str">
        <f>VLOOKUP(B379,aa!B:F,5,0)</f>
        <v>Ei ASSET</v>
      </c>
      <c r="H379" s="50">
        <f>VLOOKUP(B379,aa!B:J,9,0)</f>
        <v>396652</v>
      </c>
      <c r="I379" s="50">
        <f>VLOOKUP(B379,aa!B:L,11,0)</f>
        <v>396652</v>
      </c>
      <c r="J379" s="50">
        <f>VLOOKUP(B379,aa!B:O,14,0)</f>
        <v>0</v>
      </c>
      <c r="K379" s="50">
        <f>VLOOKUP(B379,aa!B:R,17,0)</f>
        <v>0</v>
      </c>
      <c r="L379" s="50" t="s">
        <v>97</v>
      </c>
      <c r="M379" s="50">
        <v>393075</v>
      </c>
      <c r="N379" s="50">
        <v>393075</v>
      </c>
      <c r="O379" s="50">
        <v>393075</v>
      </c>
      <c r="P379" s="50">
        <v>490</v>
      </c>
      <c r="Q379" s="50" t="s">
        <v>16036</v>
      </c>
      <c r="R379" s="50">
        <v>0</v>
      </c>
      <c r="S379" s="50">
        <v>0</v>
      </c>
      <c r="U379" s="50">
        <v>0</v>
      </c>
      <c r="V379" s="50">
        <v>0</v>
      </c>
      <c r="X379" s="50" t="s">
        <v>102</v>
      </c>
      <c r="Y379" s="50" t="s">
        <v>275</v>
      </c>
      <c r="AA379" s="50" t="s">
        <v>5022</v>
      </c>
      <c r="AB379" s="50" t="s">
        <v>109</v>
      </c>
      <c r="AC379" s="50" t="s">
        <v>102</v>
      </c>
      <c r="AD379" s="50" t="s">
        <v>109</v>
      </c>
      <c r="AE379" s="50" t="s">
        <v>102</v>
      </c>
      <c r="AF379" s="50" t="s">
        <v>109</v>
      </c>
      <c r="AG379" s="50" t="s">
        <v>102</v>
      </c>
      <c r="AH379" s="50" t="s">
        <v>109</v>
      </c>
      <c r="AI379" s="50" t="s">
        <v>102</v>
      </c>
      <c r="AJ379" s="50" t="s">
        <v>17084</v>
      </c>
      <c r="AK379" s="50" t="s">
        <v>5015</v>
      </c>
      <c r="AL379" s="50" t="s">
        <v>5015</v>
      </c>
      <c r="AM379" s="50" t="s">
        <v>17085</v>
      </c>
      <c r="AN379" s="50" t="s">
        <v>17086</v>
      </c>
      <c r="AO379" s="50" t="s">
        <v>102</v>
      </c>
      <c r="AP379" s="50" t="s">
        <v>7600</v>
      </c>
      <c r="AQ379" s="50" t="s">
        <v>17087</v>
      </c>
      <c r="AU379" s="50" t="s">
        <v>169</v>
      </c>
      <c r="AV379" s="50" t="s">
        <v>117</v>
      </c>
      <c r="AW379" s="50" t="s">
        <v>250</v>
      </c>
      <c r="AX379" s="50" t="s">
        <v>102</v>
      </c>
      <c r="AY379" s="50" t="s">
        <v>119</v>
      </c>
      <c r="BC379" s="50" t="s">
        <v>209</v>
      </c>
      <c r="BD379" s="50" t="s">
        <v>2542</v>
      </c>
      <c r="BE379" s="50" t="s">
        <v>2543</v>
      </c>
      <c r="BF379" s="50" t="s">
        <v>122</v>
      </c>
      <c r="BG379" s="50" t="s">
        <v>557</v>
      </c>
      <c r="BH379" s="50" t="s">
        <v>124</v>
      </c>
      <c r="BI379" s="50" t="s">
        <v>12023</v>
      </c>
      <c r="BJ379" s="50" t="s">
        <v>11889</v>
      </c>
      <c r="BK379" s="50" t="s">
        <v>127</v>
      </c>
      <c r="BL379" s="50" t="s">
        <v>17088</v>
      </c>
      <c r="BM379" s="50" t="s">
        <v>7602</v>
      </c>
      <c r="BN379" s="50" t="s">
        <v>17089</v>
      </c>
      <c r="BO379" s="50" t="s">
        <v>4084</v>
      </c>
      <c r="BP379" s="50" t="s">
        <v>12743</v>
      </c>
      <c r="BQ379" s="50" t="s">
        <v>350</v>
      </c>
      <c r="BR379" s="50" t="s">
        <v>12744</v>
      </c>
      <c r="BS379" s="50" t="s">
        <v>12745</v>
      </c>
      <c r="BT379" s="50" t="s">
        <v>1075</v>
      </c>
      <c r="BV379" s="50" t="s">
        <v>17090</v>
      </c>
      <c r="BW379" s="50" t="s">
        <v>17091</v>
      </c>
      <c r="BX379" s="50" t="s">
        <v>598</v>
      </c>
      <c r="BY379" s="50" t="s">
        <v>7606</v>
      </c>
      <c r="BZ379" s="50" t="s">
        <v>7607</v>
      </c>
      <c r="CA379" s="50" t="s">
        <v>7608</v>
      </c>
      <c r="CB379" s="50" t="s">
        <v>17092</v>
      </c>
      <c r="CC379" s="50" t="s">
        <v>17093</v>
      </c>
      <c r="CD379" s="50" t="s">
        <v>17094</v>
      </c>
      <c r="CE379" s="50" t="s">
        <v>17095</v>
      </c>
      <c r="CF379" s="50" t="s">
        <v>17096</v>
      </c>
      <c r="CG379" s="50" t="s">
        <v>17097</v>
      </c>
      <c r="CH379" s="50" t="s">
        <v>709</v>
      </c>
      <c r="CI379" s="50" t="s">
        <v>7609</v>
      </c>
      <c r="CK379" s="50" t="s">
        <v>7610</v>
      </c>
      <c r="CL379" s="50" t="s">
        <v>7609</v>
      </c>
      <c r="CM379" s="50" t="s">
        <v>2542</v>
      </c>
      <c r="CN379" s="50" t="s">
        <v>2543</v>
      </c>
      <c r="CO379" s="50" t="s">
        <v>7610</v>
      </c>
      <c r="CQ379" s="50" t="s">
        <v>7609</v>
      </c>
      <c r="CR379" s="50" t="s">
        <v>7609</v>
      </c>
    </row>
    <row r="380" spans="1:97" hidden="1">
      <c r="A380" s="50" t="s">
        <v>149</v>
      </c>
      <c r="B380" s="50">
        <v>4166956</v>
      </c>
      <c r="C380" s="50" t="str">
        <f>VLOOKUP(B380,RISK!B:C,2,0)</f>
        <v>Risk</v>
      </c>
      <c r="D380" s="50" t="s">
        <v>174</v>
      </c>
      <c r="E380" s="50" t="s">
        <v>12096</v>
      </c>
      <c r="F380" s="50" t="s">
        <v>8853</v>
      </c>
      <c r="G380" s="50" t="e">
        <f>VLOOKUP(B380,aa!B:F,5,0)</f>
        <v>#N/A</v>
      </c>
      <c r="H380" s="50" t="e">
        <f>VLOOKUP(B380,aa!B:J,9,0)</f>
        <v>#N/A</v>
      </c>
      <c r="I380" s="50" t="e">
        <f>VLOOKUP(B380,aa!B:L,11,0)</f>
        <v>#N/A</v>
      </c>
      <c r="J380" s="50" t="e">
        <f>VLOOKUP(B380,aa!B:O,14,0)</f>
        <v>#N/A</v>
      </c>
      <c r="K380" s="50" t="e">
        <f>VLOOKUP(B380,aa!B:R,17,0)</f>
        <v>#N/A</v>
      </c>
      <c r="L380" s="50" t="s">
        <v>848</v>
      </c>
      <c r="M380" s="50">
        <v>391291</v>
      </c>
      <c r="N380" s="50">
        <v>461723</v>
      </c>
      <c r="O380" s="50">
        <v>0</v>
      </c>
      <c r="P380" s="50">
        <v>0</v>
      </c>
      <c r="R380" s="50">
        <v>0</v>
      </c>
      <c r="S380" s="50">
        <v>0</v>
      </c>
      <c r="U380" s="50">
        <v>391291</v>
      </c>
      <c r="V380" s="50">
        <v>171</v>
      </c>
      <c r="W380" s="50" t="s">
        <v>8855</v>
      </c>
      <c r="X380" s="50" t="s">
        <v>102</v>
      </c>
      <c r="Y380" s="50" t="s">
        <v>103</v>
      </c>
      <c r="Z380" s="50" t="s">
        <v>155</v>
      </c>
      <c r="AB380" s="50" t="s">
        <v>1305</v>
      </c>
      <c r="AC380" s="50" t="s">
        <v>18262</v>
      </c>
      <c r="AD380" s="50" t="s">
        <v>13033</v>
      </c>
      <c r="AE380" s="50" t="s">
        <v>18262</v>
      </c>
      <c r="AF380" s="50" t="s">
        <v>13034</v>
      </c>
      <c r="AG380" s="50" t="s">
        <v>18262</v>
      </c>
      <c r="AH380" s="50" t="s">
        <v>11886</v>
      </c>
      <c r="AI380" s="50" t="s">
        <v>18262</v>
      </c>
      <c r="AJ380" s="50" t="s">
        <v>102</v>
      </c>
      <c r="AK380" s="50" t="s">
        <v>14272</v>
      </c>
      <c r="AL380" s="50" t="s">
        <v>17783</v>
      </c>
      <c r="AM380" s="50" t="s">
        <v>18263</v>
      </c>
      <c r="AN380" s="50" t="s">
        <v>18264</v>
      </c>
      <c r="AO380" s="50" t="s">
        <v>18265</v>
      </c>
      <c r="AP380" s="50" t="s">
        <v>15155</v>
      </c>
      <c r="AQ380" s="50" t="s">
        <v>15155</v>
      </c>
      <c r="AV380" s="50" t="s">
        <v>102</v>
      </c>
      <c r="AX380" s="50" t="s">
        <v>102</v>
      </c>
      <c r="AY380" s="50" t="s">
        <v>119</v>
      </c>
      <c r="BB380" s="50" t="s">
        <v>250</v>
      </c>
      <c r="BC380" s="50" t="s">
        <v>120</v>
      </c>
      <c r="BD380" s="50" t="s">
        <v>8859</v>
      </c>
      <c r="BE380" s="50" t="s">
        <v>376</v>
      </c>
      <c r="BF380" s="50" t="s">
        <v>174</v>
      </c>
      <c r="BG380" s="50" t="s">
        <v>376</v>
      </c>
      <c r="BH380" s="50" t="s">
        <v>124</v>
      </c>
      <c r="BI380" s="50" t="s">
        <v>6177</v>
      </c>
      <c r="BJ380" s="50" t="s">
        <v>12068</v>
      </c>
      <c r="BK380" s="50" t="s">
        <v>127</v>
      </c>
      <c r="BL380" s="50" t="s">
        <v>18266</v>
      </c>
      <c r="BM380" s="50" t="s">
        <v>8861</v>
      </c>
      <c r="BN380" s="50" t="s">
        <v>18267</v>
      </c>
      <c r="BO380" s="50" t="s">
        <v>4836</v>
      </c>
      <c r="BP380" s="50" t="s">
        <v>12071</v>
      </c>
      <c r="BQ380" s="50" t="s">
        <v>180</v>
      </c>
      <c r="BR380" s="50" t="s">
        <v>12072</v>
      </c>
      <c r="BS380" s="50" t="s">
        <v>12073</v>
      </c>
      <c r="BT380" s="50" t="s">
        <v>5177</v>
      </c>
      <c r="BV380" s="50" t="s">
        <v>18268</v>
      </c>
      <c r="BW380" s="50" t="s">
        <v>18269</v>
      </c>
      <c r="BX380" s="50" t="s">
        <v>138</v>
      </c>
      <c r="BY380" s="50" t="s">
        <v>8867</v>
      </c>
      <c r="BZ380" s="50" t="s">
        <v>18270</v>
      </c>
      <c r="CA380" s="50" t="s">
        <v>8865</v>
      </c>
      <c r="CB380" s="50" t="s">
        <v>18269</v>
      </c>
      <c r="CC380" s="50" t="s">
        <v>8867</v>
      </c>
      <c r="CD380" s="50" t="s">
        <v>18270</v>
      </c>
      <c r="CE380" s="50" t="s">
        <v>18269</v>
      </c>
      <c r="CF380" s="50" t="s">
        <v>8867</v>
      </c>
      <c r="CG380" s="50" t="s">
        <v>18270</v>
      </c>
      <c r="CH380" s="50" t="s">
        <v>334</v>
      </c>
      <c r="CI380" s="50" t="s">
        <v>18271</v>
      </c>
      <c r="CK380" s="50" t="s">
        <v>8869</v>
      </c>
      <c r="CL380" s="50" t="s">
        <v>8868</v>
      </c>
      <c r="CM380" s="50" t="s">
        <v>8859</v>
      </c>
      <c r="CN380" s="50" t="s">
        <v>376</v>
      </c>
      <c r="CO380" s="50" t="s">
        <v>8869</v>
      </c>
      <c r="CQ380" s="50" t="s">
        <v>8868</v>
      </c>
      <c r="CR380" s="50" t="s">
        <v>8868</v>
      </c>
      <c r="CS380" s="50" t="s">
        <v>26042</v>
      </c>
    </row>
    <row r="381" spans="1:97" hidden="1">
      <c r="A381" s="50" t="s">
        <v>93</v>
      </c>
      <c r="B381" s="50">
        <v>2546862</v>
      </c>
      <c r="C381" s="50" t="e">
        <f>VLOOKUP(B381,'Drop schools 2026'!B:C,2,0)</f>
        <v>#N/A</v>
      </c>
      <c r="D381" s="50" t="s">
        <v>212</v>
      </c>
      <c r="E381" s="50" t="s">
        <v>11995</v>
      </c>
      <c r="F381" s="50" t="s">
        <v>3984</v>
      </c>
      <c r="G381" s="50" t="e">
        <f>VLOOKUP(B381,aa!B:F,5,0)</f>
        <v>#N/A</v>
      </c>
      <c r="H381" s="50" t="e">
        <f>VLOOKUP(B381,aa!B:J,9,0)</f>
        <v>#N/A</v>
      </c>
      <c r="I381" s="50" t="e">
        <f>VLOOKUP(B381,aa!B:L,11,0)</f>
        <v>#N/A</v>
      </c>
      <c r="J381" s="50" t="e">
        <f>VLOOKUP(B381,aa!B:O,14,0)</f>
        <v>#N/A</v>
      </c>
      <c r="K381" s="50" t="e">
        <f>VLOOKUP(B381,aa!B:R,17,0)</f>
        <v>#N/A</v>
      </c>
      <c r="L381" s="50" t="s">
        <v>97</v>
      </c>
      <c r="M381" s="50">
        <v>389928</v>
      </c>
      <c r="N381" s="50">
        <v>389928</v>
      </c>
      <c r="O381" s="50">
        <v>389928</v>
      </c>
      <c r="P381" s="50">
        <v>557</v>
      </c>
      <c r="Q381" s="50" t="s">
        <v>799</v>
      </c>
      <c r="R381" s="50">
        <v>0</v>
      </c>
      <c r="S381" s="50">
        <v>0</v>
      </c>
      <c r="U381" s="50">
        <v>0</v>
      </c>
      <c r="V381" s="50">
        <v>0</v>
      </c>
      <c r="X381" s="50" t="s">
        <v>102</v>
      </c>
      <c r="Y381" s="50" t="s">
        <v>103</v>
      </c>
      <c r="Z381" s="50" t="s">
        <v>104</v>
      </c>
      <c r="AB381" s="50" t="s">
        <v>12737</v>
      </c>
      <c r="AC381" s="50" t="s">
        <v>14453</v>
      </c>
      <c r="AD381" s="50" t="s">
        <v>14415</v>
      </c>
      <c r="AE381" s="50" t="s">
        <v>14453</v>
      </c>
      <c r="AF381" s="50" t="s">
        <v>109</v>
      </c>
      <c r="AG381" s="50" t="s">
        <v>102</v>
      </c>
      <c r="AH381" s="50" t="s">
        <v>109</v>
      </c>
      <c r="AI381" s="50" t="s">
        <v>102</v>
      </c>
      <c r="AJ381" s="50" t="s">
        <v>14454</v>
      </c>
      <c r="AK381" s="50" t="s">
        <v>13244</v>
      </c>
      <c r="AL381" s="50" t="s">
        <v>14455</v>
      </c>
      <c r="AM381" s="50" t="s">
        <v>14456</v>
      </c>
      <c r="AN381" s="50" t="s">
        <v>14457</v>
      </c>
      <c r="AO381" s="50" t="s">
        <v>102</v>
      </c>
      <c r="AP381" s="50" t="s">
        <v>3305</v>
      </c>
      <c r="AQ381" s="50" t="s">
        <v>3305</v>
      </c>
      <c r="AV381" s="50" t="s">
        <v>117</v>
      </c>
      <c r="AW381" s="50" t="s">
        <v>118</v>
      </c>
      <c r="AX381" s="50" t="s">
        <v>102</v>
      </c>
      <c r="AY381" s="50" t="s">
        <v>119</v>
      </c>
      <c r="BC381" s="50" t="s">
        <v>120</v>
      </c>
      <c r="BD381" s="50" t="s">
        <v>284</v>
      </c>
      <c r="BE381" s="50" t="s">
        <v>285</v>
      </c>
      <c r="BF381" s="50" t="s">
        <v>212</v>
      </c>
      <c r="BG381" s="50" t="s">
        <v>286</v>
      </c>
      <c r="BH381" s="50" t="s">
        <v>124</v>
      </c>
      <c r="BI381" s="50" t="s">
        <v>11959</v>
      </c>
      <c r="BJ381" s="50" t="s">
        <v>11960</v>
      </c>
      <c r="BK381" s="50" t="s">
        <v>127</v>
      </c>
      <c r="BL381" s="50" t="s">
        <v>14458</v>
      </c>
      <c r="BM381" s="50" t="s">
        <v>3995</v>
      </c>
      <c r="BN381" s="50" t="s">
        <v>14459</v>
      </c>
      <c r="BO381" s="50" t="s">
        <v>12819</v>
      </c>
      <c r="BP381" s="50" t="s">
        <v>3997</v>
      </c>
      <c r="BQ381" s="50" t="s">
        <v>132</v>
      </c>
      <c r="BR381" s="50" t="s">
        <v>3998</v>
      </c>
      <c r="BS381" s="50" t="s">
        <v>3999</v>
      </c>
      <c r="BT381" s="50" t="s">
        <v>3362</v>
      </c>
      <c r="BV381" s="50" t="s">
        <v>14460</v>
      </c>
      <c r="BW381" s="50" t="s">
        <v>14461</v>
      </c>
      <c r="BX381" s="50" t="s">
        <v>138</v>
      </c>
      <c r="BY381" s="50" t="s">
        <v>4002</v>
      </c>
      <c r="BZ381" s="50" t="s">
        <v>4003</v>
      </c>
      <c r="CA381" s="50" t="s">
        <v>4002</v>
      </c>
      <c r="CB381" s="50" t="s">
        <v>14462</v>
      </c>
      <c r="CC381" s="50" t="s">
        <v>4002</v>
      </c>
      <c r="CD381" s="50" t="s">
        <v>4003</v>
      </c>
      <c r="CE381" s="50" t="s">
        <v>14463</v>
      </c>
      <c r="CF381" s="50" t="s">
        <v>14464</v>
      </c>
      <c r="CG381" s="50" t="s">
        <v>14465</v>
      </c>
      <c r="CH381" s="50" t="s">
        <v>573</v>
      </c>
      <c r="CI381" s="50" t="s">
        <v>14466</v>
      </c>
      <c r="CK381" s="50" t="s">
        <v>4005</v>
      </c>
      <c r="CL381" s="50" t="s">
        <v>4004</v>
      </c>
      <c r="CM381" s="50" t="s">
        <v>284</v>
      </c>
      <c r="CN381" s="50" t="s">
        <v>285</v>
      </c>
      <c r="CO381" s="50" t="s">
        <v>4005</v>
      </c>
      <c r="CP381" s="50" t="s">
        <v>4006</v>
      </c>
      <c r="CQ381" s="50" t="s">
        <v>4004</v>
      </c>
      <c r="CR381" s="50" t="s">
        <v>4004</v>
      </c>
      <c r="CS381" s="50" t="s">
        <v>26044</v>
      </c>
    </row>
    <row r="382" spans="1:97">
      <c r="A382" s="50" t="s">
        <v>337</v>
      </c>
      <c r="B382" s="50">
        <v>5018319</v>
      </c>
      <c r="C382" s="50" t="e">
        <f>VLOOKUP(B382,'Drop schools 2026'!B:C,2,0)</f>
        <v>#N/A</v>
      </c>
      <c r="D382" s="50" t="s">
        <v>122</v>
      </c>
      <c r="E382" s="50" t="s">
        <v>12030</v>
      </c>
      <c r="F382" s="53" t="s">
        <v>19610</v>
      </c>
      <c r="G382" s="50" t="e">
        <f>VLOOKUP(B382,aa!B:F,5,0)</f>
        <v>#N/A</v>
      </c>
      <c r="H382" s="50" t="e">
        <f>VLOOKUP(B382,aa!B:J,9,0)</f>
        <v>#N/A</v>
      </c>
      <c r="I382" s="50" t="e">
        <f>VLOOKUP(B382,aa!B:L,11,0)</f>
        <v>#N/A</v>
      </c>
      <c r="J382" s="50" t="e">
        <f>VLOOKUP(B382,aa!B:O,14,0)</f>
        <v>#N/A</v>
      </c>
      <c r="K382" s="50" t="e">
        <f>VLOOKUP(B382,aa!B:R,17,0)</f>
        <v>#N/A</v>
      </c>
      <c r="L382" s="50" t="s">
        <v>152</v>
      </c>
      <c r="M382" s="50">
        <v>384051</v>
      </c>
      <c r="N382" s="50">
        <v>384051</v>
      </c>
      <c r="O382" s="50">
        <v>0</v>
      </c>
      <c r="P382" s="50">
        <v>0</v>
      </c>
      <c r="R382" s="50">
        <v>384051</v>
      </c>
      <c r="S382" s="50">
        <v>256</v>
      </c>
      <c r="T382" s="50" t="s">
        <v>6441</v>
      </c>
      <c r="U382" s="50">
        <v>0</v>
      </c>
      <c r="V382" s="50">
        <v>0</v>
      </c>
      <c r="X382" s="50" t="s">
        <v>102</v>
      </c>
      <c r="Y382" s="50" t="s">
        <v>103</v>
      </c>
      <c r="Z382" s="50" t="s">
        <v>155</v>
      </c>
      <c r="AB382" s="50" t="s">
        <v>648</v>
      </c>
      <c r="AC382" s="50" t="s">
        <v>19612</v>
      </c>
      <c r="AD382" s="50" t="s">
        <v>1827</v>
      </c>
      <c r="AE382" s="50" t="s">
        <v>19613</v>
      </c>
      <c r="AF382" s="50" t="s">
        <v>3485</v>
      </c>
      <c r="AG382" s="50" t="s">
        <v>19614</v>
      </c>
      <c r="AH382" s="50" t="s">
        <v>1305</v>
      </c>
      <c r="AI382" s="50" t="s">
        <v>19614</v>
      </c>
      <c r="AJ382" s="50" t="s">
        <v>102</v>
      </c>
      <c r="AK382" s="50" t="s">
        <v>437</v>
      </c>
      <c r="AL382" s="50" t="s">
        <v>437</v>
      </c>
      <c r="AM382" s="50" t="s">
        <v>19615</v>
      </c>
      <c r="AN382" s="50" t="s">
        <v>573</v>
      </c>
      <c r="AO382" s="50" t="s">
        <v>19616</v>
      </c>
      <c r="AP382" s="50" t="s">
        <v>6447</v>
      </c>
      <c r="AQ382" s="50" t="s">
        <v>6447</v>
      </c>
      <c r="AV382" s="50" t="s">
        <v>102</v>
      </c>
      <c r="AX382" s="50" t="s">
        <v>155</v>
      </c>
      <c r="AY382" s="50" t="s">
        <v>119</v>
      </c>
      <c r="AZ382" s="50" t="s">
        <v>170</v>
      </c>
      <c r="BA382" s="50" t="s">
        <v>118</v>
      </c>
      <c r="BC382" s="50" t="s">
        <v>598</v>
      </c>
      <c r="BD382" s="50" t="s">
        <v>17740</v>
      </c>
      <c r="BE382" s="50" t="s">
        <v>345</v>
      </c>
      <c r="BF382" s="50" t="s">
        <v>122</v>
      </c>
      <c r="BG382" s="50" t="s">
        <v>346</v>
      </c>
      <c r="BH382" s="50" t="s">
        <v>124</v>
      </c>
      <c r="BI382" s="50" t="s">
        <v>12023</v>
      </c>
      <c r="BJ382" s="50" t="s">
        <v>11889</v>
      </c>
      <c r="BK382" s="50" t="s">
        <v>127</v>
      </c>
      <c r="BL382" s="50" t="s">
        <v>19617</v>
      </c>
      <c r="BM382" s="50" t="s">
        <v>19618</v>
      </c>
      <c r="BN382" s="50" t="s">
        <v>19619</v>
      </c>
      <c r="BO382" s="50" t="s">
        <v>19611</v>
      </c>
      <c r="BP382" s="50" t="s">
        <v>12226</v>
      </c>
      <c r="BQ382" s="50" t="s">
        <v>505</v>
      </c>
      <c r="BR382" s="50" t="s">
        <v>12228</v>
      </c>
      <c r="BS382" s="50" t="s">
        <v>12229</v>
      </c>
      <c r="BT382" s="50" t="s">
        <v>328</v>
      </c>
      <c r="BV382" s="50" t="s">
        <v>19620</v>
      </c>
      <c r="BW382" s="50" t="s">
        <v>19621</v>
      </c>
      <c r="BX382" s="50" t="s">
        <v>354</v>
      </c>
      <c r="BY382" s="50" t="s">
        <v>19622</v>
      </c>
      <c r="BZ382" s="50" t="s">
        <v>19623</v>
      </c>
      <c r="CA382" s="50" t="s">
        <v>19622</v>
      </c>
      <c r="CB382" s="50" t="s">
        <v>19624</v>
      </c>
      <c r="CC382" s="50" t="s">
        <v>19622</v>
      </c>
      <c r="CD382" s="50" t="s">
        <v>19623</v>
      </c>
      <c r="CE382" s="50" t="s">
        <v>19624</v>
      </c>
      <c r="CF382" s="50" t="s">
        <v>19622</v>
      </c>
      <c r="CG382" s="50" t="s">
        <v>19623</v>
      </c>
      <c r="CH382" s="50" t="s">
        <v>19625</v>
      </c>
      <c r="CI382" s="50" t="s">
        <v>12241</v>
      </c>
      <c r="CK382" s="50" t="s">
        <v>17597</v>
      </c>
      <c r="CL382" s="50" t="s">
        <v>12241</v>
      </c>
      <c r="CM382" s="50" t="s">
        <v>17740</v>
      </c>
      <c r="CN382" s="50" t="s">
        <v>345</v>
      </c>
      <c r="CO382" s="50" t="s">
        <v>17597</v>
      </c>
      <c r="CQ382" s="50" t="s">
        <v>12241</v>
      </c>
      <c r="CR382" s="50" t="s">
        <v>12241</v>
      </c>
    </row>
    <row r="383" spans="1:97" hidden="1">
      <c r="A383" s="50" t="s">
        <v>337</v>
      </c>
      <c r="B383" s="50">
        <v>5069315</v>
      </c>
      <c r="C383" s="50" t="e">
        <f>VLOOKUP(B383,'Drop schools 2026'!B:C,2,0)</f>
        <v>#N/A</v>
      </c>
      <c r="D383" s="50" t="s">
        <v>622</v>
      </c>
      <c r="E383" s="50" t="s">
        <v>985</v>
      </c>
      <c r="F383" s="50" t="s">
        <v>20743</v>
      </c>
      <c r="G383" s="50" t="e">
        <f>VLOOKUP(B383,aa!B:F,5,0)</f>
        <v>#N/A</v>
      </c>
      <c r="H383" s="50" t="e">
        <f>VLOOKUP(B383,aa!B:J,9,0)</f>
        <v>#N/A</v>
      </c>
      <c r="I383" s="50" t="e">
        <f>VLOOKUP(B383,aa!B:L,11,0)</f>
        <v>#N/A</v>
      </c>
      <c r="J383" s="50" t="e">
        <f>VLOOKUP(B383,aa!B:O,14,0)</f>
        <v>#N/A</v>
      </c>
      <c r="K383" s="50" t="e">
        <f>VLOOKUP(B383,aa!B:R,17,0)</f>
        <v>#N/A</v>
      </c>
      <c r="L383" s="50" t="s">
        <v>97</v>
      </c>
      <c r="M383" s="50">
        <v>381631</v>
      </c>
      <c r="N383" s="50">
        <v>381631</v>
      </c>
      <c r="O383" s="50">
        <v>381631</v>
      </c>
      <c r="P383" s="50">
        <v>694</v>
      </c>
      <c r="Q383" s="50" t="s">
        <v>3431</v>
      </c>
      <c r="R383" s="50">
        <v>0</v>
      </c>
      <c r="S383" s="50">
        <v>0</v>
      </c>
      <c r="U383" s="50">
        <v>0</v>
      </c>
      <c r="V383" s="50">
        <v>0</v>
      </c>
      <c r="X383" s="50" t="s">
        <v>102</v>
      </c>
      <c r="Y383" s="50" t="s">
        <v>275</v>
      </c>
      <c r="AA383" s="50" t="s">
        <v>13583</v>
      </c>
      <c r="AB383" s="50" t="s">
        <v>109</v>
      </c>
      <c r="AC383" s="50" t="s">
        <v>102</v>
      </c>
      <c r="AD383" s="50" t="s">
        <v>109</v>
      </c>
      <c r="AE383" s="50" t="s">
        <v>102</v>
      </c>
      <c r="AF383" s="50" t="s">
        <v>109</v>
      </c>
      <c r="AG383" s="50" t="s">
        <v>102</v>
      </c>
      <c r="AH383" s="50" t="s">
        <v>109</v>
      </c>
      <c r="AI383" s="50" t="s">
        <v>102</v>
      </c>
      <c r="AJ383" s="50" t="s">
        <v>102</v>
      </c>
      <c r="AK383" s="50" t="s">
        <v>11888</v>
      </c>
      <c r="AL383" s="50" t="s">
        <v>11888</v>
      </c>
      <c r="AM383" s="50" t="s">
        <v>20744</v>
      </c>
      <c r="AN383" s="50" t="s">
        <v>20745</v>
      </c>
      <c r="AO383" s="50" t="s">
        <v>20746</v>
      </c>
      <c r="AP383" s="50" t="s">
        <v>4840</v>
      </c>
      <c r="AQ383" s="50" t="s">
        <v>4840</v>
      </c>
      <c r="AV383" s="50" t="s">
        <v>117</v>
      </c>
      <c r="AW383" s="50" t="s">
        <v>118</v>
      </c>
      <c r="AX383" s="50" t="s">
        <v>102</v>
      </c>
      <c r="AY383" s="50" t="s">
        <v>119</v>
      </c>
      <c r="BC383" s="50" t="s">
        <v>120</v>
      </c>
      <c r="BD383" s="50" t="s">
        <v>20747</v>
      </c>
      <c r="BE383" s="50" t="s">
        <v>621</v>
      </c>
      <c r="BF383" s="50" t="s">
        <v>622</v>
      </c>
      <c r="BG383" s="50" t="s">
        <v>976</v>
      </c>
      <c r="BH383" s="50" t="s">
        <v>124</v>
      </c>
      <c r="BI383" s="50" t="s">
        <v>13583</v>
      </c>
      <c r="BJ383" s="50" t="s">
        <v>14059</v>
      </c>
      <c r="BK383" s="50" t="s">
        <v>127</v>
      </c>
      <c r="BL383" s="50" t="s">
        <v>20748</v>
      </c>
      <c r="BM383" s="50" t="s">
        <v>20749</v>
      </c>
      <c r="BN383" s="50" t="s">
        <v>20750</v>
      </c>
      <c r="BO383" s="50" t="s">
        <v>11954</v>
      </c>
      <c r="BP383" s="50" t="s">
        <v>2284</v>
      </c>
      <c r="BQ383" s="50" t="s">
        <v>132</v>
      </c>
      <c r="BR383" s="50" t="s">
        <v>2285</v>
      </c>
      <c r="BS383" s="50" t="s">
        <v>2286</v>
      </c>
      <c r="BT383" s="50" t="s">
        <v>1342</v>
      </c>
      <c r="BV383" s="50" t="s">
        <v>20751</v>
      </c>
      <c r="BW383" s="50" t="s">
        <v>20752</v>
      </c>
      <c r="BX383" s="50" t="s">
        <v>138</v>
      </c>
      <c r="BY383" s="50" t="s">
        <v>20753</v>
      </c>
      <c r="BZ383" s="50" t="s">
        <v>20754</v>
      </c>
      <c r="CA383" s="50" t="s">
        <v>20755</v>
      </c>
      <c r="CB383" s="50" t="s">
        <v>20752</v>
      </c>
      <c r="CC383" s="50" t="s">
        <v>20753</v>
      </c>
      <c r="CD383" s="50" t="s">
        <v>20754</v>
      </c>
      <c r="CE383" s="50" t="s">
        <v>20752</v>
      </c>
      <c r="CF383" s="50" t="s">
        <v>20753</v>
      </c>
      <c r="CG383" s="50" t="s">
        <v>20754</v>
      </c>
      <c r="CH383" s="50" t="s">
        <v>102</v>
      </c>
      <c r="CI383" s="50" t="s">
        <v>20756</v>
      </c>
      <c r="CK383" s="50" t="s">
        <v>20757</v>
      </c>
      <c r="CM383" s="50" t="s">
        <v>20747</v>
      </c>
      <c r="CN383" s="50" t="s">
        <v>621</v>
      </c>
      <c r="CO383" s="50" t="s">
        <v>20757</v>
      </c>
      <c r="CP383" s="50" t="s">
        <v>20758</v>
      </c>
      <c r="CQ383" s="50" t="s">
        <v>20756</v>
      </c>
      <c r="CR383" s="50" t="s">
        <v>20759</v>
      </c>
    </row>
    <row r="384" spans="1:97" hidden="1">
      <c r="A384" s="50" t="s">
        <v>149</v>
      </c>
      <c r="B384" s="50">
        <v>5004125</v>
      </c>
      <c r="C384" s="50" t="e">
        <f>VLOOKUP(B384,'Drop schools 2026'!B:C,2,0)</f>
        <v>#N/A</v>
      </c>
      <c r="D384" s="50" t="s">
        <v>212</v>
      </c>
      <c r="E384" s="50" t="s">
        <v>11947</v>
      </c>
      <c r="F384" s="50" t="s">
        <v>9209</v>
      </c>
      <c r="G384" s="50" t="e">
        <f>VLOOKUP(B384,aa!B:F,5,0)</f>
        <v>#N/A</v>
      </c>
      <c r="H384" s="50" t="e">
        <f>VLOOKUP(B384,aa!B:J,9,0)</f>
        <v>#N/A</v>
      </c>
      <c r="I384" s="50" t="e">
        <f>VLOOKUP(B384,aa!B:L,11,0)</f>
        <v>#N/A</v>
      </c>
      <c r="J384" s="50" t="e">
        <f>VLOOKUP(B384,aa!B:O,14,0)</f>
        <v>#N/A</v>
      </c>
      <c r="K384" s="50" t="e">
        <f>VLOOKUP(B384,aa!B:R,17,0)</f>
        <v>#N/A</v>
      </c>
      <c r="L384" s="50" t="s">
        <v>97</v>
      </c>
      <c r="M384" s="50">
        <v>381617</v>
      </c>
      <c r="N384" s="50">
        <v>381617</v>
      </c>
      <c r="O384" s="50">
        <v>381617</v>
      </c>
      <c r="P384" s="50">
        <v>481</v>
      </c>
      <c r="Q384" s="50" t="s">
        <v>18563</v>
      </c>
      <c r="R384" s="50">
        <v>0</v>
      </c>
      <c r="S384" s="50">
        <v>0</v>
      </c>
      <c r="U384" s="50">
        <v>0</v>
      </c>
      <c r="V384" s="50">
        <v>0</v>
      </c>
      <c r="X384" s="50" t="s">
        <v>102</v>
      </c>
      <c r="Y384" s="50" t="s">
        <v>103</v>
      </c>
      <c r="Z384" s="50" t="s">
        <v>104</v>
      </c>
      <c r="AB384" s="50" t="s">
        <v>1547</v>
      </c>
      <c r="AC384" s="50" t="s">
        <v>18564</v>
      </c>
      <c r="AD384" s="50" t="s">
        <v>14024</v>
      </c>
      <c r="AE384" s="50" t="s">
        <v>18564</v>
      </c>
      <c r="AF384" s="50" t="s">
        <v>109</v>
      </c>
      <c r="AG384" s="50" t="s">
        <v>102</v>
      </c>
      <c r="AH384" s="50" t="s">
        <v>109</v>
      </c>
      <c r="AI384" s="50" t="s">
        <v>102</v>
      </c>
      <c r="AJ384" s="50" t="s">
        <v>18565</v>
      </c>
      <c r="AK384" s="50" t="s">
        <v>12467</v>
      </c>
      <c r="AL384" s="50" t="s">
        <v>14026</v>
      </c>
      <c r="AM384" s="50" t="s">
        <v>18566</v>
      </c>
      <c r="AN384" s="50" t="s">
        <v>18567</v>
      </c>
      <c r="AO384" s="50" t="s">
        <v>398</v>
      </c>
      <c r="AP384" s="50" t="s">
        <v>16387</v>
      </c>
      <c r="AQ384" s="50" t="s">
        <v>16387</v>
      </c>
      <c r="AV384" s="50" t="s">
        <v>117</v>
      </c>
      <c r="AW384" s="50" t="s">
        <v>118</v>
      </c>
      <c r="AX384" s="50" t="s">
        <v>102</v>
      </c>
      <c r="AY384" s="50" t="s">
        <v>119</v>
      </c>
      <c r="BC384" s="50" t="s">
        <v>120</v>
      </c>
      <c r="BD384" s="50" t="s">
        <v>920</v>
      </c>
      <c r="BE384" s="50" t="s">
        <v>211</v>
      </c>
      <c r="BF384" s="50" t="s">
        <v>212</v>
      </c>
      <c r="BG384" s="50" t="s">
        <v>213</v>
      </c>
      <c r="BH384" s="50" t="s">
        <v>124</v>
      </c>
      <c r="BI384" s="50" t="s">
        <v>11959</v>
      </c>
      <c r="BJ384" s="50" t="s">
        <v>11960</v>
      </c>
      <c r="BK384" s="50" t="s">
        <v>127</v>
      </c>
      <c r="BL384" s="50" t="s">
        <v>18568</v>
      </c>
      <c r="BM384" s="50" t="s">
        <v>9216</v>
      </c>
      <c r="BN384" s="50" t="s">
        <v>18569</v>
      </c>
      <c r="BO384" s="50" t="s">
        <v>9840</v>
      </c>
      <c r="BP384" s="50" t="s">
        <v>1880</v>
      </c>
      <c r="BQ384" s="50" t="s">
        <v>180</v>
      </c>
      <c r="BR384" s="50" t="s">
        <v>1882</v>
      </c>
      <c r="BS384" s="50" t="s">
        <v>1883</v>
      </c>
      <c r="BT384" s="50" t="s">
        <v>2151</v>
      </c>
      <c r="BV384" s="50" t="s">
        <v>18570</v>
      </c>
      <c r="BW384" s="50" t="s">
        <v>3585</v>
      </c>
      <c r="BX384" s="50" t="s">
        <v>598</v>
      </c>
      <c r="BY384" s="50" t="s">
        <v>225</v>
      </c>
      <c r="BZ384" s="50" t="s">
        <v>226</v>
      </c>
      <c r="CA384" s="50" t="s">
        <v>9222</v>
      </c>
      <c r="CB384" s="50" t="s">
        <v>18571</v>
      </c>
      <c r="CC384" s="50" t="s">
        <v>18572</v>
      </c>
      <c r="CD384" s="50" t="s">
        <v>226</v>
      </c>
      <c r="CE384" s="50" t="s">
        <v>16567</v>
      </c>
      <c r="CF384" s="50" t="s">
        <v>18573</v>
      </c>
      <c r="CG384" s="50" t="s">
        <v>18574</v>
      </c>
      <c r="CH384" s="50" t="s">
        <v>102</v>
      </c>
      <c r="CI384" s="50" t="s">
        <v>9227</v>
      </c>
      <c r="CK384" s="50" t="s">
        <v>9228</v>
      </c>
      <c r="CM384" s="50" t="s">
        <v>920</v>
      </c>
      <c r="CN384" s="50" t="s">
        <v>211</v>
      </c>
      <c r="CO384" s="50" t="s">
        <v>9228</v>
      </c>
      <c r="CP384" s="50" t="s">
        <v>9229</v>
      </c>
      <c r="CQ384" s="50" t="s">
        <v>9227</v>
      </c>
      <c r="CR384" s="50" t="s">
        <v>9227</v>
      </c>
      <c r="CS384" s="50" t="s">
        <v>26040</v>
      </c>
    </row>
    <row r="385" spans="1:97" hidden="1">
      <c r="A385" s="50" t="s">
        <v>337</v>
      </c>
      <c r="B385" s="50">
        <v>2530317</v>
      </c>
      <c r="C385" s="50" t="e">
        <f>VLOOKUP(B385,'Drop schools 2026'!B:C,2,0)</f>
        <v>#N/A</v>
      </c>
      <c r="D385" s="50" t="s">
        <v>212</v>
      </c>
      <c r="E385" s="50" t="s">
        <v>293</v>
      </c>
      <c r="F385" s="50" t="s">
        <v>3972</v>
      </c>
      <c r="G385" s="50" t="str">
        <f>VLOOKUP(B385,aa!B:F,5,0)</f>
        <v>Ei CARES</v>
      </c>
      <c r="H385" s="50">
        <f>VLOOKUP(B385,aa!B:J,9,0)</f>
        <v>412983</v>
      </c>
      <c r="I385" s="50">
        <f>VLOOKUP(B385,aa!B:L,11,0)</f>
        <v>0</v>
      </c>
      <c r="J385" s="50">
        <f>VLOOKUP(B385,aa!B:O,14,0)</f>
        <v>412983</v>
      </c>
      <c r="K385" s="50">
        <f>VLOOKUP(B385,aa!B:R,17,0)</f>
        <v>0</v>
      </c>
      <c r="L385" s="50" t="s">
        <v>152</v>
      </c>
      <c r="M385" s="50">
        <v>378068</v>
      </c>
      <c r="N385" s="50">
        <v>378068</v>
      </c>
      <c r="O385" s="50">
        <v>0</v>
      </c>
      <c r="P385" s="50">
        <v>0</v>
      </c>
      <c r="R385" s="50">
        <v>378068</v>
      </c>
      <c r="S385" s="50">
        <v>398</v>
      </c>
      <c r="T385" s="50" t="s">
        <v>936</v>
      </c>
      <c r="U385" s="50">
        <v>0</v>
      </c>
      <c r="V385" s="50">
        <v>0</v>
      </c>
      <c r="X385" s="50" t="s">
        <v>102</v>
      </c>
      <c r="Y385" s="50" t="s">
        <v>103</v>
      </c>
      <c r="Z385" s="50" t="s">
        <v>398</v>
      </c>
      <c r="AB385" s="50" t="s">
        <v>3974</v>
      </c>
      <c r="AC385" s="50" t="s">
        <v>14412</v>
      </c>
      <c r="AD385" s="50" t="s">
        <v>7484</v>
      </c>
      <c r="AE385" s="50" t="s">
        <v>14413</v>
      </c>
      <c r="AF385" s="50" t="s">
        <v>14059</v>
      </c>
      <c r="AG385" s="50" t="s">
        <v>14413</v>
      </c>
      <c r="AH385" s="50" t="s">
        <v>109</v>
      </c>
      <c r="AI385" s="50" t="s">
        <v>102</v>
      </c>
      <c r="AJ385" s="50" t="s">
        <v>14414</v>
      </c>
      <c r="AK385" s="50" t="s">
        <v>1719</v>
      </c>
      <c r="AL385" s="50" t="s">
        <v>14415</v>
      </c>
      <c r="AM385" s="50" t="s">
        <v>14416</v>
      </c>
      <c r="AN385" s="50" t="s">
        <v>14417</v>
      </c>
      <c r="AO385" s="50" t="s">
        <v>14418</v>
      </c>
      <c r="AP385" s="50" t="s">
        <v>14419</v>
      </c>
      <c r="AQ385" s="50" t="s">
        <v>14419</v>
      </c>
      <c r="AV385" s="50" t="s">
        <v>102</v>
      </c>
      <c r="AX385" s="50" t="s">
        <v>155</v>
      </c>
      <c r="AY385" s="50" t="s">
        <v>119</v>
      </c>
      <c r="AZ385" s="50" t="s">
        <v>1138</v>
      </c>
      <c r="BA385" s="50" t="s">
        <v>118</v>
      </c>
      <c r="BC385" s="50" t="s">
        <v>171</v>
      </c>
      <c r="BD385" s="50" t="s">
        <v>920</v>
      </c>
      <c r="BE385" s="50" t="s">
        <v>211</v>
      </c>
      <c r="BF385" s="50" t="s">
        <v>212</v>
      </c>
      <c r="BG385" s="50" t="s">
        <v>213</v>
      </c>
      <c r="BH385" s="50" t="s">
        <v>124</v>
      </c>
      <c r="BI385" s="50" t="s">
        <v>11959</v>
      </c>
      <c r="BJ385" s="50" t="s">
        <v>11960</v>
      </c>
      <c r="BK385" s="50" t="s">
        <v>127</v>
      </c>
      <c r="BL385" s="50" t="s">
        <v>14420</v>
      </c>
      <c r="BM385" s="50" t="s">
        <v>3975</v>
      </c>
      <c r="BN385" s="50" t="s">
        <v>3976</v>
      </c>
      <c r="BO385" s="50" t="s">
        <v>3974</v>
      </c>
      <c r="BP385" s="50" t="s">
        <v>3443</v>
      </c>
      <c r="BQ385" s="50" t="s">
        <v>180</v>
      </c>
      <c r="BR385" s="50" t="s">
        <v>3444</v>
      </c>
      <c r="BS385" s="50" t="s">
        <v>3445</v>
      </c>
      <c r="BT385" s="50" t="s">
        <v>2463</v>
      </c>
      <c r="BV385" s="50" t="s">
        <v>14421</v>
      </c>
      <c r="BW385" s="50" t="s">
        <v>3977</v>
      </c>
      <c r="BX385" s="50" t="s">
        <v>138</v>
      </c>
      <c r="BY385" s="50" t="s">
        <v>3978</v>
      </c>
      <c r="BZ385" s="50" t="s">
        <v>3979</v>
      </c>
      <c r="CA385" s="50" t="s">
        <v>3980</v>
      </c>
      <c r="CB385" s="50" t="s">
        <v>3977</v>
      </c>
      <c r="CC385" s="50" t="s">
        <v>3978</v>
      </c>
      <c r="CD385" s="50" t="s">
        <v>3979</v>
      </c>
      <c r="CE385" s="50" t="s">
        <v>3977</v>
      </c>
      <c r="CF385" s="50" t="s">
        <v>3978</v>
      </c>
      <c r="CG385" s="50" t="s">
        <v>3979</v>
      </c>
      <c r="CH385" s="50" t="s">
        <v>102</v>
      </c>
      <c r="CI385" s="50" t="s">
        <v>3981</v>
      </c>
      <c r="CK385" s="50" t="s">
        <v>3982</v>
      </c>
      <c r="CM385" s="50" t="s">
        <v>920</v>
      </c>
      <c r="CN385" s="50" t="s">
        <v>2474</v>
      </c>
      <c r="CO385" s="50" t="s">
        <v>3982</v>
      </c>
      <c r="CP385" s="50" t="s">
        <v>3983</v>
      </c>
      <c r="CQ385" s="50" t="s">
        <v>3981</v>
      </c>
      <c r="CR385" s="50" t="s">
        <v>3981</v>
      </c>
    </row>
    <row r="386" spans="1:97" hidden="1">
      <c r="A386" s="50" t="s">
        <v>93</v>
      </c>
      <c r="B386" s="50">
        <v>579462</v>
      </c>
      <c r="C386" s="50" t="e">
        <f>VLOOKUP(B386,'Drop schools 2026'!B:C,2,0)</f>
        <v>#N/A</v>
      </c>
      <c r="D386" s="50" t="s">
        <v>622</v>
      </c>
      <c r="E386" s="50" t="s">
        <v>1279</v>
      </c>
      <c r="F386" s="50" t="s">
        <v>21162</v>
      </c>
      <c r="G386" s="50" t="str">
        <f>VLOOKUP(B386,aa!B:F,5,0)</f>
        <v>Ei ASSET</v>
      </c>
      <c r="H386" s="50">
        <f>VLOOKUP(B386,aa!B:J,9,0)</f>
        <v>273900</v>
      </c>
      <c r="I386" s="50">
        <f>VLOOKUP(B386,aa!B:L,11,0)</f>
        <v>273900</v>
      </c>
      <c r="J386" s="50">
        <f>VLOOKUP(B386,aa!B:O,14,0)</f>
        <v>0</v>
      </c>
      <c r="K386" s="50">
        <f>VLOOKUP(B386,aa!B:R,17,0)</f>
        <v>0</v>
      </c>
      <c r="L386" s="50" t="s">
        <v>193</v>
      </c>
      <c r="M386" s="50">
        <v>372804</v>
      </c>
      <c r="N386" s="50">
        <v>395487</v>
      </c>
      <c r="O386" s="50">
        <v>246789</v>
      </c>
      <c r="P386" s="50">
        <v>329</v>
      </c>
      <c r="Q386" s="50" t="s">
        <v>101</v>
      </c>
      <c r="R386" s="50">
        <v>0</v>
      </c>
      <c r="S386" s="50">
        <v>0</v>
      </c>
      <c r="U386" s="50">
        <v>126015</v>
      </c>
      <c r="V386" s="50">
        <v>63</v>
      </c>
      <c r="W386" s="50" t="s">
        <v>7192</v>
      </c>
      <c r="X386" s="50" t="s">
        <v>102</v>
      </c>
      <c r="Y386" s="50" t="s">
        <v>103</v>
      </c>
      <c r="Z386" s="50" t="s">
        <v>104</v>
      </c>
      <c r="AB386" s="50" t="s">
        <v>21164</v>
      </c>
      <c r="AC386" s="50" t="s">
        <v>21165</v>
      </c>
      <c r="AD386" s="50" t="s">
        <v>21166</v>
      </c>
      <c r="AE386" s="50" t="s">
        <v>21165</v>
      </c>
      <c r="AF386" s="50" t="s">
        <v>109</v>
      </c>
      <c r="AG386" s="50" t="s">
        <v>102</v>
      </c>
      <c r="AH386" s="50" t="s">
        <v>109</v>
      </c>
      <c r="AI386" s="50" t="s">
        <v>102</v>
      </c>
      <c r="AJ386" s="50" t="s">
        <v>21167</v>
      </c>
      <c r="AK386" s="50" t="s">
        <v>21168</v>
      </c>
      <c r="AL386" s="50" t="s">
        <v>21168</v>
      </c>
      <c r="AM386" s="50" t="s">
        <v>21169</v>
      </c>
      <c r="AN386" s="50" t="s">
        <v>21170</v>
      </c>
      <c r="AO386" s="50" t="s">
        <v>21171</v>
      </c>
      <c r="AP386" s="50" t="s">
        <v>16189</v>
      </c>
      <c r="AQ386" s="50" t="s">
        <v>16189</v>
      </c>
      <c r="AV386" s="50" t="s">
        <v>247</v>
      </c>
      <c r="AW386" s="50" t="s">
        <v>118</v>
      </c>
      <c r="AX386" s="50" t="s">
        <v>102</v>
      </c>
      <c r="AY386" s="50" t="s">
        <v>119</v>
      </c>
      <c r="BB386" s="50" t="s">
        <v>250</v>
      </c>
      <c r="BC386" s="50" t="s">
        <v>171</v>
      </c>
      <c r="BD386" s="50" t="s">
        <v>6280</v>
      </c>
      <c r="BE386" s="50" t="s">
        <v>621</v>
      </c>
      <c r="BF386" s="50" t="s">
        <v>622</v>
      </c>
      <c r="BG386" s="50" t="s">
        <v>976</v>
      </c>
      <c r="BH386" s="50" t="s">
        <v>124</v>
      </c>
      <c r="BI386" s="50" t="s">
        <v>18193</v>
      </c>
      <c r="BJ386" s="50" t="s">
        <v>21172</v>
      </c>
      <c r="BK386" s="50" t="s">
        <v>127</v>
      </c>
      <c r="BL386" s="50" t="s">
        <v>21173</v>
      </c>
      <c r="BM386" s="50" t="s">
        <v>11196</v>
      </c>
      <c r="BN386" s="50" t="s">
        <v>21174</v>
      </c>
      <c r="BO386" s="50" t="s">
        <v>21163</v>
      </c>
      <c r="BP386" s="50" t="s">
        <v>13638</v>
      </c>
      <c r="BQ386" s="50" t="s">
        <v>132</v>
      </c>
      <c r="BR386" s="50" t="s">
        <v>13639</v>
      </c>
      <c r="BS386" s="50" t="s">
        <v>13640</v>
      </c>
      <c r="BT386" s="50" t="s">
        <v>1342</v>
      </c>
      <c r="BV386" s="50" t="s">
        <v>21175</v>
      </c>
      <c r="BW386" s="50" t="s">
        <v>16196</v>
      </c>
      <c r="BX386" s="50" t="s">
        <v>1282</v>
      </c>
      <c r="BY386" s="50" t="s">
        <v>6286</v>
      </c>
      <c r="BZ386" s="50" t="s">
        <v>6287</v>
      </c>
      <c r="CA386" s="50" t="s">
        <v>11199</v>
      </c>
      <c r="CB386" s="50" t="s">
        <v>16196</v>
      </c>
      <c r="CC386" s="50" t="s">
        <v>6286</v>
      </c>
      <c r="CD386" s="50" t="s">
        <v>21176</v>
      </c>
      <c r="CE386" s="50" t="s">
        <v>21177</v>
      </c>
      <c r="CF386" s="50" t="s">
        <v>21178</v>
      </c>
      <c r="CG386" s="50" t="s">
        <v>21179</v>
      </c>
      <c r="CH386" s="50" t="s">
        <v>5811</v>
      </c>
      <c r="CI386" s="50" t="s">
        <v>21180</v>
      </c>
      <c r="CK386" s="50" t="s">
        <v>8522</v>
      </c>
      <c r="CL386" s="50" t="s">
        <v>21180</v>
      </c>
      <c r="CM386" s="50" t="s">
        <v>6280</v>
      </c>
      <c r="CN386" s="50" t="s">
        <v>621</v>
      </c>
      <c r="CO386" s="50" t="s">
        <v>8522</v>
      </c>
      <c r="CP386" s="50" t="s">
        <v>6293</v>
      </c>
      <c r="CQ386" s="50" t="s">
        <v>11204</v>
      </c>
      <c r="CR386" s="50" t="s">
        <v>11204</v>
      </c>
    </row>
    <row r="387" spans="1:97" hidden="1">
      <c r="A387" s="50" t="s">
        <v>149</v>
      </c>
      <c r="B387" s="50">
        <v>551567</v>
      </c>
      <c r="C387" s="50" t="e">
        <f>VLOOKUP(B387,'Drop schools 2026'!B:C,2,0)</f>
        <v>#N/A</v>
      </c>
      <c r="D387" s="50" t="s">
        <v>122</v>
      </c>
      <c r="E387" s="50" t="s">
        <v>11882</v>
      </c>
      <c r="F387" s="50" t="s">
        <v>11091</v>
      </c>
      <c r="G387" s="50" t="e">
        <f>VLOOKUP(B387,aa!B:F,5,0)</f>
        <v>#N/A</v>
      </c>
      <c r="H387" s="50" t="e">
        <f>VLOOKUP(B387,aa!B:J,9,0)</f>
        <v>#N/A</v>
      </c>
      <c r="I387" s="50" t="e">
        <f>VLOOKUP(B387,aa!B:L,11,0)</f>
        <v>#N/A</v>
      </c>
      <c r="J387" s="50" t="e">
        <f>VLOOKUP(B387,aa!B:O,14,0)</f>
        <v>#N/A</v>
      </c>
      <c r="K387" s="50" t="e">
        <f>VLOOKUP(B387,aa!B:R,17,0)</f>
        <v>#N/A</v>
      </c>
      <c r="L387" s="50" t="s">
        <v>97</v>
      </c>
      <c r="M387" s="50">
        <v>370377</v>
      </c>
      <c r="N387" s="50">
        <v>370377</v>
      </c>
      <c r="O387" s="50">
        <v>370377</v>
      </c>
      <c r="P387" s="50">
        <v>463</v>
      </c>
      <c r="Q387" s="50" t="s">
        <v>1297</v>
      </c>
      <c r="R387" s="50">
        <v>0</v>
      </c>
      <c r="S387" s="50">
        <v>0</v>
      </c>
      <c r="U387" s="50">
        <v>0</v>
      </c>
      <c r="V387" s="50">
        <v>0</v>
      </c>
      <c r="X387" s="50" t="s">
        <v>102</v>
      </c>
      <c r="Y387" s="50" t="s">
        <v>103</v>
      </c>
      <c r="Z387" s="50" t="s">
        <v>104</v>
      </c>
      <c r="AB387" s="50" t="s">
        <v>11884</v>
      </c>
      <c r="AC387" s="50" t="s">
        <v>21104</v>
      </c>
      <c r="AD387" s="50" t="s">
        <v>11886</v>
      </c>
      <c r="AE387" s="50" t="s">
        <v>21104</v>
      </c>
      <c r="AF387" s="50" t="s">
        <v>109</v>
      </c>
      <c r="AG387" s="50" t="s">
        <v>102</v>
      </c>
      <c r="AH387" s="50" t="s">
        <v>109</v>
      </c>
      <c r="AI387" s="50" t="s">
        <v>102</v>
      </c>
      <c r="AJ387" s="50" t="s">
        <v>21105</v>
      </c>
      <c r="AK387" s="50" t="s">
        <v>21106</v>
      </c>
      <c r="AL387" s="50" t="s">
        <v>21106</v>
      </c>
      <c r="AM387" s="50" t="s">
        <v>21107</v>
      </c>
      <c r="AN387" s="50" t="s">
        <v>21108</v>
      </c>
      <c r="AO387" s="50" t="s">
        <v>21109</v>
      </c>
      <c r="AP387" s="50" t="s">
        <v>1304</v>
      </c>
      <c r="AQ387" s="50" t="s">
        <v>1304</v>
      </c>
      <c r="AV387" s="50" t="s">
        <v>117</v>
      </c>
      <c r="AW387" s="50" t="s">
        <v>118</v>
      </c>
      <c r="AX387" s="50" t="s">
        <v>102</v>
      </c>
      <c r="AY387" s="50" t="s">
        <v>119</v>
      </c>
      <c r="BC387" s="50" t="s">
        <v>120</v>
      </c>
      <c r="BD387" s="50" t="s">
        <v>1407</v>
      </c>
      <c r="BE387" s="50" t="s">
        <v>449</v>
      </c>
      <c r="BF387" s="50" t="s">
        <v>122</v>
      </c>
      <c r="BG387" s="50" t="s">
        <v>450</v>
      </c>
      <c r="BH387" s="50" t="s">
        <v>124</v>
      </c>
      <c r="BI387" s="50" t="s">
        <v>11888</v>
      </c>
      <c r="BJ387" s="50" t="s">
        <v>11889</v>
      </c>
      <c r="BK387" s="50" t="s">
        <v>127</v>
      </c>
      <c r="BL387" s="50" t="s">
        <v>21110</v>
      </c>
      <c r="BM387" s="50" t="s">
        <v>11104</v>
      </c>
      <c r="BN387" s="50" t="s">
        <v>21111</v>
      </c>
      <c r="BO387" s="50" t="s">
        <v>12393</v>
      </c>
      <c r="BP387" s="50" t="s">
        <v>3267</v>
      </c>
      <c r="BQ387" s="50" t="s">
        <v>350</v>
      </c>
      <c r="BR387" s="50" t="s">
        <v>3268</v>
      </c>
      <c r="BS387" s="50" t="s">
        <v>3269</v>
      </c>
      <c r="BT387" s="50" t="s">
        <v>135</v>
      </c>
      <c r="BV387" s="50" t="s">
        <v>21112</v>
      </c>
      <c r="BW387" s="50" t="s">
        <v>11893</v>
      </c>
      <c r="BX387" s="50" t="s">
        <v>598</v>
      </c>
      <c r="BY387" s="50" t="s">
        <v>7967</v>
      </c>
      <c r="BZ387" s="50" t="s">
        <v>11894</v>
      </c>
      <c r="CA387" s="50" t="s">
        <v>11113</v>
      </c>
      <c r="CB387" s="50" t="s">
        <v>11114</v>
      </c>
      <c r="CC387" s="50" t="s">
        <v>21113</v>
      </c>
      <c r="CD387" s="50" t="s">
        <v>11894</v>
      </c>
      <c r="CE387" s="50" t="s">
        <v>11893</v>
      </c>
      <c r="CF387" s="50" t="s">
        <v>7967</v>
      </c>
      <c r="CG387" s="50" t="s">
        <v>11894</v>
      </c>
      <c r="CH387" s="50" t="s">
        <v>1417</v>
      </c>
      <c r="CI387" s="50" t="s">
        <v>21114</v>
      </c>
      <c r="CK387" s="50" t="s">
        <v>4271</v>
      </c>
      <c r="CL387" s="50" t="s">
        <v>21115</v>
      </c>
      <c r="CM387" s="50" t="s">
        <v>1407</v>
      </c>
      <c r="CN387" s="50" t="s">
        <v>449</v>
      </c>
      <c r="CO387" s="50" t="s">
        <v>4271</v>
      </c>
      <c r="CP387" s="50" t="s">
        <v>11122</v>
      </c>
      <c r="CQ387" s="50" t="s">
        <v>11123</v>
      </c>
      <c r="CR387" s="50" t="s">
        <v>11123</v>
      </c>
    </row>
    <row r="388" spans="1:97" hidden="1">
      <c r="A388" s="50" t="s">
        <v>495</v>
      </c>
      <c r="B388" s="50">
        <v>2984015</v>
      </c>
      <c r="C388" s="50" t="e">
        <f>VLOOKUP(B388,'Drop schools 2026'!B:C,2,0)</f>
        <v>#N/A</v>
      </c>
      <c r="D388" s="50" t="s">
        <v>622</v>
      </c>
      <c r="E388" s="50" t="s">
        <v>2525</v>
      </c>
      <c r="F388" s="50" t="s">
        <v>4575</v>
      </c>
      <c r="G388" s="50" t="str">
        <f>VLOOKUP(B388,aa!B:F,5,0)</f>
        <v>Ei Mindspark</v>
      </c>
      <c r="H388" s="50">
        <f>VLOOKUP(B388,aa!B:J,9,0)</f>
        <v>570090</v>
      </c>
      <c r="I388" s="50">
        <f>VLOOKUP(B388,aa!B:L,11,0)</f>
        <v>0</v>
      </c>
      <c r="J388" s="50">
        <f>VLOOKUP(B388,aa!B:O,14,0)</f>
        <v>0</v>
      </c>
      <c r="K388" s="50">
        <f>VLOOKUP(B388,aa!B:R,17,0)</f>
        <v>570090</v>
      </c>
      <c r="L388" s="50" t="s">
        <v>848</v>
      </c>
      <c r="M388" s="50">
        <v>367340</v>
      </c>
      <c r="N388" s="50">
        <v>433461</v>
      </c>
      <c r="O388" s="50">
        <v>0</v>
      </c>
      <c r="P388" s="50">
        <v>0</v>
      </c>
      <c r="R388" s="50">
        <v>0</v>
      </c>
      <c r="S388" s="50">
        <v>0</v>
      </c>
      <c r="U388" s="50">
        <v>367340</v>
      </c>
      <c r="V388" s="50">
        <v>280</v>
      </c>
      <c r="W388" s="50" t="s">
        <v>14834</v>
      </c>
      <c r="X388" s="50" t="s">
        <v>102</v>
      </c>
      <c r="Y388" s="50" t="s">
        <v>103</v>
      </c>
      <c r="Z388" s="50" t="s">
        <v>398</v>
      </c>
      <c r="AB388" s="50" t="s">
        <v>11927</v>
      </c>
      <c r="AC388" s="50" t="s">
        <v>14835</v>
      </c>
      <c r="AD388" s="50" t="s">
        <v>12695</v>
      </c>
      <c r="AE388" s="50" t="s">
        <v>14835</v>
      </c>
      <c r="AF388" s="50" t="s">
        <v>12084</v>
      </c>
      <c r="AG388" s="50" t="s">
        <v>14836</v>
      </c>
      <c r="AH388" s="50" t="s">
        <v>109</v>
      </c>
      <c r="AI388" s="50" t="s">
        <v>102</v>
      </c>
      <c r="AJ388" s="50" t="s">
        <v>14837</v>
      </c>
      <c r="AK388" s="50" t="s">
        <v>8488</v>
      </c>
      <c r="AL388" s="50" t="s">
        <v>12729</v>
      </c>
      <c r="AM388" s="50" t="s">
        <v>14838</v>
      </c>
      <c r="AN388" s="50" t="s">
        <v>14839</v>
      </c>
      <c r="AO388" s="50" t="s">
        <v>14840</v>
      </c>
      <c r="AP388" s="50" t="s">
        <v>14841</v>
      </c>
      <c r="AQ388" s="50" t="s">
        <v>14841</v>
      </c>
      <c r="AV388" s="50" t="s">
        <v>102</v>
      </c>
      <c r="AX388" s="50" t="s">
        <v>102</v>
      </c>
      <c r="AY388" s="50" t="s">
        <v>119</v>
      </c>
      <c r="BB388" s="50" t="s">
        <v>250</v>
      </c>
      <c r="BC388" s="50" t="s">
        <v>120</v>
      </c>
      <c r="BD388" s="50" t="s">
        <v>2327</v>
      </c>
      <c r="BE388" s="50" t="s">
        <v>730</v>
      </c>
      <c r="BF388" s="50" t="s">
        <v>622</v>
      </c>
      <c r="BG388" s="50" t="s">
        <v>730</v>
      </c>
      <c r="BH388" s="50" t="s">
        <v>124</v>
      </c>
      <c r="BI388" s="50" t="s">
        <v>12492</v>
      </c>
      <c r="BJ388" s="50" t="s">
        <v>14842</v>
      </c>
      <c r="BK388" s="50" t="s">
        <v>127</v>
      </c>
      <c r="BL388" s="50" t="s">
        <v>14843</v>
      </c>
      <c r="BM388" s="50" t="s">
        <v>4588</v>
      </c>
      <c r="BN388" s="50" t="s">
        <v>14844</v>
      </c>
      <c r="BO388" s="50" t="s">
        <v>12711</v>
      </c>
      <c r="BP388" s="50" t="s">
        <v>734</v>
      </c>
      <c r="BQ388" s="50" t="s">
        <v>350</v>
      </c>
      <c r="BR388" s="50" t="s">
        <v>735</v>
      </c>
      <c r="BS388" s="50" t="s">
        <v>736</v>
      </c>
      <c r="BT388" s="50" t="s">
        <v>737</v>
      </c>
      <c r="BV388" s="50" t="s">
        <v>14845</v>
      </c>
      <c r="BW388" s="50" t="s">
        <v>14846</v>
      </c>
      <c r="BX388" s="50" t="s">
        <v>569</v>
      </c>
      <c r="BY388" s="50" t="s">
        <v>14847</v>
      </c>
      <c r="BZ388" s="50" t="s">
        <v>14848</v>
      </c>
      <c r="CA388" s="50" t="s">
        <v>4594</v>
      </c>
      <c r="CB388" s="50" t="s">
        <v>14849</v>
      </c>
      <c r="CC388" s="50" t="s">
        <v>14850</v>
      </c>
      <c r="CD388" s="50" t="s">
        <v>14851</v>
      </c>
      <c r="CE388" s="50" t="s">
        <v>14849</v>
      </c>
      <c r="CF388" s="50" t="s">
        <v>14850</v>
      </c>
      <c r="CG388" s="50" t="s">
        <v>14851</v>
      </c>
      <c r="CH388" s="50" t="s">
        <v>573</v>
      </c>
      <c r="CI388" s="50" t="s">
        <v>14852</v>
      </c>
      <c r="CK388" s="50" t="s">
        <v>4602</v>
      </c>
      <c r="CL388" s="50" t="s">
        <v>4604</v>
      </c>
      <c r="CM388" s="50" t="s">
        <v>2327</v>
      </c>
      <c r="CN388" s="50" t="s">
        <v>730</v>
      </c>
      <c r="CO388" s="50" t="s">
        <v>4602</v>
      </c>
      <c r="CP388" s="50" t="s">
        <v>4603</v>
      </c>
      <c r="CQ388" s="50" t="s">
        <v>4604</v>
      </c>
      <c r="CR388" s="50" t="s">
        <v>4604</v>
      </c>
    </row>
    <row r="389" spans="1:97" hidden="1">
      <c r="A389" s="50" t="s">
        <v>149</v>
      </c>
      <c r="B389" s="50">
        <v>1131322</v>
      </c>
      <c r="C389" s="50" t="e">
        <f>VLOOKUP(B389,'Drop schools 2026'!B:C,2,0)</f>
        <v>#N/A</v>
      </c>
      <c r="D389" s="50" t="s">
        <v>212</v>
      </c>
      <c r="E389" s="50" t="s">
        <v>11995</v>
      </c>
      <c r="F389" s="50" t="s">
        <v>516</v>
      </c>
      <c r="G389" s="50" t="e">
        <f>VLOOKUP(B389,aa!B:F,5,0)</f>
        <v>#N/A</v>
      </c>
      <c r="H389" s="50" t="e">
        <f>VLOOKUP(B389,aa!B:J,9,0)</f>
        <v>#N/A</v>
      </c>
      <c r="I389" s="50" t="e">
        <f>VLOOKUP(B389,aa!B:L,11,0)</f>
        <v>#N/A</v>
      </c>
      <c r="J389" s="50" t="e">
        <f>VLOOKUP(B389,aa!B:O,14,0)</f>
        <v>#N/A</v>
      </c>
      <c r="K389" s="50" t="e">
        <f>VLOOKUP(B389,aa!B:R,17,0)</f>
        <v>#N/A</v>
      </c>
      <c r="L389" s="50" t="s">
        <v>97</v>
      </c>
      <c r="M389" s="50">
        <v>360715</v>
      </c>
      <c r="N389" s="50">
        <v>360715</v>
      </c>
      <c r="O389" s="50">
        <v>360715</v>
      </c>
      <c r="P389" s="50">
        <v>633</v>
      </c>
      <c r="Q389" s="50" t="s">
        <v>519</v>
      </c>
      <c r="R389" s="50">
        <v>0</v>
      </c>
      <c r="S389" s="50">
        <v>0</v>
      </c>
      <c r="U389" s="50">
        <v>0</v>
      </c>
      <c r="V389" s="50">
        <v>0</v>
      </c>
      <c r="X389" s="50" t="s">
        <v>102</v>
      </c>
      <c r="Y389" s="50" t="s">
        <v>275</v>
      </c>
      <c r="AA389" s="50" t="s">
        <v>3679</v>
      </c>
      <c r="AB389" s="50" t="s">
        <v>109</v>
      </c>
      <c r="AC389" s="50" t="s">
        <v>102</v>
      </c>
      <c r="AD389" s="50" t="s">
        <v>109</v>
      </c>
      <c r="AE389" s="50" t="s">
        <v>102</v>
      </c>
      <c r="AF389" s="50" t="s">
        <v>109</v>
      </c>
      <c r="AG389" s="50" t="s">
        <v>102</v>
      </c>
      <c r="AH389" s="50" t="s">
        <v>109</v>
      </c>
      <c r="AI389" s="50" t="s">
        <v>102</v>
      </c>
      <c r="AJ389" s="50" t="s">
        <v>12144</v>
      </c>
      <c r="AK389" s="50" t="s">
        <v>12145</v>
      </c>
      <c r="AL389" s="50" t="s">
        <v>12145</v>
      </c>
      <c r="AM389" s="50" t="s">
        <v>12146</v>
      </c>
      <c r="AN389" s="50" t="s">
        <v>12147</v>
      </c>
      <c r="AO389" s="50" t="s">
        <v>1205</v>
      </c>
      <c r="AP389" s="50" t="s">
        <v>12148</v>
      </c>
      <c r="AQ389" s="50" t="s">
        <v>12148</v>
      </c>
      <c r="AV389" s="50" t="s">
        <v>318</v>
      </c>
      <c r="AW389" s="50" t="s">
        <v>118</v>
      </c>
      <c r="AX389" s="50" t="s">
        <v>102</v>
      </c>
      <c r="AY389" s="50" t="s">
        <v>119</v>
      </c>
      <c r="BC389" s="50" t="s">
        <v>120</v>
      </c>
      <c r="BD389" s="50" t="s">
        <v>284</v>
      </c>
      <c r="BE389" s="50" t="s">
        <v>285</v>
      </c>
      <c r="BF389" s="50" t="s">
        <v>212</v>
      </c>
      <c r="BG389" s="50" t="s">
        <v>286</v>
      </c>
      <c r="BH389" s="50" t="s">
        <v>124</v>
      </c>
      <c r="BI389" s="50" t="s">
        <v>11959</v>
      </c>
      <c r="BJ389" s="50" t="s">
        <v>11889</v>
      </c>
      <c r="BK389" s="50" t="s">
        <v>127</v>
      </c>
      <c r="BL389" s="50" t="s">
        <v>12149</v>
      </c>
      <c r="BM389" s="50" t="s">
        <v>527</v>
      </c>
      <c r="BN389" s="50" t="s">
        <v>12150</v>
      </c>
      <c r="BO389" s="50" t="s">
        <v>12128</v>
      </c>
      <c r="BP389" s="50" t="s">
        <v>956</v>
      </c>
      <c r="BQ389" s="50" t="s">
        <v>132</v>
      </c>
      <c r="BR389" s="50" t="s">
        <v>958</v>
      </c>
      <c r="BS389" s="50" t="s">
        <v>959</v>
      </c>
      <c r="BT389" s="50" t="s">
        <v>293</v>
      </c>
      <c r="BV389" s="50" t="s">
        <v>12151</v>
      </c>
      <c r="BW389" s="50" t="s">
        <v>12152</v>
      </c>
      <c r="BX389" s="50" t="s">
        <v>138</v>
      </c>
      <c r="BY389" s="50" t="s">
        <v>12153</v>
      </c>
      <c r="BZ389" s="50" t="s">
        <v>532</v>
      </c>
      <c r="CB389" s="50" t="s">
        <v>12152</v>
      </c>
      <c r="CC389" s="50" t="s">
        <v>12153</v>
      </c>
      <c r="CD389" s="50" t="s">
        <v>532</v>
      </c>
      <c r="CE389" s="50" t="s">
        <v>12152</v>
      </c>
      <c r="CF389" s="50" t="s">
        <v>12153</v>
      </c>
      <c r="CG389" s="50" t="s">
        <v>532</v>
      </c>
      <c r="CH389" s="50" t="s">
        <v>102</v>
      </c>
      <c r="CI389" s="50" t="s">
        <v>538</v>
      </c>
      <c r="CK389" s="50" t="s">
        <v>539</v>
      </c>
      <c r="CM389" s="50" t="s">
        <v>284</v>
      </c>
      <c r="CN389" s="50" t="s">
        <v>285</v>
      </c>
      <c r="CO389" s="50" t="s">
        <v>539</v>
      </c>
      <c r="CP389" s="50" t="s">
        <v>540</v>
      </c>
      <c r="CQ389" s="50" t="s">
        <v>538</v>
      </c>
      <c r="CR389" s="50" t="s">
        <v>538</v>
      </c>
      <c r="CS389" s="50" t="s">
        <v>26043</v>
      </c>
    </row>
    <row r="390" spans="1:97" hidden="1">
      <c r="A390" s="50" t="s">
        <v>337</v>
      </c>
      <c r="B390" s="50">
        <v>119874</v>
      </c>
      <c r="C390" s="50" t="e">
        <f>VLOOKUP(B390,'Drop schools 2026'!B:C,2,0)</f>
        <v>#N/A</v>
      </c>
      <c r="D390" s="50" t="s">
        <v>174</v>
      </c>
      <c r="E390" s="50" t="s">
        <v>12096</v>
      </c>
      <c r="F390" s="50" t="s">
        <v>12243</v>
      </c>
      <c r="G390" s="50" t="str">
        <f>VLOOKUP(B390,aa!B:F,5,0)</f>
        <v>Ei Mindspark</v>
      </c>
      <c r="H390" s="50">
        <f>VLOOKUP(B390,aa!B:J,9,0)</f>
        <v>602572</v>
      </c>
      <c r="I390" s="50">
        <f>VLOOKUP(B390,aa!B:L,11,0)</f>
        <v>0</v>
      </c>
      <c r="J390" s="50">
        <f>VLOOKUP(B390,aa!B:O,14,0)</f>
        <v>0</v>
      </c>
      <c r="K390" s="50">
        <f>VLOOKUP(B390,aa!B:R,17,0)</f>
        <v>602572</v>
      </c>
      <c r="L390" s="50" t="s">
        <v>848</v>
      </c>
      <c r="M390" s="50">
        <v>360272</v>
      </c>
      <c r="N390" s="50">
        <v>425121</v>
      </c>
      <c r="O390" s="50">
        <v>0</v>
      </c>
      <c r="P390" s="50">
        <v>0</v>
      </c>
      <c r="R390" s="50">
        <v>0</v>
      </c>
      <c r="S390" s="50">
        <v>0</v>
      </c>
      <c r="U390" s="50">
        <v>360272</v>
      </c>
      <c r="V390" s="50">
        <v>250</v>
      </c>
      <c r="W390" s="50" t="s">
        <v>4082</v>
      </c>
      <c r="X390" s="50" t="s">
        <v>102</v>
      </c>
      <c r="Y390" s="50" t="s">
        <v>103</v>
      </c>
      <c r="Z390" s="50" t="s">
        <v>155</v>
      </c>
      <c r="AB390" s="50" t="s">
        <v>12023</v>
      </c>
      <c r="AC390" s="50" t="s">
        <v>12244</v>
      </c>
      <c r="AD390" s="50" t="s">
        <v>11976</v>
      </c>
      <c r="AE390" s="50" t="s">
        <v>12244</v>
      </c>
      <c r="AF390" s="50" t="s">
        <v>5651</v>
      </c>
      <c r="AG390" s="50" t="s">
        <v>12244</v>
      </c>
      <c r="AH390" s="50" t="s">
        <v>12084</v>
      </c>
      <c r="AI390" s="50" t="s">
        <v>12244</v>
      </c>
      <c r="AJ390" s="50" t="s">
        <v>12245</v>
      </c>
      <c r="AK390" s="50" t="s">
        <v>8186</v>
      </c>
      <c r="AL390" s="50" t="s">
        <v>12086</v>
      </c>
      <c r="AM390" s="50" t="s">
        <v>12246</v>
      </c>
      <c r="AN390" s="50" t="s">
        <v>12247</v>
      </c>
      <c r="AO390" s="50" t="s">
        <v>12248</v>
      </c>
      <c r="AP390" s="50" t="s">
        <v>12249</v>
      </c>
      <c r="AQ390" s="50" t="s">
        <v>12249</v>
      </c>
      <c r="AV390" s="50" t="s">
        <v>102</v>
      </c>
      <c r="AX390" s="50" t="s">
        <v>102</v>
      </c>
      <c r="AY390" s="50" t="s">
        <v>119</v>
      </c>
      <c r="BB390" s="50" t="s">
        <v>250</v>
      </c>
      <c r="BC390" s="50" t="s">
        <v>171</v>
      </c>
      <c r="BD390" s="50" t="s">
        <v>375</v>
      </c>
      <c r="BE390" s="50" t="s">
        <v>376</v>
      </c>
      <c r="BF390" s="50" t="s">
        <v>174</v>
      </c>
      <c r="BG390" s="50" t="s">
        <v>376</v>
      </c>
      <c r="BH390" s="50" t="s">
        <v>124</v>
      </c>
      <c r="BI390" s="50" t="s">
        <v>6341</v>
      </c>
      <c r="BJ390" s="50" t="s">
        <v>12250</v>
      </c>
      <c r="BK390" s="50" t="s">
        <v>127</v>
      </c>
      <c r="BL390" s="50" t="s">
        <v>12251</v>
      </c>
      <c r="BM390" s="50" t="s">
        <v>12252</v>
      </c>
      <c r="BN390" s="50" t="s">
        <v>12253</v>
      </c>
      <c r="BO390" s="50" t="s">
        <v>3988</v>
      </c>
      <c r="BP390" s="50" t="s">
        <v>6926</v>
      </c>
      <c r="BQ390" s="50" t="s">
        <v>180</v>
      </c>
      <c r="BR390" s="50" t="s">
        <v>6927</v>
      </c>
      <c r="BS390" s="50" t="s">
        <v>6928</v>
      </c>
      <c r="BT390" s="50" t="s">
        <v>1858</v>
      </c>
      <c r="BV390" s="50" t="s">
        <v>12254</v>
      </c>
      <c r="BW390" s="50" t="s">
        <v>12255</v>
      </c>
      <c r="BX390" s="50" t="s">
        <v>598</v>
      </c>
      <c r="BY390" s="50" t="s">
        <v>12256</v>
      </c>
      <c r="BZ390" s="50" t="s">
        <v>12257</v>
      </c>
      <c r="CA390" s="50" t="s">
        <v>12258</v>
      </c>
      <c r="CB390" s="50" t="s">
        <v>12259</v>
      </c>
      <c r="CC390" s="50" t="s">
        <v>12260</v>
      </c>
      <c r="CD390" s="50" t="s">
        <v>12261</v>
      </c>
      <c r="CE390" s="50" t="s">
        <v>12259</v>
      </c>
      <c r="CF390" s="50" t="s">
        <v>12260</v>
      </c>
      <c r="CG390" s="50" t="s">
        <v>12261</v>
      </c>
      <c r="CH390" s="50" t="s">
        <v>12262</v>
      </c>
      <c r="CI390" s="50" t="s">
        <v>12263</v>
      </c>
      <c r="CK390" s="50" t="s">
        <v>12264</v>
      </c>
      <c r="CL390" s="50" t="s">
        <v>12263</v>
      </c>
      <c r="CM390" s="50" t="s">
        <v>375</v>
      </c>
      <c r="CN390" s="50" t="s">
        <v>376</v>
      </c>
      <c r="CO390" s="50" t="s">
        <v>12264</v>
      </c>
      <c r="CP390" s="50" t="s">
        <v>12265</v>
      </c>
      <c r="CQ390" s="50" t="s">
        <v>12263</v>
      </c>
      <c r="CR390" s="50" t="s">
        <v>12263</v>
      </c>
    </row>
    <row r="391" spans="1:97" hidden="1">
      <c r="A391" s="50" t="s">
        <v>149</v>
      </c>
      <c r="B391" s="50">
        <v>3848229</v>
      </c>
      <c r="C391" s="50" t="e">
        <f>VLOOKUP(B391,'Drop schools 2026'!B:C,2,0)</f>
        <v>#N/A</v>
      </c>
      <c r="D391" s="50" t="s">
        <v>212</v>
      </c>
      <c r="E391" s="50" t="s">
        <v>11995</v>
      </c>
      <c r="F391" s="50" t="s">
        <v>7674</v>
      </c>
      <c r="G391" s="50" t="e">
        <f>VLOOKUP(B391,aa!B:F,5,0)</f>
        <v>#N/A</v>
      </c>
      <c r="H391" s="50" t="e">
        <f>VLOOKUP(B391,aa!B:J,9,0)</f>
        <v>#N/A</v>
      </c>
      <c r="I391" s="50" t="e">
        <f>VLOOKUP(B391,aa!B:L,11,0)</f>
        <v>#N/A</v>
      </c>
      <c r="J391" s="50" t="e">
        <f>VLOOKUP(B391,aa!B:O,14,0)</f>
        <v>#N/A</v>
      </c>
      <c r="K391" s="50" t="e">
        <f>VLOOKUP(B391,aa!B:R,17,0)</f>
        <v>#N/A</v>
      </c>
      <c r="L391" s="50" t="s">
        <v>97</v>
      </c>
      <c r="M391" s="50">
        <v>360145</v>
      </c>
      <c r="N391" s="50">
        <v>360145</v>
      </c>
      <c r="O391" s="50">
        <v>360145</v>
      </c>
      <c r="P391" s="50">
        <v>632</v>
      </c>
      <c r="Q391" s="50" t="s">
        <v>519</v>
      </c>
      <c r="R391" s="50">
        <v>0</v>
      </c>
      <c r="S391" s="50">
        <v>0</v>
      </c>
      <c r="U391" s="50">
        <v>0</v>
      </c>
      <c r="V391" s="50">
        <v>0</v>
      </c>
      <c r="X391" s="50" t="s">
        <v>102</v>
      </c>
      <c r="Y391" s="50" t="s">
        <v>275</v>
      </c>
      <c r="AA391" s="50" t="s">
        <v>3679</v>
      </c>
      <c r="AB391" s="50" t="s">
        <v>109</v>
      </c>
      <c r="AC391" s="50" t="s">
        <v>102</v>
      </c>
      <c r="AD391" s="50" t="s">
        <v>109</v>
      </c>
      <c r="AE391" s="50" t="s">
        <v>102</v>
      </c>
      <c r="AF391" s="50" t="s">
        <v>109</v>
      </c>
      <c r="AG391" s="50" t="s">
        <v>102</v>
      </c>
      <c r="AH391" s="50" t="s">
        <v>109</v>
      </c>
      <c r="AI391" s="50" t="s">
        <v>102</v>
      </c>
      <c r="AJ391" s="50" t="s">
        <v>17142</v>
      </c>
      <c r="AK391" s="50" t="s">
        <v>12145</v>
      </c>
      <c r="AL391" s="50" t="s">
        <v>12145</v>
      </c>
      <c r="AM391" s="50" t="s">
        <v>17143</v>
      </c>
      <c r="AN391" s="50" t="s">
        <v>17144</v>
      </c>
      <c r="AO391" s="50" t="s">
        <v>102</v>
      </c>
      <c r="AP391" s="50" t="s">
        <v>12148</v>
      </c>
      <c r="AQ391" s="50" t="s">
        <v>12148</v>
      </c>
      <c r="AV391" s="50" t="s">
        <v>318</v>
      </c>
      <c r="AW391" s="50" t="s">
        <v>118</v>
      </c>
      <c r="AX391" s="50" t="s">
        <v>102</v>
      </c>
      <c r="AY391" s="50" t="s">
        <v>119</v>
      </c>
      <c r="BC391" s="50" t="s">
        <v>120</v>
      </c>
      <c r="BD391" s="50" t="s">
        <v>284</v>
      </c>
      <c r="BE391" s="50" t="s">
        <v>285</v>
      </c>
      <c r="BF391" s="50" t="s">
        <v>212</v>
      </c>
      <c r="BG391" s="50" t="s">
        <v>286</v>
      </c>
      <c r="BH391" s="50" t="s">
        <v>124</v>
      </c>
      <c r="BI391" s="50" t="s">
        <v>11959</v>
      </c>
      <c r="BJ391" s="50" t="s">
        <v>11889</v>
      </c>
      <c r="BK391" s="50" t="s">
        <v>127</v>
      </c>
      <c r="BL391" s="50" t="s">
        <v>17145</v>
      </c>
      <c r="BM391" s="50" t="s">
        <v>7680</v>
      </c>
      <c r="BN391" s="50" t="s">
        <v>17146</v>
      </c>
      <c r="BO391" s="50" t="s">
        <v>12128</v>
      </c>
      <c r="BP391" s="50" t="s">
        <v>956</v>
      </c>
      <c r="BQ391" s="50" t="s">
        <v>132</v>
      </c>
      <c r="BR391" s="50" t="s">
        <v>958</v>
      </c>
      <c r="BS391" s="50" t="s">
        <v>959</v>
      </c>
      <c r="BT391" s="50" t="s">
        <v>293</v>
      </c>
      <c r="BV391" s="50" t="s">
        <v>17147</v>
      </c>
      <c r="BW391" s="50" t="s">
        <v>17148</v>
      </c>
      <c r="BX391" s="50" t="s">
        <v>569</v>
      </c>
      <c r="BY391" s="50" t="s">
        <v>17149</v>
      </c>
      <c r="BZ391" s="50" t="s">
        <v>17150</v>
      </c>
      <c r="CB391" s="50" t="s">
        <v>17148</v>
      </c>
      <c r="CC391" s="50" t="s">
        <v>17149</v>
      </c>
      <c r="CD391" s="50" t="s">
        <v>17150</v>
      </c>
      <c r="CE391" s="50" t="s">
        <v>17148</v>
      </c>
      <c r="CF391" s="50" t="s">
        <v>17149</v>
      </c>
      <c r="CG391" s="50" t="s">
        <v>17150</v>
      </c>
      <c r="CH391" s="50" t="s">
        <v>102</v>
      </c>
      <c r="CI391" s="50" t="s">
        <v>7688</v>
      </c>
      <c r="CK391" s="50" t="s">
        <v>7689</v>
      </c>
      <c r="CM391" s="50" t="s">
        <v>284</v>
      </c>
      <c r="CN391" s="50" t="s">
        <v>285</v>
      </c>
      <c r="CO391" s="50" t="s">
        <v>7689</v>
      </c>
      <c r="CP391" s="50" t="s">
        <v>6500</v>
      </c>
      <c r="CQ391" s="50" t="s">
        <v>7688</v>
      </c>
      <c r="CR391" s="50" t="s">
        <v>7688</v>
      </c>
      <c r="CS391" s="50" t="s">
        <v>26043</v>
      </c>
    </row>
    <row r="392" spans="1:97" hidden="1">
      <c r="A392" s="50" t="s">
        <v>149</v>
      </c>
      <c r="B392" s="50">
        <v>209833</v>
      </c>
      <c r="C392" s="50" t="str">
        <f>VLOOKUP(B392,'Drop schools 2026'!B:C,2,0)</f>
        <v>Drop</v>
      </c>
      <c r="D392" s="50" t="s">
        <v>622</v>
      </c>
      <c r="E392" s="50" t="s">
        <v>2525</v>
      </c>
      <c r="F392" s="50" t="s">
        <v>2671</v>
      </c>
      <c r="G392" s="50" t="e">
        <f>VLOOKUP(B392,aa!B:F,5,0)</f>
        <v>#N/A</v>
      </c>
      <c r="H392" s="50" t="e">
        <f>VLOOKUP(B392,aa!B:J,9,0)</f>
        <v>#N/A</v>
      </c>
      <c r="I392" s="50" t="e">
        <f>VLOOKUP(B392,aa!B:L,11,0)</f>
        <v>#N/A</v>
      </c>
      <c r="J392" s="50" t="e">
        <f>VLOOKUP(B392,aa!B:O,14,0)</f>
        <v>#N/A</v>
      </c>
      <c r="K392" s="50" t="e">
        <f>VLOOKUP(B392,aa!B:R,17,0)</f>
        <v>#N/A</v>
      </c>
      <c r="L392" s="50" t="s">
        <v>152</v>
      </c>
      <c r="M392" s="50">
        <v>360030</v>
      </c>
      <c r="N392" s="50">
        <v>360030</v>
      </c>
      <c r="O392" s="50">
        <v>0</v>
      </c>
      <c r="P392" s="50">
        <v>0</v>
      </c>
      <c r="R392" s="50">
        <v>360030</v>
      </c>
      <c r="S392" s="50">
        <v>150</v>
      </c>
      <c r="T392" s="50" t="s">
        <v>4372</v>
      </c>
      <c r="U392" s="50">
        <v>0</v>
      </c>
      <c r="V392" s="50">
        <v>0</v>
      </c>
      <c r="X392" s="50" t="s">
        <v>102</v>
      </c>
      <c r="Y392" s="50" t="s">
        <v>103</v>
      </c>
      <c r="Z392" s="50" t="s">
        <v>104</v>
      </c>
      <c r="AB392" s="50" t="s">
        <v>12023</v>
      </c>
      <c r="AC392" s="50" t="s">
        <v>13528</v>
      </c>
      <c r="AD392" s="50" t="s">
        <v>12496</v>
      </c>
      <c r="AE392" s="50" t="s">
        <v>13528</v>
      </c>
      <c r="AF392" s="50" t="s">
        <v>109</v>
      </c>
      <c r="AG392" s="50" t="s">
        <v>102</v>
      </c>
      <c r="AH392" s="50" t="s">
        <v>109</v>
      </c>
      <c r="AI392" s="50" t="s">
        <v>102</v>
      </c>
      <c r="AJ392" s="50" t="s">
        <v>102</v>
      </c>
      <c r="AK392" s="50" t="s">
        <v>4836</v>
      </c>
      <c r="AL392" s="50" t="s">
        <v>13529</v>
      </c>
      <c r="AM392" s="50" t="s">
        <v>13530</v>
      </c>
      <c r="AN392" s="50" t="s">
        <v>13531</v>
      </c>
      <c r="AO392" s="50" t="s">
        <v>13532</v>
      </c>
      <c r="AP392" s="50" t="s">
        <v>4378</v>
      </c>
      <c r="AQ392" s="50" t="s">
        <v>13533</v>
      </c>
      <c r="AU392" s="50" t="s">
        <v>169</v>
      </c>
      <c r="AV392" s="50" t="s">
        <v>102</v>
      </c>
      <c r="AX392" s="50" t="s">
        <v>155</v>
      </c>
      <c r="AY392" s="50" t="s">
        <v>119</v>
      </c>
      <c r="AZ392" s="50" t="s">
        <v>170</v>
      </c>
      <c r="BA392" s="50" t="s">
        <v>118</v>
      </c>
      <c r="BC392" s="50" t="s">
        <v>171</v>
      </c>
      <c r="BD392" s="50" t="s">
        <v>729</v>
      </c>
      <c r="BE392" s="50" t="s">
        <v>730</v>
      </c>
      <c r="BF392" s="50" t="s">
        <v>622</v>
      </c>
      <c r="BG392" s="50" t="s">
        <v>730</v>
      </c>
      <c r="BH392" s="50" t="s">
        <v>124</v>
      </c>
      <c r="BI392" s="50" t="s">
        <v>12023</v>
      </c>
      <c r="BJ392" s="50" t="s">
        <v>11889</v>
      </c>
      <c r="BK392" s="50" t="s">
        <v>127</v>
      </c>
      <c r="BL392" s="50" t="s">
        <v>13534</v>
      </c>
      <c r="BM392" s="50" t="s">
        <v>2685</v>
      </c>
      <c r="BN392" s="50" t="s">
        <v>13535</v>
      </c>
      <c r="BO392" s="50" t="s">
        <v>13527</v>
      </c>
      <c r="BP392" s="50" t="s">
        <v>3606</v>
      </c>
      <c r="BQ392" s="50" t="s">
        <v>505</v>
      </c>
      <c r="BR392" s="50" t="s">
        <v>3607</v>
      </c>
      <c r="BS392" s="50" t="s">
        <v>3608</v>
      </c>
      <c r="BT392" s="50" t="s">
        <v>2569</v>
      </c>
      <c r="BV392" s="50" t="s">
        <v>13536</v>
      </c>
      <c r="BW392" s="50" t="s">
        <v>13537</v>
      </c>
      <c r="BX392" s="50" t="s">
        <v>138</v>
      </c>
      <c r="BY392" s="50" t="s">
        <v>13538</v>
      </c>
      <c r="BZ392" s="50" t="s">
        <v>2690</v>
      </c>
      <c r="CA392" s="50" t="s">
        <v>2691</v>
      </c>
      <c r="CB392" s="50" t="s">
        <v>2688</v>
      </c>
      <c r="CC392" s="50" t="s">
        <v>2689</v>
      </c>
      <c r="CD392" s="50" t="s">
        <v>13539</v>
      </c>
      <c r="CE392" s="50" t="s">
        <v>2692</v>
      </c>
      <c r="CF392" s="50" t="s">
        <v>2693</v>
      </c>
      <c r="CG392" s="50" t="s">
        <v>2694</v>
      </c>
      <c r="CH392" s="50" t="s">
        <v>907</v>
      </c>
      <c r="CI392" s="50" t="s">
        <v>2695</v>
      </c>
      <c r="CK392" s="50" t="s">
        <v>2696</v>
      </c>
      <c r="CL392" s="50" t="s">
        <v>13540</v>
      </c>
      <c r="CM392" s="50" t="s">
        <v>729</v>
      </c>
      <c r="CN392" s="50" t="s">
        <v>730</v>
      </c>
      <c r="CO392" s="50" t="s">
        <v>2696</v>
      </c>
      <c r="CQ392" s="50" t="s">
        <v>2695</v>
      </c>
      <c r="CR392" s="50" t="s">
        <v>2695</v>
      </c>
      <c r="CS392" s="50" t="s">
        <v>26046</v>
      </c>
    </row>
    <row r="393" spans="1:97" hidden="1">
      <c r="A393" s="50" t="s">
        <v>93</v>
      </c>
      <c r="B393" s="50">
        <v>1644219</v>
      </c>
      <c r="C393" s="50" t="e">
        <f>VLOOKUP(B393,'Drop schools 2026'!B:C,2,0)</f>
        <v>#N/A</v>
      </c>
      <c r="D393" s="50" t="s">
        <v>122</v>
      </c>
      <c r="E393" s="50" t="s">
        <v>12030</v>
      </c>
      <c r="F393" s="50" t="s">
        <v>1396</v>
      </c>
      <c r="G393" s="50" t="str">
        <f>VLOOKUP(B393,aa!B:F,5,0)</f>
        <v>Ei Mindspark</v>
      </c>
      <c r="H393" s="50">
        <f>VLOOKUP(B393,aa!B:J,9,0)</f>
        <v>362052</v>
      </c>
      <c r="I393" s="50">
        <f>VLOOKUP(B393,aa!B:L,11,0)</f>
        <v>0</v>
      </c>
      <c r="J393" s="50">
        <f>VLOOKUP(B393,aa!B:O,14,0)</f>
        <v>0</v>
      </c>
      <c r="K393" s="50">
        <f>VLOOKUP(B393,aa!B:R,17,0)</f>
        <v>362052</v>
      </c>
      <c r="L393" s="50" t="s">
        <v>848</v>
      </c>
      <c r="M393" s="50">
        <v>360018</v>
      </c>
      <c r="N393" s="50">
        <v>424821</v>
      </c>
      <c r="O393" s="50">
        <v>0</v>
      </c>
      <c r="P393" s="50">
        <v>0</v>
      </c>
      <c r="R393" s="50">
        <v>0</v>
      </c>
      <c r="S393" s="50">
        <v>0</v>
      </c>
      <c r="U393" s="50">
        <v>360018</v>
      </c>
      <c r="V393" s="50">
        <v>177</v>
      </c>
      <c r="W393" s="50" t="s">
        <v>1399</v>
      </c>
      <c r="X393" s="50" t="s">
        <v>102</v>
      </c>
      <c r="Y393" s="50" t="s">
        <v>103</v>
      </c>
      <c r="Z393" s="50" t="s">
        <v>155</v>
      </c>
      <c r="AB393" s="50" t="s">
        <v>11976</v>
      </c>
      <c r="AC393" s="50" t="s">
        <v>12712</v>
      </c>
      <c r="AD393" s="50" t="s">
        <v>12427</v>
      </c>
      <c r="AE393" s="50" t="s">
        <v>12712</v>
      </c>
      <c r="AF393" s="50" t="s">
        <v>12327</v>
      </c>
      <c r="AG393" s="50" t="s">
        <v>12712</v>
      </c>
      <c r="AH393" s="50" t="s">
        <v>12713</v>
      </c>
      <c r="AI393" s="50" t="s">
        <v>12712</v>
      </c>
      <c r="AJ393" s="50" t="s">
        <v>12714</v>
      </c>
      <c r="AK393" s="50" t="s">
        <v>12715</v>
      </c>
      <c r="AL393" s="50" t="s">
        <v>12716</v>
      </c>
      <c r="AM393" s="50" t="s">
        <v>12717</v>
      </c>
      <c r="AN393" s="50" t="s">
        <v>12718</v>
      </c>
      <c r="AO393" s="50" t="s">
        <v>12719</v>
      </c>
      <c r="AP393" s="50" t="s">
        <v>317</v>
      </c>
      <c r="AQ393" s="50" t="s">
        <v>2147</v>
      </c>
      <c r="AU393" s="50" t="s">
        <v>169</v>
      </c>
      <c r="AV393" s="50" t="s">
        <v>102</v>
      </c>
      <c r="AX393" s="50" t="s">
        <v>102</v>
      </c>
      <c r="AY393" s="50" t="s">
        <v>119</v>
      </c>
      <c r="BB393" s="50" t="s">
        <v>250</v>
      </c>
      <c r="BC393" s="50" t="s">
        <v>120</v>
      </c>
      <c r="BD393" s="50" t="s">
        <v>1407</v>
      </c>
      <c r="BE393" s="50" t="s">
        <v>449</v>
      </c>
      <c r="BF393" s="50" t="s">
        <v>122</v>
      </c>
      <c r="BG393" s="50" t="s">
        <v>450</v>
      </c>
      <c r="BH393" s="50" t="s">
        <v>124</v>
      </c>
      <c r="BI393" s="50" t="s">
        <v>11976</v>
      </c>
      <c r="BJ393" s="50" t="s">
        <v>12720</v>
      </c>
      <c r="BK393" s="50" t="s">
        <v>127</v>
      </c>
      <c r="BL393" s="50" t="s">
        <v>12721</v>
      </c>
      <c r="BM393" s="50" t="s">
        <v>1410</v>
      </c>
      <c r="BN393" s="50" t="s">
        <v>12722</v>
      </c>
      <c r="BO393" s="50" t="s">
        <v>12711</v>
      </c>
      <c r="BP393" s="50" t="s">
        <v>131</v>
      </c>
      <c r="BQ393" s="50" t="s">
        <v>350</v>
      </c>
      <c r="BR393" s="50" t="s">
        <v>133</v>
      </c>
      <c r="BS393" s="50" t="s">
        <v>134</v>
      </c>
      <c r="BT393" s="50" t="s">
        <v>328</v>
      </c>
      <c r="BV393" s="50" t="s">
        <v>12723</v>
      </c>
      <c r="BW393" s="50" t="s">
        <v>12724</v>
      </c>
      <c r="BX393" s="50" t="s">
        <v>138</v>
      </c>
      <c r="BY393" s="50" t="s">
        <v>1414</v>
      </c>
      <c r="BZ393" s="50" t="s">
        <v>1415</v>
      </c>
      <c r="CA393" s="50" t="s">
        <v>1416</v>
      </c>
      <c r="CB393" s="50" t="s">
        <v>12724</v>
      </c>
      <c r="CC393" s="50" t="s">
        <v>1414</v>
      </c>
      <c r="CD393" s="50" t="s">
        <v>1415</v>
      </c>
      <c r="CE393" s="50" t="s">
        <v>12724</v>
      </c>
      <c r="CF393" s="50" t="s">
        <v>1414</v>
      </c>
      <c r="CG393" s="50" t="s">
        <v>1415</v>
      </c>
      <c r="CH393" s="50" t="s">
        <v>1417</v>
      </c>
      <c r="CI393" s="50" t="s">
        <v>12725</v>
      </c>
      <c r="CK393" s="50" t="s">
        <v>1419</v>
      </c>
      <c r="CL393" s="50" t="s">
        <v>12726</v>
      </c>
      <c r="CM393" s="50" t="s">
        <v>1407</v>
      </c>
      <c r="CN393" s="50" t="s">
        <v>449</v>
      </c>
      <c r="CO393" s="50" t="s">
        <v>1419</v>
      </c>
      <c r="CP393" s="50" t="s">
        <v>1420</v>
      </c>
      <c r="CQ393" s="50" t="s">
        <v>1418</v>
      </c>
      <c r="CR393" s="50" t="s">
        <v>1418</v>
      </c>
    </row>
    <row r="394" spans="1:97" hidden="1">
      <c r="A394" s="50" t="s">
        <v>337</v>
      </c>
      <c r="B394" s="50">
        <v>3856532</v>
      </c>
      <c r="C394" s="50" t="e">
        <f>VLOOKUP(B394,'Drop schools 2026'!B:C,2,0)</f>
        <v>#N/A</v>
      </c>
      <c r="D394" s="50" t="s">
        <v>212</v>
      </c>
      <c r="E394" s="50" t="s">
        <v>12423</v>
      </c>
      <c r="F394" s="50" t="s">
        <v>17151</v>
      </c>
      <c r="G394" s="50" t="e">
        <f>VLOOKUP(B394,aa!B:F,5,0)</f>
        <v>#N/A</v>
      </c>
      <c r="H394" s="50" t="e">
        <f>VLOOKUP(B394,aa!B:J,9,0)</f>
        <v>#N/A</v>
      </c>
      <c r="I394" s="50" t="e">
        <f>VLOOKUP(B394,aa!B:L,11,0)</f>
        <v>#N/A</v>
      </c>
      <c r="J394" s="50" t="e">
        <f>VLOOKUP(B394,aa!B:O,14,0)</f>
        <v>#N/A</v>
      </c>
      <c r="K394" s="50" t="e">
        <f>VLOOKUP(B394,aa!B:R,17,0)</f>
        <v>#N/A</v>
      </c>
      <c r="L394" s="50" t="s">
        <v>848</v>
      </c>
      <c r="M394" s="50">
        <v>359073</v>
      </c>
      <c r="N394" s="50">
        <v>423706</v>
      </c>
      <c r="O394" s="50">
        <v>0</v>
      </c>
      <c r="P394" s="50">
        <v>0</v>
      </c>
      <c r="R394" s="50">
        <v>0</v>
      </c>
      <c r="S394" s="50">
        <v>0</v>
      </c>
      <c r="U394" s="50">
        <v>359073</v>
      </c>
      <c r="V394" s="50">
        <v>353</v>
      </c>
      <c r="W394" s="50" t="s">
        <v>3924</v>
      </c>
      <c r="X394" s="50" t="s">
        <v>102</v>
      </c>
      <c r="Y394" s="50" t="s">
        <v>103</v>
      </c>
      <c r="Z394" s="50" t="s">
        <v>155</v>
      </c>
      <c r="AB394" s="50" t="s">
        <v>2911</v>
      </c>
      <c r="AC394" s="50" t="s">
        <v>17152</v>
      </c>
      <c r="AD394" s="50" t="s">
        <v>11932</v>
      </c>
      <c r="AE394" s="50" t="s">
        <v>17153</v>
      </c>
      <c r="AF394" s="50" t="s">
        <v>12467</v>
      </c>
      <c r="AG394" s="50" t="s">
        <v>17153</v>
      </c>
      <c r="AH394" s="50" t="s">
        <v>11952</v>
      </c>
      <c r="AI394" s="50" t="s">
        <v>17153</v>
      </c>
      <c r="AJ394" s="50" t="s">
        <v>102</v>
      </c>
      <c r="AK394" s="50" t="s">
        <v>404</v>
      </c>
      <c r="AL394" s="50" t="s">
        <v>10221</v>
      </c>
      <c r="AM394" s="50" t="s">
        <v>17154</v>
      </c>
      <c r="AN394" s="50" t="s">
        <v>17155</v>
      </c>
      <c r="AO394" s="50" t="s">
        <v>17156</v>
      </c>
      <c r="AP394" s="50" t="s">
        <v>2353</v>
      </c>
      <c r="AQ394" s="50" t="s">
        <v>2353</v>
      </c>
      <c r="AV394" s="50" t="s">
        <v>102</v>
      </c>
      <c r="AX394" s="50" t="s">
        <v>102</v>
      </c>
      <c r="AY394" s="50" t="s">
        <v>119</v>
      </c>
      <c r="BB394" s="50" t="s">
        <v>250</v>
      </c>
      <c r="BC394" s="50" t="s">
        <v>120</v>
      </c>
      <c r="BD394" s="50" t="s">
        <v>17157</v>
      </c>
      <c r="BE394" s="50" t="s">
        <v>410</v>
      </c>
      <c r="BF394" s="50" t="s">
        <v>212</v>
      </c>
      <c r="BG394" s="50" t="s">
        <v>410</v>
      </c>
      <c r="BH394" s="50" t="s">
        <v>124</v>
      </c>
      <c r="BI394" s="50" t="s">
        <v>12128</v>
      </c>
      <c r="BJ394" s="50" t="s">
        <v>17158</v>
      </c>
      <c r="BK394" s="50" t="s">
        <v>127</v>
      </c>
      <c r="BL394" s="50" t="s">
        <v>17159</v>
      </c>
      <c r="BM394" s="50" t="s">
        <v>17160</v>
      </c>
      <c r="BN394" s="50" t="s">
        <v>17161</v>
      </c>
      <c r="BO394" s="50" t="s">
        <v>1719</v>
      </c>
      <c r="BP394" s="50" t="s">
        <v>896</v>
      </c>
      <c r="BQ394" s="50" t="s">
        <v>132</v>
      </c>
      <c r="BR394" s="50" t="s">
        <v>897</v>
      </c>
      <c r="BS394" s="50" t="s">
        <v>898</v>
      </c>
      <c r="BT394" s="50" t="s">
        <v>899</v>
      </c>
      <c r="BV394" s="50" t="s">
        <v>17162</v>
      </c>
      <c r="BW394" s="50" t="s">
        <v>17163</v>
      </c>
      <c r="BX394" s="50" t="s">
        <v>354</v>
      </c>
      <c r="BY394" s="50" t="s">
        <v>17164</v>
      </c>
      <c r="BZ394" s="50" t="s">
        <v>17165</v>
      </c>
      <c r="CA394" s="50" t="s">
        <v>17166</v>
      </c>
      <c r="CB394" s="50" t="s">
        <v>17167</v>
      </c>
      <c r="CC394" s="50" t="s">
        <v>17166</v>
      </c>
      <c r="CD394" s="50" t="s">
        <v>17165</v>
      </c>
      <c r="CE394" s="50" t="s">
        <v>17168</v>
      </c>
      <c r="CF394" s="50" t="s">
        <v>17166</v>
      </c>
      <c r="CG394" s="50" t="s">
        <v>17165</v>
      </c>
      <c r="CH394" s="50" t="s">
        <v>2270</v>
      </c>
      <c r="CI394" s="50" t="s">
        <v>17169</v>
      </c>
      <c r="CK394" s="50" t="s">
        <v>17170</v>
      </c>
      <c r="CL394" s="50" t="s">
        <v>17171</v>
      </c>
      <c r="CM394" s="50" t="s">
        <v>17157</v>
      </c>
      <c r="CN394" s="50" t="s">
        <v>410</v>
      </c>
      <c r="CO394" s="50" t="s">
        <v>17170</v>
      </c>
      <c r="CQ394" s="50" t="s">
        <v>17172</v>
      </c>
      <c r="CR394" s="50" t="s">
        <v>17172</v>
      </c>
    </row>
    <row r="395" spans="1:97" hidden="1">
      <c r="A395" s="50" t="s">
        <v>149</v>
      </c>
      <c r="B395" s="50">
        <v>4001826</v>
      </c>
      <c r="C395" s="50" t="e">
        <f>VLOOKUP(B395,'Drop schools 2026'!B:C,2,0)</f>
        <v>#N/A</v>
      </c>
      <c r="D395" s="50" t="s">
        <v>122</v>
      </c>
      <c r="E395" s="50" t="s">
        <v>12121</v>
      </c>
      <c r="F395" s="50" t="s">
        <v>8532</v>
      </c>
      <c r="G395" s="50" t="e">
        <f>VLOOKUP(B395,aa!B:F,5,0)</f>
        <v>#N/A</v>
      </c>
      <c r="H395" s="50" t="e">
        <f>VLOOKUP(B395,aa!B:J,9,0)</f>
        <v>#N/A</v>
      </c>
      <c r="I395" s="50" t="e">
        <f>VLOOKUP(B395,aa!B:L,11,0)</f>
        <v>#N/A</v>
      </c>
      <c r="J395" s="50" t="e">
        <f>VLOOKUP(B395,aa!B:O,14,0)</f>
        <v>#N/A</v>
      </c>
      <c r="K395" s="50" t="e">
        <f>VLOOKUP(B395,aa!B:R,17,0)</f>
        <v>#N/A</v>
      </c>
      <c r="L395" s="50" t="s">
        <v>152</v>
      </c>
      <c r="M395" s="50">
        <v>358800</v>
      </c>
      <c r="N395" s="50">
        <v>358800</v>
      </c>
      <c r="O395" s="50">
        <v>0</v>
      </c>
      <c r="P395" s="50">
        <v>0</v>
      </c>
      <c r="R395" s="50">
        <v>358800</v>
      </c>
      <c r="S395" s="50">
        <v>276</v>
      </c>
      <c r="T395" s="50" t="s">
        <v>8534</v>
      </c>
      <c r="U395" s="50">
        <v>0</v>
      </c>
      <c r="V395" s="50">
        <v>0</v>
      </c>
      <c r="X395" s="50" t="s">
        <v>102</v>
      </c>
      <c r="Y395" s="50" t="s">
        <v>103</v>
      </c>
      <c r="Z395" s="50" t="s">
        <v>155</v>
      </c>
      <c r="AB395" s="50" t="s">
        <v>11959</v>
      </c>
      <c r="AC395" s="50" t="s">
        <v>17924</v>
      </c>
      <c r="AD395" s="50" t="s">
        <v>12082</v>
      </c>
      <c r="AE395" s="50" t="s">
        <v>17924</v>
      </c>
      <c r="AF395" s="50" t="s">
        <v>11888</v>
      </c>
      <c r="AG395" s="50" t="s">
        <v>17924</v>
      </c>
      <c r="AH395" s="50" t="s">
        <v>12084</v>
      </c>
      <c r="AI395" s="50" t="s">
        <v>17924</v>
      </c>
      <c r="AJ395" s="50" t="s">
        <v>102</v>
      </c>
      <c r="AK395" s="50" t="s">
        <v>15733</v>
      </c>
      <c r="AL395" s="50" t="s">
        <v>13964</v>
      </c>
      <c r="AM395" s="50" t="s">
        <v>17925</v>
      </c>
      <c r="AN395" s="50" t="s">
        <v>17926</v>
      </c>
      <c r="AO395" s="50" t="s">
        <v>17927</v>
      </c>
      <c r="AP395" s="50" t="s">
        <v>116</v>
      </c>
      <c r="AQ395" s="50" t="s">
        <v>116</v>
      </c>
      <c r="AV395" s="50" t="s">
        <v>102</v>
      </c>
      <c r="AX395" s="50" t="s">
        <v>155</v>
      </c>
      <c r="AY395" s="50" t="s">
        <v>119</v>
      </c>
      <c r="AZ395" s="50" t="s">
        <v>1138</v>
      </c>
      <c r="BA395" s="50" t="s">
        <v>118</v>
      </c>
      <c r="BC395" s="50" t="s">
        <v>120</v>
      </c>
      <c r="BD395" s="50" t="s">
        <v>8540</v>
      </c>
      <c r="BE395" s="50" t="s">
        <v>556</v>
      </c>
      <c r="BF395" s="50" t="s">
        <v>122</v>
      </c>
      <c r="BG395" s="50" t="s">
        <v>557</v>
      </c>
      <c r="BH395" s="50" t="s">
        <v>124</v>
      </c>
      <c r="BI395" s="50" t="s">
        <v>12492</v>
      </c>
      <c r="BJ395" s="50" t="s">
        <v>11889</v>
      </c>
      <c r="BK395" s="50" t="s">
        <v>127</v>
      </c>
      <c r="BL395" s="50" t="s">
        <v>17928</v>
      </c>
      <c r="BM395" s="50" t="s">
        <v>8542</v>
      </c>
      <c r="BN395" s="50" t="s">
        <v>17929</v>
      </c>
      <c r="BO395" s="50" t="s">
        <v>12711</v>
      </c>
      <c r="BP395" s="50" t="s">
        <v>1142</v>
      </c>
      <c r="BQ395" s="50" t="s">
        <v>350</v>
      </c>
      <c r="BR395" s="50" t="s">
        <v>1143</v>
      </c>
      <c r="BS395" s="50" t="s">
        <v>1144</v>
      </c>
      <c r="BT395" s="50" t="s">
        <v>566</v>
      </c>
      <c r="BV395" s="50" t="s">
        <v>17930</v>
      </c>
      <c r="BW395" s="50" t="s">
        <v>17931</v>
      </c>
      <c r="BX395" s="50" t="s">
        <v>138</v>
      </c>
      <c r="BY395" s="50" t="s">
        <v>17932</v>
      </c>
      <c r="BZ395" s="50" t="s">
        <v>8547</v>
      </c>
      <c r="CA395" s="50" t="s">
        <v>8546</v>
      </c>
      <c r="CB395" s="50" t="s">
        <v>17931</v>
      </c>
      <c r="CC395" s="50" t="s">
        <v>17932</v>
      </c>
      <c r="CD395" s="50" t="s">
        <v>8547</v>
      </c>
      <c r="CE395" s="50" t="s">
        <v>17931</v>
      </c>
      <c r="CF395" s="50" t="s">
        <v>17932</v>
      </c>
      <c r="CG395" s="50" t="s">
        <v>8547</v>
      </c>
      <c r="CH395" s="50" t="s">
        <v>6457</v>
      </c>
      <c r="CI395" s="50" t="s">
        <v>8532</v>
      </c>
      <c r="CK395" s="50" t="s">
        <v>6459</v>
      </c>
      <c r="CL395" s="50" t="s">
        <v>8540</v>
      </c>
      <c r="CM395" s="50" t="s">
        <v>8540</v>
      </c>
      <c r="CN395" s="50" t="s">
        <v>556</v>
      </c>
      <c r="CO395" s="50" t="s">
        <v>6459</v>
      </c>
      <c r="CQ395" s="50" t="s">
        <v>8548</v>
      </c>
      <c r="CR395" s="50" t="s">
        <v>8548</v>
      </c>
    </row>
    <row r="396" spans="1:97">
      <c r="A396" s="50" t="s">
        <v>337</v>
      </c>
      <c r="B396" s="50">
        <v>541153</v>
      </c>
      <c r="C396" s="50" t="e">
        <f>VLOOKUP(B396,'Drop schools 2026'!B:C,2,0)</f>
        <v>#N/A</v>
      </c>
      <c r="D396" s="50" t="s">
        <v>122</v>
      </c>
      <c r="E396" s="50" t="s">
        <v>12030</v>
      </c>
      <c r="F396" s="53" t="s">
        <v>21071</v>
      </c>
      <c r="G396" s="50" t="e">
        <f>VLOOKUP(B396,aa!B:F,5,0)</f>
        <v>#N/A</v>
      </c>
      <c r="H396" s="50" t="e">
        <f>VLOOKUP(B396,aa!B:J,9,0)</f>
        <v>#N/A</v>
      </c>
      <c r="I396" s="50" t="e">
        <f>VLOOKUP(B396,aa!B:L,11,0)</f>
        <v>#N/A</v>
      </c>
      <c r="J396" s="50" t="e">
        <f>VLOOKUP(B396,aa!B:O,14,0)</f>
        <v>#N/A</v>
      </c>
      <c r="K396" s="50" t="e">
        <f>VLOOKUP(B396,aa!B:R,17,0)</f>
        <v>#N/A</v>
      </c>
      <c r="L396" s="50" t="s">
        <v>97</v>
      </c>
      <c r="M396" s="50">
        <v>358200</v>
      </c>
      <c r="N396" s="50">
        <v>358200</v>
      </c>
      <c r="O396" s="50">
        <v>358200</v>
      </c>
      <c r="P396" s="50">
        <v>597</v>
      </c>
      <c r="Q396" s="50" t="s">
        <v>310</v>
      </c>
      <c r="R396" s="50">
        <v>0</v>
      </c>
      <c r="S396" s="50">
        <v>0</v>
      </c>
      <c r="U396" s="50">
        <v>0</v>
      </c>
      <c r="V396" s="50">
        <v>0</v>
      </c>
      <c r="X396" s="50" t="s">
        <v>102</v>
      </c>
      <c r="Y396" s="50" t="s">
        <v>103</v>
      </c>
      <c r="Z396" s="50" t="s">
        <v>104</v>
      </c>
      <c r="AB396" s="50" t="s">
        <v>8708</v>
      </c>
      <c r="AC396" s="50" t="s">
        <v>21072</v>
      </c>
      <c r="AD396" s="50" t="s">
        <v>8708</v>
      </c>
      <c r="AE396" s="50" t="s">
        <v>21072</v>
      </c>
      <c r="AF396" s="50" t="s">
        <v>109</v>
      </c>
      <c r="AG396" s="50" t="s">
        <v>102</v>
      </c>
      <c r="AH396" s="50" t="s">
        <v>109</v>
      </c>
      <c r="AI396" s="50" t="s">
        <v>102</v>
      </c>
      <c r="AJ396" s="50" t="s">
        <v>9458</v>
      </c>
      <c r="AK396" s="50" t="s">
        <v>11932</v>
      </c>
      <c r="AL396" s="50" t="s">
        <v>13034</v>
      </c>
      <c r="AM396" s="50" t="s">
        <v>21073</v>
      </c>
      <c r="AN396" s="50" t="s">
        <v>21074</v>
      </c>
      <c r="AO396" s="50" t="s">
        <v>21075</v>
      </c>
      <c r="AP396" s="50" t="s">
        <v>317</v>
      </c>
      <c r="AQ396" s="50" t="s">
        <v>317</v>
      </c>
      <c r="AV396" s="50" t="s">
        <v>318</v>
      </c>
      <c r="AW396" s="50" t="s">
        <v>118</v>
      </c>
      <c r="AX396" s="50" t="s">
        <v>102</v>
      </c>
      <c r="AY396" s="50" t="s">
        <v>119</v>
      </c>
      <c r="BC396" s="50" t="s">
        <v>120</v>
      </c>
      <c r="BD396" s="50" t="s">
        <v>16148</v>
      </c>
      <c r="BE396" s="50" t="s">
        <v>2800</v>
      </c>
      <c r="BF396" s="50" t="s">
        <v>122</v>
      </c>
      <c r="BG396" s="50" t="s">
        <v>346</v>
      </c>
      <c r="BH396" s="50" t="s">
        <v>124</v>
      </c>
      <c r="BI396" s="50" t="s">
        <v>12023</v>
      </c>
      <c r="BJ396" s="50" t="s">
        <v>11889</v>
      </c>
      <c r="BK396" s="50" t="s">
        <v>127</v>
      </c>
      <c r="BL396" s="50" t="s">
        <v>21076</v>
      </c>
      <c r="BM396" s="50" t="s">
        <v>21077</v>
      </c>
      <c r="BN396" s="50" t="s">
        <v>21078</v>
      </c>
      <c r="BO396" s="50" t="s">
        <v>16054</v>
      </c>
      <c r="BP396" s="50" t="s">
        <v>4845</v>
      </c>
      <c r="BQ396" s="50" t="s">
        <v>350</v>
      </c>
      <c r="BR396" s="50" t="s">
        <v>4846</v>
      </c>
      <c r="BS396" s="50" t="s">
        <v>4847</v>
      </c>
      <c r="BT396" s="50" t="s">
        <v>328</v>
      </c>
      <c r="BV396" s="50" t="s">
        <v>21079</v>
      </c>
      <c r="BW396" s="50" t="s">
        <v>16153</v>
      </c>
      <c r="BX396" s="50" t="s">
        <v>569</v>
      </c>
      <c r="BY396" s="50" t="s">
        <v>16154</v>
      </c>
      <c r="BZ396" s="50" t="s">
        <v>16155</v>
      </c>
      <c r="CA396" s="50" t="s">
        <v>16156</v>
      </c>
      <c r="CB396" s="50" t="s">
        <v>16153</v>
      </c>
      <c r="CC396" s="50" t="s">
        <v>16154</v>
      </c>
      <c r="CD396" s="50" t="s">
        <v>16155</v>
      </c>
      <c r="CE396" s="50" t="s">
        <v>16153</v>
      </c>
      <c r="CF396" s="50" t="s">
        <v>16154</v>
      </c>
      <c r="CG396" s="50" t="s">
        <v>16155</v>
      </c>
      <c r="CH396" s="50" t="s">
        <v>3841</v>
      </c>
      <c r="CI396" s="50" t="s">
        <v>21080</v>
      </c>
      <c r="CK396" s="50" t="s">
        <v>21081</v>
      </c>
      <c r="CL396" s="50" t="s">
        <v>21080</v>
      </c>
      <c r="CM396" s="50" t="s">
        <v>16148</v>
      </c>
      <c r="CN396" s="50" t="s">
        <v>2800</v>
      </c>
      <c r="CO396" s="50" t="s">
        <v>21081</v>
      </c>
      <c r="CQ396" s="50" t="s">
        <v>21080</v>
      </c>
      <c r="CR396" s="50" t="s">
        <v>21080</v>
      </c>
    </row>
    <row r="397" spans="1:97" hidden="1">
      <c r="A397" s="50" t="s">
        <v>93</v>
      </c>
      <c r="B397" s="50">
        <v>2503335</v>
      </c>
      <c r="C397" s="50" t="e">
        <f>VLOOKUP(B397,'Drop schools 2026'!B:C,2,0)</f>
        <v>#N/A</v>
      </c>
      <c r="D397" s="50" t="s">
        <v>212</v>
      </c>
      <c r="E397" s="50" t="s">
        <v>12423</v>
      </c>
      <c r="F397" s="50" t="s">
        <v>3788</v>
      </c>
      <c r="G397" s="50" t="e">
        <f>VLOOKUP(B397,aa!B:F,5,0)</f>
        <v>#N/A</v>
      </c>
      <c r="H397" s="50" t="e">
        <f>VLOOKUP(B397,aa!B:J,9,0)</f>
        <v>#N/A</v>
      </c>
      <c r="I397" s="50" t="e">
        <f>VLOOKUP(B397,aa!B:L,11,0)</f>
        <v>#N/A</v>
      </c>
      <c r="J397" s="50" t="e">
        <f>VLOOKUP(B397,aa!B:O,14,0)</f>
        <v>#N/A</v>
      </c>
      <c r="K397" s="50" t="e">
        <f>VLOOKUP(B397,aa!B:R,17,0)</f>
        <v>#N/A</v>
      </c>
      <c r="L397" s="50" t="s">
        <v>848</v>
      </c>
      <c r="M397" s="50">
        <v>355960</v>
      </c>
      <c r="N397" s="50">
        <v>420033</v>
      </c>
      <c r="O397" s="50">
        <v>0</v>
      </c>
      <c r="P397" s="50">
        <v>0</v>
      </c>
      <c r="R397" s="50">
        <v>0</v>
      </c>
      <c r="S397" s="50">
        <v>0</v>
      </c>
      <c r="U397" s="50">
        <v>355960</v>
      </c>
      <c r="V397" s="50">
        <v>150</v>
      </c>
      <c r="W397" s="50" t="s">
        <v>11158</v>
      </c>
      <c r="X397" s="50" t="s">
        <v>102</v>
      </c>
      <c r="Y397" s="50" t="s">
        <v>103</v>
      </c>
      <c r="Z397" s="50" t="s">
        <v>155</v>
      </c>
      <c r="AB397" s="50" t="s">
        <v>126</v>
      </c>
      <c r="AC397" s="50" t="s">
        <v>14279</v>
      </c>
      <c r="AD397" s="50" t="s">
        <v>12040</v>
      </c>
      <c r="AE397" s="50" t="s">
        <v>14279</v>
      </c>
      <c r="AF397" s="50" t="s">
        <v>12099</v>
      </c>
      <c r="AG397" s="50" t="s">
        <v>14279</v>
      </c>
      <c r="AH397" s="50" t="s">
        <v>12713</v>
      </c>
      <c r="AI397" s="50" t="s">
        <v>14279</v>
      </c>
      <c r="AJ397" s="50" t="s">
        <v>14280</v>
      </c>
      <c r="AK397" s="50" t="s">
        <v>12425</v>
      </c>
      <c r="AL397" s="50" t="s">
        <v>13034</v>
      </c>
      <c r="AM397" s="50" t="s">
        <v>14281</v>
      </c>
      <c r="AN397" s="50" t="s">
        <v>14282</v>
      </c>
      <c r="AO397" s="50" t="s">
        <v>14283</v>
      </c>
      <c r="AP397" s="50" t="s">
        <v>6116</v>
      </c>
      <c r="AQ397" s="50" t="s">
        <v>6116</v>
      </c>
      <c r="AV397" s="50" t="s">
        <v>102</v>
      </c>
      <c r="AX397" s="50" t="s">
        <v>102</v>
      </c>
      <c r="AY397" s="50" t="s">
        <v>119</v>
      </c>
      <c r="BB397" s="50" t="s">
        <v>250</v>
      </c>
      <c r="BC397" s="50" t="s">
        <v>120</v>
      </c>
      <c r="BD397" s="50" t="s">
        <v>3735</v>
      </c>
      <c r="BE397" s="50" t="s">
        <v>410</v>
      </c>
      <c r="BF397" s="50" t="s">
        <v>212</v>
      </c>
      <c r="BG397" s="50" t="s">
        <v>410</v>
      </c>
      <c r="BH397" s="50" t="s">
        <v>124</v>
      </c>
      <c r="BI397" s="50" t="s">
        <v>12023</v>
      </c>
      <c r="BJ397" s="50" t="s">
        <v>11889</v>
      </c>
      <c r="BK397" s="50" t="s">
        <v>127</v>
      </c>
      <c r="BL397" s="50" t="s">
        <v>14284</v>
      </c>
      <c r="BM397" s="50" t="s">
        <v>3798</v>
      </c>
      <c r="BN397" s="50" t="s">
        <v>14285</v>
      </c>
      <c r="BO397" s="50" t="s">
        <v>3258</v>
      </c>
      <c r="BP397" s="50" t="s">
        <v>896</v>
      </c>
      <c r="BQ397" s="50" t="s">
        <v>132</v>
      </c>
      <c r="BR397" s="50" t="s">
        <v>897</v>
      </c>
      <c r="BS397" s="50" t="s">
        <v>898</v>
      </c>
      <c r="BT397" s="50" t="s">
        <v>899</v>
      </c>
      <c r="BV397" s="50" t="s">
        <v>14286</v>
      </c>
      <c r="BW397" s="50" t="s">
        <v>14287</v>
      </c>
      <c r="BX397" s="50" t="s">
        <v>138</v>
      </c>
      <c r="BY397" s="50" t="s">
        <v>3802</v>
      </c>
      <c r="BZ397" s="50" t="s">
        <v>3803</v>
      </c>
      <c r="CA397" s="50" t="s">
        <v>3804</v>
      </c>
      <c r="CB397" s="50" t="s">
        <v>14288</v>
      </c>
      <c r="CC397" s="50" t="s">
        <v>3802</v>
      </c>
      <c r="CD397" s="50" t="s">
        <v>3803</v>
      </c>
      <c r="CE397" s="50" t="s">
        <v>14288</v>
      </c>
      <c r="CF397" s="50" t="s">
        <v>3802</v>
      </c>
      <c r="CG397" s="50" t="s">
        <v>3803</v>
      </c>
      <c r="CH397" s="50" t="s">
        <v>3805</v>
      </c>
      <c r="CI397" s="50" t="s">
        <v>14289</v>
      </c>
      <c r="CK397" s="50" t="s">
        <v>3807</v>
      </c>
      <c r="CL397" s="50" t="s">
        <v>14290</v>
      </c>
      <c r="CM397" s="50" t="s">
        <v>3735</v>
      </c>
      <c r="CN397" s="50" t="s">
        <v>410</v>
      </c>
      <c r="CO397" s="50" t="s">
        <v>3807</v>
      </c>
      <c r="CP397" s="50" t="s">
        <v>3808</v>
      </c>
      <c r="CQ397" s="50" t="s">
        <v>3806</v>
      </c>
      <c r="CR397" s="50" t="s">
        <v>3806</v>
      </c>
      <c r="CS397" s="50" t="s">
        <v>26046</v>
      </c>
    </row>
    <row r="398" spans="1:97" hidden="1">
      <c r="A398" s="50" t="s">
        <v>149</v>
      </c>
      <c r="B398" s="50">
        <v>3878188</v>
      </c>
      <c r="C398" s="50" t="str">
        <f>VLOOKUP(B398,RISK!B:C,2,0)</f>
        <v>Risk</v>
      </c>
      <c r="D398" s="50" t="s">
        <v>122</v>
      </c>
      <c r="E398" s="50" t="s">
        <v>12018</v>
      </c>
      <c r="F398" s="50" t="s">
        <v>7773</v>
      </c>
      <c r="G398" s="50" t="e">
        <f>VLOOKUP(B398,aa!B:F,5,0)</f>
        <v>#N/A</v>
      </c>
      <c r="H398" s="50" t="e">
        <f>VLOOKUP(B398,aa!B:J,9,0)</f>
        <v>#N/A</v>
      </c>
      <c r="I398" s="50" t="e">
        <f>VLOOKUP(B398,aa!B:L,11,0)</f>
        <v>#N/A</v>
      </c>
      <c r="J398" s="50" t="e">
        <f>VLOOKUP(B398,aa!B:O,14,0)</f>
        <v>#N/A</v>
      </c>
      <c r="K398" s="50" t="e">
        <f>VLOOKUP(B398,aa!B:R,17,0)</f>
        <v>#N/A</v>
      </c>
      <c r="L398" s="50" t="s">
        <v>97</v>
      </c>
      <c r="M398" s="50">
        <v>354015</v>
      </c>
      <c r="N398" s="50">
        <v>354015</v>
      </c>
      <c r="O398" s="50">
        <v>354015</v>
      </c>
      <c r="P398" s="50">
        <v>493</v>
      </c>
      <c r="Q398" s="50" t="s">
        <v>13170</v>
      </c>
      <c r="R398" s="50">
        <v>0</v>
      </c>
      <c r="S398" s="50">
        <v>0</v>
      </c>
      <c r="U398" s="50">
        <v>0</v>
      </c>
      <c r="V398" s="50">
        <v>0</v>
      </c>
      <c r="X398" s="50" t="s">
        <v>102</v>
      </c>
      <c r="Y398" s="50" t="s">
        <v>275</v>
      </c>
      <c r="AA398" s="50" t="s">
        <v>126</v>
      </c>
      <c r="AB398" s="50" t="s">
        <v>109</v>
      </c>
      <c r="AC398" s="50" t="s">
        <v>102</v>
      </c>
      <c r="AD398" s="50" t="s">
        <v>109</v>
      </c>
      <c r="AE398" s="50" t="s">
        <v>102</v>
      </c>
      <c r="AF398" s="50" t="s">
        <v>109</v>
      </c>
      <c r="AG398" s="50" t="s">
        <v>102</v>
      </c>
      <c r="AH398" s="50" t="s">
        <v>109</v>
      </c>
      <c r="AI398" s="50" t="s">
        <v>102</v>
      </c>
      <c r="AJ398" s="50" t="s">
        <v>17217</v>
      </c>
      <c r="AK398" s="50" t="s">
        <v>13832</v>
      </c>
      <c r="AL398" s="50" t="s">
        <v>13832</v>
      </c>
      <c r="AM398" s="50" t="s">
        <v>17218</v>
      </c>
      <c r="AN398" s="50" t="s">
        <v>17219</v>
      </c>
      <c r="AO398" s="50" t="s">
        <v>102</v>
      </c>
      <c r="AP398" s="50" t="s">
        <v>317</v>
      </c>
      <c r="AQ398" s="50" t="s">
        <v>116</v>
      </c>
      <c r="AR398" s="50" t="s">
        <v>343</v>
      </c>
      <c r="AV398" s="50" t="s">
        <v>318</v>
      </c>
      <c r="AW398" s="50" t="s">
        <v>118</v>
      </c>
      <c r="AX398" s="50" t="s">
        <v>102</v>
      </c>
      <c r="AY398" s="50" t="s">
        <v>119</v>
      </c>
      <c r="BC398" s="50" t="s">
        <v>120</v>
      </c>
      <c r="BD398" s="50" t="s">
        <v>7776</v>
      </c>
      <c r="BE398" s="50" t="s">
        <v>320</v>
      </c>
      <c r="BF398" s="50" t="s">
        <v>122</v>
      </c>
      <c r="BG398" s="50" t="s">
        <v>123</v>
      </c>
      <c r="BH398" s="50" t="s">
        <v>124</v>
      </c>
      <c r="BI398" s="50" t="s">
        <v>12023</v>
      </c>
      <c r="BJ398" s="50" t="s">
        <v>11889</v>
      </c>
      <c r="BK398" s="50" t="s">
        <v>127</v>
      </c>
      <c r="BL398" s="50" t="s">
        <v>17220</v>
      </c>
      <c r="BM398" s="50" t="s">
        <v>7778</v>
      </c>
      <c r="BN398" s="50" t="s">
        <v>17221</v>
      </c>
      <c r="BO398" s="50" t="s">
        <v>11927</v>
      </c>
      <c r="BP398" s="50" t="s">
        <v>593</v>
      </c>
      <c r="BQ398" s="50" t="s">
        <v>350</v>
      </c>
      <c r="BR398" s="50" t="s">
        <v>594</v>
      </c>
      <c r="BS398" s="50" t="s">
        <v>595</v>
      </c>
      <c r="BT398" s="50" t="s">
        <v>328</v>
      </c>
      <c r="BV398" s="50" t="s">
        <v>17222</v>
      </c>
      <c r="BW398" s="50" t="s">
        <v>7781</v>
      </c>
      <c r="BX398" s="50" t="s">
        <v>354</v>
      </c>
      <c r="BY398" s="50" t="s">
        <v>7782</v>
      </c>
      <c r="BZ398" s="50" t="s">
        <v>7783</v>
      </c>
      <c r="CA398" s="50" t="s">
        <v>7782</v>
      </c>
      <c r="CB398" s="50" t="s">
        <v>7781</v>
      </c>
      <c r="CC398" s="50" t="s">
        <v>7782</v>
      </c>
      <c r="CD398" s="50" t="s">
        <v>7783</v>
      </c>
      <c r="CE398" s="50" t="s">
        <v>17223</v>
      </c>
      <c r="CF398" s="50" t="s">
        <v>7782</v>
      </c>
      <c r="CG398" s="50" t="s">
        <v>17224</v>
      </c>
      <c r="CH398" s="50" t="s">
        <v>102</v>
      </c>
      <c r="CI398" s="50" t="s">
        <v>7784</v>
      </c>
      <c r="CK398" s="50" t="s">
        <v>7785</v>
      </c>
      <c r="CM398" s="50" t="s">
        <v>7776</v>
      </c>
      <c r="CN398" s="50" t="s">
        <v>320</v>
      </c>
      <c r="CO398" s="50" t="s">
        <v>7785</v>
      </c>
      <c r="CQ398" s="50" t="s">
        <v>7784</v>
      </c>
      <c r="CR398" s="50" t="s">
        <v>7784</v>
      </c>
    </row>
    <row r="399" spans="1:97" hidden="1">
      <c r="A399" s="50" t="s">
        <v>93</v>
      </c>
      <c r="B399" s="50">
        <v>5017915</v>
      </c>
      <c r="C399" s="50" t="str">
        <f>VLOOKUP(B399,'Drop schools 2026'!B:C,2,0)</f>
        <v>Drop</v>
      </c>
      <c r="D399" s="50" t="s">
        <v>212</v>
      </c>
      <c r="E399" s="50" t="s">
        <v>293</v>
      </c>
      <c r="F399" s="50" t="s">
        <v>10308</v>
      </c>
      <c r="G399" s="50" t="e">
        <f>VLOOKUP(B399,aa!B:F,5,0)</f>
        <v>#N/A</v>
      </c>
      <c r="H399" s="50" t="e">
        <f>VLOOKUP(B399,aa!B:J,9,0)</f>
        <v>#N/A</v>
      </c>
      <c r="I399" s="50" t="e">
        <f>VLOOKUP(B399,aa!B:L,11,0)</f>
        <v>#N/A</v>
      </c>
      <c r="J399" s="50" t="e">
        <f>VLOOKUP(B399,aa!B:O,14,0)</f>
        <v>#N/A</v>
      </c>
      <c r="K399" s="50" t="e">
        <f>VLOOKUP(B399,aa!B:R,17,0)</f>
        <v>#N/A</v>
      </c>
      <c r="L399" s="50" t="s">
        <v>848</v>
      </c>
      <c r="M399" s="50">
        <v>353845</v>
      </c>
      <c r="N399" s="50">
        <v>417537</v>
      </c>
      <c r="O399" s="50">
        <v>0</v>
      </c>
      <c r="P399" s="50">
        <v>0</v>
      </c>
      <c r="R399" s="50">
        <v>0</v>
      </c>
      <c r="S399" s="50">
        <v>0</v>
      </c>
      <c r="U399" s="50">
        <v>353845</v>
      </c>
      <c r="V399" s="50">
        <v>116</v>
      </c>
      <c r="W399" s="50" t="s">
        <v>16576</v>
      </c>
      <c r="X399" s="50" t="s">
        <v>102</v>
      </c>
      <c r="Y399" s="50" t="s">
        <v>275</v>
      </c>
      <c r="AA399" s="50" t="s">
        <v>11927</v>
      </c>
      <c r="AB399" s="50" t="s">
        <v>109</v>
      </c>
      <c r="AC399" s="50" t="s">
        <v>102</v>
      </c>
      <c r="AD399" s="50" t="s">
        <v>109</v>
      </c>
      <c r="AE399" s="50" t="s">
        <v>102</v>
      </c>
      <c r="AF399" s="50" t="s">
        <v>109</v>
      </c>
      <c r="AG399" s="50" t="s">
        <v>102</v>
      </c>
      <c r="AH399" s="50" t="s">
        <v>109</v>
      </c>
      <c r="AI399" s="50" t="s">
        <v>102</v>
      </c>
      <c r="AJ399" s="50" t="s">
        <v>102</v>
      </c>
      <c r="AK399" s="50" t="s">
        <v>16054</v>
      </c>
      <c r="AL399" s="50" t="s">
        <v>16054</v>
      </c>
      <c r="AM399" s="50" t="s">
        <v>19259</v>
      </c>
      <c r="AN399" s="50" t="s">
        <v>19260</v>
      </c>
      <c r="AO399" s="50" t="s">
        <v>19261</v>
      </c>
      <c r="AP399" s="50" t="s">
        <v>18913</v>
      </c>
      <c r="AQ399" s="50" t="s">
        <v>18913</v>
      </c>
      <c r="AV399" s="50" t="s">
        <v>102</v>
      </c>
      <c r="AX399" s="50" t="s">
        <v>102</v>
      </c>
      <c r="AY399" s="50" t="s">
        <v>119</v>
      </c>
      <c r="BB399" s="50" t="s">
        <v>250</v>
      </c>
      <c r="BC399" s="50" t="s">
        <v>120</v>
      </c>
      <c r="BD399" s="50" t="s">
        <v>7718</v>
      </c>
      <c r="BE399" s="50" t="s">
        <v>211</v>
      </c>
      <c r="BF399" s="50" t="s">
        <v>212</v>
      </c>
      <c r="BG399" s="50" t="s">
        <v>213</v>
      </c>
      <c r="BH399" s="50" t="s">
        <v>124</v>
      </c>
      <c r="BI399" s="50" t="s">
        <v>11959</v>
      </c>
      <c r="BJ399" s="50" t="s">
        <v>11960</v>
      </c>
      <c r="BK399" s="50" t="s">
        <v>127</v>
      </c>
      <c r="BL399" s="50" t="s">
        <v>19262</v>
      </c>
      <c r="BM399" s="50" t="s">
        <v>10314</v>
      </c>
      <c r="BN399" s="50" t="s">
        <v>19263</v>
      </c>
      <c r="BO399" s="50" t="s">
        <v>12494</v>
      </c>
      <c r="BP399" s="50" t="s">
        <v>3443</v>
      </c>
      <c r="BQ399" s="50" t="s">
        <v>180</v>
      </c>
      <c r="BR399" s="50" t="s">
        <v>3444</v>
      </c>
      <c r="BS399" s="50" t="s">
        <v>3445</v>
      </c>
      <c r="BT399" s="50" t="s">
        <v>10316</v>
      </c>
      <c r="BV399" s="50" t="s">
        <v>19264</v>
      </c>
      <c r="BW399" s="50" t="s">
        <v>10318</v>
      </c>
      <c r="BX399" s="50" t="s">
        <v>138</v>
      </c>
      <c r="BY399" s="50" t="s">
        <v>10319</v>
      </c>
      <c r="BZ399" s="50" t="s">
        <v>19265</v>
      </c>
      <c r="CA399" s="50" t="s">
        <v>10319</v>
      </c>
      <c r="CB399" s="50" t="s">
        <v>19266</v>
      </c>
      <c r="CC399" s="50" t="s">
        <v>10319</v>
      </c>
      <c r="CD399" s="50" t="s">
        <v>19265</v>
      </c>
      <c r="CE399" s="50" t="s">
        <v>19266</v>
      </c>
      <c r="CF399" s="50" t="s">
        <v>10319</v>
      </c>
      <c r="CG399" s="50" t="s">
        <v>19265</v>
      </c>
      <c r="CH399" s="50" t="s">
        <v>6290</v>
      </c>
      <c r="CI399" s="50" t="s">
        <v>19267</v>
      </c>
      <c r="CK399" s="50" t="s">
        <v>7826</v>
      </c>
      <c r="CL399" s="50" t="s">
        <v>19267</v>
      </c>
      <c r="CM399" s="50" t="s">
        <v>7718</v>
      </c>
      <c r="CN399" s="50" t="s">
        <v>211</v>
      </c>
      <c r="CO399" s="50" t="s">
        <v>7826</v>
      </c>
      <c r="CQ399" s="50" t="s">
        <v>10321</v>
      </c>
      <c r="CR399" s="50" t="s">
        <v>10321</v>
      </c>
      <c r="CS399" s="50" t="s">
        <v>26046</v>
      </c>
    </row>
    <row r="400" spans="1:97" hidden="1">
      <c r="A400" s="50" t="s">
        <v>337</v>
      </c>
      <c r="B400" s="50">
        <v>5018545</v>
      </c>
      <c r="C400" s="50" t="e">
        <f>VLOOKUP(B400,'Drop schools 2026'!B:C,2,0)</f>
        <v>#N/A</v>
      </c>
      <c r="D400" s="50" t="s">
        <v>212</v>
      </c>
      <c r="E400" s="50" t="s">
        <v>293</v>
      </c>
      <c r="F400" s="50" t="s">
        <v>20017</v>
      </c>
      <c r="G400" s="50" t="e">
        <f>VLOOKUP(B400,aa!B:F,5,0)</f>
        <v>#N/A</v>
      </c>
      <c r="H400" s="50" t="e">
        <f>VLOOKUP(B400,aa!B:J,9,0)</f>
        <v>#N/A</v>
      </c>
      <c r="I400" s="50" t="e">
        <f>VLOOKUP(B400,aa!B:L,11,0)</f>
        <v>#N/A</v>
      </c>
      <c r="J400" s="50" t="e">
        <f>VLOOKUP(B400,aa!B:O,14,0)</f>
        <v>#N/A</v>
      </c>
      <c r="K400" s="50" t="e">
        <f>VLOOKUP(B400,aa!B:R,17,0)</f>
        <v>#N/A</v>
      </c>
      <c r="L400" s="50" t="s">
        <v>152</v>
      </c>
      <c r="M400" s="50">
        <v>353629</v>
      </c>
      <c r="N400" s="50">
        <v>353629</v>
      </c>
      <c r="O400" s="50">
        <v>0</v>
      </c>
      <c r="P400" s="50">
        <v>0</v>
      </c>
      <c r="R400" s="50">
        <v>353629</v>
      </c>
      <c r="S400" s="50">
        <v>262</v>
      </c>
      <c r="T400" s="50" t="s">
        <v>397</v>
      </c>
      <c r="U400" s="50">
        <v>0</v>
      </c>
      <c r="V400" s="50">
        <v>0</v>
      </c>
      <c r="X400" s="50" t="s">
        <v>102</v>
      </c>
      <c r="Y400" s="50" t="s">
        <v>103</v>
      </c>
      <c r="Z400" s="50" t="s">
        <v>398</v>
      </c>
      <c r="AB400" s="50" t="s">
        <v>8537</v>
      </c>
      <c r="AC400" s="50" t="s">
        <v>2302</v>
      </c>
      <c r="AD400" s="50" t="s">
        <v>12099</v>
      </c>
      <c r="AE400" s="50" t="s">
        <v>20018</v>
      </c>
      <c r="AF400" s="50" t="s">
        <v>12713</v>
      </c>
      <c r="AG400" s="50" t="s">
        <v>20019</v>
      </c>
      <c r="AH400" s="50" t="s">
        <v>109</v>
      </c>
      <c r="AI400" s="50" t="s">
        <v>102</v>
      </c>
      <c r="AJ400" s="50" t="s">
        <v>102</v>
      </c>
      <c r="AK400" s="50" t="s">
        <v>15564</v>
      </c>
      <c r="AL400" s="50" t="s">
        <v>12975</v>
      </c>
      <c r="AM400" s="50" t="s">
        <v>20020</v>
      </c>
      <c r="AN400" s="50" t="s">
        <v>20021</v>
      </c>
      <c r="AO400" s="50" t="s">
        <v>20022</v>
      </c>
      <c r="AP400" s="50" t="s">
        <v>18913</v>
      </c>
      <c r="AQ400" s="50" t="s">
        <v>18913</v>
      </c>
      <c r="AV400" s="50" t="s">
        <v>102</v>
      </c>
      <c r="AX400" s="50" t="s">
        <v>155</v>
      </c>
      <c r="AY400" s="50" t="s">
        <v>119</v>
      </c>
      <c r="AZ400" s="50" t="s">
        <v>1138</v>
      </c>
      <c r="BA400" s="50" t="s">
        <v>118</v>
      </c>
      <c r="BC400" s="50" t="s">
        <v>120</v>
      </c>
      <c r="BD400" s="50" t="s">
        <v>758</v>
      </c>
      <c r="BE400" s="50" t="s">
        <v>211</v>
      </c>
      <c r="BF400" s="50" t="s">
        <v>212</v>
      </c>
      <c r="BG400" s="50" t="s">
        <v>213</v>
      </c>
      <c r="BH400" s="50" t="s">
        <v>124</v>
      </c>
      <c r="BI400" s="50" t="s">
        <v>11932</v>
      </c>
      <c r="BJ400" s="50" t="s">
        <v>20023</v>
      </c>
      <c r="BK400" s="50" t="s">
        <v>127</v>
      </c>
      <c r="BL400" s="50" t="s">
        <v>20024</v>
      </c>
      <c r="BM400" s="50" t="s">
        <v>20025</v>
      </c>
      <c r="BN400" s="50" t="s">
        <v>20026</v>
      </c>
      <c r="BO400" s="50" t="s">
        <v>11927</v>
      </c>
      <c r="BP400" s="50" t="s">
        <v>14067</v>
      </c>
      <c r="BQ400" s="50" t="s">
        <v>132</v>
      </c>
      <c r="BR400" s="50" t="s">
        <v>14068</v>
      </c>
      <c r="BS400" s="50" t="s">
        <v>14069</v>
      </c>
      <c r="BT400" s="50" t="s">
        <v>2463</v>
      </c>
      <c r="BV400" s="50" t="s">
        <v>20027</v>
      </c>
      <c r="BW400" s="50" t="s">
        <v>20028</v>
      </c>
      <c r="BX400" s="50" t="s">
        <v>138</v>
      </c>
      <c r="BY400" s="50" t="s">
        <v>20029</v>
      </c>
      <c r="BZ400" s="50" t="s">
        <v>20030</v>
      </c>
      <c r="CA400" s="50" t="s">
        <v>20029</v>
      </c>
      <c r="CB400" s="50" t="s">
        <v>20028</v>
      </c>
      <c r="CC400" s="50" t="s">
        <v>20029</v>
      </c>
      <c r="CD400" s="50" t="s">
        <v>20030</v>
      </c>
      <c r="CE400" s="50" t="s">
        <v>20028</v>
      </c>
      <c r="CF400" s="50" t="s">
        <v>20029</v>
      </c>
      <c r="CG400" s="50" t="s">
        <v>20030</v>
      </c>
      <c r="CH400" s="50" t="s">
        <v>20031</v>
      </c>
      <c r="CI400" s="50" t="s">
        <v>20032</v>
      </c>
      <c r="CK400" s="50" t="s">
        <v>20033</v>
      </c>
      <c r="CL400" s="50" t="s">
        <v>20034</v>
      </c>
      <c r="CM400" s="50" t="s">
        <v>758</v>
      </c>
      <c r="CN400" s="50" t="s">
        <v>211</v>
      </c>
      <c r="CO400" s="50" t="s">
        <v>20033</v>
      </c>
      <c r="CQ400" s="50" t="s">
        <v>20035</v>
      </c>
      <c r="CR400" s="50" t="s">
        <v>20036</v>
      </c>
      <c r="CS400" s="50" t="s">
        <v>26044</v>
      </c>
    </row>
    <row r="401" spans="1:97">
      <c r="A401" s="50" t="s">
        <v>337</v>
      </c>
      <c r="B401" s="50">
        <v>5037382</v>
      </c>
      <c r="C401" s="50" t="str">
        <f>VLOOKUP(B401,'Drop schools 2026'!B:C,2,0)</f>
        <v>Drop</v>
      </c>
      <c r="D401" s="50" t="s">
        <v>122</v>
      </c>
      <c r="E401" s="50" t="s">
        <v>12030</v>
      </c>
      <c r="F401" s="50" t="s">
        <v>20232</v>
      </c>
      <c r="G401" s="50" t="e">
        <f>VLOOKUP(B401,aa!B:F,5,0)</f>
        <v>#N/A</v>
      </c>
      <c r="H401" s="50" t="e">
        <f>VLOOKUP(B401,aa!B:J,9,0)</f>
        <v>#N/A</v>
      </c>
      <c r="I401" s="50" t="e">
        <f>VLOOKUP(B401,aa!B:L,11,0)</f>
        <v>#N/A</v>
      </c>
      <c r="J401" s="50" t="e">
        <f>VLOOKUP(B401,aa!B:O,14,0)</f>
        <v>#N/A</v>
      </c>
      <c r="K401" s="50" t="e">
        <f>VLOOKUP(B401,aa!B:R,17,0)</f>
        <v>#N/A</v>
      </c>
      <c r="L401" s="50" t="s">
        <v>152</v>
      </c>
      <c r="M401" s="50">
        <v>353567</v>
      </c>
      <c r="N401" s="50">
        <v>353567</v>
      </c>
      <c r="O401" s="50">
        <v>0</v>
      </c>
      <c r="P401" s="50">
        <v>0</v>
      </c>
      <c r="R401" s="50">
        <v>353567</v>
      </c>
      <c r="S401" s="50">
        <v>221</v>
      </c>
      <c r="T401" s="50" t="s">
        <v>678</v>
      </c>
      <c r="U401" s="50">
        <v>0</v>
      </c>
      <c r="V401" s="50">
        <v>0</v>
      </c>
      <c r="X401" s="50" t="s">
        <v>102</v>
      </c>
      <c r="Y401" s="50" t="s">
        <v>103</v>
      </c>
      <c r="Z401" s="50" t="s">
        <v>155</v>
      </c>
      <c r="AB401" s="50" t="s">
        <v>3993</v>
      </c>
      <c r="AC401" s="50" t="s">
        <v>20233</v>
      </c>
      <c r="AD401" s="50" t="s">
        <v>12480</v>
      </c>
      <c r="AE401" s="50" t="s">
        <v>20233</v>
      </c>
      <c r="AF401" s="50" t="s">
        <v>20234</v>
      </c>
      <c r="AG401" s="50" t="s">
        <v>20233</v>
      </c>
      <c r="AH401" s="50" t="s">
        <v>11886</v>
      </c>
      <c r="AI401" s="50" t="s">
        <v>20233</v>
      </c>
      <c r="AJ401" s="50" t="s">
        <v>102</v>
      </c>
      <c r="AK401" s="50" t="s">
        <v>3993</v>
      </c>
      <c r="AL401" s="50" t="s">
        <v>15141</v>
      </c>
      <c r="AM401" s="50" t="s">
        <v>20235</v>
      </c>
      <c r="AN401" s="50" t="s">
        <v>20236</v>
      </c>
      <c r="AO401" s="50" t="s">
        <v>20237</v>
      </c>
      <c r="AP401" s="50" t="s">
        <v>17462</v>
      </c>
      <c r="AQ401" s="50" t="s">
        <v>17462</v>
      </c>
      <c r="AV401" s="50" t="s">
        <v>102</v>
      </c>
      <c r="AX401" s="50" t="s">
        <v>155</v>
      </c>
      <c r="AY401" s="50" t="s">
        <v>447</v>
      </c>
      <c r="AZ401" s="50" t="s">
        <v>170</v>
      </c>
      <c r="BA401" s="50" t="s">
        <v>118</v>
      </c>
      <c r="BC401" s="50" t="s">
        <v>120</v>
      </c>
      <c r="BD401" s="50" t="s">
        <v>20238</v>
      </c>
      <c r="BE401" s="50" t="s">
        <v>2800</v>
      </c>
      <c r="BF401" s="50" t="s">
        <v>122</v>
      </c>
      <c r="BG401" s="50" t="s">
        <v>346</v>
      </c>
      <c r="BH401" s="50" t="s">
        <v>124</v>
      </c>
      <c r="BI401" s="50" t="s">
        <v>12023</v>
      </c>
      <c r="BJ401" s="50" t="s">
        <v>11889</v>
      </c>
      <c r="BK401" s="50" t="s">
        <v>127</v>
      </c>
      <c r="BL401" s="50" t="s">
        <v>20239</v>
      </c>
      <c r="BM401" s="50" t="s">
        <v>20240</v>
      </c>
      <c r="BN401" s="50" t="s">
        <v>20241</v>
      </c>
      <c r="BO401" s="50" t="s">
        <v>8128</v>
      </c>
      <c r="BP401" s="50" t="s">
        <v>12226</v>
      </c>
      <c r="BQ401" s="50" t="s">
        <v>258</v>
      </c>
      <c r="BR401" s="50" t="s">
        <v>12228</v>
      </c>
      <c r="BS401" s="50" t="s">
        <v>12229</v>
      </c>
      <c r="BT401" s="50" t="s">
        <v>328</v>
      </c>
      <c r="BV401" s="50" t="s">
        <v>20242</v>
      </c>
      <c r="BW401" s="50" t="s">
        <v>20243</v>
      </c>
      <c r="BX401" s="50" t="s">
        <v>354</v>
      </c>
      <c r="BY401" s="50" t="s">
        <v>20244</v>
      </c>
      <c r="BZ401" s="50" t="s">
        <v>20245</v>
      </c>
      <c r="CA401" s="50" t="s">
        <v>20244</v>
      </c>
      <c r="CB401" s="50" t="s">
        <v>20246</v>
      </c>
      <c r="CC401" s="50" t="s">
        <v>20244</v>
      </c>
      <c r="CD401" s="50" t="s">
        <v>20247</v>
      </c>
      <c r="CE401" s="50" t="s">
        <v>20246</v>
      </c>
      <c r="CF401" s="50" t="s">
        <v>20244</v>
      </c>
      <c r="CG401" s="50" t="s">
        <v>20247</v>
      </c>
      <c r="CH401" s="50" t="s">
        <v>20248</v>
      </c>
      <c r="CI401" s="50" t="s">
        <v>20249</v>
      </c>
      <c r="CK401" s="50" t="s">
        <v>20250</v>
      </c>
      <c r="CL401" s="50" t="s">
        <v>20249</v>
      </c>
      <c r="CM401" s="50" t="s">
        <v>20238</v>
      </c>
      <c r="CN401" s="50" t="s">
        <v>2800</v>
      </c>
      <c r="CO401" s="50" t="s">
        <v>20250</v>
      </c>
      <c r="CQ401" s="50" t="s">
        <v>20251</v>
      </c>
      <c r="CR401" s="50" t="s">
        <v>20251</v>
      </c>
    </row>
    <row r="402" spans="1:97" hidden="1">
      <c r="A402" s="50" t="s">
        <v>337</v>
      </c>
      <c r="B402" s="50">
        <v>343343</v>
      </c>
      <c r="C402" s="50" t="e">
        <f>VLOOKUP(B402,'Drop schools 2026'!B:C,2,0)</f>
        <v>#N/A</v>
      </c>
      <c r="D402" s="50" t="s">
        <v>622</v>
      </c>
      <c r="E402" s="50" t="s">
        <v>2525</v>
      </c>
      <c r="F402" s="50" t="s">
        <v>15949</v>
      </c>
      <c r="G402" s="50" t="str">
        <f>VLOOKUP(B402,aa!B:F,5,0)</f>
        <v>Ei Mindspark</v>
      </c>
      <c r="H402" s="50">
        <f>VLOOKUP(B402,aa!B:J,9,0)</f>
        <v>748000</v>
      </c>
      <c r="I402" s="50">
        <f>VLOOKUP(B402,aa!B:L,11,0)</f>
        <v>0</v>
      </c>
      <c r="J402" s="50">
        <f>VLOOKUP(B402,aa!B:O,14,0)</f>
        <v>0</v>
      </c>
      <c r="K402" s="50">
        <f>VLOOKUP(B402,aa!B:R,17,0)</f>
        <v>748000</v>
      </c>
      <c r="L402" s="50" t="s">
        <v>848</v>
      </c>
      <c r="M402" s="50">
        <v>352000</v>
      </c>
      <c r="N402" s="50">
        <v>415360</v>
      </c>
      <c r="O402" s="50">
        <v>0</v>
      </c>
      <c r="P402" s="50">
        <v>0</v>
      </c>
      <c r="Q402" s="50" t="s">
        <v>102</v>
      </c>
      <c r="R402" s="50">
        <v>0</v>
      </c>
      <c r="S402" s="50">
        <v>0</v>
      </c>
      <c r="T402" s="50" t="s">
        <v>102</v>
      </c>
      <c r="U402" s="50">
        <v>352000</v>
      </c>
      <c r="V402" s="50">
        <v>440</v>
      </c>
      <c r="W402" s="50" t="s">
        <v>102</v>
      </c>
      <c r="X402" s="50" t="s">
        <v>102</v>
      </c>
      <c r="Y402" s="50" t="s">
        <v>275</v>
      </c>
      <c r="Z402" s="50" t="s">
        <v>115</v>
      </c>
      <c r="AA402" s="50" t="s">
        <v>15950</v>
      </c>
      <c r="AB402" s="50" t="s">
        <v>15951</v>
      </c>
      <c r="AC402" s="50" t="s">
        <v>102</v>
      </c>
      <c r="AD402" s="50" t="s">
        <v>15951</v>
      </c>
      <c r="AE402" s="50" t="s">
        <v>102</v>
      </c>
      <c r="AF402" s="50" t="s">
        <v>15951</v>
      </c>
      <c r="AG402" s="50" t="s">
        <v>102</v>
      </c>
      <c r="AH402" s="50" t="s">
        <v>15951</v>
      </c>
      <c r="AI402" s="50" t="s">
        <v>102</v>
      </c>
      <c r="AJ402" s="50" t="s">
        <v>102</v>
      </c>
      <c r="AK402" s="50" t="s">
        <v>15952</v>
      </c>
      <c r="AL402" s="50" t="s">
        <v>15953</v>
      </c>
      <c r="AM402" s="50" t="s">
        <v>15954</v>
      </c>
      <c r="AN402" s="50" t="s">
        <v>15955</v>
      </c>
      <c r="AO402" s="50" t="s">
        <v>15956</v>
      </c>
      <c r="AP402" s="50" t="s">
        <v>2202</v>
      </c>
      <c r="AQ402" s="50" t="s">
        <v>2202</v>
      </c>
      <c r="AR402" s="50" t="s">
        <v>102</v>
      </c>
      <c r="AS402" s="50" t="s">
        <v>102</v>
      </c>
      <c r="AT402" s="50" t="s">
        <v>102</v>
      </c>
      <c r="AU402" s="50" t="s">
        <v>102</v>
      </c>
      <c r="AV402" s="50" t="s">
        <v>102</v>
      </c>
      <c r="AX402" s="50" t="s">
        <v>102</v>
      </c>
      <c r="AY402" s="50" t="s">
        <v>119</v>
      </c>
      <c r="BB402" s="50" t="s">
        <v>250</v>
      </c>
      <c r="BC402" s="50" t="s">
        <v>120</v>
      </c>
      <c r="BD402" s="50" t="s">
        <v>4889</v>
      </c>
      <c r="BE402" s="50" t="s">
        <v>730</v>
      </c>
      <c r="BF402" s="50" t="s">
        <v>622</v>
      </c>
      <c r="BG402" s="50" t="s">
        <v>730</v>
      </c>
      <c r="BH402" s="50" t="s">
        <v>124</v>
      </c>
      <c r="BI402" s="50" t="s">
        <v>15957</v>
      </c>
      <c r="BJ402" s="50" t="s">
        <v>15958</v>
      </c>
      <c r="BK402" s="50" t="s">
        <v>15624</v>
      </c>
      <c r="BL402" s="50" t="s">
        <v>15959</v>
      </c>
      <c r="BM402" s="50" t="s">
        <v>15960</v>
      </c>
      <c r="BN402" s="50" t="s">
        <v>15961</v>
      </c>
      <c r="BO402" s="50" t="s">
        <v>12383</v>
      </c>
      <c r="BP402" s="50" t="s">
        <v>15962</v>
      </c>
      <c r="BQ402" s="50" t="s">
        <v>2767</v>
      </c>
      <c r="BR402" s="50" t="s">
        <v>15963</v>
      </c>
      <c r="BS402" s="50" t="s">
        <v>15964</v>
      </c>
      <c r="BT402" s="50" t="s">
        <v>15965</v>
      </c>
      <c r="BU402" s="50" t="s">
        <v>15966</v>
      </c>
      <c r="BV402" s="50" t="s">
        <v>15967</v>
      </c>
      <c r="BW402" s="50" t="s">
        <v>15968</v>
      </c>
      <c r="BX402" s="50" t="s">
        <v>138</v>
      </c>
      <c r="BY402" s="50" t="s">
        <v>15969</v>
      </c>
      <c r="BZ402" s="50" t="s">
        <v>15970</v>
      </c>
      <c r="CA402" s="50" t="s">
        <v>15971</v>
      </c>
      <c r="CB402" s="50" t="s">
        <v>15972</v>
      </c>
      <c r="CC402" s="50" t="s">
        <v>15969</v>
      </c>
      <c r="CD402" s="50" t="s">
        <v>15970</v>
      </c>
      <c r="CE402" s="50" t="s">
        <v>15972</v>
      </c>
      <c r="CF402" s="50" t="s">
        <v>15969</v>
      </c>
      <c r="CG402" s="50" t="s">
        <v>15970</v>
      </c>
      <c r="CH402" s="50" t="s">
        <v>15973</v>
      </c>
      <c r="CI402" s="50" t="s">
        <v>15974</v>
      </c>
      <c r="CK402" s="50" t="s">
        <v>15975</v>
      </c>
      <c r="CL402" s="50" t="s">
        <v>15974</v>
      </c>
      <c r="CM402" s="50" t="s">
        <v>4889</v>
      </c>
      <c r="CN402" s="50" t="s">
        <v>730</v>
      </c>
      <c r="CO402" s="50" t="s">
        <v>15975</v>
      </c>
      <c r="CQ402" s="50" t="s">
        <v>15976</v>
      </c>
      <c r="CR402" s="50" t="s">
        <v>15976</v>
      </c>
    </row>
    <row r="403" spans="1:97" hidden="1">
      <c r="A403" s="50" t="s">
        <v>149</v>
      </c>
      <c r="B403" s="50">
        <v>6019</v>
      </c>
      <c r="C403" s="50" t="e">
        <f>VLOOKUP(B403,'Drop schools 2026'!B:C,2,0)</f>
        <v>#N/A</v>
      </c>
      <c r="D403" s="50" t="s">
        <v>212</v>
      </c>
      <c r="E403" s="50" t="s">
        <v>418</v>
      </c>
      <c r="F403" s="50" t="s">
        <v>11266</v>
      </c>
      <c r="G403" s="50" t="e">
        <f>VLOOKUP(B403,aa!B:F,5,0)</f>
        <v>#N/A</v>
      </c>
      <c r="H403" s="50" t="e">
        <f>VLOOKUP(B403,aa!B:J,9,0)</f>
        <v>#N/A</v>
      </c>
      <c r="I403" s="50" t="e">
        <f>VLOOKUP(B403,aa!B:L,11,0)</f>
        <v>#N/A</v>
      </c>
      <c r="J403" s="50" t="e">
        <f>VLOOKUP(B403,aa!B:O,14,0)</f>
        <v>#N/A</v>
      </c>
      <c r="K403" s="50" t="e">
        <f>VLOOKUP(B403,aa!B:R,17,0)</f>
        <v>#N/A</v>
      </c>
      <c r="L403" s="50" t="s">
        <v>97</v>
      </c>
      <c r="M403" s="50">
        <v>349965</v>
      </c>
      <c r="N403" s="50">
        <v>349965</v>
      </c>
      <c r="O403" s="50">
        <v>349965</v>
      </c>
      <c r="P403" s="50">
        <v>700</v>
      </c>
      <c r="Q403" s="50" t="s">
        <v>364</v>
      </c>
      <c r="R403" s="50">
        <v>0</v>
      </c>
      <c r="S403" s="50">
        <v>0</v>
      </c>
      <c r="U403" s="50">
        <v>0</v>
      </c>
      <c r="V403" s="50">
        <v>0</v>
      </c>
      <c r="X403" s="50" t="s">
        <v>102</v>
      </c>
      <c r="Y403" s="50" t="s">
        <v>103</v>
      </c>
      <c r="Z403" s="50" t="s">
        <v>104</v>
      </c>
      <c r="AB403" s="50" t="s">
        <v>8708</v>
      </c>
      <c r="AC403" s="50" t="s">
        <v>21211</v>
      </c>
      <c r="AD403" s="50" t="s">
        <v>5651</v>
      </c>
      <c r="AE403" s="50" t="s">
        <v>21212</v>
      </c>
      <c r="AF403" s="50" t="s">
        <v>109</v>
      </c>
      <c r="AG403" s="50" t="s">
        <v>102</v>
      </c>
      <c r="AH403" s="50" t="s">
        <v>109</v>
      </c>
      <c r="AI403" s="50" t="s">
        <v>102</v>
      </c>
      <c r="AJ403" s="50" t="s">
        <v>21213</v>
      </c>
      <c r="AK403" s="50" t="s">
        <v>12019</v>
      </c>
      <c r="AL403" s="50" t="s">
        <v>21214</v>
      </c>
      <c r="AM403" s="50" t="s">
        <v>21215</v>
      </c>
      <c r="AN403" s="50" t="s">
        <v>21216</v>
      </c>
      <c r="AO403" s="50" t="s">
        <v>21217</v>
      </c>
      <c r="AP403" s="50" t="s">
        <v>2307</v>
      </c>
      <c r="AQ403" s="50" t="s">
        <v>2307</v>
      </c>
      <c r="AV403" s="50" t="s">
        <v>318</v>
      </c>
      <c r="AW403" s="50" t="s">
        <v>118</v>
      </c>
      <c r="AX403" s="50" t="s">
        <v>102</v>
      </c>
      <c r="AY403" s="50" t="s">
        <v>119</v>
      </c>
      <c r="BC403" s="50" t="s">
        <v>120</v>
      </c>
      <c r="BD403" s="50" t="s">
        <v>409</v>
      </c>
      <c r="BE403" s="50" t="s">
        <v>410</v>
      </c>
      <c r="BF403" s="50" t="s">
        <v>212</v>
      </c>
      <c r="BG403" s="50" t="s">
        <v>410</v>
      </c>
      <c r="BH403" s="50" t="s">
        <v>124</v>
      </c>
      <c r="BI403" s="50" t="s">
        <v>5351</v>
      </c>
      <c r="BJ403" s="50" t="s">
        <v>12250</v>
      </c>
      <c r="BK403" s="50" t="s">
        <v>127</v>
      </c>
      <c r="BL403" s="50" t="s">
        <v>21218</v>
      </c>
      <c r="BM403" s="50" t="s">
        <v>11275</v>
      </c>
      <c r="BN403" s="50" t="s">
        <v>21219</v>
      </c>
      <c r="BO403" s="50" t="s">
        <v>13216</v>
      </c>
      <c r="BP403" s="50" t="s">
        <v>866</v>
      </c>
      <c r="BQ403" s="50" t="s">
        <v>132</v>
      </c>
      <c r="BR403" s="50" t="s">
        <v>867</v>
      </c>
      <c r="BS403" s="50" t="s">
        <v>868</v>
      </c>
      <c r="BT403" s="50" t="s">
        <v>222</v>
      </c>
      <c r="BV403" s="50" t="s">
        <v>21220</v>
      </c>
      <c r="BW403" s="50" t="s">
        <v>2312</v>
      </c>
      <c r="BX403" s="50" t="s">
        <v>598</v>
      </c>
      <c r="BY403" s="50" t="s">
        <v>2313</v>
      </c>
      <c r="BZ403" s="50" t="s">
        <v>2314</v>
      </c>
      <c r="CA403" s="50" t="s">
        <v>11278</v>
      </c>
      <c r="CB403" s="50" t="s">
        <v>21221</v>
      </c>
      <c r="CC403" s="50" t="s">
        <v>11278</v>
      </c>
      <c r="CD403" s="50" t="s">
        <v>21222</v>
      </c>
      <c r="CE403" s="50" t="s">
        <v>21221</v>
      </c>
      <c r="CF403" s="50" t="s">
        <v>11278</v>
      </c>
      <c r="CG403" s="50" t="s">
        <v>21222</v>
      </c>
      <c r="CH403" s="50" t="s">
        <v>102</v>
      </c>
      <c r="CI403" s="50" t="s">
        <v>11279</v>
      </c>
      <c r="CK403" s="50" t="s">
        <v>6687</v>
      </c>
      <c r="CM403" s="50" t="s">
        <v>409</v>
      </c>
      <c r="CN403" s="50" t="s">
        <v>410</v>
      </c>
      <c r="CO403" s="50" t="s">
        <v>6687</v>
      </c>
      <c r="CP403" s="50" t="s">
        <v>2319</v>
      </c>
      <c r="CQ403" s="50" t="s">
        <v>11279</v>
      </c>
      <c r="CR403" s="50" t="s">
        <v>11279</v>
      </c>
      <c r="CS403" s="50" t="s">
        <v>26040</v>
      </c>
    </row>
    <row r="404" spans="1:97" hidden="1">
      <c r="A404" s="50" t="s">
        <v>337</v>
      </c>
      <c r="B404" s="50">
        <v>3992445</v>
      </c>
      <c r="C404" s="50" t="e">
        <f>VLOOKUP(B404,'Drop schools 2026'!B:C,2,0)</f>
        <v>#N/A</v>
      </c>
      <c r="D404" s="50" t="s">
        <v>212</v>
      </c>
      <c r="E404" s="50" t="s">
        <v>12423</v>
      </c>
      <c r="F404" s="50" t="s">
        <v>17520</v>
      </c>
      <c r="G404" s="50" t="e">
        <f>VLOOKUP(B404,aa!B:F,5,0)</f>
        <v>#N/A</v>
      </c>
      <c r="H404" s="50" t="e">
        <f>VLOOKUP(B404,aa!B:J,9,0)</f>
        <v>#N/A</v>
      </c>
      <c r="I404" s="50" t="e">
        <f>VLOOKUP(B404,aa!B:L,11,0)</f>
        <v>#N/A</v>
      </c>
      <c r="J404" s="50" t="e">
        <f>VLOOKUP(B404,aa!B:O,14,0)</f>
        <v>#N/A</v>
      </c>
      <c r="K404" s="50" t="e">
        <f>VLOOKUP(B404,aa!B:R,17,0)</f>
        <v>#N/A</v>
      </c>
      <c r="L404" s="50" t="s">
        <v>848</v>
      </c>
      <c r="M404" s="50">
        <v>349244</v>
      </c>
      <c r="N404" s="50">
        <v>412108</v>
      </c>
      <c r="O404" s="50">
        <v>0</v>
      </c>
      <c r="P404" s="50">
        <v>0</v>
      </c>
      <c r="R404" s="50">
        <v>0</v>
      </c>
      <c r="S404" s="50">
        <v>0</v>
      </c>
      <c r="U404" s="50">
        <v>349244</v>
      </c>
      <c r="V404" s="50">
        <v>317</v>
      </c>
      <c r="W404" s="50" t="s">
        <v>17521</v>
      </c>
      <c r="X404" s="50" t="s">
        <v>102</v>
      </c>
      <c r="Y404" s="50" t="s">
        <v>103</v>
      </c>
      <c r="Z404" s="50" t="s">
        <v>155</v>
      </c>
      <c r="AB404" s="50" t="s">
        <v>411</v>
      </c>
      <c r="AC404" s="50" t="s">
        <v>17522</v>
      </c>
      <c r="AD404" s="50" t="s">
        <v>12480</v>
      </c>
      <c r="AE404" s="50" t="s">
        <v>17522</v>
      </c>
      <c r="AF404" s="50" t="s">
        <v>12289</v>
      </c>
      <c r="AG404" s="50" t="s">
        <v>17522</v>
      </c>
      <c r="AH404" s="50" t="s">
        <v>6895</v>
      </c>
      <c r="AI404" s="50" t="s">
        <v>17522</v>
      </c>
      <c r="AJ404" s="50" t="s">
        <v>102</v>
      </c>
      <c r="AK404" s="50" t="s">
        <v>411</v>
      </c>
      <c r="AL404" s="50" t="s">
        <v>14040</v>
      </c>
      <c r="AM404" s="50" t="s">
        <v>17523</v>
      </c>
      <c r="AN404" s="50" t="s">
        <v>17524</v>
      </c>
      <c r="AO404" s="50" t="s">
        <v>17525</v>
      </c>
      <c r="AP404" s="50" t="s">
        <v>17526</v>
      </c>
      <c r="AQ404" s="50" t="s">
        <v>17526</v>
      </c>
      <c r="AV404" s="50" t="s">
        <v>102</v>
      </c>
      <c r="AX404" s="50" t="s">
        <v>102</v>
      </c>
      <c r="AY404" s="50" t="s">
        <v>119</v>
      </c>
      <c r="BB404" s="50" t="s">
        <v>250</v>
      </c>
      <c r="BC404" s="50" t="s">
        <v>120</v>
      </c>
      <c r="BD404" s="50" t="s">
        <v>1552</v>
      </c>
      <c r="BE404" s="50" t="s">
        <v>410</v>
      </c>
      <c r="BF404" s="50" t="s">
        <v>212</v>
      </c>
      <c r="BG404" s="50" t="s">
        <v>410</v>
      </c>
      <c r="BH404" s="50" t="s">
        <v>124</v>
      </c>
      <c r="BI404" s="50" t="s">
        <v>12023</v>
      </c>
      <c r="BJ404" s="50" t="s">
        <v>11889</v>
      </c>
      <c r="BK404" s="50" t="s">
        <v>127</v>
      </c>
      <c r="BL404" s="50" t="s">
        <v>17527</v>
      </c>
      <c r="BM404" s="50" t="s">
        <v>17528</v>
      </c>
      <c r="BN404" s="50" t="s">
        <v>17529</v>
      </c>
      <c r="BO404" s="50" t="s">
        <v>14000</v>
      </c>
      <c r="BP404" s="50" t="s">
        <v>4053</v>
      </c>
      <c r="BQ404" s="50" t="s">
        <v>132</v>
      </c>
      <c r="BR404" s="50" t="s">
        <v>4054</v>
      </c>
      <c r="BS404" s="50" t="s">
        <v>4055</v>
      </c>
      <c r="BT404" s="50" t="s">
        <v>4056</v>
      </c>
      <c r="BV404" s="50" t="s">
        <v>17530</v>
      </c>
      <c r="BW404" s="50" t="s">
        <v>17531</v>
      </c>
      <c r="BY404" s="50" t="s">
        <v>17532</v>
      </c>
      <c r="BZ404" s="50" t="s">
        <v>17533</v>
      </c>
      <c r="CA404" s="50" t="s">
        <v>17534</v>
      </c>
      <c r="CB404" s="50" t="s">
        <v>17535</v>
      </c>
      <c r="CC404" s="50" t="s">
        <v>17536</v>
      </c>
      <c r="CD404" s="50" t="s">
        <v>17537</v>
      </c>
      <c r="CE404" s="50" t="s">
        <v>17535</v>
      </c>
      <c r="CF404" s="50" t="s">
        <v>17536</v>
      </c>
      <c r="CG404" s="50" t="s">
        <v>17537</v>
      </c>
      <c r="CH404" s="50" t="s">
        <v>3841</v>
      </c>
      <c r="CI404" s="50" t="s">
        <v>17538</v>
      </c>
      <c r="CK404" s="50" t="s">
        <v>17539</v>
      </c>
      <c r="CL404" s="50" t="s">
        <v>17540</v>
      </c>
      <c r="CM404" s="50" t="s">
        <v>1552</v>
      </c>
      <c r="CN404" s="50" t="s">
        <v>410</v>
      </c>
      <c r="CO404" s="50" t="s">
        <v>17539</v>
      </c>
      <c r="CQ404" s="50" t="s">
        <v>17541</v>
      </c>
      <c r="CR404" s="50" t="s">
        <v>17541</v>
      </c>
      <c r="CS404" s="50" t="s">
        <v>26047</v>
      </c>
    </row>
    <row r="405" spans="1:97" hidden="1">
      <c r="A405" s="50" t="s">
        <v>93</v>
      </c>
      <c r="B405" s="50">
        <v>519329</v>
      </c>
      <c r="C405" s="50" t="e">
        <f>VLOOKUP(B405,'Drop schools 2026'!B:C,2,0)</f>
        <v>#N/A</v>
      </c>
      <c r="D405" s="50" t="s">
        <v>622</v>
      </c>
      <c r="E405" s="50" t="s">
        <v>985</v>
      </c>
      <c r="F405" s="50" t="s">
        <v>10893</v>
      </c>
      <c r="G405" s="50" t="e">
        <f>VLOOKUP(B405,aa!B:F,5,0)</f>
        <v>#N/A</v>
      </c>
      <c r="H405" s="50" t="e">
        <f>VLOOKUP(B405,aa!B:J,9,0)</f>
        <v>#N/A</v>
      </c>
      <c r="I405" s="50" t="e">
        <f>VLOOKUP(B405,aa!B:L,11,0)</f>
        <v>#N/A</v>
      </c>
      <c r="J405" s="50" t="e">
        <f>VLOOKUP(B405,aa!B:O,14,0)</f>
        <v>#N/A</v>
      </c>
      <c r="K405" s="50" t="e">
        <f>VLOOKUP(B405,aa!B:R,17,0)</f>
        <v>#N/A</v>
      </c>
      <c r="L405" s="50" t="s">
        <v>97</v>
      </c>
      <c r="M405" s="50">
        <v>348570</v>
      </c>
      <c r="N405" s="50">
        <v>348570</v>
      </c>
      <c r="O405" s="50">
        <v>348570</v>
      </c>
      <c r="P405" s="50">
        <v>697</v>
      </c>
      <c r="Q405" s="50" t="s">
        <v>364</v>
      </c>
      <c r="R405" s="50">
        <v>0</v>
      </c>
      <c r="S405" s="50">
        <v>0</v>
      </c>
      <c r="U405" s="50">
        <v>0</v>
      </c>
      <c r="V405" s="50">
        <v>0</v>
      </c>
      <c r="X405" s="50" t="s">
        <v>102</v>
      </c>
      <c r="Y405" s="50" t="s">
        <v>103</v>
      </c>
      <c r="Z405" s="50" t="s">
        <v>104</v>
      </c>
      <c r="AB405" s="50" t="s">
        <v>7020</v>
      </c>
      <c r="AC405" s="50" t="s">
        <v>20997</v>
      </c>
      <c r="AD405" s="50" t="s">
        <v>12099</v>
      </c>
      <c r="AE405" s="50" t="s">
        <v>20997</v>
      </c>
      <c r="AF405" s="50" t="s">
        <v>109</v>
      </c>
      <c r="AG405" s="50" t="s">
        <v>102</v>
      </c>
      <c r="AH405" s="50" t="s">
        <v>109</v>
      </c>
      <c r="AI405" s="50" t="s">
        <v>102</v>
      </c>
      <c r="AJ405" s="50" t="s">
        <v>20998</v>
      </c>
      <c r="AK405" s="50" t="s">
        <v>13216</v>
      </c>
      <c r="AL405" s="50" t="s">
        <v>12470</v>
      </c>
      <c r="AM405" s="50" t="s">
        <v>20999</v>
      </c>
      <c r="AN405" s="50" t="s">
        <v>21000</v>
      </c>
      <c r="AO405" s="50" t="s">
        <v>398</v>
      </c>
      <c r="AP405" s="50" t="s">
        <v>2353</v>
      </c>
      <c r="AQ405" s="50" t="s">
        <v>2353</v>
      </c>
      <c r="AV405" s="50" t="s">
        <v>117</v>
      </c>
      <c r="AW405" s="50" t="s">
        <v>118</v>
      </c>
      <c r="AX405" s="50" t="s">
        <v>102</v>
      </c>
      <c r="AY405" s="50" t="s">
        <v>119</v>
      </c>
      <c r="BC405" s="50" t="s">
        <v>120</v>
      </c>
      <c r="BD405" s="50" t="s">
        <v>8152</v>
      </c>
      <c r="BE405" s="50" t="s">
        <v>621</v>
      </c>
      <c r="BF405" s="50" t="s">
        <v>622</v>
      </c>
      <c r="BG405" s="50" t="s">
        <v>976</v>
      </c>
      <c r="BH405" s="50" t="s">
        <v>124</v>
      </c>
      <c r="BI405" s="50" t="s">
        <v>12023</v>
      </c>
      <c r="BJ405" s="50" t="s">
        <v>11889</v>
      </c>
      <c r="BK405" s="50" t="s">
        <v>127</v>
      </c>
      <c r="BL405" s="50" t="s">
        <v>21001</v>
      </c>
      <c r="BM405" s="50" t="s">
        <v>10899</v>
      </c>
      <c r="BN405" s="50" t="s">
        <v>21002</v>
      </c>
      <c r="BO405" s="50" t="s">
        <v>6768</v>
      </c>
      <c r="BP405" s="50" t="s">
        <v>13638</v>
      </c>
      <c r="BQ405" s="50" t="s">
        <v>132</v>
      </c>
      <c r="BR405" s="50" t="s">
        <v>13639</v>
      </c>
      <c r="BS405" s="50" t="s">
        <v>13640</v>
      </c>
      <c r="BT405" s="50" t="s">
        <v>10901</v>
      </c>
      <c r="BV405" s="50" t="s">
        <v>21003</v>
      </c>
      <c r="BW405" s="50" t="s">
        <v>17509</v>
      </c>
      <c r="BX405" s="50" t="s">
        <v>598</v>
      </c>
      <c r="BY405" s="50" t="s">
        <v>8158</v>
      </c>
      <c r="BZ405" s="50" t="s">
        <v>13643</v>
      </c>
      <c r="CA405" s="50" t="s">
        <v>10903</v>
      </c>
      <c r="CB405" s="50" t="s">
        <v>10904</v>
      </c>
      <c r="CC405" s="50" t="s">
        <v>10905</v>
      </c>
      <c r="CD405" s="50" t="s">
        <v>13643</v>
      </c>
      <c r="CE405" s="50" t="s">
        <v>17509</v>
      </c>
      <c r="CF405" s="50" t="s">
        <v>8158</v>
      </c>
      <c r="CG405" s="50" t="s">
        <v>13643</v>
      </c>
      <c r="CH405" s="50" t="s">
        <v>6290</v>
      </c>
      <c r="CI405" s="50" t="s">
        <v>17510</v>
      </c>
      <c r="CK405" s="50" t="s">
        <v>10907</v>
      </c>
      <c r="CL405" s="50" t="s">
        <v>21004</v>
      </c>
      <c r="CM405" s="50" t="s">
        <v>8152</v>
      </c>
      <c r="CN405" s="50" t="s">
        <v>621</v>
      </c>
      <c r="CO405" s="50" t="s">
        <v>10909</v>
      </c>
      <c r="CP405" s="50" t="s">
        <v>2857</v>
      </c>
      <c r="CQ405" s="50" t="s">
        <v>10910</v>
      </c>
      <c r="CR405" s="50" t="s">
        <v>10911</v>
      </c>
      <c r="CS405" s="50" t="s">
        <v>26040</v>
      </c>
    </row>
    <row r="406" spans="1:97" hidden="1">
      <c r="A406" s="50" t="s">
        <v>93</v>
      </c>
      <c r="B406" s="50">
        <v>620889</v>
      </c>
      <c r="C406" s="50" t="e">
        <f>VLOOKUP(B406,'Drop schools 2026'!B:C,2,0)</f>
        <v>#N/A</v>
      </c>
      <c r="D406" s="50" t="s">
        <v>122</v>
      </c>
      <c r="E406" s="50" t="s">
        <v>12030</v>
      </c>
      <c r="F406" s="50" t="s">
        <v>11363</v>
      </c>
      <c r="G406" s="50" t="e">
        <f>VLOOKUP(B406,aa!B:F,5,0)</f>
        <v>#N/A</v>
      </c>
      <c r="H406" s="50" t="e">
        <f>VLOOKUP(B406,aa!B:J,9,0)</f>
        <v>#N/A</v>
      </c>
      <c r="I406" s="50" t="e">
        <f>VLOOKUP(B406,aa!B:L,11,0)</f>
        <v>#N/A</v>
      </c>
      <c r="J406" s="50" t="e">
        <f>VLOOKUP(B406,aa!B:O,14,0)</f>
        <v>#N/A</v>
      </c>
      <c r="K406" s="50" t="e">
        <f>VLOOKUP(B406,aa!B:R,17,0)</f>
        <v>#N/A</v>
      </c>
      <c r="L406" s="50" t="s">
        <v>97</v>
      </c>
      <c r="M406" s="50">
        <v>345000</v>
      </c>
      <c r="N406" s="50">
        <v>345000</v>
      </c>
      <c r="O406" s="50">
        <v>345000</v>
      </c>
      <c r="P406" s="50">
        <v>460</v>
      </c>
      <c r="Q406" s="50" t="s">
        <v>101</v>
      </c>
      <c r="R406" s="50">
        <v>0</v>
      </c>
      <c r="S406" s="50">
        <v>0</v>
      </c>
      <c r="U406" s="50">
        <v>0</v>
      </c>
      <c r="V406" s="50">
        <v>0</v>
      </c>
      <c r="X406" s="50" t="s">
        <v>102</v>
      </c>
      <c r="Y406" s="50" t="s">
        <v>275</v>
      </c>
      <c r="AA406" s="50" t="s">
        <v>12289</v>
      </c>
      <c r="AB406" s="50" t="s">
        <v>109</v>
      </c>
      <c r="AC406" s="50" t="s">
        <v>102</v>
      </c>
      <c r="AD406" s="50" t="s">
        <v>109</v>
      </c>
      <c r="AE406" s="50" t="s">
        <v>102</v>
      </c>
      <c r="AF406" s="50" t="s">
        <v>109</v>
      </c>
      <c r="AG406" s="50" t="s">
        <v>102</v>
      </c>
      <c r="AH406" s="50" t="s">
        <v>109</v>
      </c>
      <c r="AI406" s="50" t="s">
        <v>102</v>
      </c>
      <c r="AJ406" s="50" t="s">
        <v>21270</v>
      </c>
      <c r="AK406" s="50" t="s">
        <v>14193</v>
      </c>
      <c r="AL406" s="50" t="s">
        <v>14193</v>
      </c>
      <c r="AM406" s="50" t="s">
        <v>21271</v>
      </c>
      <c r="AN406" s="50" t="s">
        <v>21272</v>
      </c>
      <c r="AO406" s="50" t="s">
        <v>101</v>
      </c>
      <c r="AP406" s="50" t="s">
        <v>116</v>
      </c>
      <c r="AQ406" s="50" t="s">
        <v>116</v>
      </c>
      <c r="AV406" s="50" t="s">
        <v>117</v>
      </c>
      <c r="AW406" s="50" t="s">
        <v>118</v>
      </c>
      <c r="AX406" s="50" t="s">
        <v>102</v>
      </c>
      <c r="AY406" s="50" t="s">
        <v>119</v>
      </c>
      <c r="BC406" s="50" t="s">
        <v>1664</v>
      </c>
      <c r="BD406" s="50" t="s">
        <v>11368</v>
      </c>
      <c r="BE406" s="50" t="s">
        <v>2800</v>
      </c>
      <c r="BF406" s="50" t="s">
        <v>122</v>
      </c>
      <c r="BG406" s="50" t="s">
        <v>346</v>
      </c>
      <c r="BH406" s="50" t="s">
        <v>124</v>
      </c>
      <c r="BI406" s="50" t="s">
        <v>12023</v>
      </c>
      <c r="BJ406" s="50" t="s">
        <v>11889</v>
      </c>
      <c r="BK406" s="50" t="s">
        <v>127</v>
      </c>
      <c r="BL406" s="50" t="s">
        <v>21273</v>
      </c>
      <c r="BM406" s="50" t="s">
        <v>11370</v>
      </c>
      <c r="BN406" s="50" t="s">
        <v>21274</v>
      </c>
      <c r="BO406" s="50" t="s">
        <v>16054</v>
      </c>
      <c r="BP406" s="50" t="s">
        <v>4845</v>
      </c>
      <c r="BQ406" s="50" t="s">
        <v>505</v>
      </c>
      <c r="BR406" s="50" t="s">
        <v>4846</v>
      </c>
      <c r="BS406" s="50" t="s">
        <v>4847</v>
      </c>
      <c r="BT406" s="50" t="s">
        <v>8756</v>
      </c>
      <c r="BU406" s="50" t="s">
        <v>5743</v>
      </c>
      <c r="BV406" s="50" t="s">
        <v>21275</v>
      </c>
      <c r="BW406" s="50" t="s">
        <v>21276</v>
      </c>
      <c r="BX406" s="50" t="s">
        <v>569</v>
      </c>
      <c r="BY406" s="50" t="s">
        <v>11374</v>
      </c>
      <c r="BZ406" s="50" t="s">
        <v>11375</v>
      </c>
      <c r="CA406" s="50" t="s">
        <v>11376</v>
      </c>
      <c r="CB406" s="50" t="s">
        <v>21277</v>
      </c>
      <c r="CC406" s="50" t="s">
        <v>21278</v>
      </c>
      <c r="CD406" s="50" t="s">
        <v>21279</v>
      </c>
      <c r="CE406" s="50" t="s">
        <v>11373</v>
      </c>
      <c r="CF406" s="50" t="s">
        <v>11374</v>
      </c>
      <c r="CG406" s="50" t="s">
        <v>11375</v>
      </c>
      <c r="CH406" s="50" t="s">
        <v>11377</v>
      </c>
      <c r="CI406" s="50" t="s">
        <v>11378</v>
      </c>
      <c r="CK406" s="50" t="s">
        <v>11379</v>
      </c>
      <c r="CL406" s="50" t="s">
        <v>21280</v>
      </c>
      <c r="CM406" s="50" t="s">
        <v>11368</v>
      </c>
      <c r="CN406" s="50" t="s">
        <v>2800</v>
      </c>
      <c r="CO406" s="50" t="s">
        <v>11379</v>
      </c>
      <c r="CQ406" s="50" t="s">
        <v>11378</v>
      </c>
      <c r="CR406" s="50" t="s">
        <v>11378</v>
      </c>
    </row>
    <row r="407" spans="1:97" hidden="1">
      <c r="A407" s="50" t="s">
        <v>149</v>
      </c>
      <c r="B407" s="50">
        <v>6662</v>
      </c>
      <c r="C407" s="50" t="e">
        <f>VLOOKUP(B407,'Drop schools 2026'!B:C,2,0)</f>
        <v>#N/A</v>
      </c>
      <c r="D407" s="50" t="s">
        <v>174</v>
      </c>
      <c r="E407" s="50" t="s">
        <v>183</v>
      </c>
      <c r="F407" s="50" t="s">
        <v>11532</v>
      </c>
      <c r="G407" s="50" t="e">
        <f>VLOOKUP(B407,aa!B:F,5,0)</f>
        <v>#N/A</v>
      </c>
      <c r="H407" s="50" t="e">
        <f>VLOOKUP(B407,aa!B:J,9,0)</f>
        <v>#N/A</v>
      </c>
      <c r="I407" s="50" t="e">
        <f>VLOOKUP(B407,aa!B:L,11,0)</f>
        <v>#N/A</v>
      </c>
      <c r="J407" s="50" t="e">
        <f>VLOOKUP(B407,aa!B:O,14,0)</f>
        <v>#N/A</v>
      </c>
      <c r="K407" s="50" t="e">
        <f>VLOOKUP(B407,aa!B:R,17,0)</f>
        <v>#N/A</v>
      </c>
      <c r="L407" s="50" t="s">
        <v>848</v>
      </c>
      <c r="M407" s="50">
        <v>344873</v>
      </c>
      <c r="N407" s="50">
        <v>406950</v>
      </c>
      <c r="O407" s="50">
        <v>0</v>
      </c>
      <c r="P407" s="50">
        <v>0</v>
      </c>
      <c r="R407" s="50">
        <v>0</v>
      </c>
      <c r="S407" s="50">
        <v>0</v>
      </c>
      <c r="U407" s="50">
        <v>344873</v>
      </c>
      <c r="V407" s="50">
        <v>220</v>
      </c>
      <c r="W407" s="50" t="s">
        <v>21414</v>
      </c>
      <c r="X407" s="50" t="s">
        <v>102</v>
      </c>
      <c r="Y407" s="50" t="s">
        <v>103</v>
      </c>
      <c r="Z407" s="50" t="s">
        <v>398</v>
      </c>
      <c r="AB407" s="50" t="s">
        <v>1547</v>
      </c>
      <c r="AC407" s="50" t="s">
        <v>21415</v>
      </c>
      <c r="AD407" s="50" t="s">
        <v>13110</v>
      </c>
      <c r="AE407" s="50" t="s">
        <v>21416</v>
      </c>
      <c r="AF407" s="50" t="s">
        <v>11886</v>
      </c>
      <c r="AG407" s="50" t="s">
        <v>21416</v>
      </c>
      <c r="AH407" s="50" t="s">
        <v>109</v>
      </c>
      <c r="AI407" s="50" t="s">
        <v>102</v>
      </c>
      <c r="AJ407" s="50" t="s">
        <v>21417</v>
      </c>
      <c r="AK407" s="50" t="s">
        <v>8488</v>
      </c>
      <c r="AL407" s="50" t="s">
        <v>12609</v>
      </c>
      <c r="AM407" s="50" t="s">
        <v>21418</v>
      </c>
      <c r="AN407" s="50" t="s">
        <v>21419</v>
      </c>
      <c r="AO407" s="50" t="s">
        <v>21420</v>
      </c>
      <c r="AP407" s="50" t="s">
        <v>21421</v>
      </c>
      <c r="AQ407" s="50" t="s">
        <v>21421</v>
      </c>
      <c r="AV407" s="50" t="s">
        <v>102</v>
      </c>
      <c r="AX407" s="50" t="s">
        <v>102</v>
      </c>
      <c r="AY407" s="50" t="s">
        <v>119</v>
      </c>
      <c r="BB407" s="50" t="s">
        <v>250</v>
      </c>
      <c r="BC407" s="50" t="s">
        <v>120</v>
      </c>
      <c r="BD407" s="50" t="s">
        <v>11543</v>
      </c>
      <c r="BE407" s="50" t="s">
        <v>4404</v>
      </c>
      <c r="BF407" s="50" t="s">
        <v>174</v>
      </c>
      <c r="BG407" s="50" t="s">
        <v>4405</v>
      </c>
      <c r="BH407" s="50" t="s">
        <v>124</v>
      </c>
      <c r="BI407" s="50" t="s">
        <v>11959</v>
      </c>
      <c r="BJ407" s="50" t="s">
        <v>11889</v>
      </c>
      <c r="BK407" s="50" t="s">
        <v>127</v>
      </c>
      <c r="BL407" s="50" t="s">
        <v>21422</v>
      </c>
      <c r="BM407" s="50" t="s">
        <v>11545</v>
      </c>
      <c r="BN407" s="50" t="s">
        <v>21423</v>
      </c>
      <c r="BO407" s="50" t="s">
        <v>12425</v>
      </c>
      <c r="BP407" s="50" t="s">
        <v>179</v>
      </c>
      <c r="BQ407" s="50" t="s">
        <v>180</v>
      </c>
      <c r="BR407" s="50" t="s">
        <v>181</v>
      </c>
      <c r="BS407" s="50" t="s">
        <v>182</v>
      </c>
      <c r="BT407" s="50" t="s">
        <v>4413</v>
      </c>
      <c r="BV407" s="50" t="s">
        <v>21424</v>
      </c>
      <c r="BW407" s="50" t="s">
        <v>11548</v>
      </c>
      <c r="BX407" s="50" t="s">
        <v>138</v>
      </c>
      <c r="BY407" s="50" t="s">
        <v>11549</v>
      </c>
      <c r="BZ407" s="50" t="s">
        <v>21425</v>
      </c>
      <c r="CA407" s="50" t="s">
        <v>11549</v>
      </c>
      <c r="CB407" s="50" t="s">
        <v>11548</v>
      </c>
      <c r="CC407" s="50" t="s">
        <v>11549</v>
      </c>
      <c r="CD407" s="50" t="s">
        <v>21425</v>
      </c>
      <c r="CE407" s="50" t="s">
        <v>21426</v>
      </c>
      <c r="CF407" s="50" t="s">
        <v>21427</v>
      </c>
      <c r="CG407" s="50" t="s">
        <v>21428</v>
      </c>
      <c r="CH407" s="50" t="s">
        <v>102</v>
      </c>
      <c r="CI407" s="50" t="s">
        <v>2831</v>
      </c>
      <c r="CK407" s="50" t="s">
        <v>11552</v>
      </c>
      <c r="CM407" s="50" t="s">
        <v>11543</v>
      </c>
      <c r="CN407" s="50" t="s">
        <v>4404</v>
      </c>
      <c r="CO407" s="50" t="s">
        <v>11552</v>
      </c>
      <c r="CP407" s="50" t="s">
        <v>11553</v>
      </c>
      <c r="CQ407" s="50" t="s">
        <v>11551</v>
      </c>
      <c r="CR407" s="50" t="s">
        <v>11551</v>
      </c>
    </row>
    <row r="408" spans="1:97">
      <c r="A408" s="50" t="s">
        <v>337</v>
      </c>
      <c r="B408" s="50">
        <v>1114832</v>
      </c>
      <c r="C408" s="50" t="e">
        <f>VLOOKUP(B408,'Drop schools 2026'!B:C,2,0)</f>
        <v>#N/A</v>
      </c>
      <c r="D408" s="50" t="s">
        <v>122</v>
      </c>
      <c r="E408" s="50" t="s">
        <v>12121</v>
      </c>
      <c r="F408" s="52" t="s">
        <v>12120</v>
      </c>
      <c r="G408" s="50" t="e">
        <f>VLOOKUP(B408,aa!B:F,5,0)</f>
        <v>#N/A</v>
      </c>
      <c r="H408" s="50" t="e">
        <f>VLOOKUP(B408,aa!B:J,9,0)</f>
        <v>#N/A</v>
      </c>
      <c r="I408" s="50" t="e">
        <f>VLOOKUP(B408,aa!B:L,11,0)</f>
        <v>#N/A</v>
      </c>
      <c r="J408" s="50" t="e">
        <f>VLOOKUP(B408,aa!B:O,14,0)</f>
        <v>#N/A</v>
      </c>
      <c r="K408" s="50" t="e">
        <f>VLOOKUP(B408,aa!B:R,17,0)</f>
        <v>#N/A</v>
      </c>
      <c r="L408" s="50" t="s">
        <v>152</v>
      </c>
      <c r="M408" s="50">
        <v>343024</v>
      </c>
      <c r="N408" s="50">
        <v>343024</v>
      </c>
      <c r="O408" s="50">
        <v>0</v>
      </c>
      <c r="P408" s="50">
        <v>0</v>
      </c>
      <c r="R408" s="50">
        <v>343024</v>
      </c>
      <c r="S408" s="50">
        <v>245</v>
      </c>
      <c r="T408" s="50" t="s">
        <v>4289</v>
      </c>
      <c r="U408" s="50">
        <v>0</v>
      </c>
      <c r="V408" s="50">
        <v>0</v>
      </c>
      <c r="X408" s="50" t="s">
        <v>102</v>
      </c>
      <c r="Y408" s="50" t="s">
        <v>103</v>
      </c>
      <c r="Z408" s="50" t="s">
        <v>104</v>
      </c>
      <c r="AB408" s="50" t="s">
        <v>5022</v>
      </c>
      <c r="AC408" s="50" t="s">
        <v>12122</v>
      </c>
      <c r="AD408" s="50" t="s">
        <v>12123</v>
      </c>
      <c r="AE408" s="50" t="s">
        <v>12124</v>
      </c>
      <c r="AF408" s="50" t="s">
        <v>109</v>
      </c>
      <c r="AG408" s="50" t="s">
        <v>102</v>
      </c>
      <c r="AH408" s="50" t="s">
        <v>109</v>
      </c>
      <c r="AI408" s="50" t="s">
        <v>102</v>
      </c>
      <c r="AJ408" s="50" t="s">
        <v>102</v>
      </c>
      <c r="AK408" s="50" t="s">
        <v>158</v>
      </c>
      <c r="AL408" s="50" t="s">
        <v>158</v>
      </c>
      <c r="AM408" s="50" t="s">
        <v>12125</v>
      </c>
      <c r="AN408" s="50" t="s">
        <v>12126</v>
      </c>
      <c r="AO408" s="50" t="s">
        <v>12127</v>
      </c>
      <c r="AP408" s="50" t="s">
        <v>4298</v>
      </c>
      <c r="AQ408" s="50" t="s">
        <v>4298</v>
      </c>
      <c r="AV408" s="50" t="s">
        <v>102</v>
      </c>
      <c r="AX408" s="50" t="s">
        <v>155</v>
      </c>
      <c r="AY408" s="50" t="s">
        <v>119</v>
      </c>
      <c r="AZ408" s="50" t="s">
        <v>170</v>
      </c>
      <c r="BA408" s="50" t="s">
        <v>118</v>
      </c>
      <c r="BC408" s="50" t="s">
        <v>120</v>
      </c>
      <c r="BD408" s="50" t="s">
        <v>9564</v>
      </c>
      <c r="BE408" s="50" t="s">
        <v>556</v>
      </c>
      <c r="BF408" s="50" t="s">
        <v>122</v>
      </c>
      <c r="BG408" s="50" t="s">
        <v>557</v>
      </c>
      <c r="BH408" s="50" t="s">
        <v>124</v>
      </c>
      <c r="BI408" s="50" t="s">
        <v>12128</v>
      </c>
      <c r="BJ408" s="50" t="s">
        <v>12129</v>
      </c>
      <c r="BK408" s="50" t="s">
        <v>127</v>
      </c>
      <c r="BL408" s="50" t="s">
        <v>12130</v>
      </c>
      <c r="BM408" s="50" t="s">
        <v>12131</v>
      </c>
      <c r="BN408" s="50" t="s">
        <v>12132</v>
      </c>
      <c r="BO408" s="50" t="s">
        <v>5022</v>
      </c>
      <c r="BP408" s="50" t="s">
        <v>563</v>
      </c>
      <c r="BQ408" s="50" t="s">
        <v>350</v>
      </c>
      <c r="BR408" s="50" t="s">
        <v>564</v>
      </c>
      <c r="BS408" s="50" t="s">
        <v>565</v>
      </c>
      <c r="BT408" s="50" t="s">
        <v>563</v>
      </c>
      <c r="BV408" s="50" t="s">
        <v>12133</v>
      </c>
      <c r="BW408" s="50" t="s">
        <v>12134</v>
      </c>
      <c r="BX408" s="50" t="s">
        <v>138</v>
      </c>
      <c r="BY408" s="50" t="s">
        <v>12135</v>
      </c>
      <c r="BZ408" s="50" t="s">
        <v>12136</v>
      </c>
      <c r="CA408" s="50" t="s">
        <v>12137</v>
      </c>
      <c r="CB408" s="50" t="s">
        <v>12138</v>
      </c>
      <c r="CC408" s="50" t="s">
        <v>12139</v>
      </c>
      <c r="CD408" s="50" t="s">
        <v>12136</v>
      </c>
      <c r="CE408" s="50" t="s">
        <v>12138</v>
      </c>
      <c r="CF408" s="50" t="s">
        <v>12139</v>
      </c>
      <c r="CG408" s="50" t="s">
        <v>12136</v>
      </c>
      <c r="CH408" s="50" t="s">
        <v>10583</v>
      </c>
      <c r="CI408" s="50" t="s">
        <v>12140</v>
      </c>
      <c r="CK408" s="50" t="s">
        <v>9563</v>
      </c>
      <c r="CL408" s="50" t="s">
        <v>12141</v>
      </c>
      <c r="CM408" s="50" t="s">
        <v>9564</v>
      </c>
      <c r="CN408" s="50" t="s">
        <v>556</v>
      </c>
      <c r="CO408" s="50" t="s">
        <v>9563</v>
      </c>
      <c r="CQ408" s="50" t="s">
        <v>12142</v>
      </c>
      <c r="CR408" s="50" t="s">
        <v>12143</v>
      </c>
    </row>
    <row r="409" spans="1:97" hidden="1">
      <c r="A409" s="50" t="s">
        <v>93</v>
      </c>
      <c r="B409" s="50">
        <v>5017780</v>
      </c>
      <c r="C409" s="50" t="e">
        <f>VLOOKUP(B409,'Drop schools 2026'!B:C,2,0)</f>
        <v>#N/A</v>
      </c>
      <c r="D409" s="50" t="s">
        <v>212</v>
      </c>
      <c r="E409" s="50" t="s">
        <v>12423</v>
      </c>
      <c r="F409" s="50" t="s">
        <v>10193</v>
      </c>
      <c r="G409" s="50" t="str">
        <f>VLOOKUP(B409,aa!B:F,5,0)</f>
        <v>Ei Mindspark</v>
      </c>
      <c r="H409" s="50">
        <f>VLOOKUP(B409,aa!B:J,9,0)</f>
        <v>295422</v>
      </c>
      <c r="I409" s="50">
        <f>VLOOKUP(B409,aa!B:L,11,0)</f>
        <v>0</v>
      </c>
      <c r="J409" s="50">
        <f>VLOOKUP(B409,aa!B:O,14,0)</f>
        <v>0</v>
      </c>
      <c r="K409" s="50">
        <f>VLOOKUP(B409,aa!B:R,17,0)</f>
        <v>295422</v>
      </c>
      <c r="L409" s="50" t="s">
        <v>848</v>
      </c>
      <c r="M409" s="50">
        <v>342417</v>
      </c>
      <c r="N409" s="50">
        <v>404052</v>
      </c>
      <c r="O409" s="50">
        <v>0</v>
      </c>
      <c r="P409" s="50">
        <v>0</v>
      </c>
      <c r="R409" s="50">
        <v>0</v>
      </c>
      <c r="S409" s="50">
        <v>0</v>
      </c>
      <c r="U409" s="50">
        <v>342417</v>
      </c>
      <c r="V409" s="50">
        <v>202</v>
      </c>
      <c r="W409" s="50" t="s">
        <v>2007</v>
      </c>
      <c r="X409" s="50" t="s">
        <v>102</v>
      </c>
      <c r="Y409" s="50" t="s">
        <v>103</v>
      </c>
      <c r="Z409" s="50" t="s">
        <v>155</v>
      </c>
      <c r="AB409" s="50" t="s">
        <v>6918</v>
      </c>
      <c r="AC409" s="50" t="s">
        <v>19125</v>
      </c>
      <c r="AD409" s="50" t="s">
        <v>11932</v>
      </c>
      <c r="AE409" s="50" t="s">
        <v>19126</v>
      </c>
      <c r="AF409" s="50" t="s">
        <v>12467</v>
      </c>
      <c r="AG409" s="50" t="s">
        <v>19126</v>
      </c>
      <c r="AH409" s="50" t="s">
        <v>11952</v>
      </c>
      <c r="AI409" s="50" t="s">
        <v>19126</v>
      </c>
      <c r="AJ409" s="50" t="s">
        <v>19127</v>
      </c>
      <c r="AK409" s="50" t="s">
        <v>1941</v>
      </c>
      <c r="AL409" s="50" t="s">
        <v>15933</v>
      </c>
      <c r="AM409" s="50" t="s">
        <v>19128</v>
      </c>
      <c r="AN409" s="50" t="s">
        <v>19129</v>
      </c>
      <c r="AO409" s="50" t="s">
        <v>19130</v>
      </c>
      <c r="AP409" s="50" t="s">
        <v>9445</v>
      </c>
      <c r="AQ409" s="50" t="s">
        <v>9445</v>
      </c>
      <c r="AV409" s="50" t="s">
        <v>102</v>
      </c>
      <c r="AX409" s="50" t="s">
        <v>102</v>
      </c>
      <c r="AY409" s="50" t="s">
        <v>119</v>
      </c>
      <c r="BB409" s="50" t="s">
        <v>250</v>
      </c>
      <c r="BC409" s="50" t="s">
        <v>120</v>
      </c>
      <c r="BD409" s="50" t="s">
        <v>10200</v>
      </c>
      <c r="BE409" s="50" t="s">
        <v>410</v>
      </c>
      <c r="BF409" s="50" t="s">
        <v>212</v>
      </c>
      <c r="BG409" s="50" t="s">
        <v>410</v>
      </c>
      <c r="BH409" s="50" t="s">
        <v>124</v>
      </c>
      <c r="BI409" s="50" t="s">
        <v>12023</v>
      </c>
      <c r="BJ409" s="50" t="s">
        <v>11889</v>
      </c>
      <c r="BK409" s="50" t="s">
        <v>127</v>
      </c>
      <c r="BL409" s="50" t="s">
        <v>19131</v>
      </c>
      <c r="BM409" s="50" t="s">
        <v>10202</v>
      </c>
      <c r="BN409" s="50" t="s">
        <v>19132</v>
      </c>
      <c r="BO409" s="50" t="s">
        <v>6134</v>
      </c>
      <c r="BP409" s="50" t="s">
        <v>896</v>
      </c>
      <c r="BQ409" s="50" t="s">
        <v>132</v>
      </c>
      <c r="BR409" s="50" t="s">
        <v>897</v>
      </c>
      <c r="BS409" s="50" t="s">
        <v>898</v>
      </c>
      <c r="BT409" s="50" t="s">
        <v>899</v>
      </c>
      <c r="BV409" s="50" t="s">
        <v>19133</v>
      </c>
      <c r="BW409" s="50" t="s">
        <v>10205</v>
      </c>
      <c r="BX409" s="50" t="s">
        <v>354</v>
      </c>
      <c r="BY409" s="50" t="s">
        <v>10206</v>
      </c>
      <c r="BZ409" s="50" t="s">
        <v>10207</v>
      </c>
      <c r="CA409" s="50" t="s">
        <v>10206</v>
      </c>
      <c r="CB409" s="50" t="s">
        <v>19134</v>
      </c>
      <c r="CC409" s="50" t="s">
        <v>10206</v>
      </c>
      <c r="CD409" s="50" t="s">
        <v>10207</v>
      </c>
      <c r="CE409" s="50" t="s">
        <v>19135</v>
      </c>
      <c r="CF409" s="50" t="s">
        <v>10206</v>
      </c>
      <c r="CG409" s="50" t="s">
        <v>10207</v>
      </c>
      <c r="CH409" s="50" t="s">
        <v>3968</v>
      </c>
      <c r="CI409" s="50" t="s">
        <v>10210</v>
      </c>
      <c r="CK409" s="50" t="s">
        <v>10211</v>
      </c>
      <c r="CL409" s="50" t="s">
        <v>10210</v>
      </c>
      <c r="CM409" s="50" t="s">
        <v>10200</v>
      </c>
      <c r="CN409" s="50" t="s">
        <v>10076</v>
      </c>
      <c r="CO409" s="50" t="s">
        <v>10211</v>
      </c>
      <c r="CP409" s="50" t="s">
        <v>10212</v>
      </c>
      <c r="CQ409" s="50" t="s">
        <v>10210</v>
      </c>
      <c r="CR409" s="50" t="s">
        <v>10210</v>
      </c>
      <c r="CS409" s="50" t="s">
        <v>26043</v>
      </c>
    </row>
    <row r="410" spans="1:97" hidden="1">
      <c r="A410" s="50" t="s">
        <v>93</v>
      </c>
      <c r="B410" s="50">
        <v>3507484</v>
      </c>
      <c r="C410" s="50" t="e">
        <f>VLOOKUP(B410,'Drop schools 2026'!B:C,2,0)</f>
        <v>#N/A</v>
      </c>
      <c r="D410" s="50" t="s">
        <v>122</v>
      </c>
      <c r="E410" s="50" t="s">
        <v>12121</v>
      </c>
      <c r="F410" s="50" t="s">
        <v>6439</v>
      </c>
      <c r="G410" s="50" t="e">
        <f>VLOOKUP(B410,aa!B:F,5,0)</f>
        <v>#N/A</v>
      </c>
      <c r="H410" s="50" t="e">
        <f>VLOOKUP(B410,aa!B:J,9,0)</f>
        <v>#N/A</v>
      </c>
      <c r="I410" s="50" t="e">
        <f>VLOOKUP(B410,aa!B:L,11,0)</f>
        <v>#N/A</v>
      </c>
      <c r="J410" s="50" t="e">
        <f>VLOOKUP(B410,aa!B:O,14,0)</f>
        <v>#N/A</v>
      </c>
      <c r="K410" s="50" t="e">
        <f>VLOOKUP(B410,aa!B:R,17,0)</f>
        <v>#N/A</v>
      </c>
      <c r="L410" s="50" t="s">
        <v>152</v>
      </c>
      <c r="M410" s="50">
        <v>340545</v>
      </c>
      <c r="N410" s="50">
        <v>340545</v>
      </c>
      <c r="O410" s="50">
        <v>0</v>
      </c>
      <c r="P410" s="50">
        <v>0</v>
      </c>
      <c r="R410" s="50">
        <v>340545</v>
      </c>
      <c r="S410" s="50">
        <v>227</v>
      </c>
      <c r="T410" s="50" t="s">
        <v>6441</v>
      </c>
      <c r="U410" s="50">
        <v>0</v>
      </c>
      <c r="V410" s="50">
        <v>0</v>
      </c>
      <c r="X410" s="50" t="s">
        <v>102</v>
      </c>
      <c r="Y410" s="50" t="s">
        <v>103</v>
      </c>
      <c r="Z410" s="50" t="s">
        <v>398</v>
      </c>
      <c r="AB410" s="50" t="s">
        <v>11976</v>
      </c>
      <c r="AC410" s="50" t="s">
        <v>16295</v>
      </c>
      <c r="AD410" s="50" t="s">
        <v>12427</v>
      </c>
      <c r="AE410" s="50" t="s">
        <v>16296</v>
      </c>
      <c r="AF410" s="50" t="s">
        <v>12713</v>
      </c>
      <c r="AG410" s="50" t="s">
        <v>16295</v>
      </c>
      <c r="AH410" s="50" t="s">
        <v>109</v>
      </c>
      <c r="AI410" s="50" t="s">
        <v>102</v>
      </c>
      <c r="AJ410" s="50" t="s">
        <v>102</v>
      </c>
      <c r="AK410" s="50" t="s">
        <v>13174</v>
      </c>
      <c r="AL410" s="50" t="s">
        <v>12063</v>
      </c>
      <c r="AM410" s="50" t="s">
        <v>16297</v>
      </c>
      <c r="AN410" s="50" t="s">
        <v>16298</v>
      </c>
      <c r="AO410" s="50" t="s">
        <v>16299</v>
      </c>
      <c r="AP410" s="50" t="s">
        <v>6447</v>
      </c>
      <c r="AQ410" s="50" t="s">
        <v>6447</v>
      </c>
      <c r="AV410" s="50" t="s">
        <v>102</v>
      </c>
      <c r="AX410" s="50" t="s">
        <v>155</v>
      </c>
      <c r="AY410" s="50" t="s">
        <v>119</v>
      </c>
      <c r="AZ410" s="50" t="s">
        <v>170</v>
      </c>
      <c r="BA410" s="50" t="s">
        <v>118</v>
      </c>
      <c r="BC410" s="50" t="s">
        <v>209</v>
      </c>
      <c r="BD410" s="50" t="s">
        <v>6448</v>
      </c>
      <c r="BE410" s="50" t="s">
        <v>556</v>
      </c>
      <c r="BF410" s="50" t="s">
        <v>122</v>
      </c>
      <c r="BG410" s="50" t="s">
        <v>557</v>
      </c>
      <c r="BH410" s="50" t="s">
        <v>124</v>
      </c>
      <c r="BI410" s="50" t="s">
        <v>11976</v>
      </c>
      <c r="BJ410" s="50" t="s">
        <v>11889</v>
      </c>
      <c r="BK410" s="50" t="s">
        <v>127</v>
      </c>
      <c r="BL410" s="50" t="s">
        <v>16300</v>
      </c>
      <c r="BM410" s="50" t="s">
        <v>6450</v>
      </c>
      <c r="BN410" s="50" t="s">
        <v>16301</v>
      </c>
      <c r="BO410" s="50" t="s">
        <v>14292</v>
      </c>
      <c r="BP410" s="50" t="s">
        <v>563</v>
      </c>
      <c r="BQ410" s="50" t="s">
        <v>350</v>
      </c>
      <c r="BR410" s="50" t="s">
        <v>564</v>
      </c>
      <c r="BS410" s="50" t="s">
        <v>565</v>
      </c>
      <c r="BT410" s="50" t="s">
        <v>563</v>
      </c>
      <c r="BV410" s="50" t="s">
        <v>16302</v>
      </c>
      <c r="BW410" s="50" t="s">
        <v>6453</v>
      </c>
      <c r="BX410" s="50" t="s">
        <v>138</v>
      </c>
      <c r="BY410" s="50" t="s">
        <v>6456</v>
      </c>
      <c r="BZ410" s="50" t="s">
        <v>6455</v>
      </c>
      <c r="CA410" s="50" t="s">
        <v>6456</v>
      </c>
      <c r="CB410" s="50" t="s">
        <v>6453</v>
      </c>
      <c r="CC410" s="50" t="s">
        <v>6456</v>
      </c>
      <c r="CD410" s="50" t="s">
        <v>6455</v>
      </c>
      <c r="CE410" s="50" t="s">
        <v>16303</v>
      </c>
      <c r="CF410" s="50" t="s">
        <v>6456</v>
      </c>
      <c r="CG410" s="50" t="s">
        <v>15605</v>
      </c>
      <c r="CH410" s="50" t="s">
        <v>6457</v>
      </c>
      <c r="CI410" s="50" t="s">
        <v>16304</v>
      </c>
      <c r="CK410" s="50" t="s">
        <v>6459</v>
      </c>
      <c r="CL410" s="50" t="s">
        <v>16305</v>
      </c>
      <c r="CM410" s="50" t="s">
        <v>6448</v>
      </c>
      <c r="CN410" s="50" t="s">
        <v>556</v>
      </c>
      <c r="CO410" s="50" t="s">
        <v>6459</v>
      </c>
      <c r="CQ410" s="50" t="s">
        <v>6458</v>
      </c>
      <c r="CR410" s="50" t="s">
        <v>6458</v>
      </c>
    </row>
    <row r="411" spans="1:97">
      <c r="A411" s="50" t="s">
        <v>337</v>
      </c>
      <c r="B411" s="50">
        <v>5055276</v>
      </c>
      <c r="C411" s="50" t="str">
        <f>VLOOKUP(B411,RISK!B:C,2,0)</f>
        <v>Risk</v>
      </c>
      <c r="D411" s="50" t="s">
        <v>122</v>
      </c>
      <c r="E411" s="50" t="s">
        <v>11882</v>
      </c>
      <c r="F411" s="52" t="s">
        <v>20637</v>
      </c>
      <c r="G411" s="50" t="e">
        <f>VLOOKUP(B411,aa!B:F,5,0)</f>
        <v>#N/A</v>
      </c>
      <c r="H411" s="50" t="e">
        <f>VLOOKUP(B411,aa!B:J,9,0)</f>
        <v>#N/A</v>
      </c>
      <c r="I411" s="50" t="e">
        <f>VLOOKUP(B411,aa!B:L,11,0)</f>
        <v>#N/A</v>
      </c>
      <c r="J411" s="50" t="e">
        <f>VLOOKUP(B411,aa!B:O,14,0)</f>
        <v>#N/A</v>
      </c>
      <c r="K411" s="50" t="e">
        <f>VLOOKUP(B411,aa!B:R,17,0)</f>
        <v>#N/A</v>
      </c>
      <c r="L411" s="50" t="s">
        <v>152</v>
      </c>
      <c r="M411" s="50">
        <v>340208</v>
      </c>
      <c r="N411" s="50">
        <v>340208</v>
      </c>
      <c r="O411" s="50">
        <v>0</v>
      </c>
      <c r="P411" s="50">
        <v>0</v>
      </c>
      <c r="R411" s="50">
        <v>340208</v>
      </c>
      <c r="S411" s="50">
        <v>378</v>
      </c>
      <c r="T411" s="50" t="s">
        <v>2451</v>
      </c>
      <c r="U411" s="50">
        <v>0</v>
      </c>
      <c r="V411" s="50">
        <v>0</v>
      </c>
      <c r="X411" s="50" t="s">
        <v>102</v>
      </c>
      <c r="Y411" s="50" t="s">
        <v>103</v>
      </c>
      <c r="Z411" s="50" t="s">
        <v>104</v>
      </c>
      <c r="AB411" s="50" t="s">
        <v>1165</v>
      </c>
      <c r="AC411" s="50" t="s">
        <v>20638</v>
      </c>
      <c r="AD411" s="50" t="s">
        <v>12084</v>
      </c>
      <c r="AE411" s="50" t="s">
        <v>20638</v>
      </c>
      <c r="AF411" s="50" t="s">
        <v>109</v>
      </c>
      <c r="AG411" s="50" t="s">
        <v>102</v>
      </c>
      <c r="AH411" s="50" t="s">
        <v>109</v>
      </c>
      <c r="AI411" s="50" t="s">
        <v>102</v>
      </c>
      <c r="AJ411" s="50" t="s">
        <v>20639</v>
      </c>
      <c r="AK411" s="50" t="s">
        <v>13832</v>
      </c>
      <c r="AL411" s="50" t="s">
        <v>14415</v>
      </c>
      <c r="AM411" s="50" t="s">
        <v>20640</v>
      </c>
      <c r="AN411" s="50" t="s">
        <v>20641</v>
      </c>
      <c r="AO411" s="50" t="s">
        <v>115</v>
      </c>
      <c r="AP411" s="50" t="s">
        <v>20642</v>
      </c>
      <c r="AQ411" s="50" t="s">
        <v>20642</v>
      </c>
      <c r="AV411" s="50" t="s">
        <v>102</v>
      </c>
      <c r="AX411" s="50" t="s">
        <v>104</v>
      </c>
      <c r="AY411" s="50" t="s">
        <v>447</v>
      </c>
      <c r="AZ411" s="50" t="s">
        <v>170</v>
      </c>
      <c r="BA411" s="50" t="s">
        <v>118</v>
      </c>
      <c r="BC411" s="50" t="s">
        <v>1964</v>
      </c>
      <c r="BD411" s="50" t="s">
        <v>448</v>
      </c>
      <c r="BE411" s="50" t="s">
        <v>449</v>
      </c>
      <c r="BF411" s="50" t="s">
        <v>122</v>
      </c>
      <c r="BG411" s="50" t="s">
        <v>450</v>
      </c>
      <c r="BH411" s="50" t="s">
        <v>124</v>
      </c>
      <c r="BI411" s="50" t="s">
        <v>10729</v>
      </c>
      <c r="BJ411" s="50" t="s">
        <v>11889</v>
      </c>
      <c r="BK411" s="50" t="s">
        <v>127</v>
      </c>
      <c r="BL411" s="50" t="s">
        <v>20643</v>
      </c>
      <c r="BM411" s="50" t="s">
        <v>20644</v>
      </c>
      <c r="BN411" s="50" t="s">
        <v>20645</v>
      </c>
      <c r="BO411" s="50" t="s">
        <v>1165</v>
      </c>
      <c r="BP411" s="50" t="s">
        <v>131</v>
      </c>
      <c r="BQ411" s="50" t="s">
        <v>350</v>
      </c>
      <c r="BR411" s="50" t="s">
        <v>133</v>
      </c>
      <c r="BS411" s="50" t="s">
        <v>134</v>
      </c>
      <c r="BT411" s="50" t="s">
        <v>455</v>
      </c>
      <c r="BV411" s="50" t="s">
        <v>20646</v>
      </c>
      <c r="BW411" s="50" t="s">
        <v>20647</v>
      </c>
      <c r="BX411" s="50" t="s">
        <v>138</v>
      </c>
      <c r="BY411" s="50" t="s">
        <v>20648</v>
      </c>
      <c r="BZ411" s="50" t="s">
        <v>20649</v>
      </c>
      <c r="CA411" s="50" t="s">
        <v>20648</v>
      </c>
      <c r="CB411" s="50" t="s">
        <v>20647</v>
      </c>
      <c r="CC411" s="50" t="s">
        <v>20650</v>
      </c>
      <c r="CD411" s="50" t="s">
        <v>20649</v>
      </c>
      <c r="CE411" s="50" t="s">
        <v>20651</v>
      </c>
      <c r="CF411" s="50" t="s">
        <v>20652</v>
      </c>
      <c r="CG411" s="50" t="s">
        <v>20653</v>
      </c>
      <c r="CH411" s="50" t="s">
        <v>3805</v>
      </c>
      <c r="CI411" s="50" t="s">
        <v>20654</v>
      </c>
      <c r="CK411" s="50" t="s">
        <v>20655</v>
      </c>
      <c r="CM411" s="50" t="s">
        <v>448</v>
      </c>
      <c r="CN411" s="50" t="s">
        <v>449</v>
      </c>
      <c r="CO411" s="50" t="s">
        <v>20655</v>
      </c>
      <c r="CP411" s="50" t="s">
        <v>20656</v>
      </c>
      <c r="CQ411" s="50" t="s">
        <v>20657</v>
      </c>
      <c r="CR411" s="50" t="s">
        <v>20657</v>
      </c>
    </row>
    <row r="412" spans="1:97" hidden="1">
      <c r="A412" s="50" t="s">
        <v>93</v>
      </c>
      <c r="B412" s="50">
        <v>3999846</v>
      </c>
      <c r="C412" s="50" t="e">
        <f>VLOOKUP(B412,'Drop schools 2026'!B:C,2,0)</f>
        <v>#N/A</v>
      </c>
      <c r="D412" s="50" t="s">
        <v>212</v>
      </c>
      <c r="E412" s="50" t="s">
        <v>418</v>
      </c>
      <c r="F412" s="50" t="s">
        <v>8501</v>
      </c>
      <c r="G412" s="50" t="str">
        <f>VLOOKUP(B412,aa!B:F,5,0)</f>
        <v>Ei ASSET</v>
      </c>
      <c r="H412" s="50">
        <f>VLOOKUP(B412,aa!B:J,9,0)</f>
        <v>452250</v>
      </c>
      <c r="I412" s="50">
        <f>VLOOKUP(B412,aa!B:L,11,0)</f>
        <v>452250</v>
      </c>
      <c r="J412" s="50">
        <f>VLOOKUP(B412,aa!B:O,14,0)</f>
        <v>0</v>
      </c>
      <c r="K412" s="50">
        <f>VLOOKUP(B412,aa!B:R,17,0)</f>
        <v>0</v>
      </c>
      <c r="L412" s="50" t="s">
        <v>97</v>
      </c>
      <c r="M412" s="50">
        <v>339187</v>
      </c>
      <c r="N412" s="50">
        <v>339187</v>
      </c>
      <c r="O412" s="50">
        <v>339187</v>
      </c>
      <c r="P412" s="50">
        <v>675</v>
      </c>
      <c r="Q412" s="50" t="s">
        <v>17855</v>
      </c>
      <c r="R412" s="50">
        <v>0</v>
      </c>
      <c r="S412" s="50">
        <v>0</v>
      </c>
      <c r="U412" s="50">
        <v>0</v>
      </c>
      <c r="V412" s="50">
        <v>0</v>
      </c>
      <c r="X412" s="50" t="s">
        <v>102</v>
      </c>
      <c r="Y412" s="50" t="s">
        <v>103</v>
      </c>
      <c r="Z412" s="50" t="s">
        <v>104</v>
      </c>
      <c r="AB412" s="50" t="s">
        <v>1097</v>
      </c>
      <c r="AC412" s="50" t="s">
        <v>17856</v>
      </c>
      <c r="AD412" s="50" t="s">
        <v>6895</v>
      </c>
      <c r="AE412" s="50" t="s">
        <v>17856</v>
      </c>
      <c r="AF412" s="50" t="s">
        <v>109</v>
      </c>
      <c r="AG412" s="50" t="s">
        <v>102</v>
      </c>
      <c r="AH412" s="50" t="s">
        <v>109</v>
      </c>
      <c r="AI412" s="50" t="s">
        <v>102</v>
      </c>
      <c r="AJ412" s="50" t="s">
        <v>17857</v>
      </c>
      <c r="AK412" s="50" t="s">
        <v>1604</v>
      </c>
      <c r="AL412" s="50" t="s">
        <v>12573</v>
      </c>
      <c r="AM412" s="50" t="s">
        <v>17858</v>
      </c>
      <c r="AN412" s="50" t="s">
        <v>17859</v>
      </c>
      <c r="AO412" s="50" t="s">
        <v>102</v>
      </c>
      <c r="AP412" s="50" t="s">
        <v>17860</v>
      </c>
      <c r="AQ412" s="50" t="s">
        <v>17860</v>
      </c>
      <c r="AV412" s="50" t="s">
        <v>117</v>
      </c>
      <c r="AW412" s="50" t="s">
        <v>118</v>
      </c>
      <c r="AX412" s="50" t="s">
        <v>102</v>
      </c>
      <c r="AY412" s="50" t="s">
        <v>119</v>
      </c>
      <c r="BC412" s="50" t="s">
        <v>120</v>
      </c>
      <c r="BD412" s="50" t="s">
        <v>8509</v>
      </c>
      <c r="BE412" s="50" t="s">
        <v>410</v>
      </c>
      <c r="BF412" s="50" t="s">
        <v>212</v>
      </c>
      <c r="BG412" s="50" t="s">
        <v>410</v>
      </c>
      <c r="BH412" s="50" t="s">
        <v>124</v>
      </c>
      <c r="BI412" s="50" t="s">
        <v>12023</v>
      </c>
      <c r="BJ412" s="50" t="s">
        <v>11889</v>
      </c>
      <c r="BK412" s="50" t="s">
        <v>127</v>
      </c>
      <c r="BL412" s="50" t="s">
        <v>17861</v>
      </c>
      <c r="BM412" s="50" t="s">
        <v>8511</v>
      </c>
      <c r="BN412" s="50" t="s">
        <v>17862</v>
      </c>
      <c r="BO412" s="50" t="s">
        <v>1097</v>
      </c>
      <c r="BP412" s="50" t="s">
        <v>4955</v>
      </c>
      <c r="BQ412" s="50" t="s">
        <v>132</v>
      </c>
      <c r="BR412" s="50" t="s">
        <v>4956</v>
      </c>
      <c r="BS412" s="50" t="s">
        <v>4957</v>
      </c>
      <c r="BT412" s="50" t="s">
        <v>1702</v>
      </c>
      <c r="BU412" s="50" t="s">
        <v>900</v>
      </c>
      <c r="BV412" s="50" t="s">
        <v>17863</v>
      </c>
      <c r="BW412" s="50" t="s">
        <v>17864</v>
      </c>
      <c r="BX412" s="50" t="s">
        <v>138</v>
      </c>
      <c r="BY412" s="50" t="s">
        <v>8515</v>
      </c>
      <c r="BZ412" s="50" t="s">
        <v>17865</v>
      </c>
      <c r="CA412" s="50" t="s">
        <v>8517</v>
      </c>
      <c r="CB412" s="50" t="s">
        <v>17866</v>
      </c>
      <c r="CC412" s="50" t="s">
        <v>17867</v>
      </c>
      <c r="CD412" s="50" t="s">
        <v>8516</v>
      </c>
      <c r="CE412" s="50" t="s">
        <v>17868</v>
      </c>
      <c r="CF412" s="50" t="s">
        <v>17867</v>
      </c>
      <c r="CG412" s="50" t="s">
        <v>17869</v>
      </c>
      <c r="CH412" s="50" t="s">
        <v>3968</v>
      </c>
      <c r="CI412" s="50" t="s">
        <v>8518</v>
      </c>
      <c r="CK412" s="50" t="s">
        <v>8519</v>
      </c>
      <c r="CL412" s="50" t="s">
        <v>17870</v>
      </c>
      <c r="CM412" s="50" t="s">
        <v>8509</v>
      </c>
      <c r="CN412" s="50" t="s">
        <v>410</v>
      </c>
      <c r="CO412" s="50" t="s">
        <v>8519</v>
      </c>
      <c r="CP412" s="50" t="s">
        <v>8520</v>
      </c>
      <c r="CQ412" s="50" t="s">
        <v>8518</v>
      </c>
      <c r="CR412" s="50" t="s">
        <v>8518</v>
      </c>
      <c r="CS412" s="50" t="s">
        <v>26040</v>
      </c>
    </row>
    <row r="413" spans="1:97" hidden="1">
      <c r="A413" s="50" t="s">
        <v>337</v>
      </c>
      <c r="B413" s="50">
        <v>1110834</v>
      </c>
      <c r="C413" s="50" t="e">
        <f>VLOOKUP(B413,'Drop schools 2026'!B:C,2,0)</f>
        <v>#N/A</v>
      </c>
      <c r="D413" s="50" t="s">
        <v>174</v>
      </c>
      <c r="E413" s="50" t="s">
        <v>12096</v>
      </c>
      <c r="F413" s="50" t="s">
        <v>12095</v>
      </c>
      <c r="G413" s="50" t="e">
        <f>VLOOKUP(B413,aa!B:F,5,0)</f>
        <v>#N/A</v>
      </c>
      <c r="H413" s="50" t="e">
        <f>VLOOKUP(B413,aa!B:J,9,0)</f>
        <v>#N/A</v>
      </c>
      <c r="I413" s="50" t="e">
        <f>VLOOKUP(B413,aa!B:L,11,0)</f>
        <v>#N/A</v>
      </c>
      <c r="J413" s="50" t="e">
        <f>VLOOKUP(B413,aa!B:O,14,0)</f>
        <v>#N/A</v>
      </c>
      <c r="K413" s="50" t="e">
        <f>VLOOKUP(B413,aa!B:R,17,0)</f>
        <v>#N/A</v>
      </c>
      <c r="L413" s="50" t="s">
        <v>152</v>
      </c>
      <c r="M413" s="50">
        <v>337680</v>
      </c>
      <c r="N413" s="50">
        <v>337680</v>
      </c>
      <c r="O413" s="50">
        <v>0</v>
      </c>
      <c r="P413" s="50">
        <v>0</v>
      </c>
      <c r="R413" s="50">
        <v>337680</v>
      </c>
      <c r="S413" s="50">
        <v>201</v>
      </c>
      <c r="T413" s="50" t="s">
        <v>12097</v>
      </c>
      <c r="U413" s="50">
        <v>0</v>
      </c>
      <c r="V413" s="50">
        <v>0</v>
      </c>
      <c r="X413" s="50" t="s">
        <v>102</v>
      </c>
      <c r="Y413" s="50" t="s">
        <v>103</v>
      </c>
      <c r="Z413" s="50" t="s">
        <v>155</v>
      </c>
      <c r="AB413" s="50" t="s">
        <v>1202</v>
      </c>
      <c r="AC413" s="50" t="s">
        <v>12098</v>
      </c>
      <c r="AD413" s="50" t="s">
        <v>12040</v>
      </c>
      <c r="AE413" s="50" t="s">
        <v>12098</v>
      </c>
      <c r="AF413" s="50" t="s">
        <v>12099</v>
      </c>
      <c r="AG413" s="50" t="s">
        <v>12098</v>
      </c>
      <c r="AH413" s="50" t="s">
        <v>11886</v>
      </c>
      <c r="AI413" s="50" t="s">
        <v>12098</v>
      </c>
      <c r="AJ413" s="50" t="s">
        <v>102</v>
      </c>
      <c r="AK413" s="50" t="s">
        <v>12100</v>
      </c>
      <c r="AL413" s="50" t="s">
        <v>12100</v>
      </c>
      <c r="AM413" s="50" t="s">
        <v>12101</v>
      </c>
      <c r="AN413" s="50" t="s">
        <v>12102</v>
      </c>
      <c r="AO413" s="50" t="s">
        <v>12103</v>
      </c>
      <c r="AP413" s="50" t="s">
        <v>4168</v>
      </c>
      <c r="AQ413" s="50" t="s">
        <v>4168</v>
      </c>
      <c r="AV413" s="50" t="s">
        <v>102</v>
      </c>
      <c r="AX413" s="50" t="s">
        <v>155</v>
      </c>
      <c r="AY413" s="50" t="s">
        <v>447</v>
      </c>
      <c r="AZ413" s="50" t="s">
        <v>170</v>
      </c>
      <c r="BA413" s="50" t="s">
        <v>118</v>
      </c>
      <c r="BC413" s="50" t="s">
        <v>120</v>
      </c>
      <c r="BD413" s="50" t="s">
        <v>12104</v>
      </c>
      <c r="BE413" s="50" t="s">
        <v>1208</v>
      </c>
      <c r="BF413" s="50" t="s">
        <v>174</v>
      </c>
      <c r="BG413" s="50" t="s">
        <v>1172</v>
      </c>
      <c r="BH413" s="50" t="s">
        <v>124</v>
      </c>
      <c r="BI413" s="50" t="s">
        <v>12023</v>
      </c>
      <c r="BJ413" s="50" t="s">
        <v>11889</v>
      </c>
      <c r="BK413" s="50" t="s">
        <v>127</v>
      </c>
      <c r="BL413" s="50" t="s">
        <v>12105</v>
      </c>
      <c r="BM413" s="50" t="s">
        <v>12106</v>
      </c>
      <c r="BN413" s="50" t="s">
        <v>12107</v>
      </c>
      <c r="BO413" s="50" t="s">
        <v>3993</v>
      </c>
      <c r="BP413" s="50" t="s">
        <v>1212</v>
      </c>
      <c r="BQ413" s="50" t="s">
        <v>180</v>
      </c>
      <c r="BR413" s="50" t="s">
        <v>1213</v>
      </c>
      <c r="BS413" s="50" t="s">
        <v>1214</v>
      </c>
      <c r="BT413" s="50" t="s">
        <v>1215</v>
      </c>
      <c r="BV413" s="50" t="s">
        <v>12108</v>
      </c>
      <c r="BW413" s="50" t="s">
        <v>12109</v>
      </c>
      <c r="BX413" s="50" t="s">
        <v>598</v>
      </c>
      <c r="BY413" s="50" t="s">
        <v>12110</v>
      </c>
      <c r="BZ413" s="50" t="s">
        <v>12111</v>
      </c>
      <c r="CA413" s="50" t="s">
        <v>12110</v>
      </c>
      <c r="CB413" s="50" t="s">
        <v>12112</v>
      </c>
      <c r="CC413" s="50" t="s">
        <v>12113</v>
      </c>
      <c r="CD413" s="50" t="s">
        <v>12114</v>
      </c>
      <c r="CE413" s="50" t="s">
        <v>12109</v>
      </c>
      <c r="CF413" s="50" t="s">
        <v>12110</v>
      </c>
      <c r="CG413" s="50" t="s">
        <v>12111</v>
      </c>
      <c r="CH413" s="50" t="s">
        <v>12115</v>
      </c>
      <c r="CI413" s="50" t="s">
        <v>12116</v>
      </c>
      <c r="CK413" s="50" t="s">
        <v>12117</v>
      </c>
      <c r="CL413" s="50" t="s">
        <v>12118</v>
      </c>
      <c r="CM413" s="50" t="s">
        <v>12104</v>
      </c>
      <c r="CN413" s="50" t="s">
        <v>1208</v>
      </c>
      <c r="CO413" s="50" t="s">
        <v>12117</v>
      </c>
      <c r="CQ413" s="50" t="s">
        <v>12119</v>
      </c>
      <c r="CR413" s="50" t="s">
        <v>12116</v>
      </c>
      <c r="CS413" s="50" t="s">
        <v>26046</v>
      </c>
    </row>
    <row r="414" spans="1:97" hidden="1">
      <c r="A414" s="50" t="s">
        <v>495</v>
      </c>
      <c r="B414" s="50">
        <v>2561674</v>
      </c>
      <c r="C414" s="50" t="e">
        <f>VLOOKUP(B414,'Drop schools 2026'!B:C,2,0)</f>
        <v>#N/A</v>
      </c>
      <c r="D414" s="50" t="s">
        <v>622</v>
      </c>
      <c r="E414" s="50" t="s">
        <v>3562</v>
      </c>
      <c r="F414" s="50" t="s">
        <v>4079</v>
      </c>
      <c r="G414" s="50" t="e">
        <f>VLOOKUP(B414,aa!B:F,5,0)</f>
        <v>#N/A</v>
      </c>
      <c r="H414" s="50" t="e">
        <f>VLOOKUP(B414,aa!B:J,9,0)</f>
        <v>#N/A</v>
      </c>
      <c r="I414" s="50" t="e">
        <f>VLOOKUP(B414,aa!B:L,11,0)</f>
        <v>#N/A</v>
      </c>
      <c r="J414" s="50" t="e">
        <f>VLOOKUP(B414,aa!B:O,14,0)</f>
        <v>#N/A</v>
      </c>
      <c r="K414" s="50" t="e">
        <f>VLOOKUP(B414,aa!B:R,17,0)</f>
        <v>#N/A</v>
      </c>
      <c r="L414" s="50" t="s">
        <v>193</v>
      </c>
      <c r="M414" s="50">
        <v>337061</v>
      </c>
      <c r="N414" s="50">
        <v>394783</v>
      </c>
      <c r="O414" s="50">
        <v>16386</v>
      </c>
      <c r="P414" s="50">
        <v>51</v>
      </c>
      <c r="Q414" s="50" t="s">
        <v>14545</v>
      </c>
      <c r="R414" s="50">
        <v>0</v>
      </c>
      <c r="S414" s="50">
        <v>0</v>
      </c>
      <c r="U414" s="50">
        <v>320675</v>
      </c>
      <c r="V414" s="50">
        <v>210</v>
      </c>
      <c r="W414" s="50" t="s">
        <v>14546</v>
      </c>
      <c r="X414" s="50" t="s">
        <v>102</v>
      </c>
      <c r="Y414" s="50" t="s">
        <v>275</v>
      </c>
      <c r="AA414" s="50" t="s">
        <v>14547</v>
      </c>
      <c r="AB414" s="50" t="s">
        <v>109</v>
      </c>
      <c r="AC414" s="50" t="s">
        <v>102</v>
      </c>
      <c r="AD414" s="50" t="s">
        <v>109</v>
      </c>
      <c r="AE414" s="50" t="s">
        <v>102</v>
      </c>
      <c r="AF414" s="50" t="s">
        <v>109</v>
      </c>
      <c r="AG414" s="50" t="s">
        <v>102</v>
      </c>
      <c r="AH414" s="50" t="s">
        <v>109</v>
      </c>
      <c r="AI414" s="50" t="s">
        <v>102</v>
      </c>
      <c r="AJ414" s="50" t="s">
        <v>102</v>
      </c>
      <c r="AM414" s="50" t="s">
        <v>14548</v>
      </c>
      <c r="AN414" s="50" t="s">
        <v>102</v>
      </c>
      <c r="AO414" s="50" t="s">
        <v>14548</v>
      </c>
      <c r="AP414" s="50" t="s">
        <v>14549</v>
      </c>
      <c r="AQ414" s="50" t="s">
        <v>14550</v>
      </c>
      <c r="AU414" s="50" t="s">
        <v>169</v>
      </c>
      <c r="AV414" s="50" t="s">
        <v>207</v>
      </c>
      <c r="AW414" s="50" t="s">
        <v>118</v>
      </c>
      <c r="AX414" s="50" t="s">
        <v>102</v>
      </c>
      <c r="AY414" s="50" t="s">
        <v>119</v>
      </c>
      <c r="BB414" s="50" t="s">
        <v>250</v>
      </c>
      <c r="BC414" s="50" t="s">
        <v>209</v>
      </c>
      <c r="BD414" s="50" t="s">
        <v>1729</v>
      </c>
      <c r="BE414" s="50" t="s">
        <v>730</v>
      </c>
      <c r="BF414" s="50" t="s">
        <v>622</v>
      </c>
      <c r="BG414" s="50" t="s">
        <v>730</v>
      </c>
      <c r="BH414" s="50" t="s">
        <v>124</v>
      </c>
      <c r="BI414" s="50" t="s">
        <v>11976</v>
      </c>
      <c r="BJ414" s="50" t="s">
        <v>12720</v>
      </c>
      <c r="BK414" s="50" t="s">
        <v>127</v>
      </c>
      <c r="BL414" s="50" t="s">
        <v>14551</v>
      </c>
      <c r="BM414" s="50" t="s">
        <v>4091</v>
      </c>
      <c r="BN414" s="50" t="s">
        <v>14552</v>
      </c>
      <c r="BO414" s="50" t="s">
        <v>14544</v>
      </c>
      <c r="BP414" s="50" t="s">
        <v>734</v>
      </c>
      <c r="BQ414" s="50" t="s">
        <v>180</v>
      </c>
      <c r="BR414" s="50" t="s">
        <v>735</v>
      </c>
      <c r="BS414" s="50" t="s">
        <v>736</v>
      </c>
      <c r="BT414" s="50" t="s">
        <v>737</v>
      </c>
      <c r="BV414" s="50" t="s">
        <v>14553</v>
      </c>
      <c r="BW414" s="50" t="s">
        <v>6852</v>
      </c>
      <c r="BX414" s="50" t="s">
        <v>569</v>
      </c>
      <c r="BY414" s="50" t="s">
        <v>4098</v>
      </c>
      <c r="BZ414" s="50" t="s">
        <v>4099</v>
      </c>
      <c r="CA414" s="50" t="s">
        <v>1740</v>
      </c>
      <c r="CB414" s="50" t="s">
        <v>6852</v>
      </c>
      <c r="CC414" s="50" t="s">
        <v>4098</v>
      </c>
      <c r="CD414" s="50" t="s">
        <v>4099</v>
      </c>
      <c r="CE414" s="50" t="s">
        <v>6852</v>
      </c>
      <c r="CF414" s="50" t="s">
        <v>4098</v>
      </c>
      <c r="CG414" s="50" t="s">
        <v>4099</v>
      </c>
      <c r="CH414" s="50" t="s">
        <v>4101</v>
      </c>
      <c r="CI414" s="50" t="s">
        <v>4102</v>
      </c>
      <c r="CK414" s="50" t="s">
        <v>4103</v>
      </c>
      <c r="CL414" s="50" t="s">
        <v>4102</v>
      </c>
      <c r="CM414" s="50" t="s">
        <v>1729</v>
      </c>
      <c r="CN414" s="50" t="s">
        <v>730</v>
      </c>
      <c r="CO414" s="50" t="s">
        <v>4103</v>
      </c>
      <c r="CP414" s="50" t="s">
        <v>4104</v>
      </c>
      <c r="CQ414" s="50" t="s">
        <v>4102</v>
      </c>
      <c r="CR414" s="50" t="s">
        <v>4102</v>
      </c>
    </row>
    <row r="415" spans="1:97" hidden="1">
      <c r="A415" s="50" t="s">
        <v>337</v>
      </c>
      <c r="B415" s="50">
        <v>214868</v>
      </c>
      <c r="C415" s="50" t="e">
        <f>VLOOKUP(B415,'Drop schools 2026'!B:C,2,0)</f>
        <v>#N/A</v>
      </c>
      <c r="D415" s="50" t="s">
        <v>174</v>
      </c>
      <c r="E415" s="50" t="s">
        <v>183</v>
      </c>
      <c r="F415" s="50" t="s">
        <v>13600</v>
      </c>
      <c r="G415" s="50" t="e">
        <f>VLOOKUP(B415,aa!B:F,5,0)</f>
        <v>#N/A</v>
      </c>
      <c r="H415" s="50" t="e">
        <f>VLOOKUP(B415,aa!B:J,9,0)</f>
        <v>#N/A</v>
      </c>
      <c r="I415" s="50" t="e">
        <f>VLOOKUP(B415,aa!B:L,11,0)</f>
        <v>#N/A</v>
      </c>
      <c r="J415" s="50" t="e">
        <f>VLOOKUP(B415,aa!B:O,14,0)</f>
        <v>#N/A</v>
      </c>
      <c r="K415" s="50" t="e">
        <f>VLOOKUP(B415,aa!B:R,17,0)</f>
        <v>#N/A</v>
      </c>
      <c r="L415" s="50" t="s">
        <v>97</v>
      </c>
      <c r="M415" s="50">
        <v>335820</v>
      </c>
      <c r="N415" s="50">
        <v>335820</v>
      </c>
      <c r="O415" s="50">
        <v>335820</v>
      </c>
      <c r="P415" s="50">
        <v>580</v>
      </c>
      <c r="Q415" s="50" t="s">
        <v>13601</v>
      </c>
      <c r="R415" s="50">
        <v>0</v>
      </c>
      <c r="S415" s="50">
        <v>0</v>
      </c>
      <c r="U415" s="50">
        <v>0</v>
      </c>
      <c r="V415" s="50">
        <v>0</v>
      </c>
      <c r="X415" s="50" t="s">
        <v>102</v>
      </c>
      <c r="Y415" s="50" t="s">
        <v>103</v>
      </c>
      <c r="Z415" s="50" t="s">
        <v>104</v>
      </c>
      <c r="AB415" s="50" t="s">
        <v>13602</v>
      </c>
      <c r="AC415" s="50" t="s">
        <v>13603</v>
      </c>
      <c r="AD415" s="50" t="s">
        <v>8708</v>
      </c>
      <c r="AE415" s="50" t="s">
        <v>13604</v>
      </c>
      <c r="AF415" s="50" t="s">
        <v>109</v>
      </c>
      <c r="AG415" s="50" t="s">
        <v>102</v>
      </c>
      <c r="AH415" s="50" t="s">
        <v>109</v>
      </c>
      <c r="AI415" s="50" t="s">
        <v>102</v>
      </c>
      <c r="AJ415" s="50" t="s">
        <v>102</v>
      </c>
      <c r="AK415" s="50" t="s">
        <v>8488</v>
      </c>
      <c r="AL415" s="50" t="s">
        <v>8488</v>
      </c>
      <c r="AM415" s="50" t="s">
        <v>13605</v>
      </c>
      <c r="AN415" s="50" t="s">
        <v>13606</v>
      </c>
      <c r="AO415" s="50" t="s">
        <v>13607</v>
      </c>
      <c r="AP415" s="50" t="s">
        <v>13608</v>
      </c>
      <c r="AQ415" s="50" t="s">
        <v>13608</v>
      </c>
      <c r="AV415" s="50" t="s">
        <v>318</v>
      </c>
      <c r="AW415" s="50" t="s">
        <v>118</v>
      </c>
      <c r="AX415" s="50" t="s">
        <v>102</v>
      </c>
      <c r="AY415" s="50" t="s">
        <v>119</v>
      </c>
      <c r="BC415" s="50" t="s">
        <v>171</v>
      </c>
      <c r="BD415" s="50" t="s">
        <v>8802</v>
      </c>
      <c r="BE415" s="50" t="s">
        <v>6595</v>
      </c>
      <c r="BF415" s="50" t="s">
        <v>174</v>
      </c>
      <c r="BG415" s="50" t="s">
        <v>4405</v>
      </c>
      <c r="BH415" s="50" t="s">
        <v>124</v>
      </c>
      <c r="BI415" s="50" t="s">
        <v>5694</v>
      </c>
      <c r="BJ415" s="50" t="s">
        <v>11886</v>
      </c>
      <c r="BK415" s="50" t="s">
        <v>127</v>
      </c>
      <c r="BL415" s="50" t="s">
        <v>13609</v>
      </c>
      <c r="BM415" s="50" t="s">
        <v>13610</v>
      </c>
      <c r="BN415" s="50" t="s">
        <v>13611</v>
      </c>
      <c r="BO415" s="50" t="s">
        <v>12496</v>
      </c>
      <c r="BP415" s="50" t="s">
        <v>5531</v>
      </c>
      <c r="BQ415" s="50" t="s">
        <v>180</v>
      </c>
      <c r="BR415" s="50" t="s">
        <v>5532</v>
      </c>
      <c r="BS415" s="50" t="s">
        <v>5533</v>
      </c>
      <c r="BT415" s="50" t="s">
        <v>4413</v>
      </c>
      <c r="BU415" s="50" t="s">
        <v>13612</v>
      </c>
      <c r="BV415" s="50" t="s">
        <v>13613</v>
      </c>
      <c r="BW415" s="50" t="s">
        <v>13614</v>
      </c>
      <c r="BX415" s="50" t="s">
        <v>138</v>
      </c>
      <c r="BY415" s="50" t="s">
        <v>13615</v>
      </c>
      <c r="BZ415" s="50" t="s">
        <v>13616</v>
      </c>
      <c r="CA415" s="50" t="s">
        <v>13617</v>
      </c>
      <c r="CB415" s="50" t="s">
        <v>13614</v>
      </c>
      <c r="CC415" s="50" t="s">
        <v>13615</v>
      </c>
      <c r="CD415" s="50" t="s">
        <v>13616</v>
      </c>
      <c r="CE415" s="50" t="s">
        <v>13614</v>
      </c>
      <c r="CF415" s="50" t="s">
        <v>13615</v>
      </c>
      <c r="CG415" s="50" t="s">
        <v>13616</v>
      </c>
      <c r="CH415" s="50" t="s">
        <v>13618</v>
      </c>
      <c r="CI415" s="50" t="s">
        <v>8802</v>
      </c>
      <c r="CK415" s="50" t="s">
        <v>13619</v>
      </c>
      <c r="CL415" s="50" t="s">
        <v>13620</v>
      </c>
      <c r="CM415" s="50" t="s">
        <v>8802</v>
      </c>
      <c r="CN415" s="50" t="s">
        <v>6595</v>
      </c>
      <c r="CO415" s="50" t="s">
        <v>13619</v>
      </c>
      <c r="CQ415" s="50" t="s">
        <v>13621</v>
      </c>
      <c r="CR415" s="50" t="s">
        <v>13621</v>
      </c>
      <c r="CS415" s="50" t="s">
        <v>26043</v>
      </c>
    </row>
    <row r="416" spans="1:97" hidden="1">
      <c r="A416" s="50" t="s">
        <v>337</v>
      </c>
      <c r="B416" s="50">
        <v>700517</v>
      </c>
      <c r="C416" s="50" t="e">
        <f>VLOOKUP(B416,'Drop schools 2026'!B:C,2,0)</f>
        <v>#N/A</v>
      </c>
      <c r="D416" s="50" t="s">
        <v>174</v>
      </c>
      <c r="E416" s="50" t="s">
        <v>19847</v>
      </c>
      <c r="F416" s="50" t="s">
        <v>21429</v>
      </c>
      <c r="G416" s="50" t="e">
        <f>VLOOKUP(B416,aa!B:F,5,0)</f>
        <v>#N/A</v>
      </c>
      <c r="H416" s="50" t="e">
        <f>VLOOKUP(B416,aa!B:J,9,0)</f>
        <v>#N/A</v>
      </c>
      <c r="I416" s="50" t="e">
        <f>VLOOKUP(B416,aa!B:L,11,0)</f>
        <v>#N/A</v>
      </c>
      <c r="J416" s="50" t="e">
        <f>VLOOKUP(B416,aa!B:O,14,0)</f>
        <v>#N/A</v>
      </c>
      <c r="K416" s="50" t="e">
        <f>VLOOKUP(B416,aa!B:R,17,0)</f>
        <v>#N/A</v>
      </c>
      <c r="L416" s="50" t="s">
        <v>643</v>
      </c>
      <c r="M416" s="50">
        <v>335764</v>
      </c>
      <c r="N416" s="50">
        <v>361703</v>
      </c>
      <c r="O416" s="50">
        <v>0</v>
      </c>
      <c r="P416" s="50">
        <v>0</v>
      </c>
      <c r="R416" s="50">
        <v>191660</v>
      </c>
      <c r="S416" s="50">
        <v>152</v>
      </c>
      <c r="T416" s="50" t="s">
        <v>1197</v>
      </c>
      <c r="U416" s="50">
        <v>144104</v>
      </c>
      <c r="V416" s="50">
        <v>170</v>
      </c>
      <c r="W416" s="50" t="s">
        <v>19950</v>
      </c>
      <c r="X416" s="50" t="s">
        <v>102</v>
      </c>
      <c r="Y416" s="50" t="s">
        <v>103</v>
      </c>
      <c r="Z416" s="50" t="s">
        <v>155</v>
      </c>
      <c r="AB416" s="50" t="s">
        <v>21430</v>
      </c>
      <c r="AC416" s="50" t="s">
        <v>21431</v>
      </c>
      <c r="AD416" s="50" t="s">
        <v>11976</v>
      </c>
      <c r="AE416" s="50" t="s">
        <v>21432</v>
      </c>
      <c r="AF416" s="50" t="s">
        <v>11888</v>
      </c>
      <c r="AG416" s="50" t="s">
        <v>21432</v>
      </c>
      <c r="AH416" s="50" t="s">
        <v>12084</v>
      </c>
      <c r="AI416" s="50" t="s">
        <v>21433</v>
      </c>
      <c r="AJ416" s="50" t="s">
        <v>102</v>
      </c>
      <c r="AK416" s="50" t="s">
        <v>21434</v>
      </c>
      <c r="AL416" s="50" t="s">
        <v>21435</v>
      </c>
      <c r="AM416" s="50" t="s">
        <v>21436</v>
      </c>
      <c r="AN416" s="50" t="s">
        <v>21437</v>
      </c>
      <c r="AO416" s="50" t="s">
        <v>21438</v>
      </c>
      <c r="AP416" s="50" t="s">
        <v>21439</v>
      </c>
      <c r="AQ416" s="50" t="s">
        <v>21439</v>
      </c>
      <c r="AV416" s="50" t="s">
        <v>102</v>
      </c>
      <c r="AX416" s="50" t="s">
        <v>1103</v>
      </c>
      <c r="AY416" s="50" t="s">
        <v>249</v>
      </c>
      <c r="AZ416" s="50" t="s">
        <v>170</v>
      </c>
      <c r="BA416" s="50" t="s">
        <v>118</v>
      </c>
      <c r="BB416" s="50" t="s">
        <v>250</v>
      </c>
      <c r="BC416" s="50" t="s">
        <v>171</v>
      </c>
      <c r="BD416" s="50" t="s">
        <v>13207</v>
      </c>
      <c r="BE416" s="50" t="s">
        <v>376</v>
      </c>
      <c r="BF416" s="50" t="s">
        <v>174</v>
      </c>
      <c r="BG416" s="50" t="s">
        <v>376</v>
      </c>
      <c r="BH416" s="50" t="s">
        <v>124</v>
      </c>
      <c r="BI416" s="50" t="s">
        <v>21440</v>
      </c>
      <c r="BJ416" s="50" t="s">
        <v>11889</v>
      </c>
      <c r="BK416" s="50" t="s">
        <v>127</v>
      </c>
      <c r="BL416" s="50" t="s">
        <v>21441</v>
      </c>
      <c r="BM416" s="50" t="s">
        <v>21442</v>
      </c>
      <c r="BN416" s="50" t="s">
        <v>21443</v>
      </c>
      <c r="BO416" s="50" t="s">
        <v>21430</v>
      </c>
      <c r="BP416" s="50" t="s">
        <v>6926</v>
      </c>
      <c r="BQ416" s="50" t="s">
        <v>180</v>
      </c>
      <c r="BR416" s="50" t="s">
        <v>6927</v>
      </c>
      <c r="BS416" s="50" t="s">
        <v>6928</v>
      </c>
      <c r="BT416" s="50" t="s">
        <v>1858</v>
      </c>
      <c r="BV416" s="50" t="s">
        <v>21444</v>
      </c>
      <c r="BW416" s="50" t="s">
        <v>21445</v>
      </c>
      <c r="BX416" s="50" t="s">
        <v>138</v>
      </c>
      <c r="BY416" s="50" t="s">
        <v>21446</v>
      </c>
      <c r="BZ416" s="50" t="s">
        <v>21447</v>
      </c>
      <c r="CA416" s="50" t="s">
        <v>21448</v>
      </c>
      <c r="CB416" s="50" t="s">
        <v>21445</v>
      </c>
      <c r="CC416" s="50" t="s">
        <v>21446</v>
      </c>
      <c r="CD416" s="50" t="s">
        <v>21447</v>
      </c>
      <c r="CE416" s="50" t="s">
        <v>21445</v>
      </c>
      <c r="CF416" s="50" t="s">
        <v>21446</v>
      </c>
      <c r="CG416" s="50" t="s">
        <v>21447</v>
      </c>
      <c r="CH416" s="50" t="s">
        <v>21449</v>
      </c>
      <c r="CI416" s="50" t="s">
        <v>21450</v>
      </c>
      <c r="CK416" s="50" t="s">
        <v>21451</v>
      </c>
      <c r="CL416" s="50" t="s">
        <v>21450</v>
      </c>
      <c r="CM416" s="50" t="s">
        <v>13207</v>
      </c>
      <c r="CN416" s="50" t="s">
        <v>376</v>
      </c>
      <c r="CO416" s="50" t="s">
        <v>21451</v>
      </c>
      <c r="CQ416" s="50" t="s">
        <v>21450</v>
      </c>
      <c r="CR416" s="50" t="s">
        <v>21450</v>
      </c>
      <c r="CS416" s="50" t="s">
        <v>26052</v>
      </c>
    </row>
    <row r="417" spans="1:97" hidden="1">
      <c r="A417" s="50" t="s">
        <v>337</v>
      </c>
      <c r="B417" s="50">
        <v>5018211</v>
      </c>
      <c r="C417" s="50" t="e">
        <f>VLOOKUP(B417,'Drop schools 2026'!B:C,2,0)</f>
        <v>#N/A</v>
      </c>
      <c r="D417" s="50" t="s">
        <v>174</v>
      </c>
      <c r="E417" s="50" t="s">
        <v>384</v>
      </c>
      <c r="F417" s="50" t="s">
        <v>19517</v>
      </c>
      <c r="G417" s="50" t="str">
        <f>VLOOKUP(B417,aa!B:F,5,0)</f>
        <v>Ei CARES</v>
      </c>
      <c r="H417" s="50">
        <f>VLOOKUP(B417,aa!B:J,9,0)</f>
        <v>735149</v>
      </c>
      <c r="I417" s="50">
        <f>VLOOKUP(B417,aa!B:L,11,0)</f>
        <v>0</v>
      </c>
      <c r="J417" s="50">
        <f>VLOOKUP(B417,aa!B:O,14,0)</f>
        <v>735149</v>
      </c>
      <c r="K417" s="50">
        <f>VLOOKUP(B417,aa!B:R,17,0)</f>
        <v>0</v>
      </c>
      <c r="L417" s="50" t="s">
        <v>152</v>
      </c>
      <c r="M417" s="50">
        <v>334747</v>
      </c>
      <c r="N417" s="50">
        <v>334747</v>
      </c>
      <c r="O417" s="50">
        <v>0</v>
      </c>
      <c r="P417" s="50">
        <v>0</v>
      </c>
      <c r="R417" s="50">
        <v>334747</v>
      </c>
      <c r="S417" s="50">
        <v>418</v>
      </c>
      <c r="T417" s="50" t="s">
        <v>19169</v>
      </c>
      <c r="U417" s="50">
        <v>0</v>
      </c>
      <c r="V417" s="50">
        <v>0</v>
      </c>
      <c r="X417" s="50" t="s">
        <v>102</v>
      </c>
      <c r="Y417" s="50" t="s">
        <v>103</v>
      </c>
      <c r="Z417" s="50" t="s">
        <v>104</v>
      </c>
      <c r="AB417" s="50" t="s">
        <v>14059</v>
      </c>
      <c r="AC417" s="50" t="s">
        <v>19518</v>
      </c>
      <c r="AD417" s="50" t="s">
        <v>11886</v>
      </c>
      <c r="AE417" s="50" t="s">
        <v>19518</v>
      </c>
      <c r="AF417" s="50" t="s">
        <v>109</v>
      </c>
      <c r="AG417" s="50" t="s">
        <v>102</v>
      </c>
      <c r="AH417" s="50" t="s">
        <v>109</v>
      </c>
      <c r="AI417" s="50" t="s">
        <v>102</v>
      </c>
      <c r="AJ417" s="50" t="s">
        <v>102</v>
      </c>
      <c r="AK417" s="50" t="s">
        <v>14597</v>
      </c>
      <c r="AL417" s="50" t="s">
        <v>17302</v>
      </c>
      <c r="AM417" s="50" t="s">
        <v>19519</v>
      </c>
      <c r="AN417" s="50" t="s">
        <v>19520</v>
      </c>
      <c r="AO417" s="50" t="s">
        <v>19521</v>
      </c>
      <c r="AP417" s="50" t="s">
        <v>19522</v>
      </c>
      <c r="AQ417" s="50" t="s">
        <v>19522</v>
      </c>
      <c r="AV417" s="50" t="s">
        <v>102</v>
      </c>
      <c r="AX417" s="50" t="s">
        <v>104</v>
      </c>
      <c r="AY417" s="50" t="s">
        <v>447</v>
      </c>
      <c r="AZ417" s="50" t="s">
        <v>170</v>
      </c>
      <c r="BA417" s="50" t="s">
        <v>118</v>
      </c>
      <c r="BC417" s="50" t="s">
        <v>1964</v>
      </c>
      <c r="BD417" s="50" t="s">
        <v>19523</v>
      </c>
      <c r="BE417" s="50" t="s">
        <v>376</v>
      </c>
      <c r="BF417" s="50" t="s">
        <v>174</v>
      </c>
      <c r="BG417" s="50" t="s">
        <v>376</v>
      </c>
      <c r="BH417" s="50" t="s">
        <v>124</v>
      </c>
      <c r="BI417" s="50" t="s">
        <v>12023</v>
      </c>
      <c r="BJ417" s="50" t="s">
        <v>11889</v>
      </c>
      <c r="BK417" s="50" t="s">
        <v>127</v>
      </c>
      <c r="BL417" s="50" t="s">
        <v>19524</v>
      </c>
      <c r="BM417" s="50" t="s">
        <v>19525</v>
      </c>
      <c r="BN417" s="50" t="s">
        <v>19526</v>
      </c>
      <c r="BO417" s="50" t="s">
        <v>12217</v>
      </c>
      <c r="BP417" s="50" t="s">
        <v>13780</v>
      </c>
      <c r="BQ417" s="50" t="s">
        <v>505</v>
      </c>
      <c r="BR417" s="50" t="s">
        <v>13781</v>
      </c>
      <c r="BS417" s="50" t="s">
        <v>13782</v>
      </c>
      <c r="BT417" s="50" t="s">
        <v>13783</v>
      </c>
      <c r="BV417" s="50" t="s">
        <v>19527</v>
      </c>
      <c r="BW417" s="50" t="s">
        <v>19528</v>
      </c>
      <c r="BX417" s="50" t="s">
        <v>138</v>
      </c>
      <c r="BY417" s="50" t="s">
        <v>19529</v>
      </c>
      <c r="BZ417" s="50" t="s">
        <v>19530</v>
      </c>
      <c r="CA417" s="50" t="s">
        <v>19531</v>
      </c>
      <c r="CB417" s="50" t="s">
        <v>19528</v>
      </c>
      <c r="CC417" s="50" t="s">
        <v>19532</v>
      </c>
      <c r="CD417" s="50" t="s">
        <v>19530</v>
      </c>
      <c r="CE417" s="50" t="s">
        <v>19528</v>
      </c>
      <c r="CF417" s="50" t="s">
        <v>19533</v>
      </c>
      <c r="CG417" s="50" t="s">
        <v>19530</v>
      </c>
      <c r="CH417" s="50" t="s">
        <v>102</v>
      </c>
      <c r="CI417" s="50" t="s">
        <v>19534</v>
      </c>
      <c r="CK417" s="50" t="s">
        <v>19535</v>
      </c>
      <c r="CL417" s="50" t="s">
        <v>19536</v>
      </c>
      <c r="CM417" s="50" t="s">
        <v>19523</v>
      </c>
      <c r="CN417" s="50" t="s">
        <v>376</v>
      </c>
      <c r="CO417" s="50" t="s">
        <v>19535</v>
      </c>
      <c r="CQ417" s="50" t="s">
        <v>19537</v>
      </c>
      <c r="CR417" s="50" t="s">
        <v>19537</v>
      </c>
    </row>
    <row r="418" spans="1:97" hidden="1">
      <c r="A418" s="50" t="s">
        <v>149</v>
      </c>
      <c r="B418" s="50">
        <v>3438724</v>
      </c>
      <c r="C418" s="50" t="e">
        <f>VLOOKUP(B418,'Drop schools 2026'!B:C,2,0)</f>
        <v>#N/A</v>
      </c>
      <c r="D418" s="50" t="s">
        <v>174</v>
      </c>
      <c r="E418" s="50" t="s">
        <v>384</v>
      </c>
      <c r="F418" s="50" t="s">
        <v>6026</v>
      </c>
      <c r="G418" s="50" t="str">
        <f>VLOOKUP(B418,aa!B:F,5,0)</f>
        <v>Ei CARES</v>
      </c>
      <c r="H418" s="50">
        <f>VLOOKUP(B418,aa!B:J,9,0)</f>
        <v>84445</v>
      </c>
      <c r="I418" s="50">
        <f>VLOOKUP(B418,aa!B:L,11,0)</f>
        <v>0</v>
      </c>
      <c r="J418" s="50">
        <f>VLOOKUP(B418,aa!B:O,14,0)</f>
        <v>84445</v>
      </c>
      <c r="K418" s="50">
        <f>VLOOKUP(B418,aa!B:R,17,0)</f>
        <v>0</v>
      </c>
      <c r="L418" s="50" t="s">
        <v>152</v>
      </c>
      <c r="M418" s="50">
        <v>334512</v>
      </c>
      <c r="N418" s="50">
        <v>334512</v>
      </c>
      <c r="O418" s="50">
        <v>0</v>
      </c>
      <c r="P418" s="50">
        <v>0</v>
      </c>
      <c r="R418" s="50">
        <v>334512</v>
      </c>
      <c r="S418" s="50">
        <v>244</v>
      </c>
      <c r="T418" s="50" t="s">
        <v>15977</v>
      </c>
      <c r="U418" s="50">
        <v>0</v>
      </c>
      <c r="V418" s="50">
        <v>0</v>
      </c>
      <c r="X418" s="50" t="s">
        <v>102</v>
      </c>
      <c r="Y418" s="50" t="s">
        <v>103</v>
      </c>
      <c r="Z418" s="50" t="s">
        <v>104</v>
      </c>
      <c r="AB418" s="50" t="s">
        <v>14272</v>
      </c>
      <c r="AC418" s="50" t="s">
        <v>15978</v>
      </c>
      <c r="AD418" s="50" t="s">
        <v>12289</v>
      </c>
      <c r="AE418" s="50" t="s">
        <v>15978</v>
      </c>
      <c r="AF418" s="50" t="s">
        <v>109</v>
      </c>
      <c r="AG418" s="50" t="s">
        <v>102</v>
      </c>
      <c r="AH418" s="50" t="s">
        <v>109</v>
      </c>
      <c r="AI418" s="50" t="s">
        <v>102</v>
      </c>
      <c r="AJ418" s="50" t="s">
        <v>15979</v>
      </c>
      <c r="AK418" s="50" t="s">
        <v>14292</v>
      </c>
      <c r="AL418" s="50" t="s">
        <v>13034</v>
      </c>
      <c r="AM418" s="50" t="s">
        <v>15980</v>
      </c>
      <c r="AN418" s="50" t="s">
        <v>15981</v>
      </c>
      <c r="AO418" s="50" t="s">
        <v>15982</v>
      </c>
      <c r="AP418" s="50" t="s">
        <v>15983</v>
      </c>
      <c r="AQ418" s="50" t="s">
        <v>15983</v>
      </c>
      <c r="AV418" s="50" t="s">
        <v>102</v>
      </c>
      <c r="AX418" s="50" t="s">
        <v>155</v>
      </c>
      <c r="AY418" s="50" t="s">
        <v>447</v>
      </c>
      <c r="AZ418" s="50" t="s">
        <v>170</v>
      </c>
      <c r="BA418" s="50" t="s">
        <v>118</v>
      </c>
      <c r="BC418" s="50" t="s">
        <v>120</v>
      </c>
      <c r="BD418" s="50" t="s">
        <v>375</v>
      </c>
      <c r="BE418" s="50" t="s">
        <v>376</v>
      </c>
      <c r="BF418" s="50" t="s">
        <v>174</v>
      </c>
      <c r="BG418" s="50" t="s">
        <v>376</v>
      </c>
      <c r="BH418" s="50" t="s">
        <v>124</v>
      </c>
      <c r="BI418" s="50" t="s">
        <v>13202</v>
      </c>
      <c r="BJ418" s="50" t="s">
        <v>11889</v>
      </c>
      <c r="BK418" s="50" t="s">
        <v>127</v>
      </c>
      <c r="BL418" s="50" t="s">
        <v>15984</v>
      </c>
      <c r="BM418" s="50" t="s">
        <v>6036</v>
      </c>
      <c r="BN418" s="50" t="s">
        <v>15985</v>
      </c>
      <c r="BO418" s="50" t="s">
        <v>13202</v>
      </c>
      <c r="BP418" s="50" t="s">
        <v>1917</v>
      </c>
      <c r="BQ418" s="50" t="s">
        <v>350</v>
      </c>
      <c r="BR418" s="50" t="s">
        <v>1918</v>
      </c>
      <c r="BS418" s="50" t="s">
        <v>1919</v>
      </c>
      <c r="BT418" s="50" t="s">
        <v>384</v>
      </c>
      <c r="BV418" s="50" t="s">
        <v>15986</v>
      </c>
      <c r="BW418" s="50" t="s">
        <v>6039</v>
      </c>
      <c r="BX418" s="50" t="s">
        <v>138</v>
      </c>
      <c r="BY418" s="50" t="s">
        <v>6040</v>
      </c>
      <c r="BZ418" s="50" t="s">
        <v>6041</v>
      </c>
      <c r="CA418" s="50" t="s">
        <v>6040</v>
      </c>
      <c r="CB418" s="50" t="s">
        <v>6039</v>
      </c>
      <c r="CC418" s="50" t="s">
        <v>6040</v>
      </c>
      <c r="CD418" s="50" t="s">
        <v>6041</v>
      </c>
      <c r="CE418" s="50" t="s">
        <v>6039</v>
      </c>
      <c r="CF418" s="50" t="s">
        <v>6040</v>
      </c>
      <c r="CG418" s="50" t="s">
        <v>6041</v>
      </c>
      <c r="CH418" s="50" t="s">
        <v>102</v>
      </c>
      <c r="CI418" s="50" t="s">
        <v>6026</v>
      </c>
      <c r="CK418" s="50" t="s">
        <v>6046</v>
      </c>
      <c r="CM418" s="50" t="s">
        <v>375</v>
      </c>
      <c r="CN418" s="50" t="s">
        <v>376</v>
      </c>
      <c r="CO418" s="50" t="s">
        <v>6046</v>
      </c>
      <c r="CP418" s="50" t="s">
        <v>6047</v>
      </c>
      <c r="CQ418" s="50" t="s">
        <v>6048</v>
      </c>
      <c r="CR418" s="50" t="s">
        <v>6048</v>
      </c>
    </row>
    <row r="419" spans="1:97" hidden="1">
      <c r="A419" s="50" t="s">
        <v>149</v>
      </c>
      <c r="B419" s="50">
        <v>34736</v>
      </c>
      <c r="C419" s="50" t="e">
        <f>VLOOKUP(B419,'Drop schools 2026'!B:C,2,0)</f>
        <v>#N/A</v>
      </c>
      <c r="D419" s="50" t="s">
        <v>212</v>
      </c>
      <c r="E419" s="50" t="s">
        <v>12423</v>
      </c>
      <c r="F419" s="50" t="s">
        <v>6256</v>
      </c>
      <c r="G419" s="50" t="e">
        <f>VLOOKUP(B419,aa!B:F,5,0)</f>
        <v>#N/A</v>
      </c>
      <c r="H419" s="50" t="e">
        <f>VLOOKUP(B419,aa!B:J,9,0)</f>
        <v>#N/A</v>
      </c>
      <c r="I419" s="50" t="e">
        <f>VLOOKUP(B419,aa!B:L,11,0)</f>
        <v>#N/A</v>
      </c>
      <c r="J419" s="50" t="e">
        <f>VLOOKUP(B419,aa!B:O,14,0)</f>
        <v>#N/A</v>
      </c>
      <c r="K419" s="50" t="e">
        <f>VLOOKUP(B419,aa!B:R,17,0)</f>
        <v>#N/A</v>
      </c>
      <c r="L419" s="50" t="s">
        <v>848</v>
      </c>
      <c r="M419" s="50">
        <v>334402</v>
      </c>
      <c r="N419" s="50">
        <v>394594</v>
      </c>
      <c r="O419" s="50">
        <v>0</v>
      </c>
      <c r="P419" s="50">
        <v>0</v>
      </c>
      <c r="R419" s="50">
        <v>0</v>
      </c>
      <c r="S419" s="50">
        <v>0</v>
      </c>
      <c r="U419" s="50">
        <v>334402</v>
      </c>
      <c r="V419" s="50">
        <v>188</v>
      </c>
      <c r="W419" s="50" t="s">
        <v>16170</v>
      </c>
      <c r="X419" s="50" t="s">
        <v>102</v>
      </c>
      <c r="Y419" s="50" t="s">
        <v>103</v>
      </c>
      <c r="Z419" s="50" t="s">
        <v>104</v>
      </c>
      <c r="AB419" s="50" t="s">
        <v>3679</v>
      </c>
      <c r="AC419" s="50" t="s">
        <v>16171</v>
      </c>
      <c r="AD419" s="50" t="s">
        <v>12289</v>
      </c>
      <c r="AE419" s="50" t="s">
        <v>16171</v>
      </c>
      <c r="AF419" s="50" t="s">
        <v>109</v>
      </c>
      <c r="AG419" s="50" t="s">
        <v>102</v>
      </c>
      <c r="AH419" s="50" t="s">
        <v>109</v>
      </c>
      <c r="AI419" s="50" t="s">
        <v>102</v>
      </c>
      <c r="AJ419" s="50" t="s">
        <v>16172</v>
      </c>
      <c r="AK419" s="50" t="s">
        <v>12425</v>
      </c>
      <c r="AL419" s="50" t="s">
        <v>15177</v>
      </c>
      <c r="AM419" s="50" t="s">
        <v>16173</v>
      </c>
      <c r="AN419" s="50" t="s">
        <v>16174</v>
      </c>
      <c r="AO419" s="50" t="s">
        <v>16175</v>
      </c>
      <c r="AP419" s="50" t="s">
        <v>1001</v>
      </c>
      <c r="AQ419" s="50" t="s">
        <v>1001</v>
      </c>
      <c r="AV419" s="50" t="s">
        <v>102</v>
      </c>
      <c r="AX419" s="50" t="s">
        <v>102</v>
      </c>
      <c r="AY419" s="50" t="s">
        <v>119</v>
      </c>
      <c r="BB419" s="50" t="s">
        <v>250</v>
      </c>
      <c r="BC419" s="50" t="s">
        <v>209</v>
      </c>
      <c r="BD419" s="50" t="s">
        <v>1759</v>
      </c>
      <c r="BE419" s="50" t="s">
        <v>410</v>
      </c>
      <c r="BF419" s="50" t="s">
        <v>212</v>
      </c>
      <c r="BG419" s="50" t="s">
        <v>410</v>
      </c>
      <c r="BH419" s="50" t="s">
        <v>124</v>
      </c>
      <c r="BI419" s="50" t="s">
        <v>15139</v>
      </c>
      <c r="BJ419" s="50" t="s">
        <v>12047</v>
      </c>
      <c r="BK419" s="50" t="s">
        <v>127</v>
      </c>
      <c r="BL419" s="50" t="s">
        <v>16176</v>
      </c>
      <c r="BM419" s="50" t="s">
        <v>6265</v>
      </c>
      <c r="BN419" s="50" t="s">
        <v>16177</v>
      </c>
      <c r="BO419" s="50" t="s">
        <v>8708</v>
      </c>
      <c r="BP419" s="50" t="s">
        <v>866</v>
      </c>
      <c r="BQ419" s="50" t="s">
        <v>132</v>
      </c>
      <c r="BR419" s="50" t="s">
        <v>867</v>
      </c>
      <c r="BS419" s="50" t="s">
        <v>868</v>
      </c>
      <c r="BT419" s="50" t="s">
        <v>418</v>
      </c>
      <c r="BV419" s="50" t="s">
        <v>16178</v>
      </c>
      <c r="BW419" s="50" t="s">
        <v>6268</v>
      </c>
      <c r="BX419" s="50" t="s">
        <v>138</v>
      </c>
      <c r="BY419" s="50" t="s">
        <v>6269</v>
      </c>
      <c r="BZ419" s="50" t="s">
        <v>6270</v>
      </c>
      <c r="CA419" s="50" t="s">
        <v>4530</v>
      </c>
      <c r="CB419" s="50" t="s">
        <v>6268</v>
      </c>
      <c r="CC419" s="50" t="s">
        <v>6269</v>
      </c>
      <c r="CD419" s="50" t="s">
        <v>6270</v>
      </c>
      <c r="CE419" s="50" t="s">
        <v>6268</v>
      </c>
      <c r="CF419" s="50" t="s">
        <v>6269</v>
      </c>
      <c r="CG419" s="50" t="s">
        <v>6270</v>
      </c>
      <c r="CH419" s="50" t="s">
        <v>102</v>
      </c>
      <c r="CI419" s="50" t="s">
        <v>6271</v>
      </c>
      <c r="CK419" s="50" t="s">
        <v>6272</v>
      </c>
      <c r="CM419" s="50" t="s">
        <v>1759</v>
      </c>
      <c r="CN419" s="50" t="s">
        <v>410</v>
      </c>
      <c r="CO419" s="50" t="s">
        <v>6272</v>
      </c>
      <c r="CP419" s="50" t="s">
        <v>6273</v>
      </c>
      <c r="CQ419" s="50" t="s">
        <v>6271</v>
      </c>
      <c r="CR419" s="50" t="s">
        <v>6271</v>
      </c>
      <c r="CS419" s="50" t="s">
        <v>26044</v>
      </c>
    </row>
    <row r="420" spans="1:97" hidden="1">
      <c r="A420" s="50" t="s">
        <v>149</v>
      </c>
      <c r="B420" s="50">
        <v>60573</v>
      </c>
      <c r="C420" s="50" t="e">
        <f>VLOOKUP(B420,'Drop schools 2026'!B:C,2,0)</f>
        <v>#N/A</v>
      </c>
      <c r="D420" s="50" t="s">
        <v>122</v>
      </c>
      <c r="E420" s="50" t="s">
        <v>12491</v>
      </c>
      <c r="F420" s="50" t="s">
        <v>11280</v>
      </c>
      <c r="G420" s="50" t="str">
        <f>VLOOKUP(B420,aa!B:F,5,0)</f>
        <v>Ei ASSET</v>
      </c>
      <c r="H420" s="50">
        <f>VLOOKUP(B420,aa!B:J,9,0)</f>
        <v>268062</v>
      </c>
      <c r="I420" s="50">
        <f>VLOOKUP(B420,aa!B:L,11,0)</f>
        <v>268062</v>
      </c>
      <c r="J420" s="50">
        <f>VLOOKUP(B420,aa!B:O,14,0)</f>
        <v>0</v>
      </c>
      <c r="K420" s="50">
        <f>VLOOKUP(B420,aa!B:R,17,0)</f>
        <v>0</v>
      </c>
      <c r="L420" s="50" t="s">
        <v>97</v>
      </c>
      <c r="M420" s="50">
        <v>332820</v>
      </c>
      <c r="N420" s="50">
        <v>332820</v>
      </c>
      <c r="O420" s="50">
        <v>332820</v>
      </c>
      <c r="P420" s="50">
        <v>516</v>
      </c>
      <c r="Q420" s="50" t="s">
        <v>15191</v>
      </c>
      <c r="R420" s="50">
        <v>0</v>
      </c>
      <c r="S420" s="50">
        <v>0</v>
      </c>
      <c r="U420" s="50">
        <v>0</v>
      </c>
      <c r="V420" s="50">
        <v>0</v>
      </c>
      <c r="X420" s="50" t="s">
        <v>102</v>
      </c>
      <c r="Y420" s="50" t="s">
        <v>275</v>
      </c>
      <c r="AA420" s="50" t="s">
        <v>12467</v>
      </c>
      <c r="AB420" s="50" t="s">
        <v>109</v>
      </c>
      <c r="AC420" s="50" t="s">
        <v>102</v>
      </c>
      <c r="AD420" s="50" t="s">
        <v>109</v>
      </c>
      <c r="AE420" s="50" t="s">
        <v>102</v>
      </c>
      <c r="AF420" s="50" t="s">
        <v>109</v>
      </c>
      <c r="AG420" s="50" t="s">
        <v>102</v>
      </c>
      <c r="AH420" s="50" t="s">
        <v>109</v>
      </c>
      <c r="AI420" s="50" t="s">
        <v>102</v>
      </c>
      <c r="AJ420" s="50" t="s">
        <v>21223</v>
      </c>
      <c r="AK420" s="50" t="s">
        <v>1427</v>
      </c>
      <c r="AL420" s="50" t="s">
        <v>1427</v>
      </c>
      <c r="AM420" s="50" t="s">
        <v>21224</v>
      </c>
      <c r="AN420" s="50" t="s">
        <v>21225</v>
      </c>
      <c r="AO420" s="50" t="s">
        <v>102</v>
      </c>
      <c r="AP420" s="50" t="s">
        <v>14841</v>
      </c>
      <c r="AQ420" s="50" t="s">
        <v>14841</v>
      </c>
      <c r="AV420" s="50" t="s">
        <v>117</v>
      </c>
      <c r="AW420" s="50" t="s">
        <v>118</v>
      </c>
      <c r="AX420" s="50" t="s">
        <v>102</v>
      </c>
      <c r="AY420" s="50" t="s">
        <v>119</v>
      </c>
      <c r="BC420" s="50" t="s">
        <v>120</v>
      </c>
      <c r="BD420" s="50" t="s">
        <v>2204</v>
      </c>
      <c r="BE420" s="50" t="s">
        <v>121</v>
      </c>
      <c r="BF420" s="50" t="s">
        <v>122</v>
      </c>
      <c r="BG420" s="50" t="s">
        <v>123</v>
      </c>
      <c r="BH420" s="50" t="s">
        <v>124</v>
      </c>
      <c r="BI420" s="50" t="s">
        <v>12023</v>
      </c>
      <c r="BJ420" s="50" t="s">
        <v>11889</v>
      </c>
      <c r="BK420" s="50" t="s">
        <v>127</v>
      </c>
      <c r="BL420" s="50" t="s">
        <v>21226</v>
      </c>
      <c r="BM420" s="50" t="s">
        <v>11286</v>
      </c>
      <c r="BN420" s="50" t="s">
        <v>21227</v>
      </c>
      <c r="BO420" s="50" t="s">
        <v>13075</v>
      </c>
      <c r="BP420" s="50" t="s">
        <v>8788</v>
      </c>
      <c r="BQ420" s="50" t="s">
        <v>350</v>
      </c>
      <c r="BR420" s="50" t="s">
        <v>8789</v>
      </c>
      <c r="BS420" s="50" t="s">
        <v>8790</v>
      </c>
      <c r="BT420" s="50" t="s">
        <v>11288</v>
      </c>
      <c r="BV420" s="50" t="s">
        <v>21228</v>
      </c>
      <c r="BW420" s="50" t="s">
        <v>11290</v>
      </c>
      <c r="BX420" s="50" t="s">
        <v>598</v>
      </c>
      <c r="BY420" s="50" t="s">
        <v>11291</v>
      </c>
      <c r="BZ420" s="50" t="s">
        <v>11292</v>
      </c>
      <c r="CA420" s="50" t="s">
        <v>11293</v>
      </c>
      <c r="CB420" s="50" t="s">
        <v>21229</v>
      </c>
      <c r="CC420" s="50" t="s">
        <v>21230</v>
      </c>
      <c r="CD420" s="50" t="s">
        <v>11292</v>
      </c>
      <c r="CE420" s="50" t="s">
        <v>11290</v>
      </c>
      <c r="CF420" s="50" t="s">
        <v>11291</v>
      </c>
      <c r="CG420" s="50" t="s">
        <v>11292</v>
      </c>
      <c r="CH420" s="50" t="s">
        <v>102</v>
      </c>
      <c r="CI420" s="50" t="s">
        <v>11294</v>
      </c>
      <c r="CK420" s="50" t="s">
        <v>9367</v>
      </c>
      <c r="CM420" s="50" t="s">
        <v>2204</v>
      </c>
      <c r="CN420" s="50" t="s">
        <v>121</v>
      </c>
      <c r="CO420" s="50" t="s">
        <v>9367</v>
      </c>
      <c r="CP420" s="50" t="s">
        <v>11295</v>
      </c>
      <c r="CQ420" s="50" t="s">
        <v>11294</v>
      </c>
      <c r="CR420" s="50" t="s">
        <v>11294</v>
      </c>
    </row>
    <row r="421" spans="1:97" hidden="1">
      <c r="A421" s="50" t="s">
        <v>337</v>
      </c>
      <c r="B421" s="50">
        <v>5017985</v>
      </c>
      <c r="C421" s="50" t="e">
        <f>VLOOKUP(B421,'Drop schools 2026'!B:C,2,0)</f>
        <v>#N/A</v>
      </c>
      <c r="D421" s="50" t="s">
        <v>212</v>
      </c>
      <c r="E421" s="50" t="s">
        <v>11995</v>
      </c>
      <c r="F421" s="50" t="s">
        <v>9747</v>
      </c>
      <c r="G421" s="50" t="str">
        <f>VLOOKUP(B421,aa!B:F,5,0)</f>
        <v>Ei Mindspark</v>
      </c>
      <c r="H421" s="50">
        <f>VLOOKUP(B421,aa!B:J,9,0)</f>
        <v>565960</v>
      </c>
      <c r="I421" s="50">
        <f>VLOOKUP(B421,aa!B:L,11,0)</f>
        <v>0</v>
      </c>
      <c r="J421" s="50">
        <f>VLOOKUP(B421,aa!B:O,14,0)</f>
        <v>0</v>
      </c>
      <c r="K421" s="50">
        <f>VLOOKUP(B421,aa!B:R,17,0)</f>
        <v>565960</v>
      </c>
      <c r="L421" s="50" t="s">
        <v>848</v>
      </c>
      <c r="M421" s="50">
        <v>331188</v>
      </c>
      <c r="N421" s="50">
        <v>390802</v>
      </c>
      <c r="O421" s="50">
        <v>0</v>
      </c>
      <c r="P421" s="50">
        <v>0</v>
      </c>
      <c r="R421" s="50">
        <v>0</v>
      </c>
      <c r="S421" s="50">
        <v>0</v>
      </c>
      <c r="U421" s="50">
        <v>331188</v>
      </c>
      <c r="V421" s="50">
        <v>138</v>
      </c>
      <c r="W421" s="50" t="s">
        <v>4372</v>
      </c>
      <c r="X421" s="50" t="s">
        <v>102</v>
      </c>
      <c r="Y421" s="50" t="s">
        <v>275</v>
      </c>
      <c r="AA421" s="50" t="s">
        <v>126</v>
      </c>
      <c r="AB421" s="50" t="s">
        <v>109</v>
      </c>
      <c r="AC421" s="50" t="s">
        <v>102</v>
      </c>
      <c r="AD421" s="50" t="s">
        <v>109</v>
      </c>
      <c r="AE421" s="50" t="s">
        <v>102</v>
      </c>
      <c r="AF421" s="50" t="s">
        <v>109</v>
      </c>
      <c r="AG421" s="50" t="s">
        <v>102</v>
      </c>
      <c r="AH421" s="50" t="s">
        <v>109</v>
      </c>
      <c r="AI421" s="50" t="s">
        <v>102</v>
      </c>
      <c r="AJ421" s="50" t="s">
        <v>102</v>
      </c>
      <c r="AK421" s="50" t="s">
        <v>15179</v>
      </c>
      <c r="AL421" s="50" t="s">
        <v>15179</v>
      </c>
      <c r="AM421" s="50" t="s">
        <v>19300</v>
      </c>
      <c r="AN421" s="50" t="s">
        <v>19300</v>
      </c>
      <c r="AO421" s="50" t="s">
        <v>102</v>
      </c>
      <c r="AP421" s="50" t="s">
        <v>19301</v>
      </c>
      <c r="AQ421" s="50" t="s">
        <v>19302</v>
      </c>
      <c r="AR421" s="50" t="s">
        <v>343</v>
      </c>
      <c r="AV421" s="50" t="s">
        <v>102</v>
      </c>
      <c r="AX421" s="50" t="s">
        <v>102</v>
      </c>
      <c r="AY421" s="50" t="s">
        <v>119</v>
      </c>
      <c r="BB421" s="50" t="s">
        <v>250</v>
      </c>
      <c r="BC421" s="50" t="s">
        <v>120</v>
      </c>
      <c r="BD421" s="50" t="s">
        <v>284</v>
      </c>
      <c r="BE421" s="50" t="s">
        <v>285</v>
      </c>
      <c r="BF421" s="50" t="s">
        <v>212</v>
      </c>
      <c r="BG421" s="50" t="s">
        <v>286</v>
      </c>
      <c r="BH421" s="50" t="s">
        <v>124</v>
      </c>
      <c r="BI421" s="50" t="s">
        <v>11976</v>
      </c>
      <c r="BJ421" s="50" t="s">
        <v>19303</v>
      </c>
      <c r="BK421" s="50" t="s">
        <v>127</v>
      </c>
      <c r="BL421" s="50" t="s">
        <v>19304</v>
      </c>
      <c r="BM421" s="50" t="s">
        <v>19305</v>
      </c>
      <c r="BN421" s="50" t="s">
        <v>19306</v>
      </c>
      <c r="BO421" s="50" t="s">
        <v>8258</v>
      </c>
      <c r="BP421" s="50" t="s">
        <v>3997</v>
      </c>
      <c r="BQ421" s="50" t="s">
        <v>258</v>
      </c>
      <c r="BR421" s="50" t="s">
        <v>3998</v>
      </c>
      <c r="BS421" s="50" t="s">
        <v>3999</v>
      </c>
      <c r="BT421" s="50" t="s">
        <v>3362</v>
      </c>
      <c r="BV421" s="50" t="s">
        <v>19307</v>
      </c>
      <c r="BW421" s="50" t="s">
        <v>19308</v>
      </c>
      <c r="BX421" s="50" t="s">
        <v>138</v>
      </c>
      <c r="BY421" s="50" t="s">
        <v>19309</v>
      </c>
      <c r="BZ421" s="50" t="s">
        <v>19310</v>
      </c>
      <c r="CA421" s="50" t="s">
        <v>19309</v>
      </c>
      <c r="CB421" s="50" t="s">
        <v>19308</v>
      </c>
      <c r="CC421" s="50" t="s">
        <v>19309</v>
      </c>
      <c r="CD421" s="50" t="s">
        <v>19310</v>
      </c>
      <c r="CE421" s="50" t="s">
        <v>19311</v>
      </c>
      <c r="CF421" s="50" t="s">
        <v>19312</v>
      </c>
      <c r="CG421" s="50" t="s">
        <v>19313</v>
      </c>
      <c r="CH421" s="50" t="s">
        <v>102</v>
      </c>
      <c r="CI421" s="50" t="s">
        <v>19314</v>
      </c>
      <c r="CK421" s="50" t="s">
        <v>19315</v>
      </c>
      <c r="CL421" s="50" t="s">
        <v>19316</v>
      </c>
      <c r="CM421" s="50" t="s">
        <v>284</v>
      </c>
      <c r="CN421" s="50" t="s">
        <v>285</v>
      </c>
      <c r="CO421" s="50" t="s">
        <v>19317</v>
      </c>
      <c r="CQ421" s="50" t="s">
        <v>19318</v>
      </c>
      <c r="CR421" s="50" t="s">
        <v>19319</v>
      </c>
    </row>
    <row r="422" spans="1:97" hidden="1">
      <c r="A422" s="50" t="s">
        <v>337</v>
      </c>
      <c r="B422" s="50">
        <v>5018445</v>
      </c>
      <c r="C422" s="50" t="e">
        <f>VLOOKUP(B422,'Drop schools 2026'!B:C,2,0)</f>
        <v>#N/A</v>
      </c>
      <c r="D422" s="50" t="s">
        <v>122</v>
      </c>
      <c r="E422" s="50" t="s">
        <v>12491</v>
      </c>
      <c r="F422" s="50" t="s">
        <v>19785</v>
      </c>
      <c r="G422" s="50" t="str">
        <f>VLOOKUP(B422,aa!B:F,5,0)</f>
        <v>Ei CARES</v>
      </c>
      <c r="H422" s="50">
        <f>VLOOKUP(B422,aa!B:J,9,0)</f>
        <v>310182</v>
      </c>
      <c r="I422" s="50">
        <f>VLOOKUP(B422,aa!B:L,11,0)</f>
        <v>0</v>
      </c>
      <c r="J422" s="50">
        <f>VLOOKUP(B422,aa!B:O,14,0)</f>
        <v>310182</v>
      </c>
      <c r="K422" s="50">
        <f>VLOOKUP(B422,aa!B:R,17,0)</f>
        <v>0</v>
      </c>
      <c r="L422" s="50" t="s">
        <v>152</v>
      </c>
      <c r="M422" s="50">
        <v>329235</v>
      </c>
      <c r="N422" s="50">
        <v>329235</v>
      </c>
      <c r="O422" s="50">
        <v>0</v>
      </c>
      <c r="P422" s="50">
        <v>0</v>
      </c>
      <c r="R422" s="50">
        <v>329235</v>
      </c>
      <c r="S422" s="50">
        <v>461</v>
      </c>
      <c r="T422" s="50" t="s">
        <v>19787</v>
      </c>
      <c r="U422" s="50">
        <v>0</v>
      </c>
      <c r="V422" s="50">
        <v>0</v>
      </c>
      <c r="X422" s="50" t="s">
        <v>102</v>
      </c>
      <c r="Y422" s="50" t="s">
        <v>103</v>
      </c>
      <c r="Z422" s="50" t="s">
        <v>104</v>
      </c>
      <c r="AB422" s="50" t="s">
        <v>19788</v>
      </c>
      <c r="AC422" s="50" t="s">
        <v>19789</v>
      </c>
      <c r="AD422" s="50" t="s">
        <v>12467</v>
      </c>
      <c r="AE422" s="50" t="s">
        <v>19789</v>
      </c>
      <c r="AF422" s="50" t="s">
        <v>109</v>
      </c>
      <c r="AG422" s="50" t="s">
        <v>102</v>
      </c>
      <c r="AH422" s="50" t="s">
        <v>109</v>
      </c>
      <c r="AI422" s="50" t="s">
        <v>102</v>
      </c>
      <c r="AJ422" s="50" t="s">
        <v>19790</v>
      </c>
      <c r="AK422" s="50" t="s">
        <v>680</v>
      </c>
      <c r="AL422" s="50" t="s">
        <v>1202</v>
      </c>
      <c r="AM422" s="50" t="s">
        <v>19791</v>
      </c>
      <c r="AN422" s="50" t="s">
        <v>19792</v>
      </c>
      <c r="AO422" s="50" t="s">
        <v>19793</v>
      </c>
      <c r="AP422" s="50" t="s">
        <v>19794</v>
      </c>
      <c r="AQ422" s="50" t="s">
        <v>19794</v>
      </c>
      <c r="AV422" s="50" t="s">
        <v>102</v>
      </c>
      <c r="AX422" s="50" t="s">
        <v>104</v>
      </c>
      <c r="AY422" s="50" t="s">
        <v>447</v>
      </c>
      <c r="AZ422" s="50" t="s">
        <v>170</v>
      </c>
      <c r="BA422" s="50" t="s">
        <v>118</v>
      </c>
      <c r="BC422" s="50" t="s">
        <v>1964</v>
      </c>
      <c r="BD422" s="50" t="s">
        <v>448</v>
      </c>
      <c r="BE422" s="50" t="s">
        <v>449</v>
      </c>
      <c r="BF422" s="50" t="s">
        <v>122</v>
      </c>
      <c r="BG422" s="50" t="s">
        <v>450</v>
      </c>
      <c r="BH422" s="50" t="s">
        <v>124</v>
      </c>
      <c r="BI422" s="50" t="s">
        <v>19795</v>
      </c>
      <c r="BJ422" s="50" t="s">
        <v>11889</v>
      </c>
      <c r="BK422" s="50" t="s">
        <v>127</v>
      </c>
      <c r="BL422" s="50" t="s">
        <v>19796</v>
      </c>
      <c r="BM422" s="50" t="s">
        <v>19797</v>
      </c>
      <c r="BN422" s="50" t="s">
        <v>19798</v>
      </c>
      <c r="BO422" s="50" t="s">
        <v>19786</v>
      </c>
      <c r="BP422" s="50" t="s">
        <v>131</v>
      </c>
      <c r="BQ422" s="50" t="s">
        <v>350</v>
      </c>
      <c r="BR422" s="50" t="s">
        <v>133</v>
      </c>
      <c r="BS422" s="50" t="s">
        <v>134</v>
      </c>
      <c r="BT422" s="50" t="s">
        <v>455</v>
      </c>
      <c r="BV422" s="50" t="s">
        <v>19799</v>
      </c>
      <c r="BW422" s="50" t="s">
        <v>19800</v>
      </c>
      <c r="BX422" s="50" t="s">
        <v>138</v>
      </c>
      <c r="BY422" s="50" t="s">
        <v>19801</v>
      </c>
      <c r="BZ422" s="50" t="s">
        <v>19802</v>
      </c>
      <c r="CA422" s="50" t="s">
        <v>19801</v>
      </c>
      <c r="CB422" s="50" t="s">
        <v>19803</v>
      </c>
      <c r="CC422" s="50" t="s">
        <v>19804</v>
      </c>
      <c r="CD422" s="50" t="s">
        <v>19805</v>
      </c>
      <c r="CE422" s="50" t="s">
        <v>19803</v>
      </c>
      <c r="CF422" s="50" t="s">
        <v>19804</v>
      </c>
      <c r="CG422" s="50" t="s">
        <v>19805</v>
      </c>
      <c r="CH422" s="50" t="s">
        <v>3805</v>
      </c>
      <c r="CI422" s="50" t="s">
        <v>19806</v>
      </c>
      <c r="CK422" s="50" t="s">
        <v>8000</v>
      </c>
      <c r="CL422" s="50" t="s">
        <v>19807</v>
      </c>
      <c r="CM422" s="50" t="s">
        <v>448</v>
      </c>
      <c r="CN422" s="50" t="s">
        <v>449</v>
      </c>
      <c r="CO422" s="50" t="s">
        <v>8000</v>
      </c>
      <c r="CQ422" s="50" t="s">
        <v>19806</v>
      </c>
      <c r="CR422" s="50" t="s">
        <v>19808</v>
      </c>
    </row>
    <row r="423" spans="1:97" hidden="1">
      <c r="A423" s="50" t="s">
        <v>149</v>
      </c>
      <c r="B423" s="50">
        <v>810125</v>
      </c>
      <c r="C423" s="50" t="e">
        <f>VLOOKUP(B423,'Drop schools 2026'!B:C,2,0)</f>
        <v>#N/A</v>
      </c>
      <c r="D423" s="50" t="s">
        <v>122</v>
      </c>
      <c r="E423" s="50" t="s">
        <v>11882</v>
      </c>
      <c r="F423" s="50" t="s">
        <v>11683</v>
      </c>
      <c r="G423" s="50" t="str">
        <f>VLOOKUP(B423,aa!B:F,5,0)</f>
        <v>Ei Mindspark</v>
      </c>
      <c r="H423" s="50">
        <f>VLOOKUP(B423,aa!B:J,9,0)</f>
        <v>324169</v>
      </c>
      <c r="I423" s="50">
        <f>VLOOKUP(B423,aa!B:L,11,0)</f>
        <v>0</v>
      </c>
      <c r="J423" s="50">
        <f>VLOOKUP(B423,aa!B:O,14,0)</f>
        <v>0</v>
      </c>
      <c r="K423" s="50">
        <f>VLOOKUP(B423,aa!B:R,17,0)</f>
        <v>324169</v>
      </c>
      <c r="L423" s="50" t="s">
        <v>848</v>
      </c>
      <c r="M423" s="50">
        <v>326140</v>
      </c>
      <c r="N423" s="50">
        <v>384845</v>
      </c>
      <c r="O423" s="50">
        <v>0</v>
      </c>
      <c r="P423" s="50">
        <v>0</v>
      </c>
      <c r="R423" s="50">
        <v>0</v>
      </c>
      <c r="S423" s="50">
        <v>0</v>
      </c>
      <c r="U423" s="50">
        <v>326140</v>
      </c>
      <c r="V423" s="50">
        <v>136</v>
      </c>
      <c r="W423" s="50" t="s">
        <v>14168</v>
      </c>
      <c r="X423" s="50" t="s">
        <v>102</v>
      </c>
      <c r="Y423" s="50" t="s">
        <v>103</v>
      </c>
      <c r="Z423" s="50" t="s">
        <v>155</v>
      </c>
      <c r="AB423" s="50" t="s">
        <v>6341</v>
      </c>
      <c r="AC423" s="50" t="s">
        <v>21504</v>
      </c>
      <c r="AD423" s="50" t="s">
        <v>11976</v>
      </c>
      <c r="AE423" s="50" t="s">
        <v>21504</v>
      </c>
      <c r="AF423" s="50" t="s">
        <v>11888</v>
      </c>
      <c r="AG423" s="50" t="s">
        <v>21504</v>
      </c>
      <c r="AH423" s="50" t="s">
        <v>12084</v>
      </c>
      <c r="AI423" s="50" t="s">
        <v>21504</v>
      </c>
      <c r="AJ423" s="50" t="s">
        <v>21505</v>
      </c>
      <c r="AK423" s="50" t="s">
        <v>13496</v>
      </c>
      <c r="AL423" s="50" t="s">
        <v>6895</v>
      </c>
      <c r="AM423" s="50" t="s">
        <v>21506</v>
      </c>
      <c r="AN423" s="50" t="s">
        <v>21507</v>
      </c>
      <c r="AO423" s="50" t="s">
        <v>21508</v>
      </c>
      <c r="AP423" s="50" t="s">
        <v>14174</v>
      </c>
      <c r="AQ423" s="50" t="s">
        <v>14175</v>
      </c>
      <c r="AU423" s="50" t="s">
        <v>169</v>
      </c>
      <c r="AV423" s="50" t="s">
        <v>102</v>
      </c>
      <c r="AX423" s="50" t="s">
        <v>102</v>
      </c>
      <c r="AY423" s="50" t="s">
        <v>119</v>
      </c>
      <c r="BB423" s="50" t="s">
        <v>250</v>
      </c>
      <c r="BC423" s="50" t="s">
        <v>120</v>
      </c>
      <c r="BD423" s="50" t="s">
        <v>2840</v>
      </c>
      <c r="BE423" s="50" t="s">
        <v>449</v>
      </c>
      <c r="BF423" s="50" t="s">
        <v>122</v>
      </c>
      <c r="BG423" s="50" t="s">
        <v>253</v>
      </c>
      <c r="BH423" s="50" t="s">
        <v>124</v>
      </c>
      <c r="BI423" s="50" t="s">
        <v>12023</v>
      </c>
      <c r="BJ423" s="50" t="s">
        <v>11889</v>
      </c>
      <c r="BK423" s="50" t="s">
        <v>127</v>
      </c>
      <c r="BL423" s="50" t="s">
        <v>21509</v>
      </c>
      <c r="BM423" s="50" t="s">
        <v>11691</v>
      </c>
      <c r="BN423" s="50" t="s">
        <v>21510</v>
      </c>
      <c r="BO423" s="50" t="s">
        <v>12023</v>
      </c>
      <c r="BP423" s="50" t="s">
        <v>3267</v>
      </c>
      <c r="BQ423" s="50" t="s">
        <v>350</v>
      </c>
      <c r="BR423" s="50" t="s">
        <v>3268</v>
      </c>
      <c r="BS423" s="50" t="s">
        <v>3269</v>
      </c>
      <c r="BT423" s="50" t="s">
        <v>135</v>
      </c>
      <c r="BV423" s="50" t="s">
        <v>21511</v>
      </c>
      <c r="BW423" s="50" t="s">
        <v>14179</v>
      </c>
      <c r="BX423" s="50" t="s">
        <v>598</v>
      </c>
      <c r="BY423" s="50" t="s">
        <v>14180</v>
      </c>
      <c r="BZ423" s="50" t="s">
        <v>3633</v>
      </c>
      <c r="CA423" s="50" t="s">
        <v>11697</v>
      </c>
      <c r="CB423" s="50" t="s">
        <v>21512</v>
      </c>
      <c r="CC423" s="50" t="s">
        <v>11697</v>
      </c>
      <c r="CD423" s="50" t="s">
        <v>3633</v>
      </c>
      <c r="CE423" s="50" t="s">
        <v>21512</v>
      </c>
      <c r="CF423" s="50" t="s">
        <v>11697</v>
      </c>
      <c r="CG423" s="50" t="s">
        <v>3633</v>
      </c>
      <c r="CH423" s="50" t="s">
        <v>102</v>
      </c>
      <c r="CI423" s="50" t="s">
        <v>21513</v>
      </c>
      <c r="CK423" s="50" t="s">
        <v>5951</v>
      </c>
      <c r="CM423" s="50" t="s">
        <v>2840</v>
      </c>
      <c r="CN423" s="50" t="s">
        <v>449</v>
      </c>
      <c r="CO423" s="50" t="s">
        <v>5951</v>
      </c>
      <c r="CP423" s="50" t="s">
        <v>3637</v>
      </c>
      <c r="CQ423" s="50" t="s">
        <v>11698</v>
      </c>
      <c r="CR423" s="50" t="s">
        <v>11698</v>
      </c>
    </row>
    <row r="424" spans="1:97" hidden="1">
      <c r="A424" s="50" t="s">
        <v>93</v>
      </c>
      <c r="B424" s="50">
        <v>1822220</v>
      </c>
      <c r="C424" s="50" t="e">
        <f>VLOOKUP(B424,'Drop schools 2026'!B:C,2,0)</f>
        <v>#N/A</v>
      </c>
      <c r="D424" s="50" t="s">
        <v>122</v>
      </c>
      <c r="E424" s="50" t="s">
        <v>11898</v>
      </c>
      <c r="F424" s="50" t="s">
        <v>1980</v>
      </c>
      <c r="G424" s="50" t="e">
        <f>VLOOKUP(B424,aa!B:F,5,0)</f>
        <v>#N/A</v>
      </c>
      <c r="H424" s="50" t="e">
        <f>VLOOKUP(B424,aa!B:J,9,0)</f>
        <v>#N/A</v>
      </c>
      <c r="I424" s="50" t="e">
        <f>VLOOKUP(B424,aa!B:L,11,0)</f>
        <v>#N/A</v>
      </c>
      <c r="J424" s="50" t="e">
        <f>VLOOKUP(B424,aa!B:O,14,0)</f>
        <v>#N/A</v>
      </c>
      <c r="K424" s="50" t="e">
        <f>VLOOKUP(B424,aa!B:R,17,0)</f>
        <v>#N/A</v>
      </c>
      <c r="L424" s="50" t="s">
        <v>97</v>
      </c>
      <c r="M424" s="50">
        <v>325080</v>
      </c>
      <c r="N424" s="50">
        <v>325080</v>
      </c>
      <c r="O424" s="50">
        <v>325080</v>
      </c>
      <c r="P424" s="50">
        <v>200</v>
      </c>
      <c r="Q424" s="50" t="s">
        <v>12984</v>
      </c>
      <c r="R424" s="50">
        <v>0</v>
      </c>
      <c r="S424" s="50">
        <v>0</v>
      </c>
      <c r="U424" s="50">
        <v>0</v>
      </c>
      <c r="V424" s="50">
        <v>0</v>
      </c>
      <c r="X424" s="50" t="s">
        <v>102</v>
      </c>
      <c r="Y424" s="50" t="s">
        <v>275</v>
      </c>
      <c r="AA424" s="50" t="s">
        <v>126</v>
      </c>
      <c r="AB424" s="50" t="s">
        <v>109</v>
      </c>
      <c r="AC424" s="50" t="s">
        <v>102</v>
      </c>
      <c r="AD424" s="50" t="s">
        <v>109</v>
      </c>
      <c r="AE424" s="50" t="s">
        <v>102</v>
      </c>
      <c r="AF424" s="50" t="s">
        <v>109</v>
      </c>
      <c r="AG424" s="50" t="s">
        <v>102</v>
      </c>
      <c r="AH424" s="50" t="s">
        <v>109</v>
      </c>
      <c r="AI424" s="50" t="s">
        <v>102</v>
      </c>
      <c r="AJ424" s="50" t="s">
        <v>12985</v>
      </c>
      <c r="AK424" s="50" t="s">
        <v>12541</v>
      </c>
      <c r="AL424" s="50" t="s">
        <v>12541</v>
      </c>
      <c r="AM424" s="50" t="s">
        <v>12986</v>
      </c>
      <c r="AN424" s="50" t="s">
        <v>12987</v>
      </c>
      <c r="AO424" s="50" t="s">
        <v>102</v>
      </c>
      <c r="AP424" s="50" t="s">
        <v>12988</v>
      </c>
      <c r="AQ424" s="50" t="s">
        <v>12989</v>
      </c>
      <c r="AR424" s="50" t="s">
        <v>343</v>
      </c>
      <c r="AV424" s="50" t="s">
        <v>318</v>
      </c>
      <c r="AW424" s="50" t="s">
        <v>118</v>
      </c>
      <c r="AX424" s="50" t="s">
        <v>102</v>
      </c>
      <c r="AY424" s="50" t="s">
        <v>119</v>
      </c>
      <c r="BC424" s="50" t="s">
        <v>120</v>
      </c>
      <c r="BD424" s="50" t="s">
        <v>251</v>
      </c>
      <c r="BE424" s="50" t="s">
        <v>252</v>
      </c>
      <c r="BF424" s="50" t="s">
        <v>122</v>
      </c>
      <c r="BG424" s="50" t="s">
        <v>253</v>
      </c>
      <c r="BH424" s="50" t="s">
        <v>124</v>
      </c>
      <c r="BI424" s="50" t="s">
        <v>7484</v>
      </c>
      <c r="BJ424" s="50" t="s">
        <v>12435</v>
      </c>
      <c r="BK424" s="50" t="s">
        <v>127</v>
      </c>
      <c r="BL424" s="50" t="s">
        <v>12990</v>
      </c>
      <c r="BM424" s="50" t="s">
        <v>1990</v>
      </c>
      <c r="BN424" s="50" t="s">
        <v>12991</v>
      </c>
      <c r="BO424" s="50" t="s">
        <v>7484</v>
      </c>
      <c r="BP424" s="50" t="s">
        <v>12453</v>
      </c>
      <c r="BQ424" s="50" t="s">
        <v>350</v>
      </c>
      <c r="BR424" s="50" t="s">
        <v>12454</v>
      </c>
      <c r="BS424" s="50" t="s">
        <v>12455</v>
      </c>
      <c r="BT424" s="50" t="s">
        <v>1995</v>
      </c>
      <c r="BU424" s="50" t="s">
        <v>135</v>
      </c>
      <c r="BV424" s="50" t="s">
        <v>12992</v>
      </c>
      <c r="BW424" s="50" t="s">
        <v>12993</v>
      </c>
      <c r="BX424" s="50" t="s">
        <v>138</v>
      </c>
      <c r="BY424" s="50" t="s">
        <v>12994</v>
      </c>
      <c r="BZ424" s="50" t="s">
        <v>12995</v>
      </c>
      <c r="CA424" s="50" t="s">
        <v>1998</v>
      </c>
      <c r="CB424" s="50" t="s">
        <v>12993</v>
      </c>
      <c r="CC424" s="50" t="s">
        <v>12994</v>
      </c>
      <c r="CD424" s="50" t="s">
        <v>12995</v>
      </c>
      <c r="CE424" s="50" t="s">
        <v>12993</v>
      </c>
      <c r="CF424" s="50" t="s">
        <v>12994</v>
      </c>
      <c r="CG424" s="50" t="s">
        <v>12995</v>
      </c>
      <c r="CH424" s="50" t="s">
        <v>1999</v>
      </c>
      <c r="CI424" s="50" t="s">
        <v>12996</v>
      </c>
      <c r="CK424" s="50" t="s">
        <v>2001</v>
      </c>
      <c r="CL424" s="50" t="s">
        <v>12997</v>
      </c>
      <c r="CM424" s="50" t="s">
        <v>251</v>
      </c>
      <c r="CN424" s="50" t="s">
        <v>252</v>
      </c>
      <c r="CO424" s="50" t="s">
        <v>2001</v>
      </c>
      <c r="CQ424" s="50" t="s">
        <v>2000</v>
      </c>
      <c r="CR424" s="50" t="s">
        <v>2002</v>
      </c>
    </row>
    <row r="425" spans="1:97" hidden="1">
      <c r="A425" s="50" t="s">
        <v>337</v>
      </c>
      <c r="B425" s="50">
        <v>207818</v>
      </c>
      <c r="C425" s="50" t="e">
        <f>VLOOKUP(B425,'Drop schools 2026'!B:C,2,0)</f>
        <v>#N/A</v>
      </c>
      <c r="D425" s="50" t="s">
        <v>212</v>
      </c>
      <c r="E425" s="50" t="s">
        <v>12423</v>
      </c>
      <c r="F425" s="50" t="s">
        <v>13508</v>
      </c>
      <c r="G425" s="50" t="str">
        <f>VLOOKUP(B425,aa!B:F,5,0)</f>
        <v>Ei ASSET</v>
      </c>
      <c r="H425" s="50">
        <f>VLOOKUP(B425,aa!B:J,9,0)</f>
        <v>297750</v>
      </c>
      <c r="I425" s="50">
        <f>VLOOKUP(B425,aa!B:L,11,0)</f>
        <v>297750</v>
      </c>
      <c r="J425" s="50">
        <f>VLOOKUP(B425,aa!B:O,14,0)</f>
        <v>0</v>
      </c>
      <c r="K425" s="50">
        <f>VLOOKUP(B425,aa!B:R,17,0)</f>
        <v>0</v>
      </c>
      <c r="L425" s="50" t="s">
        <v>97</v>
      </c>
      <c r="M425" s="50">
        <v>324750</v>
      </c>
      <c r="N425" s="50">
        <v>324750</v>
      </c>
      <c r="O425" s="50">
        <v>324750</v>
      </c>
      <c r="P425" s="50">
        <v>433</v>
      </c>
      <c r="Q425" s="50" t="s">
        <v>101</v>
      </c>
      <c r="R425" s="50">
        <v>0</v>
      </c>
      <c r="S425" s="50">
        <v>0</v>
      </c>
      <c r="U425" s="50">
        <v>0</v>
      </c>
      <c r="V425" s="50">
        <v>0</v>
      </c>
      <c r="X425" s="50" t="s">
        <v>102</v>
      </c>
      <c r="Y425" s="50" t="s">
        <v>103</v>
      </c>
      <c r="Z425" s="50" t="s">
        <v>398</v>
      </c>
      <c r="AB425" s="50" t="s">
        <v>11976</v>
      </c>
      <c r="AC425" s="50" t="s">
        <v>13509</v>
      </c>
      <c r="AD425" s="50" t="s">
        <v>11884</v>
      </c>
      <c r="AE425" s="50" t="s">
        <v>13510</v>
      </c>
      <c r="AF425" s="50" t="s">
        <v>6895</v>
      </c>
      <c r="AG425" s="50" t="s">
        <v>13510</v>
      </c>
      <c r="AH425" s="50" t="s">
        <v>109</v>
      </c>
      <c r="AI425" s="50" t="s">
        <v>102</v>
      </c>
      <c r="AJ425" s="50" t="s">
        <v>102</v>
      </c>
      <c r="AK425" s="50" t="s">
        <v>13511</v>
      </c>
      <c r="AL425" s="50" t="s">
        <v>13511</v>
      </c>
      <c r="AM425" s="50" t="s">
        <v>13512</v>
      </c>
      <c r="AN425" s="50" t="s">
        <v>13513</v>
      </c>
      <c r="AO425" s="50" t="s">
        <v>13514</v>
      </c>
      <c r="AP425" s="50" t="s">
        <v>116</v>
      </c>
      <c r="AQ425" s="50" t="s">
        <v>116</v>
      </c>
      <c r="AV425" s="50" t="s">
        <v>117</v>
      </c>
      <c r="AW425" s="50" t="s">
        <v>118</v>
      </c>
      <c r="AX425" s="50" t="s">
        <v>102</v>
      </c>
      <c r="AY425" s="50" t="s">
        <v>119</v>
      </c>
      <c r="BC425" s="50" t="s">
        <v>120</v>
      </c>
      <c r="BD425" s="50" t="s">
        <v>13515</v>
      </c>
      <c r="BE425" s="50" t="s">
        <v>410</v>
      </c>
      <c r="BF425" s="50" t="s">
        <v>212</v>
      </c>
      <c r="BG425" s="50" t="s">
        <v>410</v>
      </c>
      <c r="BH425" s="50" t="s">
        <v>124</v>
      </c>
      <c r="BI425" s="50" t="s">
        <v>12084</v>
      </c>
      <c r="BJ425" s="50" t="s">
        <v>11886</v>
      </c>
      <c r="BK425" s="50" t="s">
        <v>127</v>
      </c>
      <c r="BL425" s="50" t="s">
        <v>13516</v>
      </c>
      <c r="BM425" s="50" t="s">
        <v>13517</v>
      </c>
      <c r="BN425" s="50" t="s">
        <v>13518</v>
      </c>
      <c r="BO425" s="50" t="s">
        <v>1827</v>
      </c>
      <c r="BP425" s="50" t="s">
        <v>896</v>
      </c>
      <c r="BQ425" s="50" t="s">
        <v>132</v>
      </c>
      <c r="BR425" s="50" t="s">
        <v>897</v>
      </c>
      <c r="BS425" s="50" t="s">
        <v>898</v>
      </c>
      <c r="BT425" s="50" t="s">
        <v>899</v>
      </c>
      <c r="BV425" s="50" t="s">
        <v>13519</v>
      </c>
      <c r="BW425" s="50" t="s">
        <v>13520</v>
      </c>
      <c r="BX425" s="50" t="s">
        <v>138</v>
      </c>
      <c r="BY425" s="50" t="s">
        <v>13521</v>
      </c>
      <c r="BZ425" s="50" t="s">
        <v>13522</v>
      </c>
      <c r="CA425" s="50" t="s">
        <v>13521</v>
      </c>
      <c r="CB425" s="50" t="s">
        <v>13523</v>
      </c>
      <c r="CC425" s="50" t="s">
        <v>13521</v>
      </c>
      <c r="CD425" s="50" t="s">
        <v>13522</v>
      </c>
      <c r="CE425" s="50" t="s">
        <v>13523</v>
      </c>
      <c r="CF425" s="50" t="s">
        <v>13521</v>
      </c>
      <c r="CG425" s="50" t="s">
        <v>13522</v>
      </c>
      <c r="CH425" s="50" t="s">
        <v>2270</v>
      </c>
      <c r="CI425" s="50" t="s">
        <v>13524</v>
      </c>
      <c r="CK425" s="50" t="s">
        <v>13525</v>
      </c>
      <c r="CL425" s="50" t="s">
        <v>13524</v>
      </c>
      <c r="CM425" s="50" t="s">
        <v>13515</v>
      </c>
      <c r="CN425" s="50" t="s">
        <v>410</v>
      </c>
      <c r="CO425" s="50" t="s">
        <v>13525</v>
      </c>
      <c r="CQ425" s="50" t="s">
        <v>13526</v>
      </c>
      <c r="CR425" s="50" t="s">
        <v>13526</v>
      </c>
    </row>
    <row r="426" spans="1:97" hidden="1">
      <c r="A426" s="50" t="s">
        <v>337</v>
      </c>
      <c r="B426" s="50">
        <v>5018655</v>
      </c>
      <c r="C426" s="50" t="e">
        <f>VLOOKUP(B426,'Drop schools 2026'!B:C,2,0)</f>
        <v>#N/A</v>
      </c>
      <c r="D426" s="50" t="s">
        <v>122</v>
      </c>
      <c r="E426" s="50" t="s">
        <v>12507</v>
      </c>
      <c r="F426" s="50" t="s">
        <v>20080</v>
      </c>
      <c r="G426" s="50" t="str">
        <f>VLOOKUP(B426,aa!B:F,5,0)</f>
        <v>Ei CARES</v>
      </c>
      <c r="H426" s="50">
        <f>VLOOKUP(B426,aa!B:J,9,0)</f>
        <v>360045</v>
      </c>
      <c r="I426" s="50">
        <f>VLOOKUP(B426,aa!B:L,11,0)</f>
        <v>0</v>
      </c>
      <c r="J426" s="50">
        <f>VLOOKUP(B426,aa!B:O,14,0)</f>
        <v>360045</v>
      </c>
      <c r="K426" s="50">
        <f>VLOOKUP(B426,aa!B:R,17,0)</f>
        <v>0</v>
      </c>
      <c r="L426" s="50" t="s">
        <v>152</v>
      </c>
      <c r="M426" s="50">
        <v>324040</v>
      </c>
      <c r="N426" s="50">
        <v>324040</v>
      </c>
      <c r="O426" s="50">
        <v>0</v>
      </c>
      <c r="P426" s="50">
        <v>0</v>
      </c>
      <c r="R426" s="50">
        <v>324040</v>
      </c>
      <c r="S426" s="50">
        <v>270</v>
      </c>
      <c r="T426" s="50" t="s">
        <v>880</v>
      </c>
      <c r="U426" s="50">
        <v>0</v>
      </c>
      <c r="V426" s="50">
        <v>0</v>
      </c>
      <c r="X426" s="50" t="s">
        <v>102</v>
      </c>
      <c r="Y426" s="50" t="s">
        <v>103</v>
      </c>
      <c r="Z426" s="50" t="s">
        <v>398</v>
      </c>
      <c r="AB426" s="50" t="s">
        <v>5022</v>
      </c>
      <c r="AC426" s="50" t="s">
        <v>20081</v>
      </c>
      <c r="AD426" s="50" t="s">
        <v>12800</v>
      </c>
      <c r="AE426" s="50" t="s">
        <v>20082</v>
      </c>
      <c r="AF426" s="50" t="s">
        <v>11886</v>
      </c>
      <c r="AG426" s="50" t="s">
        <v>20083</v>
      </c>
      <c r="AH426" s="50" t="s">
        <v>109</v>
      </c>
      <c r="AI426" s="50" t="s">
        <v>102</v>
      </c>
      <c r="AJ426" s="50" t="s">
        <v>102</v>
      </c>
      <c r="AK426" s="50" t="s">
        <v>14705</v>
      </c>
      <c r="AL426" s="50" t="s">
        <v>13000</v>
      </c>
      <c r="AM426" s="50" t="s">
        <v>20084</v>
      </c>
      <c r="AN426" s="50" t="s">
        <v>20085</v>
      </c>
      <c r="AO426" s="50" t="s">
        <v>20086</v>
      </c>
      <c r="AP426" s="50" t="s">
        <v>20087</v>
      </c>
      <c r="AQ426" s="50" t="s">
        <v>20087</v>
      </c>
      <c r="AV426" s="50" t="s">
        <v>102</v>
      </c>
      <c r="AX426" s="50" t="s">
        <v>102</v>
      </c>
      <c r="AY426" s="50" t="s">
        <v>119</v>
      </c>
      <c r="AZ426" s="50" t="s">
        <v>170</v>
      </c>
      <c r="BA426" s="50" t="s">
        <v>118</v>
      </c>
      <c r="BC426" s="50" t="s">
        <v>120</v>
      </c>
      <c r="BD426" s="50" t="s">
        <v>2373</v>
      </c>
      <c r="BE426" s="50" t="s">
        <v>20088</v>
      </c>
      <c r="BF426" s="50" t="s">
        <v>122</v>
      </c>
      <c r="BG426" s="50" t="s">
        <v>557</v>
      </c>
      <c r="BH426" s="50" t="s">
        <v>124</v>
      </c>
      <c r="BI426" s="50" t="s">
        <v>12023</v>
      </c>
      <c r="BJ426" s="50" t="s">
        <v>11889</v>
      </c>
      <c r="BK426" s="50" t="s">
        <v>127</v>
      </c>
      <c r="BL426" s="50" t="s">
        <v>20089</v>
      </c>
      <c r="BM426" s="50" t="s">
        <v>20090</v>
      </c>
      <c r="BN426" s="50" t="s">
        <v>20091</v>
      </c>
      <c r="BO426" s="50" t="s">
        <v>11300</v>
      </c>
      <c r="BP426" s="50" t="s">
        <v>16526</v>
      </c>
      <c r="BQ426" s="50" t="s">
        <v>350</v>
      </c>
      <c r="BR426" s="50" t="s">
        <v>16527</v>
      </c>
      <c r="BS426" s="50" t="s">
        <v>16528</v>
      </c>
      <c r="BT426" s="50" t="s">
        <v>16529</v>
      </c>
      <c r="BV426" s="50" t="s">
        <v>20092</v>
      </c>
      <c r="BW426" s="50" t="s">
        <v>20093</v>
      </c>
      <c r="BX426" s="50" t="s">
        <v>354</v>
      </c>
      <c r="BY426" s="50" t="s">
        <v>20094</v>
      </c>
      <c r="BZ426" s="50" t="s">
        <v>20095</v>
      </c>
      <c r="CA426" s="50" t="s">
        <v>20096</v>
      </c>
      <c r="CB426" s="50" t="s">
        <v>20097</v>
      </c>
      <c r="CC426" s="50" t="s">
        <v>20094</v>
      </c>
      <c r="CD426" s="50" t="s">
        <v>20098</v>
      </c>
      <c r="CE426" s="50" t="s">
        <v>20099</v>
      </c>
      <c r="CF426" s="50" t="s">
        <v>20094</v>
      </c>
      <c r="CG426" s="50" t="s">
        <v>20100</v>
      </c>
      <c r="CH426" s="50" t="s">
        <v>11282</v>
      </c>
      <c r="CI426" s="50" t="s">
        <v>20101</v>
      </c>
      <c r="CK426" s="50" t="s">
        <v>20102</v>
      </c>
      <c r="CM426" s="50" t="s">
        <v>2373</v>
      </c>
      <c r="CN426" s="50" t="s">
        <v>20088</v>
      </c>
      <c r="CO426" s="50" t="s">
        <v>20102</v>
      </c>
      <c r="CQ426" s="50" t="s">
        <v>20103</v>
      </c>
      <c r="CR426" s="50" t="s">
        <v>20103</v>
      </c>
    </row>
    <row r="427" spans="1:97" hidden="1">
      <c r="A427" s="50" t="s">
        <v>149</v>
      </c>
      <c r="B427" s="50">
        <v>581062</v>
      </c>
      <c r="C427" s="50" t="e">
        <f>VLOOKUP(B427,'Drop schools 2026'!B:C,2,0)</f>
        <v>#N/A</v>
      </c>
      <c r="D427" s="50" t="s">
        <v>122</v>
      </c>
      <c r="E427" s="50" t="s">
        <v>12018</v>
      </c>
      <c r="F427" s="50" t="s">
        <v>21029</v>
      </c>
      <c r="G427" s="50" t="e">
        <f>VLOOKUP(B427,aa!B:F,5,0)</f>
        <v>#N/A</v>
      </c>
      <c r="H427" s="50" t="e">
        <f>VLOOKUP(B427,aa!B:J,9,0)</f>
        <v>#N/A</v>
      </c>
      <c r="I427" s="50" t="e">
        <f>VLOOKUP(B427,aa!B:L,11,0)</f>
        <v>#N/A</v>
      </c>
      <c r="J427" s="50" t="e">
        <f>VLOOKUP(B427,aa!B:O,14,0)</f>
        <v>#N/A</v>
      </c>
      <c r="K427" s="50" t="e">
        <f>VLOOKUP(B427,aa!B:R,17,0)</f>
        <v>#N/A</v>
      </c>
      <c r="L427" s="50" t="s">
        <v>97</v>
      </c>
      <c r="M427" s="50">
        <v>322744</v>
      </c>
      <c r="N427" s="50">
        <v>322744</v>
      </c>
      <c r="O427" s="50">
        <v>322744</v>
      </c>
      <c r="P427" s="50">
        <v>259</v>
      </c>
      <c r="Q427" s="50" t="s">
        <v>5316</v>
      </c>
      <c r="R427" s="50">
        <v>0</v>
      </c>
      <c r="S427" s="50">
        <v>0</v>
      </c>
      <c r="U427" s="50">
        <v>0</v>
      </c>
      <c r="V427" s="50">
        <v>0</v>
      </c>
      <c r="X427" s="50" t="s">
        <v>102</v>
      </c>
      <c r="Y427" s="50" t="s">
        <v>103</v>
      </c>
      <c r="Z427" s="50" t="s">
        <v>104</v>
      </c>
      <c r="AB427" s="50" t="s">
        <v>1305</v>
      </c>
      <c r="AC427" s="50" t="s">
        <v>21181</v>
      </c>
      <c r="AD427" s="50" t="s">
        <v>13033</v>
      </c>
      <c r="AE427" s="50" t="s">
        <v>21182</v>
      </c>
      <c r="AF427" s="50" t="s">
        <v>109</v>
      </c>
      <c r="AG427" s="50" t="s">
        <v>102</v>
      </c>
      <c r="AH427" s="50" t="s">
        <v>109</v>
      </c>
      <c r="AI427" s="50" t="s">
        <v>102</v>
      </c>
      <c r="AJ427" s="50" t="s">
        <v>21183</v>
      </c>
      <c r="AK427" s="50" t="s">
        <v>14272</v>
      </c>
      <c r="AL427" s="50" t="s">
        <v>14272</v>
      </c>
      <c r="AM427" s="50" t="s">
        <v>21184</v>
      </c>
      <c r="AN427" s="50" t="s">
        <v>21185</v>
      </c>
      <c r="AO427" s="50" t="s">
        <v>21186</v>
      </c>
      <c r="AP427" s="50" t="s">
        <v>21187</v>
      </c>
      <c r="AQ427" s="50" t="s">
        <v>21187</v>
      </c>
      <c r="AV427" s="50" t="s">
        <v>318</v>
      </c>
      <c r="AW427" s="50" t="s">
        <v>118</v>
      </c>
      <c r="AX427" s="50" t="s">
        <v>102</v>
      </c>
      <c r="AY427" s="50" t="s">
        <v>119</v>
      </c>
      <c r="BC427" s="50" t="s">
        <v>120</v>
      </c>
      <c r="BD427" s="50" t="s">
        <v>2799</v>
      </c>
      <c r="BE427" s="50" t="s">
        <v>2800</v>
      </c>
      <c r="BF427" s="50" t="s">
        <v>122</v>
      </c>
      <c r="BG427" s="50" t="s">
        <v>346</v>
      </c>
      <c r="BH427" s="50" t="s">
        <v>124</v>
      </c>
      <c r="BI427" s="50" t="s">
        <v>12023</v>
      </c>
      <c r="BJ427" s="50" t="s">
        <v>11889</v>
      </c>
      <c r="BK427" s="50" t="s">
        <v>127</v>
      </c>
      <c r="BL427" s="50" t="s">
        <v>21188</v>
      </c>
      <c r="BM427" s="50" t="s">
        <v>11214</v>
      </c>
      <c r="BN427" s="50" t="s">
        <v>21189</v>
      </c>
      <c r="BO427" s="50" t="s">
        <v>21030</v>
      </c>
      <c r="BP427" s="50" t="s">
        <v>593</v>
      </c>
      <c r="BQ427" s="50" t="s">
        <v>350</v>
      </c>
      <c r="BR427" s="50" t="s">
        <v>594</v>
      </c>
      <c r="BS427" s="50" t="s">
        <v>595</v>
      </c>
      <c r="BT427" s="50" t="s">
        <v>328</v>
      </c>
      <c r="BV427" s="50" t="s">
        <v>21190</v>
      </c>
      <c r="BW427" s="50" t="s">
        <v>21041</v>
      </c>
      <c r="BX427" s="50" t="s">
        <v>598</v>
      </c>
      <c r="BY427" s="50" t="s">
        <v>21042</v>
      </c>
      <c r="BZ427" s="50" t="s">
        <v>21043</v>
      </c>
      <c r="CA427" s="50" t="s">
        <v>11217</v>
      </c>
      <c r="CB427" s="50" t="s">
        <v>21191</v>
      </c>
      <c r="CC427" s="50" t="s">
        <v>10965</v>
      </c>
      <c r="CD427" s="50" t="s">
        <v>21192</v>
      </c>
      <c r="CE427" s="50" t="s">
        <v>21041</v>
      </c>
      <c r="CF427" s="50" t="s">
        <v>21042</v>
      </c>
      <c r="CG427" s="50" t="s">
        <v>21043</v>
      </c>
      <c r="CH427" s="50" t="s">
        <v>102</v>
      </c>
      <c r="CI427" s="50" t="s">
        <v>21193</v>
      </c>
      <c r="CK427" s="50" t="s">
        <v>11219</v>
      </c>
      <c r="CM427" s="50" t="s">
        <v>2799</v>
      </c>
      <c r="CN427" s="50" t="s">
        <v>2800</v>
      </c>
      <c r="CO427" s="50" t="s">
        <v>11219</v>
      </c>
      <c r="CQ427" s="50" t="s">
        <v>11218</v>
      </c>
      <c r="CR427" s="50" t="s">
        <v>11218</v>
      </c>
    </row>
    <row r="428" spans="1:97" hidden="1">
      <c r="A428" s="50" t="s">
        <v>149</v>
      </c>
      <c r="B428" s="50">
        <v>5004123</v>
      </c>
      <c r="C428" s="50" t="e">
        <f>VLOOKUP(B428,'Drop schools 2026'!B:C,2,0)</f>
        <v>#N/A</v>
      </c>
      <c r="D428" s="50" t="s">
        <v>622</v>
      </c>
      <c r="E428" s="50" t="s">
        <v>2525</v>
      </c>
      <c r="F428" s="50" t="s">
        <v>9190</v>
      </c>
      <c r="G428" s="50" t="e">
        <f>VLOOKUP(B428,aa!B:F,5,0)</f>
        <v>#N/A</v>
      </c>
      <c r="H428" s="50" t="e">
        <f>VLOOKUP(B428,aa!B:J,9,0)</f>
        <v>#N/A</v>
      </c>
      <c r="I428" s="50" t="e">
        <f>VLOOKUP(B428,aa!B:L,11,0)</f>
        <v>#N/A</v>
      </c>
      <c r="J428" s="50" t="e">
        <f>VLOOKUP(B428,aa!B:O,14,0)</f>
        <v>#N/A</v>
      </c>
      <c r="K428" s="50" t="e">
        <f>VLOOKUP(B428,aa!B:R,17,0)</f>
        <v>#N/A</v>
      </c>
      <c r="L428" s="50" t="s">
        <v>97</v>
      </c>
      <c r="M428" s="50">
        <v>317442</v>
      </c>
      <c r="N428" s="50">
        <v>317442</v>
      </c>
      <c r="O428" s="50">
        <v>317442</v>
      </c>
      <c r="P428" s="50">
        <v>444</v>
      </c>
      <c r="Q428" s="50" t="s">
        <v>1954</v>
      </c>
      <c r="R428" s="50">
        <v>0</v>
      </c>
      <c r="S428" s="50">
        <v>0</v>
      </c>
      <c r="U428" s="50">
        <v>0</v>
      </c>
      <c r="V428" s="50">
        <v>0</v>
      </c>
      <c r="X428" s="50" t="s">
        <v>102</v>
      </c>
      <c r="Y428" s="50" t="s">
        <v>275</v>
      </c>
      <c r="AA428" s="50" t="s">
        <v>126</v>
      </c>
      <c r="AB428" s="50" t="s">
        <v>109</v>
      </c>
      <c r="AC428" s="50" t="s">
        <v>102</v>
      </c>
      <c r="AD428" s="50" t="s">
        <v>109</v>
      </c>
      <c r="AE428" s="50" t="s">
        <v>102</v>
      </c>
      <c r="AF428" s="50" t="s">
        <v>109</v>
      </c>
      <c r="AG428" s="50" t="s">
        <v>102</v>
      </c>
      <c r="AH428" s="50" t="s">
        <v>109</v>
      </c>
      <c r="AI428" s="50" t="s">
        <v>102</v>
      </c>
      <c r="AJ428" s="50" t="s">
        <v>102</v>
      </c>
      <c r="AK428" s="50" t="s">
        <v>3849</v>
      </c>
      <c r="AL428" s="50" t="s">
        <v>3849</v>
      </c>
      <c r="AM428" s="50" t="s">
        <v>18548</v>
      </c>
      <c r="AN428" s="50" t="s">
        <v>18549</v>
      </c>
      <c r="AO428" s="50" t="s">
        <v>18550</v>
      </c>
      <c r="AP428" s="50" t="s">
        <v>18551</v>
      </c>
      <c r="AQ428" s="50" t="s">
        <v>18552</v>
      </c>
      <c r="AR428" s="50" t="s">
        <v>343</v>
      </c>
      <c r="AU428" s="50" t="s">
        <v>169</v>
      </c>
      <c r="AV428" s="50" t="s">
        <v>117</v>
      </c>
      <c r="AW428" s="50" t="s">
        <v>118</v>
      </c>
      <c r="AX428" s="50" t="s">
        <v>102</v>
      </c>
      <c r="AY428" s="50" t="s">
        <v>119</v>
      </c>
      <c r="BC428" s="50" t="s">
        <v>3678</v>
      </c>
      <c r="BD428" s="50" t="s">
        <v>2327</v>
      </c>
      <c r="BE428" s="50" t="s">
        <v>730</v>
      </c>
      <c r="BF428" s="50" t="s">
        <v>622</v>
      </c>
      <c r="BG428" s="50" t="s">
        <v>730</v>
      </c>
      <c r="BH428" s="50" t="s">
        <v>124</v>
      </c>
      <c r="BI428" s="50" t="s">
        <v>11959</v>
      </c>
      <c r="BJ428" s="50" t="s">
        <v>11960</v>
      </c>
      <c r="BK428" s="50" t="s">
        <v>127</v>
      </c>
      <c r="BL428" s="50" t="s">
        <v>18553</v>
      </c>
      <c r="BM428" s="50" t="s">
        <v>9201</v>
      </c>
      <c r="BN428" s="50" t="s">
        <v>18554</v>
      </c>
      <c r="BO428" s="50" t="s">
        <v>11884</v>
      </c>
      <c r="BP428" s="50" t="s">
        <v>3606</v>
      </c>
      <c r="BQ428" s="50" t="s">
        <v>350</v>
      </c>
      <c r="BR428" s="50" t="s">
        <v>3607</v>
      </c>
      <c r="BS428" s="50" t="s">
        <v>3608</v>
      </c>
      <c r="BT428" s="50" t="s">
        <v>2525</v>
      </c>
      <c r="BV428" s="50" t="s">
        <v>18555</v>
      </c>
      <c r="BW428" s="50" t="s">
        <v>18556</v>
      </c>
      <c r="BY428" s="50" t="s">
        <v>18557</v>
      </c>
      <c r="BZ428" s="50" t="s">
        <v>18558</v>
      </c>
      <c r="CA428" s="50" t="s">
        <v>9207</v>
      </c>
      <c r="CB428" s="50" t="s">
        <v>18559</v>
      </c>
      <c r="CC428" s="50" t="s">
        <v>18560</v>
      </c>
      <c r="CD428" s="50" t="s">
        <v>18561</v>
      </c>
      <c r="CE428" s="50" t="s">
        <v>18559</v>
      </c>
      <c r="CF428" s="50" t="s">
        <v>18560</v>
      </c>
      <c r="CG428" s="50" t="s">
        <v>18561</v>
      </c>
      <c r="CH428" s="50" t="s">
        <v>102</v>
      </c>
      <c r="CI428" s="50" t="s">
        <v>18562</v>
      </c>
      <c r="CK428" s="50" t="s">
        <v>4712</v>
      </c>
      <c r="CM428" s="50" t="s">
        <v>2327</v>
      </c>
      <c r="CN428" s="50" t="s">
        <v>730</v>
      </c>
      <c r="CO428" s="50" t="s">
        <v>4712</v>
      </c>
      <c r="CQ428" s="50" t="s">
        <v>9208</v>
      </c>
      <c r="CR428" s="50" t="s">
        <v>9208</v>
      </c>
      <c r="CS428" s="50" t="s">
        <v>26048</v>
      </c>
    </row>
    <row r="429" spans="1:97" hidden="1">
      <c r="A429" s="50" t="s">
        <v>93</v>
      </c>
      <c r="B429" s="50">
        <v>5017529</v>
      </c>
      <c r="C429" s="50" t="e">
        <f>VLOOKUP(B429,'Drop schools 2026'!B:C,2,0)</f>
        <v>#N/A</v>
      </c>
      <c r="D429" s="50" t="s">
        <v>174</v>
      </c>
      <c r="E429" s="50" t="s">
        <v>1111</v>
      </c>
      <c r="F429" s="50" t="s">
        <v>9990</v>
      </c>
      <c r="G429" s="50" t="str">
        <f>VLOOKUP(B429,aa!B:F,5,0)</f>
        <v>Ei CARES</v>
      </c>
      <c r="H429" s="50">
        <f>VLOOKUP(B429,aa!B:J,9,0)</f>
        <v>245675</v>
      </c>
      <c r="I429" s="50">
        <f>VLOOKUP(B429,aa!B:L,11,0)</f>
        <v>0</v>
      </c>
      <c r="J429" s="50">
        <f>VLOOKUP(B429,aa!B:O,14,0)</f>
        <v>245675</v>
      </c>
      <c r="K429" s="50">
        <f>VLOOKUP(B429,aa!B:R,17,0)</f>
        <v>0</v>
      </c>
      <c r="L429" s="50" t="s">
        <v>8024</v>
      </c>
      <c r="M429" s="50">
        <v>316904</v>
      </c>
      <c r="N429" s="50">
        <v>343471</v>
      </c>
      <c r="O429" s="50">
        <v>0</v>
      </c>
      <c r="P429" s="50">
        <v>0</v>
      </c>
      <c r="R429" s="50">
        <v>169312</v>
      </c>
      <c r="S429" s="50">
        <v>129</v>
      </c>
      <c r="T429" s="50" t="s">
        <v>14834</v>
      </c>
      <c r="U429" s="50">
        <v>147592</v>
      </c>
      <c r="V429" s="50">
        <v>129</v>
      </c>
      <c r="W429" s="50" t="s">
        <v>15151</v>
      </c>
      <c r="X429" s="50" t="s">
        <v>102</v>
      </c>
      <c r="Y429" s="50" t="s">
        <v>275</v>
      </c>
      <c r="AA429" s="50" t="s">
        <v>411</v>
      </c>
      <c r="AB429" s="50" t="s">
        <v>109</v>
      </c>
      <c r="AC429" s="50" t="s">
        <v>102</v>
      </c>
      <c r="AD429" s="50" t="s">
        <v>109</v>
      </c>
      <c r="AE429" s="50" t="s">
        <v>102</v>
      </c>
      <c r="AF429" s="50" t="s">
        <v>109</v>
      </c>
      <c r="AG429" s="50" t="s">
        <v>102</v>
      </c>
      <c r="AH429" s="50" t="s">
        <v>109</v>
      </c>
      <c r="AI429" s="50" t="s">
        <v>102</v>
      </c>
      <c r="AJ429" s="50" t="s">
        <v>102</v>
      </c>
      <c r="AK429" s="50" t="s">
        <v>14292</v>
      </c>
      <c r="AL429" s="50" t="s">
        <v>13075</v>
      </c>
      <c r="AM429" s="50" t="s">
        <v>19064</v>
      </c>
      <c r="AN429" s="50" t="s">
        <v>2980</v>
      </c>
      <c r="AO429" s="50" t="s">
        <v>19065</v>
      </c>
      <c r="AP429" s="50" t="s">
        <v>15155</v>
      </c>
      <c r="AQ429" s="50" t="s">
        <v>15155</v>
      </c>
      <c r="AV429" s="50" t="s">
        <v>102</v>
      </c>
      <c r="AX429" s="50" t="s">
        <v>155</v>
      </c>
      <c r="AY429" s="50" t="s">
        <v>119</v>
      </c>
      <c r="AZ429" s="50" t="s">
        <v>170</v>
      </c>
      <c r="BA429" s="50" t="s">
        <v>118</v>
      </c>
      <c r="BB429" s="50" t="s">
        <v>250</v>
      </c>
      <c r="BC429" s="50" t="s">
        <v>598</v>
      </c>
      <c r="BD429" s="50" t="s">
        <v>6594</v>
      </c>
      <c r="BE429" s="50" t="s">
        <v>6595</v>
      </c>
      <c r="BF429" s="50" t="s">
        <v>174</v>
      </c>
      <c r="BG429" s="50" t="s">
        <v>4405</v>
      </c>
      <c r="BH429" s="50" t="s">
        <v>124</v>
      </c>
      <c r="BI429" s="50" t="s">
        <v>12023</v>
      </c>
      <c r="BJ429" s="50" t="s">
        <v>11889</v>
      </c>
      <c r="BK429" s="50" t="s">
        <v>127</v>
      </c>
      <c r="BL429" s="50" t="s">
        <v>19066</v>
      </c>
      <c r="BM429" s="50" t="s">
        <v>10007</v>
      </c>
      <c r="BN429" s="50" t="s">
        <v>19067</v>
      </c>
      <c r="BO429" s="50" t="s">
        <v>4813</v>
      </c>
      <c r="BP429" s="50" t="s">
        <v>5531</v>
      </c>
      <c r="BQ429" s="50" t="s">
        <v>180</v>
      </c>
      <c r="BR429" s="50" t="s">
        <v>5532</v>
      </c>
      <c r="BS429" s="50" t="s">
        <v>5533</v>
      </c>
      <c r="BT429" s="50" t="s">
        <v>4413</v>
      </c>
      <c r="BV429" s="50" t="s">
        <v>19068</v>
      </c>
      <c r="BW429" s="50" t="s">
        <v>10010</v>
      </c>
      <c r="BX429" s="50" t="s">
        <v>354</v>
      </c>
      <c r="BY429" s="50" t="s">
        <v>10011</v>
      </c>
      <c r="BZ429" s="50" t="s">
        <v>10012</v>
      </c>
      <c r="CA429" s="50" t="s">
        <v>10011</v>
      </c>
      <c r="CB429" s="50" t="s">
        <v>10010</v>
      </c>
      <c r="CC429" s="50" t="s">
        <v>10011</v>
      </c>
      <c r="CD429" s="50" t="s">
        <v>10012</v>
      </c>
      <c r="CE429" s="50" t="s">
        <v>10010</v>
      </c>
      <c r="CF429" s="50" t="s">
        <v>10011</v>
      </c>
      <c r="CG429" s="50" t="s">
        <v>10012</v>
      </c>
      <c r="CH429" s="50" t="s">
        <v>10017</v>
      </c>
      <c r="CI429" s="50" t="s">
        <v>10018</v>
      </c>
      <c r="CK429" s="50" t="s">
        <v>10019</v>
      </c>
      <c r="CL429" s="50" t="s">
        <v>10018</v>
      </c>
      <c r="CM429" s="50" t="s">
        <v>6594</v>
      </c>
      <c r="CN429" s="50" t="s">
        <v>6595</v>
      </c>
      <c r="CO429" s="50" t="s">
        <v>10019</v>
      </c>
      <c r="CQ429" s="50" t="s">
        <v>10018</v>
      </c>
      <c r="CR429" s="50" t="s">
        <v>10018</v>
      </c>
    </row>
    <row r="430" spans="1:97" hidden="1">
      <c r="A430" s="50" t="s">
        <v>337</v>
      </c>
      <c r="B430" s="50">
        <v>3253126</v>
      </c>
      <c r="C430" s="50" t="e">
        <f>VLOOKUP(B430,'Drop schools 2026'!B:C,2,0)</f>
        <v>#N/A</v>
      </c>
      <c r="D430" s="50" t="s">
        <v>122</v>
      </c>
      <c r="E430" s="50" t="s">
        <v>11898</v>
      </c>
      <c r="F430" s="50" t="s">
        <v>15262</v>
      </c>
      <c r="G430" s="50" t="str">
        <f>VLOOKUP(B430,aa!B:F,5,0)</f>
        <v>Ei ASSET</v>
      </c>
      <c r="H430" s="50">
        <f>VLOOKUP(B430,aa!B:J,9,0)</f>
        <v>297000</v>
      </c>
      <c r="I430" s="50">
        <f>VLOOKUP(B430,aa!B:L,11,0)</f>
        <v>297000</v>
      </c>
      <c r="J430" s="50">
        <f>VLOOKUP(B430,aa!B:O,14,0)</f>
        <v>0</v>
      </c>
      <c r="K430" s="50">
        <f>VLOOKUP(B430,aa!B:R,17,0)</f>
        <v>0</v>
      </c>
      <c r="L430" s="50" t="s">
        <v>97</v>
      </c>
      <c r="M430" s="50">
        <v>313200</v>
      </c>
      <c r="N430" s="50">
        <v>313200</v>
      </c>
      <c r="O430" s="50">
        <v>313200</v>
      </c>
      <c r="P430" s="50">
        <v>348</v>
      </c>
      <c r="Q430" s="50" t="s">
        <v>2451</v>
      </c>
      <c r="R430" s="50">
        <v>0</v>
      </c>
      <c r="S430" s="50">
        <v>0</v>
      </c>
      <c r="U430" s="50">
        <v>0</v>
      </c>
      <c r="V430" s="50">
        <v>0</v>
      </c>
      <c r="X430" s="50" t="s">
        <v>102</v>
      </c>
      <c r="Y430" s="50" t="s">
        <v>103</v>
      </c>
      <c r="Z430" s="50" t="s">
        <v>104</v>
      </c>
      <c r="AB430" s="50" t="s">
        <v>2950</v>
      </c>
      <c r="AC430" s="50" t="s">
        <v>15263</v>
      </c>
      <c r="AD430" s="50" t="s">
        <v>11976</v>
      </c>
      <c r="AE430" s="50" t="s">
        <v>15264</v>
      </c>
      <c r="AF430" s="50" t="s">
        <v>109</v>
      </c>
      <c r="AG430" s="50" t="s">
        <v>102</v>
      </c>
      <c r="AH430" s="50" t="s">
        <v>109</v>
      </c>
      <c r="AI430" s="50" t="s">
        <v>102</v>
      </c>
      <c r="AJ430" s="50" t="s">
        <v>15265</v>
      </c>
      <c r="AK430" s="50" t="s">
        <v>4045</v>
      </c>
      <c r="AL430" s="50" t="s">
        <v>11952</v>
      </c>
      <c r="AM430" s="50" t="s">
        <v>15266</v>
      </c>
      <c r="AN430" s="50" t="s">
        <v>15267</v>
      </c>
      <c r="AO430" s="50" t="s">
        <v>15268</v>
      </c>
      <c r="AP430" s="50" t="s">
        <v>554</v>
      </c>
      <c r="AQ430" s="50" t="s">
        <v>554</v>
      </c>
      <c r="AV430" s="50" t="s">
        <v>318</v>
      </c>
      <c r="AW430" s="50" t="s">
        <v>118</v>
      </c>
      <c r="AX430" s="50" t="s">
        <v>102</v>
      </c>
      <c r="AY430" s="50" t="s">
        <v>119</v>
      </c>
      <c r="BC430" s="50" t="s">
        <v>120</v>
      </c>
      <c r="BD430" s="50" t="s">
        <v>3058</v>
      </c>
      <c r="BE430" s="50" t="s">
        <v>320</v>
      </c>
      <c r="BF430" s="50" t="s">
        <v>122</v>
      </c>
      <c r="BG430" s="50" t="s">
        <v>123</v>
      </c>
      <c r="BH430" s="50" t="s">
        <v>124</v>
      </c>
      <c r="BI430" s="50" t="s">
        <v>12023</v>
      </c>
      <c r="BJ430" s="50" t="s">
        <v>11889</v>
      </c>
      <c r="BK430" s="50" t="s">
        <v>127</v>
      </c>
      <c r="BL430" s="50" t="s">
        <v>15269</v>
      </c>
      <c r="BM430" s="50" t="s">
        <v>15270</v>
      </c>
      <c r="BN430" s="50" t="s">
        <v>15271</v>
      </c>
      <c r="BO430" s="50" t="s">
        <v>3258</v>
      </c>
      <c r="BP430" s="50" t="s">
        <v>131</v>
      </c>
      <c r="BQ430" s="50" t="s">
        <v>350</v>
      </c>
      <c r="BR430" s="50" t="s">
        <v>133</v>
      </c>
      <c r="BS430" s="50" t="s">
        <v>134</v>
      </c>
      <c r="BT430" s="50" t="s">
        <v>455</v>
      </c>
      <c r="BV430" s="50" t="s">
        <v>15272</v>
      </c>
      <c r="BW430" s="50" t="s">
        <v>15273</v>
      </c>
      <c r="BX430" s="50" t="s">
        <v>598</v>
      </c>
      <c r="BY430" s="50" t="s">
        <v>15274</v>
      </c>
      <c r="BZ430" s="50" t="s">
        <v>15275</v>
      </c>
      <c r="CA430" s="50" t="s">
        <v>15276</v>
      </c>
      <c r="CB430" s="50" t="s">
        <v>15277</v>
      </c>
      <c r="CC430" s="50" t="s">
        <v>15276</v>
      </c>
      <c r="CD430" s="50" t="s">
        <v>15278</v>
      </c>
      <c r="CE430" s="50" t="s">
        <v>15279</v>
      </c>
      <c r="CF430" s="50" t="s">
        <v>15280</v>
      </c>
      <c r="CG430" s="50" t="s">
        <v>15281</v>
      </c>
      <c r="CH430" s="50" t="s">
        <v>5650</v>
      </c>
      <c r="CI430" s="50" t="s">
        <v>15282</v>
      </c>
      <c r="CK430" s="50" t="s">
        <v>15283</v>
      </c>
      <c r="CL430" s="50" t="s">
        <v>15282</v>
      </c>
      <c r="CM430" s="50" t="s">
        <v>3058</v>
      </c>
      <c r="CN430" s="50" t="s">
        <v>320</v>
      </c>
      <c r="CO430" s="50" t="s">
        <v>15283</v>
      </c>
      <c r="CQ430" s="50" t="s">
        <v>15284</v>
      </c>
      <c r="CR430" s="50" t="s">
        <v>15284</v>
      </c>
    </row>
    <row r="431" spans="1:97" hidden="1">
      <c r="A431" s="50" t="s">
        <v>337</v>
      </c>
      <c r="B431" s="50">
        <v>5018506</v>
      </c>
      <c r="C431" s="50" t="e">
        <f>VLOOKUP(B431,'Drop schools 2026'!B:C,2,0)</f>
        <v>#N/A</v>
      </c>
      <c r="D431" s="50" t="s">
        <v>212</v>
      </c>
      <c r="E431" s="50" t="s">
        <v>12423</v>
      </c>
      <c r="F431" s="50" t="s">
        <v>19948</v>
      </c>
      <c r="G431" s="50" t="e">
        <f>VLOOKUP(B431,aa!B:F,5,0)</f>
        <v>#N/A</v>
      </c>
      <c r="H431" s="50" t="e">
        <f>VLOOKUP(B431,aa!B:J,9,0)</f>
        <v>#N/A</v>
      </c>
      <c r="I431" s="50" t="e">
        <f>VLOOKUP(B431,aa!B:L,11,0)</f>
        <v>#N/A</v>
      </c>
      <c r="J431" s="50" t="e">
        <f>VLOOKUP(B431,aa!B:O,14,0)</f>
        <v>#N/A</v>
      </c>
      <c r="K431" s="50" t="e">
        <f>VLOOKUP(B431,aa!B:R,17,0)</f>
        <v>#N/A</v>
      </c>
      <c r="L431" s="50" t="s">
        <v>643</v>
      </c>
      <c r="M431" s="50">
        <v>312833</v>
      </c>
      <c r="N431" s="50">
        <v>337243</v>
      </c>
      <c r="O431" s="50">
        <v>0</v>
      </c>
      <c r="P431" s="50">
        <v>0</v>
      </c>
      <c r="R431" s="50">
        <v>177222</v>
      </c>
      <c r="S431" s="50">
        <v>443</v>
      </c>
      <c r="T431" s="50" t="s">
        <v>6051</v>
      </c>
      <c r="U431" s="50">
        <v>135611</v>
      </c>
      <c r="V431" s="50">
        <v>160</v>
      </c>
      <c r="W431" s="50" t="s">
        <v>19950</v>
      </c>
      <c r="X431" s="50" t="s">
        <v>102</v>
      </c>
      <c r="Y431" s="50" t="s">
        <v>103</v>
      </c>
      <c r="Z431" s="50" t="s">
        <v>938</v>
      </c>
      <c r="AB431" s="50" t="s">
        <v>12819</v>
      </c>
      <c r="AC431" s="50" t="s">
        <v>19951</v>
      </c>
      <c r="AD431" s="50" t="s">
        <v>19952</v>
      </c>
      <c r="AE431" s="50" t="s">
        <v>19953</v>
      </c>
      <c r="AF431" s="50" t="s">
        <v>19954</v>
      </c>
      <c r="AG431" s="50" t="s">
        <v>19953</v>
      </c>
      <c r="AH431" s="50" t="s">
        <v>19955</v>
      </c>
      <c r="AI431" s="50" t="s">
        <v>19956</v>
      </c>
      <c r="AJ431" s="50" t="s">
        <v>102</v>
      </c>
      <c r="AK431" s="50" t="s">
        <v>15564</v>
      </c>
      <c r="AL431" s="50" t="s">
        <v>15564</v>
      </c>
      <c r="AM431" s="50" t="s">
        <v>19957</v>
      </c>
      <c r="AN431" s="50" t="s">
        <v>9607</v>
      </c>
      <c r="AO431" s="50" t="s">
        <v>19958</v>
      </c>
      <c r="AP431" s="50" t="s">
        <v>19959</v>
      </c>
      <c r="AQ431" s="50" t="s">
        <v>19959</v>
      </c>
      <c r="AV431" s="50" t="s">
        <v>102</v>
      </c>
      <c r="AX431" s="50" t="s">
        <v>1103</v>
      </c>
      <c r="AY431" s="50" t="s">
        <v>119</v>
      </c>
      <c r="AZ431" s="50" t="s">
        <v>170</v>
      </c>
      <c r="BA431" s="50" t="s">
        <v>250</v>
      </c>
      <c r="BB431" s="50" t="s">
        <v>250</v>
      </c>
      <c r="BC431" s="50" t="s">
        <v>120</v>
      </c>
      <c r="BD431" s="50" t="s">
        <v>17538</v>
      </c>
      <c r="BE431" s="50" t="s">
        <v>410</v>
      </c>
      <c r="BF431" s="50" t="s">
        <v>212</v>
      </c>
      <c r="BG431" s="50" t="s">
        <v>410</v>
      </c>
      <c r="BH431" s="50" t="s">
        <v>124</v>
      </c>
      <c r="BI431" s="50" t="s">
        <v>12023</v>
      </c>
      <c r="BJ431" s="50" t="s">
        <v>11889</v>
      </c>
      <c r="BK431" s="50" t="s">
        <v>127</v>
      </c>
      <c r="BL431" s="50" t="s">
        <v>19960</v>
      </c>
      <c r="BM431" s="50" t="s">
        <v>19961</v>
      </c>
      <c r="BN431" s="50" t="s">
        <v>19962</v>
      </c>
      <c r="BO431" s="50" t="s">
        <v>19949</v>
      </c>
      <c r="BP431" s="50" t="s">
        <v>4053</v>
      </c>
      <c r="BQ431" s="50" t="s">
        <v>132</v>
      </c>
      <c r="BR431" s="50" t="s">
        <v>4054</v>
      </c>
      <c r="BS431" s="50" t="s">
        <v>4055</v>
      </c>
      <c r="BT431" s="50" t="s">
        <v>4056</v>
      </c>
      <c r="BV431" s="50" t="s">
        <v>19963</v>
      </c>
      <c r="BW431" s="50" t="s">
        <v>19964</v>
      </c>
      <c r="BX431" s="50" t="s">
        <v>138</v>
      </c>
      <c r="BY431" s="50" t="s">
        <v>19965</v>
      </c>
      <c r="BZ431" s="50" t="s">
        <v>19966</v>
      </c>
      <c r="CA431" s="50" t="s">
        <v>19967</v>
      </c>
      <c r="CB431" s="50" t="s">
        <v>19968</v>
      </c>
      <c r="CC431" s="50" t="s">
        <v>19967</v>
      </c>
      <c r="CD431" s="50" t="s">
        <v>19969</v>
      </c>
      <c r="CE431" s="50" t="s">
        <v>19968</v>
      </c>
      <c r="CF431" s="50" t="s">
        <v>19967</v>
      </c>
      <c r="CG431" s="50" t="s">
        <v>19969</v>
      </c>
      <c r="CH431" s="50" t="s">
        <v>8793</v>
      </c>
      <c r="CI431" s="50" t="s">
        <v>19970</v>
      </c>
      <c r="CK431" s="50" t="s">
        <v>17539</v>
      </c>
      <c r="CL431" s="50" t="s">
        <v>17538</v>
      </c>
      <c r="CM431" s="50" t="s">
        <v>17538</v>
      </c>
      <c r="CN431" s="50" t="s">
        <v>9715</v>
      </c>
      <c r="CO431" s="50" t="s">
        <v>17539</v>
      </c>
      <c r="CQ431" s="50" t="s">
        <v>17540</v>
      </c>
      <c r="CR431" s="50" t="s">
        <v>19971</v>
      </c>
      <c r="CS431" s="50" t="s">
        <v>26044</v>
      </c>
    </row>
    <row r="432" spans="1:97" hidden="1">
      <c r="A432" s="50" t="s">
        <v>149</v>
      </c>
      <c r="B432" s="50">
        <v>5016913</v>
      </c>
      <c r="C432" s="50" t="e">
        <f>VLOOKUP(B432,'Drop schools 2026'!B:C,2,0)</f>
        <v>#N/A</v>
      </c>
      <c r="D432" s="50" t="s">
        <v>174</v>
      </c>
      <c r="E432" s="50" t="s">
        <v>12155</v>
      </c>
      <c r="F432" s="50" t="s">
        <v>9811</v>
      </c>
      <c r="G432" s="50" t="str">
        <f>VLOOKUP(B432,aa!B:F,5,0)</f>
        <v>Ei CARES</v>
      </c>
      <c r="H432" s="50">
        <f>VLOOKUP(B432,aa!B:J,9,0)</f>
        <v>352369</v>
      </c>
      <c r="I432" s="50">
        <f>VLOOKUP(B432,aa!B:L,11,0)</f>
        <v>0</v>
      </c>
      <c r="J432" s="50">
        <f>VLOOKUP(B432,aa!B:O,14,0)</f>
        <v>352369</v>
      </c>
      <c r="K432" s="50">
        <f>VLOOKUP(B432,aa!B:R,17,0)</f>
        <v>0</v>
      </c>
      <c r="L432" s="50" t="s">
        <v>152</v>
      </c>
      <c r="M432" s="50">
        <v>312058</v>
      </c>
      <c r="N432" s="50">
        <v>312058</v>
      </c>
      <c r="O432" s="50">
        <v>0</v>
      </c>
      <c r="P432" s="50">
        <v>0</v>
      </c>
      <c r="R432" s="50">
        <v>312058</v>
      </c>
      <c r="S432" s="50">
        <v>237</v>
      </c>
      <c r="T432" s="50" t="s">
        <v>5240</v>
      </c>
      <c r="U432" s="50">
        <v>0</v>
      </c>
      <c r="V432" s="50">
        <v>0</v>
      </c>
      <c r="X432" s="50" t="s">
        <v>102</v>
      </c>
      <c r="Y432" s="50" t="s">
        <v>103</v>
      </c>
      <c r="Z432" s="50" t="s">
        <v>155</v>
      </c>
      <c r="AB432" s="50" t="s">
        <v>12492</v>
      </c>
      <c r="AC432" s="50" t="s">
        <v>18958</v>
      </c>
      <c r="AD432" s="50" t="s">
        <v>13672</v>
      </c>
      <c r="AE432" s="50" t="s">
        <v>18958</v>
      </c>
      <c r="AF432" s="50" t="s">
        <v>12099</v>
      </c>
      <c r="AG432" s="50" t="s">
        <v>18958</v>
      </c>
      <c r="AH432" s="50" t="s">
        <v>11886</v>
      </c>
      <c r="AI432" s="50" t="s">
        <v>18958</v>
      </c>
      <c r="AJ432" s="50" t="s">
        <v>102</v>
      </c>
      <c r="AK432" s="50" t="s">
        <v>12711</v>
      </c>
      <c r="AL432" s="50" t="s">
        <v>16007</v>
      </c>
      <c r="AM432" s="50" t="s">
        <v>18959</v>
      </c>
      <c r="AN432" s="50" t="s">
        <v>18960</v>
      </c>
      <c r="AO432" s="50" t="s">
        <v>18961</v>
      </c>
      <c r="AP432" s="50" t="s">
        <v>18962</v>
      </c>
      <c r="AQ432" s="50" t="s">
        <v>18962</v>
      </c>
      <c r="AV432" s="50" t="s">
        <v>102</v>
      </c>
      <c r="AX432" s="50" t="s">
        <v>155</v>
      </c>
      <c r="AY432" s="50" t="s">
        <v>447</v>
      </c>
      <c r="AZ432" s="50" t="s">
        <v>1138</v>
      </c>
      <c r="BA432" s="50" t="s">
        <v>118</v>
      </c>
      <c r="BC432" s="50" t="s">
        <v>120</v>
      </c>
      <c r="BD432" s="50" t="s">
        <v>18963</v>
      </c>
      <c r="BE432" s="50" t="s">
        <v>173</v>
      </c>
      <c r="BF432" s="50" t="s">
        <v>174</v>
      </c>
      <c r="BG432" s="50" t="s">
        <v>173</v>
      </c>
      <c r="BH432" s="50" t="s">
        <v>124</v>
      </c>
      <c r="BI432" s="50" t="s">
        <v>16382</v>
      </c>
      <c r="BJ432" s="50" t="s">
        <v>18964</v>
      </c>
      <c r="BK432" s="50" t="s">
        <v>127</v>
      </c>
      <c r="BL432" s="50" t="s">
        <v>18965</v>
      </c>
      <c r="BM432" s="50" t="s">
        <v>9821</v>
      </c>
      <c r="BN432" s="50" t="s">
        <v>18966</v>
      </c>
      <c r="BO432" s="50" t="s">
        <v>411</v>
      </c>
      <c r="BP432" s="50" t="s">
        <v>12557</v>
      </c>
      <c r="BQ432" s="50" t="s">
        <v>180</v>
      </c>
      <c r="BR432" s="50" t="s">
        <v>12558</v>
      </c>
      <c r="BS432" s="50" t="s">
        <v>12559</v>
      </c>
      <c r="BT432" s="50" t="s">
        <v>1176</v>
      </c>
      <c r="BV432" s="50" t="s">
        <v>18967</v>
      </c>
      <c r="BW432" s="50" t="s">
        <v>9827</v>
      </c>
      <c r="BX432" s="50" t="s">
        <v>138</v>
      </c>
      <c r="BY432" s="50" t="s">
        <v>9828</v>
      </c>
      <c r="BZ432" s="50" t="s">
        <v>18968</v>
      </c>
      <c r="CA432" s="50" t="s">
        <v>9830</v>
      </c>
      <c r="CB432" s="50" t="s">
        <v>9827</v>
      </c>
      <c r="CC432" s="50" t="s">
        <v>9828</v>
      </c>
      <c r="CD432" s="50" t="s">
        <v>18968</v>
      </c>
      <c r="CE432" s="50" t="s">
        <v>18969</v>
      </c>
      <c r="CF432" s="50" t="s">
        <v>9828</v>
      </c>
      <c r="CG432" s="50" t="s">
        <v>18968</v>
      </c>
      <c r="CH432" s="50" t="s">
        <v>9831</v>
      </c>
      <c r="CI432" s="50" t="s">
        <v>18970</v>
      </c>
      <c r="CK432" s="50" t="s">
        <v>9833</v>
      </c>
      <c r="CL432" s="50" t="s">
        <v>18970</v>
      </c>
      <c r="CM432" s="50" t="s">
        <v>18963</v>
      </c>
      <c r="CN432" s="50" t="s">
        <v>173</v>
      </c>
      <c r="CO432" s="50" t="s">
        <v>9833</v>
      </c>
      <c r="CQ432" s="50" t="s">
        <v>9834</v>
      </c>
      <c r="CR432" s="50" t="s">
        <v>9834</v>
      </c>
    </row>
    <row r="433" spans="1:97" hidden="1">
      <c r="A433" s="50" t="s">
        <v>149</v>
      </c>
      <c r="B433" s="50">
        <v>1650530</v>
      </c>
      <c r="C433" s="50" t="e">
        <f>VLOOKUP(B433,'Drop schools 2026'!B:C,2,0)</f>
        <v>#N/A</v>
      </c>
      <c r="D433" s="50" t="s">
        <v>122</v>
      </c>
      <c r="E433" s="50" t="s">
        <v>12121</v>
      </c>
      <c r="F433" s="50" t="s">
        <v>1466</v>
      </c>
      <c r="G433" s="50" t="str">
        <f>VLOOKUP(B433,aa!B:F,5,0)</f>
        <v>Ei CARES</v>
      </c>
      <c r="H433" s="50">
        <f>VLOOKUP(B433,aa!B:J,9,0)</f>
        <v>302020</v>
      </c>
      <c r="I433" s="50">
        <f>VLOOKUP(B433,aa!B:L,11,0)</f>
        <v>0</v>
      </c>
      <c r="J433" s="50">
        <f>VLOOKUP(B433,aa!B:O,14,0)</f>
        <v>302020</v>
      </c>
      <c r="K433" s="50">
        <f>VLOOKUP(B433,aa!B:R,17,0)</f>
        <v>0</v>
      </c>
      <c r="L433" s="50" t="s">
        <v>152</v>
      </c>
      <c r="M433" s="50">
        <v>308674</v>
      </c>
      <c r="N433" s="50">
        <v>308674</v>
      </c>
      <c r="O433" s="50">
        <v>0</v>
      </c>
      <c r="P433" s="50">
        <v>0</v>
      </c>
      <c r="R433" s="50">
        <v>308674</v>
      </c>
      <c r="S433" s="50">
        <v>165</v>
      </c>
      <c r="T433" s="50" t="s">
        <v>12749</v>
      </c>
      <c r="U433" s="50">
        <v>0</v>
      </c>
      <c r="V433" s="50">
        <v>0</v>
      </c>
      <c r="X433" s="50" t="s">
        <v>102</v>
      </c>
      <c r="Y433" s="50" t="s">
        <v>103</v>
      </c>
      <c r="Z433" s="50" t="s">
        <v>155</v>
      </c>
      <c r="AB433" s="50" t="s">
        <v>12023</v>
      </c>
      <c r="AC433" s="50" t="s">
        <v>12750</v>
      </c>
      <c r="AD433" s="50" t="s">
        <v>11976</v>
      </c>
      <c r="AE433" s="50" t="s">
        <v>12750</v>
      </c>
      <c r="AF433" s="50" t="s">
        <v>11888</v>
      </c>
      <c r="AG433" s="50" t="s">
        <v>12750</v>
      </c>
      <c r="AH433" s="50" t="s">
        <v>12084</v>
      </c>
      <c r="AI433" s="50" t="s">
        <v>12750</v>
      </c>
      <c r="AJ433" s="50" t="s">
        <v>12751</v>
      </c>
      <c r="AK433" s="50" t="s">
        <v>11976</v>
      </c>
      <c r="AL433" s="50" t="s">
        <v>12752</v>
      </c>
      <c r="AM433" s="50" t="s">
        <v>12753</v>
      </c>
      <c r="AN433" s="50" t="s">
        <v>12754</v>
      </c>
      <c r="AO433" s="50" t="s">
        <v>12755</v>
      </c>
      <c r="AP433" s="50" t="s">
        <v>12756</v>
      </c>
      <c r="AQ433" s="50" t="s">
        <v>12756</v>
      </c>
      <c r="AV433" s="50" t="s">
        <v>102</v>
      </c>
      <c r="AX433" s="50" t="s">
        <v>155</v>
      </c>
      <c r="AY433" s="50" t="s">
        <v>119</v>
      </c>
      <c r="AZ433" s="50" t="s">
        <v>170</v>
      </c>
      <c r="BA433" s="50" t="s">
        <v>118</v>
      </c>
      <c r="BC433" s="50" t="s">
        <v>120</v>
      </c>
      <c r="BD433" s="50" t="s">
        <v>1480</v>
      </c>
      <c r="BE433" s="50" t="s">
        <v>556</v>
      </c>
      <c r="BF433" s="50" t="s">
        <v>122</v>
      </c>
      <c r="BG433" s="50" t="s">
        <v>557</v>
      </c>
      <c r="BH433" s="50" t="s">
        <v>124</v>
      </c>
      <c r="BI433" s="50" t="s">
        <v>12023</v>
      </c>
      <c r="BJ433" s="50" t="s">
        <v>11889</v>
      </c>
      <c r="BK433" s="50" t="s">
        <v>127</v>
      </c>
      <c r="BL433" s="50" t="s">
        <v>12757</v>
      </c>
      <c r="BM433" s="50" t="s">
        <v>1482</v>
      </c>
      <c r="BN433" s="50" t="s">
        <v>12758</v>
      </c>
      <c r="BO433" s="50" t="s">
        <v>12748</v>
      </c>
      <c r="BP433" s="50" t="s">
        <v>1142</v>
      </c>
      <c r="BQ433" s="50" t="s">
        <v>350</v>
      </c>
      <c r="BR433" s="50" t="s">
        <v>1143</v>
      </c>
      <c r="BS433" s="50" t="s">
        <v>1144</v>
      </c>
      <c r="BT433" s="50" t="s">
        <v>566</v>
      </c>
      <c r="BV433" s="50" t="s">
        <v>12759</v>
      </c>
      <c r="BW433" s="50" t="s">
        <v>1485</v>
      </c>
      <c r="BX433" s="50" t="s">
        <v>138</v>
      </c>
      <c r="BY433" s="50" t="s">
        <v>1486</v>
      </c>
      <c r="BZ433" s="50" t="s">
        <v>1487</v>
      </c>
      <c r="CA433" s="50" t="s">
        <v>1488</v>
      </c>
      <c r="CB433" s="50" t="s">
        <v>1485</v>
      </c>
      <c r="CC433" s="50" t="s">
        <v>1486</v>
      </c>
      <c r="CD433" s="50" t="s">
        <v>1487</v>
      </c>
      <c r="CE433" s="50" t="s">
        <v>1485</v>
      </c>
      <c r="CF433" s="50" t="s">
        <v>1486</v>
      </c>
      <c r="CG433" s="50" t="s">
        <v>1487</v>
      </c>
      <c r="CH433" s="50" t="s">
        <v>102</v>
      </c>
      <c r="CI433" s="50" t="s">
        <v>12760</v>
      </c>
      <c r="CK433" s="50" t="s">
        <v>1490</v>
      </c>
      <c r="CM433" s="50" t="s">
        <v>1480</v>
      </c>
      <c r="CN433" s="50" t="s">
        <v>556</v>
      </c>
      <c r="CO433" s="50" t="s">
        <v>1490</v>
      </c>
      <c r="CP433" s="50" t="s">
        <v>1491</v>
      </c>
      <c r="CQ433" s="50" t="s">
        <v>1489</v>
      </c>
      <c r="CR433" s="50" t="s">
        <v>1489</v>
      </c>
    </row>
    <row r="434" spans="1:97" hidden="1">
      <c r="A434" s="50" t="s">
        <v>149</v>
      </c>
      <c r="B434" s="50">
        <v>3188843</v>
      </c>
      <c r="C434" s="50" t="e">
        <f>VLOOKUP(B434,'Drop schools 2026'!B:C,2,0)</f>
        <v>#N/A</v>
      </c>
      <c r="D434" s="50" t="s">
        <v>622</v>
      </c>
      <c r="E434" s="50" t="s">
        <v>3562</v>
      </c>
      <c r="F434" s="50" t="s">
        <v>4965</v>
      </c>
      <c r="G434" s="50" t="e">
        <f>VLOOKUP(B434,aa!B:F,5,0)</f>
        <v>#N/A</v>
      </c>
      <c r="H434" s="50" t="e">
        <f>VLOOKUP(B434,aa!B:J,9,0)</f>
        <v>#N/A</v>
      </c>
      <c r="I434" s="50" t="e">
        <f>VLOOKUP(B434,aa!B:L,11,0)</f>
        <v>#N/A</v>
      </c>
      <c r="J434" s="50" t="e">
        <f>VLOOKUP(B434,aa!B:O,14,0)</f>
        <v>#N/A</v>
      </c>
      <c r="K434" s="50" t="e">
        <f>VLOOKUP(B434,aa!B:R,17,0)</f>
        <v>#N/A</v>
      </c>
      <c r="L434" s="50" t="s">
        <v>97</v>
      </c>
      <c r="M434" s="50">
        <v>307042</v>
      </c>
      <c r="N434" s="50">
        <v>307042</v>
      </c>
      <c r="O434" s="50">
        <v>307042</v>
      </c>
      <c r="P434" s="50">
        <v>476</v>
      </c>
      <c r="Q434" s="50" t="s">
        <v>15191</v>
      </c>
      <c r="R434" s="50">
        <v>0</v>
      </c>
      <c r="S434" s="50">
        <v>0</v>
      </c>
      <c r="U434" s="50">
        <v>0</v>
      </c>
      <c r="V434" s="50">
        <v>0</v>
      </c>
      <c r="X434" s="50" t="s">
        <v>102</v>
      </c>
      <c r="Y434" s="50" t="s">
        <v>103</v>
      </c>
      <c r="Z434" s="50" t="s">
        <v>104</v>
      </c>
      <c r="AB434" s="50" t="s">
        <v>12289</v>
      </c>
      <c r="AC434" s="50" t="s">
        <v>15192</v>
      </c>
      <c r="AD434" s="50" t="s">
        <v>11886</v>
      </c>
      <c r="AE434" s="50" t="s">
        <v>15193</v>
      </c>
      <c r="AF434" s="50" t="s">
        <v>109</v>
      </c>
      <c r="AG434" s="50" t="s">
        <v>102</v>
      </c>
      <c r="AH434" s="50" t="s">
        <v>109</v>
      </c>
      <c r="AI434" s="50" t="s">
        <v>102</v>
      </c>
      <c r="AJ434" s="50" t="s">
        <v>15194</v>
      </c>
      <c r="AK434" s="50" t="s">
        <v>13833</v>
      </c>
      <c r="AL434" s="50" t="s">
        <v>15195</v>
      </c>
      <c r="AM434" s="50" t="s">
        <v>15196</v>
      </c>
      <c r="AN434" s="50" t="s">
        <v>15197</v>
      </c>
      <c r="AO434" s="50" t="s">
        <v>15198</v>
      </c>
      <c r="AP434" s="50" t="s">
        <v>15199</v>
      </c>
      <c r="AQ434" s="50" t="s">
        <v>15200</v>
      </c>
      <c r="AU434" s="50" t="s">
        <v>169</v>
      </c>
      <c r="AV434" s="50" t="s">
        <v>117</v>
      </c>
      <c r="AW434" s="50" t="s">
        <v>250</v>
      </c>
      <c r="AX434" s="50" t="s">
        <v>102</v>
      </c>
      <c r="AY434" s="50" t="s">
        <v>119</v>
      </c>
      <c r="BC434" s="50" t="s">
        <v>171</v>
      </c>
      <c r="BD434" s="50" t="s">
        <v>2327</v>
      </c>
      <c r="BE434" s="50" t="s">
        <v>730</v>
      </c>
      <c r="BF434" s="50" t="s">
        <v>622</v>
      </c>
      <c r="BG434" s="50" t="s">
        <v>730</v>
      </c>
      <c r="BH434" s="50" t="s">
        <v>124</v>
      </c>
      <c r="BI434" s="50" t="s">
        <v>12023</v>
      </c>
      <c r="BJ434" s="50" t="s">
        <v>11889</v>
      </c>
      <c r="BK434" s="50" t="s">
        <v>127</v>
      </c>
      <c r="BL434" s="50" t="s">
        <v>15201</v>
      </c>
      <c r="BM434" s="50" t="s">
        <v>4977</v>
      </c>
      <c r="BN434" s="50" t="s">
        <v>15202</v>
      </c>
      <c r="BO434" s="50" t="s">
        <v>7719</v>
      </c>
      <c r="BP434" s="50" t="s">
        <v>7559</v>
      </c>
      <c r="BQ434" s="50" t="s">
        <v>350</v>
      </c>
      <c r="BR434" s="50" t="s">
        <v>7560</v>
      </c>
      <c r="BS434" s="50" t="s">
        <v>7561</v>
      </c>
      <c r="BT434" s="50" t="s">
        <v>3562</v>
      </c>
      <c r="BV434" s="50" t="s">
        <v>15203</v>
      </c>
      <c r="BW434" s="50" t="s">
        <v>4980</v>
      </c>
      <c r="BX434" s="50" t="s">
        <v>598</v>
      </c>
      <c r="BY434" s="50" t="s">
        <v>4981</v>
      </c>
      <c r="BZ434" s="50" t="s">
        <v>15204</v>
      </c>
      <c r="CA434" s="50" t="s">
        <v>4983</v>
      </c>
      <c r="CB434" s="50" t="s">
        <v>4980</v>
      </c>
      <c r="CC434" s="50" t="s">
        <v>4981</v>
      </c>
      <c r="CD434" s="50" t="s">
        <v>15204</v>
      </c>
      <c r="CE434" s="50" t="s">
        <v>4980</v>
      </c>
      <c r="CF434" s="50" t="s">
        <v>4981</v>
      </c>
      <c r="CG434" s="50" t="s">
        <v>15204</v>
      </c>
      <c r="CH434" s="50" t="s">
        <v>102</v>
      </c>
      <c r="CI434" s="50" t="s">
        <v>4984</v>
      </c>
      <c r="CK434" s="50" t="s">
        <v>4985</v>
      </c>
      <c r="CM434" s="50" t="s">
        <v>2327</v>
      </c>
      <c r="CN434" s="50" t="s">
        <v>730</v>
      </c>
      <c r="CO434" s="50" t="s">
        <v>4985</v>
      </c>
      <c r="CP434" s="50" t="s">
        <v>4986</v>
      </c>
      <c r="CQ434" s="50" t="s">
        <v>4984</v>
      </c>
      <c r="CR434" s="50" t="s">
        <v>4984</v>
      </c>
      <c r="CS434" s="50" t="s">
        <v>26040</v>
      </c>
    </row>
    <row r="435" spans="1:97" hidden="1">
      <c r="A435" s="50" t="s">
        <v>93</v>
      </c>
      <c r="B435" s="50">
        <v>3328278</v>
      </c>
      <c r="C435" s="50" t="e">
        <f>VLOOKUP(B435,'Drop schools 2026'!B:C,2,0)</f>
        <v>#N/A</v>
      </c>
      <c r="D435" s="50" t="s">
        <v>174</v>
      </c>
      <c r="E435" s="50" t="s">
        <v>183</v>
      </c>
      <c r="F435" s="50" t="s">
        <v>5545</v>
      </c>
      <c r="G435" s="50" t="e">
        <f>VLOOKUP(B435,aa!B:F,5,0)</f>
        <v>#N/A</v>
      </c>
      <c r="H435" s="50" t="e">
        <f>VLOOKUP(B435,aa!B:J,9,0)</f>
        <v>#N/A</v>
      </c>
      <c r="I435" s="50" t="e">
        <f>VLOOKUP(B435,aa!B:L,11,0)</f>
        <v>#N/A</v>
      </c>
      <c r="J435" s="50" t="e">
        <f>VLOOKUP(B435,aa!B:O,14,0)</f>
        <v>#N/A</v>
      </c>
      <c r="K435" s="50" t="e">
        <f>VLOOKUP(B435,aa!B:R,17,0)</f>
        <v>#N/A</v>
      </c>
      <c r="L435" s="50" t="s">
        <v>152</v>
      </c>
      <c r="M435" s="50">
        <v>306576</v>
      </c>
      <c r="N435" s="50">
        <v>306576</v>
      </c>
      <c r="O435" s="50">
        <v>0</v>
      </c>
      <c r="P435" s="50">
        <v>0</v>
      </c>
      <c r="R435" s="50">
        <v>306576</v>
      </c>
      <c r="S435" s="50">
        <v>383</v>
      </c>
      <c r="T435" s="50" t="s">
        <v>1297</v>
      </c>
      <c r="U435" s="50">
        <v>0</v>
      </c>
      <c r="V435" s="50">
        <v>0</v>
      </c>
      <c r="X435" s="50" t="s">
        <v>102</v>
      </c>
      <c r="Y435" s="50" t="s">
        <v>103</v>
      </c>
      <c r="Z435" s="50" t="s">
        <v>155</v>
      </c>
      <c r="AB435" s="50" t="s">
        <v>14534</v>
      </c>
      <c r="AC435" s="50" t="s">
        <v>15643</v>
      </c>
      <c r="AD435" s="50" t="s">
        <v>11888</v>
      </c>
      <c r="AE435" s="50" t="s">
        <v>15643</v>
      </c>
      <c r="AF435" s="50" t="s">
        <v>12084</v>
      </c>
      <c r="AG435" s="50" t="s">
        <v>15643</v>
      </c>
      <c r="AH435" s="50" t="s">
        <v>11886</v>
      </c>
      <c r="AI435" s="50" t="s">
        <v>15643</v>
      </c>
      <c r="AJ435" s="50" t="s">
        <v>102</v>
      </c>
      <c r="AK435" s="50" t="s">
        <v>11599</v>
      </c>
      <c r="AL435" s="50" t="s">
        <v>11599</v>
      </c>
      <c r="AM435" s="50" t="s">
        <v>10267</v>
      </c>
      <c r="AN435" s="50" t="s">
        <v>15643</v>
      </c>
      <c r="AO435" s="50" t="s">
        <v>15644</v>
      </c>
      <c r="AP435" s="50" t="s">
        <v>9157</v>
      </c>
      <c r="AQ435" s="50" t="s">
        <v>9157</v>
      </c>
      <c r="AV435" s="50" t="s">
        <v>102</v>
      </c>
      <c r="AX435" s="50" t="s">
        <v>104</v>
      </c>
      <c r="AY435" s="50" t="s">
        <v>119</v>
      </c>
      <c r="AZ435" s="50" t="s">
        <v>170</v>
      </c>
      <c r="BA435" s="50" t="s">
        <v>118</v>
      </c>
      <c r="BC435" s="50" t="s">
        <v>120</v>
      </c>
      <c r="BD435" s="50" t="s">
        <v>5553</v>
      </c>
      <c r="BE435" s="50" t="s">
        <v>1171</v>
      </c>
      <c r="BF435" s="50" t="s">
        <v>174</v>
      </c>
      <c r="BG435" s="50" t="s">
        <v>1172</v>
      </c>
      <c r="BH435" s="50" t="s">
        <v>124</v>
      </c>
      <c r="BI435" s="50" t="s">
        <v>12023</v>
      </c>
      <c r="BJ435" s="50" t="s">
        <v>11889</v>
      </c>
      <c r="BK435" s="50" t="s">
        <v>127</v>
      </c>
      <c r="BL435" s="50" t="s">
        <v>15645</v>
      </c>
      <c r="BM435" s="50" t="s">
        <v>5555</v>
      </c>
      <c r="BN435" s="50" t="s">
        <v>15646</v>
      </c>
      <c r="BO435" s="50" t="s">
        <v>15642</v>
      </c>
      <c r="BP435" s="50" t="s">
        <v>5557</v>
      </c>
      <c r="BQ435" s="50" t="s">
        <v>505</v>
      </c>
      <c r="BR435" s="50" t="s">
        <v>5558</v>
      </c>
      <c r="BS435" s="50" t="s">
        <v>5559</v>
      </c>
      <c r="BT435" s="50" t="s">
        <v>5560</v>
      </c>
      <c r="BV435" s="50" t="s">
        <v>15647</v>
      </c>
      <c r="BW435" s="50" t="s">
        <v>15648</v>
      </c>
      <c r="BX435" s="50" t="s">
        <v>138</v>
      </c>
      <c r="BY435" s="50" t="s">
        <v>5563</v>
      </c>
      <c r="BZ435" s="50" t="s">
        <v>5564</v>
      </c>
      <c r="CA435" s="50" t="s">
        <v>5563</v>
      </c>
      <c r="CB435" s="50" t="s">
        <v>15649</v>
      </c>
      <c r="CC435" s="50" t="s">
        <v>5563</v>
      </c>
      <c r="CD435" s="50" t="s">
        <v>5564</v>
      </c>
      <c r="CE435" s="50" t="s">
        <v>15649</v>
      </c>
      <c r="CF435" s="50" t="s">
        <v>5563</v>
      </c>
      <c r="CG435" s="50" t="s">
        <v>5564</v>
      </c>
      <c r="CH435" s="50" t="s">
        <v>5565</v>
      </c>
      <c r="CI435" s="50" t="s">
        <v>15650</v>
      </c>
      <c r="CK435" s="50" t="s">
        <v>5567</v>
      </c>
      <c r="CL435" s="50" t="s">
        <v>15650</v>
      </c>
      <c r="CM435" s="50" t="s">
        <v>5553</v>
      </c>
      <c r="CN435" s="50" t="s">
        <v>1171</v>
      </c>
      <c r="CO435" s="50" t="s">
        <v>5567</v>
      </c>
      <c r="CQ435" s="50" t="s">
        <v>5566</v>
      </c>
      <c r="CR435" s="50" t="s">
        <v>5566</v>
      </c>
      <c r="CS435" s="50" t="s">
        <v>26053</v>
      </c>
    </row>
    <row r="436" spans="1:97">
      <c r="A436" s="50" t="s">
        <v>337</v>
      </c>
      <c r="B436" s="50">
        <v>3999184</v>
      </c>
      <c r="C436" s="50" t="e">
        <f>VLOOKUP(B436,'Drop schools 2026'!B:C,2,0)</f>
        <v>#N/A</v>
      </c>
      <c r="D436" s="50" t="s">
        <v>122</v>
      </c>
      <c r="E436" s="50" t="s">
        <v>12018</v>
      </c>
      <c r="F436" s="50" t="s">
        <v>17805</v>
      </c>
      <c r="G436" s="50" t="e">
        <f>VLOOKUP(B436,aa!B:F,5,0)</f>
        <v>#N/A</v>
      </c>
      <c r="H436" s="50" t="e">
        <f>VLOOKUP(B436,aa!B:J,9,0)</f>
        <v>#N/A</v>
      </c>
      <c r="I436" s="50" t="e">
        <f>VLOOKUP(B436,aa!B:L,11,0)</f>
        <v>#N/A</v>
      </c>
      <c r="J436" s="50" t="e">
        <f>VLOOKUP(B436,aa!B:O,14,0)</f>
        <v>#N/A</v>
      </c>
      <c r="K436" s="50" t="e">
        <f>VLOOKUP(B436,aa!B:R,17,0)</f>
        <v>#N/A</v>
      </c>
      <c r="L436" s="50" t="s">
        <v>152</v>
      </c>
      <c r="M436" s="50">
        <v>304876</v>
      </c>
      <c r="N436" s="50">
        <v>304876</v>
      </c>
      <c r="O436" s="50">
        <v>0</v>
      </c>
      <c r="P436" s="50">
        <v>0</v>
      </c>
      <c r="R436" s="50">
        <v>304876</v>
      </c>
      <c r="S436" s="50">
        <v>199</v>
      </c>
      <c r="T436" s="50" t="s">
        <v>17807</v>
      </c>
      <c r="U436" s="50">
        <v>0</v>
      </c>
      <c r="V436" s="50">
        <v>0</v>
      </c>
      <c r="X436" s="50" t="s">
        <v>102</v>
      </c>
      <c r="Y436" s="50" t="s">
        <v>679</v>
      </c>
      <c r="Z436" s="50" t="s">
        <v>155</v>
      </c>
      <c r="AA436" s="50" t="s">
        <v>13036</v>
      </c>
      <c r="AB436" s="50" t="s">
        <v>17808</v>
      </c>
      <c r="AC436" s="50" t="s">
        <v>17809</v>
      </c>
      <c r="AD436" s="50" t="s">
        <v>17047</v>
      </c>
      <c r="AE436" s="50" t="s">
        <v>17809</v>
      </c>
      <c r="AF436" s="50" t="s">
        <v>12215</v>
      </c>
      <c r="AG436" s="50" t="s">
        <v>17809</v>
      </c>
      <c r="AH436" s="50" t="s">
        <v>12216</v>
      </c>
      <c r="AI436" s="50" t="s">
        <v>17809</v>
      </c>
      <c r="AJ436" s="50" t="s">
        <v>102</v>
      </c>
      <c r="AK436" s="50" t="s">
        <v>17810</v>
      </c>
      <c r="AL436" s="50" t="s">
        <v>17811</v>
      </c>
      <c r="AM436" s="50" t="s">
        <v>17812</v>
      </c>
      <c r="AN436" s="50" t="s">
        <v>17813</v>
      </c>
      <c r="AO436" s="50" t="s">
        <v>17814</v>
      </c>
      <c r="AP436" s="50" t="s">
        <v>17815</v>
      </c>
      <c r="AQ436" s="50" t="s">
        <v>17815</v>
      </c>
      <c r="AV436" s="50" t="s">
        <v>102</v>
      </c>
      <c r="AX436" s="50" t="s">
        <v>155</v>
      </c>
      <c r="AY436" s="50" t="s">
        <v>447</v>
      </c>
      <c r="AZ436" s="50" t="s">
        <v>170</v>
      </c>
      <c r="BA436" s="50" t="s">
        <v>118</v>
      </c>
      <c r="BC436" s="50" t="s">
        <v>120</v>
      </c>
      <c r="BD436" s="50" t="s">
        <v>17816</v>
      </c>
      <c r="BE436" s="50" t="s">
        <v>345</v>
      </c>
      <c r="BF436" s="50" t="s">
        <v>122</v>
      </c>
      <c r="BG436" s="50" t="s">
        <v>346</v>
      </c>
      <c r="BH436" s="50" t="s">
        <v>124</v>
      </c>
      <c r="BI436" s="50" t="s">
        <v>12023</v>
      </c>
      <c r="BJ436" s="50" t="s">
        <v>11889</v>
      </c>
      <c r="BK436" s="50" t="s">
        <v>127</v>
      </c>
      <c r="BL436" s="50" t="s">
        <v>17817</v>
      </c>
      <c r="BM436" s="50" t="s">
        <v>17818</v>
      </c>
      <c r="BN436" s="50" t="s">
        <v>17819</v>
      </c>
      <c r="BO436" s="50" t="s">
        <v>17806</v>
      </c>
      <c r="BP436" s="50" t="s">
        <v>12226</v>
      </c>
      <c r="BQ436" s="50" t="s">
        <v>180</v>
      </c>
      <c r="BR436" s="50" t="s">
        <v>12228</v>
      </c>
      <c r="BS436" s="50" t="s">
        <v>12229</v>
      </c>
      <c r="BT436" s="50" t="s">
        <v>8623</v>
      </c>
      <c r="BV436" s="50" t="s">
        <v>17820</v>
      </c>
      <c r="BW436" s="50" t="s">
        <v>17821</v>
      </c>
      <c r="BX436" s="50" t="s">
        <v>3121</v>
      </c>
      <c r="BY436" s="50" t="s">
        <v>17822</v>
      </c>
      <c r="BZ436" s="50" t="s">
        <v>17823</v>
      </c>
      <c r="CA436" s="50" t="s">
        <v>17824</v>
      </c>
      <c r="CB436" s="50" t="s">
        <v>17825</v>
      </c>
      <c r="CC436" s="50" t="s">
        <v>17822</v>
      </c>
      <c r="CD436" s="50" t="s">
        <v>17823</v>
      </c>
      <c r="CE436" s="50" t="s">
        <v>17825</v>
      </c>
      <c r="CF436" s="50" t="s">
        <v>17822</v>
      </c>
      <c r="CG436" s="50" t="s">
        <v>17823</v>
      </c>
      <c r="CH436" s="50" t="s">
        <v>1709</v>
      </c>
      <c r="CI436" s="50" t="s">
        <v>17826</v>
      </c>
      <c r="CK436" s="50" t="s">
        <v>17827</v>
      </c>
      <c r="CL436" s="50" t="s">
        <v>17826</v>
      </c>
      <c r="CM436" s="50" t="s">
        <v>17816</v>
      </c>
      <c r="CN436" s="50" t="s">
        <v>345</v>
      </c>
      <c r="CO436" s="50" t="s">
        <v>17827</v>
      </c>
      <c r="CQ436" s="50" t="s">
        <v>17828</v>
      </c>
      <c r="CR436" s="50" t="s">
        <v>17828</v>
      </c>
    </row>
    <row r="437" spans="1:97" hidden="1">
      <c r="A437" s="50" t="s">
        <v>149</v>
      </c>
      <c r="B437" s="50">
        <v>3242514</v>
      </c>
      <c r="C437" s="50" t="str">
        <f>VLOOKUP(B437,RISK!B:C,2,0)</f>
        <v>Risk</v>
      </c>
      <c r="D437" s="50" t="s">
        <v>174</v>
      </c>
      <c r="E437" s="50" t="s">
        <v>1111</v>
      </c>
      <c r="F437" s="50" t="s">
        <v>5040</v>
      </c>
      <c r="G437" s="50" t="e">
        <f>VLOOKUP(B437,aa!B:F,5,0)</f>
        <v>#N/A</v>
      </c>
      <c r="H437" s="50" t="e">
        <f>VLOOKUP(B437,aa!B:J,9,0)</f>
        <v>#N/A</v>
      </c>
      <c r="I437" s="50" t="e">
        <f>VLOOKUP(B437,aa!B:L,11,0)</f>
        <v>#N/A</v>
      </c>
      <c r="J437" s="50" t="e">
        <f>VLOOKUP(B437,aa!B:O,14,0)</f>
        <v>#N/A</v>
      </c>
      <c r="K437" s="50" t="e">
        <f>VLOOKUP(B437,aa!B:R,17,0)</f>
        <v>#N/A</v>
      </c>
      <c r="L437" s="50" t="s">
        <v>152</v>
      </c>
      <c r="M437" s="50">
        <v>303067</v>
      </c>
      <c r="N437" s="50">
        <v>303067</v>
      </c>
      <c r="O437" s="50">
        <v>0</v>
      </c>
      <c r="P437" s="50">
        <v>0</v>
      </c>
      <c r="R437" s="50">
        <v>303067</v>
      </c>
      <c r="S437" s="50">
        <v>303</v>
      </c>
      <c r="T437" s="50" t="s">
        <v>5042</v>
      </c>
      <c r="U437" s="50">
        <v>0</v>
      </c>
      <c r="V437" s="50">
        <v>0</v>
      </c>
      <c r="X437" s="50" t="s">
        <v>102</v>
      </c>
      <c r="Y437" s="50" t="s">
        <v>275</v>
      </c>
      <c r="AA437" s="50" t="s">
        <v>13202</v>
      </c>
      <c r="AB437" s="50" t="s">
        <v>109</v>
      </c>
      <c r="AC437" s="50" t="s">
        <v>102</v>
      </c>
      <c r="AD437" s="50" t="s">
        <v>109</v>
      </c>
      <c r="AE437" s="50" t="s">
        <v>102</v>
      </c>
      <c r="AF437" s="50" t="s">
        <v>109</v>
      </c>
      <c r="AG437" s="50" t="s">
        <v>102</v>
      </c>
      <c r="AH437" s="50" t="s">
        <v>109</v>
      </c>
      <c r="AI437" s="50" t="s">
        <v>102</v>
      </c>
      <c r="AJ437" s="50" t="s">
        <v>102</v>
      </c>
      <c r="AK437" s="50" t="s">
        <v>10167</v>
      </c>
      <c r="AL437" s="50" t="s">
        <v>10167</v>
      </c>
      <c r="AM437" s="50" t="s">
        <v>15244</v>
      </c>
      <c r="AN437" s="50" t="s">
        <v>15244</v>
      </c>
      <c r="AO437" s="50" t="s">
        <v>102</v>
      </c>
      <c r="AP437" s="50" t="s">
        <v>5046</v>
      </c>
      <c r="AQ437" s="50" t="s">
        <v>5046</v>
      </c>
      <c r="AV437" s="50" t="s">
        <v>102</v>
      </c>
      <c r="AX437" s="50" t="s">
        <v>155</v>
      </c>
      <c r="AY437" s="50" t="s">
        <v>119</v>
      </c>
      <c r="AZ437" s="50" t="s">
        <v>1138</v>
      </c>
      <c r="BA437" s="50" t="s">
        <v>118</v>
      </c>
      <c r="BC437" s="50" t="s">
        <v>120</v>
      </c>
      <c r="BD437" s="50" t="s">
        <v>5047</v>
      </c>
      <c r="BE437" s="50" t="s">
        <v>4404</v>
      </c>
      <c r="BF437" s="50" t="s">
        <v>174</v>
      </c>
      <c r="BG437" s="50" t="s">
        <v>4405</v>
      </c>
      <c r="BH437" s="50" t="s">
        <v>124</v>
      </c>
      <c r="BI437" s="50" t="s">
        <v>7145</v>
      </c>
      <c r="BJ437" s="50" t="s">
        <v>11889</v>
      </c>
      <c r="BK437" s="50" t="s">
        <v>127</v>
      </c>
      <c r="BL437" s="50" t="s">
        <v>15245</v>
      </c>
      <c r="BM437" s="50" t="s">
        <v>5049</v>
      </c>
      <c r="BN437" s="50" t="s">
        <v>15246</v>
      </c>
      <c r="BO437" s="50" t="s">
        <v>7145</v>
      </c>
      <c r="BP437" s="50" t="s">
        <v>1108</v>
      </c>
      <c r="BQ437" s="50" t="s">
        <v>180</v>
      </c>
      <c r="BR437" s="50" t="s">
        <v>1109</v>
      </c>
      <c r="BS437" s="50" t="s">
        <v>1110</v>
      </c>
      <c r="BT437" s="50" t="s">
        <v>4413</v>
      </c>
      <c r="BV437" s="50" t="s">
        <v>15247</v>
      </c>
      <c r="BW437" s="50" t="s">
        <v>5052</v>
      </c>
      <c r="BX437" s="50" t="s">
        <v>138</v>
      </c>
      <c r="BY437" s="50" t="s">
        <v>5053</v>
      </c>
      <c r="BZ437" s="50" t="s">
        <v>5054</v>
      </c>
      <c r="CA437" s="50" t="s">
        <v>5053</v>
      </c>
      <c r="CB437" s="50" t="s">
        <v>5052</v>
      </c>
      <c r="CC437" s="50" t="s">
        <v>5053</v>
      </c>
      <c r="CD437" s="50" t="s">
        <v>5054</v>
      </c>
      <c r="CE437" s="50" t="s">
        <v>5052</v>
      </c>
      <c r="CF437" s="50" t="s">
        <v>5053</v>
      </c>
      <c r="CG437" s="50" t="s">
        <v>5054</v>
      </c>
      <c r="CH437" s="50" t="s">
        <v>102</v>
      </c>
      <c r="CI437" s="50" t="s">
        <v>15248</v>
      </c>
      <c r="CK437" s="50" t="s">
        <v>5059</v>
      </c>
      <c r="CM437" s="50" t="s">
        <v>5047</v>
      </c>
      <c r="CN437" s="50" t="s">
        <v>4404</v>
      </c>
      <c r="CO437" s="50" t="s">
        <v>5059</v>
      </c>
      <c r="CQ437" s="50" t="s">
        <v>5058</v>
      </c>
      <c r="CR437" s="50" t="s">
        <v>5058</v>
      </c>
      <c r="CS437" s="50" t="s">
        <v>26046</v>
      </c>
    </row>
    <row r="438" spans="1:97" hidden="1">
      <c r="A438" s="50" t="s">
        <v>93</v>
      </c>
      <c r="B438" s="50">
        <v>2559923</v>
      </c>
      <c r="C438" s="50" t="str">
        <f>VLOOKUP(B438,RISK!B:C,2,0)</f>
        <v>Risk</v>
      </c>
      <c r="D438" s="50" t="s">
        <v>212</v>
      </c>
      <c r="E438" s="50" t="s">
        <v>12423</v>
      </c>
      <c r="F438" s="50" t="s">
        <v>4040</v>
      </c>
      <c r="G438" s="50" t="e">
        <f>VLOOKUP(B438,aa!B:F,5,0)</f>
        <v>#N/A</v>
      </c>
      <c r="H438" s="50" t="e">
        <f>VLOOKUP(B438,aa!B:J,9,0)</f>
        <v>#N/A</v>
      </c>
      <c r="I438" s="50" t="e">
        <f>VLOOKUP(B438,aa!B:L,11,0)</f>
        <v>#N/A</v>
      </c>
      <c r="J438" s="50" t="e">
        <f>VLOOKUP(B438,aa!B:O,14,0)</f>
        <v>#N/A</v>
      </c>
      <c r="K438" s="50" t="e">
        <f>VLOOKUP(B438,aa!B:R,17,0)</f>
        <v>#N/A</v>
      </c>
      <c r="L438" s="50" t="s">
        <v>848</v>
      </c>
      <c r="M438" s="50">
        <v>302557</v>
      </c>
      <c r="N438" s="50">
        <v>357017</v>
      </c>
      <c r="O438" s="50">
        <v>0</v>
      </c>
      <c r="P438" s="50">
        <v>0</v>
      </c>
      <c r="R438" s="50">
        <v>0</v>
      </c>
      <c r="S438" s="50">
        <v>0</v>
      </c>
      <c r="U438" s="50">
        <v>302557</v>
      </c>
      <c r="V438" s="50">
        <v>170</v>
      </c>
      <c r="W438" s="50" t="s">
        <v>4042</v>
      </c>
      <c r="X438" s="50" t="s">
        <v>102</v>
      </c>
      <c r="Y438" s="50" t="s">
        <v>103</v>
      </c>
      <c r="Z438" s="50" t="s">
        <v>155</v>
      </c>
      <c r="AB438" s="50" t="s">
        <v>411</v>
      </c>
      <c r="AC438" s="50" t="s">
        <v>14523</v>
      </c>
      <c r="AD438" s="50" t="s">
        <v>1408</v>
      </c>
      <c r="AE438" s="50" t="s">
        <v>14523</v>
      </c>
      <c r="AF438" s="50" t="s">
        <v>12289</v>
      </c>
      <c r="AG438" s="50" t="s">
        <v>14523</v>
      </c>
      <c r="AH438" s="50" t="s">
        <v>12713</v>
      </c>
      <c r="AI438" s="50" t="s">
        <v>14523</v>
      </c>
      <c r="AJ438" s="50" t="s">
        <v>14524</v>
      </c>
      <c r="AK438" s="50" t="s">
        <v>13672</v>
      </c>
      <c r="AL438" s="50" t="s">
        <v>13244</v>
      </c>
      <c r="AM438" s="50" t="s">
        <v>14525</v>
      </c>
      <c r="AN438" s="50" t="s">
        <v>14526</v>
      </c>
      <c r="AO438" s="50" t="s">
        <v>14527</v>
      </c>
      <c r="AP438" s="50" t="s">
        <v>12067</v>
      </c>
      <c r="AQ438" s="50" t="s">
        <v>317</v>
      </c>
      <c r="AU438" s="50" t="s">
        <v>169</v>
      </c>
      <c r="AV438" s="50" t="s">
        <v>102</v>
      </c>
      <c r="AX438" s="50" t="s">
        <v>102</v>
      </c>
      <c r="AY438" s="50" t="s">
        <v>119</v>
      </c>
      <c r="BB438" s="50" t="s">
        <v>250</v>
      </c>
      <c r="BC438" s="50" t="s">
        <v>120</v>
      </c>
      <c r="BD438" s="50" t="s">
        <v>4049</v>
      </c>
      <c r="BE438" s="50" t="s">
        <v>410</v>
      </c>
      <c r="BF438" s="50" t="s">
        <v>212</v>
      </c>
      <c r="BG438" s="50" t="s">
        <v>410</v>
      </c>
      <c r="BH438" s="50" t="s">
        <v>124</v>
      </c>
      <c r="BI438" s="50" t="s">
        <v>12023</v>
      </c>
      <c r="BJ438" s="50" t="s">
        <v>11889</v>
      </c>
      <c r="BK438" s="50" t="s">
        <v>127</v>
      </c>
      <c r="BL438" s="50" t="s">
        <v>14528</v>
      </c>
      <c r="BM438" s="50" t="s">
        <v>4051</v>
      </c>
      <c r="BN438" s="50" t="s">
        <v>14529</v>
      </c>
      <c r="BO438" s="50" t="s">
        <v>4813</v>
      </c>
      <c r="BP438" s="50" t="s">
        <v>4053</v>
      </c>
      <c r="BQ438" s="50" t="s">
        <v>132</v>
      </c>
      <c r="BR438" s="50" t="s">
        <v>4054</v>
      </c>
      <c r="BS438" s="50" t="s">
        <v>4055</v>
      </c>
      <c r="BT438" s="50" t="s">
        <v>4056</v>
      </c>
      <c r="BU438" s="50" t="s">
        <v>418</v>
      </c>
      <c r="BV438" s="50" t="s">
        <v>14530</v>
      </c>
      <c r="BW438" s="50" t="s">
        <v>4058</v>
      </c>
      <c r="BX438" s="50" t="s">
        <v>138</v>
      </c>
      <c r="BY438" s="50" t="s">
        <v>14531</v>
      </c>
      <c r="BZ438" s="50" t="s">
        <v>14532</v>
      </c>
      <c r="CA438" s="50" t="s">
        <v>4061</v>
      </c>
      <c r="CB438" s="50" t="s">
        <v>4058</v>
      </c>
      <c r="CC438" s="50" t="s">
        <v>14533</v>
      </c>
      <c r="CD438" s="50" t="s">
        <v>14532</v>
      </c>
      <c r="CE438" s="50" t="s">
        <v>4058</v>
      </c>
      <c r="CF438" s="50" t="s">
        <v>14533</v>
      </c>
      <c r="CG438" s="50" t="s">
        <v>14532</v>
      </c>
      <c r="CH438" s="50" t="s">
        <v>4062</v>
      </c>
      <c r="CI438" s="50" t="s">
        <v>4063</v>
      </c>
      <c r="CK438" s="50" t="s">
        <v>4064</v>
      </c>
      <c r="CL438" s="50" t="s">
        <v>4063</v>
      </c>
      <c r="CM438" s="50" t="s">
        <v>4049</v>
      </c>
      <c r="CN438" s="50" t="s">
        <v>410</v>
      </c>
      <c r="CO438" s="50" t="s">
        <v>4064</v>
      </c>
      <c r="CP438" s="50" t="s">
        <v>4066</v>
      </c>
      <c r="CQ438" s="50" t="s">
        <v>4063</v>
      </c>
      <c r="CR438" s="50" t="s">
        <v>4065</v>
      </c>
      <c r="CS438" s="50" t="s">
        <v>26042</v>
      </c>
    </row>
    <row r="439" spans="1:97">
      <c r="A439" s="50" t="s">
        <v>337</v>
      </c>
      <c r="B439" s="50">
        <v>3791464</v>
      </c>
      <c r="C439" s="50" t="e">
        <f>VLOOKUP(B439,'Drop schools 2026'!B:C,2,0)</f>
        <v>#N/A</v>
      </c>
      <c r="D439" s="50" t="s">
        <v>122</v>
      </c>
      <c r="E439" s="50" t="s">
        <v>12121</v>
      </c>
      <c r="F439" s="52" t="s">
        <v>16982</v>
      </c>
      <c r="G439" s="50" t="e">
        <f>VLOOKUP(B439,aa!B:F,5,0)</f>
        <v>#N/A</v>
      </c>
      <c r="H439" s="50" t="e">
        <f>VLOOKUP(B439,aa!B:J,9,0)</f>
        <v>#N/A</v>
      </c>
      <c r="I439" s="50" t="e">
        <f>VLOOKUP(B439,aa!B:L,11,0)</f>
        <v>#N/A</v>
      </c>
      <c r="J439" s="50" t="e">
        <f>VLOOKUP(B439,aa!B:O,14,0)</f>
        <v>#N/A</v>
      </c>
      <c r="K439" s="50" t="e">
        <f>VLOOKUP(B439,aa!B:R,17,0)</f>
        <v>#N/A</v>
      </c>
      <c r="L439" s="50" t="s">
        <v>152</v>
      </c>
      <c r="M439" s="50">
        <v>300144</v>
      </c>
      <c r="N439" s="50">
        <v>300144</v>
      </c>
      <c r="O439" s="50">
        <v>0</v>
      </c>
      <c r="P439" s="50">
        <v>0</v>
      </c>
      <c r="R439" s="50">
        <v>300144</v>
      </c>
      <c r="S439" s="50">
        <v>240</v>
      </c>
      <c r="T439" s="50" t="s">
        <v>6611</v>
      </c>
      <c r="U439" s="50">
        <v>0</v>
      </c>
      <c r="V439" s="50">
        <v>0</v>
      </c>
      <c r="X439" s="50" t="s">
        <v>102</v>
      </c>
      <c r="Y439" s="50" t="s">
        <v>103</v>
      </c>
      <c r="Z439" s="50" t="s">
        <v>155</v>
      </c>
      <c r="AB439" s="50" t="s">
        <v>7020</v>
      </c>
      <c r="AC439" s="50" t="s">
        <v>16983</v>
      </c>
      <c r="AD439" s="50" t="s">
        <v>8708</v>
      </c>
      <c r="AE439" s="50" t="s">
        <v>16983</v>
      </c>
      <c r="AF439" s="50" t="s">
        <v>12427</v>
      </c>
      <c r="AG439" s="50" t="s">
        <v>16983</v>
      </c>
      <c r="AH439" s="50" t="s">
        <v>12713</v>
      </c>
      <c r="AI439" s="50" t="s">
        <v>16983</v>
      </c>
      <c r="AJ439" s="50" t="s">
        <v>102</v>
      </c>
      <c r="AK439" s="50" t="s">
        <v>3485</v>
      </c>
      <c r="AL439" s="50" t="s">
        <v>14026</v>
      </c>
      <c r="AM439" s="50" t="s">
        <v>16984</v>
      </c>
      <c r="AN439" s="50" t="s">
        <v>16985</v>
      </c>
      <c r="AO439" s="50" t="s">
        <v>16986</v>
      </c>
      <c r="AP439" s="50" t="s">
        <v>16987</v>
      </c>
      <c r="AQ439" s="50" t="s">
        <v>16987</v>
      </c>
      <c r="AV439" s="50" t="s">
        <v>102</v>
      </c>
      <c r="AX439" s="50" t="s">
        <v>155</v>
      </c>
      <c r="AY439" s="50" t="s">
        <v>119</v>
      </c>
      <c r="AZ439" s="50" t="s">
        <v>170</v>
      </c>
      <c r="BA439" s="50" t="s">
        <v>118</v>
      </c>
      <c r="BC439" s="50" t="s">
        <v>120</v>
      </c>
      <c r="BD439" s="50" t="s">
        <v>5504</v>
      </c>
      <c r="BE439" s="50" t="s">
        <v>449</v>
      </c>
      <c r="BF439" s="50" t="s">
        <v>122</v>
      </c>
      <c r="BG439" s="50" t="s">
        <v>253</v>
      </c>
      <c r="BH439" s="50" t="s">
        <v>124</v>
      </c>
      <c r="BI439" s="50" t="s">
        <v>12023</v>
      </c>
      <c r="BJ439" s="50" t="s">
        <v>11889</v>
      </c>
      <c r="BK439" s="50" t="s">
        <v>127</v>
      </c>
      <c r="BL439" s="50" t="s">
        <v>16988</v>
      </c>
      <c r="BM439" s="50" t="s">
        <v>16989</v>
      </c>
      <c r="BN439" s="50" t="s">
        <v>16990</v>
      </c>
      <c r="BO439" s="50" t="s">
        <v>3485</v>
      </c>
      <c r="BP439" s="50" t="s">
        <v>3243</v>
      </c>
      <c r="BQ439" s="50" t="s">
        <v>180</v>
      </c>
      <c r="BR439" s="50" t="s">
        <v>3244</v>
      </c>
      <c r="BS439" s="50" t="s">
        <v>3245</v>
      </c>
      <c r="BT439" s="50" t="s">
        <v>3246</v>
      </c>
      <c r="BV439" s="50" t="s">
        <v>16991</v>
      </c>
      <c r="BW439" s="50" t="s">
        <v>16992</v>
      </c>
      <c r="BX439" s="50" t="s">
        <v>354</v>
      </c>
      <c r="BY439" s="50" t="s">
        <v>16993</v>
      </c>
      <c r="BZ439" s="50" t="s">
        <v>16994</v>
      </c>
      <c r="CA439" s="50" t="s">
        <v>16995</v>
      </c>
      <c r="CB439" s="50" t="s">
        <v>224</v>
      </c>
      <c r="CC439" s="50" t="s">
        <v>225</v>
      </c>
      <c r="CD439" s="50" t="s">
        <v>226</v>
      </c>
      <c r="CE439" s="50" t="s">
        <v>224</v>
      </c>
      <c r="CF439" s="50" t="s">
        <v>225</v>
      </c>
      <c r="CG439" s="50" t="s">
        <v>226</v>
      </c>
      <c r="CH439" s="50" t="s">
        <v>16996</v>
      </c>
      <c r="CI439" s="50" t="s">
        <v>16997</v>
      </c>
      <c r="CK439" s="50" t="s">
        <v>5517</v>
      </c>
      <c r="CL439" s="50" t="s">
        <v>16997</v>
      </c>
      <c r="CM439" s="50" t="s">
        <v>5504</v>
      </c>
      <c r="CN439" s="50" t="s">
        <v>449</v>
      </c>
      <c r="CO439" s="50" t="s">
        <v>5517</v>
      </c>
      <c r="CQ439" s="50" t="s">
        <v>16998</v>
      </c>
      <c r="CR439" s="50" t="s">
        <v>16998</v>
      </c>
    </row>
    <row r="440" spans="1:97" hidden="1">
      <c r="A440" s="50" t="s">
        <v>337</v>
      </c>
      <c r="B440" s="50">
        <v>2133172</v>
      </c>
      <c r="C440" s="50" t="e">
        <f>VLOOKUP(B440,'Drop schools 2026'!B:C,2,0)</f>
        <v>#N/A</v>
      </c>
      <c r="D440" s="50" t="s">
        <v>622</v>
      </c>
      <c r="E440" s="50" t="s">
        <v>2525</v>
      </c>
      <c r="F440" s="50" t="s">
        <v>13577</v>
      </c>
      <c r="G440" s="50" t="e">
        <f>VLOOKUP(B440,aa!B:F,5,0)</f>
        <v>#N/A</v>
      </c>
      <c r="H440" s="50" t="e">
        <f>VLOOKUP(B440,aa!B:J,9,0)</f>
        <v>#N/A</v>
      </c>
      <c r="I440" s="50" t="e">
        <f>VLOOKUP(B440,aa!B:L,11,0)</f>
        <v>#N/A</v>
      </c>
      <c r="J440" s="50" t="e">
        <f>VLOOKUP(B440,aa!B:O,14,0)</f>
        <v>#N/A</v>
      </c>
      <c r="K440" s="50" t="e">
        <f>VLOOKUP(B440,aa!B:R,17,0)</f>
        <v>#N/A</v>
      </c>
      <c r="L440" s="50" t="s">
        <v>13578</v>
      </c>
      <c r="M440" s="50">
        <v>300000</v>
      </c>
      <c r="N440" s="50">
        <v>354000</v>
      </c>
      <c r="O440" s="50">
        <v>0</v>
      </c>
      <c r="P440" s="50">
        <v>0</v>
      </c>
      <c r="Q440" s="50" t="s">
        <v>102</v>
      </c>
      <c r="R440" s="50">
        <v>0</v>
      </c>
      <c r="S440" s="50">
        <v>0</v>
      </c>
      <c r="T440" s="50" t="s">
        <v>102</v>
      </c>
      <c r="U440" s="50">
        <v>0</v>
      </c>
      <c r="V440" s="50">
        <v>0</v>
      </c>
      <c r="W440" s="50" t="s">
        <v>102</v>
      </c>
      <c r="X440" s="50" t="s">
        <v>13579</v>
      </c>
      <c r="Z440" s="50" t="s">
        <v>115</v>
      </c>
      <c r="AA440" s="50" t="s">
        <v>11948</v>
      </c>
      <c r="AB440" s="50" t="s">
        <v>11948</v>
      </c>
      <c r="AC440" s="50" t="s">
        <v>102</v>
      </c>
      <c r="AD440" s="50" t="s">
        <v>11948</v>
      </c>
      <c r="AE440" s="50" t="s">
        <v>102</v>
      </c>
      <c r="AF440" s="50" t="s">
        <v>11948</v>
      </c>
      <c r="AG440" s="50" t="s">
        <v>102</v>
      </c>
      <c r="AH440" s="50" t="s">
        <v>11948</v>
      </c>
      <c r="AI440" s="50" t="s">
        <v>102</v>
      </c>
      <c r="AJ440" s="50" t="s">
        <v>102</v>
      </c>
      <c r="AK440" s="50" t="s">
        <v>11948</v>
      </c>
      <c r="AL440" s="50" t="s">
        <v>11948</v>
      </c>
      <c r="AM440" s="50" t="s">
        <v>13579</v>
      </c>
      <c r="AN440" s="50" t="s">
        <v>102</v>
      </c>
      <c r="AO440" s="50" t="s">
        <v>13579</v>
      </c>
      <c r="AP440" s="50" t="s">
        <v>102</v>
      </c>
      <c r="AQ440" s="50" t="s">
        <v>102</v>
      </c>
      <c r="AR440" s="50" t="s">
        <v>102</v>
      </c>
      <c r="AS440" s="50" t="s">
        <v>102</v>
      </c>
      <c r="AT440" s="50" t="s">
        <v>102</v>
      </c>
      <c r="AU440" s="50" t="s">
        <v>102</v>
      </c>
      <c r="AV440" s="50" t="s">
        <v>102</v>
      </c>
      <c r="AX440" s="50" t="s">
        <v>102</v>
      </c>
      <c r="BC440" s="50" t="s">
        <v>120</v>
      </c>
      <c r="BD440" s="50" t="s">
        <v>2327</v>
      </c>
      <c r="BF440" s="50" t="s">
        <v>622</v>
      </c>
      <c r="BG440" s="50" t="s">
        <v>730</v>
      </c>
      <c r="BH440" s="50" t="s">
        <v>124</v>
      </c>
      <c r="BI440" s="50" t="s">
        <v>11948</v>
      </c>
      <c r="BJ440" s="50" t="s">
        <v>11948</v>
      </c>
      <c r="BK440" s="50" t="s">
        <v>13580</v>
      </c>
      <c r="BL440" s="50" t="s">
        <v>13581</v>
      </c>
      <c r="BO440" s="50" t="s">
        <v>11948</v>
      </c>
      <c r="BP440" s="50" t="s">
        <v>225</v>
      </c>
      <c r="BQ440" s="50" t="s">
        <v>225</v>
      </c>
      <c r="BR440" s="50" t="s">
        <v>225</v>
      </c>
      <c r="BS440" s="50" t="s">
        <v>506</v>
      </c>
      <c r="BT440" s="50" t="s">
        <v>737</v>
      </c>
      <c r="BU440" s="50" t="s">
        <v>737</v>
      </c>
      <c r="BV440" s="50" t="s">
        <v>11948</v>
      </c>
      <c r="CH440" s="50" t="s">
        <v>102</v>
      </c>
    </row>
    <row r="441" spans="1:97" hidden="1">
      <c r="A441" s="50" t="s">
        <v>149</v>
      </c>
      <c r="B441" s="50">
        <v>1021816</v>
      </c>
      <c r="C441" s="50" t="e">
        <f>VLOOKUP(B441,'Drop schools 2026'!B:C,2,0)</f>
        <v>#N/A</v>
      </c>
      <c r="D441" s="50" t="s">
        <v>122</v>
      </c>
      <c r="E441" s="50" t="s">
        <v>11898</v>
      </c>
      <c r="F441" s="50" t="s">
        <v>231</v>
      </c>
      <c r="G441" s="50" t="e">
        <f>VLOOKUP(B441,aa!B:F,5,0)</f>
        <v>#N/A</v>
      </c>
      <c r="H441" s="50" t="e">
        <f>VLOOKUP(B441,aa!B:J,9,0)</f>
        <v>#N/A</v>
      </c>
      <c r="I441" s="50" t="e">
        <f>VLOOKUP(B441,aa!B:L,11,0)</f>
        <v>#N/A</v>
      </c>
      <c r="J441" s="50" t="e">
        <f>VLOOKUP(B441,aa!B:O,14,0)</f>
        <v>#N/A</v>
      </c>
      <c r="K441" s="50" t="e">
        <f>VLOOKUP(B441,aa!B:R,17,0)</f>
        <v>#N/A</v>
      </c>
      <c r="L441" s="50" t="s">
        <v>11971</v>
      </c>
      <c r="M441" s="50">
        <v>297106</v>
      </c>
      <c r="N441" s="50">
        <v>321465</v>
      </c>
      <c r="O441" s="50">
        <v>36847</v>
      </c>
      <c r="P441" s="50">
        <v>61</v>
      </c>
      <c r="Q441" s="50" t="s">
        <v>11972</v>
      </c>
      <c r="R441" s="50">
        <v>124932</v>
      </c>
      <c r="S441" s="50">
        <v>66</v>
      </c>
      <c r="T441" s="50" t="s">
        <v>11973</v>
      </c>
      <c r="U441" s="50">
        <v>135327</v>
      </c>
      <c r="V441" s="50">
        <v>66</v>
      </c>
      <c r="W441" s="50" t="s">
        <v>11974</v>
      </c>
      <c r="X441" s="50" t="s">
        <v>102</v>
      </c>
      <c r="Y441" s="50" t="s">
        <v>103</v>
      </c>
      <c r="Z441" s="50" t="s">
        <v>155</v>
      </c>
      <c r="AB441" s="50" t="s">
        <v>1941</v>
      </c>
      <c r="AC441" s="50" t="s">
        <v>11975</v>
      </c>
      <c r="AD441" s="50" t="s">
        <v>11976</v>
      </c>
      <c r="AE441" s="50" t="s">
        <v>11975</v>
      </c>
      <c r="AF441" s="50" t="s">
        <v>11888</v>
      </c>
      <c r="AG441" s="50" t="s">
        <v>11975</v>
      </c>
      <c r="AH441" s="50" t="s">
        <v>11886</v>
      </c>
      <c r="AI441" s="50" t="s">
        <v>11975</v>
      </c>
      <c r="AJ441" s="50" t="s">
        <v>102</v>
      </c>
      <c r="AM441" s="50" t="s">
        <v>11977</v>
      </c>
      <c r="AN441" s="50" t="s">
        <v>102</v>
      </c>
      <c r="AO441" s="50" t="s">
        <v>11977</v>
      </c>
      <c r="AP441" s="50" t="s">
        <v>11978</v>
      </c>
      <c r="AQ441" s="50" t="s">
        <v>11978</v>
      </c>
      <c r="AV441" s="50" t="s">
        <v>247</v>
      </c>
      <c r="AW441" s="50" t="s">
        <v>118</v>
      </c>
      <c r="AX441" s="50" t="s">
        <v>248</v>
      </c>
      <c r="AY441" s="50" t="s">
        <v>119</v>
      </c>
      <c r="BA441" s="50" t="s">
        <v>250</v>
      </c>
      <c r="BB441" s="50" t="s">
        <v>250</v>
      </c>
      <c r="BC441" s="50" t="s">
        <v>171</v>
      </c>
      <c r="BD441" s="50" t="s">
        <v>251</v>
      </c>
      <c r="BE441" s="50" t="s">
        <v>252</v>
      </c>
      <c r="BF441" s="50" t="s">
        <v>122</v>
      </c>
      <c r="BG441" s="50" t="s">
        <v>253</v>
      </c>
      <c r="BH441" s="50" t="s">
        <v>124</v>
      </c>
      <c r="BI441" s="50" t="s">
        <v>11970</v>
      </c>
      <c r="BJ441" s="50" t="s">
        <v>11979</v>
      </c>
      <c r="BK441" s="50" t="s">
        <v>127</v>
      </c>
      <c r="BL441" s="50" t="s">
        <v>11980</v>
      </c>
      <c r="BM441" s="50" t="s">
        <v>255</v>
      </c>
      <c r="BN441" s="50" t="s">
        <v>11981</v>
      </c>
      <c r="BO441" s="50" t="s">
        <v>11970</v>
      </c>
      <c r="BP441" s="50" t="s">
        <v>11982</v>
      </c>
      <c r="BQ441" s="50" t="s">
        <v>696</v>
      </c>
      <c r="BR441" s="50" t="s">
        <v>11983</v>
      </c>
      <c r="BS441" s="50" t="s">
        <v>11984</v>
      </c>
      <c r="BT441" s="50" t="s">
        <v>261</v>
      </c>
      <c r="BV441" s="50" t="s">
        <v>11985</v>
      </c>
      <c r="BW441" s="50" t="s">
        <v>11986</v>
      </c>
      <c r="BX441" s="50" t="s">
        <v>3121</v>
      </c>
      <c r="BY441" s="50" t="s">
        <v>11987</v>
      </c>
      <c r="BZ441" s="50" t="s">
        <v>265</v>
      </c>
      <c r="CA441" s="50" t="s">
        <v>264</v>
      </c>
      <c r="CB441" s="50" t="s">
        <v>11988</v>
      </c>
      <c r="CC441" s="50" t="s">
        <v>11989</v>
      </c>
      <c r="CD441" s="50" t="s">
        <v>11990</v>
      </c>
      <c r="CE441" s="50" t="s">
        <v>11991</v>
      </c>
      <c r="CF441" s="50" t="s">
        <v>11992</v>
      </c>
      <c r="CG441" s="50" t="s">
        <v>11993</v>
      </c>
      <c r="CH441" s="50" t="s">
        <v>102</v>
      </c>
      <c r="CI441" s="50" t="s">
        <v>11994</v>
      </c>
      <c r="CK441" s="50" t="s">
        <v>270</v>
      </c>
      <c r="CM441" s="50" t="s">
        <v>251</v>
      </c>
      <c r="CN441" s="50" t="s">
        <v>252</v>
      </c>
      <c r="CO441" s="50" t="s">
        <v>270</v>
      </c>
      <c r="CQ441" s="50" t="s">
        <v>269</v>
      </c>
      <c r="CR441" s="50" t="s">
        <v>269</v>
      </c>
    </row>
    <row r="442" spans="1:97" hidden="1">
      <c r="A442" s="50" t="s">
        <v>337</v>
      </c>
      <c r="B442" s="50">
        <v>516721</v>
      </c>
      <c r="C442" s="50" t="e">
        <f>VLOOKUP(B442,'Drop schools 2026'!B:C,2,0)</f>
        <v>#N/A</v>
      </c>
      <c r="D442" s="50" t="s">
        <v>622</v>
      </c>
      <c r="E442" s="50" t="s">
        <v>14664</v>
      </c>
      <c r="F442" s="50" t="s">
        <v>20963</v>
      </c>
      <c r="G442" s="50" t="str">
        <f>VLOOKUP(B442,aa!B:F,5,0)</f>
        <v>Ei ASSET</v>
      </c>
      <c r="H442" s="50">
        <f>VLOOKUP(B442,aa!B:J,9,0)</f>
        <v>340137</v>
      </c>
      <c r="I442" s="50">
        <f>VLOOKUP(B442,aa!B:L,11,0)</f>
        <v>340137</v>
      </c>
      <c r="J442" s="50">
        <f>VLOOKUP(B442,aa!B:O,14,0)</f>
        <v>0</v>
      </c>
      <c r="K442" s="50">
        <f>VLOOKUP(B442,aa!B:R,17,0)</f>
        <v>0</v>
      </c>
      <c r="L442" s="50" t="s">
        <v>97</v>
      </c>
      <c r="M442" s="50">
        <v>294910</v>
      </c>
      <c r="N442" s="50">
        <v>294910</v>
      </c>
      <c r="O442" s="50">
        <v>294910</v>
      </c>
      <c r="P442" s="50">
        <v>421</v>
      </c>
      <c r="Q442" s="50" t="s">
        <v>799</v>
      </c>
      <c r="R442" s="50">
        <v>0</v>
      </c>
      <c r="S442" s="50">
        <v>0</v>
      </c>
      <c r="U442" s="50">
        <v>0</v>
      </c>
      <c r="V442" s="50">
        <v>0</v>
      </c>
      <c r="X442" s="50" t="s">
        <v>102</v>
      </c>
      <c r="Y442" s="50" t="s">
        <v>103</v>
      </c>
      <c r="Z442" s="50" t="s">
        <v>398</v>
      </c>
      <c r="AB442" s="50" t="s">
        <v>370</v>
      </c>
      <c r="AC442" s="50" t="s">
        <v>20964</v>
      </c>
      <c r="AD442" s="50" t="s">
        <v>1408</v>
      </c>
      <c r="AE442" s="50" t="s">
        <v>20964</v>
      </c>
      <c r="AF442" s="50" t="s">
        <v>3679</v>
      </c>
      <c r="AG442" s="50" t="s">
        <v>20965</v>
      </c>
      <c r="AH442" s="50" t="s">
        <v>109</v>
      </c>
      <c r="AI442" s="50" t="s">
        <v>102</v>
      </c>
      <c r="AJ442" s="50" t="s">
        <v>20966</v>
      </c>
      <c r="AK442" s="50" t="s">
        <v>7695</v>
      </c>
      <c r="AL442" s="50" t="s">
        <v>13245</v>
      </c>
      <c r="AM442" s="50" t="s">
        <v>20967</v>
      </c>
      <c r="AN442" s="50" t="s">
        <v>20968</v>
      </c>
      <c r="AO442" s="50" t="s">
        <v>20969</v>
      </c>
      <c r="AP442" s="50" t="s">
        <v>3992</v>
      </c>
      <c r="AQ442" s="50" t="s">
        <v>3992</v>
      </c>
      <c r="AV442" s="50" t="s">
        <v>318</v>
      </c>
      <c r="AW442" s="50" t="s">
        <v>118</v>
      </c>
      <c r="AX442" s="50" t="s">
        <v>102</v>
      </c>
      <c r="AY442" s="50" t="s">
        <v>119</v>
      </c>
      <c r="BC442" s="50" t="s">
        <v>1242</v>
      </c>
      <c r="BD442" s="50" t="s">
        <v>6280</v>
      </c>
      <c r="BE442" s="50" t="s">
        <v>621</v>
      </c>
      <c r="BF442" s="50" t="s">
        <v>622</v>
      </c>
      <c r="BG442" s="50" t="s">
        <v>976</v>
      </c>
      <c r="BH442" s="50" t="s">
        <v>124</v>
      </c>
      <c r="BI442" s="50" t="s">
        <v>8258</v>
      </c>
      <c r="BJ442" s="50" t="s">
        <v>14059</v>
      </c>
      <c r="BK442" s="50" t="s">
        <v>127</v>
      </c>
      <c r="BL442" s="50" t="s">
        <v>20970</v>
      </c>
      <c r="BM442" s="50" t="s">
        <v>20971</v>
      </c>
      <c r="BN442" s="50" t="s">
        <v>20972</v>
      </c>
      <c r="BO442" s="50" t="s">
        <v>370</v>
      </c>
      <c r="BP442" s="50" t="s">
        <v>2284</v>
      </c>
      <c r="BQ442" s="50" t="s">
        <v>132</v>
      </c>
      <c r="BR442" s="50" t="s">
        <v>2285</v>
      </c>
      <c r="BS442" s="50" t="s">
        <v>2286</v>
      </c>
      <c r="BT442" s="50" t="s">
        <v>1342</v>
      </c>
      <c r="BV442" s="50" t="s">
        <v>20973</v>
      </c>
      <c r="BW442" s="50" t="s">
        <v>20974</v>
      </c>
      <c r="BX442" s="50" t="s">
        <v>598</v>
      </c>
      <c r="BY442" s="50" t="s">
        <v>20975</v>
      </c>
      <c r="BZ442" s="50" t="s">
        <v>20976</v>
      </c>
      <c r="CA442" s="50" t="s">
        <v>20977</v>
      </c>
      <c r="CB442" s="50" t="s">
        <v>20978</v>
      </c>
      <c r="CC442" s="50" t="s">
        <v>20977</v>
      </c>
      <c r="CD442" s="50" t="s">
        <v>20976</v>
      </c>
      <c r="CE442" s="50" t="s">
        <v>20979</v>
      </c>
      <c r="CF442" s="50" t="s">
        <v>20975</v>
      </c>
      <c r="CG442" s="50" t="s">
        <v>20976</v>
      </c>
      <c r="CH442" s="50" t="s">
        <v>8793</v>
      </c>
      <c r="CI442" s="50" t="s">
        <v>20980</v>
      </c>
      <c r="CK442" s="50" t="s">
        <v>20981</v>
      </c>
      <c r="CM442" s="50" t="s">
        <v>6280</v>
      </c>
      <c r="CN442" s="50" t="s">
        <v>621</v>
      </c>
      <c r="CO442" s="50" t="s">
        <v>20981</v>
      </c>
      <c r="CP442" s="50" t="s">
        <v>20982</v>
      </c>
      <c r="CQ442" s="50" t="s">
        <v>20983</v>
      </c>
      <c r="CR442" s="50" t="s">
        <v>20983</v>
      </c>
    </row>
    <row r="443" spans="1:97" hidden="1">
      <c r="A443" s="50" t="s">
        <v>149</v>
      </c>
      <c r="B443" s="50">
        <v>5002617</v>
      </c>
      <c r="C443" s="50" t="e">
        <f>VLOOKUP(B443,'Drop schools 2026'!B:C,2,0)</f>
        <v>#N/A</v>
      </c>
      <c r="D443" s="50" t="s">
        <v>212</v>
      </c>
      <c r="E443" s="50" t="s">
        <v>2151</v>
      </c>
      <c r="F443" s="50" t="s">
        <v>9116</v>
      </c>
      <c r="G443" s="50" t="e">
        <f>VLOOKUP(B443,aa!B:F,5,0)</f>
        <v>#N/A</v>
      </c>
      <c r="H443" s="50" t="e">
        <f>VLOOKUP(B443,aa!B:J,9,0)</f>
        <v>#N/A</v>
      </c>
      <c r="I443" s="50" t="e">
        <f>VLOOKUP(B443,aa!B:L,11,0)</f>
        <v>#N/A</v>
      </c>
      <c r="J443" s="50" t="e">
        <f>VLOOKUP(B443,aa!B:O,14,0)</f>
        <v>#N/A</v>
      </c>
      <c r="K443" s="50" t="e">
        <f>VLOOKUP(B443,aa!B:R,17,0)</f>
        <v>#N/A</v>
      </c>
      <c r="L443" s="50" t="s">
        <v>152</v>
      </c>
      <c r="M443" s="50">
        <v>294324</v>
      </c>
      <c r="N443" s="50">
        <v>294324</v>
      </c>
      <c r="O443" s="50">
        <v>0</v>
      </c>
      <c r="P443" s="50">
        <v>0</v>
      </c>
      <c r="R443" s="50">
        <v>294324</v>
      </c>
      <c r="S443" s="50">
        <v>223</v>
      </c>
      <c r="T443" s="50" t="s">
        <v>16755</v>
      </c>
      <c r="U443" s="50">
        <v>0</v>
      </c>
      <c r="V443" s="50">
        <v>0</v>
      </c>
      <c r="X443" s="50" t="s">
        <v>102</v>
      </c>
      <c r="Y443" s="50" t="s">
        <v>103</v>
      </c>
      <c r="Z443" s="50" t="s">
        <v>155</v>
      </c>
      <c r="AB443" s="50" t="s">
        <v>12023</v>
      </c>
      <c r="AC443" s="50" t="s">
        <v>18481</v>
      </c>
      <c r="AD443" s="50" t="s">
        <v>1408</v>
      </c>
      <c r="AE443" s="50" t="s">
        <v>18481</v>
      </c>
      <c r="AF443" s="50" t="s">
        <v>12888</v>
      </c>
      <c r="AG443" s="50" t="s">
        <v>18481</v>
      </c>
      <c r="AH443" s="50" t="s">
        <v>1427</v>
      </c>
      <c r="AI443" s="50" t="s">
        <v>18481</v>
      </c>
      <c r="AJ443" s="50" t="s">
        <v>18482</v>
      </c>
      <c r="AK443" s="50" t="s">
        <v>6443</v>
      </c>
      <c r="AL443" s="50" t="s">
        <v>15363</v>
      </c>
      <c r="AM443" s="50" t="s">
        <v>18483</v>
      </c>
      <c r="AN443" s="50" t="s">
        <v>18484</v>
      </c>
      <c r="AO443" s="50" t="s">
        <v>18213</v>
      </c>
      <c r="AP443" s="50" t="s">
        <v>18477</v>
      </c>
      <c r="AQ443" s="50" t="s">
        <v>18477</v>
      </c>
      <c r="AV443" s="50" t="s">
        <v>102</v>
      </c>
      <c r="AX443" s="50" t="s">
        <v>104</v>
      </c>
      <c r="AY443" s="50" t="s">
        <v>119</v>
      </c>
      <c r="BA443" s="50" t="s">
        <v>250</v>
      </c>
      <c r="BC443" s="50" t="s">
        <v>120</v>
      </c>
      <c r="BD443" s="50" t="s">
        <v>920</v>
      </c>
      <c r="BE443" s="50" t="s">
        <v>211</v>
      </c>
      <c r="BF443" s="50" t="s">
        <v>212</v>
      </c>
      <c r="BG443" s="50" t="s">
        <v>213</v>
      </c>
      <c r="BH443" s="50" t="s">
        <v>124</v>
      </c>
      <c r="BI443" s="50" t="s">
        <v>12492</v>
      </c>
      <c r="BJ443" s="50" t="s">
        <v>11889</v>
      </c>
      <c r="BK443" s="50" t="s">
        <v>127</v>
      </c>
      <c r="BL443" s="50" t="s">
        <v>18485</v>
      </c>
      <c r="BM443" s="50" t="s">
        <v>9125</v>
      </c>
      <c r="BN443" s="50" t="s">
        <v>18486</v>
      </c>
      <c r="BO443" s="50" t="s">
        <v>4909</v>
      </c>
      <c r="BP443" s="50" t="s">
        <v>415</v>
      </c>
      <c r="BQ443" s="50" t="s">
        <v>180</v>
      </c>
      <c r="BR443" s="50" t="s">
        <v>416</v>
      </c>
      <c r="BS443" s="50" t="s">
        <v>417</v>
      </c>
      <c r="BT443" s="50" t="s">
        <v>222</v>
      </c>
      <c r="BV443" s="50" t="s">
        <v>18487</v>
      </c>
      <c r="BW443" s="50" t="s">
        <v>14998</v>
      </c>
      <c r="BX443" s="50" t="s">
        <v>138</v>
      </c>
      <c r="BY443" s="50" t="s">
        <v>4751</v>
      </c>
      <c r="BZ443" s="50" t="s">
        <v>14999</v>
      </c>
      <c r="CA443" s="50" t="s">
        <v>4751</v>
      </c>
      <c r="CB443" s="50" t="s">
        <v>15000</v>
      </c>
      <c r="CC443" s="50" t="s">
        <v>4751</v>
      </c>
      <c r="CD443" s="50" t="s">
        <v>14999</v>
      </c>
      <c r="CE443" s="50" t="s">
        <v>18488</v>
      </c>
      <c r="CF443" s="50" t="s">
        <v>18489</v>
      </c>
      <c r="CG443" s="50" t="s">
        <v>18490</v>
      </c>
      <c r="CH443" s="50" t="s">
        <v>102</v>
      </c>
      <c r="CI443" s="50" t="s">
        <v>4753</v>
      </c>
      <c r="CK443" s="50" t="s">
        <v>3982</v>
      </c>
      <c r="CM443" s="50" t="s">
        <v>920</v>
      </c>
      <c r="CN443" s="50" t="s">
        <v>2474</v>
      </c>
      <c r="CO443" s="50" t="s">
        <v>3982</v>
      </c>
      <c r="CP443" s="50" t="s">
        <v>2190</v>
      </c>
      <c r="CQ443" s="50" t="s">
        <v>4753</v>
      </c>
      <c r="CR443" s="50" t="s">
        <v>4753</v>
      </c>
      <c r="CS443" s="50" t="s">
        <v>26040</v>
      </c>
    </row>
    <row r="444" spans="1:97" hidden="1">
      <c r="A444" s="50" t="s">
        <v>337</v>
      </c>
      <c r="B444" s="50">
        <v>5057852</v>
      </c>
      <c r="C444" s="50" t="e">
        <f>VLOOKUP(B444,'Drop schools 2026'!B:C,2,0)</f>
        <v>#N/A</v>
      </c>
      <c r="D444" s="50" t="s">
        <v>212</v>
      </c>
      <c r="E444" s="50" t="s">
        <v>11995</v>
      </c>
      <c r="F444" s="50" t="s">
        <v>20658</v>
      </c>
      <c r="G444" s="50" t="e">
        <f>VLOOKUP(B444,aa!B:F,5,0)</f>
        <v>#N/A</v>
      </c>
      <c r="H444" s="50" t="e">
        <f>VLOOKUP(B444,aa!B:J,9,0)</f>
        <v>#N/A</v>
      </c>
      <c r="I444" s="50" t="e">
        <f>VLOOKUP(B444,aa!B:L,11,0)</f>
        <v>#N/A</v>
      </c>
      <c r="J444" s="50" t="e">
        <f>VLOOKUP(B444,aa!B:O,14,0)</f>
        <v>#N/A</v>
      </c>
      <c r="K444" s="50" t="e">
        <f>VLOOKUP(B444,aa!B:R,17,0)</f>
        <v>#N/A</v>
      </c>
      <c r="L444" s="50" t="s">
        <v>152</v>
      </c>
      <c r="M444" s="50">
        <v>293999</v>
      </c>
      <c r="N444" s="50">
        <v>293999</v>
      </c>
      <c r="O444" s="50">
        <v>0</v>
      </c>
      <c r="P444" s="50">
        <v>0</v>
      </c>
      <c r="R444" s="50">
        <v>293999</v>
      </c>
      <c r="S444" s="50">
        <v>102</v>
      </c>
      <c r="T444" s="50" t="s">
        <v>1263</v>
      </c>
      <c r="U444" s="50">
        <v>0</v>
      </c>
      <c r="V444" s="50">
        <v>0</v>
      </c>
      <c r="X444" s="50" t="s">
        <v>102</v>
      </c>
      <c r="Y444" s="50" t="s">
        <v>275</v>
      </c>
      <c r="AA444" s="50" t="s">
        <v>126</v>
      </c>
      <c r="AB444" s="50" t="s">
        <v>109</v>
      </c>
      <c r="AC444" s="50" t="s">
        <v>102</v>
      </c>
      <c r="AD444" s="50" t="s">
        <v>109</v>
      </c>
      <c r="AE444" s="50" t="s">
        <v>102</v>
      </c>
      <c r="AF444" s="50" t="s">
        <v>109</v>
      </c>
      <c r="AG444" s="50" t="s">
        <v>102</v>
      </c>
      <c r="AH444" s="50" t="s">
        <v>109</v>
      </c>
      <c r="AI444" s="50" t="s">
        <v>102</v>
      </c>
      <c r="AJ444" s="50" t="s">
        <v>102</v>
      </c>
      <c r="AK444" s="50" t="s">
        <v>12923</v>
      </c>
      <c r="AL444" s="50" t="s">
        <v>12923</v>
      </c>
      <c r="AM444" s="50" t="s">
        <v>20664</v>
      </c>
      <c r="AN444" s="50" t="s">
        <v>907</v>
      </c>
      <c r="AO444" s="50" t="s">
        <v>20665</v>
      </c>
      <c r="AP444" s="50" t="s">
        <v>20583</v>
      </c>
      <c r="AQ444" s="50" t="s">
        <v>20584</v>
      </c>
      <c r="AR444" s="50" t="s">
        <v>343</v>
      </c>
      <c r="AV444" s="50" t="s">
        <v>102</v>
      </c>
      <c r="AX444" s="50" t="s">
        <v>1384</v>
      </c>
      <c r="AY444" s="50" t="s">
        <v>447</v>
      </c>
      <c r="AZ444" s="50" t="s">
        <v>1138</v>
      </c>
      <c r="BA444" s="50" t="s">
        <v>118</v>
      </c>
      <c r="BC444" s="50" t="s">
        <v>120</v>
      </c>
      <c r="BD444" s="50" t="s">
        <v>20659</v>
      </c>
      <c r="BE444" s="50" t="s">
        <v>285</v>
      </c>
      <c r="BF444" s="50" t="s">
        <v>212</v>
      </c>
      <c r="BG444" s="50" t="s">
        <v>286</v>
      </c>
      <c r="BH444" s="50" t="s">
        <v>124</v>
      </c>
      <c r="BI444" s="50" t="s">
        <v>11959</v>
      </c>
      <c r="BJ444" s="50" t="s">
        <v>11960</v>
      </c>
      <c r="BK444" s="50" t="s">
        <v>127</v>
      </c>
      <c r="BL444" s="50" t="s">
        <v>20666</v>
      </c>
      <c r="BM444" s="50" t="s">
        <v>20667</v>
      </c>
      <c r="BN444" s="50" t="s">
        <v>20668</v>
      </c>
      <c r="BO444" s="50" t="s">
        <v>8488</v>
      </c>
      <c r="BP444" s="50" t="s">
        <v>3997</v>
      </c>
      <c r="BQ444" s="50" t="s">
        <v>505</v>
      </c>
      <c r="BR444" s="50" t="s">
        <v>3998</v>
      </c>
      <c r="BS444" s="50" t="s">
        <v>3999</v>
      </c>
      <c r="BT444" s="50" t="s">
        <v>3362</v>
      </c>
      <c r="BV444" s="50" t="s">
        <v>20669</v>
      </c>
      <c r="BW444" s="50" t="s">
        <v>20590</v>
      </c>
      <c r="BX444" s="50" t="s">
        <v>354</v>
      </c>
      <c r="BY444" s="50" t="s">
        <v>20591</v>
      </c>
      <c r="BZ444" s="50" t="s">
        <v>20592</v>
      </c>
      <c r="CA444" s="50" t="s">
        <v>20591</v>
      </c>
      <c r="CB444" s="50" t="s">
        <v>20593</v>
      </c>
      <c r="CC444" s="50" t="s">
        <v>20591</v>
      </c>
      <c r="CD444" s="50" t="s">
        <v>20670</v>
      </c>
      <c r="CE444" s="50" t="s">
        <v>20593</v>
      </c>
      <c r="CF444" s="50" t="s">
        <v>20591</v>
      </c>
      <c r="CG444" s="50" t="s">
        <v>20670</v>
      </c>
      <c r="CH444" s="50" t="s">
        <v>9607</v>
      </c>
      <c r="CI444" s="50" t="s">
        <v>20594</v>
      </c>
      <c r="CK444" s="50" t="s">
        <v>20595</v>
      </c>
      <c r="CL444" s="50" t="s">
        <v>20594</v>
      </c>
      <c r="CM444" s="50" t="s">
        <v>20659</v>
      </c>
      <c r="CN444" s="50" t="s">
        <v>285</v>
      </c>
      <c r="CO444" s="50" t="s">
        <v>20595</v>
      </c>
      <c r="CQ444" s="50" t="s">
        <v>20594</v>
      </c>
      <c r="CR444" s="50" t="s">
        <v>20594</v>
      </c>
      <c r="CS444" s="50" t="s">
        <v>26042</v>
      </c>
    </row>
    <row r="445" spans="1:97" hidden="1">
      <c r="A445" s="50" t="s">
        <v>93</v>
      </c>
      <c r="B445" s="50">
        <v>623030</v>
      </c>
      <c r="C445" s="50" t="e">
        <f>VLOOKUP(B445,'Drop schools 2026'!B:C,2,0)</f>
        <v>#N/A</v>
      </c>
      <c r="D445" s="50" t="s">
        <v>174</v>
      </c>
      <c r="E445" s="50" t="s">
        <v>12096</v>
      </c>
      <c r="F445" s="50" t="s">
        <v>11380</v>
      </c>
      <c r="G445" s="50" t="e">
        <f>VLOOKUP(B445,aa!B:F,5,0)</f>
        <v>#N/A</v>
      </c>
      <c r="H445" s="50" t="e">
        <f>VLOOKUP(B445,aa!B:J,9,0)</f>
        <v>#N/A</v>
      </c>
      <c r="I445" s="50" t="e">
        <f>VLOOKUP(B445,aa!B:L,11,0)</f>
        <v>#N/A</v>
      </c>
      <c r="J445" s="50" t="e">
        <f>VLOOKUP(B445,aa!B:O,14,0)</f>
        <v>#N/A</v>
      </c>
      <c r="K445" s="50" t="e">
        <f>VLOOKUP(B445,aa!B:R,17,0)</f>
        <v>#N/A</v>
      </c>
      <c r="L445" s="50" t="s">
        <v>97</v>
      </c>
      <c r="M445" s="50">
        <v>291963</v>
      </c>
      <c r="N445" s="50">
        <v>291963</v>
      </c>
      <c r="O445" s="50">
        <v>291963</v>
      </c>
      <c r="P445" s="50">
        <v>365</v>
      </c>
      <c r="Q445" s="50" t="s">
        <v>1297</v>
      </c>
      <c r="R445" s="50">
        <v>0</v>
      </c>
      <c r="S445" s="50">
        <v>0</v>
      </c>
      <c r="U445" s="50">
        <v>0</v>
      </c>
      <c r="V445" s="50">
        <v>0</v>
      </c>
      <c r="X445" s="50" t="s">
        <v>102</v>
      </c>
      <c r="Y445" s="50" t="s">
        <v>103</v>
      </c>
      <c r="Z445" s="50" t="s">
        <v>398</v>
      </c>
      <c r="AB445" s="50" t="s">
        <v>439</v>
      </c>
      <c r="AC445" s="50" t="s">
        <v>21302</v>
      </c>
      <c r="AD445" s="50" t="s">
        <v>4084</v>
      </c>
      <c r="AE445" s="50" t="s">
        <v>21303</v>
      </c>
      <c r="AF445" s="50" t="s">
        <v>12289</v>
      </c>
      <c r="AG445" s="50" t="s">
        <v>21304</v>
      </c>
      <c r="AH445" s="50" t="s">
        <v>109</v>
      </c>
      <c r="AI445" s="50" t="s">
        <v>102</v>
      </c>
      <c r="AJ445" s="50" t="s">
        <v>102</v>
      </c>
      <c r="AK445" s="50" t="s">
        <v>7236</v>
      </c>
      <c r="AL445" s="50" t="s">
        <v>16553</v>
      </c>
      <c r="AM445" s="50" t="s">
        <v>21305</v>
      </c>
      <c r="AN445" s="50" t="s">
        <v>21306</v>
      </c>
      <c r="AO445" s="50" t="s">
        <v>21307</v>
      </c>
      <c r="AP445" s="50" t="s">
        <v>6139</v>
      </c>
      <c r="AQ445" s="50" t="s">
        <v>6139</v>
      </c>
      <c r="AV445" s="50" t="s">
        <v>117</v>
      </c>
      <c r="AW445" s="50" t="s">
        <v>118</v>
      </c>
      <c r="AX445" s="50" t="s">
        <v>102</v>
      </c>
      <c r="AY445" s="50" t="s">
        <v>119</v>
      </c>
      <c r="BC445" s="50" t="s">
        <v>209</v>
      </c>
      <c r="BD445" s="50" t="s">
        <v>2820</v>
      </c>
      <c r="BE445" s="50" t="s">
        <v>376</v>
      </c>
      <c r="BF445" s="50" t="s">
        <v>174</v>
      </c>
      <c r="BG445" s="50" t="s">
        <v>376</v>
      </c>
      <c r="BH445" s="50" t="s">
        <v>124</v>
      </c>
      <c r="BI445" s="50" t="s">
        <v>12128</v>
      </c>
      <c r="BJ445" s="50" t="s">
        <v>11886</v>
      </c>
      <c r="BK445" s="50" t="s">
        <v>127</v>
      </c>
      <c r="BL445" s="50" t="s">
        <v>21308</v>
      </c>
      <c r="BM445" s="50" t="s">
        <v>11387</v>
      </c>
      <c r="BN445" s="50" t="s">
        <v>21309</v>
      </c>
      <c r="BO445" s="50" t="s">
        <v>7236</v>
      </c>
      <c r="BP445" s="50" t="s">
        <v>12934</v>
      </c>
      <c r="BQ445" s="50" t="s">
        <v>180</v>
      </c>
      <c r="BR445" s="50" t="s">
        <v>12935</v>
      </c>
      <c r="BS445" s="50" t="s">
        <v>12936</v>
      </c>
      <c r="BT445" s="50" t="s">
        <v>1834</v>
      </c>
      <c r="BU445" s="50" t="s">
        <v>5534</v>
      </c>
      <c r="BV445" s="50" t="s">
        <v>21310</v>
      </c>
      <c r="BW445" s="50" t="s">
        <v>11390</v>
      </c>
      <c r="BX445" s="50" t="s">
        <v>138</v>
      </c>
      <c r="BY445" s="50" t="s">
        <v>11394</v>
      </c>
      <c r="BZ445" s="50" t="s">
        <v>11392</v>
      </c>
      <c r="CA445" s="50" t="s">
        <v>11393</v>
      </c>
      <c r="CB445" s="50" t="s">
        <v>11390</v>
      </c>
      <c r="CC445" s="50" t="s">
        <v>11394</v>
      </c>
      <c r="CD445" s="50" t="s">
        <v>11392</v>
      </c>
      <c r="CE445" s="50" t="s">
        <v>11390</v>
      </c>
      <c r="CF445" s="50" t="s">
        <v>11394</v>
      </c>
      <c r="CG445" s="50" t="s">
        <v>11392</v>
      </c>
      <c r="CH445" s="50" t="s">
        <v>1538</v>
      </c>
      <c r="CI445" s="50" t="s">
        <v>11397</v>
      </c>
      <c r="CK445" s="50" t="s">
        <v>11398</v>
      </c>
      <c r="CL445" s="50" t="s">
        <v>11397</v>
      </c>
      <c r="CM445" s="50" t="s">
        <v>2820</v>
      </c>
      <c r="CN445" s="50" t="s">
        <v>376</v>
      </c>
      <c r="CO445" s="50" t="s">
        <v>11398</v>
      </c>
      <c r="CQ445" s="50" t="s">
        <v>11397</v>
      </c>
      <c r="CR445" s="50" t="s">
        <v>11397</v>
      </c>
      <c r="CS445" s="50" t="s">
        <v>26044</v>
      </c>
    </row>
    <row r="446" spans="1:97" hidden="1">
      <c r="A446" s="50" t="s">
        <v>93</v>
      </c>
      <c r="B446" s="50">
        <v>3626747</v>
      </c>
      <c r="C446" s="50" t="e">
        <f>VLOOKUP(B446,'Drop schools 2026'!B:C,2,0)</f>
        <v>#N/A</v>
      </c>
      <c r="D446" s="50" t="s">
        <v>174</v>
      </c>
      <c r="E446" s="50" t="s">
        <v>16075</v>
      </c>
      <c r="F446" s="50" t="s">
        <v>16647</v>
      </c>
      <c r="G446" s="50" t="str">
        <f>VLOOKUP(B446,aa!B:F,5,0)</f>
        <v>Ei ASSET, Ei Mindspark</v>
      </c>
      <c r="H446" s="50">
        <f>VLOOKUP(B446,aa!B:J,9,0)</f>
        <v>339699</v>
      </c>
      <c r="I446" s="50">
        <f>VLOOKUP(B446,aa!B:L,11,0)</f>
        <v>98781</v>
      </c>
      <c r="J446" s="50">
        <f>VLOOKUP(B446,aa!B:O,14,0)</f>
        <v>0</v>
      </c>
      <c r="K446" s="50">
        <f>VLOOKUP(B446,aa!B:R,17,0)</f>
        <v>240918</v>
      </c>
      <c r="L446" s="50" t="s">
        <v>3549</v>
      </c>
      <c r="M446" s="50">
        <v>288492</v>
      </c>
      <c r="N446" s="50">
        <v>325478</v>
      </c>
      <c r="O446" s="50">
        <v>83017</v>
      </c>
      <c r="P446" s="50">
        <v>166</v>
      </c>
      <c r="Q446" s="50" t="s">
        <v>364</v>
      </c>
      <c r="R446" s="50">
        <v>0</v>
      </c>
      <c r="S446" s="50">
        <v>0</v>
      </c>
      <c r="U446" s="50">
        <v>205475</v>
      </c>
      <c r="V446" s="50">
        <v>202</v>
      </c>
      <c r="W446" s="50" t="s">
        <v>3924</v>
      </c>
      <c r="X446" s="50" t="s">
        <v>102</v>
      </c>
      <c r="Y446" s="50" t="s">
        <v>103</v>
      </c>
      <c r="Z446" s="50" t="s">
        <v>398</v>
      </c>
      <c r="AB446" s="50" t="s">
        <v>1719</v>
      </c>
      <c r="AC446" s="50" t="s">
        <v>16648</v>
      </c>
      <c r="AD446" s="50" t="s">
        <v>12023</v>
      </c>
      <c r="AE446" s="50" t="s">
        <v>16649</v>
      </c>
      <c r="AF446" s="50" t="s">
        <v>12040</v>
      </c>
      <c r="AG446" s="50" t="s">
        <v>16650</v>
      </c>
      <c r="AH446" s="50" t="s">
        <v>109</v>
      </c>
      <c r="AI446" s="50" t="s">
        <v>102</v>
      </c>
      <c r="AJ446" s="50" t="s">
        <v>102</v>
      </c>
      <c r="AK446" s="50" t="s">
        <v>14000</v>
      </c>
      <c r="AL446" s="50" t="s">
        <v>12397</v>
      </c>
      <c r="AM446" s="50" t="s">
        <v>16651</v>
      </c>
      <c r="AN446" s="50" t="s">
        <v>1538</v>
      </c>
      <c r="AO446" s="50" t="s">
        <v>16652</v>
      </c>
      <c r="AP446" s="50" t="s">
        <v>2353</v>
      </c>
      <c r="AQ446" s="50" t="s">
        <v>2353</v>
      </c>
      <c r="AV446" s="50" t="s">
        <v>117</v>
      </c>
      <c r="AW446" s="50" t="s">
        <v>118</v>
      </c>
      <c r="AX446" s="50" t="s">
        <v>102</v>
      </c>
      <c r="AY446" s="50" t="s">
        <v>119</v>
      </c>
      <c r="BB446" s="50" t="s">
        <v>250</v>
      </c>
      <c r="BC446" s="50" t="s">
        <v>120</v>
      </c>
      <c r="BD446" s="50" t="s">
        <v>6922</v>
      </c>
      <c r="BE446" s="50" t="s">
        <v>376</v>
      </c>
      <c r="BF446" s="50" t="s">
        <v>174</v>
      </c>
      <c r="BG446" s="50" t="s">
        <v>376</v>
      </c>
      <c r="BH446" s="50" t="s">
        <v>124</v>
      </c>
      <c r="BI446" s="50" t="s">
        <v>5755</v>
      </c>
      <c r="BJ446" s="50" t="s">
        <v>13208</v>
      </c>
      <c r="BK446" s="50" t="s">
        <v>127</v>
      </c>
      <c r="BL446" s="50" t="s">
        <v>16653</v>
      </c>
      <c r="BM446" s="50" t="s">
        <v>6924</v>
      </c>
      <c r="BN446" s="50" t="s">
        <v>16654</v>
      </c>
      <c r="BO446" s="50" t="s">
        <v>2324</v>
      </c>
      <c r="BP446" s="50" t="s">
        <v>6926</v>
      </c>
      <c r="BQ446" s="50" t="s">
        <v>180</v>
      </c>
      <c r="BR446" s="50" t="s">
        <v>6927</v>
      </c>
      <c r="BS446" s="50" t="s">
        <v>6928</v>
      </c>
      <c r="BT446" s="50" t="s">
        <v>1858</v>
      </c>
      <c r="BV446" s="50" t="s">
        <v>16655</v>
      </c>
      <c r="BW446" s="50" t="s">
        <v>16656</v>
      </c>
      <c r="BX446" s="50" t="s">
        <v>138</v>
      </c>
      <c r="BY446" s="50" t="s">
        <v>6931</v>
      </c>
      <c r="BZ446" s="50" t="s">
        <v>6932</v>
      </c>
      <c r="CA446" s="50" t="s">
        <v>6931</v>
      </c>
      <c r="CB446" s="50" t="s">
        <v>16656</v>
      </c>
      <c r="CC446" s="50" t="s">
        <v>6931</v>
      </c>
      <c r="CD446" s="50" t="s">
        <v>6932</v>
      </c>
      <c r="CE446" s="50" t="s">
        <v>16656</v>
      </c>
      <c r="CF446" s="50" t="s">
        <v>6931</v>
      </c>
      <c r="CG446" s="50" t="s">
        <v>6932</v>
      </c>
      <c r="CH446" s="50" t="s">
        <v>6933</v>
      </c>
      <c r="CI446" s="50" t="s">
        <v>6934</v>
      </c>
      <c r="CK446" s="50" t="s">
        <v>6935</v>
      </c>
      <c r="CL446" s="50" t="s">
        <v>6934</v>
      </c>
      <c r="CM446" s="50" t="s">
        <v>6922</v>
      </c>
      <c r="CN446" s="50" t="s">
        <v>376</v>
      </c>
      <c r="CO446" s="50" t="s">
        <v>6935</v>
      </c>
      <c r="CQ446" s="50" t="s">
        <v>6934</v>
      </c>
      <c r="CR446" s="50" t="s">
        <v>6934</v>
      </c>
    </row>
    <row r="447" spans="1:97" hidden="1">
      <c r="A447" s="50" t="s">
        <v>337</v>
      </c>
      <c r="B447" s="50">
        <v>5018578</v>
      </c>
      <c r="C447" s="50" t="e">
        <f>VLOOKUP(B447,'Drop schools 2026'!B:C,2,0)</f>
        <v>#N/A</v>
      </c>
      <c r="D447" s="50" t="s">
        <v>212</v>
      </c>
      <c r="E447" s="50" t="s">
        <v>12423</v>
      </c>
      <c r="F447" s="50" t="s">
        <v>20037</v>
      </c>
      <c r="G447" s="50" t="str">
        <f>VLOOKUP(B447,aa!B:F,5,0)</f>
        <v>Ei CARES</v>
      </c>
      <c r="H447" s="50">
        <f>VLOOKUP(B447,aa!B:J,9,0)</f>
        <v>168940</v>
      </c>
      <c r="I447" s="50">
        <f>VLOOKUP(B447,aa!B:L,11,0)</f>
        <v>0</v>
      </c>
      <c r="J447" s="50">
        <f>VLOOKUP(B447,aa!B:O,14,0)</f>
        <v>168940</v>
      </c>
      <c r="K447" s="50">
        <f>VLOOKUP(B447,aa!B:R,17,0)</f>
        <v>0</v>
      </c>
      <c r="L447" s="50" t="s">
        <v>20039</v>
      </c>
      <c r="M447" s="50">
        <v>288282</v>
      </c>
      <c r="N447" s="50">
        <v>288282</v>
      </c>
      <c r="O447" s="50">
        <v>84216</v>
      </c>
      <c r="P447" s="50">
        <v>127</v>
      </c>
      <c r="Q447" s="50" t="s">
        <v>20040</v>
      </c>
      <c r="R447" s="50">
        <v>204066</v>
      </c>
      <c r="S447" s="50">
        <v>164</v>
      </c>
      <c r="T447" s="50" t="s">
        <v>20041</v>
      </c>
      <c r="U447" s="50">
        <v>0</v>
      </c>
      <c r="V447" s="50">
        <v>0</v>
      </c>
      <c r="X447" s="50" t="s">
        <v>102</v>
      </c>
      <c r="Y447" s="50" t="s">
        <v>679</v>
      </c>
      <c r="Z447" s="50" t="s">
        <v>155</v>
      </c>
      <c r="AA447" s="50" t="s">
        <v>11911</v>
      </c>
      <c r="AB447" s="50" t="s">
        <v>20042</v>
      </c>
      <c r="AC447" s="50" t="s">
        <v>20043</v>
      </c>
      <c r="AD447" s="50" t="s">
        <v>20044</v>
      </c>
      <c r="AE447" s="50" t="s">
        <v>20045</v>
      </c>
      <c r="AF447" s="50" t="s">
        <v>17939</v>
      </c>
      <c r="AG447" s="50" t="s">
        <v>20045</v>
      </c>
      <c r="AH447" s="50" t="s">
        <v>14084</v>
      </c>
      <c r="AI447" s="50" t="s">
        <v>20045</v>
      </c>
      <c r="AJ447" s="50" t="s">
        <v>102</v>
      </c>
      <c r="AK447" s="50" t="s">
        <v>13949</v>
      </c>
      <c r="AL447" s="50" t="s">
        <v>8747</v>
      </c>
      <c r="AM447" s="50" t="s">
        <v>20046</v>
      </c>
      <c r="AN447" s="50" t="s">
        <v>20047</v>
      </c>
      <c r="AO447" s="50" t="s">
        <v>20048</v>
      </c>
      <c r="AP447" s="50" t="s">
        <v>20049</v>
      </c>
      <c r="AQ447" s="50" t="s">
        <v>20050</v>
      </c>
      <c r="AT447" s="50" t="s">
        <v>169</v>
      </c>
      <c r="AV447" s="50" t="s">
        <v>207</v>
      </c>
      <c r="AW447" s="50" t="s">
        <v>250</v>
      </c>
      <c r="AX447" s="50" t="s">
        <v>801</v>
      </c>
      <c r="AY447" s="50" t="s">
        <v>447</v>
      </c>
      <c r="AZ447" s="50" t="s">
        <v>170</v>
      </c>
      <c r="BA447" s="50" t="s">
        <v>118</v>
      </c>
      <c r="BC447" s="50" t="s">
        <v>120</v>
      </c>
      <c r="BD447" s="50" t="s">
        <v>3735</v>
      </c>
      <c r="BE447" s="50" t="s">
        <v>410</v>
      </c>
      <c r="BF447" s="50" t="s">
        <v>212</v>
      </c>
      <c r="BG447" s="50" t="s">
        <v>410</v>
      </c>
      <c r="BH447" s="50" t="s">
        <v>124</v>
      </c>
      <c r="BI447" s="50" t="s">
        <v>12023</v>
      </c>
      <c r="BJ447" s="50" t="s">
        <v>11889</v>
      </c>
      <c r="BK447" s="50" t="s">
        <v>127</v>
      </c>
      <c r="BL447" s="50" t="s">
        <v>20051</v>
      </c>
      <c r="BM447" s="50" t="s">
        <v>20052</v>
      </c>
      <c r="BN447" s="50" t="s">
        <v>20053</v>
      </c>
      <c r="BO447" s="50" t="s">
        <v>20038</v>
      </c>
      <c r="BP447" s="50" t="s">
        <v>896</v>
      </c>
      <c r="BQ447" s="50" t="s">
        <v>13875</v>
      </c>
      <c r="BR447" s="50" t="s">
        <v>897</v>
      </c>
      <c r="BS447" s="50" t="s">
        <v>898</v>
      </c>
      <c r="BT447" s="50" t="s">
        <v>899</v>
      </c>
      <c r="BV447" s="50" t="s">
        <v>20054</v>
      </c>
      <c r="BW447" s="50" t="s">
        <v>20055</v>
      </c>
      <c r="BX447" s="50" t="s">
        <v>3121</v>
      </c>
      <c r="BY447" s="50" t="s">
        <v>20056</v>
      </c>
      <c r="BZ447" s="50" t="s">
        <v>20057</v>
      </c>
      <c r="CA447" s="50" t="s">
        <v>20056</v>
      </c>
      <c r="CB447" s="50" t="s">
        <v>20058</v>
      </c>
      <c r="CC447" s="50" t="s">
        <v>20056</v>
      </c>
      <c r="CD447" s="50" t="s">
        <v>20059</v>
      </c>
      <c r="CE447" s="50" t="s">
        <v>20058</v>
      </c>
      <c r="CF447" s="50" t="s">
        <v>20056</v>
      </c>
      <c r="CG447" s="50" t="s">
        <v>20059</v>
      </c>
      <c r="CH447" s="50" t="s">
        <v>3968</v>
      </c>
      <c r="CI447" s="50" t="s">
        <v>20060</v>
      </c>
      <c r="CK447" s="50" t="s">
        <v>20061</v>
      </c>
      <c r="CL447" s="50" t="s">
        <v>20060</v>
      </c>
      <c r="CM447" s="50" t="s">
        <v>3735</v>
      </c>
      <c r="CN447" s="50" t="s">
        <v>410</v>
      </c>
      <c r="CO447" s="50" t="s">
        <v>20061</v>
      </c>
      <c r="CQ447" s="50" t="s">
        <v>20062</v>
      </c>
      <c r="CR447" s="50" t="s">
        <v>20062</v>
      </c>
    </row>
    <row r="448" spans="1:97" hidden="1">
      <c r="A448" s="50" t="s">
        <v>337</v>
      </c>
      <c r="B448" s="50">
        <v>3442227</v>
      </c>
      <c r="C448" s="50" t="e">
        <f>VLOOKUP(B448,'Drop schools 2026'!B:C,2,0)</f>
        <v>#N/A</v>
      </c>
      <c r="D448" s="50" t="s">
        <v>174</v>
      </c>
      <c r="E448" s="50" t="s">
        <v>1111</v>
      </c>
      <c r="F448" s="50" t="s">
        <v>16005</v>
      </c>
      <c r="G448" s="50" t="str">
        <f>VLOOKUP(B448,aa!B:F,5,0)</f>
        <v>Ei Mindspark</v>
      </c>
      <c r="H448" s="50">
        <f>VLOOKUP(B448,aa!B:J,9,0)</f>
        <v>248595</v>
      </c>
      <c r="I448" s="50">
        <f>VLOOKUP(B448,aa!B:L,11,0)</f>
        <v>0</v>
      </c>
      <c r="J448" s="50">
        <f>VLOOKUP(B448,aa!B:O,14,0)</f>
        <v>0</v>
      </c>
      <c r="K448" s="50">
        <f>VLOOKUP(B448,aa!B:R,17,0)</f>
        <v>248595</v>
      </c>
      <c r="L448" s="50" t="s">
        <v>848</v>
      </c>
      <c r="M448" s="50">
        <v>287038</v>
      </c>
      <c r="N448" s="50">
        <v>338705</v>
      </c>
      <c r="O448" s="50">
        <v>0</v>
      </c>
      <c r="P448" s="50">
        <v>0</v>
      </c>
      <c r="R448" s="50">
        <v>0</v>
      </c>
      <c r="S448" s="50">
        <v>0</v>
      </c>
      <c r="U448" s="50">
        <v>287038</v>
      </c>
      <c r="V448" s="50">
        <v>224</v>
      </c>
      <c r="W448" s="50" t="s">
        <v>10554</v>
      </c>
      <c r="X448" s="50" t="s">
        <v>102</v>
      </c>
      <c r="Y448" s="50" t="s">
        <v>103</v>
      </c>
      <c r="Z448" s="50" t="s">
        <v>155</v>
      </c>
      <c r="AB448" s="50" t="s">
        <v>12023</v>
      </c>
      <c r="AC448" s="50" t="s">
        <v>16006</v>
      </c>
      <c r="AD448" s="50" t="s">
        <v>4563</v>
      </c>
      <c r="AE448" s="50" t="s">
        <v>16006</v>
      </c>
      <c r="AF448" s="50" t="s">
        <v>11888</v>
      </c>
      <c r="AG448" s="50" t="s">
        <v>16006</v>
      </c>
      <c r="AH448" s="50" t="s">
        <v>16007</v>
      </c>
      <c r="AI448" s="50" t="s">
        <v>16006</v>
      </c>
      <c r="AJ448" s="50" t="s">
        <v>102</v>
      </c>
      <c r="AK448" s="50" t="s">
        <v>1202</v>
      </c>
      <c r="AL448" s="50" t="s">
        <v>11905</v>
      </c>
      <c r="AM448" s="50" t="s">
        <v>16008</v>
      </c>
      <c r="AN448" s="50" t="s">
        <v>16009</v>
      </c>
      <c r="AO448" s="50" t="s">
        <v>16010</v>
      </c>
      <c r="AP448" s="50" t="s">
        <v>7221</v>
      </c>
      <c r="AQ448" s="50" t="s">
        <v>7221</v>
      </c>
      <c r="AV448" s="50" t="s">
        <v>102</v>
      </c>
      <c r="AX448" s="50" t="s">
        <v>102</v>
      </c>
      <c r="AY448" s="50" t="s">
        <v>119</v>
      </c>
      <c r="BB448" s="50" t="s">
        <v>250</v>
      </c>
      <c r="BC448" s="50" t="s">
        <v>120</v>
      </c>
      <c r="BD448" s="50" t="s">
        <v>16011</v>
      </c>
      <c r="BE448" s="50" t="s">
        <v>4404</v>
      </c>
      <c r="BF448" s="50" t="s">
        <v>174</v>
      </c>
      <c r="BG448" s="50" t="s">
        <v>4405</v>
      </c>
      <c r="BH448" s="50" t="s">
        <v>124</v>
      </c>
      <c r="BI448" s="50" t="s">
        <v>12023</v>
      </c>
      <c r="BJ448" s="50" t="s">
        <v>11889</v>
      </c>
      <c r="BK448" s="50" t="s">
        <v>127</v>
      </c>
      <c r="BL448" s="50" t="s">
        <v>16012</v>
      </c>
      <c r="BM448" s="50" t="s">
        <v>16013</v>
      </c>
      <c r="BN448" s="50" t="s">
        <v>16014</v>
      </c>
      <c r="BO448" s="50" t="s">
        <v>945</v>
      </c>
      <c r="BP448" s="50" t="s">
        <v>16015</v>
      </c>
      <c r="BQ448" s="50" t="s">
        <v>180</v>
      </c>
      <c r="BR448" s="50" t="s">
        <v>16016</v>
      </c>
      <c r="BS448" s="50" t="s">
        <v>16017</v>
      </c>
      <c r="BT448" s="50" t="s">
        <v>4413</v>
      </c>
      <c r="BV448" s="50" t="s">
        <v>16018</v>
      </c>
      <c r="BW448" s="50" t="s">
        <v>16019</v>
      </c>
      <c r="BX448" s="50" t="s">
        <v>138</v>
      </c>
      <c r="BY448" s="50" t="s">
        <v>16020</v>
      </c>
      <c r="BZ448" s="50" t="s">
        <v>16021</v>
      </c>
      <c r="CA448" s="50" t="s">
        <v>16020</v>
      </c>
      <c r="CB448" s="50" t="s">
        <v>16019</v>
      </c>
      <c r="CC448" s="50" t="s">
        <v>16020</v>
      </c>
      <c r="CD448" s="50" t="s">
        <v>16021</v>
      </c>
      <c r="CE448" s="50" t="s">
        <v>16019</v>
      </c>
      <c r="CF448" s="50" t="s">
        <v>16020</v>
      </c>
      <c r="CG448" s="50" t="s">
        <v>16021</v>
      </c>
      <c r="CH448" s="50" t="s">
        <v>16022</v>
      </c>
      <c r="CI448" s="50" t="s">
        <v>16023</v>
      </c>
      <c r="CK448" s="50" t="s">
        <v>16024</v>
      </c>
      <c r="CL448" s="50" t="s">
        <v>16025</v>
      </c>
      <c r="CM448" s="50" t="s">
        <v>16011</v>
      </c>
      <c r="CN448" s="50" t="s">
        <v>4404</v>
      </c>
      <c r="CO448" s="50" t="s">
        <v>16024</v>
      </c>
      <c r="CQ448" s="50" t="s">
        <v>16026</v>
      </c>
      <c r="CR448" s="50" t="s">
        <v>16026</v>
      </c>
    </row>
    <row r="449" spans="1:97" hidden="1">
      <c r="A449" s="50" t="s">
        <v>149</v>
      </c>
      <c r="B449" s="50">
        <v>1002463</v>
      </c>
      <c r="C449" s="50" t="e">
        <f>VLOOKUP(B449,'Drop schools 2026'!B:C,2,0)</f>
        <v>#N/A</v>
      </c>
      <c r="D449" s="50" t="s">
        <v>122</v>
      </c>
      <c r="E449" s="50" t="s">
        <v>11882</v>
      </c>
      <c r="F449" s="50" t="s">
        <v>94</v>
      </c>
      <c r="G449" s="50" t="e">
        <f>VLOOKUP(B449,aa!B:F,5,0)</f>
        <v>#N/A</v>
      </c>
      <c r="H449" s="50" t="e">
        <f>VLOOKUP(B449,aa!B:J,9,0)</f>
        <v>#N/A</v>
      </c>
      <c r="I449" s="50" t="e">
        <f>VLOOKUP(B449,aa!B:L,11,0)</f>
        <v>#N/A</v>
      </c>
      <c r="J449" s="50" t="e">
        <f>VLOOKUP(B449,aa!B:O,14,0)</f>
        <v>#N/A</v>
      </c>
      <c r="K449" s="50" t="e">
        <f>VLOOKUP(B449,aa!B:R,17,0)</f>
        <v>#N/A</v>
      </c>
      <c r="L449" s="50" t="s">
        <v>97</v>
      </c>
      <c r="M449" s="50">
        <v>283982</v>
      </c>
      <c r="N449" s="50">
        <v>283982</v>
      </c>
      <c r="O449" s="50">
        <v>283982</v>
      </c>
      <c r="P449" s="50">
        <v>355</v>
      </c>
      <c r="Q449" s="50" t="s">
        <v>1297</v>
      </c>
      <c r="R449" s="50">
        <v>0</v>
      </c>
      <c r="S449" s="50">
        <v>0</v>
      </c>
      <c r="U449" s="50">
        <v>0</v>
      </c>
      <c r="V449" s="50">
        <v>0</v>
      </c>
      <c r="X449" s="50" t="s">
        <v>102</v>
      </c>
      <c r="Y449" s="50" t="s">
        <v>103</v>
      </c>
      <c r="Z449" s="50" t="s">
        <v>104</v>
      </c>
      <c r="AB449" s="50" t="s">
        <v>11884</v>
      </c>
      <c r="AC449" s="50" t="s">
        <v>11885</v>
      </c>
      <c r="AD449" s="50" t="s">
        <v>11886</v>
      </c>
      <c r="AE449" s="50" t="s">
        <v>11885</v>
      </c>
      <c r="AF449" s="50" t="s">
        <v>109</v>
      </c>
      <c r="AG449" s="50" t="s">
        <v>102</v>
      </c>
      <c r="AH449" s="50" t="s">
        <v>109</v>
      </c>
      <c r="AI449" s="50" t="s">
        <v>102</v>
      </c>
      <c r="AJ449" s="50" t="s">
        <v>102</v>
      </c>
      <c r="AM449" s="50" t="s">
        <v>11887</v>
      </c>
      <c r="AN449" s="50" t="s">
        <v>102</v>
      </c>
      <c r="AO449" s="50" t="s">
        <v>11887</v>
      </c>
      <c r="AP449" s="50" t="s">
        <v>1304</v>
      </c>
      <c r="AQ449" s="50" t="s">
        <v>1304</v>
      </c>
      <c r="AV449" s="50" t="s">
        <v>117</v>
      </c>
      <c r="AW449" s="50" t="s">
        <v>118</v>
      </c>
      <c r="AX449" s="50" t="s">
        <v>102</v>
      </c>
      <c r="AY449" s="50" t="s">
        <v>119</v>
      </c>
      <c r="BC449" s="50" t="s">
        <v>120</v>
      </c>
      <c r="BD449" s="50" t="s">
        <v>121</v>
      </c>
      <c r="BE449" s="50" t="s">
        <v>121</v>
      </c>
      <c r="BF449" s="50" t="s">
        <v>122</v>
      </c>
      <c r="BG449" s="50" t="s">
        <v>123</v>
      </c>
      <c r="BH449" s="50" t="s">
        <v>124</v>
      </c>
      <c r="BI449" s="50" t="s">
        <v>11888</v>
      </c>
      <c r="BJ449" s="50" t="s">
        <v>11889</v>
      </c>
      <c r="BK449" s="50" t="s">
        <v>127</v>
      </c>
      <c r="BL449" s="50" t="s">
        <v>11890</v>
      </c>
      <c r="BM449" s="50" t="s">
        <v>129</v>
      </c>
      <c r="BN449" s="50" t="s">
        <v>11891</v>
      </c>
      <c r="BO449" s="50" t="s">
        <v>11883</v>
      </c>
      <c r="BP449" s="50" t="s">
        <v>3267</v>
      </c>
      <c r="BQ449" s="50" t="s">
        <v>132</v>
      </c>
      <c r="BR449" s="50" t="s">
        <v>3268</v>
      </c>
      <c r="BS449" s="50" t="s">
        <v>3269</v>
      </c>
      <c r="BT449" s="50" t="s">
        <v>135</v>
      </c>
      <c r="BV449" s="50" t="s">
        <v>11892</v>
      </c>
      <c r="BW449" s="50" t="s">
        <v>11893</v>
      </c>
      <c r="BX449" s="50" t="s">
        <v>598</v>
      </c>
      <c r="BY449" s="50" t="s">
        <v>7967</v>
      </c>
      <c r="BZ449" s="50" t="s">
        <v>11894</v>
      </c>
      <c r="CA449" s="50" t="s">
        <v>141</v>
      </c>
      <c r="CB449" s="50" t="s">
        <v>11895</v>
      </c>
      <c r="CC449" s="50" t="s">
        <v>139</v>
      </c>
      <c r="CD449" s="50" t="s">
        <v>11894</v>
      </c>
      <c r="CE449" s="50" t="s">
        <v>11893</v>
      </c>
      <c r="CF449" s="50" t="s">
        <v>7967</v>
      </c>
      <c r="CG449" s="50" t="s">
        <v>11894</v>
      </c>
      <c r="CH449" s="50" t="s">
        <v>145</v>
      </c>
      <c r="CI449" s="50" t="s">
        <v>11896</v>
      </c>
      <c r="CK449" s="50" t="s">
        <v>147</v>
      </c>
      <c r="CM449" s="50" t="s">
        <v>121</v>
      </c>
      <c r="CN449" s="50" t="s">
        <v>121</v>
      </c>
      <c r="CO449" s="50" t="s">
        <v>147</v>
      </c>
      <c r="CP449" s="50" t="s">
        <v>148</v>
      </c>
      <c r="CQ449" s="50" t="s">
        <v>146</v>
      </c>
      <c r="CR449" s="50" t="s">
        <v>146</v>
      </c>
    </row>
    <row r="450" spans="1:97" hidden="1">
      <c r="A450" s="50" t="s">
        <v>149</v>
      </c>
      <c r="B450" s="50">
        <v>2409420</v>
      </c>
      <c r="C450" s="50" t="e">
        <f>VLOOKUP(B450,'Drop schools 2026'!B:C,2,0)</f>
        <v>#N/A</v>
      </c>
      <c r="D450" s="50" t="s">
        <v>122</v>
      </c>
      <c r="E450" s="50" t="s">
        <v>12121</v>
      </c>
      <c r="F450" s="50" t="s">
        <v>3277</v>
      </c>
      <c r="G450" s="50" t="str">
        <f>VLOOKUP(B450,aa!B:F,5,0)</f>
        <v>Ei ASSET</v>
      </c>
      <c r="H450" s="50">
        <f>VLOOKUP(B450,aa!B:J,9,0)</f>
        <v>391222</v>
      </c>
      <c r="I450" s="50">
        <f>VLOOKUP(B450,aa!B:L,11,0)</f>
        <v>391222</v>
      </c>
      <c r="J450" s="50">
        <f>VLOOKUP(B450,aa!B:O,14,0)</f>
        <v>0</v>
      </c>
      <c r="K450" s="50">
        <f>VLOOKUP(B450,aa!B:R,17,0)</f>
        <v>0</v>
      </c>
      <c r="L450" s="50" t="s">
        <v>97</v>
      </c>
      <c r="M450" s="50">
        <v>283797</v>
      </c>
      <c r="N450" s="50">
        <v>283797</v>
      </c>
      <c r="O450" s="50">
        <v>283797</v>
      </c>
      <c r="P450" s="50">
        <v>457</v>
      </c>
      <c r="Q450" s="50" t="s">
        <v>13912</v>
      </c>
      <c r="R450" s="50">
        <v>0</v>
      </c>
      <c r="S450" s="50">
        <v>0</v>
      </c>
      <c r="U450" s="50">
        <v>0</v>
      </c>
      <c r="V450" s="50">
        <v>0</v>
      </c>
      <c r="X450" s="50" t="s">
        <v>102</v>
      </c>
      <c r="Y450" s="50" t="s">
        <v>275</v>
      </c>
      <c r="AA450" s="50" t="s">
        <v>4665</v>
      </c>
      <c r="AB450" s="50" t="s">
        <v>109</v>
      </c>
      <c r="AC450" s="50" t="s">
        <v>102</v>
      </c>
      <c r="AD450" s="50" t="s">
        <v>109</v>
      </c>
      <c r="AE450" s="50" t="s">
        <v>102</v>
      </c>
      <c r="AF450" s="50" t="s">
        <v>109</v>
      </c>
      <c r="AG450" s="50" t="s">
        <v>102</v>
      </c>
      <c r="AH450" s="50" t="s">
        <v>109</v>
      </c>
      <c r="AI450" s="50" t="s">
        <v>102</v>
      </c>
      <c r="AJ450" s="50" t="s">
        <v>13913</v>
      </c>
      <c r="AK450" s="50" t="s">
        <v>12211</v>
      </c>
      <c r="AL450" s="50" t="s">
        <v>12211</v>
      </c>
      <c r="AM450" s="50" t="s">
        <v>13914</v>
      </c>
      <c r="AN450" s="50" t="s">
        <v>13915</v>
      </c>
      <c r="AO450" s="50" t="s">
        <v>102</v>
      </c>
      <c r="AP450" s="50" t="s">
        <v>13916</v>
      </c>
      <c r="AQ450" s="50" t="s">
        <v>13916</v>
      </c>
      <c r="AV450" s="50" t="s">
        <v>318</v>
      </c>
      <c r="AW450" s="50" t="s">
        <v>250</v>
      </c>
      <c r="AX450" s="50" t="s">
        <v>102</v>
      </c>
      <c r="AY450" s="50" t="s">
        <v>119</v>
      </c>
      <c r="BC450" s="50" t="s">
        <v>120</v>
      </c>
      <c r="BD450" s="50" t="s">
        <v>3284</v>
      </c>
      <c r="BE450" s="50" t="s">
        <v>449</v>
      </c>
      <c r="BF450" s="50" t="s">
        <v>122</v>
      </c>
      <c r="BG450" s="50" t="s">
        <v>253</v>
      </c>
      <c r="BH450" s="50" t="s">
        <v>124</v>
      </c>
      <c r="BI450" s="50" t="s">
        <v>12023</v>
      </c>
      <c r="BJ450" s="50" t="s">
        <v>11889</v>
      </c>
      <c r="BK450" s="50" t="s">
        <v>127</v>
      </c>
      <c r="BL450" s="50" t="s">
        <v>13917</v>
      </c>
      <c r="BM450" s="50" t="s">
        <v>3286</v>
      </c>
      <c r="BN450" s="50" t="s">
        <v>13918</v>
      </c>
      <c r="BO450" s="50" t="s">
        <v>945</v>
      </c>
      <c r="BP450" s="50" t="s">
        <v>1142</v>
      </c>
      <c r="BQ450" s="50" t="s">
        <v>350</v>
      </c>
      <c r="BR450" s="50" t="s">
        <v>1143</v>
      </c>
      <c r="BS450" s="50" t="s">
        <v>1144</v>
      </c>
      <c r="BT450" s="50" t="s">
        <v>566</v>
      </c>
      <c r="BV450" s="50" t="s">
        <v>13919</v>
      </c>
      <c r="BW450" s="50" t="s">
        <v>13920</v>
      </c>
      <c r="BX450" s="50" t="s">
        <v>569</v>
      </c>
      <c r="BY450" s="50" t="s">
        <v>13921</v>
      </c>
      <c r="BZ450" s="50" t="s">
        <v>13922</v>
      </c>
      <c r="CA450" s="50" t="s">
        <v>3292</v>
      </c>
      <c r="CB450" s="50" t="s">
        <v>13920</v>
      </c>
      <c r="CC450" s="50" t="s">
        <v>13921</v>
      </c>
      <c r="CD450" s="50" t="s">
        <v>13922</v>
      </c>
      <c r="CE450" s="50" t="s">
        <v>13920</v>
      </c>
      <c r="CF450" s="50" t="s">
        <v>13921</v>
      </c>
      <c r="CG450" s="50" t="s">
        <v>13922</v>
      </c>
      <c r="CH450" s="50" t="s">
        <v>102</v>
      </c>
      <c r="CI450" s="50" t="s">
        <v>4128</v>
      </c>
      <c r="CK450" s="50" t="s">
        <v>3298</v>
      </c>
      <c r="CM450" s="50" t="s">
        <v>3284</v>
      </c>
      <c r="CN450" s="50" t="s">
        <v>449</v>
      </c>
      <c r="CO450" s="50" t="s">
        <v>3298</v>
      </c>
      <c r="CP450" s="50" t="s">
        <v>3299</v>
      </c>
      <c r="CQ450" s="50" t="s">
        <v>3297</v>
      </c>
      <c r="CR450" s="50" t="s">
        <v>3297</v>
      </c>
    </row>
    <row r="451" spans="1:97" hidden="1">
      <c r="A451" s="50" t="s">
        <v>149</v>
      </c>
      <c r="B451" s="50">
        <v>3557796</v>
      </c>
      <c r="C451" s="50" t="e">
        <f>VLOOKUP(B451,'Drop schools 2026'!B:C,2,0)</f>
        <v>#N/A</v>
      </c>
      <c r="D451" s="50" t="s">
        <v>212</v>
      </c>
      <c r="E451" s="50" t="s">
        <v>418</v>
      </c>
      <c r="F451" s="50" t="s">
        <v>6541</v>
      </c>
      <c r="G451" s="50" t="str">
        <f>VLOOKUP(B451,aa!B:F,5,0)</f>
        <v>Ei ASSET, Ei Mindspark</v>
      </c>
      <c r="H451" s="50">
        <f>VLOOKUP(B451,aa!B:J,9,0)</f>
        <v>389588</v>
      </c>
      <c r="I451" s="50">
        <f>VLOOKUP(B451,aa!B:L,11,0)</f>
        <v>156917</v>
      </c>
      <c r="J451" s="50">
        <f>VLOOKUP(B451,aa!B:O,14,0)</f>
        <v>0</v>
      </c>
      <c r="K451" s="50">
        <f>VLOOKUP(B451,aa!B:R,17,0)</f>
        <v>232671</v>
      </c>
      <c r="L451" s="50" t="s">
        <v>193</v>
      </c>
      <c r="M451" s="50">
        <v>279238</v>
      </c>
      <c r="N451" s="50">
        <v>308037</v>
      </c>
      <c r="O451" s="50">
        <v>119246</v>
      </c>
      <c r="P451" s="50">
        <v>169</v>
      </c>
      <c r="Q451" s="50" t="s">
        <v>5793</v>
      </c>
      <c r="R451" s="50">
        <v>0</v>
      </c>
      <c r="S451" s="50">
        <v>0</v>
      </c>
      <c r="U451" s="50">
        <v>159992</v>
      </c>
      <c r="V451" s="50">
        <v>59</v>
      </c>
      <c r="W451" s="50" t="s">
        <v>6544</v>
      </c>
      <c r="X451" s="50" t="s">
        <v>102</v>
      </c>
      <c r="Y451" s="50" t="s">
        <v>103</v>
      </c>
      <c r="Z451" s="50" t="s">
        <v>104</v>
      </c>
      <c r="AB451" s="50" t="s">
        <v>1408</v>
      </c>
      <c r="AC451" s="50" t="s">
        <v>16447</v>
      </c>
      <c r="AD451" s="50" t="s">
        <v>12289</v>
      </c>
      <c r="AE451" s="50" t="s">
        <v>16447</v>
      </c>
      <c r="AF451" s="50" t="s">
        <v>109</v>
      </c>
      <c r="AG451" s="50" t="s">
        <v>102</v>
      </c>
      <c r="AH451" s="50" t="s">
        <v>109</v>
      </c>
      <c r="AI451" s="50" t="s">
        <v>102</v>
      </c>
      <c r="AJ451" s="50" t="s">
        <v>16448</v>
      </c>
      <c r="AK451" s="50" t="s">
        <v>16449</v>
      </c>
      <c r="AL451" s="50" t="s">
        <v>16450</v>
      </c>
      <c r="AM451" s="50" t="s">
        <v>16451</v>
      </c>
      <c r="AN451" s="50" t="s">
        <v>16452</v>
      </c>
      <c r="AO451" s="50" t="s">
        <v>16453</v>
      </c>
      <c r="AP451" s="50" t="s">
        <v>16454</v>
      </c>
      <c r="AQ451" s="50" t="s">
        <v>16454</v>
      </c>
      <c r="AV451" s="50" t="s">
        <v>207</v>
      </c>
      <c r="AW451" s="50" t="s">
        <v>118</v>
      </c>
      <c r="AX451" s="50" t="s">
        <v>102</v>
      </c>
      <c r="AY451" s="50" t="s">
        <v>119</v>
      </c>
      <c r="BB451" s="50" t="s">
        <v>250</v>
      </c>
      <c r="BC451" s="50" t="s">
        <v>2565</v>
      </c>
      <c r="BD451" s="50" t="s">
        <v>409</v>
      </c>
      <c r="BE451" s="50" t="s">
        <v>410</v>
      </c>
      <c r="BF451" s="50" t="s">
        <v>212</v>
      </c>
      <c r="BG451" s="50" t="s">
        <v>410</v>
      </c>
      <c r="BH451" s="50" t="s">
        <v>124</v>
      </c>
      <c r="BI451" s="50" t="s">
        <v>11959</v>
      </c>
      <c r="BJ451" s="50" t="s">
        <v>12276</v>
      </c>
      <c r="BK451" s="50" t="s">
        <v>127</v>
      </c>
      <c r="BL451" s="50" t="s">
        <v>16455</v>
      </c>
      <c r="BM451" s="50" t="s">
        <v>6682</v>
      </c>
      <c r="BN451" s="50" t="s">
        <v>16456</v>
      </c>
      <c r="BO451" s="50" t="s">
        <v>3993</v>
      </c>
      <c r="BP451" s="50" t="s">
        <v>866</v>
      </c>
      <c r="BQ451" s="50" t="s">
        <v>132</v>
      </c>
      <c r="BR451" s="50" t="s">
        <v>867</v>
      </c>
      <c r="BS451" s="50" t="s">
        <v>868</v>
      </c>
      <c r="BT451" s="50" t="s">
        <v>418</v>
      </c>
      <c r="BV451" s="50" t="s">
        <v>16457</v>
      </c>
      <c r="BW451" s="50" t="s">
        <v>6562</v>
      </c>
      <c r="BX451" s="50" t="s">
        <v>138</v>
      </c>
      <c r="BY451" s="50" t="s">
        <v>6563</v>
      </c>
      <c r="BZ451" s="50" t="s">
        <v>16406</v>
      </c>
      <c r="CA451" s="50" t="s">
        <v>6563</v>
      </c>
      <c r="CB451" s="50" t="s">
        <v>16458</v>
      </c>
      <c r="CC451" s="50" t="s">
        <v>6563</v>
      </c>
      <c r="CD451" s="50" t="s">
        <v>16406</v>
      </c>
      <c r="CE451" s="50" t="s">
        <v>16459</v>
      </c>
      <c r="CF451" s="50" t="s">
        <v>16460</v>
      </c>
      <c r="CG451" s="50" t="s">
        <v>16461</v>
      </c>
      <c r="CH451" s="50" t="s">
        <v>102</v>
      </c>
      <c r="CI451" s="50" t="s">
        <v>6686</v>
      </c>
      <c r="CK451" s="50" t="s">
        <v>6687</v>
      </c>
      <c r="CM451" s="50" t="s">
        <v>409</v>
      </c>
      <c r="CN451" s="50" t="s">
        <v>410</v>
      </c>
      <c r="CO451" s="50" t="s">
        <v>6687</v>
      </c>
      <c r="CP451" s="50" t="s">
        <v>6570</v>
      </c>
      <c r="CQ451" s="50" t="s">
        <v>6686</v>
      </c>
      <c r="CR451" s="50" t="s">
        <v>6686</v>
      </c>
    </row>
    <row r="452" spans="1:97" hidden="1">
      <c r="A452" s="50" t="s">
        <v>149</v>
      </c>
      <c r="B452" s="50">
        <v>3826566</v>
      </c>
      <c r="C452" s="50" t="e">
        <f>VLOOKUP(B452,'Drop schools 2026'!B:C,2,0)</f>
        <v>#N/A</v>
      </c>
      <c r="D452" s="50" t="s">
        <v>622</v>
      </c>
      <c r="E452" s="50" t="s">
        <v>3562</v>
      </c>
      <c r="F452" s="50" t="s">
        <v>7553</v>
      </c>
      <c r="G452" s="50" t="e">
        <f>VLOOKUP(B452,aa!B:F,5,0)</f>
        <v>#N/A</v>
      </c>
      <c r="H452" s="50" t="e">
        <f>VLOOKUP(B452,aa!B:J,9,0)</f>
        <v>#N/A</v>
      </c>
      <c r="I452" s="50" t="e">
        <f>VLOOKUP(B452,aa!B:L,11,0)</f>
        <v>#N/A</v>
      </c>
      <c r="J452" s="50" t="e">
        <f>VLOOKUP(B452,aa!B:O,14,0)</f>
        <v>#N/A</v>
      </c>
      <c r="K452" s="50" t="e">
        <f>VLOOKUP(B452,aa!B:R,17,0)</f>
        <v>#N/A</v>
      </c>
      <c r="L452" s="50" t="s">
        <v>97</v>
      </c>
      <c r="M452" s="50">
        <v>274336</v>
      </c>
      <c r="N452" s="50">
        <v>274336</v>
      </c>
      <c r="O452" s="50">
        <v>274336</v>
      </c>
      <c r="P452" s="50">
        <v>422</v>
      </c>
      <c r="Q452" s="50" t="s">
        <v>1122</v>
      </c>
      <c r="R452" s="50">
        <v>0</v>
      </c>
      <c r="S452" s="50">
        <v>0</v>
      </c>
      <c r="U452" s="50">
        <v>0</v>
      </c>
      <c r="V452" s="50">
        <v>0</v>
      </c>
      <c r="X452" s="50" t="s">
        <v>102</v>
      </c>
      <c r="Y452" s="50" t="s">
        <v>275</v>
      </c>
      <c r="AA452" s="50" t="s">
        <v>126</v>
      </c>
      <c r="AB452" s="50" t="s">
        <v>109</v>
      </c>
      <c r="AC452" s="50" t="s">
        <v>102</v>
      </c>
      <c r="AD452" s="50" t="s">
        <v>109</v>
      </c>
      <c r="AE452" s="50" t="s">
        <v>102</v>
      </c>
      <c r="AF452" s="50" t="s">
        <v>109</v>
      </c>
      <c r="AG452" s="50" t="s">
        <v>102</v>
      </c>
      <c r="AH452" s="50" t="s">
        <v>109</v>
      </c>
      <c r="AI452" s="50" t="s">
        <v>102</v>
      </c>
      <c r="AJ452" s="50" t="s">
        <v>102</v>
      </c>
      <c r="AM452" s="50" t="s">
        <v>17075</v>
      </c>
      <c r="AN452" s="50" t="s">
        <v>102</v>
      </c>
      <c r="AO452" s="50" t="s">
        <v>17075</v>
      </c>
      <c r="AP452" s="50" t="s">
        <v>17076</v>
      </c>
      <c r="AQ452" s="50" t="s">
        <v>17077</v>
      </c>
      <c r="AR452" s="50" t="s">
        <v>169</v>
      </c>
      <c r="AU452" s="50" t="s">
        <v>169</v>
      </c>
      <c r="AV452" s="50" t="s">
        <v>117</v>
      </c>
      <c r="AW452" s="50" t="s">
        <v>118</v>
      </c>
      <c r="AX452" s="50" t="s">
        <v>102</v>
      </c>
      <c r="AY452" s="50" t="s">
        <v>119</v>
      </c>
      <c r="BC452" s="50" t="s">
        <v>120</v>
      </c>
      <c r="BD452" s="50" t="s">
        <v>1729</v>
      </c>
      <c r="BE452" s="50" t="s">
        <v>730</v>
      </c>
      <c r="BF452" s="50" t="s">
        <v>622</v>
      </c>
      <c r="BG452" s="50" t="s">
        <v>730</v>
      </c>
      <c r="BH452" s="50" t="s">
        <v>124</v>
      </c>
      <c r="BI452" s="50" t="s">
        <v>126</v>
      </c>
      <c r="BJ452" s="50" t="s">
        <v>12250</v>
      </c>
      <c r="BK452" s="50" t="s">
        <v>127</v>
      </c>
      <c r="BL452" s="50" t="s">
        <v>17078</v>
      </c>
      <c r="BM452" s="50" t="s">
        <v>7557</v>
      </c>
      <c r="BN452" s="50" t="s">
        <v>17079</v>
      </c>
      <c r="BO452" s="50" t="s">
        <v>15873</v>
      </c>
      <c r="BP452" s="50" t="s">
        <v>7559</v>
      </c>
      <c r="BQ452" s="50" t="s">
        <v>505</v>
      </c>
      <c r="BR452" s="50" t="s">
        <v>7560</v>
      </c>
      <c r="BS452" s="50" t="s">
        <v>7561</v>
      </c>
      <c r="BT452" s="50" t="s">
        <v>3562</v>
      </c>
      <c r="BV452" s="50" t="s">
        <v>17080</v>
      </c>
      <c r="BW452" s="50" t="s">
        <v>17081</v>
      </c>
      <c r="BX452" s="50" t="s">
        <v>354</v>
      </c>
      <c r="BY452" s="50" t="s">
        <v>17082</v>
      </c>
      <c r="BZ452" s="50" t="s">
        <v>17083</v>
      </c>
      <c r="CA452" s="50" t="s">
        <v>7566</v>
      </c>
      <c r="CB452" s="50" t="s">
        <v>17081</v>
      </c>
      <c r="CC452" s="50" t="s">
        <v>17082</v>
      </c>
      <c r="CD452" s="50" t="s">
        <v>17083</v>
      </c>
      <c r="CE452" s="50" t="s">
        <v>17081</v>
      </c>
      <c r="CF452" s="50" t="s">
        <v>17082</v>
      </c>
      <c r="CG452" s="50" t="s">
        <v>17083</v>
      </c>
      <c r="CH452" s="50" t="s">
        <v>102</v>
      </c>
      <c r="CI452" s="50" t="s">
        <v>7568</v>
      </c>
      <c r="CK452" s="50" t="s">
        <v>7569</v>
      </c>
      <c r="CM452" s="50" t="s">
        <v>1729</v>
      </c>
      <c r="CN452" s="50" t="s">
        <v>730</v>
      </c>
      <c r="CO452" s="50" t="s">
        <v>7569</v>
      </c>
      <c r="CQ452" s="50" t="s">
        <v>7568</v>
      </c>
      <c r="CR452" s="50" t="s">
        <v>7568</v>
      </c>
      <c r="CS452" s="50" t="s">
        <v>26048</v>
      </c>
    </row>
    <row r="453" spans="1:97" hidden="1">
      <c r="A453" s="50" t="s">
        <v>93</v>
      </c>
      <c r="B453" s="50">
        <v>202033</v>
      </c>
      <c r="C453" s="50" t="e">
        <f>VLOOKUP(B453,'Drop schools 2026'!B:C,2,0)</f>
        <v>#N/A</v>
      </c>
      <c r="D453" s="50" t="s">
        <v>212</v>
      </c>
      <c r="E453" s="50" t="s">
        <v>2151</v>
      </c>
      <c r="F453" s="50" t="s">
        <v>2409</v>
      </c>
      <c r="G453" s="50" t="str">
        <f>VLOOKUP(B453,aa!B:F,5,0)</f>
        <v>Ei ASSET,Ei Mindspark</v>
      </c>
      <c r="H453" s="50">
        <f>VLOOKUP(B453,aa!B:J,9,0)</f>
        <v>263780</v>
      </c>
      <c r="I453" s="50">
        <f>VLOOKUP(B453,aa!B:L,11,0)</f>
        <v>62681</v>
      </c>
      <c r="J453" s="50">
        <f>VLOOKUP(B453,aa!B:O,14,0)</f>
        <v>0</v>
      </c>
      <c r="K453" s="50">
        <f>VLOOKUP(B453,aa!B:R,17,0)</f>
        <v>201099</v>
      </c>
      <c r="L453" s="50" t="s">
        <v>193</v>
      </c>
      <c r="M453" s="50">
        <v>273432</v>
      </c>
      <c r="N453" s="50">
        <v>284418</v>
      </c>
      <c r="O453" s="50">
        <v>212400</v>
      </c>
      <c r="P453" s="50">
        <v>177</v>
      </c>
      <c r="Q453" s="50" t="s">
        <v>880</v>
      </c>
      <c r="R453" s="50">
        <v>0</v>
      </c>
      <c r="S453" s="50">
        <v>0</v>
      </c>
      <c r="U453" s="50">
        <v>61032</v>
      </c>
      <c r="V453" s="50">
        <v>60</v>
      </c>
      <c r="W453" s="50" t="s">
        <v>3924</v>
      </c>
      <c r="X453" s="50" t="s">
        <v>102</v>
      </c>
      <c r="Y453" s="50" t="s">
        <v>103</v>
      </c>
      <c r="Z453" s="50" t="s">
        <v>104</v>
      </c>
      <c r="AB453" s="50" t="s">
        <v>13298</v>
      </c>
      <c r="AC453" s="50" t="s">
        <v>13299</v>
      </c>
      <c r="AD453" s="50" t="s">
        <v>13300</v>
      </c>
      <c r="AE453" s="50" t="s">
        <v>13301</v>
      </c>
      <c r="AF453" s="50" t="s">
        <v>109</v>
      </c>
      <c r="AG453" s="50" t="s">
        <v>102</v>
      </c>
      <c r="AH453" s="50" t="s">
        <v>109</v>
      </c>
      <c r="AI453" s="50" t="s">
        <v>102</v>
      </c>
      <c r="AJ453" s="50" t="s">
        <v>102</v>
      </c>
      <c r="AK453" s="50" t="s">
        <v>13036</v>
      </c>
      <c r="AL453" s="50" t="s">
        <v>13302</v>
      </c>
      <c r="AM453" s="50" t="s">
        <v>13303</v>
      </c>
      <c r="AN453" s="50" t="s">
        <v>13304</v>
      </c>
      <c r="AO453" s="50" t="s">
        <v>13305</v>
      </c>
      <c r="AP453" s="50" t="s">
        <v>13306</v>
      </c>
      <c r="AQ453" s="50" t="s">
        <v>13307</v>
      </c>
      <c r="AU453" s="50" t="s">
        <v>169</v>
      </c>
      <c r="AV453" s="50" t="s">
        <v>247</v>
      </c>
      <c r="AW453" s="50" t="s">
        <v>118</v>
      </c>
      <c r="AX453" s="50" t="s">
        <v>102</v>
      </c>
      <c r="AY453" s="50" t="s">
        <v>119</v>
      </c>
      <c r="BB453" s="50" t="s">
        <v>250</v>
      </c>
      <c r="BC453" s="50" t="s">
        <v>171</v>
      </c>
      <c r="BD453" s="50" t="s">
        <v>920</v>
      </c>
      <c r="BE453" s="50" t="s">
        <v>211</v>
      </c>
      <c r="BF453" s="50" t="s">
        <v>212</v>
      </c>
      <c r="BG453" s="50" t="s">
        <v>213</v>
      </c>
      <c r="BH453" s="50" t="s">
        <v>124</v>
      </c>
      <c r="BI453" s="50" t="s">
        <v>13308</v>
      </c>
      <c r="BJ453" s="50" t="s">
        <v>13309</v>
      </c>
      <c r="BK453" s="50" t="s">
        <v>127</v>
      </c>
      <c r="BL453" s="50" t="s">
        <v>13310</v>
      </c>
      <c r="BM453" s="50" t="s">
        <v>2417</v>
      </c>
      <c r="BN453" s="50" t="s">
        <v>13311</v>
      </c>
      <c r="BO453" s="50" t="s">
        <v>13297</v>
      </c>
      <c r="BP453" s="50" t="s">
        <v>1309</v>
      </c>
      <c r="BQ453" s="50" t="s">
        <v>180</v>
      </c>
      <c r="BR453" s="50" t="s">
        <v>1310</v>
      </c>
      <c r="BS453" s="50" t="s">
        <v>1311</v>
      </c>
      <c r="BT453" s="50" t="s">
        <v>1312</v>
      </c>
      <c r="BV453" s="50" t="s">
        <v>13312</v>
      </c>
      <c r="BW453" s="50" t="s">
        <v>13313</v>
      </c>
      <c r="BX453" s="50" t="s">
        <v>138</v>
      </c>
      <c r="BY453" s="50" t="s">
        <v>13314</v>
      </c>
      <c r="BZ453" s="50" t="s">
        <v>13315</v>
      </c>
      <c r="CA453" s="50" t="s">
        <v>2423</v>
      </c>
      <c r="CB453" s="50" t="s">
        <v>13313</v>
      </c>
      <c r="CC453" s="50" t="s">
        <v>13314</v>
      </c>
      <c r="CD453" s="50" t="s">
        <v>13315</v>
      </c>
      <c r="CE453" s="50" t="s">
        <v>13313</v>
      </c>
      <c r="CF453" s="50" t="s">
        <v>13314</v>
      </c>
      <c r="CG453" s="50" t="s">
        <v>13315</v>
      </c>
      <c r="CH453" s="50" t="s">
        <v>2424</v>
      </c>
      <c r="CI453" s="50" t="s">
        <v>13316</v>
      </c>
      <c r="CK453" s="50" t="s">
        <v>2426</v>
      </c>
      <c r="CL453" s="50" t="s">
        <v>13317</v>
      </c>
      <c r="CM453" s="50" t="s">
        <v>920</v>
      </c>
      <c r="CN453" s="50" t="s">
        <v>211</v>
      </c>
      <c r="CO453" s="50" t="s">
        <v>2426</v>
      </c>
      <c r="CP453" s="50" t="s">
        <v>102</v>
      </c>
      <c r="CQ453" s="50" t="s">
        <v>2425</v>
      </c>
      <c r="CR453" s="50" t="s">
        <v>2425</v>
      </c>
      <c r="CS453" s="50" t="s">
        <v>26045</v>
      </c>
    </row>
    <row r="454" spans="1:97" hidden="1">
      <c r="A454" s="50" t="s">
        <v>149</v>
      </c>
      <c r="B454" s="50">
        <v>2562273</v>
      </c>
      <c r="C454" s="50" t="e">
        <f>VLOOKUP(B454,'Drop schools 2026'!B:C,2,0)</f>
        <v>#N/A</v>
      </c>
      <c r="D454" s="50" t="s">
        <v>122</v>
      </c>
      <c r="E454" s="50" t="s">
        <v>12121</v>
      </c>
      <c r="F454" s="50" t="s">
        <v>4128</v>
      </c>
      <c r="G454" s="50" t="e">
        <f>VLOOKUP(B454,aa!B:F,5,0)</f>
        <v>#N/A</v>
      </c>
      <c r="H454" s="50" t="e">
        <f>VLOOKUP(B454,aa!B:J,9,0)</f>
        <v>#N/A</v>
      </c>
      <c r="I454" s="50" t="e">
        <f>VLOOKUP(B454,aa!B:L,11,0)</f>
        <v>#N/A</v>
      </c>
      <c r="J454" s="50" t="e">
        <f>VLOOKUP(B454,aa!B:O,14,0)</f>
        <v>#N/A</v>
      </c>
      <c r="K454" s="50" t="e">
        <f>VLOOKUP(B454,aa!B:R,17,0)</f>
        <v>#N/A</v>
      </c>
      <c r="L454" s="50" t="s">
        <v>97</v>
      </c>
      <c r="M454" s="50">
        <v>271678</v>
      </c>
      <c r="N454" s="50">
        <v>271678</v>
      </c>
      <c r="O454" s="50">
        <v>271678</v>
      </c>
      <c r="P454" s="50">
        <v>388</v>
      </c>
      <c r="Q454" s="50" t="s">
        <v>799</v>
      </c>
      <c r="R454" s="50">
        <v>0</v>
      </c>
      <c r="S454" s="50">
        <v>0</v>
      </c>
      <c r="U454" s="50">
        <v>0</v>
      </c>
      <c r="V454" s="50">
        <v>0</v>
      </c>
      <c r="X454" s="50" t="s">
        <v>102</v>
      </c>
      <c r="Y454" s="50" t="s">
        <v>275</v>
      </c>
      <c r="AA454" s="50" t="s">
        <v>13949</v>
      </c>
      <c r="AB454" s="50" t="s">
        <v>109</v>
      </c>
      <c r="AC454" s="50" t="s">
        <v>102</v>
      </c>
      <c r="AD454" s="50" t="s">
        <v>109</v>
      </c>
      <c r="AE454" s="50" t="s">
        <v>102</v>
      </c>
      <c r="AF454" s="50" t="s">
        <v>109</v>
      </c>
      <c r="AG454" s="50" t="s">
        <v>102</v>
      </c>
      <c r="AH454" s="50" t="s">
        <v>109</v>
      </c>
      <c r="AI454" s="50" t="s">
        <v>102</v>
      </c>
      <c r="AJ454" s="50" t="s">
        <v>14572</v>
      </c>
      <c r="AK454" s="50" t="s">
        <v>14040</v>
      </c>
      <c r="AL454" s="50" t="s">
        <v>14040</v>
      </c>
      <c r="AM454" s="50" t="s">
        <v>14573</v>
      </c>
      <c r="AN454" s="50" t="s">
        <v>14574</v>
      </c>
      <c r="AO454" s="50" t="s">
        <v>102</v>
      </c>
      <c r="AP454" s="50" t="s">
        <v>14575</v>
      </c>
      <c r="AQ454" s="50" t="s">
        <v>14575</v>
      </c>
      <c r="AV454" s="50" t="s">
        <v>318</v>
      </c>
      <c r="AW454" s="50" t="s">
        <v>250</v>
      </c>
      <c r="AX454" s="50" t="s">
        <v>102</v>
      </c>
      <c r="AY454" s="50" t="s">
        <v>119</v>
      </c>
      <c r="BC454" s="50" t="s">
        <v>120</v>
      </c>
      <c r="BD454" s="50" t="s">
        <v>4136</v>
      </c>
      <c r="BE454" s="50" t="s">
        <v>449</v>
      </c>
      <c r="BF454" s="50" t="s">
        <v>122</v>
      </c>
      <c r="BG454" s="50" t="s">
        <v>253</v>
      </c>
      <c r="BH454" s="50" t="s">
        <v>124</v>
      </c>
      <c r="BI454" s="50" t="s">
        <v>13680</v>
      </c>
      <c r="BJ454" s="50" t="s">
        <v>11889</v>
      </c>
      <c r="BK454" s="50" t="s">
        <v>127</v>
      </c>
      <c r="BL454" s="50" t="s">
        <v>14576</v>
      </c>
      <c r="BM454" s="50" t="s">
        <v>4138</v>
      </c>
      <c r="BN454" s="50" t="s">
        <v>14577</v>
      </c>
      <c r="BO454" s="50" t="s">
        <v>12692</v>
      </c>
      <c r="BP454" s="50" t="s">
        <v>1142</v>
      </c>
      <c r="BQ454" s="50" t="s">
        <v>350</v>
      </c>
      <c r="BR454" s="50" t="s">
        <v>1143</v>
      </c>
      <c r="BS454" s="50" t="s">
        <v>1144</v>
      </c>
      <c r="BT454" s="50" t="s">
        <v>566</v>
      </c>
      <c r="BV454" s="50" t="s">
        <v>14578</v>
      </c>
      <c r="BW454" s="50" t="s">
        <v>14579</v>
      </c>
      <c r="BX454" s="50" t="s">
        <v>598</v>
      </c>
      <c r="BY454" s="50" t="s">
        <v>14580</v>
      </c>
      <c r="BZ454" s="50" t="s">
        <v>4148</v>
      </c>
      <c r="CA454" s="50" t="s">
        <v>4144</v>
      </c>
      <c r="CB454" s="50" t="s">
        <v>14579</v>
      </c>
      <c r="CC454" s="50" t="s">
        <v>14580</v>
      </c>
      <c r="CD454" s="50" t="s">
        <v>4148</v>
      </c>
      <c r="CE454" s="50" t="s">
        <v>14579</v>
      </c>
      <c r="CF454" s="50" t="s">
        <v>14580</v>
      </c>
      <c r="CG454" s="50" t="s">
        <v>4148</v>
      </c>
      <c r="CH454" s="50" t="s">
        <v>102</v>
      </c>
      <c r="CI454" s="50" t="s">
        <v>14581</v>
      </c>
      <c r="CK454" s="50" t="s">
        <v>4150</v>
      </c>
      <c r="CM454" s="50" t="s">
        <v>4136</v>
      </c>
      <c r="CN454" s="50" t="s">
        <v>449</v>
      </c>
      <c r="CO454" s="50" t="s">
        <v>4150</v>
      </c>
      <c r="CP454" s="50" t="s">
        <v>3299</v>
      </c>
      <c r="CQ454" s="50" t="s">
        <v>4149</v>
      </c>
      <c r="CR454" s="50" t="s">
        <v>4149</v>
      </c>
    </row>
    <row r="455" spans="1:97" hidden="1">
      <c r="A455" s="50" t="s">
        <v>337</v>
      </c>
      <c r="B455" s="50">
        <v>5016478</v>
      </c>
      <c r="C455" s="50" t="e">
        <f>VLOOKUP(B455,'Drop schools 2026'!B:C,2,0)</f>
        <v>#N/A</v>
      </c>
      <c r="D455" s="50" t="s">
        <v>174</v>
      </c>
      <c r="E455" s="50" t="s">
        <v>12096</v>
      </c>
      <c r="F455" s="50" t="s">
        <v>18883</v>
      </c>
      <c r="G455" s="50" t="str">
        <f>VLOOKUP(B455,aa!B:F,5,0)</f>
        <v>Ei Mindspark</v>
      </c>
      <c r="H455" s="50">
        <f>VLOOKUP(B455,aa!B:J,9,0)</f>
        <v>402414</v>
      </c>
      <c r="I455" s="50">
        <f>VLOOKUP(B455,aa!B:L,11,0)</f>
        <v>0</v>
      </c>
      <c r="J455" s="50">
        <f>VLOOKUP(B455,aa!B:O,14,0)</f>
        <v>0</v>
      </c>
      <c r="K455" s="50">
        <f>VLOOKUP(B455,aa!B:R,17,0)</f>
        <v>402414</v>
      </c>
      <c r="L455" s="50" t="s">
        <v>848</v>
      </c>
      <c r="M455" s="50">
        <v>268488</v>
      </c>
      <c r="N455" s="50">
        <v>316816</v>
      </c>
      <c r="O455" s="50">
        <v>0</v>
      </c>
      <c r="P455" s="50">
        <v>0</v>
      </c>
      <c r="R455" s="50">
        <v>0</v>
      </c>
      <c r="S455" s="50">
        <v>0</v>
      </c>
      <c r="U455" s="50">
        <v>268488</v>
      </c>
      <c r="V455" s="50">
        <v>88</v>
      </c>
      <c r="W455" s="50" t="s">
        <v>1652</v>
      </c>
      <c r="X455" s="50" t="s">
        <v>102</v>
      </c>
      <c r="Y455" s="50" t="s">
        <v>103</v>
      </c>
      <c r="Z455" s="50" t="s">
        <v>398</v>
      </c>
      <c r="AB455" s="50" t="s">
        <v>6341</v>
      </c>
      <c r="AC455" s="50" t="s">
        <v>18884</v>
      </c>
      <c r="AD455" s="50" t="s">
        <v>12429</v>
      </c>
      <c r="AE455" s="50" t="s">
        <v>18885</v>
      </c>
      <c r="AF455" s="50" t="s">
        <v>12123</v>
      </c>
      <c r="AG455" s="50" t="s">
        <v>18885</v>
      </c>
      <c r="AH455" s="50" t="s">
        <v>109</v>
      </c>
      <c r="AI455" s="50" t="s">
        <v>102</v>
      </c>
      <c r="AJ455" s="50" t="s">
        <v>18886</v>
      </c>
      <c r="AK455" s="50" t="s">
        <v>6341</v>
      </c>
      <c r="AL455" s="50" t="s">
        <v>14003</v>
      </c>
      <c r="AM455" s="50" t="s">
        <v>18887</v>
      </c>
      <c r="AN455" s="50" t="s">
        <v>18888</v>
      </c>
      <c r="AO455" s="50" t="s">
        <v>18889</v>
      </c>
      <c r="AP455" s="50" t="s">
        <v>554</v>
      </c>
      <c r="AQ455" s="50" t="s">
        <v>554</v>
      </c>
      <c r="AV455" s="50" t="s">
        <v>102</v>
      </c>
      <c r="AX455" s="50" t="s">
        <v>102</v>
      </c>
      <c r="AY455" s="50" t="s">
        <v>119</v>
      </c>
      <c r="BB455" s="50" t="s">
        <v>250</v>
      </c>
      <c r="BC455" s="50" t="s">
        <v>1964</v>
      </c>
      <c r="BD455" s="50" t="s">
        <v>375</v>
      </c>
      <c r="BE455" s="50" t="s">
        <v>376</v>
      </c>
      <c r="BF455" s="50" t="s">
        <v>174</v>
      </c>
      <c r="BG455" s="50" t="s">
        <v>376</v>
      </c>
      <c r="BH455" s="50" t="s">
        <v>124</v>
      </c>
      <c r="BI455" s="50" t="s">
        <v>8186</v>
      </c>
      <c r="BJ455" s="50" t="s">
        <v>11889</v>
      </c>
      <c r="BK455" s="50" t="s">
        <v>127</v>
      </c>
      <c r="BL455" s="50" t="s">
        <v>18890</v>
      </c>
      <c r="BM455" s="50" t="s">
        <v>18891</v>
      </c>
      <c r="BN455" s="50" t="s">
        <v>18892</v>
      </c>
      <c r="BO455" s="50" t="s">
        <v>857</v>
      </c>
      <c r="BP455" s="50" t="s">
        <v>12934</v>
      </c>
      <c r="BQ455" s="50" t="s">
        <v>350</v>
      </c>
      <c r="BR455" s="50" t="s">
        <v>12935</v>
      </c>
      <c r="BS455" s="50" t="s">
        <v>12936</v>
      </c>
      <c r="BT455" s="50" t="s">
        <v>1834</v>
      </c>
      <c r="BV455" s="50" t="s">
        <v>18893</v>
      </c>
      <c r="BW455" s="50" t="s">
        <v>18894</v>
      </c>
      <c r="BX455" s="50" t="s">
        <v>138</v>
      </c>
      <c r="BY455" s="50" t="s">
        <v>18895</v>
      </c>
      <c r="BZ455" s="50" t="s">
        <v>18896</v>
      </c>
      <c r="CA455" s="50" t="s">
        <v>18897</v>
      </c>
      <c r="CB455" s="50" t="s">
        <v>18894</v>
      </c>
      <c r="CC455" s="50" t="s">
        <v>18895</v>
      </c>
      <c r="CD455" s="50" t="s">
        <v>18896</v>
      </c>
      <c r="CE455" s="50" t="s">
        <v>18894</v>
      </c>
      <c r="CF455" s="50" t="s">
        <v>18895</v>
      </c>
      <c r="CG455" s="50" t="s">
        <v>18896</v>
      </c>
      <c r="CH455" s="50" t="s">
        <v>6401</v>
      </c>
      <c r="CI455" s="50" t="s">
        <v>18898</v>
      </c>
      <c r="CK455" s="50" t="s">
        <v>10260</v>
      </c>
      <c r="CL455" s="50" t="s">
        <v>18898</v>
      </c>
      <c r="CM455" s="50" t="s">
        <v>375</v>
      </c>
      <c r="CN455" s="50" t="s">
        <v>376</v>
      </c>
      <c r="CO455" s="50" t="s">
        <v>10260</v>
      </c>
      <c r="CP455" s="50" t="s">
        <v>18899</v>
      </c>
      <c r="CQ455" s="50" t="s">
        <v>18898</v>
      </c>
      <c r="CR455" s="50" t="s">
        <v>18898</v>
      </c>
    </row>
    <row r="456" spans="1:97" hidden="1">
      <c r="A456" s="50" t="s">
        <v>149</v>
      </c>
      <c r="B456" s="50">
        <v>549920</v>
      </c>
      <c r="C456" s="50" t="e">
        <f>VLOOKUP(B456,'Drop schools 2026'!B:C,2,0)</f>
        <v>#N/A</v>
      </c>
      <c r="D456" s="50" t="s">
        <v>122</v>
      </c>
      <c r="E456" s="50" t="s">
        <v>11882</v>
      </c>
      <c r="F456" s="50" t="s">
        <v>21092</v>
      </c>
      <c r="G456" s="50" t="e">
        <f>VLOOKUP(B456,aa!B:F,5,0)</f>
        <v>#N/A</v>
      </c>
      <c r="H456" s="50" t="e">
        <f>VLOOKUP(B456,aa!B:J,9,0)</f>
        <v>#N/A</v>
      </c>
      <c r="I456" s="50" t="e">
        <f>VLOOKUP(B456,aa!B:L,11,0)</f>
        <v>#N/A</v>
      </c>
      <c r="J456" s="50" t="e">
        <f>VLOOKUP(B456,aa!B:O,14,0)</f>
        <v>#N/A</v>
      </c>
      <c r="K456" s="50" t="e">
        <f>VLOOKUP(B456,aa!B:R,17,0)</f>
        <v>#N/A</v>
      </c>
      <c r="L456" s="50" t="s">
        <v>97</v>
      </c>
      <c r="M456" s="50">
        <v>267183</v>
      </c>
      <c r="N456" s="50">
        <v>267183</v>
      </c>
      <c r="O456" s="50">
        <v>267183</v>
      </c>
      <c r="P456" s="50">
        <v>334</v>
      </c>
      <c r="Q456" s="50" t="s">
        <v>1297</v>
      </c>
      <c r="R456" s="50">
        <v>0</v>
      </c>
      <c r="S456" s="50">
        <v>0</v>
      </c>
      <c r="U456" s="50">
        <v>0</v>
      </c>
      <c r="V456" s="50">
        <v>0</v>
      </c>
      <c r="X456" s="50" t="s">
        <v>102</v>
      </c>
      <c r="Y456" s="50" t="s">
        <v>103</v>
      </c>
      <c r="Z456" s="50" t="s">
        <v>104</v>
      </c>
      <c r="AB456" s="50" t="s">
        <v>12975</v>
      </c>
      <c r="AC456" s="50" t="s">
        <v>21093</v>
      </c>
      <c r="AD456" s="50" t="s">
        <v>11886</v>
      </c>
      <c r="AE456" s="50" t="s">
        <v>21093</v>
      </c>
      <c r="AF456" s="50" t="s">
        <v>109</v>
      </c>
      <c r="AG456" s="50" t="s">
        <v>102</v>
      </c>
      <c r="AH456" s="50" t="s">
        <v>109</v>
      </c>
      <c r="AI456" s="50" t="s">
        <v>102</v>
      </c>
      <c r="AJ456" s="50" t="s">
        <v>21094</v>
      </c>
      <c r="AK456" s="50" t="s">
        <v>12728</v>
      </c>
      <c r="AL456" s="50" t="s">
        <v>12728</v>
      </c>
      <c r="AM456" s="50" t="s">
        <v>21095</v>
      </c>
      <c r="AN456" s="50" t="s">
        <v>21096</v>
      </c>
      <c r="AO456" s="50" t="s">
        <v>21097</v>
      </c>
      <c r="AP456" s="50" t="s">
        <v>1304</v>
      </c>
      <c r="AQ456" s="50" t="s">
        <v>1304</v>
      </c>
      <c r="AV456" s="50" t="s">
        <v>117</v>
      </c>
      <c r="AW456" s="50" t="s">
        <v>118</v>
      </c>
      <c r="AX456" s="50" t="s">
        <v>102</v>
      </c>
      <c r="AY456" s="50" t="s">
        <v>119</v>
      </c>
      <c r="BC456" s="50" t="s">
        <v>120</v>
      </c>
      <c r="BD456" s="50" t="s">
        <v>1407</v>
      </c>
      <c r="BE456" s="50" t="s">
        <v>449</v>
      </c>
      <c r="BF456" s="50" t="s">
        <v>122</v>
      </c>
      <c r="BG456" s="50" t="s">
        <v>450</v>
      </c>
      <c r="BH456" s="50" t="s">
        <v>124</v>
      </c>
      <c r="BI456" s="50" t="s">
        <v>11888</v>
      </c>
      <c r="BJ456" s="50" t="s">
        <v>11889</v>
      </c>
      <c r="BK456" s="50" t="s">
        <v>127</v>
      </c>
      <c r="BL456" s="50" t="s">
        <v>21098</v>
      </c>
      <c r="BM456" s="50" t="s">
        <v>11079</v>
      </c>
      <c r="BN456" s="50" t="s">
        <v>21099</v>
      </c>
      <c r="BO456" s="50" t="s">
        <v>12211</v>
      </c>
      <c r="BP456" s="50" t="s">
        <v>3267</v>
      </c>
      <c r="BQ456" s="50" t="s">
        <v>350</v>
      </c>
      <c r="BR456" s="50" t="s">
        <v>3268</v>
      </c>
      <c r="BS456" s="50" t="s">
        <v>3269</v>
      </c>
      <c r="BT456" s="50" t="s">
        <v>135</v>
      </c>
      <c r="BV456" s="50" t="s">
        <v>21100</v>
      </c>
      <c r="BW456" s="50" t="s">
        <v>11893</v>
      </c>
      <c r="BX456" s="50" t="s">
        <v>598</v>
      </c>
      <c r="BY456" s="50" t="s">
        <v>7967</v>
      </c>
      <c r="BZ456" s="50" t="s">
        <v>11894</v>
      </c>
      <c r="CA456" s="50" t="s">
        <v>11085</v>
      </c>
      <c r="CB456" s="50" t="s">
        <v>21101</v>
      </c>
      <c r="CC456" s="50" t="s">
        <v>21102</v>
      </c>
      <c r="CD456" s="50" t="s">
        <v>11894</v>
      </c>
      <c r="CE456" s="50" t="s">
        <v>11893</v>
      </c>
      <c r="CF456" s="50" t="s">
        <v>7967</v>
      </c>
      <c r="CG456" s="50" t="s">
        <v>11894</v>
      </c>
      <c r="CH456" s="50" t="s">
        <v>3251</v>
      </c>
      <c r="CI456" s="50" t="s">
        <v>21103</v>
      </c>
      <c r="CK456" s="50" t="s">
        <v>1419</v>
      </c>
      <c r="CM456" s="50" t="s">
        <v>1407</v>
      </c>
      <c r="CN456" s="50" t="s">
        <v>449</v>
      </c>
      <c r="CO456" s="50" t="s">
        <v>1419</v>
      </c>
      <c r="CP456" s="50" t="s">
        <v>11090</v>
      </c>
      <c r="CQ456" s="50" t="s">
        <v>11089</v>
      </c>
      <c r="CR456" s="50" t="s">
        <v>11089</v>
      </c>
    </row>
    <row r="457" spans="1:97" hidden="1">
      <c r="A457" s="50" t="s">
        <v>337</v>
      </c>
      <c r="B457" s="50">
        <v>1881318</v>
      </c>
      <c r="C457" s="50" t="e">
        <f>VLOOKUP(B457,'Drop schools 2026'!B:C,2,0)</f>
        <v>#N/A</v>
      </c>
      <c r="D457" s="50" t="s">
        <v>174</v>
      </c>
      <c r="E457" s="50" t="s">
        <v>12155</v>
      </c>
      <c r="F457" s="50" t="s">
        <v>13109</v>
      </c>
      <c r="G457" s="50" t="e">
        <f>VLOOKUP(B457,aa!B:F,5,0)</f>
        <v>#N/A</v>
      </c>
      <c r="H457" s="50" t="e">
        <f>VLOOKUP(B457,aa!B:J,9,0)</f>
        <v>#N/A</v>
      </c>
      <c r="I457" s="50" t="e">
        <f>VLOOKUP(B457,aa!B:L,11,0)</f>
        <v>#N/A</v>
      </c>
      <c r="J457" s="50" t="e">
        <f>VLOOKUP(B457,aa!B:O,14,0)</f>
        <v>#N/A</v>
      </c>
      <c r="K457" s="50" t="e">
        <f>VLOOKUP(B457,aa!B:R,17,0)</f>
        <v>#N/A</v>
      </c>
      <c r="L457" s="50" t="s">
        <v>848</v>
      </c>
      <c r="M457" s="50">
        <v>263997</v>
      </c>
      <c r="N457" s="50">
        <v>311516</v>
      </c>
      <c r="O457" s="50">
        <v>0</v>
      </c>
      <c r="P457" s="50">
        <v>0</v>
      </c>
      <c r="R457" s="50">
        <v>0</v>
      </c>
      <c r="S457" s="50">
        <v>0</v>
      </c>
      <c r="U457" s="50">
        <v>263997</v>
      </c>
      <c r="V457" s="50">
        <v>416</v>
      </c>
      <c r="W457" s="50" t="s">
        <v>12956</v>
      </c>
      <c r="X457" s="50" t="s">
        <v>102</v>
      </c>
      <c r="Y457" s="50" t="s">
        <v>103</v>
      </c>
      <c r="Z457" s="50" t="s">
        <v>104</v>
      </c>
      <c r="AB457" s="50" t="s">
        <v>11888</v>
      </c>
      <c r="AC457" s="50" t="s">
        <v>13111</v>
      </c>
      <c r="AD457" s="50" t="s">
        <v>12713</v>
      </c>
      <c r="AE457" s="50" t="s">
        <v>13111</v>
      </c>
      <c r="AF457" s="50" t="s">
        <v>109</v>
      </c>
      <c r="AG457" s="50" t="s">
        <v>102</v>
      </c>
      <c r="AH457" s="50" t="s">
        <v>109</v>
      </c>
      <c r="AI457" s="50" t="s">
        <v>102</v>
      </c>
      <c r="AJ457" s="50" t="s">
        <v>102</v>
      </c>
      <c r="AK457" s="50" t="s">
        <v>8747</v>
      </c>
      <c r="AL457" s="50" t="s">
        <v>8747</v>
      </c>
      <c r="AM457" s="50" t="s">
        <v>13112</v>
      </c>
      <c r="AN457" s="50" t="s">
        <v>13111</v>
      </c>
      <c r="AO457" s="50" t="s">
        <v>13111</v>
      </c>
      <c r="AP457" s="50" t="s">
        <v>13113</v>
      </c>
      <c r="AQ457" s="50" t="s">
        <v>13113</v>
      </c>
      <c r="AV457" s="50" t="s">
        <v>102</v>
      </c>
      <c r="AX457" s="50" t="s">
        <v>102</v>
      </c>
      <c r="AY457" s="50" t="s">
        <v>119</v>
      </c>
      <c r="BB457" s="50" t="s">
        <v>250</v>
      </c>
      <c r="BC457" s="50" t="s">
        <v>120</v>
      </c>
      <c r="BD457" s="50" t="s">
        <v>7508</v>
      </c>
      <c r="BE457" s="50" t="s">
        <v>1208</v>
      </c>
      <c r="BF457" s="50" t="s">
        <v>174</v>
      </c>
      <c r="BG457" s="50" t="s">
        <v>1172</v>
      </c>
      <c r="BH457" s="50" t="s">
        <v>124</v>
      </c>
      <c r="BI457" s="50" t="s">
        <v>11888</v>
      </c>
      <c r="BJ457" s="50" t="s">
        <v>11889</v>
      </c>
      <c r="BK457" s="50" t="s">
        <v>127</v>
      </c>
      <c r="BL457" s="50" t="s">
        <v>13114</v>
      </c>
      <c r="BM457" s="50" t="s">
        <v>13115</v>
      </c>
      <c r="BN457" s="50" t="s">
        <v>13116</v>
      </c>
      <c r="BO457" s="50" t="s">
        <v>13110</v>
      </c>
      <c r="BP457" s="50" t="s">
        <v>1212</v>
      </c>
      <c r="BQ457" s="50" t="s">
        <v>180</v>
      </c>
      <c r="BR457" s="50" t="s">
        <v>1213</v>
      </c>
      <c r="BS457" s="50" t="s">
        <v>1214</v>
      </c>
      <c r="BT457" s="50" t="s">
        <v>1215</v>
      </c>
      <c r="BV457" s="50" t="s">
        <v>13117</v>
      </c>
      <c r="BW457" s="50" t="s">
        <v>13118</v>
      </c>
      <c r="BX457" s="50" t="s">
        <v>354</v>
      </c>
      <c r="BY457" s="50" t="s">
        <v>13119</v>
      </c>
      <c r="BZ457" s="50" t="s">
        <v>13120</v>
      </c>
      <c r="CA457" s="50" t="s">
        <v>13119</v>
      </c>
      <c r="CB457" s="50" t="s">
        <v>13118</v>
      </c>
      <c r="CC457" s="50" t="s">
        <v>13119</v>
      </c>
      <c r="CD457" s="50" t="s">
        <v>13120</v>
      </c>
      <c r="CE457" s="50" t="s">
        <v>13118</v>
      </c>
      <c r="CF457" s="50" t="s">
        <v>13119</v>
      </c>
      <c r="CG457" s="50" t="s">
        <v>13120</v>
      </c>
      <c r="CH457" s="50" t="s">
        <v>13121</v>
      </c>
      <c r="CI457" s="50" t="s">
        <v>13122</v>
      </c>
      <c r="CK457" s="50" t="s">
        <v>7525</v>
      </c>
      <c r="CL457" s="50" t="s">
        <v>13122</v>
      </c>
      <c r="CM457" s="50" t="s">
        <v>7508</v>
      </c>
      <c r="CN457" s="50" t="s">
        <v>1208</v>
      </c>
      <c r="CO457" s="50" t="s">
        <v>7525</v>
      </c>
      <c r="CQ457" s="50" t="s">
        <v>13123</v>
      </c>
      <c r="CR457" s="50" t="s">
        <v>13123</v>
      </c>
    </row>
    <row r="458" spans="1:97" hidden="1">
      <c r="A458" s="50" t="s">
        <v>337</v>
      </c>
      <c r="B458" s="50">
        <v>3857130</v>
      </c>
      <c r="C458" s="50" t="e">
        <f>VLOOKUP(B458,'Drop schools 2026'!B:C,2,0)</f>
        <v>#N/A</v>
      </c>
      <c r="D458" s="50" t="s">
        <v>122</v>
      </c>
      <c r="E458" s="50" t="s">
        <v>12018</v>
      </c>
      <c r="F458" s="50" t="s">
        <v>17173</v>
      </c>
      <c r="G458" s="50" t="str">
        <f>VLOOKUP(B458,aa!B:F,5,0)</f>
        <v>Ei CARES</v>
      </c>
      <c r="H458" s="50">
        <f>VLOOKUP(B458,aa!B:J,9,0)</f>
        <v>272673</v>
      </c>
      <c r="I458" s="50">
        <f>VLOOKUP(B458,aa!B:L,11,0)</f>
        <v>0</v>
      </c>
      <c r="J458" s="50">
        <f>VLOOKUP(B458,aa!B:O,14,0)</f>
        <v>272673</v>
      </c>
      <c r="K458" s="50">
        <f>VLOOKUP(B458,aa!B:R,17,0)</f>
        <v>0</v>
      </c>
      <c r="L458" s="50" t="s">
        <v>152</v>
      </c>
      <c r="M458" s="50">
        <v>263100</v>
      </c>
      <c r="N458" s="50">
        <v>263100</v>
      </c>
      <c r="O458" s="50">
        <v>0</v>
      </c>
      <c r="P458" s="50">
        <v>0</v>
      </c>
      <c r="R458" s="50">
        <v>263100</v>
      </c>
      <c r="S458" s="50">
        <v>364</v>
      </c>
      <c r="T458" s="50" t="s">
        <v>17174</v>
      </c>
      <c r="U458" s="50">
        <v>0</v>
      </c>
      <c r="V458" s="50">
        <v>0</v>
      </c>
      <c r="X458" s="50" t="s">
        <v>102</v>
      </c>
      <c r="Y458" s="50" t="s">
        <v>679</v>
      </c>
      <c r="Z458" s="50" t="s">
        <v>155</v>
      </c>
      <c r="AA458" s="50" t="s">
        <v>12211</v>
      </c>
      <c r="AB458" s="50" t="s">
        <v>12212</v>
      </c>
      <c r="AC458" s="50" t="s">
        <v>17175</v>
      </c>
      <c r="AD458" s="50" t="s">
        <v>17047</v>
      </c>
      <c r="AE458" s="50" t="s">
        <v>17175</v>
      </c>
      <c r="AF458" s="50" t="s">
        <v>12215</v>
      </c>
      <c r="AG458" s="50" t="s">
        <v>17175</v>
      </c>
      <c r="AH458" s="50" t="s">
        <v>12216</v>
      </c>
      <c r="AI458" s="50" t="s">
        <v>17175</v>
      </c>
      <c r="AJ458" s="50" t="s">
        <v>102</v>
      </c>
      <c r="AK458" s="50" t="s">
        <v>12217</v>
      </c>
      <c r="AL458" s="50" t="s">
        <v>12217</v>
      </c>
      <c r="AM458" s="50" t="s">
        <v>17176</v>
      </c>
      <c r="AN458" s="50" t="s">
        <v>17177</v>
      </c>
      <c r="AO458" s="50" t="s">
        <v>17178</v>
      </c>
      <c r="AP458" s="50" t="s">
        <v>12221</v>
      </c>
      <c r="AQ458" s="50" t="s">
        <v>12221</v>
      </c>
      <c r="AV458" s="50" t="s">
        <v>102</v>
      </c>
      <c r="AX458" s="50" t="s">
        <v>12222</v>
      </c>
      <c r="AY458" s="50" t="s">
        <v>447</v>
      </c>
      <c r="BA458" s="50" t="s">
        <v>250</v>
      </c>
      <c r="BC458" s="50" t="s">
        <v>120</v>
      </c>
      <c r="BD458" s="50" t="s">
        <v>17179</v>
      </c>
      <c r="BE458" s="50" t="s">
        <v>345</v>
      </c>
      <c r="BF458" s="50" t="s">
        <v>122</v>
      </c>
      <c r="BG458" s="50" t="s">
        <v>346</v>
      </c>
      <c r="BH458" s="50" t="s">
        <v>124</v>
      </c>
      <c r="BI458" s="50" t="s">
        <v>12023</v>
      </c>
      <c r="BJ458" s="50" t="s">
        <v>11889</v>
      </c>
      <c r="BK458" s="50" t="s">
        <v>127</v>
      </c>
      <c r="BL458" s="50" t="s">
        <v>17180</v>
      </c>
      <c r="BM458" s="50" t="s">
        <v>17181</v>
      </c>
      <c r="BN458" s="50" t="s">
        <v>17182</v>
      </c>
      <c r="BO458" s="50" t="s">
        <v>12209</v>
      </c>
      <c r="BP458" s="50" t="s">
        <v>12226</v>
      </c>
      <c r="BQ458" s="50" t="s">
        <v>5833</v>
      </c>
      <c r="BR458" s="50" t="s">
        <v>12228</v>
      </c>
      <c r="BS458" s="50" t="s">
        <v>12229</v>
      </c>
      <c r="BT458" s="50" t="s">
        <v>8623</v>
      </c>
      <c r="BV458" s="50" t="s">
        <v>17183</v>
      </c>
      <c r="BW458" s="50" t="s">
        <v>12231</v>
      </c>
      <c r="BX458" s="50" t="s">
        <v>354</v>
      </c>
      <c r="BY458" s="50" t="s">
        <v>12232</v>
      </c>
      <c r="BZ458" s="50" t="s">
        <v>12233</v>
      </c>
      <c r="CA458" s="50" t="s">
        <v>12234</v>
      </c>
      <c r="CB458" s="50" t="s">
        <v>12235</v>
      </c>
      <c r="CC458" s="50" t="s">
        <v>12234</v>
      </c>
      <c r="CD458" s="50" t="s">
        <v>12236</v>
      </c>
      <c r="CE458" s="50" t="s">
        <v>12237</v>
      </c>
      <c r="CF458" s="50" t="s">
        <v>12238</v>
      </c>
      <c r="CG458" s="50" t="s">
        <v>12239</v>
      </c>
      <c r="CH458" s="50" t="s">
        <v>907</v>
      </c>
      <c r="CI458" s="50" t="s">
        <v>17184</v>
      </c>
      <c r="CK458" s="50" t="s">
        <v>17185</v>
      </c>
      <c r="CL458" s="50" t="s">
        <v>17184</v>
      </c>
      <c r="CM458" s="50" t="s">
        <v>17179</v>
      </c>
      <c r="CN458" s="50" t="s">
        <v>345</v>
      </c>
      <c r="CO458" s="50" t="s">
        <v>17185</v>
      </c>
      <c r="CQ458" s="50" t="s">
        <v>17186</v>
      </c>
      <c r="CR458" s="50" t="s">
        <v>17186</v>
      </c>
    </row>
    <row r="459" spans="1:97" hidden="1">
      <c r="A459" s="50" t="s">
        <v>93</v>
      </c>
      <c r="B459" s="50">
        <v>3451055</v>
      </c>
      <c r="C459" s="50" t="e">
        <f>VLOOKUP(B459,'Drop schools 2026'!B:C,2,0)</f>
        <v>#N/A</v>
      </c>
      <c r="D459" s="50" t="s">
        <v>212</v>
      </c>
      <c r="E459" s="50" t="s">
        <v>12423</v>
      </c>
      <c r="F459" s="50" t="s">
        <v>6098</v>
      </c>
      <c r="G459" s="50" t="e">
        <f>VLOOKUP(B459,aa!B:F,5,0)</f>
        <v>#N/A</v>
      </c>
      <c r="H459" s="50" t="e">
        <f>VLOOKUP(B459,aa!B:J,9,0)</f>
        <v>#N/A</v>
      </c>
      <c r="I459" s="50" t="e">
        <f>VLOOKUP(B459,aa!B:L,11,0)</f>
        <v>#N/A</v>
      </c>
      <c r="J459" s="50" t="e">
        <f>VLOOKUP(B459,aa!B:O,14,0)</f>
        <v>#N/A</v>
      </c>
      <c r="K459" s="50" t="e">
        <f>VLOOKUP(B459,aa!B:R,17,0)</f>
        <v>#N/A</v>
      </c>
      <c r="L459" s="50" t="s">
        <v>675</v>
      </c>
      <c r="M459" s="50">
        <v>260384</v>
      </c>
      <c r="N459" s="50">
        <v>260384</v>
      </c>
      <c r="O459" s="50">
        <v>165315</v>
      </c>
      <c r="P459" s="50">
        <v>206</v>
      </c>
      <c r="Q459" s="50" t="s">
        <v>16036</v>
      </c>
      <c r="R459" s="50">
        <v>95069</v>
      </c>
      <c r="S459" s="50">
        <v>103</v>
      </c>
      <c r="T459" s="50" t="s">
        <v>4609</v>
      </c>
      <c r="U459" s="50">
        <v>0</v>
      </c>
      <c r="V459" s="50">
        <v>0</v>
      </c>
      <c r="X459" s="50" t="s">
        <v>102</v>
      </c>
      <c r="Y459" s="50" t="s">
        <v>679</v>
      </c>
      <c r="Z459" s="50" t="s">
        <v>104</v>
      </c>
      <c r="AA459" s="50" t="s">
        <v>11932</v>
      </c>
      <c r="AB459" s="50" t="s">
        <v>16037</v>
      </c>
      <c r="AC459" s="50" t="s">
        <v>16038</v>
      </c>
      <c r="AD459" s="50" t="s">
        <v>15486</v>
      </c>
      <c r="AE459" s="50" t="s">
        <v>16038</v>
      </c>
      <c r="AF459" s="50" t="s">
        <v>109</v>
      </c>
      <c r="AG459" s="50" t="s">
        <v>102</v>
      </c>
      <c r="AH459" s="50" t="s">
        <v>109</v>
      </c>
      <c r="AI459" s="50" t="s">
        <v>102</v>
      </c>
      <c r="AJ459" s="50" t="s">
        <v>102</v>
      </c>
      <c r="AK459" s="50" t="s">
        <v>12289</v>
      </c>
      <c r="AL459" s="50" t="s">
        <v>12289</v>
      </c>
      <c r="AM459" s="50" t="s">
        <v>16039</v>
      </c>
      <c r="AN459" s="50" t="s">
        <v>16040</v>
      </c>
      <c r="AO459" s="50" t="s">
        <v>16041</v>
      </c>
      <c r="AP459" s="50" t="s">
        <v>16042</v>
      </c>
      <c r="AQ459" s="50" t="s">
        <v>16042</v>
      </c>
      <c r="AV459" s="50" t="s">
        <v>247</v>
      </c>
      <c r="AW459" s="50" t="s">
        <v>118</v>
      </c>
      <c r="AX459" s="50" t="s">
        <v>1103</v>
      </c>
      <c r="AY459" s="50" t="s">
        <v>119</v>
      </c>
      <c r="AZ459" s="50" t="s">
        <v>170</v>
      </c>
      <c r="BA459" s="50" t="s">
        <v>118</v>
      </c>
      <c r="BC459" s="50" t="s">
        <v>120</v>
      </c>
      <c r="BD459" s="50" t="s">
        <v>1759</v>
      </c>
      <c r="BE459" s="50" t="s">
        <v>410</v>
      </c>
      <c r="BF459" s="50" t="s">
        <v>212</v>
      </c>
      <c r="BG459" s="50" t="s">
        <v>410</v>
      </c>
      <c r="BH459" s="50" t="s">
        <v>124</v>
      </c>
      <c r="BI459" s="50" t="s">
        <v>6177</v>
      </c>
      <c r="BJ459" s="50" t="s">
        <v>11889</v>
      </c>
      <c r="BK459" s="50" t="s">
        <v>127</v>
      </c>
      <c r="BL459" s="50" t="s">
        <v>16043</v>
      </c>
      <c r="BM459" s="50" t="s">
        <v>6104</v>
      </c>
      <c r="BN459" s="50" t="s">
        <v>16044</v>
      </c>
      <c r="BO459" s="50" t="s">
        <v>471</v>
      </c>
      <c r="BP459" s="50" t="s">
        <v>1582</v>
      </c>
      <c r="BQ459" s="50" t="s">
        <v>132</v>
      </c>
      <c r="BR459" s="50" t="s">
        <v>1583</v>
      </c>
      <c r="BS459" s="50" t="s">
        <v>1584</v>
      </c>
      <c r="BT459" s="50" t="s">
        <v>1585</v>
      </c>
      <c r="BV459" s="50" t="s">
        <v>16045</v>
      </c>
      <c r="BW459" s="50" t="s">
        <v>16046</v>
      </c>
      <c r="BX459" s="50" t="s">
        <v>138</v>
      </c>
      <c r="BY459" s="50" t="s">
        <v>16047</v>
      </c>
      <c r="BZ459" s="50" t="s">
        <v>16048</v>
      </c>
      <c r="CA459" s="50" t="s">
        <v>3651</v>
      </c>
      <c r="CB459" s="50" t="s">
        <v>16049</v>
      </c>
      <c r="CC459" s="50" t="s">
        <v>16050</v>
      </c>
      <c r="CD459" s="50" t="s">
        <v>16048</v>
      </c>
      <c r="CE459" s="50" t="s">
        <v>16049</v>
      </c>
      <c r="CF459" s="50" t="s">
        <v>16050</v>
      </c>
      <c r="CG459" s="50" t="s">
        <v>16048</v>
      </c>
      <c r="CH459" s="50" t="s">
        <v>573</v>
      </c>
      <c r="CI459" s="50" t="s">
        <v>16051</v>
      </c>
      <c r="CK459" s="50" t="s">
        <v>2740</v>
      </c>
      <c r="CL459" s="50" t="s">
        <v>6108</v>
      </c>
      <c r="CM459" s="50" t="s">
        <v>1759</v>
      </c>
      <c r="CN459" s="50" t="s">
        <v>410</v>
      </c>
      <c r="CO459" s="50" t="s">
        <v>2740</v>
      </c>
      <c r="CQ459" s="50" t="s">
        <v>6108</v>
      </c>
      <c r="CR459" s="50" t="s">
        <v>6108</v>
      </c>
      <c r="CS459" s="50" t="s">
        <v>26040</v>
      </c>
    </row>
    <row r="460" spans="1:97" hidden="1">
      <c r="A460" s="50" t="s">
        <v>337</v>
      </c>
      <c r="B460" s="50">
        <v>3857260</v>
      </c>
      <c r="C460" s="50" t="e">
        <f>VLOOKUP(B460,'Drop schools 2026'!B:C,2,0)</f>
        <v>#N/A</v>
      </c>
      <c r="D460" s="50" t="s">
        <v>122</v>
      </c>
      <c r="E460" s="50" t="s">
        <v>12018</v>
      </c>
      <c r="F460" s="50" t="s">
        <v>17187</v>
      </c>
      <c r="G460" s="50" t="str">
        <f>VLOOKUP(B460,aa!B:F,5,0)</f>
        <v>Ei CARES</v>
      </c>
      <c r="H460" s="50">
        <f>VLOOKUP(B460,aa!B:J,9,0)</f>
        <v>240808</v>
      </c>
      <c r="I460" s="50">
        <f>VLOOKUP(B460,aa!B:L,11,0)</f>
        <v>0</v>
      </c>
      <c r="J460" s="50">
        <f>VLOOKUP(B460,aa!B:O,14,0)</f>
        <v>240808</v>
      </c>
      <c r="K460" s="50">
        <f>VLOOKUP(B460,aa!B:R,17,0)</f>
        <v>0</v>
      </c>
      <c r="L460" s="50" t="s">
        <v>152</v>
      </c>
      <c r="M460" s="50">
        <v>260100</v>
      </c>
      <c r="N460" s="50">
        <v>260100</v>
      </c>
      <c r="O460" s="50">
        <v>0</v>
      </c>
      <c r="P460" s="50">
        <v>0</v>
      </c>
      <c r="R460" s="50">
        <v>260100</v>
      </c>
      <c r="S460" s="50">
        <v>356</v>
      </c>
      <c r="T460" s="50" t="s">
        <v>17188</v>
      </c>
      <c r="U460" s="50">
        <v>0</v>
      </c>
      <c r="V460" s="50">
        <v>0</v>
      </c>
      <c r="X460" s="50" t="s">
        <v>102</v>
      </c>
      <c r="Y460" s="50" t="s">
        <v>679</v>
      </c>
      <c r="Z460" s="50" t="s">
        <v>155</v>
      </c>
      <c r="AA460" s="50" t="s">
        <v>12211</v>
      </c>
      <c r="AB460" s="50" t="s">
        <v>12212</v>
      </c>
      <c r="AC460" s="50" t="s">
        <v>17189</v>
      </c>
      <c r="AD460" s="50" t="s">
        <v>17047</v>
      </c>
      <c r="AE460" s="50" t="s">
        <v>17189</v>
      </c>
      <c r="AF460" s="50" t="s">
        <v>12215</v>
      </c>
      <c r="AG460" s="50" t="s">
        <v>17189</v>
      </c>
      <c r="AH460" s="50" t="s">
        <v>12216</v>
      </c>
      <c r="AI460" s="50" t="s">
        <v>17189</v>
      </c>
      <c r="AJ460" s="50" t="s">
        <v>102</v>
      </c>
      <c r="AM460" s="50" t="s">
        <v>17190</v>
      </c>
      <c r="AN460" s="50" t="s">
        <v>102</v>
      </c>
      <c r="AO460" s="50" t="s">
        <v>17190</v>
      </c>
      <c r="AP460" s="50" t="s">
        <v>12221</v>
      </c>
      <c r="AQ460" s="50" t="s">
        <v>12221</v>
      </c>
      <c r="AV460" s="50" t="s">
        <v>102</v>
      </c>
      <c r="AX460" s="50" t="s">
        <v>12222</v>
      </c>
      <c r="AY460" s="50" t="s">
        <v>447</v>
      </c>
      <c r="BA460" s="50" t="s">
        <v>250</v>
      </c>
      <c r="BC460" s="50" t="s">
        <v>120</v>
      </c>
      <c r="BD460" s="50" t="s">
        <v>3490</v>
      </c>
      <c r="BE460" s="50" t="s">
        <v>345</v>
      </c>
      <c r="BF460" s="50" t="s">
        <v>122</v>
      </c>
      <c r="BG460" s="50" t="s">
        <v>346</v>
      </c>
      <c r="BH460" s="50" t="s">
        <v>124</v>
      </c>
      <c r="BI460" s="50" t="s">
        <v>12023</v>
      </c>
      <c r="BJ460" s="50" t="s">
        <v>11889</v>
      </c>
      <c r="BK460" s="50" t="s">
        <v>127</v>
      </c>
      <c r="BL460" s="50" t="s">
        <v>17191</v>
      </c>
      <c r="BM460" s="50" t="s">
        <v>17192</v>
      </c>
      <c r="BN460" s="50" t="s">
        <v>17193</v>
      </c>
      <c r="BO460" s="50" t="s">
        <v>12209</v>
      </c>
      <c r="BP460" s="50" t="s">
        <v>12226</v>
      </c>
      <c r="BQ460" s="50" t="s">
        <v>5833</v>
      </c>
      <c r="BR460" s="50" t="s">
        <v>12228</v>
      </c>
      <c r="BS460" s="50" t="s">
        <v>12229</v>
      </c>
      <c r="BT460" s="50" t="s">
        <v>8623</v>
      </c>
      <c r="BV460" s="50" t="s">
        <v>17194</v>
      </c>
      <c r="BW460" s="50" t="s">
        <v>12231</v>
      </c>
      <c r="BX460" s="50" t="s">
        <v>354</v>
      </c>
      <c r="BY460" s="50" t="s">
        <v>12232</v>
      </c>
      <c r="BZ460" s="50" t="s">
        <v>12233</v>
      </c>
      <c r="CA460" s="50" t="s">
        <v>12232</v>
      </c>
      <c r="CB460" s="50" t="s">
        <v>12235</v>
      </c>
      <c r="CC460" s="50" t="s">
        <v>12234</v>
      </c>
      <c r="CD460" s="50" t="s">
        <v>12236</v>
      </c>
      <c r="CE460" s="50" t="s">
        <v>12237</v>
      </c>
      <c r="CF460" s="50" t="s">
        <v>12238</v>
      </c>
      <c r="CG460" s="50" t="s">
        <v>12239</v>
      </c>
      <c r="CH460" s="50" t="s">
        <v>907</v>
      </c>
      <c r="CI460" s="50" t="s">
        <v>17195</v>
      </c>
      <c r="CK460" s="50" t="s">
        <v>17196</v>
      </c>
      <c r="CL460" s="50" t="s">
        <v>17195</v>
      </c>
      <c r="CM460" s="50" t="s">
        <v>3490</v>
      </c>
      <c r="CN460" s="50" t="s">
        <v>345</v>
      </c>
      <c r="CO460" s="50" t="s">
        <v>17196</v>
      </c>
      <c r="CQ460" s="50" t="s">
        <v>17197</v>
      </c>
      <c r="CR460" s="50" t="s">
        <v>17198</v>
      </c>
    </row>
    <row r="461" spans="1:97" hidden="1">
      <c r="A461" s="50" t="s">
        <v>149</v>
      </c>
      <c r="B461" s="50">
        <v>2009619</v>
      </c>
      <c r="C461" s="50" t="e">
        <f>VLOOKUP(B461,'Drop schools 2026'!B:C,2,0)</f>
        <v>#N/A</v>
      </c>
      <c r="D461" s="50" t="s">
        <v>122</v>
      </c>
      <c r="E461" s="50" t="s">
        <v>12507</v>
      </c>
      <c r="F461" s="50" t="s">
        <v>2361</v>
      </c>
      <c r="G461" s="50" t="str">
        <f>VLOOKUP(B461,aa!B:F,5,0)</f>
        <v>Ei CARES</v>
      </c>
      <c r="H461" s="50">
        <f>VLOOKUP(B461,aa!B:J,9,0)</f>
        <v>286308</v>
      </c>
      <c r="I461" s="50">
        <f>VLOOKUP(B461,aa!B:L,11,0)</f>
        <v>0</v>
      </c>
      <c r="J461" s="50">
        <f>VLOOKUP(B461,aa!B:O,14,0)</f>
        <v>286308</v>
      </c>
      <c r="K461" s="50">
        <f>VLOOKUP(B461,aa!B:R,17,0)</f>
        <v>0</v>
      </c>
      <c r="L461" s="50" t="s">
        <v>152</v>
      </c>
      <c r="M461" s="50">
        <v>255725</v>
      </c>
      <c r="N461" s="50">
        <v>255725</v>
      </c>
      <c r="O461" s="50">
        <v>0</v>
      </c>
      <c r="P461" s="50">
        <v>0</v>
      </c>
      <c r="R461" s="50">
        <v>255725</v>
      </c>
      <c r="S461" s="50">
        <v>393</v>
      </c>
      <c r="T461" s="50" t="s">
        <v>2363</v>
      </c>
      <c r="U461" s="50">
        <v>0</v>
      </c>
      <c r="V461" s="50">
        <v>0</v>
      </c>
      <c r="X461" s="50" t="s">
        <v>102</v>
      </c>
      <c r="Y461" s="50" t="s">
        <v>103</v>
      </c>
      <c r="Z461" s="50" t="s">
        <v>398</v>
      </c>
      <c r="AB461" s="50" t="s">
        <v>12480</v>
      </c>
      <c r="AC461" s="50" t="s">
        <v>13240</v>
      </c>
      <c r="AD461" s="50" t="s">
        <v>12289</v>
      </c>
      <c r="AE461" s="50" t="s">
        <v>13241</v>
      </c>
      <c r="AF461" s="50" t="s">
        <v>13242</v>
      </c>
      <c r="AG461" s="50" t="s">
        <v>13241</v>
      </c>
      <c r="AH461" s="50" t="s">
        <v>109</v>
      </c>
      <c r="AI461" s="50" t="s">
        <v>102</v>
      </c>
      <c r="AJ461" s="50" t="s">
        <v>13243</v>
      </c>
      <c r="AK461" s="50" t="s">
        <v>13244</v>
      </c>
      <c r="AL461" s="50" t="s">
        <v>13245</v>
      </c>
      <c r="AM461" s="50" t="s">
        <v>13246</v>
      </c>
      <c r="AN461" s="50" t="s">
        <v>13247</v>
      </c>
      <c r="AO461" s="50" t="s">
        <v>13248</v>
      </c>
      <c r="AP461" s="50" t="s">
        <v>2371</v>
      </c>
      <c r="AQ461" s="50" t="s">
        <v>2372</v>
      </c>
      <c r="AU461" s="50" t="s">
        <v>169</v>
      </c>
      <c r="AV461" s="50" t="s">
        <v>102</v>
      </c>
      <c r="AX461" s="50" t="s">
        <v>104</v>
      </c>
      <c r="AY461" s="50" t="s">
        <v>447</v>
      </c>
      <c r="AZ461" s="50" t="s">
        <v>170</v>
      </c>
      <c r="BA461" s="50" t="s">
        <v>118</v>
      </c>
      <c r="BC461" s="50" t="s">
        <v>120</v>
      </c>
      <c r="BD461" s="50" t="s">
        <v>2373</v>
      </c>
      <c r="BE461" s="50" t="s">
        <v>556</v>
      </c>
      <c r="BF461" s="50" t="s">
        <v>122</v>
      </c>
      <c r="BG461" s="50" t="s">
        <v>557</v>
      </c>
      <c r="BH461" s="50" t="s">
        <v>124</v>
      </c>
      <c r="BI461" s="50" t="s">
        <v>12023</v>
      </c>
      <c r="BJ461" s="50" t="s">
        <v>11889</v>
      </c>
      <c r="BK461" s="50" t="s">
        <v>127</v>
      </c>
      <c r="BL461" s="50" t="s">
        <v>13249</v>
      </c>
      <c r="BM461" s="50" t="s">
        <v>2375</v>
      </c>
      <c r="BN461" s="50" t="s">
        <v>13250</v>
      </c>
      <c r="BO461" s="50" t="s">
        <v>12425</v>
      </c>
      <c r="BP461" s="50" t="s">
        <v>12743</v>
      </c>
      <c r="BQ461" s="50" t="s">
        <v>350</v>
      </c>
      <c r="BR461" s="50" t="s">
        <v>12744</v>
      </c>
      <c r="BS461" s="50" t="s">
        <v>12745</v>
      </c>
      <c r="BT461" s="50" t="s">
        <v>1075</v>
      </c>
      <c r="BV461" s="50" t="s">
        <v>13251</v>
      </c>
      <c r="BW461" s="50" t="s">
        <v>13252</v>
      </c>
      <c r="BX461" s="50" t="s">
        <v>569</v>
      </c>
      <c r="BY461" s="50" t="s">
        <v>13253</v>
      </c>
      <c r="BZ461" s="50" t="s">
        <v>2380</v>
      </c>
      <c r="CA461" s="50" t="s">
        <v>2381</v>
      </c>
      <c r="CB461" s="50" t="s">
        <v>13254</v>
      </c>
      <c r="CC461" s="50" t="s">
        <v>13255</v>
      </c>
      <c r="CD461" s="50" t="s">
        <v>2380</v>
      </c>
      <c r="CE461" s="50" t="s">
        <v>13254</v>
      </c>
      <c r="CF461" s="50" t="s">
        <v>13255</v>
      </c>
      <c r="CG461" s="50" t="s">
        <v>2380</v>
      </c>
      <c r="CH461" s="50" t="s">
        <v>102</v>
      </c>
      <c r="CI461" s="50" t="s">
        <v>13256</v>
      </c>
      <c r="CK461" s="50" t="s">
        <v>2383</v>
      </c>
      <c r="CM461" s="50" t="s">
        <v>2373</v>
      </c>
      <c r="CN461" s="50" t="s">
        <v>556</v>
      </c>
      <c r="CO461" s="50" t="s">
        <v>2383</v>
      </c>
      <c r="CP461" s="50" t="s">
        <v>1155</v>
      </c>
      <c r="CQ461" s="50" t="s">
        <v>2382</v>
      </c>
      <c r="CR461" s="50" t="s">
        <v>2382</v>
      </c>
    </row>
    <row r="462" spans="1:97" hidden="1">
      <c r="A462" s="50" t="s">
        <v>337</v>
      </c>
      <c r="B462" s="50">
        <v>5040517</v>
      </c>
      <c r="C462" s="50" t="str">
        <f>VLOOKUP(B462,RISK!B:C,2,0)</f>
        <v>Risk</v>
      </c>
      <c r="D462" s="50" t="s">
        <v>622</v>
      </c>
      <c r="E462" s="50" t="s">
        <v>2525</v>
      </c>
      <c r="F462" s="50" t="s">
        <v>20312</v>
      </c>
      <c r="G462" s="50" t="e">
        <f>VLOOKUP(B462,aa!B:F,5,0)</f>
        <v>#N/A</v>
      </c>
      <c r="H462" s="50" t="e">
        <f>VLOOKUP(B462,aa!B:J,9,0)</f>
        <v>#N/A</v>
      </c>
      <c r="I462" s="50" t="e">
        <f>VLOOKUP(B462,aa!B:L,11,0)</f>
        <v>#N/A</v>
      </c>
      <c r="J462" s="50" t="e">
        <f>VLOOKUP(B462,aa!B:O,14,0)</f>
        <v>#N/A</v>
      </c>
      <c r="K462" s="50" t="e">
        <f>VLOOKUP(B462,aa!B:R,17,0)</f>
        <v>#N/A</v>
      </c>
      <c r="L462" s="50" t="s">
        <v>848</v>
      </c>
      <c r="M462" s="50">
        <v>252013</v>
      </c>
      <c r="N462" s="50">
        <v>297375</v>
      </c>
      <c r="O462" s="50">
        <v>0</v>
      </c>
      <c r="P462" s="50">
        <v>0</v>
      </c>
      <c r="R462" s="50">
        <v>0</v>
      </c>
      <c r="S462" s="50">
        <v>0</v>
      </c>
      <c r="U462" s="50">
        <v>252013</v>
      </c>
      <c r="V462" s="50">
        <v>105</v>
      </c>
      <c r="W462" s="50" t="s">
        <v>4372</v>
      </c>
      <c r="X462" s="50" t="s">
        <v>102</v>
      </c>
      <c r="Y462" s="50" t="s">
        <v>103</v>
      </c>
      <c r="Z462" s="50" t="s">
        <v>104</v>
      </c>
      <c r="AB462" s="50" t="s">
        <v>12023</v>
      </c>
      <c r="AC462" s="50" t="s">
        <v>20313</v>
      </c>
      <c r="AD462" s="50" t="s">
        <v>5651</v>
      </c>
      <c r="AE462" s="50" t="s">
        <v>20313</v>
      </c>
      <c r="AF462" s="50" t="s">
        <v>109</v>
      </c>
      <c r="AG462" s="50" t="s">
        <v>102</v>
      </c>
      <c r="AH462" s="50" t="s">
        <v>109</v>
      </c>
      <c r="AI462" s="50" t="s">
        <v>102</v>
      </c>
      <c r="AJ462" s="50" t="s">
        <v>102</v>
      </c>
      <c r="AK462" s="50" t="s">
        <v>14373</v>
      </c>
      <c r="AL462" s="50" t="s">
        <v>14373</v>
      </c>
      <c r="AM462" s="50" t="s">
        <v>20314</v>
      </c>
      <c r="AN462" s="50" t="s">
        <v>20315</v>
      </c>
      <c r="AO462" s="50" t="s">
        <v>20316</v>
      </c>
      <c r="AP462" s="50" t="s">
        <v>7699</v>
      </c>
      <c r="AQ462" s="50" t="s">
        <v>7699</v>
      </c>
      <c r="AV462" s="50" t="s">
        <v>102</v>
      </c>
      <c r="AX462" s="50" t="s">
        <v>102</v>
      </c>
      <c r="AY462" s="50" t="s">
        <v>119</v>
      </c>
      <c r="BB462" s="50" t="s">
        <v>250</v>
      </c>
      <c r="BC462" s="50" t="s">
        <v>120</v>
      </c>
      <c r="BD462" s="50" t="s">
        <v>20317</v>
      </c>
      <c r="BE462" s="50" t="s">
        <v>730</v>
      </c>
      <c r="BF462" s="50" t="s">
        <v>622</v>
      </c>
      <c r="BG462" s="50" t="s">
        <v>730</v>
      </c>
      <c r="BH462" s="50" t="s">
        <v>124</v>
      </c>
      <c r="BI462" s="50" t="s">
        <v>12023</v>
      </c>
      <c r="BJ462" s="50" t="s">
        <v>11889</v>
      </c>
      <c r="BK462" s="50" t="s">
        <v>127</v>
      </c>
      <c r="BL462" s="50" t="s">
        <v>20318</v>
      </c>
      <c r="BM462" s="50" t="s">
        <v>20319</v>
      </c>
      <c r="BN462" s="50" t="s">
        <v>20320</v>
      </c>
      <c r="BO462" s="50" t="s">
        <v>3485</v>
      </c>
      <c r="BP462" s="50" t="s">
        <v>3910</v>
      </c>
      <c r="BQ462" s="50" t="s">
        <v>180</v>
      </c>
      <c r="BR462" s="50" t="s">
        <v>3911</v>
      </c>
      <c r="BS462" s="50" t="s">
        <v>3912</v>
      </c>
      <c r="BT462" s="50" t="s">
        <v>2331</v>
      </c>
      <c r="BV462" s="50" t="s">
        <v>20321</v>
      </c>
      <c r="BW462" s="50" t="s">
        <v>20322</v>
      </c>
      <c r="BX462" s="50" t="s">
        <v>138</v>
      </c>
      <c r="BY462" s="50" t="s">
        <v>20323</v>
      </c>
      <c r="BZ462" s="50" t="s">
        <v>8961</v>
      </c>
      <c r="CA462" s="50" t="s">
        <v>20324</v>
      </c>
      <c r="CB462" s="50" t="s">
        <v>20322</v>
      </c>
      <c r="CC462" s="50" t="s">
        <v>20324</v>
      </c>
      <c r="CD462" s="50" t="s">
        <v>20325</v>
      </c>
      <c r="CE462" s="50" t="s">
        <v>20322</v>
      </c>
      <c r="CF462" s="50" t="s">
        <v>20324</v>
      </c>
      <c r="CG462" s="50" t="s">
        <v>20325</v>
      </c>
      <c r="CH462" s="50" t="s">
        <v>10583</v>
      </c>
      <c r="CI462" s="50" t="s">
        <v>20317</v>
      </c>
      <c r="CK462" s="50" t="s">
        <v>20326</v>
      </c>
      <c r="CL462" s="50" t="s">
        <v>20317</v>
      </c>
      <c r="CM462" s="50" t="s">
        <v>20317</v>
      </c>
      <c r="CN462" s="50" t="s">
        <v>2273</v>
      </c>
      <c r="CO462" s="50" t="s">
        <v>20326</v>
      </c>
      <c r="CQ462" s="50" t="s">
        <v>20327</v>
      </c>
      <c r="CR462" s="50" t="s">
        <v>20327</v>
      </c>
      <c r="CS462" s="50" t="s">
        <v>26042</v>
      </c>
    </row>
    <row r="463" spans="1:97" hidden="1">
      <c r="A463" s="50" t="s">
        <v>337</v>
      </c>
      <c r="B463" s="50">
        <v>1940242</v>
      </c>
      <c r="C463" s="50" t="e">
        <f>VLOOKUP(B463,'Drop schools 2026'!B:C,2,0)</f>
        <v>#N/A</v>
      </c>
      <c r="D463" s="50" t="s">
        <v>174</v>
      </c>
      <c r="E463" s="50" t="s">
        <v>384</v>
      </c>
      <c r="F463" s="50" t="s">
        <v>1492</v>
      </c>
      <c r="G463" s="50" t="str">
        <f>VLOOKUP(B463,aa!B:F,5,0)</f>
        <v>Ei Mindspark</v>
      </c>
      <c r="H463" s="50">
        <f>VLOOKUP(B463,aa!B:J,9,0)</f>
        <v>254250</v>
      </c>
      <c r="I463" s="50">
        <f>VLOOKUP(B463,aa!B:L,11,0)</f>
        <v>0</v>
      </c>
      <c r="J463" s="50">
        <f>VLOOKUP(B463,aa!B:O,14,0)</f>
        <v>0</v>
      </c>
      <c r="K463" s="50">
        <f>VLOOKUP(B463,aa!B:R,17,0)</f>
        <v>254250</v>
      </c>
      <c r="L463" s="50" t="s">
        <v>848</v>
      </c>
      <c r="M463" s="50">
        <v>250436</v>
      </c>
      <c r="N463" s="50">
        <v>295514</v>
      </c>
      <c r="O463" s="50">
        <v>0</v>
      </c>
      <c r="P463" s="50">
        <v>0</v>
      </c>
      <c r="R463" s="50">
        <v>0</v>
      </c>
      <c r="S463" s="50">
        <v>0</v>
      </c>
      <c r="U463" s="50">
        <v>250436</v>
      </c>
      <c r="V463" s="50">
        <v>197</v>
      </c>
      <c r="W463" s="50" t="s">
        <v>850</v>
      </c>
      <c r="X463" s="50" t="s">
        <v>102</v>
      </c>
      <c r="Y463" s="50" t="s">
        <v>103</v>
      </c>
      <c r="Z463" s="50" t="s">
        <v>155</v>
      </c>
      <c r="AB463" s="50" t="s">
        <v>3880</v>
      </c>
      <c r="AC463" s="50" t="s">
        <v>13201</v>
      </c>
      <c r="AD463" s="50" t="s">
        <v>13202</v>
      </c>
      <c r="AE463" s="50" t="s">
        <v>13201</v>
      </c>
      <c r="AF463" s="50" t="s">
        <v>12019</v>
      </c>
      <c r="AG463" s="50" t="s">
        <v>13201</v>
      </c>
      <c r="AH463" s="50" t="s">
        <v>12292</v>
      </c>
      <c r="AI463" s="50" t="s">
        <v>13201</v>
      </c>
      <c r="AJ463" s="50" t="s">
        <v>102</v>
      </c>
      <c r="AK463" s="50" t="s">
        <v>1305</v>
      </c>
      <c r="AL463" s="50" t="s">
        <v>11888</v>
      </c>
      <c r="AM463" s="50" t="s">
        <v>13203</v>
      </c>
      <c r="AN463" s="50" t="s">
        <v>13204</v>
      </c>
      <c r="AO463" s="50" t="s">
        <v>13205</v>
      </c>
      <c r="AP463" s="50" t="s">
        <v>13206</v>
      </c>
      <c r="AQ463" s="50" t="s">
        <v>13206</v>
      </c>
      <c r="AV463" s="50" t="s">
        <v>102</v>
      </c>
      <c r="AX463" s="50" t="s">
        <v>102</v>
      </c>
      <c r="AY463" s="50" t="s">
        <v>119</v>
      </c>
      <c r="BB463" s="50" t="s">
        <v>250</v>
      </c>
      <c r="BC463" s="50" t="s">
        <v>171</v>
      </c>
      <c r="BD463" s="50" t="s">
        <v>13207</v>
      </c>
      <c r="BE463" s="50" t="s">
        <v>376</v>
      </c>
      <c r="BF463" s="50" t="s">
        <v>174</v>
      </c>
      <c r="BG463" s="50" t="s">
        <v>376</v>
      </c>
      <c r="BH463" s="50" t="s">
        <v>124</v>
      </c>
      <c r="BI463" s="50" t="s">
        <v>6177</v>
      </c>
      <c r="BJ463" s="50" t="s">
        <v>13208</v>
      </c>
      <c r="BK463" s="50" t="s">
        <v>127</v>
      </c>
      <c r="BL463" s="50" t="s">
        <v>13209</v>
      </c>
      <c r="BM463" s="50" t="s">
        <v>13210</v>
      </c>
      <c r="BN463" s="50" t="s">
        <v>13211</v>
      </c>
      <c r="BO463" s="50" t="s">
        <v>1781</v>
      </c>
      <c r="BP463" s="50" t="s">
        <v>6926</v>
      </c>
      <c r="BQ463" s="50" t="s">
        <v>180</v>
      </c>
      <c r="BR463" s="50" t="s">
        <v>6927</v>
      </c>
      <c r="BS463" s="50" t="s">
        <v>6928</v>
      </c>
      <c r="BT463" s="50" t="s">
        <v>1858</v>
      </c>
      <c r="BV463" s="50" t="s">
        <v>13212</v>
      </c>
      <c r="BW463" s="50" t="s">
        <v>1510</v>
      </c>
      <c r="BX463" s="50" t="s">
        <v>354</v>
      </c>
      <c r="BY463" s="50" t="s">
        <v>1511</v>
      </c>
      <c r="BZ463" s="50" t="s">
        <v>1512</v>
      </c>
      <c r="CA463" s="50" t="s">
        <v>1513</v>
      </c>
      <c r="CB463" s="50" t="s">
        <v>1510</v>
      </c>
      <c r="CC463" s="50" t="s">
        <v>1511</v>
      </c>
      <c r="CD463" s="50" t="s">
        <v>1512</v>
      </c>
      <c r="CE463" s="50" t="s">
        <v>1510</v>
      </c>
      <c r="CF463" s="50" t="s">
        <v>1511</v>
      </c>
      <c r="CG463" s="50" t="s">
        <v>1512</v>
      </c>
      <c r="CH463" s="50" t="s">
        <v>13213</v>
      </c>
      <c r="CI463" s="50" t="s">
        <v>13214</v>
      </c>
      <c r="CK463" s="50" t="s">
        <v>13215</v>
      </c>
      <c r="CL463" s="50" t="s">
        <v>13214</v>
      </c>
      <c r="CM463" s="50" t="s">
        <v>13207</v>
      </c>
      <c r="CN463" s="50" t="s">
        <v>376</v>
      </c>
      <c r="CO463" s="50" t="s">
        <v>13215</v>
      </c>
      <c r="CQ463" s="50" t="s">
        <v>13214</v>
      </c>
      <c r="CR463" s="50" t="s">
        <v>13214</v>
      </c>
    </row>
    <row r="464" spans="1:97">
      <c r="A464" s="50" t="s">
        <v>337</v>
      </c>
      <c r="B464" s="50">
        <v>950643</v>
      </c>
      <c r="C464" s="50" t="e">
        <f>VLOOKUP(B464,'Drop schools 2026'!B:C,2,0)</f>
        <v>#N/A</v>
      </c>
      <c r="D464" s="50" t="s">
        <v>122</v>
      </c>
      <c r="E464" s="50" t="s">
        <v>11898</v>
      </c>
      <c r="F464" s="50" t="s">
        <v>21584</v>
      </c>
      <c r="G464" s="50" t="e">
        <f>VLOOKUP(B464,aa!B:F,5,0)</f>
        <v>#N/A</v>
      </c>
      <c r="H464" s="50" t="e">
        <f>VLOOKUP(B464,aa!B:J,9,0)</f>
        <v>#N/A</v>
      </c>
      <c r="I464" s="50" t="e">
        <f>VLOOKUP(B464,aa!B:L,11,0)</f>
        <v>#N/A</v>
      </c>
      <c r="J464" s="50" t="e">
        <f>VLOOKUP(B464,aa!B:O,14,0)</f>
        <v>#N/A</v>
      </c>
      <c r="K464" s="50" t="e">
        <f>VLOOKUP(B464,aa!B:R,17,0)</f>
        <v>#N/A</v>
      </c>
      <c r="L464" s="50" t="s">
        <v>152</v>
      </c>
      <c r="M464" s="50">
        <v>250016</v>
      </c>
      <c r="N464" s="50">
        <v>250016</v>
      </c>
      <c r="O464" s="50">
        <v>0</v>
      </c>
      <c r="P464" s="50">
        <v>0</v>
      </c>
      <c r="R464" s="50">
        <v>250016</v>
      </c>
      <c r="S464" s="50">
        <v>490</v>
      </c>
      <c r="T464" s="50" t="s">
        <v>21585</v>
      </c>
      <c r="U464" s="50">
        <v>0</v>
      </c>
      <c r="V464" s="50">
        <v>0</v>
      </c>
      <c r="X464" s="50" t="s">
        <v>102</v>
      </c>
      <c r="Y464" s="50" t="s">
        <v>275</v>
      </c>
      <c r="AA464" s="50" t="s">
        <v>126</v>
      </c>
      <c r="AB464" s="50" t="s">
        <v>109</v>
      </c>
      <c r="AC464" s="50" t="s">
        <v>102</v>
      </c>
      <c r="AD464" s="50" t="s">
        <v>109</v>
      </c>
      <c r="AE464" s="50" t="s">
        <v>102</v>
      </c>
      <c r="AF464" s="50" t="s">
        <v>109</v>
      </c>
      <c r="AG464" s="50" t="s">
        <v>102</v>
      </c>
      <c r="AH464" s="50" t="s">
        <v>109</v>
      </c>
      <c r="AI464" s="50" t="s">
        <v>102</v>
      </c>
      <c r="AJ464" s="50" t="s">
        <v>102</v>
      </c>
      <c r="AK464" s="50" t="s">
        <v>7145</v>
      </c>
      <c r="AL464" s="50" t="s">
        <v>7145</v>
      </c>
      <c r="AM464" s="50" t="s">
        <v>21586</v>
      </c>
      <c r="AN464" s="50" t="s">
        <v>21586</v>
      </c>
      <c r="AO464" s="50" t="s">
        <v>102</v>
      </c>
      <c r="AP464" s="50" t="s">
        <v>21587</v>
      </c>
      <c r="AQ464" s="50" t="s">
        <v>21588</v>
      </c>
      <c r="AR464" s="50" t="s">
        <v>343</v>
      </c>
      <c r="AV464" s="50" t="s">
        <v>102</v>
      </c>
      <c r="AX464" s="50" t="s">
        <v>104</v>
      </c>
      <c r="AY464" s="50" t="s">
        <v>447</v>
      </c>
      <c r="AZ464" s="50" t="s">
        <v>1138</v>
      </c>
      <c r="BA464" s="50" t="s">
        <v>118</v>
      </c>
      <c r="BC464" s="50" t="s">
        <v>120</v>
      </c>
      <c r="BD464" s="50" t="s">
        <v>121</v>
      </c>
      <c r="BE464" s="50" t="s">
        <v>121</v>
      </c>
      <c r="BF464" s="50" t="s">
        <v>122</v>
      </c>
      <c r="BG464" s="50" t="s">
        <v>123</v>
      </c>
      <c r="BH464" s="50" t="s">
        <v>124</v>
      </c>
      <c r="BI464" s="50" t="s">
        <v>12023</v>
      </c>
      <c r="BJ464" s="50" t="s">
        <v>11889</v>
      </c>
      <c r="BK464" s="50" t="s">
        <v>127</v>
      </c>
      <c r="BL464" s="50" t="s">
        <v>21589</v>
      </c>
      <c r="BM464" s="50" t="s">
        <v>21590</v>
      </c>
      <c r="BN464" s="50" t="s">
        <v>21591</v>
      </c>
      <c r="BO464" s="50" t="s">
        <v>6443</v>
      </c>
      <c r="BP464" s="50" t="s">
        <v>7005</v>
      </c>
      <c r="BQ464" s="50" t="s">
        <v>350</v>
      </c>
      <c r="BR464" s="50" t="s">
        <v>7006</v>
      </c>
      <c r="BS464" s="50" t="s">
        <v>7007</v>
      </c>
      <c r="BT464" s="50" t="s">
        <v>7008</v>
      </c>
      <c r="BV464" s="50" t="s">
        <v>21592</v>
      </c>
      <c r="BW464" s="50" t="s">
        <v>21593</v>
      </c>
      <c r="BX464" s="50" t="s">
        <v>138</v>
      </c>
      <c r="BY464" s="50" t="s">
        <v>21594</v>
      </c>
      <c r="BZ464" s="50" t="s">
        <v>21595</v>
      </c>
      <c r="CA464" s="50" t="s">
        <v>21594</v>
      </c>
      <c r="CB464" s="50" t="s">
        <v>21593</v>
      </c>
      <c r="CC464" s="50" t="s">
        <v>21594</v>
      </c>
      <c r="CD464" s="50" t="s">
        <v>21595</v>
      </c>
      <c r="CE464" s="50" t="s">
        <v>21593</v>
      </c>
      <c r="CF464" s="50" t="s">
        <v>21594</v>
      </c>
      <c r="CG464" s="50" t="s">
        <v>21595</v>
      </c>
      <c r="CH464" s="50" t="s">
        <v>9277</v>
      </c>
      <c r="CI464" s="50" t="s">
        <v>21584</v>
      </c>
      <c r="CK464" s="50" t="s">
        <v>5311</v>
      </c>
      <c r="CL464" s="50" t="s">
        <v>21584</v>
      </c>
      <c r="CM464" s="50" t="s">
        <v>121</v>
      </c>
      <c r="CN464" s="50" t="s">
        <v>2226</v>
      </c>
      <c r="CO464" s="50" t="s">
        <v>5311</v>
      </c>
      <c r="CQ464" s="50" t="s">
        <v>21596</v>
      </c>
      <c r="CR464" s="50" t="s">
        <v>21596</v>
      </c>
    </row>
    <row r="465" spans="1:97" hidden="1">
      <c r="A465" s="50" t="s">
        <v>337</v>
      </c>
      <c r="B465" s="50">
        <v>3144641</v>
      </c>
      <c r="C465" s="50" t="e">
        <f>VLOOKUP(B465,'Drop schools 2026'!B:C,2,0)</f>
        <v>#N/A</v>
      </c>
      <c r="D465" s="50" t="s">
        <v>212</v>
      </c>
      <c r="E465" s="50" t="s">
        <v>12423</v>
      </c>
      <c r="F465" s="50" t="s">
        <v>14967</v>
      </c>
      <c r="G465" s="50" t="e">
        <f>VLOOKUP(B465,aa!B:F,5,0)</f>
        <v>#N/A</v>
      </c>
      <c r="H465" s="50" t="e">
        <f>VLOOKUP(B465,aa!B:J,9,0)</f>
        <v>#N/A</v>
      </c>
      <c r="I465" s="50" t="e">
        <f>VLOOKUP(B465,aa!B:L,11,0)</f>
        <v>#N/A</v>
      </c>
      <c r="J465" s="50" t="e">
        <f>VLOOKUP(B465,aa!B:O,14,0)</f>
        <v>#N/A</v>
      </c>
      <c r="K465" s="50" t="e">
        <f>VLOOKUP(B465,aa!B:R,17,0)</f>
        <v>#N/A</v>
      </c>
      <c r="L465" s="50" t="s">
        <v>97</v>
      </c>
      <c r="M465" s="50">
        <v>249975</v>
      </c>
      <c r="N465" s="50">
        <v>249975</v>
      </c>
      <c r="O465" s="50">
        <v>249975</v>
      </c>
      <c r="P465" s="50">
        <v>500</v>
      </c>
      <c r="Q465" s="50" t="s">
        <v>364</v>
      </c>
      <c r="R465" s="50">
        <v>0</v>
      </c>
      <c r="S465" s="50">
        <v>0</v>
      </c>
      <c r="U465" s="50">
        <v>0</v>
      </c>
      <c r="V465" s="50">
        <v>0</v>
      </c>
      <c r="X465" s="50" t="s">
        <v>102</v>
      </c>
      <c r="Y465" s="50" t="s">
        <v>103</v>
      </c>
      <c r="Z465" s="50" t="s">
        <v>104</v>
      </c>
      <c r="AB465" s="50" t="s">
        <v>12062</v>
      </c>
      <c r="AC465" s="50" t="s">
        <v>14968</v>
      </c>
      <c r="AD465" s="50" t="s">
        <v>6895</v>
      </c>
      <c r="AE465" s="50" t="s">
        <v>14969</v>
      </c>
      <c r="AF465" s="50" t="s">
        <v>109</v>
      </c>
      <c r="AG465" s="50" t="s">
        <v>102</v>
      </c>
      <c r="AH465" s="50" t="s">
        <v>109</v>
      </c>
      <c r="AI465" s="50" t="s">
        <v>102</v>
      </c>
      <c r="AJ465" s="50" t="s">
        <v>102</v>
      </c>
      <c r="AK465" s="50" t="s">
        <v>12062</v>
      </c>
      <c r="AL465" s="50" t="s">
        <v>12062</v>
      </c>
      <c r="AM465" s="50" t="s">
        <v>14970</v>
      </c>
      <c r="AN465" s="50" t="s">
        <v>14971</v>
      </c>
      <c r="AO465" s="50" t="s">
        <v>14972</v>
      </c>
      <c r="AP465" s="50" t="s">
        <v>2307</v>
      </c>
      <c r="AQ465" s="50" t="s">
        <v>2307</v>
      </c>
      <c r="AV465" s="50" t="s">
        <v>117</v>
      </c>
      <c r="AW465" s="50" t="s">
        <v>118</v>
      </c>
      <c r="AX465" s="50" t="s">
        <v>102</v>
      </c>
      <c r="AY465" s="50" t="s">
        <v>119</v>
      </c>
      <c r="BC465" s="50" t="s">
        <v>120</v>
      </c>
      <c r="BD465" s="50" t="s">
        <v>952</v>
      </c>
      <c r="BE465" s="50" t="s">
        <v>410</v>
      </c>
      <c r="BF465" s="50" t="s">
        <v>212</v>
      </c>
      <c r="BG465" s="50" t="s">
        <v>410</v>
      </c>
      <c r="BH465" s="50" t="s">
        <v>124</v>
      </c>
      <c r="BI465" s="50" t="s">
        <v>5651</v>
      </c>
      <c r="BJ465" s="50" t="s">
        <v>11889</v>
      </c>
      <c r="BK465" s="50" t="s">
        <v>127</v>
      </c>
      <c r="BL465" s="50" t="s">
        <v>14973</v>
      </c>
      <c r="BM465" s="50" t="s">
        <v>14974</v>
      </c>
      <c r="BN465" s="50" t="s">
        <v>14975</v>
      </c>
      <c r="BO465" s="50" t="s">
        <v>11954</v>
      </c>
      <c r="BP465" s="50" t="s">
        <v>896</v>
      </c>
      <c r="BQ465" s="50" t="s">
        <v>350</v>
      </c>
      <c r="BR465" s="50" t="s">
        <v>897</v>
      </c>
      <c r="BS465" s="50" t="s">
        <v>898</v>
      </c>
      <c r="BT465" s="50" t="s">
        <v>899</v>
      </c>
      <c r="BV465" s="50" t="s">
        <v>14976</v>
      </c>
      <c r="BW465" s="50" t="s">
        <v>14977</v>
      </c>
      <c r="BX465" s="50" t="s">
        <v>138</v>
      </c>
      <c r="BY465" s="50" t="s">
        <v>14978</v>
      </c>
      <c r="BZ465" s="50" t="s">
        <v>14979</v>
      </c>
      <c r="CA465" s="50" t="s">
        <v>14980</v>
      </c>
      <c r="CB465" s="50" t="s">
        <v>14981</v>
      </c>
      <c r="CC465" s="50" t="s">
        <v>14978</v>
      </c>
      <c r="CD465" s="50" t="s">
        <v>14979</v>
      </c>
      <c r="CE465" s="50" t="s">
        <v>14981</v>
      </c>
      <c r="CF465" s="50" t="s">
        <v>14978</v>
      </c>
      <c r="CG465" s="50" t="s">
        <v>14979</v>
      </c>
      <c r="CH465" s="50" t="s">
        <v>3841</v>
      </c>
      <c r="CI465" s="50" t="s">
        <v>14982</v>
      </c>
      <c r="CK465" s="50" t="s">
        <v>14983</v>
      </c>
      <c r="CL465" s="50" t="s">
        <v>14984</v>
      </c>
      <c r="CM465" s="50" t="s">
        <v>952</v>
      </c>
      <c r="CN465" s="50" t="s">
        <v>410</v>
      </c>
      <c r="CO465" s="50" t="s">
        <v>14983</v>
      </c>
      <c r="CQ465" s="50" t="s">
        <v>14774</v>
      </c>
      <c r="CR465" s="50" t="s">
        <v>14984</v>
      </c>
      <c r="CS465" s="50" t="s">
        <v>26044</v>
      </c>
    </row>
    <row r="466" spans="1:97" hidden="1">
      <c r="A466" s="50" t="s">
        <v>337</v>
      </c>
      <c r="B466" s="50">
        <v>3915751</v>
      </c>
      <c r="C466" s="50" t="e">
        <f>VLOOKUP(B466,'Drop schools 2026'!B:C,2,0)</f>
        <v>#N/A</v>
      </c>
      <c r="D466" s="50" t="s">
        <v>212</v>
      </c>
      <c r="E466" s="50" t="s">
        <v>11995</v>
      </c>
      <c r="F466" s="50" t="s">
        <v>17298</v>
      </c>
      <c r="G466" s="50" t="e">
        <f>VLOOKUP(B466,aa!B:F,5,0)</f>
        <v>#N/A</v>
      </c>
      <c r="H466" s="50" t="e">
        <f>VLOOKUP(B466,aa!B:J,9,0)</f>
        <v>#N/A</v>
      </c>
      <c r="I466" s="50" t="e">
        <f>VLOOKUP(B466,aa!B:L,11,0)</f>
        <v>#N/A</v>
      </c>
      <c r="J466" s="50" t="e">
        <f>VLOOKUP(B466,aa!B:O,14,0)</f>
        <v>#N/A</v>
      </c>
      <c r="K466" s="50" t="e">
        <f>VLOOKUP(B466,aa!B:R,17,0)</f>
        <v>#N/A</v>
      </c>
      <c r="L466" s="50" t="s">
        <v>97</v>
      </c>
      <c r="M466" s="50">
        <v>249381</v>
      </c>
      <c r="N466" s="50">
        <v>249381</v>
      </c>
      <c r="O466" s="50">
        <v>249381</v>
      </c>
      <c r="P466" s="50">
        <v>458</v>
      </c>
      <c r="Q466" s="50" t="s">
        <v>16052</v>
      </c>
      <c r="R466" s="50">
        <v>0</v>
      </c>
      <c r="S466" s="50">
        <v>0</v>
      </c>
      <c r="U466" s="50">
        <v>0</v>
      </c>
      <c r="V466" s="50">
        <v>0</v>
      </c>
      <c r="X466" s="50" t="s">
        <v>102</v>
      </c>
      <c r="Y466" s="50" t="s">
        <v>103</v>
      </c>
      <c r="Z466" s="50" t="s">
        <v>398</v>
      </c>
      <c r="AB466" s="50" t="s">
        <v>4909</v>
      </c>
      <c r="AC466" s="50" t="s">
        <v>17299</v>
      </c>
      <c r="AD466" s="50" t="s">
        <v>3679</v>
      </c>
      <c r="AE466" s="50" t="s">
        <v>17300</v>
      </c>
      <c r="AF466" s="50" t="s">
        <v>1427</v>
      </c>
      <c r="AG466" s="50" t="s">
        <v>17299</v>
      </c>
      <c r="AH466" s="50" t="s">
        <v>109</v>
      </c>
      <c r="AI466" s="50" t="s">
        <v>102</v>
      </c>
      <c r="AJ466" s="50" t="s">
        <v>17301</v>
      </c>
      <c r="AK466" s="50" t="s">
        <v>16382</v>
      </c>
      <c r="AL466" s="50" t="s">
        <v>17302</v>
      </c>
      <c r="AM466" s="50" t="s">
        <v>17303</v>
      </c>
      <c r="AN466" s="50" t="s">
        <v>17304</v>
      </c>
      <c r="AO466" s="50" t="s">
        <v>398</v>
      </c>
      <c r="AP466" s="50" t="s">
        <v>16058</v>
      </c>
      <c r="AQ466" s="50" t="s">
        <v>16058</v>
      </c>
      <c r="AV466" s="50" t="s">
        <v>318</v>
      </c>
      <c r="AW466" s="50" t="s">
        <v>118</v>
      </c>
      <c r="AX466" s="50" t="s">
        <v>102</v>
      </c>
      <c r="AY466" s="50" t="s">
        <v>119</v>
      </c>
      <c r="BC466" s="50" t="s">
        <v>120</v>
      </c>
      <c r="BD466" s="50" t="s">
        <v>284</v>
      </c>
      <c r="BE466" s="50" t="s">
        <v>285</v>
      </c>
      <c r="BF466" s="50" t="s">
        <v>212</v>
      </c>
      <c r="BG466" s="50" t="s">
        <v>286</v>
      </c>
      <c r="BH466" s="50" t="s">
        <v>124</v>
      </c>
      <c r="BI466" s="50" t="s">
        <v>12425</v>
      </c>
      <c r="BJ466" s="50" t="s">
        <v>12047</v>
      </c>
      <c r="BK466" s="50" t="s">
        <v>127</v>
      </c>
      <c r="BL466" s="50" t="s">
        <v>17305</v>
      </c>
      <c r="BM466" s="50" t="s">
        <v>17306</v>
      </c>
      <c r="BN466" s="50" t="s">
        <v>17307</v>
      </c>
      <c r="BO466" s="50" t="s">
        <v>5022</v>
      </c>
      <c r="BP466" s="50" t="s">
        <v>3997</v>
      </c>
      <c r="BQ466" s="50" t="s">
        <v>132</v>
      </c>
      <c r="BR466" s="50" t="s">
        <v>3998</v>
      </c>
      <c r="BS466" s="50" t="s">
        <v>3999</v>
      </c>
      <c r="BT466" s="50" t="s">
        <v>3362</v>
      </c>
      <c r="BV466" s="50" t="s">
        <v>17308</v>
      </c>
      <c r="BW466" s="50" t="s">
        <v>17309</v>
      </c>
      <c r="BX466" s="50" t="s">
        <v>138</v>
      </c>
      <c r="BY466" s="50" t="s">
        <v>17310</v>
      </c>
      <c r="BZ466" s="50" t="s">
        <v>17311</v>
      </c>
      <c r="CA466" s="50" t="s">
        <v>17312</v>
      </c>
      <c r="CB466" s="50" t="s">
        <v>17313</v>
      </c>
      <c r="CC466" s="50" t="s">
        <v>17312</v>
      </c>
      <c r="CD466" s="50" t="s">
        <v>17311</v>
      </c>
      <c r="CE466" s="50" t="s">
        <v>17313</v>
      </c>
      <c r="CF466" s="50" t="s">
        <v>17312</v>
      </c>
      <c r="CG466" s="50" t="s">
        <v>17311</v>
      </c>
      <c r="CH466" s="50" t="s">
        <v>5768</v>
      </c>
      <c r="CI466" s="50" t="s">
        <v>17314</v>
      </c>
      <c r="CK466" s="50" t="s">
        <v>17315</v>
      </c>
      <c r="CL466" s="50" t="s">
        <v>17316</v>
      </c>
      <c r="CM466" s="50" t="s">
        <v>284</v>
      </c>
      <c r="CN466" s="50" t="s">
        <v>285</v>
      </c>
      <c r="CO466" s="50" t="s">
        <v>17315</v>
      </c>
      <c r="CP466" s="50" t="s">
        <v>17317</v>
      </c>
      <c r="CQ466" s="50" t="s">
        <v>17318</v>
      </c>
      <c r="CR466" s="50" t="s">
        <v>17318</v>
      </c>
      <c r="CS466" s="53" t="s">
        <v>26040</v>
      </c>
    </row>
    <row r="467" spans="1:97" hidden="1">
      <c r="A467" s="50" t="s">
        <v>149</v>
      </c>
      <c r="B467" s="50">
        <v>3362563</v>
      </c>
      <c r="C467" s="50" t="e">
        <f>VLOOKUP(B467,'Drop schools 2026'!B:C,2,0)</f>
        <v>#N/A</v>
      </c>
      <c r="D467" s="50" t="s">
        <v>122</v>
      </c>
      <c r="E467" s="50" t="s">
        <v>11882</v>
      </c>
      <c r="F467" s="50" t="s">
        <v>5666</v>
      </c>
      <c r="G467" s="50" t="str">
        <f>VLOOKUP(B467,aa!B:F,5,0)</f>
        <v>Ei ASSET, Ei CARES, Ei Mindspark</v>
      </c>
      <c r="H467" s="50">
        <f>VLOOKUP(B467,aa!B:J,9,0)</f>
        <v>312327</v>
      </c>
      <c r="I467" s="50">
        <f>VLOOKUP(B467,aa!B:L,11,0)</f>
        <v>65226</v>
      </c>
      <c r="J467" s="50">
        <f>VLOOKUP(B467,aa!B:O,14,0)</f>
        <v>174009</v>
      </c>
      <c r="K467" s="50">
        <f>VLOOKUP(B467,aa!B:R,17,0)</f>
        <v>73092</v>
      </c>
      <c r="L467" s="50" t="s">
        <v>2163</v>
      </c>
      <c r="M467" s="50">
        <v>247437</v>
      </c>
      <c r="N467" s="50">
        <v>257734</v>
      </c>
      <c r="O467" s="50">
        <v>47683</v>
      </c>
      <c r="P467" s="50">
        <v>106</v>
      </c>
      <c r="Q467" s="50" t="s">
        <v>5668</v>
      </c>
      <c r="R467" s="50">
        <v>142551</v>
      </c>
      <c r="S467" s="50">
        <v>92</v>
      </c>
      <c r="T467" s="50" t="s">
        <v>15716</v>
      </c>
      <c r="U467" s="50">
        <v>57203</v>
      </c>
      <c r="V467" s="50">
        <v>117</v>
      </c>
      <c r="W467" s="50" t="s">
        <v>5670</v>
      </c>
      <c r="X467" s="50" t="s">
        <v>102</v>
      </c>
      <c r="Y467" s="50" t="s">
        <v>679</v>
      </c>
      <c r="Z467" s="50" t="s">
        <v>155</v>
      </c>
      <c r="AA467" s="50" t="s">
        <v>15717</v>
      </c>
      <c r="AB467" s="50" t="s">
        <v>15718</v>
      </c>
      <c r="AC467" s="50" t="s">
        <v>15719</v>
      </c>
      <c r="AD467" s="50" t="s">
        <v>12570</v>
      </c>
      <c r="AE467" s="50" t="s">
        <v>15719</v>
      </c>
      <c r="AF467" s="50" t="s">
        <v>12571</v>
      </c>
      <c r="AG467" s="50" t="s">
        <v>15719</v>
      </c>
      <c r="AH467" s="50" t="s">
        <v>12595</v>
      </c>
      <c r="AI467" s="50" t="s">
        <v>15719</v>
      </c>
      <c r="AJ467" s="50" t="s">
        <v>102</v>
      </c>
      <c r="AK467" s="50" t="s">
        <v>12923</v>
      </c>
      <c r="AL467" s="50" t="s">
        <v>12923</v>
      </c>
      <c r="AM467" s="50" t="s">
        <v>15720</v>
      </c>
      <c r="AN467" s="50" t="s">
        <v>15721</v>
      </c>
      <c r="AO467" s="50" t="s">
        <v>15722</v>
      </c>
      <c r="AP467" s="50" t="s">
        <v>15723</v>
      </c>
      <c r="AQ467" s="50" t="s">
        <v>15724</v>
      </c>
      <c r="AU467" s="50" t="s">
        <v>169</v>
      </c>
      <c r="AV467" s="50" t="s">
        <v>247</v>
      </c>
      <c r="AW467" s="50" t="s">
        <v>118</v>
      </c>
      <c r="AX467" s="50" t="s">
        <v>5675</v>
      </c>
      <c r="AY467" s="50" t="s">
        <v>119</v>
      </c>
      <c r="AZ467" s="50" t="s">
        <v>1138</v>
      </c>
      <c r="BA467" s="50" t="s">
        <v>118</v>
      </c>
      <c r="BB467" s="50" t="s">
        <v>250</v>
      </c>
      <c r="BC467" s="50" t="s">
        <v>120</v>
      </c>
      <c r="BD467" s="50" t="s">
        <v>3854</v>
      </c>
      <c r="BE467" s="50" t="s">
        <v>449</v>
      </c>
      <c r="BF467" s="50" t="s">
        <v>122</v>
      </c>
      <c r="BG467" s="50" t="s">
        <v>450</v>
      </c>
      <c r="BH467" s="50" t="s">
        <v>124</v>
      </c>
      <c r="BI467" s="50" t="s">
        <v>15725</v>
      </c>
      <c r="BJ467" s="50" t="s">
        <v>11889</v>
      </c>
      <c r="BK467" s="50" t="s">
        <v>127</v>
      </c>
      <c r="BL467" s="50" t="s">
        <v>15726</v>
      </c>
      <c r="BM467" s="50" t="s">
        <v>5677</v>
      </c>
      <c r="BN467" s="50" t="s">
        <v>15727</v>
      </c>
      <c r="BO467" s="50" t="s">
        <v>15715</v>
      </c>
      <c r="BP467" s="50" t="s">
        <v>3267</v>
      </c>
      <c r="BQ467" s="50" t="s">
        <v>696</v>
      </c>
      <c r="BR467" s="50" t="s">
        <v>3268</v>
      </c>
      <c r="BS467" s="50" t="s">
        <v>3269</v>
      </c>
      <c r="BT467" s="50" t="s">
        <v>135</v>
      </c>
      <c r="BV467" s="50" t="s">
        <v>15728</v>
      </c>
      <c r="BW467" s="50" t="s">
        <v>5680</v>
      </c>
      <c r="BX467" s="50" t="s">
        <v>354</v>
      </c>
      <c r="BY467" s="50" t="s">
        <v>5681</v>
      </c>
      <c r="BZ467" s="50" t="s">
        <v>5682</v>
      </c>
      <c r="CA467" s="50" t="s">
        <v>5683</v>
      </c>
      <c r="CB467" s="50" t="s">
        <v>5680</v>
      </c>
      <c r="CC467" s="50" t="s">
        <v>5681</v>
      </c>
      <c r="CD467" s="50" t="s">
        <v>5682</v>
      </c>
      <c r="CE467" s="50" t="s">
        <v>5680</v>
      </c>
      <c r="CF467" s="50" t="s">
        <v>5681</v>
      </c>
      <c r="CG467" s="50" t="s">
        <v>5682</v>
      </c>
      <c r="CH467" s="50" t="s">
        <v>102</v>
      </c>
      <c r="CI467" s="50" t="s">
        <v>15729</v>
      </c>
      <c r="CK467" s="50" t="s">
        <v>4271</v>
      </c>
      <c r="CM467" s="50" t="s">
        <v>3854</v>
      </c>
      <c r="CN467" s="50" t="s">
        <v>449</v>
      </c>
      <c r="CO467" s="50" t="s">
        <v>4271</v>
      </c>
      <c r="CP467" s="50" t="s">
        <v>5687</v>
      </c>
      <c r="CQ467" s="50" t="s">
        <v>5686</v>
      </c>
      <c r="CR467" s="50" t="s">
        <v>5686</v>
      </c>
    </row>
    <row r="468" spans="1:97" hidden="1">
      <c r="A468" s="50" t="s">
        <v>149</v>
      </c>
      <c r="B468" s="50">
        <v>2952557</v>
      </c>
      <c r="C468" s="50" t="e">
        <f>VLOOKUP(B468,'Drop schools 2026'!B:C,2,0)</f>
        <v>#N/A</v>
      </c>
      <c r="D468" s="50" t="s">
        <v>622</v>
      </c>
      <c r="E468" s="50" t="s">
        <v>1279</v>
      </c>
      <c r="F468" s="50" t="s">
        <v>4533</v>
      </c>
      <c r="G468" s="50" t="e">
        <f>VLOOKUP(B468,aa!B:F,5,0)</f>
        <v>#N/A</v>
      </c>
      <c r="H468" s="50" t="e">
        <f>VLOOKUP(B468,aa!B:J,9,0)</f>
        <v>#N/A</v>
      </c>
      <c r="I468" s="50" t="e">
        <f>VLOOKUP(B468,aa!B:L,11,0)</f>
        <v>#N/A</v>
      </c>
      <c r="J468" s="50" t="e">
        <f>VLOOKUP(B468,aa!B:O,14,0)</f>
        <v>#N/A</v>
      </c>
      <c r="K468" s="50" t="e">
        <f>VLOOKUP(B468,aa!B:R,17,0)</f>
        <v>#N/A</v>
      </c>
      <c r="L468" s="50" t="s">
        <v>97</v>
      </c>
      <c r="M468" s="50">
        <v>246675</v>
      </c>
      <c r="N468" s="50">
        <v>246675</v>
      </c>
      <c r="O468" s="50">
        <v>246675</v>
      </c>
      <c r="P468" s="50">
        <v>299</v>
      </c>
      <c r="Q468" s="50" t="s">
        <v>3811</v>
      </c>
      <c r="R468" s="50">
        <v>0</v>
      </c>
      <c r="S468" s="50">
        <v>0</v>
      </c>
      <c r="U468" s="50">
        <v>0</v>
      </c>
      <c r="V468" s="50">
        <v>0</v>
      </c>
      <c r="X468" s="50" t="s">
        <v>102</v>
      </c>
      <c r="Y468" s="50" t="s">
        <v>103</v>
      </c>
      <c r="Z468" s="50" t="s">
        <v>104</v>
      </c>
      <c r="AB468" s="50" t="s">
        <v>7145</v>
      </c>
      <c r="AC468" s="50" t="s">
        <v>14822</v>
      </c>
      <c r="AD468" s="50" t="s">
        <v>1427</v>
      </c>
      <c r="AE468" s="50" t="s">
        <v>14823</v>
      </c>
      <c r="AF468" s="50" t="s">
        <v>109</v>
      </c>
      <c r="AG468" s="50" t="s">
        <v>102</v>
      </c>
      <c r="AH468" s="50" t="s">
        <v>109</v>
      </c>
      <c r="AI468" s="50" t="s">
        <v>102</v>
      </c>
      <c r="AJ468" s="50" t="s">
        <v>14824</v>
      </c>
      <c r="AK468" s="50" t="s">
        <v>11976</v>
      </c>
      <c r="AL468" s="50" t="s">
        <v>14825</v>
      </c>
      <c r="AM468" s="50" t="s">
        <v>14826</v>
      </c>
      <c r="AN468" s="50" t="s">
        <v>14827</v>
      </c>
      <c r="AO468" s="50" t="s">
        <v>115</v>
      </c>
      <c r="AP468" s="50" t="s">
        <v>1826</v>
      </c>
      <c r="AQ468" s="50" t="s">
        <v>1826</v>
      </c>
      <c r="AV468" s="50" t="s">
        <v>117</v>
      </c>
      <c r="AW468" s="50" t="s">
        <v>118</v>
      </c>
      <c r="AX468" s="50" t="s">
        <v>102</v>
      </c>
      <c r="AY468" s="50" t="s">
        <v>119</v>
      </c>
      <c r="BC468" s="50" t="s">
        <v>3678</v>
      </c>
      <c r="BD468" s="50" t="s">
        <v>623</v>
      </c>
      <c r="BE468" s="50" t="s">
        <v>621</v>
      </c>
      <c r="BF468" s="50" t="s">
        <v>622</v>
      </c>
      <c r="BG468" s="50" t="s">
        <v>623</v>
      </c>
      <c r="BH468" s="50" t="s">
        <v>124</v>
      </c>
      <c r="BI468" s="50" t="s">
        <v>11976</v>
      </c>
      <c r="BJ468" s="50" t="s">
        <v>12720</v>
      </c>
      <c r="BK468" s="50" t="s">
        <v>127</v>
      </c>
      <c r="BL468" s="50" t="s">
        <v>14828</v>
      </c>
      <c r="BM468" s="50" t="s">
        <v>4542</v>
      </c>
      <c r="BN468" s="50" t="s">
        <v>14829</v>
      </c>
      <c r="BO468" s="50" t="s">
        <v>7145</v>
      </c>
      <c r="BP468" s="50" t="s">
        <v>629</v>
      </c>
      <c r="BQ468" s="50" t="s">
        <v>132</v>
      </c>
      <c r="BR468" s="50" t="s">
        <v>630</v>
      </c>
      <c r="BS468" s="50" t="s">
        <v>631</v>
      </c>
      <c r="BT468" s="50" t="s">
        <v>1279</v>
      </c>
      <c r="BV468" s="50" t="s">
        <v>14830</v>
      </c>
      <c r="BW468" s="50" t="s">
        <v>4545</v>
      </c>
      <c r="BY468" s="50" t="s">
        <v>4546</v>
      </c>
      <c r="BZ468" s="50" t="s">
        <v>4547</v>
      </c>
      <c r="CA468" s="50" t="s">
        <v>4548</v>
      </c>
      <c r="CB468" s="50" t="s">
        <v>4545</v>
      </c>
      <c r="CC468" s="50" t="s">
        <v>4546</v>
      </c>
      <c r="CD468" s="50" t="s">
        <v>4547</v>
      </c>
      <c r="CE468" s="50" t="s">
        <v>14831</v>
      </c>
      <c r="CF468" s="50" t="s">
        <v>14832</v>
      </c>
      <c r="CG468" s="50" t="s">
        <v>14833</v>
      </c>
      <c r="CH468" s="50" t="s">
        <v>102</v>
      </c>
      <c r="CI468" s="50" t="s">
        <v>4549</v>
      </c>
      <c r="CK468" s="50" t="s">
        <v>4550</v>
      </c>
      <c r="CM468" s="50" t="s">
        <v>623</v>
      </c>
      <c r="CN468" s="50" t="s">
        <v>621</v>
      </c>
      <c r="CO468" s="50" t="s">
        <v>4550</v>
      </c>
      <c r="CP468" s="50" t="s">
        <v>4551</v>
      </c>
      <c r="CQ468" s="50" t="s">
        <v>4549</v>
      </c>
      <c r="CR468" s="50" t="s">
        <v>4549</v>
      </c>
      <c r="CS468" s="50" t="s">
        <v>26054</v>
      </c>
    </row>
    <row r="469" spans="1:97" hidden="1">
      <c r="A469" s="50" t="s">
        <v>149</v>
      </c>
      <c r="B469" s="50">
        <v>3886024</v>
      </c>
      <c r="C469" s="50" t="e">
        <f>VLOOKUP(B469,'Drop schools 2026'!B:C,2,0)</f>
        <v>#N/A</v>
      </c>
      <c r="D469" s="50" t="s">
        <v>212</v>
      </c>
      <c r="E469" s="50" t="s">
        <v>11947</v>
      </c>
      <c r="F469" s="50" t="s">
        <v>17247</v>
      </c>
      <c r="G469" s="50" t="str">
        <f>VLOOKUP(B469,aa!B:F,5,0)</f>
        <v>Ei ASSET,Ei Mindspark</v>
      </c>
      <c r="H469" s="50">
        <f>VLOOKUP(B469,aa!B:J,9,0)</f>
        <v>0</v>
      </c>
      <c r="I469" s="50">
        <f>VLOOKUP(B469,aa!B:L,11,0)</f>
        <v>0</v>
      </c>
      <c r="J469" s="50">
        <f>VLOOKUP(B469,aa!B:O,14,0)</f>
        <v>0</v>
      </c>
      <c r="K469" s="50">
        <f>VLOOKUP(B469,aa!B:R,17,0)</f>
        <v>0</v>
      </c>
      <c r="L469" s="50" t="s">
        <v>193</v>
      </c>
      <c r="M469" s="50">
        <v>246109</v>
      </c>
      <c r="N469" s="50">
        <v>275856</v>
      </c>
      <c r="O469" s="50">
        <v>80847</v>
      </c>
      <c r="P469" s="50">
        <v>260</v>
      </c>
      <c r="Q469" s="50" t="s">
        <v>195</v>
      </c>
      <c r="R469" s="50">
        <v>0</v>
      </c>
      <c r="S469" s="50">
        <v>0</v>
      </c>
      <c r="U469" s="50">
        <v>165262</v>
      </c>
      <c r="V469" s="50">
        <v>260</v>
      </c>
      <c r="W469" s="50" t="s">
        <v>11949</v>
      </c>
      <c r="X469" s="50" t="s">
        <v>102</v>
      </c>
      <c r="Y469" s="50" t="s">
        <v>103</v>
      </c>
      <c r="Z469" s="50" t="s">
        <v>104</v>
      </c>
      <c r="AB469" s="50" t="s">
        <v>11950</v>
      </c>
      <c r="AC469" s="50" t="s">
        <v>17248</v>
      </c>
      <c r="AD469" s="50" t="s">
        <v>11952</v>
      </c>
      <c r="AE469" s="50" t="s">
        <v>17248</v>
      </c>
      <c r="AF469" s="50" t="s">
        <v>109</v>
      </c>
      <c r="AG469" s="50" t="s">
        <v>102</v>
      </c>
      <c r="AH469" s="50" t="s">
        <v>109</v>
      </c>
      <c r="AI469" s="50" t="s">
        <v>102</v>
      </c>
      <c r="AJ469" s="50" t="s">
        <v>17249</v>
      </c>
      <c r="AK469" s="50" t="s">
        <v>11954</v>
      </c>
      <c r="AL469" s="50" t="s">
        <v>11954</v>
      </c>
      <c r="AM469" s="50" t="s">
        <v>17250</v>
      </c>
      <c r="AN469" s="50" t="s">
        <v>17251</v>
      </c>
      <c r="AO469" s="50" t="s">
        <v>17252</v>
      </c>
      <c r="AP469" s="50" t="s">
        <v>11958</v>
      </c>
      <c r="AQ469" s="50" t="s">
        <v>11958</v>
      </c>
      <c r="AV469" s="50" t="s">
        <v>207</v>
      </c>
      <c r="AW469" s="50" t="s">
        <v>118</v>
      </c>
      <c r="AX469" s="50" t="s">
        <v>102</v>
      </c>
      <c r="AY469" s="50" t="s">
        <v>119</v>
      </c>
      <c r="BB469" s="50" t="s">
        <v>250</v>
      </c>
      <c r="BC469" s="50" t="s">
        <v>209</v>
      </c>
      <c r="BD469" s="50" t="s">
        <v>920</v>
      </c>
      <c r="BE469" s="50" t="s">
        <v>211</v>
      </c>
      <c r="BF469" s="50" t="s">
        <v>212</v>
      </c>
      <c r="BG469" s="50" t="s">
        <v>213</v>
      </c>
      <c r="BH469" s="50" t="s">
        <v>124</v>
      </c>
      <c r="BI469" s="50" t="s">
        <v>11959</v>
      </c>
      <c r="BJ469" s="50" t="s">
        <v>11960</v>
      </c>
      <c r="BK469" s="50" t="s">
        <v>127</v>
      </c>
      <c r="BL469" s="50" t="s">
        <v>17253</v>
      </c>
      <c r="BM469" s="50" t="s">
        <v>7821</v>
      </c>
      <c r="BN469" s="50" t="s">
        <v>17254</v>
      </c>
      <c r="BO469" s="50" t="s">
        <v>11948</v>
      </c>
      <c r="BP469" s="50" t="s">
        <v>1880</v>
      </c>
      <c r="BQ469" s="50" t="s">
        <v>7992</v>
      </c>
      <c r="BR469" s="50" t="s">
        <v>1882</v>
      </c>
      <c r="BS469" s="50" t="s">
        <v>1883</v>
      </c>
      <c r="BT469" s="50" t="s">
        <v>222</v>
      </c>
      <c r="BV469" s="50" t="s">
        <v>17255</v>
      </c>
      <c r="BW469" s="50" t="s">
        <v>224</v>
      </c>
      <c r="BX469" s="50" t="s">
        <v>138</v>
      </c>
      <c r="BY469" s="50" t="s">
        <v>225</v>
      </c>
      <c r="BZ469" s="50" t="s">
        <v>17256</v>
      </c>
      <c r="CA469" s="50" t="s">
        <v>7824</v>
      </c>
      <c r="CB469" s="50" t="s">
        <v>17257</v>
      </c>
      <c r="CC469" s="50" t="s">
        <v>17258</v>
      </c>
      <c r="CD469" s="50" t="s">
        <v>17259</v>
      </c>
      <c r="CE469" s="50" t="s">
        <v>17260</v>
      </c>
      <c r="CF469" s="50" t="s">
        <v>17258</v>
      </c>
      <c r="CG469" s="50" t="s">
        <v>17259</v>
      </c>
      <c r="CH469" s="50" t="s">
        <v>102</v>
      </c>
      <c r="CI469" s="50" t="s">
        <v>7825</v>
      </c>
      <c r="CK469" s="50" t="s">
        <v>7826</v>
      </c>
      <c r="CM469" s="50" t="s">
        <v>920</v>
      </c>
      <c r="CN469" s="50" t="s">
        <v>211</v>
      </c>
      <c r="CO469" s="50" t="s">
        <v>7826</v>
      </c>
      <c r="CP469" s="50" t="s">
        <v>230</v>
      </c>
      <c r="CQ469" s="50" t="s">
        <v>7825</v>
      </c>
      <c r="CR469" s="50" t="s">
        <v>7825</v>
      </c>
    </row>
    <row r="470" spans="1:97" hidden="1">
      <c r="A470" s="50" t="s">
        <v>337</v>
      </c>
      <c r="B470" s="50">
        <v>4050265</v>
      </c>
      <c r="C470" s="50" t="e">
        <f>VLOOKUP(B470,'Drop schools 2026'!B:C,2,0)</f>
        <v>#N/A</v>
      </c>
      <c r="D470" s="50" t="s">
        <v>622</v>
      </c>
      <c r="E470" s="50" t="s">
        <v>3562</v>
      </c>
      <c r="F470" s="50" t="s">
        <v>8635</v>
      </c>
      <c r="G470" s="50" t="str">
        <f>VLOOKUP(B470,aa!B:F,5,0)</f>
        <v>Ei CARES</v>
      </c>
      <c r="H470" s="50">
        <f>VLOOKUP(B470,aa!B:J,9,0)</f>
        <v>413965</v>
      </c>
      <c r="I470" s="50">
        <f>VLOOKUP(B470,aa!B:L,11,0)</f>
        <v>0</v>
      </c>
      <c r="J470" s="50">
        <f>VLOOKUP(B470,aa!B:O,14,0)</f>
        <v>413965</v>
      </c>
      <c r="K470" s="50">
        <f>VLOOKUP(B470,aa!B:R,17,0)</f>
        <v>0</v>
      </c>
      <c r="L470" s="50" t="s">
        <v>152</v>
      </c>
      <c r="M470" s="50">
        <v>244400</v>
      </c>
      <c r="N470" s="50">
        <v>244400</v>
      </c>
      <c r="O470" s="50">
        <v>0</v>
      </c>
      <c r="P470" s="50">
        <v>0</v>
      </c>
      <c r="R470" s="50">
        <v>244400</v>
      </c>
      <c r="S470" s="50">
        <v>376</v>
      </c>
      <c r="T470" s="50" t="s">
        <v>1122</v>
      </c>
      <c r="U470" s="50">
        <v>0</v>
      </c>
      <c r="V470" s="50">
        <v>0</v>
      </c>
      <c r="X470" s="50" t="s">
        <v>102</v>
      </c>
      <c r="Y470" s="50" t="s">
        <v>275</v>
      </c>
      <c r="AA470" s="50" t="s">
        <v>411</v>
      </c>
      <c r="AB470" s="50" t="s">
        <v>109</v>
      </c>
      <c r="AC470" s="50" t="s">
        <v>102</v>
      </c>
      <c r="AD470" s="50" t="s">
        <v>109</v>
      </c>
      <c r="AE470" s="50" t="s">
        <v>102</v>
      </c>
      <c r="AF470" s="50" t="s">
        <v>109</v>
      </c>
      <c r="AG470" s="50" t="s">
        <v>102</v>
      </c>
      <c r="AH470" s="50" t="s">
        <v>109</v>
      </c>
      <c r="AI470" s="50" t="s">
        <v>102</v>
      </c>
      <c r="AJ470" s="50" t="s">
        <v>102</v>
      </c>
      <c r="AK470" s="50" t="s">
        <v>10729</v>
      </c>
      <c r="AL470" s="50" t="s">
        <v>10729</v>
      </c>
      <c r="AM470" s="50" t="s">
        <v>18011</v>
      </c>
      <c r="AN470" s="50" t="s">
        <v>18012</v>
      </c>
      <c r="AO470" s="50" t="s">
        <v>18013</v>
      </c>
      <c r="AP470" s="50" t="s">
        <v>116</v>
      </c>
      <c r="AQ470" s="50" t="s">
        <v>116</v>
      </c>
      <c r="AV470" s="50" t="s">
        <v>102</v>
      </c>
      <c r="AX470" s="50" t="s">
        <v>155</v>
      </c>
      <c r="AY470" s="50" t="s">
        <v>447</v>
      </c>
      <c r="AZ470" s="50" t="s">
        <v>170</v>
      </c>
      <c r="BA470" s="50" t="s">
        <v>118</v>
      </c>
      <c r="BC470" s="50" t="s">
        <v>8636</v>
      </c>
      <c r="BD470" s="50" t="s">
        <v>8637</v>
      </c>
      <c r="BE470" s="50" t="s">
        <v>730</v>
      </c>
      <c r="BF470" s="50" t="s">
        <v>622</v>
      </c>
      <c r="BG470" s="50" t="s">
        <v>730</v>
      </c>
      <c r="BH470" s="50" t="s">
        <v>124</v>
      </c>
      <c r="BI470" s="50" t="s">
        <v>12023</v>
      </c>
      <c r="BJ470" s="50" t="s">
        <v>11889</v>
      </c>
      <c r="BK470" s="50" t="s">
        <v>127</v>
      </c>
      <c r="BL470" s="50" t="s">
        <v>18014</v>
      </c>
      <c r="BM470" s="50" t="s">
        <v>8638</v>
      </c>
      <c r="BN470" s="50" t="s">
        <v>18015</v>
      </c>
      <c r="BO470" s="50" t="s">
        <v>685</v>
      </c>
      <c r="BP470" s="50" t="s">
        <v>2262</v>
      </c>
      <c r="BQ470" s="50" t="s">
        <v>505</v>
      </c>
      <c r="BR470" s="50" t="s">
        <v>2263</v>
      </c>
      <c r="BS470" s="50" t="s">
        <v>2264</v>
      </c>
      <c r="BT470" s="50" t="s">
        <v>2331</v>
      </c>
      <c r="BV470" s="50" t="s">
        <v>18016</v>
      </c>
      <c r="BW470" s="50" t="s">
        <v>8639</v>
      </c>
      <c r="BX470" s="50" t="s">
        <v>354</v>
      </c>
      <c r="BY470" s="50" t="s">
        <v>8640</v>
      </c>
      <c r="BZ470" s="50" t="s">
        <v>8641</v>
      </c>
      <c r="CA470" s="50" t="s">
        <v>8642</v>
      </c>
      <c r="CB470" s="50" t="s">
        <v>8643</v>
      </c>
      <c r="CC470" s="50" t="s">
        <v>8644</v>
      </c>
      <c r="CD470" s="50" t="s">
        <v>8645</v>
      </c>
      <c r="CE470" s="50" t="s">
        <v>8643</v>
      </c>
      <c r="CF470" s="50" t="s">
        <v>8644</v>
      </c>
      <c r="CG470" s="50" t="s">
        <v>8645</v>
      </c>
      <c r="CH470" s="50" t="s">
        <v>8646</v>
      </c>
      <c r="CI470" s="50" t="s">
        <v>8647</v>
      </c>
      <c r="CK470" s="50" t="s">
        <v>8648</v>
      </c>
      <c r="CL470" s="50" t="s">
        <v>8647</v>
      </c>
      <c r="CM470" s="50" t="s">
        <v>8637</v>
      </c>
      <c r="CN470" s="50" t="s">
        <v>730</v>
      </c>
      <c r="CO470" s="50" t="s">
        <v>8648</v>
      </c>
      <c r="CQ470" s="50" t="s">
        <v>8647</v>
      </c>
      <c r="CR470" s="50" t="s">
        <v>8647</v>
      </c>
      <c r="CS470" s="50" t="s">
        <v>26048</v>
      </c>
    </row>
    <row r="471" spans="1:97" hidden="1">
      <c r="A471" s="50" t="s">
        <v>93</v>
      </c>
      <c r="B471" s="50">
        <v>3216662</v>
      </c>
      <c r="C471" s="50" t="e">
        <f>VLOOKUP(B471,'Drop schools 2026'!B:C,2,0)</f>
        <v>#N/A</v>
      </c>
      <c r="D471" s="50" t="s">
        <v>174</v>
      </c>
      <c r="E471" s="50" t="s">
        <v>384</v>
      </c>
      <c r="F471" s="50" t="s">
        <v>5010</v>
      </c>
      <c r="G471" s="50" t="str">
        <f>VLOOKUP(B471,aa!B:F,5,0)</f>
        <v>Ei CARES</v>
      </c>
      <c r="H471" s="50">
        <f>VLOOKUP(B471,aa!B:J,9,0)</f>
        <v>175318</v>
      </c>
      <c r="I471" s="50">
        <f>VLOOKUP(B471,aa!B:L,11,0)</f>
        <v>0</v>
      </c>
      <c r="J471" s="50">
        <f>VLOOKUP(B471,aa!B:O,14,0)</f>
        <v>175318</v>
      </c>
      <c r="K471" s="50">
        <f>VLOOKUP(B471,aa!B:R,17,0)</f>
        <v>0</v>
      </c>
      <c r="L471" s="50" t="s">
        <v>152</v>
      </c>
      <c r="M471" s="50">
        <v>242550</v>
      </c>
      <c r="N471" s="50">
        <v>242550</v>
      </c>
      <c r="O471" s="50">
        <v>0</v>
      </c>
      <c r="P471" s="50">
        <v>0</v>
      </c>
      <c r="R471" s="50">
        <v>242550</v>
      </c>
      <c r="S471" s="50">
        <v>175</v>
      </c>
      <c r="T471" s="50" t="s">
        <v>7830</v>
      </c>
      <c r="U471" s="50">
        <v>0</v>
      </c>
      <c r="V471" s="50">
        <v>0</v>
      </c>
      <c r="X471" s="50" t="s">
        <v>102</v>
      </c>
      <c r="Y471" s="50" t="s">
        <v>103</v>
      </c>
      <c r="Z471" s="50" t="s">
        <v>104</v>
      </c>
      <c r="AB471" s="50" t="s">
        <v>2586</v>
      </c>
      <c r="AC471" s="50" t="s">
        <v>15205</v>
      </c>
      <c r="AD471" s="50" t="s">
        <v>2392</v>
      </c>
      <c r="AE471" s="50" t="s">
        <v>15205</v>
      </c>
      <c r="AF471" s="50" t="s">
        <v>109</v>
      </c>
      <c r="AG471" s="50" t="s">
        <v>102</v>
      </c>
      <c r="AH471" s="50" t="s">
        <v>109</v>
      </c>
      <c r="AI471" s="50" t="s">
        <v>102</v>
      </c>
      <c r="AJ471" s="50" t="s">
        <v>15206</v>
      </c>
      <c r="AK471" s="50" t="s">
        <v>5015</v>
      </c>
      <c r="AL471" s="50" t="s">
        <v>12781</v>
      </c>
      <c r="AM471" s="50" t="s">
        <v>15207</v>
      </c>
      <c r="AN471" s="50" t="s">
        <v>15208</v>
      </c>
      <c r="AO471" s="50" t="s">
        <v>15209</v>
      </c>
      <c r="AP471" s="50" t="s">
        <v>15210</v>
      </c>
      <c r="AQ471" s="50" t="s">
        <v>4275</v>
      </c>
      <c r="AR471" s="50" t="s">
        <v>343</v>
      </c>
      <c r="AV471" s="50" t="s">
        <v>102</v>
      </c>
      <c r="AX471" s="50" t="s">
        <v>104</v>
      </c>
      <c r="AY471" s="50" t="s">
        <v>447</v>
      </c>
      <c r="AZ471" s="50" t="s">
        <v>170</v>
      </c>
      <c r="BA471" s="50" t="s">
        <v>118</v>
      </c>
      <c r="BC471" s="50" t="s">
        <v>171</v>
      </c>
      <c r="BD471" s="50" t="s">
        <v>5020</v>
      </c>
      <c r="BE471" s="50" t="s">
        <v>376</v>
      </c>
      <c r="BF471" s="50" t="s">
        <v>174</v>
      </c>
      <c r="BG471" s="50" t="s">
        <v>376</v>
      </c>
      <c r="BH471" s="50" t="s">
        <v>124</v>
      </c>
      <c r="BI471" s="50" t="s">
        <v>5694</v>
      </c>
      <c r="BJ471" s="50" t="s">
        <v>14455</v>
      </c>
      <c r="BK471" s="50" t="s">
        <v>127</v>
      </c>
      <c r="BL471" s="50" t="s">
        <v>15211</v>
      </c>
      <c r="BM471" s="50" t="s">
        <v>5024</v>
      </c>
      <c r="BN471" s="50" t="s">
        <v>15212</v>
      </c>
      <c r="BO471" s="50" t="s">
        <v>854</v>
      </c>
      <c r="BP471" s="50" t="s">
        <v>5026</v>
      </c>
      <c r="BQ471" s="50" t="s">
        <v>505</v>
      </c>
      <c r="BR471" s="50" t="s">
        <v>5027</v>
      </c>
      <c r="BS471" s="50" t="s">
        <v>5028</v>
      </c>
      <c r="BT471" s="50" t="s">
        <v>5029</v>
      </c>
      <c r="BV471" s="50" t="s">
        <v>15213</v>
      </c>
      <c r="BW471" s="50" t="s">
        <v>5031</v>
      </c>
      <c r="BX471" s="50" t="s">
        <v>138</v>
      </c>
      <c r="BY471" s="50" t="s">
        <v>5032</v>
      </c>
      <c r="BZ471" s="50" t="s">
        <v>5033</v>
      </c>
      <c r="CA471" s="50" t="s">
        <v>5032</v>
      </c>
      <c r="CB471" s="50" t="s">
        <v>5031</v>
      </c>
      <c r="CC471" s="50" t="s">
        <v>5032</v>
      </c>
      <c r="CD471" s="50" t="s">
        <v>5033</v>
      </c>
      <c r="CE471" s="50" t="s">
        <v>5031</v>
      </c>
      <c r="CF471" s="50" t="s">
        <v>5032</v>
      </c>
      <c r="CG471" s="50" t="s">
        <v>5033</v>
      </c>
      <c r="CH471" s="50" t="s">
        <v>358</v>
      </c>
      <c r="CI471" s="50" t="s">
        <v>5037</v>
      </c>
      <c r="CK471" s="50" t="s">
        <v>5038</v>
      </c>
      <c r="CL471" s="50" t="s">
        <v>5037</v>
      </c>
      <c r="CM471" s="50" t="s">
        <v>5020</v>
      </c>
      <c r="CN471" s="50" t="s">
        <v>376</v>
      </c>
      <c r="CO471" s="50" t="s">
        <v>5038</v>
      </c>
      <c r="CP471" s="50" t="s">
        <v>5039</v>
      </c>
      <c r="CQ471" s="50" t="s">
        <v>5037</v>
      </c>
      <c r="CR471" s="50" t="s">
        <v>5037</v>
      </c>
    </row>
    <row r="472" spans="1:97" hidden="1">
      <c r="A472" s="50" t="s">
        <v>149</v>
      </c>
      <c r="B472" s="50">
        <v>3269893</v>
      </c>
      <c r="C472" s="50" t="e">
        <f>VLOOKUP(B472,'Drop schools 2026'!B:C,2,0)</f>
        <v>#N/A</v>
      </c>
      <c r="D472" s="50" t="s">
        <v>122</v>
      </c>
      <c r="E472" s="50" t="s">
        <v>11882</v>
      </c>
      <c r="F472" s="50" t="s">
        <v>5145</v>
      </c>
      <c r="G472" s="50" t="e">
        <f>VLOOKUP(B472,aa!B:F,5,0)</f>
        <v>#N/A</v>
      </c>
      <c r="H472" s="50" t="e">
        <f>VLOOKUP(B472,aa!B:J,9,0)</f>
        <v>#N/A</v>
      </c>
      <c r="I472" s="50" t="e">
        <f>VLOOKUP(B472,aa!B:L,11,0)</f>
        <v>#N/A</v>
      </c>
      <c r="J472" s="50" t="e">
        <f>VLOOKUP(B472,aa!B:O,14,0)</f>
        <v>#N/A</v>
      </c>
      <c r="K472" s="50" t="e">
        <f>VLOOKUP(B472,aa!B:R,17,0)</f>
        <v>#N/A</v>
      </c>
      <c r="L472" s="50" t="s">
        <v>97</v>
      </c>
      <c r="M472" s="50">
        <v>241800</v>
      </c>
      <c r="N472" s="50">
        <v>241800</v>
      </c>
      <c r="O472" s="50">
        <v>241800</v>
      </c>
      <c r="P472" s="50">
        <v>310</v>
      </c>
      <c r="Q472" s="50" t="s">
        <v>2110</v>
      </c>
      <c r="R472" s="50">
        <v>0</v>
      </c>
      <c r="S472" s="50">
        <v>0</v>
      </c>
      <c r="U472" s="50">
        <v>0</v>
      </c>
      <c r="V472" s="50">
        <v>0</v>
      </c>
      <c r="X472" s="50" t="s">
        <v>102</v>
      </c>
      <c r="Y472" s="50" t="s">
        <v>275</v>
      </c>
      <c r="AA472" s="50" t="s">
        <v>13583</v>
      </c>
      <c r="AB472" s="50" t="s">
        <v>109</v>
      </c>
      <c r="AC472" s="50" t="s">
        <v>102</v>
      </c>
      <c r="AD472" s="50" t="s">
        <v>109</v>
      </c>
      <c r="AE472" s="50" t="s">
        <v>102</v>
      </c>
      <c r="AF472" s="50" t="s">
        <v>109</v>
      </c>
      <c r="AG472" s="50" t="s">
        <v>102</v>
      </c>
      <c r="AH472" s="50" t="s">
        <v>109</v>
      </c>
      <c r="AI472" s="50" t="s">
        <v>102</v>
      </c>
      <c r="AJ472" s="50" t="s">
        <v>15296</v>
      </c>
      <c r="AK472" s="50" t="s">
        <v>9814</v>
      </c>
      <c r="AL472" s="50" t="s">
        <v>9814</v>
      </c>
      <c r="AM472" s="50" t="s">
        <v>15297</v>
      </c>
      <c r="AN472" s="50" t="s">
        <v>15298</v>
      </c>
      <c r="AO472" s="50" t="s">
        <v>102</v>
      </c>
      <c r="AP472" s="50" t="s">
        <v>6752</v>
      </c>
      <c r="AQ472" s="50" t="s">
        <v>6752</v>
      </c>
      <c r="AV472" s="50" t="s">
        <v>318</v>
      </c>
      <c r="AW472" s="50" t="s">
        <v>250</v>
      </c>
      <c r="AX472" s="50" t="s">
        <v>102</v>
      </c>
      <c r="AY472" s="50" t="s">
        <v>119</v>
      </c>
      <c r="BC472" s="50" t="s">
        <v>120</v>
      </c>
      <c r="BD472" s="50" t="s">
        <v>4153</v>
      </c>
      <c r="BE472" s="50" t="s">
        <v>320</v>
      </c>
      <c r="BF472" s="50" t="s">
        <v>122</v>
      </c>
      <c r="BG472" s="50" t="s">
        <v>123</v>
      </c>
      <c r="BH472" s="50" t="s">
        <v>124</v>
      </c>
      <c r="BI472" s="50" t="s">
        <v>12023</v>
      </c>
      <c r="BJ472" s="50" t="s">
        <v>11889</v>
      </c>
      <c r="BK472" s="50" t="s">
        <v>127</v>
      </c>
      <c r="BL472" s="50" t="s">
        <v>15299</v>
      </c>
      <c r="BM472" s="50" t="s">
        <v>5153</v>
      </c>
      <c r="BN472" s="50" t="s">
        <v>15300</v>
      </c>
      <c r="BO472" s="50" t="s">
        <v>15295</v>
      </c>
      <c r="BP472" s="50" t="s">
        <v>3267</v>
      </c>
      <c r="BQ472" s="50" t="s">
        <v>350</v>
      </c>
      <c r="BR472" s="50" t="s">
        <v>3268</v>
      </c>
      <c r="BS472" s="50" t="s">
        <v>3269</v>
      </c>
      <c r="BT472" s="50" t="s">
        <v>135</v>
      </c>
      <c r="BV472" s="50" t="s">
        <v>15301</v>
      </c>
      <c r="BW472" s="50" t="s">
        <v>15302</v>
      </c>
      <c r="BX472" s="50" t="s">
        <v>598</v>
      </c>
      <c r="BY472" s="50" t="s">
        <v>15303</v>
      </c>
      <c r="BZ472" s="50" t="s">
        <v>15304</v>
      </c>
      <c r="CA472" s="50" t="s">
        <v>5159</v>
      </c>
      <c r="CB472" s="50" t="s">
        <v>15305</v>
      </c>
      <c r="CC472" s="50" t="s">
        <v>15306</v>
      </c>
      <c r="CD472" s="50" t="s">
        <v>15304</v>
      </c>
      <c r="CE472" s="50" t="s">
        <v>15302</v>
      </c>
      <c r="CF472" s="50" t="s">
        <v>15303</v>
      </c>
      <c r="CG472" s="50" t="s">
        <v>15304</v>
      </c>
      <c r="CH472" s="50" t="s">
        <v>102</v>
      </c>
      <c r="CI472" s="50" t="s">
        <v>15307</v>
      </c>
      <c r="CK472" s="50" t="s">
        <v>5161</v>
      </c>
      <c r="CM472" s="50" t="s">
        <v>4153</v>
      </c>
      <c r="CN472" s="50" t="s">
        <v>320</v>
      </c>
      <c r="CO472" s="50" t="s">
        <v>5161</v>
      </c>
      <c r="CP472" s="50" t="s">
        <v>5162</v>
      </c>
      <c r="CQ472" s="50" t="s">
        <v>5160</v>
      </c>
      <c r="CR472" s="50" t="s">
        <v>5160</v>
      </c>
    </row>
    <row r="473" spans="1:97" hidden="1">
      <c r="A473" s="50" t="s">
        <v>93</v>
      </c>
      <c r="B473" s="50">
        <v>158773</v>
      </c>
      <c r="C473" s="50" t="str">
        <f>VLOOKUP(B473,RISK!B:C,2,0)</f>
        <v>Risk</v>
      </c>
      <c r="D473" s="50" t="s">
        <v>212</v>
      </c>
      <c r="E473" s="50" t="s">
        <v>293</v>
      </c>
      <c r="F473" s="50" t="s">
        <v>12657</v>
      </c>
      <c r="G473" s="50" t="e">
        <f>VLOOKUP(B473,aa!B:F,5,0)</f>
        <v>#N/A</v>
      </c>
      <c r="H473" s="50" t="e">
        <f>VLOOKUP(B473,aa!B:J,9,0)</f>
        <v>#N/A</v>
      </c>
      <c r="I473" s="50" t="e">
        <f>VLOOKUP(B473,aa!B:L,11,0)</f>
        <v>#N/A</v>
      </c>
      <c r="J473" s="50" t="e">
        <f>VLOOKUP(B473,aa!B:O,14,0)</f>
        <v>#N/A</v>
      </c>
      <c r="K473" s="50" t="e">
        <f>VLOOKUP(B473,aa!B:R,17,0)</f>
        <v>#N/A</v>
      </c>
      <c r="L473" s="50" t="s">
        <v>97</v>
      </c>
      <c r="M473" s="50">
        <v>241372</v>
      </c>
      <c r="N473" s="50">
        <v>241372</v>
      </c>
      <c r="O473" s="50">
        <v>241372</v>
      </c>
      <c r="P473" s="50">
        <v>284</v>
      </c>
      <c r="Q473" s="50" t="s">
        <v>2105</v>
      </c>
      <c r="R473" s="50">
        <v>0</v>
      </c>
      <c r="S473" s="50">
        <v>0</v>
      </c>
      <c r="U473" s="50">
        <v>0</v>
      </c>
      <c r="V473" s="50">
        <v>0</v>
      </c>
      <c r="X473" s="50" t="s">
        <v>102</v>
      </c>
      <c r="Y473" s="50" t="s">
        <v>103</v>
      </c>
      <c r="Z473" s="50" t="s">
        <v>104</v>
      </c>
      <c r="AB473" s="50" t="s">
        <v>12128</v>
      </c>
      <c r="AC473" s="50" t="s">
        <v>12658</v>
      </c>
      <c r="AD473" s="50" t="s">
        <v>12082</v>
      </c>
      <c r="AE473" s="50" t="s">
        <v>12658</v>
      </c>
      <c r="AF473" s="50" t="s">
        <v>109</v>
      </c>
      <c r="AG473" s="50" t="s">
        <v>102</v>
      </c>
      <c r="AH473" s="50" t="s">
        <v>109</v>
      </c>
      <c r="AI473" s="50" t="s">
        <v>102</v>
      </c>
      <c r="AJ473" s="50" t="s">
        <v>102</v>
      </c>
      <c r="AK473" s="50" t="s">
        <v>12659</v>
      </c>
      <c r="AL473" s="50" t="s">
        <v>12427</v>
      </c>
      <c r="AM473" s="50" t="s">
        <v>12660</v>
      </c>
      <c r="AN473" s="50" t="s">
        <v>12661</v>
      </c>
      <c r="AO473" s="50" t="s">
        <v>12662</v>
      </c>
      <c r="AP473" s="50" t="s">
        <v>2111</v>
      </c>
      <c r="AQ473" s="50" t="s">
        <v>12663</v>
      </c>
      <c r="AU473" s="50" t="s">
        <v>169</v>
      </c>
      <c r="AV473" s="50" t="s">
        <v>318</v>
      </c>
      <c r="AW473" s="50" t="s">
        <v>118</v>
      </c>
      <c r="AX473" s="50" t="s">
        <v>102</v>
      </c>
      <c r="AY473" s="50" t="s">
        <v>119</v>
      </c>
      <c r="BC473" s="50" t="s">
        <v>171</v>
      </c>
      <c r="BD473" s="50" t="s">
        <v>920</v>
      </c>
      <c r="BE473" s="50" t="s">
        <v>211</v>
      </c>
      <c r="BF473" s="50" t="s">
        <v>212</v>
      </c>
      <c r="BG473" s="50" t="s">
        <v>213</v>
      </c>
      <c r="BH473" s="50" t="s">
        <v>124</v>
      </c>
      <c r="BI473" s="50" t="s">
        <v>12128</v>
      </c>
      <c r="BJ473" s="50" t="s">
        <v>12435</v>
      </c>
      <c r="BK473" s="50" t="s">
        <v>127</v>
      </c>
      <c r="BL473" s="50" t="s">
        <v>12664</v>
      </c>
      <c r="BM473" s="50" t="s">
        <v>1307</v>
      </c>
      <c r="BN473" s="50" t="s">
        <v>12665</v>
      </c>
      <c r="BO473" s="50" t="s">
        <v>6341</v>
      </c>
      <c r="BP473" s="50" t="s">
        <v>1309</v>
      </c>
      <c r="BQ473" s="50" t="s">
        <v>180</v>
      </c>
      <c r="BR473" s="50" t="s">
        <v>1310</v>
      </c>
      <c r="BS473" s="50" t="s">
        <v>1311</v>
      </c>
      <c r="BT473" s="50" t="s">
        <v>1312</v>
      </c>
      <c r="BV473" s="50" t="s">
        <v>12666</v>
      </c>
      <c r="BW473" s="50" t="s">
        <v>1314</v>
      </c>
      <c r="BX473" s="50" t="s">
        <v>138</v>
      </c>
      <c r="BY473" s="50" t="s">
        <v>12667</v>
      </c>
      <c r="BZ473" s="50" t="s">
        <v>1316</v>
      </c>
      <c r="CA473" s="50" t="s">
        <v>1315</v>
      </c>
      <c r="CB473" s="50" t="s">
        <v>1314</v>
      </c>
      <c r="CC473" s="50" t="s">
        <v>12667</v>
      </c>
      <c r="CD473" s="50" t="s">
        <v>1316</v>
      </c>
      <c r="CE473" s="50" t="s">
        <v>12668</v>
      </c>
      <c r="CF473" s="50" t="s">
        <v>12669</v>
      </c>
      <c r="CG473" s="50" t="s">
        <v>12670</v>
      </c>
      <c r="CH473" s="50" t="s">
        <v>1317</v>
      </c>
      <c r="CI473" s="50" t="s">
        <v>12671</v>
      </c>
      <c r="CK473" s="50" t="s">
        <v>1319</v>
      </c>
      <c r="CL473" s="50" t="s">
        <v>1318</v>
      </c>
      <c r="CM473" s="50" t="s">
        <v>920</v>
      </c>
      <c r="CN473" s="50" t="s">
        <v>211</v>
      </c>
      <c r="CO473" s="50" t="s">
        <v>1319</v>
      </c>
      <c r="CQ473" s="50" t="s">
        <v>1318</v>
      </c>
      <c r="CR473" s="50" t="s">
        <v>1318</v>
      </c>
      <c r="CS473" s="50" t="s">
        <v>26042</v>
      </c>
    </row>
    <row r="474" spans="1:97">
      <c r="A474" s="50" t="s">
        <v>337</v>
      </c>
      <c r="B474" s="50">
        <v>3583679</v>
      </c>
      <c r="C474" s="50" t="e">
        <f>VLOOKUP(B474,'Drop schools 2026'!B:C,2,0)</f>
        <v>#N/A</v>
      </c>
      <c r="D474" s="50" t="s">
        <v>122</v>
      </c>
      <c r="E474" s="50" t="s">
        <v>12121</v>
      </c>
      <c r="F474" s="50" t="s">
        <v>16519</v>
      </c>
      <c r="G474" s="50" t="e">
        <f>VLOOKUP(B474,aa!B:F,5,0)</f>
        <v>#N/A</v>
      </c>
      <c r="H474" s="50" t="e">
        <f>VLOOKUP(B474,aa!B:J,9,0)</f>
        <v>#N/A</v>
      </c>
      <c r="I474" s="50" t="e">
        <f>VLOOKUP(B474,aa!B:L,11,0)</f>
        <v>#N/A</v>
      </c>
      <c r="J474" s="50" t="e">
        <f>VLOOKUP(B474,aa!B:O,14,0)</f>
        <v>#N/A</v>
      </c>
      <c r="K474" s="50" t="e">
        <f>VLOOKUP(B474,aa!B:R,17,0)</f>
        <v>#N/A</v>
      </c>
      <c r="L474" s="50" t="s">
        <v>848</v>
      </c>
      <c r="M474" s="50">
        <v>237286</v>
      </c>
      <c r="N474" s="50">
        <v>279997</v>
      </c>
      <c r="O474" s="50">
        <v>0</v>
      </c>
      <c r="P474" s="50">
        <v>0</v>
      </c>
      <c r="R474" s="50">
        <v>0</v>
      </c>
      <c r="S474" s="50">
        <v>0</v>
      </c>
      <c r="U474" s="50">
        <v>237286</v>
      </c>
      <c r="V474" s="50">
        <v>80</v>
      </c>
      <c r="W474" s="50" t="s">
        <v>16520</v>
      </c>
      <c r="X474" s="50" t="s">
        <v>102</v>
      </c>
      <c r="Y474" s="50" t="s">
        <v>103</v>
      </c>
      <c r="Z474" s="50" t="s">
        <v>104</v>
      </c>
      <c r="AB474" s="50" t="s">
        <v>3258</v>
      </c>
      <c r="AC474" s="50" t="s">
        <v>16521</v>
      </c>
      <c r="AD474" s="50" t="s">
        <v>12123</v>
      </c>
      <c r="AE474" s="50" t="s">
        <v>16521</v>
      </c>
      <c r="AF474" s="50" t="s">
        <v>109</v>
      </c>
      <c r="AG474" s="50" t="s">
        <v>102</v>
      </c>
      <c r="AH474" s="50" t="s">
        <v>109</v>
      </c>
      <c r="AI474" s="50" t="s">
        <v>102</v>
      </c>
      <c r="AJ474" s="50" t="s">
        <v>102</v>
      </c>
      <c r="AK474" s="50" t="s">
        <v>12926</v>
      </c>
      <c r="AL474" s="50" t="s">
        <v>13344</v>
      </c>
      <c r="AM474" s="50" t="s">
        <v>16522</v>
      </c>
      <c r="AN474" s="50" t="s">
        <v>16522</v>
      </c>
      <c r="AO474" s="50" t="s">
        <v>102</v>
      </c>
      <c r="AP474" s="50" t="s">
        <v>3645</v>
      </c>
      <c r="AQ474" s="50" t="s">
        <v>3645</v>
      </c>
      <c r="AV474" s="50" t="s">
        <v>102</v>
      </c>
      <c r="AX474" s="50" t="s">
        <v>102</v>
      </c>
      <c r="AY474" s="50" t="s">
        <v>119</v>
      </c>
      <c r="BB474" s="50" t="s">
        <v>250</v>
      </c>
      <c r="BC474" s="50" t="s">
        <v>120</v>
      </c>
      <c r="BD474" s="50" t="s">
        <v>555</v>
      </c>
      <c r="BE474" s="50" t="s">
        <v>556</v>
      </c>
      <c r="BF474" s="50" t="s">
        <v>122</v>
      </c>
      <c r="BG474" s="50" t="s">
        <v>557</v>
      </c>
      <c r="BH474" s="50" t="s">
        <v>124</v>
      </c>
      <c r="BI474" s="50" t="s">
        <v>12023</v>
      </c>
      <c r="BJ474" s="50" t="s">
        <v>11889</v>
      </c>
      <c r="BK474" s="50" t="s">
        <v>127</v>
      </c>
      <c r="BL474" s="50" t="s">
        <v>16523</v>
      </c>
      <c r="BM474" s="50" t="s">
        <v>16524</v>
      </c>
      <c r="BN474" s="50" t="s">
        <v>16525</v>
      </c>
      <c r="BO474" s="50" t="s">
        <v>3258</v>
      </c>
      <c r="BP474" s="50" t="s">
        <v>16526</v>
      </c>
      <c r="BQ474" s="50" t="s">
        <v>350</v>
      </c>
      <c r="BR474" s="50" t="s">
        <v>16527</v>
      </c>
      <c r="BS474" s="50" t="s">
        <v>16528</v>
      </c>
      <c r="BT474" s="50" t="s">
        <v>16529</v>
      </c>
      <c r="BV474" s="50" t="s">
        <v>16530</v>
      </c>
      <c r="BW474" s="50" t="s">
        <v>16531</v>
      </c>
      <c r="BX474" s="50" t="s">
        <v>138</v>
      </c>
      <c r="BY474" s="50" t="s">
        <v>16532</v>
      </c>
      <c r="BZ474" s="50" t="s">
        <v>16533</v>
      </c>
      <c r="CA474" s="50" t="s">
        <v>16534</v>
      </c>
      <c r="CB474" s="50" t="s">
        <v>16531</v>
      </c>
      <c r="CC474" s="50" t="s">
        <v>16532</v>
      </c>
      <c r="CD474" s="50" t="s">
        <v>16533</v>
      </c>
      <c r="CE474" s="50" t="s">
        <v>16535</v>
      </c>
      <c r="CF474" s="50" t="s">
        <v>16536</v>
      </c>
      <c r="CG474" s="50" t="s">
        <v>16537</v>
      </c>
      <c r="CH474" s="50" t="s">
        <v>907</v>
      </c>
      <c r="CI474" s="50" t="s">
        <v>16538</v>
      </c>
      <c r="CK474" s="50" t="s">
        <v>16539</v>
      </c>
      <c r="CL474" s="50" t="s">
        <v>16540</v>
      </c>
      <c r="CM474" s="50" t="s">
        <v>555</v>
      </c>
      <c r="CN474" s="50" t="s">
        <v>556</v>
      </c>
      <c r="CO474" s="50" t="s">
        <v>16539</v>
      </c>
      <c r="CQ474" s="50" t="s">
        <v>16541</v>
      </c>
      <c r="CR474" s="50" t="s">
        <v>16541</v>
      </c>
    </row>
    <row r="475" spans="1:97">
      <c r="A475" s="50" t="s">
        <v>337</v>
      </c>
      <c r="B475" s="50">
        <v>5018520</v>
      </c>
      <c r="C475" s="50" t="e">
        <f>VLOOKUP(B475,'Drop schools 2026'!B:C,2,0)</f>
        <v>#N/A</v>
      </c>
      <c r="D475" s="50" t="s">
        <v>122</v>
      </c>
      <c r="E475" s="50" t="s">
        <v>12121</v>
      </c>
      <c r="F475" s="53" t="s">
        <v>19976</v>
      </c>
      <c r="G475" s="50" t="e">
        <f>VLOOKUP(B475,aa!B:F,5,0)</f>
        <v>#N/A</v>
      </c>
      <c r="H475" s="50" t="e">
        <f>VLOOKUP(B475,aa!B:J,9,0)</f>
        <v>#N/A</v>
      </c>
      <c r="I475" s="50" t="e">
        <f>VLOOKUP(B475,aa!B:L,11,0)</f>
        <v>#N/A</v>
      </c>
      <c r="J475" s="50" t="e">
        <f>VLOOKUP(B475,aa!B:O,14,0)</f>
        <v>#N/A</v>
      </c>
      <c r="K475" s="50" t="e">
        <f>VLOOKUP(B475,aa!B:R,17,0)</f>
        <v>#N/A</v>
      </c>
      <c r="L475" s="50" t="s">
        <v>848</v>
      </c>
      <c r="M475" s="50">
        <v>237276</v>
      </c>
      <c r="N475" s="50">
        <v>279986</v>
      </c>
      <c r="O475" s="50">
        <v>0</v>
      </c>
      <c r="P475" s="50">
        <v>0</v>
      </c>
      <c r="R475" s="50">
        <v>0</v>
      </c>
      <c r="S475" s="50">
        <v>0</v>
      </c>
      <c r="U475" s="50">
        <v>237276</v>
      </c>
      <c r="V475" s="50">
        <v>70</v>
      </c>
      <c r="W475" s="50" t="s">
        <v>9442</v>
      </c>
      <c r="X475" s="50" t="s">
        <v>102</v>
      </c>
      <c r="Y475" s="50" t="s">
        <v>103</v>
      </c>
      <c r="Z475" s="50" t="s">
        <v>155</v>
      </c>
      <c r="AB475" s="50" t="s">
        <v>6918</v>
      </c>
      <c r="AC475" s="50" t="s">
        <v>19977</v>
      </c>
      <c r="AD475" s="50" t="s">
        <v>12836</v>
      </c>
      <c r="AE475" s="50" t="s">
        <v>19977</v>
      </c>
      <c r="AF475" s="50" t="s">
        <v>12838</v>
      </c>
      <c r="AG475" s="50" t="s">
        <v>19977</v>
      </c>
      <c r="AH475" s="50" t="s">
        <v>6895</v>
      </c>
      <c r="AI475" s="50" t="s">
        <v>19977</v>
      </c>
      <c r="AJ475" s="50" t="s">
        <v>102</v>
      </c>
      <c r="AK475" s="50" t="s">
        <v>12800</v>
      </c>
      <c r="AL475" s="50" t="s">
        <v>15363</v>
      </c>
      <c r="AM475" s="50" t="s">
        <v>19978</v>
      </c>
      <c r="AN475" s="50" t="s">
        <v>19979</v>
      </c>
      <c r="AO475" s="50" t="s">
        <v>19980</v>
      </c>
      <c r="AP475" s="50" t="s">
        <v>6263</v>
      </c>
      <c r="AQ475" s="50" t="s">
        <v>6263</v>
      </c>
      <c r="AV475" s="50" t="s">
        <v>102</v>
      </c>
      <c r="AX475" s="50" t="s">
        <v>102</v>
      </c>
      <c r="AY475" s="50" t="s">
        <v>119</v>
      </c>
      <c r="BB475" s="50" t="s">
        <v>250</v>
      </c>
      <c r="BC475" s="50" t="s">
        <v>209</v>
      </c>
      <c r="BD475" s="50" t="s">
        <v>19981</v>
      </c>
      <c r="BE475" s="50" t="s">
        <v>556</v>
      </c>
      <c r="BF475" s="50" t="s">
        <v>122</v>
      </c>
      <c r="BG475" s="50" t="s">
        <v>557</v>
      </c>
      <c r="BH475" s="50" t="s">
        <v>124</v>
      </c>
      <c r="BI475" s="50" t="s">
        <v>11976</v>
      </c>
      <c r="BJ475" s="50" t="s">
        <v>12720</v>
      </c>
      <c r="BK475" s="50" t="s">
        <v>127</v>
      </c>
      <c r="BL475" s="50" t="s">
        <v>19982</v>
      </c>
      <c r="BM475" s="50" t="s">
        <v>19983</v>
      </c>
      <c r="BN475" s="50" t="s">
        <v>19984</v>
      </c>
      <c r="BO475" s="50" t="s">
        <v>13174</v>
      </c>
      <c r="BP475" s="50" t="s">
        <v>16526</v>
      </c>
      <c r="BQ475" s="50" t="s">
        <v>350</v>
      </c>
      <c r="BR475" s="50" t="s">
        <v>16527</v>
      </c>
      <c r="BS475" s="50" t="s">
        <v>16528</v>
      </c>
      <c r="BT475" s="50" t="s">
        <v>16529</v>
      </c>
      <c r="BV475" s="50" t="s">
        <v>19985</v>
      </c>
      <c r="BW475" s="50" t="s">
        <v>19986</v>
      </c>
      <c r="BX475" s="50" t="s">
        <v>354</v>
      </c>
      <c r="BY475" s="50" t="s">
        <v>19987</v>
      </c>
      <c r="BZ475" s="50" t="s">
        <v>19988</v>
      </c>
      <c r="CA475" s="50" t="s">
        <v>19987</v>
      </c>
      <c r="CB475" s="50" t="s">
        <v>19989</v>
      </c>
      <c r="CC475" s="50" t="s">
        <v>19987</v>
      </c>
      <c r="CD475" s="50" t="s">
        <v>19990</v>
      </c>
      <c r="CE475" s="50" t="s">
        <v>19991</v>
      </c>
      <c r="CF475" s="50" t="s">
        <v>19987</v>
      </c>
      <c r="CG475" s="50" t="s">
        <v>19992</v>
      </c>
      <c r="CH475" s="50" t="s">
        <v>8070</v>
      </c>
      <c r="CI475" s="50" t="s">
        <v>19993</v>
      </c>
      <c r="CK475" s="50" t="s">
        <v>19994</v>
      </c>
      <c r="CL475" s="50" t="s">
        <v>19995</v>
      </c>
      <c r="CM475" s="50" t="s">
        <v>19981</v>
      </c>
      <c r="CN475" s="50" t="s">
        <v>556</v>
      </c>
      <c r="CO475" s="50" t="s">
        <v>19994</v>
      </c>
      <c r="CQ475" s="50" t="s">
        <v>19996</v>
      </c>
      <c r="CR475" s="50" t="s">
        <v>19996</v>
      </c>
    </row>
    <row r="476" spans="1:97" hidden="1">
      <c r="A476" s="50" t="s">
        <v>93</v>
      </c>
      <c r="B476" s="50">
        <v>5017708</v>
      </c>
      <c r="C476" s="50" t="e">
        <f>VLOOKUP(B476,'Drop schools 2026'!B:C,2,0)</f>
        <v>#N/A</v>
      </c>
      <c r="D476" s="50" t="s">
        <v>212</v>
      </c>
      <c r="E476" s="50" t="s">
        <v>12423</v>
      </c>
      <c r="F476" s="50" t="s">
        <v>10141</v>
      </c>
      <c r="G476" s="50" t="e">
        <f>VLOOKUP(B476,aa!B:F,5,0)</f>
        <v>#N/A</v>
      </c>
      <c r="H476" s="50" t="e">
        <f>VLOOKUP(B476,aa!B:J,9,0)</f>
        <v>#N/A</v>
      </c>
      <c r="I476" s="50" t="e">
        <f>VLOOKUP(B476,aa!B:L,11,0)</f>
        <v>#N/A</v>
      </c>
      <c r="J476" s="50" t="e">
        <f>VLOOKUP(B476,aa!B:O,14,0)</f>
        <v>#N/A</v>
      </c>
      <c r="K476" s="50" t="e">
        <f>VLOOKUP(B476,aa!B:R,17,0)</f>
        <v>#N/A</v>
      </c>
      <c r="L476" s="50" t="s">
        <v>8024</v>
      </c>
      <c r="M476" s="50">
        <v>236651</v>
      </c>
      <c r="N476" s="50">
        <v>266521</v>
      </c>
      <c r="O476" s="50">
        <v>0</v>
      </c>
      <c r="P476" s="50">
        <v>0</v>
      </c>
      <c r="R476" s="50">
        <v>70707</v>
      </c>
      <c r="S476" s="50">
        <v>111</v>
      </c>
      <c r="T476" s="50" t="s">
        <v>10143</v>
      </c>
      <c r="U476" s="50">
        <v>165944</v>
      </c>
      <c r="V476" s="50">
        <v>111</v>
      </c>
      <c r="W476" s="50" t="s">
        <v>10144</v>
      </c>
      <c r="X476" s="50" t="s">
        <v>102</v>
      </c>
      <c r="Y476" s="50" t="s">
        <v>103</v>
      </c>
      <c r="Z476" s="50" t="s">
        <v>155</v>
      </c>
      <c r="AB476" s="50" t="s">
        <v>16483</v>
      </c>
      <c r="AC476" s="50" t="s">
        <v>19099</v>
      </c>
      <c r="AD476" s="50" t="s">
        <v>14381</v>
      </c>
      <c r="AE476" s="50" t="s">
        <v>19099</v>
      </c>
      <c r="AF476" s="50" t="s">
        <v>13385</v>
      </c>
      <c r="AG476" s="50" t="s">
        <v>19099</v>
      </c>
      <c r="AH476" s="50" t="s">
        <v>6895</v>
      </c>
      <c r="AI476" s="50" t="s">
        <v>19099</v>
      </c>
      <c r="AJ476" s="50" t="s">
        <v>102</v>
      </c>
      <c r="AM476" s="50" t="s">
        <v>19100</v>
      </c>
      <c r="AN476" s="50" t="s">
        <v>102</v>
      </c>
      <c r="AO476" s="50" t="s">
        <v>19100</v>
      </c>
      <c r="AP476" s="50" t="s">
        <v>10148</v>
      </c>
      <c r="AQ476" s="50" t="s">
        <v>10148</v>
      </c>
      <c r="AV476" s="50" t="s">
        <v>102</v>
      </c>
      <c r="AX476" s="50" t="s">
        <v>155</v>
      </c>
      <c r="AY476" s="50" t="s">
        <v>119</v>
      </c>
      <c r="AZ476" s="50" t="s">
        <v>170</v>
      </c>
      <c r="BA476" s="50" t="s">
        <v>118</v>
      </c>
      <c r="BB476" s="50" t="s">
        <v>250</v>
      </c>
      <c r="BC476" s="50" t="s">
        <v>120</v>
      </c>
      <c r="BD476" s="50" t="s">
        <v>7718</v>
      </c>
      <c r="BE476" s="50" t="s">
        <v>211</v>
      </c>
      <c r="BF476" s="50" t="s">
        <v>212</v>
      </c>
      <c r="BG476" s="50" t="s">
        <v>213</v>
      </c>
      <c r="BH476" s="50" t="s">
        <v>124</v>
      </c>
      <c r="BI476" s="50" t="s">
        <v>12023</v>
      </c>
      <c r="BJ476" s="50" t="s">
        <v>11889</v>
      </c>
      <c r="BK476" s="50" t="s">
        <v>127</v>
      </c>
      <c r="BL476" s="50" t="s">
        <v>19101</v>
      </c>
      <c r="BM476" s="50" t="s">
        <v>10150</v>
      </c>
      <c r="BN476" s="50" t="s">
        <v>10151</v>
      </c>
      <c r="BO476" s="50" t="s">
        <v>13202</v>
      </c>
      <c r="BP476" s="50" t="s">
        <v>4053</v>
      </c>
      <c r="BQ476" s="50" t="s">
        <v>132</v>
      </c>
      <c r="BR476" s="50" t="s">
        <v>4054</v>
      </c>
      <c r="BS476" s="50" t="s">
        <v>4055</v>
      </c>
      <c r="BT476" s="50" t="s">
        <v>4056</v>
      </c>
      <c r="BU476" s="50" t="s">
        <v>10152</v>
      </c>
      <c r="BV476" s="50" t="s">
        <v>19102</v>
      </c>
      <c r="BW476" s="50" t="s">
        <v>19103</v>
      </c>
      <c r="BX476" s="50" t="s">
        <v>354</v>
      </c>
      <c r="BY476" s="50" t="s">
        <v>1560</v>
      </c>
      <c r="BZ476" s="50" t="s">
        <v>1559</v>
      </c>
      <c r="CA476" s="50" t="s">
        <v>1560</v>
      </c>
      <c r="CB476" s="50" t="s">
        <v>19104</v>
      </c>
      <c r="CC476" s="50" t="s">
        <v>19105</v>
      </c>
      <c r="CD476" s="50" t="s">
        <v>19106</v>
      </c>
      <c r="CE476" s="50" t="s">
        <v>19104</v>
      </c>
      <c r="CF476" s="50" t="s">
        <v>19105</v>
      </c>
      <c r="CG476" s="50" t="s">
        <v>19106</v>
      </c>
      <c r="CH476" s="50" t="s">
        <v>573</v>
      </c>
      <c r="CI476" s="50" t="s">
        <v>19107</v>
      </c>
      <c r="CK476" s="50" t="s">
        <v>10157</v>
      </c>
      <c r="CL476" s="50" t="s">
        <v>10156</v>
      </c>
      <c r="CM476" s="50" t="s">
        <v>7718</v>
      </c>
      <c r="CN476" s="50" t="s">
        <v>211</v>
      </c>
      <c r="CO476" s="50" t="s">
        <v>10157</v>
      </c>
      <c r="CQ476" s="50" t="s">
        <v>10156</v>
      </c>
      <c r="CR476" s="50" t="s">
        <v>10156</v>
      </c>
      <c r="CS476" s="50" t="s">
        <v>26040</v>
      </c>
    </row>
    <row r="477" spans="1:97" hidden="1">
      <c r="A477" s="50" t="s">
        <v>149</v>
      </c>
      <c r="B477" s="50">
        <v>5017204</v>
      </c>
      <c r="C477" s="50" t="e">
        <f>VLOOKUP(B477,'Drop schools 2026'!B:C,2,0)</f>
        <v>#N/A</v>
      </c>
      <c r="D477" s="50" t="s">
        <v>122</v>
      </c>
      <c r="E477" s="50" t="s">
        <v>11882</v>
      </c>
      <c r="F477" s="50" t="s">
        <v>9883</v>
      </c>
      <c r="G477" s="50" t="e">
        <f>VLOOKUP(B477,aa!B:F,5,0)</f>
        <v>#N/A</v>
      </c>
      <c r="H477" s="50" t="e">
        <f>VLOOKUP(B477,aa!B:J,9,0)</f>
        <v>#N/A</v>
      </c>
      <c r="I477" s="50" t="e">
        <f>VLOOKUP(B477,aa!B:L,11,0)</f>
        <v>#N/A</v>
      </c>
      <c r="J477" s="50" t="e">
        <f>VLOOKUP(B477,aa!B:O,14,0)</f>
        <v>#N/A</v>
      </c>
      <c r="K477" s="50" t="e">
        <f>VLOOKUP(B477,aa!B:R,17,0)</f>
        <v>#N/A</v>
      </c>
      <c r="L477" s="50" t="s">
        <v>97</v>
      </c>
      <c r="M477" s="50">
        <v>236340</v>
      </c>
      <c r="N477" s="50">
        <v>236340</v>
      </c>
      <c r="O477" s="50">
        <v>236340</v>
      </c>
      <c r="P477" s="50">
        <v>255</v>
      </c>
      <c r="Q477" s="50" t="s">
        <v>13260</v>
      </c>
      <c r="R477" s="50">
        <v>0</v>
      </c>
      <c r="S477" s="50">
        <v>0</v>
      </c>
      <c r="U477" s="50">
        <v>0</v>
      </c>
      <c r="V477" s="50">
        <v>0</v>
      </c>
      <c r="X477" s="50" t="s">
        <v>102</v>
      </c>
      <c r="Y477" s="50" t="s">
        <v>275</v>
      </c>
      <c r="AA477" s="50" t="s">
        <v>12099</v>
      </c>
      <c r="AB477" s="50" t="s">
        <v>109</v>
      </c>
      <c r="AC477" s="50" t="s">
        <v>102</v>
      </c>
      <c r="AD477" s="50" t="s">
        <v>109</v>
      </c>
      <c r="AE477" s="50" t="s">
        <v>102</v>
      </c>
      <c r="AF477" s="50" t="s">
        <v>109</v>
      </c>
      <c r="AG477" s="50" t="s">
        <v>102</v>
      </c>
      <c r="AH477" s="50" t="s">
        <v>109</v>
      </c>
      <c r="AI477" s="50" t="s">
        <v>102</v>
      </c>
      <c r="AJ477" s="50" t="s">
        <v>102</v>
      </c>
      <c r="AK477" s="50" t="s">
        <v>12099</v>
      </c>
      <c r="AL477" s="50" t="s">
        <v>12099</v>
      </c>
      <c r="AM477" s="50" t="s">
        <v>19008</v>
      </c>
      <c r="AN477" s="50" t="s">
        <v>19009</v>
      </c>
      <c r="AO477" s="50" t="s">
        <v>19010</v>
      </c>
      <c r="AP477" s="50" t="s">
        <v>3357</v>
      </c>
      <c r="AQ477" s="50" t="s">
        <v>3357</v>
      </c>
      <c r="AV477" s="50" t="s">
        <v>117</v>
      </c>
      <c r="AW477" s="50" t="s">
        <v>118</v>
      </c>
      <c r="AX477" s="50" t="s">
        <v>102</v>
      </c>
      <c r="AY477" s="50" t="s">
        <v>119</v>
      </c>
      <c r="BC477" s="50" t="s">
        <v>120</v>
      </c>
      <c r="BD477" s="50" t="s">
        <v>4153</v>
      </c>
      <c r="BE477" s="50" t="s">
        <v>320</v>
      </c>
      <c r="BF477" s="50" t="s">
        <v>122</v>
      </c>
      <c r="BG477" s="50" t="s">
        <v>123</v>
      </c>
      <c r="BH477" s="50" t="s">
        <v>124</v>
      </c>
      <c r="BI477" s="50" t="s">
        <v>11888</v>
      </c>
      <c r="BJ477" s="50" t="s">
        <v>11889</v>
      </c>
      <c r="BK477" s="50" t="s">
        <v>127</v>
      </c>
      <c r="BL477" s="50" t="s">
        <v>19011</v>
      </c>
      <c r="BM477" s="50" t="s">
        <v>9891</v>
      </c>
      <c r="BN477" s="50" t="s">
        <v>19012</v>
      </c>
      <c r="BO477" s="50" t="s">
        <v>12020</v>
      </c>
      <c r="BP477" s="50" t="s">
        <v>3267</v>
      </c>
      <c r="BQ477" s="50" t="s">
        <v>350</v>
      </c>
      <c r="BR477" s="50" t="s">
        <v>3268</v>
      </c>
      <c r="BS477" s="50" t="s">
        <v>3269</v>
      </c>
      <c r="BT477" s="50" t="s">
        <v>135</v>
      </c>
      <c r="BV477" s="50" t="s">
        <v>19013</v>
      </c>
      <c r="BW477" s="50" t="s">
        <v>6970</v>
      </c>
      <c r="BX477" s="50" t="s">
        <v>138</v>
      </c>
      <c r="BY477" s="50" t="s">
        <v>16693</v>
      </c>
      <c r="BZ477" s="50" t="s">
        <v>16694</v>
      </c>
      <c r="CA477" s="50" t="s">
        <v>6969</v>
      </c>
      <c r="CB477" s="50" t="s">
        <v>6970</v>
      </c>
      <c r="CC477" s="50" t="s">
        <v>16693</v>
      </c>
      <c r="CD477" s="50" t="s">
        <v>16694</v>
      </c>
      <c r="CE477" s="50" t="s">
        <v>6966</v>
      </c>
      <c r="CF477" s="50" t="s">
        <v>6967</v>
      </c>
      <c r="CG477" s="50" t="s">
        <v>6968</v>
      </c>
      <c r="CH477" s="50" t="s">
        <v>102</v>
      </c>
      <c r="CI477" s="50" t="s">
        <v>19014</v>
      </c>
      <c r="CK477" s="50" t="s">
        <v>9897</v>
      </c>
      <c r="CM477" s="50" t="s">
        <v>4153</v>
      </c>
      <c r="CN477" s="50" t="s">
        <v>320</v>
      </c>
      <c r="CO477" s="50" t="s">
        <v>9897</v>
      </c>
      <c r="CQ477" s="50" t="s">
        <v>9896</v>
      </c>
      <c r="CR477" s="50" t="s">
        <v>9896</v>
      </c>
    </row>
    <row r="478" spans="1:97" hidden="1">
      <c r="A478" s="50" t="s">
        <v>149</v>
      </c>
      <c r="B478" s="50">
        <v>3368257</v>
      </c>
      <c r="C478" s="50" t="e">
        <f>VLOOKUP(B478,'Drop schools 2026'!B:C,2,0)</f>
        <v>#N/A</v>
      </c>
      <c r="D478" s="50" t="s">
        <v>212</v>
      </c>
      <c r="E478" s="50" t="s">
        <v>11995</v>
      </c>
      <c r="F478" s="50" t="s">
        <v>5688</v>
      </c>
      <c r="G478" s="50" t="e">
        <f>VLOOKUP(B478,aa!B:F,5,0)</f>
        <v>#N/A</v>
      </c>
      <c r="H478" s="50" t="e">
        <f>VLOOKUP(B478,aa!B:J,9,0)</f>
        <v>#N/A</v>
      </c>
      <c r="I478" s="50" t="e">
        <f>VLOOKUP(B478,aa!B:L,11,0)</f>
        <v>#N/A</v>
      </c>
      <c r="J478" s="50" t="e">
        <f>VLOOKUP(B478,aa!B:O,14,0)</f>
        <v>#N/A</v>
      </c>
      <c r="K478" s="50" t="e">
        <f>VLOOKUP(B478,aa!B:R,17,0)</f>
        <v>#N/A</v>
      </c>
      <c r="L478" s="50" t="s">
        <v>2044</v>
      </c>
      <c r="M478" s="50">
        <v>234943</v>
      </c>
      <c r="N478" s="50">
        <v>234943</v>
      </c>
      <c r="O478" s="50">
        <v>99198</v>
      </c>
      <c r="P478" s="50">
        <v>127</v>
      </c>
      <c r="Q478" s="50" t="s">
        <v>11321</v>
      </c>
      <c r="R478" s="50">
        <v>135745</v>
      </c>
      <c r="S478" s="50">
        <v>127</v>
      </c>
      <c r="T478" s="50" t="s">
        <v>15730</v>
      </c>
      <c r="U478" s="50">
        <v>0</v>
      </c>
      <c r="V478" s="50">
        <v>0</v>
      </c>
      <c r="X478" s="50" t="s">
        <v>102</v>
      </c>
      <c r="Y478" s="50" t="s">
        <v>103</v>
      </c>
      <c r="Z478" s="50" t="s">
        <v>398</v>
      </c>
      <c r="AB478" s="50" t="s">
        <v>8708</v>
      </c>
      <c r="AC478" s="50" t="s">
        <v>15731</v>
      </c>
      <c r="AD478" s="50" t="s">
        <v>12800</v>
      </c>
      <c r="AE478" s="50" t="s">
        <v>15732</v>
      </c>
      <c r="AF478" s="50" t="s">
        <v>12713</v>
      </c>
      <c r="AG478" s="50" t="s">
        <v>15732</v>
      </c>
      <c r="AH478" s="50" t="s">
        <v>109</v>
      </c>
      <c r="AI478" s="50" t="s">
        <v>102</v>
      </c>
      <c r="AJ478" s="50" t="s">
        <v>102</v>
      </c>
      <c r="AK478" s="50" t="s">
        <v>12427</v>
      </c>
      <c r="AL478" s="50" t="s">
        <v>15733</v>
      </c>
      <c r="AM478" s="50" t="s">
        <v>15734</v>
      </c>
      <c r="AN478" s="50" t="s">
        <v>15735</v>
      </c>
      <c r="AO478" s="50" t="s">
        <v>15736</v>
      </c>
      <c r="AP478" s="50" t="s">
        <v>11871</v>
      </c>
      <c r="AQ478" s="50" t="s">
        <v>11871</v>
      </c>
      <c r="AV478" s="50" t="s">
        <v>318</v>
      </c>
      <c r="AW478" s="50" t="s">
        <v>118</v>
      </c>
      <c r="AX478" s="50" t="s">
        <v>155</v>
      </c>
      <c r="AY478" s="50" t="s">
        <v>119</v>
      </c>
      <c r="AZ478" s="50" t="s">
        <v>170</v>
      </c>
      <c r="BA478" s="50" t="s">
        <v>118</v>
      </c>
      <c r="BC478" s="50" t="s">
        <v>2565</v>
      </c>
      <c r="BD478" s="50" t="s">
        <v>284</v>
      </c>
      <c r="BE478" s="50" t="s">
        <v>285</v>
      </c>
      <c r="BF478" s="50" t="s">
        <v>212</v>
      </c>
      <c r="BG478" s="50" t="s">
        <v>286</v>
      </c>
      <c r="BH478" s="50" t="s">
        <v>124</v>
      </c>
      <c r="BI478" s="50" t="s">
        <v>11959</v>
      </c>
      <c r="BJ478" s="50" t="s">
        <v>11960</v>
      </c>
      <c r="BK478" s="50" t="s">
        <v>127</v>
      </c>
      <c r="BL478" s="50" t="s">
        <v>15737</v>
      </c>
      <c r="BM478" s="50" t="s">
        <v>5701</v>
      </c>
      <c r="BN478" s="50" t="s">
        <v>15738</v>
      </c>
      <c r="BO478" s="50" t="s">
        <v>12711</v>
      </c>
      <c r="BP478" s="50" t="s">
        <v>956</v>
      </c>
      <c r="BQ478" s="50" t="s">
        <v>132</v>
      </c>
      <c r="BR478" s="50" t="s">
        <v>958</v>
      </c>
      <c r="BS478" s="50" t="s">
        <v>959</v>
      </c>
      <c r="BT478" s="50" t="s">
        <v>293</v>
      </c>
      <c r="BV478" s="50" t="s">
        <v>15739</v>
      </c>
      <c r="BW478" s="50" t="s">
        <v>5704</v>
      </c>
      <c r="BX478" s="50" t="s">
        <v>138</v>
      </c>
      <c r="BY478" s="50" t="s">
        <v>5705</v>
      </c>
      <c r="BZ478" s="50" t="s">
        <v>5706</v>
      </c>
      <c r="CA478" s="50" t="s">
        <v>5707</v>
      </c>
      <c r="CB478" s="50" t="s">
        <v>5704</v>
      </c>
      <c r="CC478" s="50" t="s">
        <v>5705</v>
      </c>
      <c r="CD478" s="50" t="s">
        <v>5706</v>
      </c>
      <c r="CE478" s="50" t="s">
        <v>5704</v>
      </c>
      <c r="CF478" s="50" t="s">
        <v>5705</v>
      </c>
      <c r="CG478" s="50" t="s">
        <v>5706</v>
      </c>
      <c r="CH478" s="50" t="s">
        <v>907</v>
      </c>
      <c r="CI478" s="50" t="s">
        <v>5711</v>
      </c>
      <c r="CK478" s="50" t="s">
        <v>5712</v>
      </c>
      <c r="CM478" s="50" t="s">
        <v>284</v>
      </c>
      <c r="CN478" s="50" t="s">
        <v>285</v>
      </c>
      <c r="CO478" s="50" t="s">
        <v>5712</v>
      </c>
      <c r="CQ478" s="50" t="s">
        <v>5711</v>
      </c>
      <c r="CR478" s="50" t="s">
        <v>5711</v>
      </c>
      <c r="CS478" s="50" t="s">
        <v>26040</v>
      </c>
    </row>
    <row r="479" spans="1:97" hidden="1">
      <c r="A479" s="50" t="s">
        <v>337</v>
      </c>
      <c r="B479" s="50">
        <v>2378636</v>
      </c>
      <c r="C479" s="50" t="e">
        <f>VLOOKUP(B479,'Drop schools 2026'!B:C,2,0)</f>
        <v>#N/A</v>
      </c>
      <c r="D479" s="50" t="s">
        <v>174</v>
      </c>
      <c r="E479" s="50" t="s">
        <v>384</v>
      </c>
      <c r="F479" s="50" t="s">
        <v>13768</v>
      </c>
      <c r="G479" s="50" t="str">
        <f>VLOOKUP(B479,aa!B:F,5,0)</f>
        <v>Ei CARES</v>
      </c>
      <c r="H479" s="50">
        <f>VLOOKUP(B479,aa!B:J,9,0)</f>
        <v>474357</v>
      </c>
      <c r="I479" s="50">
        <f>VLOOKUP(B479,aa!B:L,11,0)</f>
        <v>0</v>
      </c>
      <c r="J479" s="50">
        <f>VLOOKUP(B479,aa!B:O,14,0)</f>
        <v>474357</v>
      </c>
      <c r="K479" s="50">
        <f>VLOOKUP(B479,aa!B:R,17,0)</f>
        <v>0</v>
      </c>
      <c r="L479" s="50" t="s">
        <v>152</v>
      </c>
      <c r="M479" s="50">
        <v>234145</v>
      </c>
      <c r="N479" s="50">
        <v>234145</v>
      </c>
      <c r="O479" s="50">
        <v>0</v>
      </c>
      <c r="P479" s="50">
        <v>0</v>
      </c>
      <c r="R479" s="50">
        <v>234145</v>
      </c>
      <c r="S479" s="50">
        <v>260</v>
      </c>
      <c r="T479" s="50" t="s">
        <v>13770</v>
      </c>
      <c r="U479" s="50">
        <v>0</v>
      </c>
      <c r="V479" s="50">
        <v>0</v>
      </c>
      <c r="X479" s="50" t="s">
        <v>102</v>
      </c>
      <c r="Y479" s="50" t="s">
        <v>103</v>
      </c>
      <c r="Z479" s="50" t="s">
        <v>155</v>
      </c>
      <c r="AB479" s="50" t="s">
        <v>13769</v>
      </c>
      <c r="AC479" s="50" t="s">
        <v>13771</v>
      </c>
      <c r="AD479" s="50" t="s">
        <v>11976</v>
      </c>
      <c r="AE479" s="50" t="s">
        <v>13771</v>
      </c>
      <c r="AF479" s="50" t="s">
        <v>11888</v>
      </c>
      <c r="AG479" s="50" t="s">
        <v>13771</v>
      </c>
      <c r="AH479" s="50" t="s">
        <v>12820</v>
      </c>
      <c r="AI479" s="50" t="s">
        <v>13771</v>
      </c>
      <c r="AJ479" s="50" t="s">
        <v>102</v>
      </c>
      <c r="AK479" s="50" t="s">
        <v>11938</v>
      </c>
      <c r="AL479" s="50" t="s">
        <v>13772</v>
      </c>
      <c r="AM479" s="50" t="s">
        <v>13773</v>
      </c>
      <c r="AN479" s="50" t="s">
        <v>13774</v>
      </c>
      <c r="AO479" s="50" t="s">
        <v>13771</v>
      </c>
      <c r="AP479" s="50" t="s">
        <v>13775</v>
      </c>
      <c r="AQ479" s="50" t="s">
        <v>13775</v>
      </c>
      <c r="AV479" s="50" t="s">
        <v>102</v>
      </c>
      <c r="AX479" s="50" t="s">
        <v>104</v>
      </c>
      <c r="AY479" s="50" t="s">
        <v>447</v>
      </c>
      <c r="AZ479" s="50" t="s">
        <v>170</v>
      </c>
      <c r="BA479" s="50" t="s">
        <v>118</v>
      </c>
      <c r="BC479" s="50" t="s">
        <v>120</v>
      </c>
      <c r="BD479" s="50" t="s">
        <v>13776</v>
      </c>
      <c r="BE479" s="50" t="s">
        <v>376</v>
      </c>
      <c r="BF479" s="50" t="s">
        <v>174</v>
      </c>
      <c r="BG479" s="50" t="s">
        <v>376</v>
      </c>
      <c r="BH479" s="50" t="s">
        <v>124</v>
      </c>
      <c r="BI479" s="50" t="s">
        <v>12711</v>
      </c>
      <c r="BJ479" s="50" t="s">
        <v>11889</v>
      </c>
      <c r="BK479" s="50" t="s">
        <v>127</v>
      </c>
      <c r="BL479" s="50" t="s">
        <v>13777</v>
      </c>
      <c r="BM479" s="50" t="s">
        <v>13778</v>
      </c>
      <c r="BN479" s="50" t="s">
        <v>13779</v>
      </c>
      <c r="BO479" s="50" t="s">
        <v>13769</v>
      </c>
      <c r="BP479" s="50" t="s">
        <v>13780</v>
      </c>
      <c r="BQ479" s="50" t="s">
        <v>180</v>
      </c>
      <c r="BR479" s="50" t="s">
        <v>13781</v>
      </c>
      <c r="BS479" s="50" t="s">
        <v>13782</v>
      </c>
      <c r="BT479" s="50" t="s">
        <v>13783</v>
      </c>
      <c r="BV479" s="50" t="s">
        <v>13784</v>
      </c>
      <c r="BW479" s="50" t="s">
        <v>13785</v>
      </c>
      <c r="BX479" s="50" t="s">
        <v>138</v>
      </c>
      <c r="BY479" s="50" t="s">
        <v>13786</v>
      </c>
      <c r="BZ479" s="50" t="s">
        <v>13787</v>
      </c>
      <c r="CA479" s="50" t="s">
        <v>13786</v>
      </c>
      <c r="CB479" s="50" t="s">
        <v>13785</v>
      </c>
      <c r="CC479" s="50" t="s">
        <v>13786</v>
      </c>
      <c r="CD479" s="50" t="s">
        <v>13787</v>
      </c>
      <c r="CE479" s="50" t="s">
        <v>13785</v>
      </c>
      <c r="CF479" s="50" t="s">
        <v>13786</v>
      </c>
      <c r="CG479" s="50" t="s">
        <v>13787</v>
      </c>
      <c r="CH479" s="50" t="s">
        <v>358</v>
      </c>
      <c r="CI479" s="50" t="s">
        <v>13788</v>
      </c>
      <c r="CK479" s="50" t="s">
        <v>13789</v>
      </c>
      <c r="CL479" s="50" t="s">
        <v>13790</v>
      </c>
      <c r="CM479" s="50" t="s">
        <v>13776</v>
      </c>
      <c r="CN479" s="50" t="s">
        <v>376</v>
      </c>
      <c r="CO479" s="50" t="s">
        <v>13789</v>
      </c>
      <c r="CQ479" s="50" t="s">
        <v>13790</v>
      </c>
      <c r="CR479" s="50" t="s">
        <v>13790</v>
      </c>
    </row>
    <row r="480" spans="1:97" hidden="1">
      <c r="A480" s="50" t="s">
        <v>337</v>
      </c>
      <c r="B480" s="50">
        <v>5016190</v>
      </c>
      <c r="C480" s="50" t="e">
        <f>VLOOKUP(B480,'Drop schools 2026'!B:C,2,0)</f>
        <v>#N/A</v>
      </c>
      <c r="D480" s="50" t="s">
        <v>122</v>
      </c>
      <c r="E480" s="50" t="s">
        <v>11882</v>
      </c>
      <c r="F480" s="50" t="s">
        <v>18801</v>
      </c>
      <c r="G480" s="50" t="str">
        <f>VLOOKUP(B480,aa!B:F,5,0)</f>
        <v>Ei ASSET</v>
      </c>
      <c r="H480" s="50">
        <f>VLOOKUP(B480,aa!B:J,9,0)</f>
        <v>260040</v>
      </c>
      <c r="I480" s="50">
        <f>VLOOKUP(B480,aa!B:L,11,0)</f>
        <v>260040</v>
      </c>
      <c r="J480" s="50">
        <f>VLOOKUP(B480,aa!B:O,14,0)</f>
        <v>0</v>
      </c>
      <c r="K480" s="50">
        <f>VLOOKUP(B480,aa!B:R,17,0)</f>
        <v>0</v>
      </c>
      <c r="L480" s="50" t="s">
        <v>97</v>
      </c>
      <c r="M480" s="50">
        <v>231000</v>
      </c>
      <c r="N480" s="50">
        <v>231000</v>
      </c>
      <c r="O480" s="50">
        <v>231000</v>
      </c>
      <c r="P480" s="50">
        <v>385</v>
      </c>
      <c r="Q480" s="50" t="s">
        <v>310</v>
      </c>
      <c r="R480" s="50">
        <v>0</v>
      </c>
      <c r="S480" s="50">
        <v>0</v>
      </c>
      <c r="U480" s="50">
        <v>0</v>
      </c>
      <c r="V480" s="50">
        <v>0</v>
      </c>
      <c r="X480" s="50" t="s">
        <v>102</v>
      </c>
      <c r="Y480" s="50" t="s">
        <v>103</v>
      </c>
      <c r="Z480" s="50" t="s">
        <v>398</v>
      </c>
      <c r="AB480" s="50" t="s">
        <v>4813</v>
      </c>
      <c r="AC480" s="50" t="s">
        <v>18802</v>
      </c>
      <c r="AD480" s="50" t="s">
        <v>13886</v>
      </c>
      <c r="AE480" s="50" t="s">
        <v>18803</v>
      </c>
      <c r="AF480" s="50" t="s">
        <v>8488</v>
      </c>
      <c r="AG480" s="50" t="s">
        <v>18803</v>
      </c>
      <c r="AH480" s="50" t="s">
        <v>109</v>
      </c>
      <c r="AI480" s="50" t="s">
        <v>102</v>
      </c>
      <c r="AJ480" s="50" t="s">
        <v>102</v>
      </c>
      <c r="AK480" s="50" t="s">
        <v>8783</v>
      </c>
      <c r="AL480" s="50" t="s">
        <v>14267</v>
      </c>
      <c r="AM480" s="50" t="s">
        <v>18804</v>
      </c>
      <c r="AN480" s="50" t="s">
        <v>18805</v>
      </c>
      <c r="AO480" s="50" t="s">
        <v>18806</v>
      </c>
      <c r="AP480" s="50" t="s">
        <v>317</v>
      </c>
      <c r="AQ480" s="50" t="s">
        <v>317</v>
      </c>
      <c r="AV480" s="50" t="s">
        <v>318</v>
      </c>
      <c r="AW480" s="50" t="s">
        <v>118</v>
      </c>
      <c r="AX480" s="50" t="s">
        <v>102</v>
      </c>
      <c r="AY480" s="50" t="s">
        <v>119</v>
      </c>
      <c r="BC480" s="50" t="s">
        <v>120</v>
      </c>
      <c r="BD480" s="50" t="s">
        <v>3854</v>
      </c>
      <c r="BE480" s="50" t="s">
        <v>449</v>
      </c>
      <c r="BF480" s="50" t="s">
        <v>122</v>
      </c>
      <c r="BG480" s="50" t="s">
        <v>450</v>
      </c>
      <c r="BH480" s="50" t="s">
        <v>124</v>
      </c>
      <c r="BI480" s="50" t="s">
        <v>4813</v>
      </c>
      <c r="BJ480" s="50" t="s">
        <v>11889</v>
      </c>
      <c r="BK480" s="50" t="s">
        <v>127</v>
      </c>
      <c r="BL480" s="50" t="s">
        <v>18807</v>
      </c>
      <c r="BM480" s="50" t="s">
        <v>18808</v>
      </c>
      <c r="BN480" s="50" t="s">
        <v>18809</v>
      </c>
      <c r="BO480" s="50" t="s">
        <v>1403</v>
      </c>
      <c r="BP480" s="50" t="s">
        <v>131</v>
      </c>
      <c r="BQ480" s="50" t="s">
        <v>505</v>
      </c>
      <c r="BR480" s="50" t="s">
        <v>133</v>
      </c>
      <c r="BS480" s="50" t="s">
        <v>134</v>
      </c>
      <c r="BT480" s="50" t="s">
        <v>455</v>
      </c>
      <c r="BV480" s="50" t="s">
        <v>18810</v>
      </c>
      <c r="BW480" s="50" t="s">
        <v>18811</v>
      </c>
      <c r="BX480" s="50" t="s">
        <v>138</v>
      </c>
      <c r="BY480" s="50" t="s">
        <v>18812</v>
      </c>
      <c r="BZ480" s="50" t="s">
        <v>18813</v>
      </c>
      <c r="CA480" s="50" t="s">
        <v>18814</v>
      </c>
      <c r="CB480" s="50" t="s">
        <v>18811</v>
      </c>
      <c r="CC480" s="50" t="s">
        <v>18812</v>
      </c>
      <c r="CD480" s="50" t="s">
        <v>18813</v>
      </c>
      <c r="CE480" s="50" t="s">
        <v>18815</v>
      </c>
      <c r="CF480" s="50" t="s">
        <v>18816</v>
      </c>
      <c r="CG480" s="50" t="s">
        <v>18817</v>
      </c>
      <c r="CH480" s="50" t="s">
        <v>18818</v>
      </c>
      <c r="CI480" s="50" t="s">
        <v>18819</v>
      </c>
      <c r="CK480" s="50" t="s">
        <v>7472</v>
      </c>
      <c r="CL480" s="50" t="s">
        <v>18819</v>
      </c>
      <c r="CM480" s="50" t="s">
        <v>3854</v>
      </c>
      <c r="CN480" s="50" t="s">
        <v>449</v>
      </c>
      <c r="CO480" s="50" t="s">
        <v>7472</v>
      </c>
      <c r="CQ480" s="50" t="s">
        <v>18820</v>
      </c>
      <c r="CR480" s="50" t="s">
        <v>18820</v>
      </c>
    </row>
    <row r="481" spans="1:97" hidden="1">
      <c r="A481" s="50" t="s">
        <v>149</v>
      </c>
      <c r="B481" s="50">
        <v>4156856</v>
      </c>
      <c r="C481" s="50" t="e">
        <f>VLOOKUP(B481,'Drop schools 2026'!B:C,2,0)</f>
        <v>#N/A</v>
      </c>
      <c r="D481" s="50" t="s">
        <v>122</v>
      </c>
      <c r="E481" s="50" t="s">
        <v>11882</v>
      </c>
      <c r="F481" s="50" t="s">
        <v>8764</v>
      </c>
      <c r="G481" s="50" t="str">
        <f>VLOOKUP(B481,aa!B:F,5,0)</f>
        <v>Ei ASSET, Ei CARES, Ei Mindspark</v>
      </c>
      <c r="H481" s="50">
        <f>VLOOKUP(B481,aa!B:J,9,0)</f>
        <v>284834</v>
      </c>
      <c r="I481" s="50">
        <f>VLOOKUP(B481,aa!B:L,11,0)</f>
        <v>50482</v>
      </c>
      <c r="J481" s="50">
        <f>VLOOKUP(B481,aa!B:O,14,0)</f>
        <v>156493</v>
      </c>
      <c r="K481" s="50">
        <f>VLOOKUP(B481,aa!B:R,17,0)</f>
        <v>77859</v>
      </c>
      <c r="L481" s="50" t="s">
        <v>2163</v>
      </c>
      <c r="M481" s="50">
        <v>230831</v>
      </c>
      <c r="N481" s="50">
        <v>242837</v>
      </c>
      <c r="O481" s="50">
        <v>35528</v>
      </c>
      <c r="P481" s="50">
        <v>91</v>
      </c>
      <c r="Q481" s="50" t="s">
        <v>18188</v>
      </c>
      <c r="R481" s="50">
        <v>128603</v>
      </c>
      <c r="S481" s="50">
        <v>83</v>
      </c>
      <c r="T481" s="50" t="s">
        <v>18189</v>
      </c>
      <c r="U481" s="50">
        <v>66700</v>
      </c>
      <c r="V481" s="50">
        <v>101</v>
      </c>
      <c r="W481" s="50" t="s">
        <v>18190</v>
      </c>
      <c r="X481" s="50" t="s">
        <v>102</v>
      </c>
      <c r="Y481" s="50" t="s">
        <v>103</v>
      </c>
      <c r="Z481" s="50" t="s">
        <v>155</v>
      </c>
      <c r="AB481" s="50" t="s">
        <v>18191</v>
      </c>
      <c r="AC481" s="50" t="s">
        <v>18192</v>
      </c>
      <c r="AD481" s="50" t="s">
        <v>18193</v>
      </c>
      <c r="AE481" s="50" t="s">
        <v>18192</v>
      </c>
      <c r="AF481" s="50" t="s">
        <v>11888</v>
      </c>
      <c r="AG481" s="50" t="s">
        <v>18192</v>
      </c>
      <c r="AH481" s="50" t="s">
        <v>12084</v>
      </c>
      <c r="AI481" s="50" t="s">
        <v>18192</v>
      </c>
      <c r="AJ481" s="50" t="s">
        <v>8004</v>
      </c>
      <c r="AK481" s="50" t="s">
        <v>12923</v>
      </c>
      <c r="AL481" s="50" t="s">
        <v>12923</v>
      </c>
      <c r="AM481" s="50" t="s">
        <v>18194</v>
      </c>
      <c r="AN481" s="50" t="s">
        <v>18195</v>
      </c>
      <c r="AO481" s="50" t="s">
        <v>18196</v>
      </c>
      <c r="AP481" s="50" t="s">
        <v>18197</v>
      </c>
      <c r="AQ481" s="50" t="s">
        <v>18198</v>
      </c>
      <c r="AU481" s="50" t="s">
        <v>169</v>
      </c>
      <c r="AV481" s="50" t="s">
        <v>247</v>
      </c>
      <c r="AW481" s="50" t="s">
        <v>118</v>
      </c>
      <c r="AX481" s="50" t="s">
        <v>3536</v>
      </c>
      <c r="AY481" s="50" t="s">
        <v>119</v>
      </c>
      <c r="AZ481" s="50" t="s">
        <v>3384</v>
      </c>
      <c r="BA481" s="50" t="s">
        <v>118</v>
      </c>
      <c r="BB481" s="50" t="s">
        <v>250</v>
      </c>
      <c r="BC481" s="50" t="s">
        <v>1664</v>
      </c>
      <c r="BD481" s="50" t="s">
        <v>448</v>
      </c>
      <c r="BE481" s="50" t="s">
        <v>449</v>
      </c>
      <c r="BF481" s="50" t="s">
        <v>122</v>
      </c>
      <c r="BG481" s="50" t="s">
        <v>450</v>
      </c>
      <c r="BH481" s="50" t="s">
        <v>124</v>
      </c>
      <c r="BI481" s="50" t="s">
        <v>18199</v>
      </c>
      <c r="BJ481" s="50" t="s">
        <v>11889</v>
      </c>
      <c r="BK481" s="50" t="s">
        <v>127</v>
      </c>
      <c r="BL481" s="50" t="s">
        <v>18200</v>
      </c>
      <c r="BM481" s="50" t="s">
        <v>8774</v>
      </c>
      <c r="BN481" s="50" t="s">
        <v>18201</v>
      </c>
      <c r="BO481" s="50" t="s">
        <v>18187</v>
      </c>
      <c r="BP481" s="50" t="s">
        <v>3267</v>
      </c>
      <c r="BQ481" s="50" t="s">
        <v>350</v>
      </c>
      <c r="BR481" s="50" t="s">
        <v>3268</v>
      </c>
      <c r="BS481" s="50" t="s">
        <v>3269</v>
      </c>
      <c r="BT481" s="50" t="s">
        <v>135</v>
      </c>
      <c r="BV481" s="50" t="s">
        <v>18202</v>
      </c>
      <c r="BW481" s="50" t="s">
        <v>17391</v>
      </c>
      <c r="BX481" s="50" t="s">
        <v>3121</v>
      </c>
      <c r="BY481" s="50" t="s">
        <v>17392</v>
      </c>
      <c r="BZ481" s="50" t="s">
        <v>17393</v>
      </c>
      <c r="CA481" s="50" t="s">
        <v>8015</v>
      </c>
      <c r="CB481" s="50" t="s">
        <v>18203</v>
      </c>
      <c r="CC481" s="50" t="s">
        <v>18204</v>
      </c>
      <c r="CD481" s="50" t="s">
        <v>17393</v>
      </c>
      <c r="CE481" s="50" t="s">
        <v>18203</v>
      </c>
      <c r="CF481" s="50" t="s">
        <v>18204</v>
      </c>
      <c r="CG481" s="50" t="s">
        <v>17393</v>
      </c>
      <c r="CH481" s="50" t="s">
        <v>102</v>
      </c>
      <c r="CI481" s="50" t="s">
        <v>18205</v>
      </c>
      <c r="CK481" s="50" t="s">
        <v>8000</v>
      </c>
      <c r="CM481" s="50" t="s">
        <v>448</v>
      </c>
      <c r="CN481" s="50" t="s">
        <v>449</v>
      </c>
      <c r="CO481" s="50" t="s">
        <v>8000</v>
      </c>
      <c r="CP481" s="50" t="s">
        <v>5687</v>
      </c>
      <c r="CQ481" s="50" t="s">
        <v>8781</v>
      </c>
      <c r="CR481" s="50" t="s">
        <v>8781</v>
      </c>
    </row>
    <row r="482" spans="1:97" hidden="1">
      <c r="A482" s="50" t="s">
        <v>149</v>
      </c>
      <c r="B482" s="50">
        <v>3495816</v>
      </c>
      <c r="C482" s="50" t="e">
        <f>VLOOKUP(B482,'Drop schools 2026'!B:C,2,0)</f>
        <v>#N/A</v>
      </c>
      <c r="D482" s="50" t="s">
        <v>174</v>
      </c>
      <c r="E482" s="50" t="s">
        <v>12058</v>
      </c>
      <c r="F482" s="50" t="s">
        <v>6406</v>
      </c>
      <c r="G482" s="50" t="e">
        <f>VLOOKUP(B482,aa!B:F,5,0)</f>
        <v>#N/A</v>
      </c>
      <c r="H482" s="50" t="e">
        <f>VLOOKUP(B482,aa!B:J,9,0)</f>
        <v>#N/A</v>
      </c>
      <c r="I482" s="50" t="e">
        <f>VLOOKUP(B482,aa!B:L,11,0)</f>
        <v>#N/A</v>
      </c>
      <c r="J482" s="50" t="e">
        <f>VLOOKUP(B482,aa!B:O,14,0)</f>
        <v>#N/A</v>
      </c>
      <c r="K482" s="50" t="e">
        <f>VLOOKUP(B482,aa!B:R,17,0)</f>
        <v>#N/A</v>
      </c>
      <c r="L482" s="50" t="s">
        <v>152</v>
      </c>
      <c r="M482" s="50">
        <v>230674</v>
      </c>
      <c r="N482" s="50">
        <v>230674</v>
      </c>
      <c r="O482" s="50">
        <v>0</v>
      </c>
      <c r="P482" s="50">
        <v>0</v>
      </c>
      <c r="R482" s="50">
        <v>230674</v>
      </c>
      <c r="S482" s="50">
        <v>157</v>
      </c>
      <c r="T482" s="50" t="s">
        <v>12779</v>
      </c>
      <c r="U482" s="50">
        <v>0</v>
      </c>
      <c r="V482" s="50">
        <v>0</v>
      </c>
      <c r="X482" s="50" t="s">
        <v>102</v>
      </c>
      <c r="Y482" s="50" t="s">
        <v>103</v>
      </c>
      <c r="Z482" s="50" t="s">
        <v>155</v>
      </c>
      <c r="AB482" s="50" t="s">
        <v>11959</v>
      </c>
      <c r="AC482" s="50" t="s">
        <v>16272</v>
      </c>
      <c r="AD482" s="50" t="s">
        <v>12781</v>
      </c>
      <c r="AE482" s="50" t="s">
        <v>16272</v>
      </c>
      <c r="AF482" s="50" t="s">
        <v>14373</v>
      </c>
      <c r="AG482" s="50" t="s">
        <v>16272</v>
      </c>
      <c r="AH482" s="50" t="s">
        <v>11886</v>
      </c>
      <c r="AI482" s="50" t="s">
        <v>16272</v>
      </c>
      <c r="AJ482" s="50" t="s">
        <v>16273</v>
      </c>
      <c r="AK482" s="50" t="s">
        <v>16185</v>
      </c>
      <c r="AL482" s="50" t="s">
        <v>16185</v>
      </c>
      <c r="AM482" s="50" t="s">
        <v>16274</v>
      </c>
      <c r="AN482" s="50" t="s">
        <v>16275</v>
      </c>
      <c r="AO482" s="50" t="s">
        <v>16276</v>
      </c>
      <c r="AP482" s="50" t="s">
        <v>12787</v>
      </c>
      <c r="AQ482" s="50" t="s">
        <v>12787</v>
      </c>
      <c r="AV482" s="50" t="s">
        <v>102</v>
      </c>
      <c r="AX482" s="50" t="s">
        <v>3536</v>
      </c>
      <c r="AY482" s="50" t="s">
        <v>119</v>
      </c>
      <c r="AZ482" s="50" t="s">
        <v>170</v>
      </c>
      <c r="BA482" s="50" t="s">
        <v>118</v>
      </c>
      <c r="BC482" s="50" t="s">
        <v>171</v>
      </c>
      <c r="BD482" s="50" t="s">
        <v>2820</v>
      </c>
      <c r="BE482" s="50" t="s">
        <v>376</v>
      </c>
      <c r="BF482" s="50" t="s">
        <v>174</v>
      </c>
      <c r="BG482" s="50" t="s">
        <v>376</v>
      </c>
      <c r="BH482" s="50" t="s">
        <v>124</v>
      </c>
      <c r="BI482" s="50" t="s">
        <v>11938</v>
      </c>
      <c r="BJ482" s="50" t="s">
        <v>12788</v>
      </c>
      <c r="BK482" s="50" t="s">
        <v>127</v>
      </c>
      <c r="BL482" s="50" t="s">
        <v>16277</v>
      </c>
      <c r="BM482" s="50" t="s">
        <v>6416</v>
      </c>
      <c r="BN482" s="50" t="s">
        <v>16278</v>
      </c>
      <c r="BO482" s="50" t="s">
        <v>11938</v>
      </c>
      <c r="BP482" s="50" t="s">
        <v>12071</v>
      </c>
      <c r="BQ482" s="50" t="s">
        <v>180</v>
      </c>
      <c r="BR482" s="50" t="s">
        <v>12072</v>
      </c>
      <c r="BS482" s="50" t="s">
        <v>12073</v>
      </c>
      <c r="BT482" s="50" t="s">
        <v>183</v>
      </c>
      <c r="BV482" s="50" t="s">
        <v>16279</v>
      </c>
      <c r="BW482" s="50" t="s">
        <v>12792</v>
      </c>
      <c r="BX482" s="50" t="s">
        <v>138</v>
      </c>
      <c r="BY482" s="50" t="s">
        <v>1536</v>
      </c>
      <c r="BZ482" s="50" t="s">
        <v>1537</v>
      </c>
      <c r="CA482" s="50" t="s">
        <v>6419</v>
      </c>
      <c r="CB482" s="50" t="s">
        <v>12792</v>
      </c>
      <c r="CC482" s="50" t="s">
        <v>12794</v>
      </c>
      <c r="CD482" s="50" t="s">
        <v>1537</v>
      </c>
      <c r="CE482" s="50" t="s">
        <v>12796</v>
      </c>
      <c r="CF482" s="50" t="s">
        <v>1536</v>
      </c>
      <c r="CG482" s="50" t="s">
        <v>12797</v>
      </c>
      <c r="CH482" s="50" t="s">
        <v>6370</v>
      </c>
      <c r="CI482" s="50" t="s">
        <v>16280</v>
      </c>
      <c r="CK482" s="50" t="s">
        <v>1644</v>
      </c>
      <c r="CL482" s="50" t="s">
        <v>6420</v>
      </c>
      <c r="CM482" s="50" t="s">
        <v>2820</v>
      </c>
      <c r="CN482" s="50" t="s">
        <v>376</v>
      </c>
      <c r="CO482" s="50" t="s">
        <v>1644</v>
      </c>
      <c r="CP482" s="50" t="s">
        <v>6421</v>
      </c>
      <c r="CQ482" s="50" t="s">
        <v>6420</v>
      </c>
      <c r="CR482" s="50" t="s">
        <v>6420</v>
      </c>
      <c r="CS482" s="50" t="s">
        <v>26047</v>
      </c>
    </row>
    <row r="483" spans="1:97" hidden="1">
      <c r="A483" s="50" t="s">
        <v>337</v>
      </c>
      <c r="B483" s="50">
        <v>5045366</v>
      </c>
      <c r="C483" s="50" t="e">
        <f>VLOOKUP(B483,'Drop schools 2026'!B:C,2,0)</f>
        <v>#N/A</v>
      </c>
      <c r="D483" s="50" t="s">
        <v>212</v>
      </c>
      <c r="E483" s="50" t="s">
        <v>12834</v>
      </c>
      <c r="F483" s="50" t="s">
        <v>20439</v>
      </c>
      <c r="G483" s="50" t="e">
        <f>VLOOKUP(B483,aa!B:F,5,0)</f>
        <v>#N/A</v>
      </c>
      <c r="H483" s="50" t="e">
        <f>VLOOKUP(B483,aa!B:J,9,0)</f>
        <v>#N/A</v>
      </c>
      <c r="I483" s="50" t="e">
        <f>VLOOKUP(B483,aa!B:L,11,0)</f>
        <v>#N/A</v>
      </c>
      <c r="J483" s="50" t="e">
        <f>VLOOKUP(B483,aa!B:O,14,0)</f>
        <v>#N/A</v>
      </c>
      <c r="K483" s="50" t="e">
        <f>VLOOKUP(B483,aa!B:R,17,0)</f>
        <v>#N/A</v>
      </c>
      <c r="L483" s="50" t="s">
        <v>97</v>
      </c>
      <c r="M483" s="50">
        <v>228600</v>
      </c>
      <c r="N483" s="50">
        <v>228600</v>
      </c>
      <c r="O483" s="50">
        <v>228600</v>
      </c>
      <c r="P483" s="50">
        <v>381</v>
      </c>
      <c r="Q483" s="50" t="s">
        <v>310</v>
      </c>
      <c r="R483" s="50">
        <v>0</v>
      </c>
      <c r="S483" s="50">
        <v>0</v>
      </c>
      <c r="U483" s="50">
        <v>0</v>
      </c>
      <c r="V483" s="50">
        <v>0</v>
      </c>
      <c r="X483" s="50" t="s">
        <v>102</v>
      </c>
      <c r="Y483" s="50" t="s">
        <v>103</v>
      </c>
      <c r="Z483" s="50" t="s">
        <v>398</v>
      </c>
      <c r="AB483" s="50" t="s">
        <v>12128</v>
      </c>
      <c r="AC483" s="50" t="s">
        <v>20440</v>
      </c>
      <c r="AD483" s="50" t="s">
        <v>12836</v>
      </c>
      <c r="AE483" s="50" t="s">
        <v>20441</v>
      </c>
      <c r="AF483" s="50" t="s">
        <v>12838</v>
      </c>
      <c r="AG483" s="50" t="s">
        <v>20441</v>
      </c>
      <c r="AH483" s="50" t="s">
        <v>109</v>
      </c>
      <c r="AI483" s="50" t="s">
        <v>102</v>
      </c>
      <c r="AJ483" s="50" t="s">
        <v>102</v>
      </c>
      <c r="AM483" s="50" t="s">
        <v>20442</v>
      </c>
      <c r="AN483" s="50" t="s">
        <v>102</v>
      </c>
      <c r="AO483" s="50" t="s">
        <v>20442</v>
      </c>
      <c r="AP483" s="50" t="s">
        <v>317</v>
      </c>
      <c r="AQ483" s="50" t="s">
        <v>317</v>
      </c>
      <c r="AV483" s="50" t="s">
        <v>318</v>
      </c>
      <c r="AW483" s="50" t="s">
        <v>118</v>
      </c>
      <c r="AX483" s="50" t="s">
        <v>102</v>
      </c>
      <c r="AY483" s="50" t="s">
        <v>119</v>
      </c>
      <c r="BC483" s="50" t="s">
        <v>1964</v>
      </c>
      <c r="BD483" s="50" t="s">
        <v>7718</v>
      </c>
      <c r="BE483" s="50" t="s">
        <v>211</v>
      </c>
      <c r="BF483" s="50" t="s">
        <v>212</v>
      </c>
      <c r="BG483" s="50" t="s">
        <v>213</v>
      </c>
      <c r="BH483" s="50" t="s">
        <v>124</v>
      </c>
      <c r="BI483" s="50" t="s">
        <v>12023</v>
      </c>
      <c r="BJ483" s="50" t="s">
        <v>11889</v>
      </c>
      <c r="BK483" s="50" t="s">
        <v>127</v>
      </c>
      <c r="BL483" s="50" t="s">
        <v>20443</v>
      </c>
      <c r="BM483" s="50" t="s">
        <v>20444</v>
      </c>
      <c r="BN483" s="50" t="s">
        <v>20445</v>
      </c>
      <c r="BO483" s="50" t="s">
        <v>411</v>
      </c>
      <c r="BP483" s="50" t="s">
        <v>480</v>
      </c>
      <c r="BQ483" s="50" t="s">
        <v>505</v>
      </c>
      <c r="BR483" s="50" t="s">
        <v>481</v>
      </c>
      <c r="BS483" s="50" t="s">
        <v>482</v>
      </c>
      <c r="BT483" s="50" t="s">
        <v>2593</v>
      </c>
      <c r="BV483" s="50" t="s">
        <v>20446</v>
      </c>
      <c r="BW483" s="50" t="s">
        <v>20447</v>
      </c>
      <c r="BX483" s="50" t="s">
        <v>138</v>
      </c>
      <c r="BY483" s="50" t="s">
        <v>481</v>
      </c>
      <c r="BZ483" s="50" t="s">
        <v>12845</v>
      </c>
      <c r="CA483" s="50" t="s">
        <v>20448</v>
      </c>
      <c r="CB483" s="50" t="s">
        <v>20447</v>
      </c>
      <c r="CC483" s="50" t="s">
        <v>20448</v>
      </c>
      <c r="CD483" s="50" t="s">
        <v>20449</v>
      </c>
      <c r="CE483" s="50" t="s">
        <v>20450</v>
      </c>
      <c r="CF483" s="50" t="s">
        <v>20451</v>
      </c>
      <c r="CG483" s="50" t="s">
        <v>20452</v>
      </c>
      <c r="CH483" s="50" t="s">
        <v>20453</v>
      </c>
      <c r="CI483" s="50" t="s">
        <v>20454</v>
      </c>
      <c r="CK483" s="50" t="s">
        <v>20455</v>
      </c>
      <c r="CL483" s="50" t="s">
        <v>20456</v>
      </c>
      <c r="CM483" s="50" t="s">
        <v>7718</v>
      </c>
      <c r="CN483" s="50" t="s">
        <v>211</v>
      </c>
      <c r="CO483" s="50" t="s">
        <v>20455</v>
      </c>
      <c r="CQ483" s="50" t="s">
        <v>20457</v>
      </c>
      <c r="CR483" s="50" t="s">
        <v>20457</v>
      </c>
    </row>
    <row r="484" spans="1:97" hidden="1">
      <c r="A484" s="50" t="s">
        <v>337</v>
      </c>
      <c r="B484" s="50">
        <v>3996253</v>
      </c>
      <c r="C484" s="50" t="e">
        <f>VLOOKUP(B484,'Drop schools 2026'!B:C,2,0)</f>
        <v>#N/A</v>
      </c>
      <c r="D484" s="50" t="s">
        <v>212</v>
      </c>
      <c r="E484" s="50" t="s">
        <v>11995</v>
      </c>
      <c r="F484" s="50" t="s">
        <v>17677</v>
      </c>
      <c r="G484" s="50" t="e">
        <f>VLOOKUP(B484,aa!B:F,5,0)</f>
        <v>#N/A</v>
      </c>
      <c r="H484" s="50" t="e">
        <f>VLOOKUP(B484,aa!B:J,9,0)</f>
        <v>#N/A</v>
      </c>
      <c r="I484" s="50" t="e">
        <f>VLOOKUP(B484,aa!B:L,11,0)</f>
        <v>#N/A</v>
      </c>
      <c r="J484" s="50" t="e">
        <f>VLOOKUP(B484,aa!B:O,14,0)</f>
        <v>#N/A</v>
      </c>
      <c r="K484" s="50" t="e">
        <f>VLOOKUP(B484,aa!B:R,17,0)</f>
        <v>#N/A</v>
      </c>
      <c r="L484" s="50" t="s">
        <v>97</v>
      </c>
      <c r="M484" s="50">
        <v>226500</v>
      </c>
      <c r="N484" s="50">
        <v>226500</v>
      </c>
      <c r="O484" s="50">
        <v>226500</v>
      </c>
      <c r="P484" s="50">
        <v>302</v>
      </c>
      <c r="Q484" s="50" t="s">
        <v>101</v>
      </c>
      <c r="R484" s="50">
        <v>0</v>
      </c>
      <c r="S484" s="50">
        <v>0</v>
      </c>
      <c r="U484" s="50">
        <v>0</v>
      </c>
      <c r="V484" s="50">
        <v>0</v>
      </c>
      <c r="X484" s="50" t="s">
        <v>102</v>
      </c>
      <c r="Y484" s="50" t="s">
        <v>103</v>
      </c>
      <c r="Z484" s="50" t="s">
        <v>104</v>
      </c>
      <c r="AB484" s="50" t="s">
        <v>12430</v>
      </c>
      <c r="AC484" s="50" t="s">
        <v>17678</v>
      </c>
      <c r="AD484" s="50" t="s">
        <v>11886</v>
      </c>
      <c r="AE484" s="50" t="s">
        <v>17678</v>
      </c>
      <c r="AF484" s="50" t="s">
        <v>109</v>
      </c>
      <c r="AG484" s="50" t="s">
        <v>102</v>
      </c>
      <c r="AH484" s="50" t="s">
        <v>109</v>
      </c>
      <c r="AI484" s="50" t="s">
        <v>102</v>
      </c>
      <c r="AJ484" s="50" t="s">
        <v>102</v>
      </c>
      <c r="AM484" s="50" t="s">
        <v>17679</v>
      </c>
      <c r="AN484" s="50" t="s">
        <v>102</v>
      </c>
      <c r="AO484" s="50" t="s">
        <v>17679</v>
      </c>
      <c r="AP484" s="50" t="s">
        <v>116</v>
      </c>
      <c r="AQ484" s="50" t="s">
        <v>116</v>
      </c>
      <c r="AV484" s="50" t="s">
        <v>117</v>
      </c>
      <c r="AW484" s="50" t="s">
        <v>118</v>
      </c>
      <c r="AX484" s="50" t="s">
        <v>102</v>
      </c>
      <c r="AY484" s="50" t="s">
        <v>119</v>
      </c>
      <c r="BC484" s="50" t="s">
        <v>120</v>
      </c>
      <c r="BD484" s="50" t="s">
        <v>17680</v>
      </c>
      <c r="BE484" s="50" t="s">
        <v>6390</v>
      </c>
      <c r="BF484" s="50" t="s">
        <v>212</v>
      </c>
      <c r="BG484" s="50" t="s">
        <v>286</v>
      </c>
      <c r="BH484" s="50" t="s">
        <v>124</v>
      </c>
      <c r="BI484" s="50" t="s">
        <v>12430</v>
      </c>
      <c r="BJ484" s="50" t="s">
        <v>12047</v>
      </c>
      <c r="BK484" s="50" t="s">
        <v>127</v>
      </c>
      <c r="BL484" s="50" t="s">
        <v>17681</v>
      </c>
      <c r="BM484" s="50" t="s">
        <v>17682</v>
      </c>
      <c r="BN484" s="50" t="s">
        <v>17683</v>
      </c>
      <c r="BO484" s="50" t="s">
        <v>12430</v>
      </c>
      <c r="BP484" s="50" t="s">
        <v>17684</v>
      </c>
      <c r="BQ484" s="50" t="s">
        <v>132</v>
      </c>
      <c r="BR484" s="50" t="s">
        <v>17685</v>
      </c>
      <c r="BS484" s="50" t="s">
        <v>17686</v>
      </c>
      <c r="BT484" s="50" t="s">
        <v>17687</v>
      </c>
      <c r="BV484" s="50" t="s">
        <v>17688</v>
      </c>
      <c r="BW484" s="50" t="s">
        <v>17689</v>
      </c>
      <c r="BX484" s="50" t="s">
        <v>354</v>
      </c>
      <c r="BY484" s="50" t="s">
        <v>17690</v>
      </c>
      <c r="BZ484" s="50" t="s">
        <v>17691</v>
      </c>
      <c r="CA484" s="50" t="s">
        <v>17692</v>
      </c>
      <c r="CB484" s="50" t="s">
        <v>17693</v>
      </c>
      <c r="CC484" s="50" t="s">
        <v>17690</v>
      </c>
      <c r="CD484" s="50" t="s">
        <v>17694</v>
      </c>
      <c r="CE484" s="50" t="s">
        <v>17693</v>
      </c>
      <c r="CF484" s="50" t="s">
        <v>17690</v>
      </c>
      <c r="CG484" s="50" t="s">
        <v>17694</v>
      </c>
      <c r="CH484" s="50" t="s">
        <v>6401</v>
      </c>
      <c r="CI484" s="50" t="s">
        <v>17695</v>
      </c>
      <c r="CK484" s="50" t="s">
        <v>17696</v>
      </c>
      <c r="CL484" s="50" t="s">
        <v>17695</v>
      </c>
      <c r="CM484" s="50" t="s">
        <v>17680</v>
      </c>
      <c r="CN484" s="50" t="s">
        <v>6390</v>
      </c>
      <c r="CO484" s="50" t="s">
        <v>17696</v>
      </c>
      <c r="CQ484" s="50" t="s">
        <v>17695</v>
      </c>
      <c r="CR484" s="50" t="s">
        <v>17695</v>
      </c>
      <c r="CS484" s="50" t="s">
        <v>26049</v>
      </c>
    </row>
    <row r="485" spans="1:97" hidden="1">
      <c r="A485" s="50" t="s">
        <v>337</v>
      </c>
      <c r="B485" s="50">
        <v>5046169</v>
      </c>
      <c r="C485" s="50" t="str">
        <f>VLOOKUP(B485,'Drop schools 2026'!B:C,2,0)</f>
        <v>Drop</v>
      </c>
      <c r="D485" s="50" t="s">
        <v>212</v>
      </c>
      <c r="E485" s="50" t="s">
        <v>293</v>
      </c>
      <c r="F485" s="50" t="s">
        <v>20470</v>
      </c>
      <c r="G485" s="50" t="e">
        <f>VLOOKUP(B485,aa!B:F,5,0)</f>
        <v>#N/A</v>
      </c>
      <c r="H485" s="50" t="e">
        <f>VLOOKUP(B485,aa!B:J,9,0)</f>
        <v>#N/A</v>
      </c>
      <c r="I485" s="50" t="e">
        <f>VLOOKUP(B485,aa!B:L,11,0)</f>
        <v>#N/A</v>
      </c>
      <c r="J485" s="50" t="e">
        <f>VLOOKUP(B485,aa!B:O,14,0)</f>
        <v>#N/A</v>
      </c>
      <c r="K485" s="50" t="e">
        <f>VLOOKUP(B485,aa!B:R,17,0)</f>
        <v>#N/A</v>
      </c>
      <c r="L485" s="50" t="s">
        <v>97</v>
      </c>
      <c r="M485" s="50">
        <v>225900</v>
      </c>
      <c r="N485" s="50">
        <v>225900</v>
      </c>
      <c r="O485" s="50">
        <v>225900</v>
      </c>
      <c r="P485" s="50">
        <v>251</v>
      </c>
      <c r="Q485" s="50" t="s">
        <v>2451</v>
      </c>
      <c r="R485" s="50">
        <v>0</v>
      </c>
      <c r="S485" s="50">
        <v>0</v>
      </c>
      <c r="U485" s="50">
        <v>0</v>
      </c>
      <c r="V485" s="50">
        <v>0</v>
      </c>
      <c r="X485" s="50" t="s">
        <v>102</v>
      </c>
      <c r="Y485" s="50" t="s">
        <v>103</v>
      </c>
      <c r="Z485" s="50" t="s">
        <v>398</v>
      </c>
      <c r="AB485" s="50" t="s">
        <v>14250</v>
      </c>
      <c r="AC485" s="50" t="s">
        <v>20471</v>
      </c>
      <c r="AD485" s="50" t="s">
        <v>1408</v>
      </c>
      <c r="AE485" s="50" t="s">
        <v>20472</v>
      </c>
      <c r="AF485" s="50" t="s">
        <v>11950</v>
      </c>
      <c r="AG485" s="50" t="s">
        <v>20471</v>
      </c>
      <c r="AH485" s="50" t="s">
        <v>109</v>
      </c>
      <c r="AI485" s="50" t="s">
        <v>102</v>
      </c>
      <c r="AJ485" s="50" t="s">
        <v>102</v>
      </c>
      <c r="AK485" s="50" t="s">
        <v>12711</v>
      </c>
      <c r="AL485" s="50" t="s">
        <v>12927</v>
      </c>
      <c r="AM485" s="50" t="s">
        <v>20473</v>
      </c>
      <c r="AN485" s="50" t="s">
        <v>20474</v>
      </c>
      <c r="AO485" s="50" t="s">
        <v>20475</v>
      </c>
      <c r="AP485" s="50" t="s">
        <v>554</v>
      </c>
      <c r="AQ485" s="50" t="s">
        <v>554</v>
      </c>
      <c r="AV485" s="50" t="s">
        <v>318</v>
      </c>
      <c r="AW485" s="50" t="s">
        <v>118</v>
      </c>
      <c r="AX485" s="50" t="s">
        <v>102</v>
      </c>
      <c r="AY485" s="50" t="s">
        <v>119</v>
      </c>
      <c r="BC485" s="50" t="s">
        <v>120</v>
      </c>
      <c r="BD485" s="50" t="s">
        <v>920</v>
      </c>
      <c r="BE485" s="50" t="s">
        <v>211</v>
      </c>
      <c r="BF485" s="50" t="s">
        <v>212</v>
      </c>
      <c r="BG485" s="50" t="s">
        <v>213</v>
      </c>
      <c r="BH485" s="50" t="s">
        <v>124</v>
      </c>
      <c r="BI485" s="50" t="s">
        <v>11925</v>
      </c>
      <c r="BJ485" s="50" t="s">
        <v>20476</v>
      </c>
      <c r="BK485" s="50" t="s">
        <v>127</v>
      </c>
      <c r="BL485" s="50" t="s">
        <v>20477</v>
      </c>
      <c r="BM485" s="50" t="s">
        <v>20478</v>
      </c>
      <c r="BN485" s="50" t="s">
        <v>20479</v>
      </c>
      <c r="BO485" s="50" t="s">
        <v>14272</v>
      </c>
      <c r="BP485" s="50" t="s">
        <v>1309</v>
      </c>
      <c r="BQ485" s="50" t="s">
        <v>180</v>
      </c>
      <c r="BR485" s="50" t="s">
        <v>1310</v>
      </c>
      <c r="BS485" s="50" t="s">
        <v>1311</v>
      </c>
      <c r="BT485" s="50" t="s">
        <v>2463</v>
      </c>
      <c r="BV485" s="50" t="s">
        <v>20480</v>
      </c>
      <c r="BW485" s="50" t="s">
        <v>20481</v>
      </c>
      <c r="BX485" s="50" t="s">
        <v>138</v>
      </c>
      <c r="BY485" s="50" t="s">
        <v>20482</v>
      </c>
      <c r="BZ485" s="50" t="s">
        <v>20483</v>
      </c>
      <c r="CA485" s="50" t="s">
        <v>20484</v>
      </c>
      <c r="CB485" s="50" t="s">
        <v>20481</v>
      </c>
      <c r="CC485" s="50" t="s">
        <v>20482</v>
      </c>
      <c r="CD485" s="50" t="s">
        <v>20483</v>
      </c>
      <c r="CE485" s="50" t="s">
        <v>20485</v>
      </c>
      <c r="CF485" s="50" t="s">
        <v>20486</v>
      </c>
      <c r="CG485" s="50" t="s">
        <v>20487</v>
      </c>
      <c r="CH485" s="50" t="s">
        <v>20488</v>
      </c>
      <c r="CI485" s="50" t="s">
        <v>20489</v>
      </c>
      <c r="CK485" s="50" t="s">
        <v>20490</v>
      </c>
      <c r="CL485" s="50" t="s">
        <v>20489</v>
      </c>
      <c r="CM485" s="50" t="s">
        <v>920</v>
      </c>
      <c r="CN485" s="50" t="s">
        <v>211</v>
      </c>
      <c r="CO485" s="50" t="s">
        <v>20490</v>
      </c>
      <c r="CQ485" s="50" t="s">
        <v>20491</v>
      </c>
      <c r="CR485" s="50" t="s">
        <v>20491</v>
      </c>
      <c r="CS485" s="50" t="s">
        <v>26046</v>
      </c>
    </row>
    <row r="486" spans="1:97" hidden="1">
      <c r="A486" s="50" t="s">
        <v>337</v>
      </c>
      <c r="B486" s="50">
        <v>3303311</v>
      </c>
      <c r="C486" s="50" t="e">
        <f>VLOOKUP(B486,'Drop schools 2026'!B:C,2,0)</f>
        <v>#N/A</v>
      </c>
      <c r="D486" s="50" t="s">
        <v>122</v>
      </c>
      <c r="E486" s="50" t="s">
        <v>12507</v>
      </c>
      <c r="F486" s="50" t="s">
        <v>15497</v>
      </c>
      <c r="G486" s="50" t="str">
        <f>VLOOKUP(B486,aa!B:F,5,0)</f>
        <v>Ei ASSET</v>
      </c>
      <c r="H486" s="50">
        <f>VLOOKUP(B486,aa!B:J,9,0)</f>
        <v>185576</v>
      </c>
      <c r="I486" s="50">
        <f>VLOOKUP(B486,aa!B:L,11,0)</f>
        <v>185576</v>
      </c>
      <c r="J486" s="50">
        <f>VLOOKUP(B486,aa!B:O,14,0)</f>
        <v>0</v>
      </c>
      <c r="K486" s="50">
        <f>VLOOKUP(B486,aa!B:R,17,0)</f>
        <v>0</v>
      </c>
      <c r="L486" s="50" t="s">
        <v>97</v>
      </c>
      <c r="M486" s="50">
        <v>225011</v>
      </c>
      <c r="N486" s="50">
        <v>225011</v>
      </c>
      <c r="O486" s="50">
        <v>225011</v>
      </c>
      <c r="P486" s="50">
        <v>225</v>
      </c>
      <c r="Q486" s="50" t="s">
        <v>5042</v>
      </c>
      <c r="R486" s="50">
        <v>0</v>
      </c>
      <c r="S486" s="50">
        <v>0</v>
      </c>
      <c r="U486" s="50">
        <v>0</v>
      </c>
      <c r="V486" s="50">
        <v>0</v>
      </c>
      <c r="X486" s="50" t="s">
        <v>102</v>
      </c>
      <c r="Y486" s="50" t="s">
        <v>275</v>
      </c>
      <c r="AA486" s="50" t="s">
        <v>5015</v>
      </c>
      <c r="AB486" s="50" t="s">
        <v>109</v>
      </c>
      <c r="AC486" s="50" t="s">
        <v>102</v>
      </c>
      <c r="AD486" s="50" t="s">
        <v>109</v>
      </c>
      <c r="AE486" s="50" t="s">
        <v>102</v>
      </c>
      <c r="AF486" s="50" t="s">
        <v>109</v>
      </c>
      <c r="AG486" s="50" t="s">
        <v>102</v>
      </c>
      <c r="AH486" s="50" t="s">
        <v>109</v>
      </c>
      <c r="AI486" s="50" t="s">
        <v>102</v>
      </c>
      <c r="AJ486" s="50" t="s">
        <v>102</v>
      </c>
      <c r="AK486" s="50" t="s">
        <v>13216</v>
      </c>
      <c r="AL486" s="50" t="s">
        <v>12816</v>
      </c>
      <c r="AM486" s="50" t="s">
        <v>15498</v>
      </c>
      <c r="AN486" s="50" t="s">
        <v>15499</v>
      </c>
      <c r="AO486" s="50" t="s">
        <v>15500</v>
      </c>
      <c r="AP486" s="50" t="s">
        <v>3677</v>
      </c>
      <c r="AQ486" s="50" t="s">
        <v>3677</v>
      </c>
      <c r="AV486" s="50" t="s">
        <v>318</v>
      </c>
      <c r="AW486" s="50" t="s">
        <v>118</v>
      </c>
      <c r="AX486" s="50" t="s">
        <v>102</v>
      </c>
      <c r="AY486" s="50" t="s">
        <v>119</v>
      </c>
      <c r="BC486" s="50" t="s">
        <v>120</v>
      </c>
      <c r="BD486" s="50" t="s">
        <v>15501</v>
      </c>
      <c r="BE486" s="50" t="s">
        <v>2543</v>
      </c>
      <c r="BF486" s="50" t="s">
        <v>122</v>
      </c>
      <c r="BG486" s="50" t="s">
        <v>557</v>
      </c>
      <c r="BH486" s="50" t="s">
        <v>124</v>
      </c>
      <c r="BI486" s="50" t="s">
        <v>12023</v>
      </c>
      <c r="BJ486" s="50" t="s">
        <v>11889</v>
      </c>
      <c r="BK486" s="50" t="s">
        <v>127</v>
      </c>
      <c r="BL486" s="50" t="s">
        <v>15502</v>
      </c>
      <c r="BM486" s="50" t="s">
        <v>15503</v>
      </c>
      <c r="BN486" s="50" t="s">
        <v>15504</v>
      </c>
      <c r="BO486" s="50" t="s">
        <v>370</v>
      </c>
      <c r="BP486" s="50" t="s">
        <v>13402</v>
      </c>
      <c r="BQ486" s="50" t="s">
        <v>505</v>
      </c>
      <c r="BR486" s="50" t="s">
        <v>13403</v>
      </c>
      <c r="BS486" s="50" t="s">
        <v>13404</v>
      </c>
      <c r="BT486" s="50" t="s">
        <v>13405</v>
      </c>
      <c r="BV486" s="50" t="s">
        <v>15505</v>
      </c>
      <c r="BW486" s="50" t="s">
        <v>15506</v>
      </c>
      <c r="BX486" s="50" t="s">
        <v>138</v>
      </c>
      <c r="BY486" s="50" t="s">
        <v>15507</v>
      </c>
      <c r="BZ486" s="50" t="s">
        <v>15508</v>
      </c>
      <c r="CA486" s="50" t="s">
        <v>15509</v>
      </c>
      <c r="CB486" s="50" t="s">
        <v>15510</v>
      </c>
      <c r="CC486" s="50" t="s">
        <v>15507</v>
      </c>
      <c r="CD486" s="50" t="s">
        <v>15508</v>
      </c>
      <c r="CE486" s="50" t="s">
        <v>15510</v>
      </c>
      <c r="CF486" s="50" t="s">
        <v>15507</v>
      </c>
      <c r="CG486" s="50" t="s">
        <v>15508</v>
      </c>
      <c r="CH486" s="50" t="s">
        <v>15511</v>
      </c>
      <c r="CI486" s="50" t="s">
        <v>15512</v>
      </c>
      <c r="CK486" s="50" t="s">
        <v>15513</v>
      </c>
      <c r="CM486" s="50" t="s">
        <v>15501</v>
      </c>
      <c r="CN486" s="50" t="s">
        <v>2543</v>
      </c>
      <c r="CO486" s="50" t="s">
        <v>15513</v>
      </c>
      <c r="CQ486" s="50" t="s">
        <v>15512</v>
      </c>
      <c r="CR486" s="50" t="s">
        <v>15512</v>
      </c>
    </row>
    <row r="487" spans="1:97" hidden="1">
      <c r="A487" s="50" t="s">
        <v>495</v>
      </c>
      <c r="B487" s="50">
        <v>3992655</v>
      </c>
      <c r="C487" s="50" t="e">
        <f>VLOOKUP(B487,'Drop schools 2026'!B:C,2,0)</f>
        <v>#N/A</v>
      </c>
      <c r="D487" s="50" t="s">
        <v>212</v>
      </c>
      <c r="E487" s="50" t="s">
        <v>11947</v>
      </c>
      <c r="F487" s="50" t="s">
        <v>8215</v>
      </c>
      <c r="G487" s="50" t="e">
        <f>VLOOKUP(B487,aa!B:F,5,0)</f>
        <v>#N/A</v>
      </c>
      <c r="H487" s="50" t="e">
        <f>VLOOKUP(B487,aa!B:J,9,0)</f>
        <v>#N/A</v>
      </c>
      <c r="I487" s="50" t="e">
        <f>VLOOKUP(B487,aa!B:L,11,0)</f>
        <v>#N/A</v>
      </c>
      <c r="J487" s="50" t="e">
        <f>VLOOKUP(B487,aa!B:O,14,0)</f>
        <v>#N/A</v>
      </c>
      <c r="K487" s="50" t="e">
        <f>VLOOKUP(B487,aa!B:R,17,0)</f>
        <v>#N/A</v>
      </c>
      <c r="L487" s="50" t="s">
        <v>152</v>
      </c>
      <c r="M487" s="50">
        <v>224049</v>
      </c>
      <c r="N487" s="50">
        <v>224049</v>
      </c>
      <c r="O487" s="50">
        <v>0</v>
      </c>
      <c r="P487" s="50">
        <v>0</v>
      </c>
      <c r="R487" s="50">
        <v>224049</v>
      </c>
      <c r="S487" s="50">
        <v>224</v>
      </c>
      <c r="T487" s="50" t="s">
        <v>5042</v>
      </c>
      <c r="U487" s="50">
        <v>0</v>
      </c>
      <c r="V487" s="50">
        <v>0</v>
      </c>
      <c r="X487" s="50" t="s">
        <v>102</v>
      </c>
      <c r="Y487" s="50" t="s">
        <v>103</v>
      </c>
      <c r="Z487" s="50" t="s">
        <v>104</v>
      </c>
      <c r="AB487" s="50" t="s">
        <v>11927</v>
      </c>
      <c r="AC487" s="50" t="s">
        <v>17542</v>
      </c>
      <c r="AD487" s="50" t="s">
        <v>12084</v>
      </c>
      <c r="AE487" s="50" t="s">
        <v>17542</v>
      </c>
      <c r="AF487" s="50" t="s">
        <v>109</v>
      </c>
      <c r="AG487" s="50" t="s">
        <v>102</v>
      </c>
      <c r="AH487" s="50" t="s">
        <v>109</v>
      </c>
      <c r="AI487" s="50" t="s">
        <v>102</v>
      </c>
      <c r="AJ487" s="50" t="s">
        <v>102</v>
      </c>
      <c r="AK487" s="50" t="s">
        <v>11932</v>
      </c>
      <c r="AL487" s="50" t="s">
        <v>11932</v>
      </c>
      <c r="AM487" s="50" t="s">
        <v>17543</v>
      </c>
      <c r="AN487" s="50" t="s">
        <v>6290</v>
      </c>
      <c r="AO487" s="50" t="s">
        <v>17544</v>
      </c>
      <c r="AP487" s="50" t="s">
        <v>5046</v>
      </c>
      <c r="AQ487" s="50" t="s">
        <v>15396</v>
      </c>
      <c r="AU487" s="50" t="s">
        <v>169</v>
      </c>
      <c r="AV487" s="50" t="s">
        <v>102</v>
      </c>
      <c r="AX487" s="50" t="s">
        <v>155</v>
      </c>
      <c r="AY487" s="50" t="s">
        <v>119</v>
      </c>
      <c r="AZ487" s="50" t="s">
        <v>170</v>
      </c>
      <c r="BA487" s="50" t="s">
        <v>118</v>
      </c>
      <c r="BC487" s="50" t="s">
        <v>120</v>
      </c>
      <c r="BD487" s="50" t="s">
        <v>17545</v>
      </c>
      <c r="BE487" s="50" t="s">
        <v>211</v>
      </c>
      <c r="BF487" s="50" t="s">
        <v>212</v>
      </c>
      <c r="BG487" s="50" t="s">
        <v>213</v>
      </c>
      <c r="BH487" s="50" t="s">
        <v>124</v>
      </c>
      <c r="BI487" s="50" t="s">
        <v>12492</v>
      </c>
      <c r="BJ487" s="50" t="s">
        <v>11889</v>
      </c>
      <c r="BK487" s="50" t="s">
        <v>127</v>
      </c>
      <c r="BL487" s="50" t="s">
        <v>17546</v>
      </c>
      <c r="BM487" s="50" t="s">
        <v>8228</v>
      </c>
      <c r="BN487" s="50" t="s">
        <v>17547</v>
      </c>
      <c r="BO487" s="50" t="s">
        <v>6177</v>
      </c>
      <c r="BP487" s="50" t="s">
        <v>1309</v>
      </c>
      <c r="BQ487" s="50" t="s">
        <v>180</v>
      </c>
      <c r="BR487" s="50" t="s">
        <v>1310</v>
      </c>
      <c r="BS487" s="50" t="s">
        <v>1311</v>
      </c>
      <c r="BT487" s="50" t="s">
        <v>1312</v>
      </c>
      <c r="BU487" s="50" t="s">
        <v>2151</v>
      </c>
      <c r="BV487" s="50" t="s">
        <v>17548</v>
      </c>
      <c r="BW487" s="50" t="s">
        <v>8231</v>
      </c>
      <c r="BX487" s="50" t="s">
        <v>138</v>
      </c>
      <c r="BY487" s="50" t="s">
        <v>8232</v>
      </c>
      <c r="BZ487" s="50" t="s">
        <v>8233</v>
      </c>
      <c r="CA487" s="50" t="s">
        <v>8232</v>
      </c>
      <c r="CB487" s="50" t="s">
        <v>8231</v>
      </c>
      <c r="CC487" s="50" t="s">
        <v>8232</v>
      </c>
      <c r="CD487" s="50" t="s">
        <v>8233</v>
      </c>
      <c r="CE487" s="50" t="s">
        <v>8231</v>
      </c>
      <c r="CF487" s="50" t="s">
        <v>8232</v>
      </c>
      <c r="CG487" s="50" t="s">
        <v>8233</v>
      </c>
      <c r="CH487" s="50" t="s">
        <v>8234</v>
      </c>
      <c r="CI487" s="50" t="s">
        <v>8237</v>
      </c>
      <c r="CK487" s="50" t="s">
        <v>8236</v>
      </c>
      <c r="CL487" s="50" t="s">
        <v>17549</v>
      </c>
      <c r="CM487" s="50" t="s">
        <v>17545</v>
      </c>
      <c r="CN487" s="50" t="s">
        <v>211</v>
      </c>
      <c r="CO487" s="50" t="s">
        <v>8236</v>
      </c>
      <c r="CQ487" s="50" t="s">
        <v>8237</v>
      </c>
      <c r="CR487" s="50" t="s">
        <v>8237</v>
      </c>
      <c r="CS487" s="50" t="s">
        <v>26042</v>
      </c>
    </row>
    <row r="488" spans="1:97" hidden="1">
      <c r="A488" s="50" t="s">
        <v>337</v>
      </c>
      <c r="B488" s="50">
        <v>5040879</v>
      </c>
      <c r="C488" s="50" t="e">
        <f>VLOOKUP(B488,'Drop schools 2026'!B:C,2,0)</f>
        <v>#N/A</v>
      </c>
      <c r="D488" s="50" t="s">
        <v>174</v>
      </c>
      <c r="E488" s="50" t="s">
        <v>12155</v>
      </c>
      <c r="F488" s="50" t="s">
        <v>20328</v>
      </c>
      <c r="G488" s="50" t="str">
        <f>VLOOKUP(B488,aa!B:F,5,0)</f>
        <v>Ei CARES</v>
      </c>
      <c r="H488" s="50">
        <f>VLOOKUP(B488,aa!B:J,9,0)</f>
        <v>390765</v>
      </c>
      <c r="I488" s="50">
        <f>VLOOKUP(B488,aa!B:L,11,0)</f>
        <v>0</v>
      </c>
      <c r="J488" s="50">
        <f>VLOOKUP(B488,aa!B:O,14,0)</f>
        <v>390765</v>
      </c>
      <c r="K488" s="50">
        <f>VLOOKUP(B488,aa!B:R,17,0)</f>
        <v>0</v>
      </c>
      <c r="L488" s="50" t="s">
        <v>152</v>
      </c>
      <c r="M488" s="50">
        <v>220064</v>
      </c>
      <c r="N488" s="50">
        <v>220064</v>
      </c>
      <c r="O488" s="50">
        <v>0</v>
      </c>
      <c r="P488" s="50">
        <v>0</v>
      </c>
      <c r="R488" s="50">
        <v>220064</v>
      </c>
      <c r="S488" s="50">
        <v>200</v>
      </c>
      <c r="T488" s="50" t="s">
        <v>466</v>
      </c>
      <c r="U488" s="50">
        <v>0</v>
      </c>
      <c r="V488" s="50">
        <v>0</v>
      </c>
      <c r="X488" s="50" t="s">
        <v>102</v>
      </c>
      <c r="Y488" s="50" t="s">
        <v>103</v>
      </c>
      <c r="Z488" s="50" t="s">
        <v>398</v>
      </c>
      <c r="AB488" s="50" t="s">
        <v>3485</v>
      </c>
      <c r="AC488" s="50" t="s">
        <v>20329</v>
      </c>
      <c r="AD488" s="50" t="s">
        <v>12082</v>
      </c>
      <c r="AE488" s="50" t="s">
        <v>20330</v>
      </c>
      <c r="AF488" s="50" t="s">
        <v>12084</v>
      </c>
      <c r="AG488" s="50" t="s">
        <v>20331</v>
      </c>
      <c r="AH488" s="50" t="s">
        <v>109</v>
      </c>
      <c r="AI488" s="50" t="s">
        <v>102</v>
      </c>
      <c r="AJ488" s="50" t="s">
        <v>102</v>
      </c>
      <c r="AK488" s="50" t="s">
        <v>3485</v>
      </c>
      <c r="AL488" s="50" t="s">
        <v>12123</v>
      </c>
      <c r="AM488" s="50" t="s">
        <v>20332</v>
      </c>
      <c r="AN488" s="50" t="s">
        <v>20333</v>
      </c>
      <c r="AO488" s="50" t="s">
        <v>20334</v>
      </c>
      <c r="AP488" s="50" t="s">
        <v>20335</v>
      </c>
      <c r="AQ488" s="50" t="s">
        <v>20335</v>
      </c>
      <c r="AV488" s="50" t="s">
        <v>102</v>
      </c>
      <c r="AX488" s="50" t="s">
        <v>104</v>
      </c>
      <c r="AY488" s="50" t="s">
        <v>447</v>
      </c>
      <c r="AZ488" s="50" t="s">
        <v>170</v>
      </c>
      <c r="BA488" s="50" t="s">
        <v>118</v>
      </c>
      <c r="BC488" s="50" t="s">
        <v>120</v>
      </c>
      <c r="BD488" s="50" t="s">
        <v>20336</v>
      </c>
      <c r="BE488" s="50" t="s">
        <v>1208</v>
      </c>
      <c r="BF488" s="50" t="s">
        <v>174</v>
      </c>
      <c r="BG488" s="50" t="s">
        <v>1172</v>
      </c>
      <c r="BH488" s="50" t="s">
        <v>124</v>
      </c>
      <c r="BI488" s="50" t="s">
        <v>12023</v>
      </c>
      <c r="BJ488" s="50" t="s">
        <v>11889</v>
      </c>
      <c r="BK488" s="50" t="s">
        <v>127</v>
      </c>
      <c r="BL488" s="50" t="s">
        <v>20337</v>
      </c>
      <c r="BM488" s="50" t="s">
        <v>20338</v>
      </c>
      <c r="BN488" s="50" t="s">
        <v>20339</v>
      </c>
      <c r="BO488" s="50" t="s">
        <v>3485</v>
      </c>
      <c r="BP488" s="50" t="s">
        <v>1212</v>
      </c>
      <c r="BQ488" s="50" t="s">
        <v>350</v>
      </c>
      <c r="BR488" s="50" t="s">
        <v>1213</v>
      </c>
      <c r="BS488" s="50" t="s">
        <v>1214</v>
      </c>
      <c r="BT488" s="50" t="s">
        <v>1215</v>
      </c>
      <c r="BV488" s="50" t="s">
        <v>20340</v>
      </c>
      <c r="BW488" s="50" t="s">
        <v>20341</v>
      </c>
      <c r="BX488" s="50" t="s">
        <v>354</v>
      </c>
      <c r="BY488" s="50" t="s">
        <v>20342</v>
      </c>
      <c r="BZ488" s="50" t="s">
        <v>20343</v>
      </c>
      <c r="CA488" s="50" t="s">
        <v>20342</v>
      </c>
      <c r="CB488" s="50" t="s">
        <v>20344</v>
      </c>
      <c r="CC488" s="50" t="s">
        <v>20345</v>
      </c>
      <c r="CD488" s="50" t="s">
        <v>20346</v>
      </c>
      <c r="CE488" s="50" t="s">
        <v>20347</v>
      </c>
      <c r="CF488" s="50" t="s">
        <v>20348</v>
      </c>
      <c r="CG488" s="50" t="s">
        <v>20349</v>
      </c>
      <c r="CH488" s="50" t="s">
        <v>6370</v>
      </c>
      <c r="CI488" s="50" t="s">
        <v>20350</v>
      </c>
      <c r="CK488" s="50" t="s">
        <v>20351</v>
      </c>
      <c r="CM488" s="50" t="s">
        <v>20336</v>
      </c>
      <c r="CN488" s="50" t="s">
        <v>1208</v>
      </c>
      <c r="CO488" s="50" t="s">
        <v>20351</v>
      </c>
      <c r="CQ488" s="50" t="s">
        <v>20352</v>
      </c>
      <c r="CR488" s="50" t="s">
        <v>20352</v>
      </c>
    </row>
    <row r="489" spans="1:97" hidden="1">
      <c r="A489" s="50" t="s">
        <v>337</v>
      </c>
      <c r="B489" s="50">
        <v>4165785</v>
      </c>
      <c r="C489" s="50" t="str">
        <f>VLOOKUP(B489,'Drop schools 2026'!B:C,2,0)</f>
        <v>Drop</v>
      </c>
      <c r="D489" s="50" t="s">
        <v>174</v>
      </c>
      <c r="E489" s="50" t="s">
        <v>384</v>
      </c>
      <c r="F489" s="50" t="s">
        <v>18246</v>
      </c>
      <c r="G489" s="50" t="e">
        <f>VLOOKUP(B489,aa!B:F,5,0)</f>
        <v>#N/A</v>
      </c>
      <c r="H489" s="50" t="e">
        <f>VLOOKUP(B489,aa!B:J,9,0)</f>
        <v>#N/A</v>
      </c>
      <c r="I489" s="50" t="e">
        <f>VLOOKUP(B489,aa!B:L,11,0)</f>
        <v>#N/A</v>
      </c>
      <c r="J489" s="50" t="e">
        <f>VLOOKUP(B489,aa!B:O,14,0)</f>
        <v>#N/A</v>
      </c>
      <c r="K489" s="50" t="e">
        <f>VLOOKUP(B489,aa!B:R,17,0)</f>
        <v>#N/A</v>
      </c>
      <c r="L489" s="50" t="s">
        <v>152</v>
      </c>
      <c r="M489" s="50">
        <v>219765</v>
      </c>
      <c r="N489" s="50">
        <v>219765</v>
      </c>
      <c r="O489" s="50">
        <v>0</v>
      </c>
      <c r="P489" s="50">
        <v>0</v>
      </c>
      <c r="R489" s="50">
        <v>219765</v>
      </c>
      <c r="S489" s="50">
        <v>157</v>
      </c>
      <c r="T489" s="50" t="s">
        <v>4289</v>
      </c>
      <c r="U489" s="50">
        <v>0</v>
      </c>
      <c r="V489" s="50">
        <v>0</v>
      </c>
      <c r="X489" s="50" t="s">
        <v>102</v>
      </c>
      <c r="Y489" s="50" t="s">
        <v>103</v>
      </c>
      <c r="Z489" s="50" t="s">
        <v>155</v>
      </c>
      <c r="AB489" s="50" t="s">
        <v>13202</v>
      </c>
      <c r="AC489" s="50" t="s">
        <v>18247</v>
      </c>
      <c r="AD489" s="50" t="s">
        <v>12737</v>
      </c>
      <c r="AE489" s="50" t="s">
        <v>18247</v>
      </c>
      <c r="AF489" s="50" t="s">
        <v>12327</v>
      </c>
      <c r="AG489" s="50" t="s">
        <v>18247</v>
      </c>
      <c r="AH489" s="50" t="s">
        <v>11886</v>
      </c>
      <c r="AI489" s="50" t="s">
        <v>18247</v>
      </c>
      <c r="AJ489" s="50" t="s">
        <v>102</v>
      </c>
      <c r="AK489" s="50" t="s">
        <v>6443</v>
      </c>
      <c r="AL489" s="50" t="s">
        <v>13833</v>
      </c>
      <c r="AM489" s="50" t="s">
        <v>18248</v>
      </c>
      <c r="AN489" s="50" t="s">
        <v>18249</v>
      </c>
      <c r="AO489" s="50" t="s">
        <v>18250</v>
      </c>
      <c r="AP489" s="50" t="s">
        <v>3510</v>
      </c>
      <c r="AQ489" s="50" t="s">
        <v>3510</v>
      </c>
      <c r="AV489" s="50" t="s">
        <v>102</v>
      </c>
      <c r="AX489" s="50" t="s">
        <v>104</v>
      </c>
      <c r="AY489" s="50" t="s">
        <v>447</v>
      </c>
      <c r="AZ489" s="50" t="s">
        <v>170</v>
      </c>
      <c r="BA489" s="50" t="s">
        <v>118</v>
      </c>
      <c r="BC489" s="50" t="s">
        <v>171</v>
      </c>
      <c r="BD489" s="50" t="s">
        <v>18251</v>
      </c>
      <c r="BE489" s="50" t="s">
        <v>376</v>
      </c>
      <c r="BF489" s="50" t="s">
        <v>174</v>
      </c>
      <c r="BG489" s="50" t="s">
        <v>376</v>
      </c>
      <c r="BH489" s="50" t="s">
        <v>124</v>
      </c>
      <c r="BI489" s="50" t="s">
        <v>12926</v>
      </c>
      <c r="BJ489" s="50" t="s">
        <v>11889</v>
      </c>
      <c r="BK489" s="50" t="s">
        <v>127</v>
      </c>
      <c r="BL489" s="50" t="s">
        <v>18252</v>
      </c>
      <c r="BM489" s="50" t="s">
        <v>18253</v>
      </c>
      <c r="BN489" s="50" t="s">
        <v>18254</v>
      </c>
      <c r="BO489" s="50" t="s">
        <v>5755</v>
      </c>
      <c r="BP489" s="50" t="s">
        <v>13780</v>
      </c>
      <c r="BQ489" s="50" t="s">
        <v>180</v>
      </c>
      <c r="BR489" s="50" t="s">
        <v>13781</v>
      </c>
      <c r="BS489" s="50" t="s">
        <v>13782</v>
      </c>
      <c r="BT489" s="50" t="s">
        <v>13783</v>
      </c>
      <c r="BV489" s="50" t="s">
        <v>18255</v>
      </c>
      <c r="BW489" s="50" t="s">
        <v>18256</v>
      </c>
      <c r="BX489" s="50" t="s">
        <v>138</v>
      </c>
      <c r="BY489" s="50" t="s">
        <v>18257</v>
      </c>
      <c r="BZ489" s="50" t="s">
        <v>18258</v>
      </c>
      <c r="CA489" s="50" t="s">
        <v>18257</v>
      </c>
      <c r="CB489" s="50" t="s">
        <v>18256</v>
      </c>
      <c r="CC489" s="50" t="s">
        <v>18257</v>
      </c>
      <c r="CD489" s="50" t="s">
        <v>18258</v>
      </c>
      <c r="CE489" s="50" t="s">
        <v>18256</v>
      </c>
      <c r="CF489" s="50" t="s">
        <v>18257</v>
      </c>
      <c r="CG489" s="50" t="s">
        <v>18258</v>
      </c>
      <c r="CH489" s="50" t="s">
        <v>358</v>
      </c>
      <c r="CI489" s="50" t="s">
        <v>18259</v>
      </c>
      <c r="CK489" s="50" t="s">
        <v>18260</v>
      </c>
      <c r="CL489" s="50" t="s">
        <v>18259</v>
      </c>
      <c r="CM489" s="50" t="s">
        <v>18251</v>
      </c>
      <c r="CN489" s="50" t="s">
        <v>376</v>
      </c>
      <c r="CO489" s="50" t="s">
        <v>18260</v>
      </c>
      <c r="CQ489" s="50" t="s">
        <v>18261</v>
      </c>
      <c r="CR489" s="50" t="s">
        <v>18261</v>
      </c>
      <c r="CS489" s="50" t="s">
        <v>26046</v>
      </c>
    </row>
    <row r="490" spans="1:97" hidden="1">
      <c r="A490" s="50" t="s">
        <v>337</v>
      </c>
      <c r="B490" s="50">
        <v>1173541</v>
      </c>
      <c r="C490" s="50" t="e">
        <f>VLOOKUP(B490,'Drop schools 2026'!B:C,2,0)</f>
        <v>#N/A</v>
      </c>
      <c r="D490" s="50" t="s">
        <v>122</v>
      </c>
      <c r="E490" s="50" t="s">
        <v>12018</v>
      </c>
      <c r="F490" s="50" t="s">
        <v>12208</v>
      </c>
      <c r="G490" s="50" t="str">
        <f>VLOOKUP(B490,aa!B:F,5,0)</f>
        <v>Ei CARES</v>
      </c>
      <c r="H490" s="50">
        <f>VLOOKUP(B490,aa!B:J,9,0)</f>
        <v>194386</v>
      </c>
      <c r="I490" s="50">
        <f>VLOOKUP(B490,aa!B:L,11,0)</f>
        <v>0</v>
      </c>
      <c r="J490" s="50">
        <f>VLOOKUP(B490,aa!B:O,14,0)</f>
        <v>194386</v>
      </c>
      <c r="K490" s="50">
        <f>VLOOKUP(B490,aa!B:R,17,0)</f>
        <v>0</v>
      </c>
      <c r="L490" s="50" t="s">
        <v>152</v>
      </c>
      <c r="M490" s="50">
        <v>218100</v>
      </c>
      <c r="N490" s="50">
        <v>218100</v>
      </c>
      <c r="O490" s="50">
        <v>0</v>
      </c>
      <c r="P490" s="50">
        <v>0</v>
      </c>
      <c r="R490" s="50">
        <v>218100</v>
      </c>
      <c r="S490" s="50">
        <v>368</v>
      </c>
      <c r="T490" s="50" t="s">
        <v>12210</v>
      </c>
      <c r="U490" s="50">
        <v>0</v>
      </c>
      <c r="V490" s="50">
        <v>0</v>
      </c>
      <c r="X490" s="50" t="s">
        <v>102</v>
      </c>
      <c r="Y490" s="50" t="s">
        <v>679</v>
      </c>
      <c r="Z490" s="50" t="s">
        <v>155</v>
      </c>
      <c r="AA490" s="50" t="s">
        <v>12211</v>
      </c>
      <c r="AB490" s="50" t="s">
        <v>12212</v>
      </c>
      <c r="AC490" s="50" t="s">
        <v>12213</v>
      </c>
      <c r="AD490" s="50" t="s">
        <v>12214</v>
      </c>
      <c r="AE490" s="50" t="s">
        <v>12213</v>
      </c>
      <c r="AF490" s="50" t="s">
        <v>12215</v>
      </c>
      <c r="AG490" s="50" t="s">
        <v>12213</v>
      </c>
      <c r="AH490" s="50" t="s">
        <v>12216</v>
      </c>
      <c r="AI490" s="50" t="s">
        <v>12213</v>
      </c>
      <c r="AJ490" s="50" t="s">
        <v>102</v>
      </c>
      <c r="AK490" s="50" t="s">
        <v>12217</v>
      </c>
      <c r="AL490" s="50" t="s">
        <v>12217</v>
      </c>
      <c r="AM490" s="50" t="s">
        <v>12218</v>
      </c>
      <c r="AN490" s="50" t="s">
        <v>12219</v>
      </c>
      <c r="AO490" s="50" t="s">
        <v>12220</v>
      </c>
      <c r="AP490" s="50" t="s">
        <v>12221</v>
      </c>
      <c r="AQ490" s="50" t="s">
        <v>12221</v>
      </c>
      <c r="AV490" s="50" t="s">
        <v>102</v>
      </c>
      <c r="AX490" s="50" t="s">
        <v>12222</v>
      </c>
      <c r="AY490" s="50" t="s">
        <v>447</v>
      </c>
      <c r="AZ490" s="50" t="s">
        <v>1138</v>
      </c>
      <c r="BA490" s="50" t="s">
        <v>250</v>
      </c>
      <c r="BC490" s="50" t="s">
        <v>209</v>
      </c>
      <c r="BD490" s="50" t="s">
        <v>3490</v>
      </c>
      <c r="BE490" s="50" t="s">
        <v>345</v>
      </c>
      <c r="BF490" s="50" t="s">
        <v>122</v>
      </c>
      <c r="BG490" s="50" t="s">
        <v>346</v>
      </c>
      <c r="BH490" s="50" t="s">
        <v>124</v>
      </c>
      <c r="BI490" s="50" t="s">
        <v>12023</v>
      </c>
      <c r="BJ490" s="50" t="s">
        <v>11889</v>
      </c>
      <c r="BK490" s="50" t="s">
        <v>127</v>
      </c>
      <c r="BL490" s="50" t="s">
        <v>12223</v>
      </c>
      <c r="BM490" s="50" t="s">
        <v>12224</v>
      </c>
      <c r="BN490" s="50" t="s">
        <v>12225</v>
      </c>
      <c r="BO490" s="50" t="s">
        <v>12209</v>
      </c>
      <c r="BP490" s="50" t="s">
        <v>12226</v>
      </c>
      <c r="BQ490" s="50" t="s">
        <v>12227</v>
      </c>
      <c r="BR490" s="50" t="s">
        <v>12228</v>
      </c>
      <c r="BS490" s="50" t="s">
        <v>12229</v>
      </c>
      <c r="BT490" s="50" t="s">
        <v>8623</v>
      </c>
      <c r="BV490" s="50" t="s">
        <v>12230</v>
      </c>
      <c r="BW490" s="50" t="s">
        <v>12231</v>
      </c>
      <c r="BX490" s="50" t="s">
        <v>354</v>
      </c>
      <c r="BY490" s="50" t="s">
        <v>12232</v>
      </c>
      <c r="BZ490" s="50" t="s">
        <v>12233</v>
      </c>
      <c r="CA490" s="50" t="s">
        <v>12234</v>
      </c>
      <c r="CB490" s="50" t="s">
        <v>12235</v>
      </c>
      <c r="CC490" s="50" t="s">
        <v>12234</v>
      </c>
      <c r="CD490" s="50" t="s">
        <v>12236</v>
      </c>
      <c r="CE490" s="50" t="s">
        <v>12237</v>
      </c>
      <c r="CF490" s="50" t="s">
        <v>12238</v>
      </c>
      <c r="CG490" s="50" t="s">
        <v>12239</v>
      </c>
      <c r="CH490" s="50" t="s">
        <v>4937</v>
      </c>
      <c r="CI490" s="50" t="s">
        <v>3490</v>
      </c>
      <c r="CK490" s="50" t="s">
        <v>12240</v>
      </c>
      <c r="CL490" s="50" t="s">
        <v>12241</v>
      </c>
      <c r="CM490" s="50" t="s">
        <v>3490</v>
      </c>
      <c r="CN490" s="50" t="s">
        <v>345</v>
      </c>
      <c r="CO490" s="50" t="s">
        <v>12240</v>
      </c>
      <c r="CQ490" s="50" t="s">
        <v>12242</v>
      </c>
      <c r="CR490" s="50" t="s">
        <v>12242</v>
      </c>
    </row>
    <row r="491" spans="1:97" hidden="1">
      <c r="A491" s="50" t="s">
        <v>337</v>
      </c>
      <c r="B491" s="50">
        <v>3033</v>
      </c>
      <c r="C491" s="50" t="e">
        <f>VLOOKUP(B491,'Drop schools 2026'!B:C,2,0)</f>
        <v>#N/A</v>
      </c>
      <c r="D491" s="50" t="s">
        <v>122</v>
      </c>
      <c r="E491" s="50" t="s">
        <v>11898</v>
      </c>
      <c r="F491" s="50" t="s">
        <v>14859</v>
      </c>
      <c r="G491" s="50" t="str">
        <f>VLOOKUP(B491,aa!B:F,5,0)</f>
        <v>Ei ASSET, Ei Mindspark</v>
      </c>
      <c r="H491" s="50">
        <f>VLOOKUP(B491,aa!B:J,9,0)</f>
        <v>398029</v>
      </c>
      <c r="I491" s="50">
        <f>VLOOKUP(B491,aa!B:L,11,0)</f>
        <v>218044</v>
      </c>
      <c r="J491" s="50">
        <f>VLOOKUP(B491,aa!B:O,14,0)</f>
        <v>0</v>
      </c>
      <c r="K491" s="50">
        <f>VLOOKUP(B491,aa!B:R,17,0)</f>
        <v>179985</v>
      </c>
      <c r="L491" s="50" t="s">
        <v>97</v>
      </c>
      <c r="M491" s="50">
        <v>217072</v>
      </c>
      <c r="N491" s="50">
        <v>217072</v>
      </c>
      <c r="O491" s="50">
        <v>217072</v>
      </c>
      <c r="P491" s="50">
        <v>865</v>
      </c>
      <c r="Q491" s="50" t="s">
        <v>14860</v>
      </c>
      <c r="R491" s="50">
        <v>0</v>
      </c>
      <c r="S491" s="50">
        <v>0</v>
      </c>
      <c r="U491" s="50">
        <v>0</v>
      </c>
      <c r="V491" s="50">
        <v>0</v>
      </c>
      <c r="X491" s="50" t="s">
        <v>102</v>
      </c>
      <c r="Y491" s="50" t="s">
        <v>103</v>
      </c>
      <c r="Z491" s="50" t="s">
        <v>104</v>
      </c>
      <c r="AB491" s="50" t="s">
        <v>12329</v>
      </c>
      <c r="AC491" s="50" t="s">
        <v>14861</v>
      </c>
      <c r="AD491" s="50" t="s">
        <v>12737</v>
      </c>
      <c r="AE491" s="50" t="s">
        <v>14861</v>
      </c>
      <c r="AF491" s="50" t="s">
        <v>109</v>
      </c>
      <c r="AG491" s="50" t="s">
        <v>102</v>
      </c>
      <c r="AH491" s="50" t="s">
        <v>109</v>
      </c>
      <c r="AI491" s="50" t="s">
        <v>102</v>
      </c>
      <c r="AJ491" s="50" t="s">
        <v>14862</v>
      </c>
      <c r="AK491" s="50" t="s">
        <v>10221</v>
      </c>
      <c r="AL491" s="50" t="s">
        <v>10221</v>
      </c>
      <c r="AM491" s="50" t="s">
        <v>14863</v>
      </c>
      <c r="AN491" s="50" t="s">
        <v>14864</v>
      </c>
      <c r="AO491" s="50" t="s">
        <v>14861</v>
      </c>
      <c r="AP491" s="50" t="s">
        <v>14865</v>
      </c>
      <c r="AQ491" s="50" t="s">
        <v>14866</v>
      </c>
      <c r="AS491" s="50" t="s">
        <v>169</v>
      </c>
      <c r="AV491" s="50" t="s">
        <v>318</v>
      </c>
      <c r="AW491" s="50" t="s">
        <v>118</v>
      </c>
      <c r="AX491" s="50" t="s">
        <v>102</v>
      </c>
      <c r="AY491" s="50" t="s">
        <v>119</v>
      </c>
      <c r="BC491" s="50" t="s">
        <v>120</v>
      </c>
      <c r="BD491" s="50" t="s">
        <v>121</v>
      </c>
      <c r="BE491" s="50" t="s">
        <v>121</v>
      </c>
      <c r="BF491" s="50" t="s">
        <v>122</v>
      </c>
      <c r="BG491" s="50" t="s">
        <v>123</v>
      </c>
      <c r="BH491" s="50" t="s">
        <v>124</v>
      </c>
      <c r="BI491" s="50" t="s">
        <v>10030</v>
      </c>
      <c r="BJ491" s="50" t="s">
        <v>11889</v>
      </c>
      <c r="BK491" s="50" t="s">
        <v>127</v>
      </c>
      <c r="BL491" s="50" t="s">
        <v>14867</v>
      </c>
      <c r="BM491" s="50" t="s">
        <v>14868</v>
      </c>
      <c r="BN491" s="50" t="s">
        <v>14869</v>
      </c>
      <c r="BO491" s="50" t="s">
        <v>12040</v>
      </c>
      <c r="BP491" s="50" t="s">
        <v>131</v>
      </c>
      <c r="BQ491" s="50" t="s">
        <v>505</v>
      </c>
      <c r="BR491" s="50" t="s">
        <v>133</v>
      </c>
      <c r="BS491" s="50" t="s">
        <v>134</v>
      </c>
      <c r="BT491" s="50" t="s">
        <v>455</v>
      </c>
      <c r="BV491" s="50" t="s">
        <v>14870</v>
      </c>
      <c r="BW491" s="50" t="s">
        <v>14871</v>
      </c>
      <c r="BX491" s="50" t="s">
        <v>138</v>
      </c>
      <c r="BY491" s="50" t="s">
        <v>14872</v>
      </c>
      <c r="BZ491" s="50" t="s">
        <v>14873</v>
      </c>
      <c r="CA491" s="50" t="s">
        <v>14874</v>
      </c>
      <c r="CB491" s="50" t="s">
        <v>14871</v>
      </c>
      <c r="CC491" s="50" t="s">
        <v>14872</v>
      </c>
      <c r="CD491" s="50" t="s">
        <v>14873</v>
      </c>
      <c r="CE491" s="50" t="s">
        <v>14875</v>
      </c>
      <c r="CF491" s="50" t="s">
        <v>14876</v>
      </c>
      <c r="CG491" s="50" t="s">
        <v>14877</v>
      </c>
      <c r="CH491" s="50" t="s">
        <v>7248</v>
      </c>
      <c r="CI491" s="50" t="s">
        <v>14878</v>
      </c>
      <c r="CK491" s="50" t="s">
        <v>14879</v>
      </c>
      <c r="CL491" s="50" t="s">
        <v>14878</v>
      </c>
      <c r="CM491" s="50" t="s">
        <v>121</v>
      </c>
      <c r="CN491" s="50" t="s">
        <v>2226</v>
      </c>
      <c r="CO491" s="50" t="s">
        <v>14879</v>
      </c>
      <c r="CQ491" s="50" t="s">
        <v>14880</v>
      </c>
      <c r="CR491" s="50" t="s">
        <v>14880</v>
      </c>
    </row>
    <row r="492" spans="1:97" hidden="1">
      <c r="A492" s="50" t="s">
        <v>149</v>
      </c>
      <c r="B492" s="50">
        <v>3390964</v>
      </c>
      <c r="C492" s="50" t="e">
        <f>VLOOKUP(B492,'Drop schools 2026'!B:C,2,0)</f>
        <v>#N/A</v>
      </c>
      <c r="D492" s="50" t="s">
        <v>622</v>
      </c>
      <c r="E492" s="50" t="s">
        <v>985</v>
      </c>
      <c r="F492" s="50" t="s">
        <v>5791</v>
      </c>
      <c r="G492" s="50" t="e">
        <f>VLOOKUP(B492,aa!B:F,5,0)</f>
        <v>#N/A</v>
      </c>
      <c r="H492" s="50" t="e">
        <f>VLOOKUP(B492,aa!B:J,9,0)</f>
        <v>#N/A</v>
      </c>
      <c r="I492" s="50" t="e">
        <f>VLOOKUP(B492,aa!B:L,11,0)</f>
        <v>#N/A</v>
      </c>
      <c r="J492" s="50" t="e">
        <f>VLOOKUP(B492,aa!B:O,14,0)</f>
        <v>#N/A</v>
      </c>
      <c r="K492" s="50" t="e">
        <f>VLOOKUP(B492,aa!B:R,17,0)</f>
        <v>#N/A</v>
      </c>
      <c r="L492" s="50" t="s">
        <v>97</v>
      </c>
      <c r="M492" s="50">
        <v>214639</v>
      </c>
      <c r="N492" s="50">
        <v>214639</v>
      </c>
      <c r="O492" s="50">
        <v>214639</v>
      </c>
      <c r="P492" s="50">
        <v>304</v>
      </c>
      <c r="Q492" s="50" t="s">
        <v>5793</v>
      </c>
      <c r="R492" s="50">
        <v>0</v>
      </c>
      <c r="S492" s="50">
        <v>0</v>
      </c>
      <c r="U492" s="50">
        <v>0</v>
      </c>
      <c r="V492" s="50">
        <v>0</v>
      </c>
      <c r="X492" s="50" t="s">
        <v>102</v>
      </c>
      <c r="Y492" s="50" t="s">
        <v>103</v>
      </c>
      <c r="Z492" s="50" t="s">
        <v>104</v>
      </c>
      <c r="AB492" s="50" t="s">
        <v>12541</v>
      </c>
      <c r="AC492" s="50" t="s">
        <v>15774</v>
      </c>
      <c r="AD492" s="50" t="s">
        <v>12289</v>
      </c>
      <c r="AE492" s="50" t="s">
        <v>15774</v>
      </c>
      <c r="AF492" s="50" t="s">
        <v>109</v>
      </c>
      <c r="AG492" s="50" t="s">
        <v>102</v>
      </c>
      <c r="AH492" s="50" t="s">
        <v>109</v>
      </c>
      <c r="AI492" s="50" t="s">
        <v>102</v>
      </c>
      <c r="AJ492" s="50" t="s">
        <v>102</v>
      </c>
      <c r="AK492" s="50" t="s">
        <v>13455</v>
      </c>
      <c r="AL492" s="50" t="s">
        <v>946</v>
      </c>
      <c r="AM492" s="50" t="s">
        <v>15775</v>
      </c>
      <c r="AN492" s="50" t="s">
        <v>15776</v>
      </c>
      <c r="AO492" s="50" t="s">
        <v>15777</v>
      </c>
      <c r="AP492" s="50" t="s">
        <v>5798</v>
      </c>
      <c r="AQ492" s="50" t="s">
        <v>5798</v>
      </c>
      <c r="AV492" s="50" t="s">
        <v>318</v>
      </c>
      <c r="AW492" s="50" t="s">
        <v>118</v>
      </c>
      <c r="AX492" s="50" t="s">
        <v>102</v>
      </c>
      <c r="AY492" s="50" t="s">
        <v>119</v>
      </c>
      <c r="BC492" s="50" t="s">
        <v>1964</v>
      </c>
      <c r="BD492" s="50" t="s">
        <v>2127</v>
      </c>
      <c r="BE492" s="50" t="s">
        <v>621</v>
      </c>
      <c r="BF492" s="50" t="s">
        <v>622</v>
      </c>
      <c r="BG492" s="50" t="s">
        <v>976</v>
      </c>
      <c r="BH492" s="50" t="s">
        <v>124</v>
      </c>
      <c r="BI492" s="50" t="s">
        <v>2483</v>
      </c>
      <c r="BJ492" s="50" t="s">
        <v>11889</v>
      </c>
      <c r="BK492" s="50" t="s">
        <v>127</v>
      </c>
      <c r="BL492" s="50" t="s">
        <v>15778</v>
      </c>
      <c r="BM492" s="50" t="s">
        <v>5800</v>
      </c>
      <c r="BN492" s="50" t="s">
        <v>15779</v>
      </c>
      <c r="BO492" s="50" t="s">
        <v>12644</v>
      </c>
      <c r="BP492" s="50" t="s">
        <v>981</v>
      </c>
      <c r="BQ492" s="50" t="s">
        <v>132</v>
      </c>
      <c r="BR492" s="50" t="s">
        <v>982</v>
      </c>
      <c r="BS492" s="50" t="s">
        <v>983</v>
      </c>
      <c r="BT492" s="50" t="s">
        <v>5805</v>
      </c>
      <c r="BV492" s="50" t="s">
        <v>15780</v>
      </c>
      <c r="BW492" s="50" t="s">
        <v>15781</v>
      </c>
      <c r="BX492" s="50" t="s">
        <v>138</v>
      </c>
      <c r="BY492" s="50" t="s">
        <v>5808</v>
      </c>
      <c r="BZ492" s="50" t="s">
        <v>15782</v>
      </c>
      <c r="CA492" s="50" t="s">
        <v>5810</v>
      </c>
      <c r="CB492" s="50" t="s">
        <v>15781</v>
      </c>
      <c r="CC492" s="50" t="s">
        <v>5808</v>
      </c>
      <c r="CD492" s="50" t="s">
        <v>15782</v>
      </c>
      <c r="CE492" s="50" t="s">
        <v>15783</v>
      </c>
      <c r="CF492" s="50" t="s">
        <v>15784</v>
      </c>
      <c r="CG492" s="50" t="s">
        <v>5809</v>
      </c>
      <c r="CH492" s="50" t="s">
        <v>5811</v>
      </c>
      <c r="CI492" s="50" t="s">
        <v>15785</v>
      </c>
      <c r="CK492" s="50" t="s">
        <v>5813</v>
      </c>
      <c r="CL492" s="50" t="s">
        <v>15786</v>
      </c>
      <c r="CM492" s="50" t="s">
        <v>2127</v>
      </c>
      <c r="CN492" s="50" t="s">
        <v>621</v>
      </c>
      <c r="CO492" s="50" t="s">
        <v>5813</v>
      </c>
      <c r="CP492" s="50" t="s">
        <v>5814</v>
      </c>
      <c r="CQ492" s="50" t="s">
        <v>5812</v>
      </c>
      <c r="CR492" s="50" t="s">
        <v>5812</v>
      </c>
      <c r="CS492" s="50" t="s">
        <v>26047</v>
      </c>
    </row>
    <row r="493" spans="1:97" hidden="1">
      <c r="A493" s="50" t="s">
        <v>93</v>
      </c>
      <c r="B493" s="50">
        <v>3875940</v>
      </c>
      <c r="C493" s="50" t="str">
        <f>VLOOKUP(B493,'Drop schools 2026'!B:C,2,0)</f>
        <v>Drop</v>
      </c>
      <c r="D493" s="50" t="s">
        <v>174</v>
      </c>
      <c r="E493" s="50" t="s">
        <v>384</v>
      </c>
      <c r="F493" s="50" t="s">
        <v>7753</v>
      </c>
      <c r="G493" s="50" t="str">
        <f>VLOOKUP(B493,aa!B:F,5,0)</f>
        <v>Ei CARES</v>
      </c>
      <c r="H493" s="50">
        <f>VLOOKUP(B493,aa!B:J,9,0)</f>
        <v>264683</v>
      </c>
      <c r="I493" s="50">
        <f>VLOOKUP(B493,aa!B:L,11,0)</f>
        <v>0</v>
      </c>
      <c r="J493" s="50">
        <f>VLOOKUP(B493,aa!B:O,14,0)</f>
        <v>264683</v>
      </c>
      <c r="K493" s="50">
        <f>VLOOKUP(B493,aa!B:R,17,0)</f>
        <v>0</v>
      </c>
      <c r="L493" s="50" t="s">
        <v>152</v>
      </c>
      <c r="M493" s="50">
        <v>214139</v>
      </c>
      <c r="N493" s="50">
        <v>214139</v>
      </c>
      <c r="O493" s="50">
        <v>0</v>
      </c>
      <c r="P493" s="50">
        <v>0</v>
      </c>
      <c r="R493" s="50">
        <v>214139</v>
      </c>
      <c r="S493" s="50">
        <v>133</v>
      </c>
      <c r="T493" s="50" t="s">
        <v>6839</v>
      </c>
      <c r="U493" s="50">
        <v>0</v>
      </c>
      <c r="V493" s="50">
        <v>0</v>
      </c>
      <c r="X493" s="50" t="s">
        <v>102</v>
      </c>
      <c r="Y493" s="50" t="s">
        <v>103</v>
      </c>
      <c r="Z493" s="50" t="s">
        <v>155</v>
      </c>
      <c r="AB493" s="50" t="s">
        <v>7020</v>
      </c>
      <c r="AC493" s="50" t="s">
        <v>17208</v>
      </c>
      <c r="AD493" s="50" t="s">
        <v>8708</v>
      </c>
      <c r="AE493" s="50" t="s">
        <v>17208</v>
      </c>
      <c r="AF493" s="50" t="s">
        <v>12427</v>
      </c>
      <c r="AG493" s="50" t="s">
        <v>17208</v>
      </c>
      <c r="AH493" s="50" t="s">
        <v>12713</v>
      </c>
      <c r="AI493" s="50" t="s">
        <v>17208</v>
      </c>
      <c r="AJ493" s="50" t="s">
        <v>102</v>
      </c>
      <c r="AK493" s="50" t="s">
        <v>1379</v>
      </c>
      <c r="AL493" s="50" t="s">
        <v>16007</v>
      </c>
      <c r="AM493" s="50" t="s">
        <v>17209</v>
      </c>
      <c r="AN493" s="50" t="s">
        <v>17210</v>
      </c>
      <c r="AO493" s="50" t="s">
        <v>17211</v>
      </c>
      <c r="AP493" s="50" t="s">
        <v>17212</v>
      </c>
      <c r="AQ493" s="50" t="s">
        <v>17212</v>
      </c>
      <c r="AV493" s="50" t="s">
        <v>102</v>
      </c>
      <c r="AX493" s="50" t="s">
        <v>155</v>
      </c>
      <c r="AY493" s="50" t="s">
        <v>447</v>
      </c>
      <c r="AZ493" s="50" t="s">
        <v>170</v>
      </c>
      <c r="BA493" s="50" t="s">
        <v>118</v>
      </c>
      <c r="BC493" s="50" t="s">
        <v>171</v>
      </c>
      <c r="BD493" s="50" t="s">
        <v>7760</v>
      </c>
      <c r="BE493" s="50" t="s">
        <v>376</v>
      </c>
      <c r="BF493" s="50" t="s">
        <v>174</v>
      </c>
      <c r="BG493" s="50" t="s">
        <v>376</v>
      </c>
      <c r="BH493" s="50" t="s">
        <v>124</v>
      </c>
      <c r="BI493" s="50" t="s">
        <v>12023</v>
      </c>
      <c r="BJ493" s="50" t="s">
        <v>11886</v>
      </c>
      <c r="BK493" s="50" t="s">
        <v>127</v>
      </c>
      <c r="BL493" s="50" t="s">
        <v>17213</v>
      </c>
      <c r="BM493" s="50" t="s">
        <v>7762</v>
      </c>
      <c r="BN493" s="50" t="s">
        <v>17214</v>
      </c>
      <c r="BO493" s="50" t="s">
        <v>17207</v>
      </c>
      <c r="BP493" s="50" t="s">
        <v>5026</v>
      </c>
      <c r="BQ493" s="50" t="s">
        <v>258</v>
      </c>
      <c r="BR493" s="50" t="s">
        <v>5027</v>
      </c>
      <c r="BS493" s="50" t="s">
        <v>5028</v>
      </c>
      <c r="BT493" s="50" t="s">
        <v>5029</v>
      </c>
      <c r="BV493" s="50" t="s">
        <v>17215</v>
      </c>
      <c r="BW493" s="50" t="s">
        <v>7765</v>
      </c>
      <c r="BX493" s="50" t="s">
        <v>138</v>
      </c>
      <c r="BY493" s="50" t="s">
        <v>7766</v>
      </c>
      <c r="BZ493" s="50" t="s">
        <v>7767</v>
      </c>
      <c r="CA493" s="50" t="s">
        <v>7766</v>
      </c>
      <c r="CB493" s="50" t="s">
        <v>7765</v>
      </c>
      <c r="CC493" s="50" t="s">
        <v>7766</v>
      </c>
      <c r="CD493" s="50" t="s">
        <v>7767</v>
      </c>
      <c r="CE493" s="50" t="s">
        <v>7765</v>
      </c>
      <c r="CF493" s="50" t="s">
        <v>7766</v>
      </c>
      <c r="CG493" s="50" t="s">
        <v>7767</v>
      </c>
      <c r="CH493" s="50" t="s">
        <v>358</v>
      </c>
      <c r="CI493" s="50" t="s">
        <v>17216</v>
      </c>
      <c r="CK493" s="50" t="s">
        <v>7772</v>
      </c>
      <c r="CL493" s="50" t="s">
        <v>7771</v>
      </c>
      <c r="CM493" s="50" t="s">
        <v>7760</v>
      </c>
      <c r="CN493" s="50" t="s">
        <v>376</v>
      </c>
      <c r="CO493" s="50" t="s">
        <v>7772</v>
      </c>
      <c r="CQ493" s="50" t="s">
        <v>7771</v>
      </c>
      <c r="CR493" s="50" t="s">
        <v>7771</v>
      </c>
    </row>
    <row r="494" spans="1:97" hidden="1">
      <c r="A494" s="50" t="s">
        <v>337</v>
      </c>
      <c r="B494" s="50">
        <v>28486</v>
      </c>
      <c r="C494" s="50" t="e">
        <f>VLOOKUP(B494,'Drop schools 2026'!B:C,2,0)</f>
        <v>#N/A</v>
      </c>
      <c r="D494" s="50" t="s">
        <v>622</v>
      </c>
      <c r="E494" s="50" t="s">
        <v>2525</v>
      </c>
      <c r="F494" s="50" t="s">
        <v>14789</v>
      </c>
      <c r="G494" s="50" t="str">
        <f>VLOOKUP(B494,aa!B:F,5,0)</f>
        <v>Ei CARES</v>
      </c>
      <c r="H494" s="50">
        <f>VLOOKUP(B494,aa!B:J,9,0)</f>
        <v>442859</v>
      </c>
      <c r="I494" s="50">
        <f>VLOOKUP(B494,aa!B:L,11,0)</f>
        <v>0</v>
      </c>
      <c r="J494" s="50">
        <f>VLOOKUP(B494,aa!B:O,14,0)</f>
        <v>442859</v>
      </c>
      <c r="K494" s="50">
        <f>VLOOKUP(B494,aa!B:R,17,0)</f>
        <v>0</v>
      </c>
      <c r="L494" s="50" t="s">
        <v>152</v>
      </c>
      <c r="M494" s="50">
        <v>212428</v>
      </c>
      <c r="N494" s="50">
        <v>212428</v>
      </c>
      <c r="O494" s="50">
        <v>0</v>
      </c>
      <c r="P494" s="50">
        <v>0</v>
      </c>
      <c r="R494" s="50">
        <v>212428</v>
      </c>
      <c r="S494" s="50">
        <v>118</v>
      </c>
      <c r="T494" s="50" t="s">
        <v>3005</v>
      </c>
      <c r="U494" s="50">
        <v>0</v>
      </c>
      <c r="V494" s="50">
        <v>0</v>
      </c>
      <c r="X494" s="50" t="s">
        <v>102</v>
      </c>
      <c r="Y494" s="50" t="s">
        <v>103</v>
      </c>
      <c r="Z494" s="50" t="s">
        <v>104</v>
      </c>
      <c r="AB494" s="50" t="s">
        <v>5694</v>
      </c>
      <c r="AC494" s="50" t="s">
        <v>14790</v>
      </c>
      <c r="AD494" s="50" t="s">
        <v>12327</v>
      </c>
      <c r="AE494" s="50" t="s">
        <v>14790</v>
      </c>
      <c r="AF494" s="50" t="s">
        <v>109</v>
      </c>
      <c r="AG494" s="50" t="s">
        <v>102</v>
      </c>
      <c r="AH494" s="50" t="s">
        <v>109</v>
      </c>
      <c r="AI494" s="50" t="s">
        <v>102</v>
      </c>
      <c r="AJ494" s="50" t="s">
        <v>102</v>
      </c>
      <c r="AK494" s="50" t="s">
        <v>6443</v>
      </c>
      <c r="AL494" s="50" t="s">
        <v>6443</v>
      </c>
      <c r="AM494" s="50" t="s">
        <v>14791</v>
      </c>
      <c r="AN494" s="50" t="s">
        <v>14791</v>
      </c>
      <c r="AO494" s="50" t="s">
        <v>102</v>
      </c>
      <c r="AP494" s="50" t="s">
        <v>3906</v>
      </c>
      <c r="AQ494" s="50" t="s">
        <v>3906</v>
      </c>
      <c r="AV494" s="50" t="s">
        <v>102</v>
      </c>
      <c r="AX494" s="50" t="s">
        <v>155</v>
      </c>
      <c r="AY494" s="50" t="s">
        <v>119</v>
      </c>
      <c r="AZ494" s="50" t="s">
        <v>170</v>
      </c>
      <c r="BA494" s="50" t="s">
        <v>118</v>
      </c>
      <c r="BC494" s="50" t="s">
        <v>120</v>
      </c>
      <c r="BD494" s="50" t="s">
        <v>729</v>
      </c>
      <c r="BE494" s="50" t="s">
        <v>730</v>
      </c>
      <c r="BF494" s="50" t="s">
        <v>622</v>
      </c>
      <c r="BG494" s="50" t="s">
        <v>730</v>
      </c>
      <c r="BH494" s="50" t="s">
        <v>124</v>
      </c>
      <c r="BI494" s="50" t="s">
        <v>12023</v>
      </c>
      <c r="BJ494" s="50" t="s">
        <v>11889</v>
      </c>
      <c r="BK494" s="50" t="s">
        <v>127</v>
      </c>
      <c r="BL494" s="50" t="s">
        <v>14792</v>
      </c>
      <c r="BM494" s="50" t="s">
        <v>14793</v>
      </c>
      <c r="BN494" s="50" t="s">
        <v>14794</v>
      </c>
      <c r="BO494" s="50" t="s">
        <v>2586</v>
      </c>
      <c r="BP494" s="50" t="s">
        <v>2262</v>
      </c>
      <c r="BQ494" s="50" t="s">
        <v>258</v>
      </c>
      <c r="BR494" s="50" t="s">
        <v>2263</v>
      </c>
      <c r="BS494" s="50" t="s">
        <v>2264</v>
      </c>
      <c r="BT494" s="50" t="s">
        <v>2331</v>
      </c>
      <c r="BV494" s="50" t="s">
        <v>14795</v>
      </c>
      <c r="BW494" s="50" t="s">
        <v>14796</v>
      </c>
      <c r="BX494" s="50" t="s">
        <v>138</v>
      </c>
      <c r="BY494" s="50" t="s">
        <v>14797</v>
      </c>
      <c r="BZ494" s="50" t="s">
        <v>14798</v>
      </c>
      <c r="CA494" s="50" t="s">
        <v>14799</v>
      </c>
      <c r="CB494" s="50" t="s">
        <v>14796</v>
      </c>
      <c r="CC494" s="50" t="s">
        <v>14797</v>
      </c>
      <c r="CD494" s="50" t="s">
        <v>14798</v>
      </c>
      <c r="CE494" s="50" t="s">
        <v>14796</v>
      </c>
      <c r="CF494" s="50" t="s">
        <v>14797</v>
      </c>
      <c r="CG494" s="50" t="s">
        <v>14798</v>
      </c>
      <c r="CH494" s="50" t="s">
        <v>14800</v>
      </c>
      <c r="CI494" s="50" t="s">
        <v>14801</v>
      </c>
      <c r="CK494" s="50" t="s">
        <v>14802</v>
      </c>
      <c r="CL494" s="50" t="s">
        <v>14803</v>
      </c>
      <c r="CM494" s="50" t="s">
        <v>729</v>
      </c>
      <c r="CN494" s="50" t="s">
        <v>730</v>
      </c>
      <c r="CO494" s="50" t="s">
        <v>14802</v>
      </c>
      <c r="CQ494" s="50" t="s">
        <v>14801</v>
      </c>
      <c r="CR494" s="50" t="s">
        <v>14801</v>
      </c>
    </row>
    <row r="495" spans="1:97" hidden="1">
      <c r="A495" s="50" t="s">
        <v>149</v>
      </c>
      <c r="B495" s="50">
        <v>619657</v>
      </c>
      <c r="C495" s="50" t="e">
        <f>VLOOKUP(B495,'Drop schools 2026'!B:C,2,0)</f>
        <v>#N/A</v>
      </c>
      <c r="D495" s="50" t="s">
        <v>622</v>
      </c>
      <c r="E495" s="50" t="s">
        <v>985</v>
      </c>
      <c r="F495" s="50" t="s">
        <v>11346</v>
      </c>
      <c r="G495" s="50" t="e">
        <f>VLOOKUP(B495,aa!B:F,5,0)</f>
        <v>#N/A</v>
      </c>
      <c r="H495" s="50" t="e">
        <f>VLOOKUP(B495,aa!B:J,9,0)</f>
        <v>#N/A</v>
      </c>
      <c r="I495" s="50" t="e">
        <f>VLOOKUP(B495,aa!B:L,11,0)</f>
        <v>#N/A</v>
      </c>
      <c r="J495" s="50" t="e">
        <f>VLOOKUP(B495,aa!B:O,14,0)</f>
        <v>#N/A</v>
      </c>
      <c r="K495" s="50" t="e">
        <f>VLOOKUP(B495,aa!B:R,17,0)</f>
        <v>#N/A</v>
      </c>
      <c r="L495" s="50" t="s">
        <v>97</v>
      </c>
      <c r="M495" s="50">
        <v>210403</v>
      </c>
      <c r="N495" s="50">
        <v>210403</v>
      </c>
      <c r="O495" s="50">
        <v>210403</v>
      </c>
      <c r="P495" s="50">
        <v>298</v>
      </c>
      <c r="Q495" s="50" t="s">
        <v>5793</v>
      </c>
      <c r="R495" s="50">
        <v>0</v>
      </c>
      <c r="S495" s="50">
        <v>0</v>
      </c>
      <c r="U495" s="50">
        <v>0</v>
      </c>
      <c r="V495" s="50">
        <v>0</v>
      </c>
      <c r="X495" s="50" t="s">
        <v>102</v>
      </c>
      <c r="Y495" s="50" t="s">
        <v>103</v>
      </c>
      <c r="Z495" s="50" t="s">
        <v>104</v>
      </c>
      <c r="AB495" s="50" t="s">
        <v>12541</v>
      </c>
      <c r="AC495" s="50" t="s">
        <v>21258</v>
      </c>
      <c r="AD495" s="50" t="s">
        <v>12289</v>
      </c>
      <c r="AE495" s="50" t="s">
        <v>21258</v>
      </c>
      <c r="AF495" s="50" t="s">
        <v>109</v>
      </c>
      <c r="AG495" s="50" t="s">
        <v>102</v>
      </c>
      <c r="AH495" s="50" t="s">
        <v>109</v>
      </c>
      <c r="AI495" s="50" t="s">
        <v>102</v>
      </c>
      <c r="AJ495" s="50" t="s">
        <v>21259</v>
      </c>
      <c r="AK495" s="50" t="s">
        <v>13064</v>
      </c>
      <c r="AL495" s="50" t="s">
        <v>21260</v>
      </c>
      <c r="AM495" s="50" t="s">
        <v>21261</v>
      </c>
      <c r="AN495" s="50" t="s">
        <v>21262</v>
      </c>
      <c r="AO495" s="50" t="s">
        <v>104</v>
      </c>
      <c r="AP495" s="50" t="s">
        <v>5798</v>
      </c>
      <c r="AQ495" s="50" t="s">
        <v>5798</v>
      </c>
      <c r="AV495" s="50" t="s">
        <v>318</v>
      </c>
      <c r="AW495" s="50" t="s">
        <v>118</v>
      </c>
      <c r="AX495" s="50" t="s">
        <v>102</v>
      </c>
      <c r="AY495" s="50" t="s">
        <v>119</v>
      </c>
      <c r="BC495" s="50" t="s">
        <v>120</v>
      </c>
      <c r="BD495" s="50" t="s">
        <v>2127</v>
      </c>
      <c r="BE495" s="50" t="s">
        <v>621</v>
      </c>
      <c r="BF495" s="50" t="s">
        <v>622</v>
      </c>
      <c r="BG495" s="50" t="s">
        <v>976</v>
      </c>
      <c r="BH495" s="50" t="s">
        <v>124</v>
      </c>
      <c r="BI495" s="50" t="s">
        <v>2483</v>
      </c>
      <c r="BJ495" s="50" t="s">
        <v>11889</v>
      </c>
      <c r="BK495" s="50" t="s">
        <v>127</v>
      </c>
      <c r="BL495" s="50" t="s">
        <v>21263</v>
      </c>
      <c r="BM495" s="50" t="s">
        <v>11353</v>
      </c>
      <c r="BN495" s="50" t="s">
        <v>21264</v>
      </c>
      <c r="BO495" s="50" t="s">
        <v>12644</v>
      </c>
      <c r="BP495" s="50" t="s">
        <v>981</v>
      </c>
      <c r="BQ495" s="50" t="s">
        <v>132</v>
      </c>
      <c r="BR495" s="50" t="s">
        <v>982</v>
      </c>
      <c r="BS495" s="50" t="s">
        <v>983</v>
      </c>
      <c r="BT495" s="50" t="s">
        <v>984</v>
      </c>
      <c r="BV495" s="50" t="s">
        <v>21265</v>
      </c>
      <c r="BW495" s="50" t="s">
        <v>11356</v>
      </c>
      <c r="BX495" s="50" t="s">
        <v>138</v>
      </c>
      <c r="BY495" s="50" t="s">
        <v>11357</v>
      </c>
      <c r="BZ495" s="50" t="s">
        <v>11358</v>
      </c>
      <c r="CA495" s="50" t="s">
        <v>11357</v>
      </c>
      <c r="CB495" s="50" t="s">
        <v>11356</v>
      </c>
      <c r="CC495" s="50" t="s">
        <v>11357</v>
      </c>
      <c r="CD495" s="50" t="s">
        <v>11358</v>
      </c>
      <c r="CE495" s="50" t="s">
        <v>21266</v>
      </c>
      <c r="CF495" s="50" t="s">
        <v>21267</v>
      </c>
      <c r="CG495" s="50" t="s">
        <v>21268</v>
      </c>
      <c r="CH495" s="50" t="s">
        <v>102</v>
      </c>
      <c r="CI495" s="50" t="s">
        <v>21269</v>
      </c>
      <c r="CK495" s="50" t="s">
        <v>11360</v>
      </c>
      <c r="CM495" s="50" t="s">
        <v>2127</v>
      </c>
      <c r="CN495" s="50" t="s">
        <v>621</v>
      </c>
      <c r="CO495" s="50" t="s">
        <v>11360</v>
      </c>
      <c r="CP495" s="50" t="s">
        <v>11361</v>
      </c>
      <c r="CQ495" s="50" t="s">
        <v>11362</v>
      </c>
      <c r="CR495" s="50" t="s">
        <v>11359</v>
      </c>
      <c r="CS495" s="50" t="s">
        <v>26047</v>
      </c>
    </row>
    <row r="496" spans="1:97" hidden="1">
      <c r="A496" s="50" t="s">
        <v>149</v>
      </c>
      <c r="B496" s="50">
        <v>5002619</v>
      </c>
      <c r="C496" s="50" t="e">
        <f>VLOOKUP(B496,'Drop schools 2026'!B:C,2,0)</f>
        <v>#N/A</v>
      </c>
      <c r="D496" s="50" t="s">
        <v>174</v>
      </c>
      <c r="E496" s="50" t="s">
        <v>183</v>
      </c>
      <c r="F496" s="50" t="s">
        <v>9128</v>
      </c>
      <c r="G496" s="50" t="e">
        <f>VLOOKUP(B496,aa!B:F,5,0)</f>
        <v>#N/A</v>
      </c>
      <c r="H496" s="50" t="e">
        <f>VLOOKUP(B496,aa!B:J,9,0)</f>
        <v>#N/A</v>
      </c>
      <c r="I496" s="50" t="e">
        <f>VLOOKUP(B496,aa!B:L,11,0)</f>
        <v>#N/A</v>
      </c>
      <c r="J496" s="50" t="e">
        <f>VLOOKUP(B496,aa!B:O,14,0)</f>
        <v>#N/A</v>
      </c>
      <c r="K496" s="50" t="e">
        <f>VLOOKUP(B496,aa!B:R,17,0)</f>
        <v>#N/A</v>
      </c>
      <c r="L496" s="50" t="s">
        <v>97</v>
      </c>
      <c r="M496" s="50">
        <v>204100</v>
      </c>
      <c r="N496" s="50">
        <v>204100</v>
      </c>
      <c r="O496" s="50">
        <v>204100</v>
      </c>
      <c r="P496" s="50">
        <v>298</v>
      </c>
      <c r="Q496" s="50" t="s">
        <v>6543</v>
      </c>
      <c r="R496" s="50">
        <v>0</v>
      </c>
      <c r="S496" s="50">
        <v>0</v>
      </c>
      <c r="U496" s="50">
        <v>0</v>
      </c>
      <c r="V496" s="50">
        <v>0</v>
      </c>
      <c r="X496" s="50" t="s">
        <v>102</v>
      </c>
      <c r="Y496" s="50" t="s">
        <v>275</v>
      </c>
      <c r="AA496" s="50" t="s">
        <v>13340</v>
      </c>
      <c r="AB496" s="50" t="s">
        <v>109</v>
      </c>
      <c r="AC496" s="50" t="s">
        <v>102</v>
      </c>
      <c r="AD496" s="50" t="s">
        <v>109</v>
      </c>
      <c r="AE496" s="50" t="s">
        <v>102</v>
      </c>
      <c r="AF496" s="50" t="s">
        <v>109</v>
      </c>
      <c r="AG496" s="50" t="s">
        <v>102</v>
      </c>
      <c r="AH496" s="50" t="s">
        <v>109</v>
      </c>
      <c r="AI496" s="50" t="s">
        <v>102</v>
      </c>
      <c r="AJ496" s="50" t="s">
        <v>102</v>
      </c>
      <c r="AK496" s="50" t="s">
        <v>15422</v>
      </c>
      <c r="AL496" s="50" t="s">
        <v>15422</v>
      </c>
      <c r="AM496" s="50" t="s">
        <v>18491</v>
      </c>
      <c r="AN496" s="50" t="s">
        <v>18491</v>
      </c>
      <c r="AO496" s="50" t="s">
        <v>102</v>
      </c>
      <c r="AP496" s="50" t="s">
        <v>18492</v>
      </c>
      <c r="AQ496" s="50" t="s">
        <v>18492</v>
      </c>
      <c r="AV496" s="50" t="s">
        <v>117</v>
      </c>
      <c r="AW496" s="50" t="s">
        <v>118</v>
      </c>
      <c r="AX496" s="50" t="s">
        <v>102</v>
      </c>
      <c r="AY496" s="50" t="s">
        <v>119</v>
      </c>
      <c r="BC496" s="50" t="s">
        <v>120</v>
      </c>
      <c r="BD496" s="50" t="s">
        <v>375</v>
      </c>
      <c r="BE496" s="50" t="s">
        <v>376</v>
      </c>
      <c r="BF496" s="50" t="s">
        <v>174</v>
      </c>
      <c r="BG496" s="50" t="s">
        <v>376</v>
      </c>
      <c r="BH496" s="50" t="s">
        <v>124</v>
      </c>
      <c r="BI496" s="50" t="s">
        <v>12427</v>
      </c>
      <c r="BJ496" s="50" t="s">
        <v>11889</v>
      </c>
      <c r="BK496" s="50" t="s">
        <v>127</v>
      </c>
      <c r="BL496" s="50" t="s">
        <v>18493</v>
      </c>
      <c r="BM496" s="50" t="s">
        <v>9135</v>
      </c>
      <c r="BN496" s="50" t="s">
        <v>18494</v>
      </c>
      <c r="BO496" s="50" t="s">
        <v>12158</v>
      </c>
      <c r="BP496" s="50" t="s">
        <v>179</v>
      </c>
      <c r="BQ496" s="50" t="s">
        <v>180</v>
      </c>
      <c r="BR496" s="50" t="s">
        <v>181</v>
      </c>
      <c r="BS496" s="50" t="s">
        <v>182</v>
      </c>
      <c r="BT496" s="50" t="s">
        <v>384</v>
      </c>
      <c r="BV496" s="50" t="s">
        <v>18495</v>
      </c>
      <c r="BW496" s="50" t="s">
        <v>9138</v>
      </c>
      <c r="BX496" s="50" t="s">
        <v>569</v>
      </c>
      <c r="BY496" s="50" t="s">
        <v>9142</v>
      </c>
      <c r="BZ496" s="50" t="s">
        <v>9140</v>
      </c>
      <c r="CA496" s="50" t="s">
        <v>9141</v>
      </c>
      <c r="CB496" s="50" t="s">
        <v>9138</v>
      </c>
      <c r="CC496" s="50" t="s">
        <v>9142</v>
      </c>
      <c r="CD496" s="50" t="s">
        <v>9140</v>
      </c>
      <c r="CE496" s="50" t="s">
        <v>18496</v>
      </c>
      <c r="CF496" s="50" t="s">
        <v>9144</v>
      </c>
      <c r="CG496" s="50" t="s">
        <v>9145</v>
      </c>
      <c r="CH496" s="50" t="s">
        <v>102</v>
      </c>
      <c r="CI496" s="50" t="s">
        <v>18497</v>
      </c>
      <c r="CK496" s="50" t="s">
        <v>9147</v>
      </c>
      <c r="CM496" s="50" t="s">
        <v>375</v>
      </c>
      <c r="CN496" s="50" t="s">
        <v>376</v>
      </c>
      <c r="CO496" s="50" t="s">
        <v>9147</v>
      </c>
      <c r="CQ496" s="50" t="s">
        <v>9148</v>
      </c>
      <c r="CR496" s="50" t="s">
        <v>9149</v>
      </c>
      <c r="CS496" s="50" t="s">
        <v>26044</v>
      </c>
    </row>
    <row r="497" spans="1:97" hidden="1">
      <c r="A497" s="50" t="s">
        <v>93</v>
      </c>
      <c r="B497" s="50">
        <v>5016188</v>
      </c>
      <c r="C497" s="50" t="str">
        <f>VLOOKUP(B497,'Drop schools 2026'!B:C,2,0)</f>
        <v>Drop</v>
      </c>
      <c r="D497" s="50" t="s">
        <v>622</v>
      </c>
      <c r="E497" s="50" t="s">
        <v>2525</v>
      </c>
      <c r="F497" s="50" t="s">
        <v>3351</v>
      </c>
      <c r="G497" s="50" t="e">
        <f>VLOOKUP(B497,aa!B:F,5,0)</f>
        <v>#N/A</v>
      </c>
      <c r="H497" s="50" t="e">
        <f>VLOOKUP(B497,aa!B:J,9,0)</f>
        <v>#N/A</v>
      </c>
      <c r="I497" s="50" t="e">
        <f>VLOOKUP(B497,aa!B:L,11,0)</f>
        <v>#N/A</v>
      </c>
      <c r="J497" s="50" t="e">
        <f>VLOOKUP(B497,aa!B:O,14,0)</f>
        <v>#N/A</v>
      </c>
      <c r="K497" s="50" t="e">
        <f>VLOOKUP(B497,aa!B:R,17,0)</f>
        <v>#N/A</v>
      </c>
      <c r="L497" s="50" t="s">
        <v>97</v>
      </c>
      <c r="M497" s="50">
        <v>203400</v>
      </c>
      <c r="N497" s="50">
        <v>203400</v>
      </c>
      <c r="O497" s="50">
        <v>203400</v>
      </c>
      <c r="P497" s="50">
        <v>226</v>
      </c>
      <c r="Q497" s="50" t="s">
        <v>2451</v>
      </c>
      <c r="R497" s="50">
        <v>0</v>
      </c>
      <c r="S497" s="50">
        <v>0</v>
      </c>
      <c r="U497" s="50">
        <v>0</v>
      </c>
      <c r="V497" s="50">
        <v>0</v>
      </c>
      <c r="X497" s="50" t="s">
        <v>102</v>
      </c>
      <c r="Y497" s="50" t="s">
        <v>103</v>
      </c>
      <c r="Z497" s="50" t="s">
        <v>104</v>
      </c>
      <c r="AB497" s="50" t="s">
        <v>8488</v>
      </c>
      <c r="AC497" s="50" t="s">
        <v>18795</v>
      </c>
      <c r="AD497" s="50" t="s">
        <v>3679</v>
      </c>
      <c r="AE497" s="50" t="s">
        <v>18795</v>
      </c>
      <c r="AF497" s="50" t="s">
        <v>109</v>
      </c>
      <c r="AG497" s="50" t="s">
        <v>102</v>
      </c>
      <c r="AH497" s="50" t="s">
        <v>109</v>
      </c>
      <c r="AI497" s="50" t="s">
        <v>102</v>
      </c>
      <c r="AJ497" s="50" t="s">
        <v>102</v>
      </c>
      <c r="AK497" s="50" t="s">
        <v>18796</v>
      </c>
      <c r="AL497" s="50" t="s">
        <v>16421</v>
      </c>
      <c r="AM497" s="50" t="s">
        <v>18797</v>
      </c>
      <c r="AN497" s="50" t="s">
        <v>18797</v>
      </c>
      <c r="AO497" s="50" t="s">
        <v>102</v>
      </c>
      <c r="AP497" s="50" t="s">
        <v>554</v>
      </c>
      <c r="AQ497" s="50" t="s">
        <v>554</v>
      </c>
      <c r="AV497" s="50" t="s">
        <v>318</v>
      </c>
      <c r="AW497" s="50" t="s">
        <v>118</v>
      </c>
      <c r="AX497" s="50" t="s">
        <v>102</v>
      </c>
      <c r="AY497" s="50" t="s">
        <v>119</v>
      </c>
      <c r="BC497" s="50" t="s">
        <v>1964</v>
      </c>
      <c r="BD497" s="50" t="s">
        <v>1729</v>
      </c>
      <c r="BE497" s="50" t="s">
        <v>730</v>
      </c>
      <c r="BF497" s="50" t="s">
        <v>622</v>
      </c>
      <c r="BG497" s="50" t="s">
        <v>730</v>
      </c>
      <c r="BH497" s="50" t="s">
        <v>124</v>
      </c>
      <c r="BI497" s="50" t="s">
        <v>11959</v>
      </c>
      <c r="BJ497" s="50" t="s">
        <v>11960</v>
      </c>
      <c r="BK497" s="50" t="s">
        <v>127</v>
      </c>
      <c r="BL497" s="50" t="s">
        <v>18798</v>
      </c>
      <c r="BM497" s="50" t="s">
        <v>9598</v>
      </c>
      <c r="BN497" s="50" t="s">
        <v>18799</v>
      </c>
      <c r="BO497" s="50" t="s">
        <v>15139</v>
      </c>
      <c r="BP497" s="50" t="s">
        <v>3910</v>
      </c>
      <c r="BQ497" s="50" t="s">
        <v>350</v>
      </c>
      <c r="BR497" s="50" t="s">
        <v>3911</v>
      </c>
      <c r="BS497" s="50" t="s">
        <v>3912</v>
      </c>
      <c r="BT497" s="50" t="s">
        <v>2569</v>
      </c>
      <c r="BV497" s="50" t="s">
        <v>18800</v>
      </c>
      <c r="BW497" s="50" t="s">
        <v>9601</v>
      </c>
      <c r="BX497" s="50" t="s">
        <v>138</v>
      </c>
      <c r="BY497" s="50" t="s">
        <v>9602</v>
      </c>
      <c r="BZ497" s="50" t="s">
        <v>9603</v>
      </c>
      <c r="CA497" s="50" t="s">
        <v>9604</v>
      </c>
      <c r="CB497" s="50" t="s">
        <v>9601</v>
      </c>
      <c r="CC497" s="50" t="s">
        <v>9602</v>
      </c>
      <c r="CD497" s="50" t="s">
        <v>9603</v>
      </c>
      <c r="CE497" s="50" t="s">
        <v>9601</v>
      </c>
      <c r="CF497" s="50" t="s">
        <v>9602</v>
      </c>
      <c r="CG497" s="50" t="s">
        <v>9603</v>
      </c>
      <c r="CH497" s="50" t="s">
        <v>9607</v>
      </c>
      <c r="CI497" s="50" t="s">
        <v>9608</v>
      </c>
      <c r="CK497" s="50" t="s">
        <v>7932</v>
      </c>
      <c r="CL497" s="50" t="s">
        <v>9608</v>
      </c>
      <c r="CM497" s="50" t="s">
        <v>1729</v>
      </c>
      <c r="CN497" s="50" t="s">
        <v>730</v>
      </c>
      <c r="CO497" s="50" t="s">
        <v>9610</v>
      </c>
      <c r="CQ497" s="50" t="s">
        <v>9608</v>
      </c>
      <c r="CR497" s="50" t="s">
        <v>9609</v>
      </c>
      <c r="CS497" s="50" t="s">
        <v>26046</v>
      </c>
    </row>
    <row r="498" spans="1:97" hidden="1">
      <c r="A498" s="50" t="s">
        <v>495</v>
      </c>
      <c r="B498" s="50">
        <v>5018377</v>
      </c>
      <c r="C498" s="50" t="str">
        <f>VLOOKUP(B498,RISK!B:C,2,0)</f>
        <v>Risk</v>
      </c>
      <c r="D498" s="50" t="s">
        <v>212</v>
      </c>
      <c r="E498" s="50" t="s">
        <v>11995</v>
      </c>
      <c r="F498" s="50" t="s">
        <v>10725</v>
      </c>
      <c r="G498" s="50" t="e">
        <f>VLOOKUP(B498,aa!B:F,5,0)</f>
        <v>#N/A</v>
      </c>
      <c r="H498" s="50" t="e">
        <f>VLOOKUP(B498,aa!B:J,9,0)</f>
        <v>#N/A</v>
      </c>
      <c r="I498" s="50" t="e">
        <f>VLOOKUP(B498,aa!B:L,11,0)</f>
        <v>#N/A</v>
      </c>
      <c r="J498" s="50" t="e">
        <f>VLOOKUP(B498,aa!B:O,14,0)</f>
        <v>#N/A</v>
      </c>
      <c r="K498" s="50" t="e">
        <f>VLOOKUP(B498,aa!B:R,17,0)</f>
        <v>#N/A</v>
      </c>
      <c r="L498" s="50" t="s">
        <v>97</v>
      </c>
      <c r="M498" s="50">
        <v>200250</v>
      </c>
      <c r="N498" s="50">
        <v>200250</v>
      </c>
      <c r="O498" s="50">
        <v>200250</v>
      </c>
      <c r="P498" s="50">
        <v>267</v>
      </c>
      <c r="Q498" s="50" t="s">
        <v>101</v>
      </c>
      <c r="R498" s="50">
        <v>0</v>
      </c>
      <c r="S498" s="50">
        <v>0</v>
      </c>
      <c r="U498" s="50">
        <v>0</v>
      </c>
      <c r="V498" s="50">
        <v>0</v>
      </c>
      <c r="X498" s="50" t="s">
        <v>102</v>
      </c>
      <c r="Y498" s="50" t="s">
        <v>103</v>
      </c>
      <c r="Z498" s="50" t="s">
        <v>104</v>
      </c>
      <c r="AB498" s="50" t="s">
        <v>8708</v>
      </c>
      <c r="AC498" s="50" t="s">
        <v>19681</v>
      </c>
      <c r="AD498" s="50" t="s">
        <v>12040</v>
      </c>
      <c r="AE498" s="50" t="s">
        <v>19681</v>
      </c>
      <c r="AF498" s="50" t="s">
        <v>109</v>
      </c>
      <c r="AG498" s="50" t="s">
        <v>102</v>
      </c>
      <c r="AH498" s="50" t="s">
        <v>109</v>
      </c>
      <c r="AI498" s="50" t="s">
        <v>102</v>
      </c>
      <c r="AJ498" s="50" t="s">
        <v>19682</v>
      </c>
      <c r="AK498" s="50" t="s">
        <v>2050</v>
      </c>
      <c r="AL498" s="50" t="s">
        <v>12873</v>
      </c>
      <c r="AM498" s="50" t="s">
        <v>19683</v>
      </c>
      <c r="AN498" s="50" t="s">
        <v>19684</v>
      </c>
      <c r="AO498" s="50" t="s">
        <v>102</v>
      </c>
      <c r="AP498" s="50" t="s">
        <v>116</v>
      </c>
      <c r="AQ498" s="50" t="s">
        <v>116</v>
      </c>
      <c r="AV498" s="50" t="s">
        <v>318</v>
      </c>
      <c r="AW498" s="50" t="s">
        <v>118</v>
      </c>
      <c r="AX498" s="50" t="s">
        <v>102</v>
      </c>
      <c r="AY498" s="50" t="s">
        <v>119</v>
      </c>
      <c r="BC498" s="50" t="s">
        <v>120</v>
      </c>
      <c r="BD498" s="50" t="s">
        <v>284</v>
      </c>
      <c r="BE498" s="50" t="s">
        <v>285</v>
      </c>
      <c r="BF498" s="50" t="s">
        <v>212</v>
      </c>
      <c r="BG498" s="50" t="s">
        <v>286</v>
      </c>
      <c r="BH498" s="50" t="s">
        <v>124</v>
      </c>
      <c r="BI498" s="50" t="s">
        <v>11959</v>
      </c>
      <c r="BJ498" s="50" t="s">
        <v>11889</v>
      </c>
      <c r="BK498" s="50" t="s">
        <v>127</v>
      </c>
      <c r="BL498" s="50" t="s">
        <v>19685</v>
      </c>
      <c r="BM498" s="50" t="s">
        <v>10734</v>
      </c>
      <c r="BN498" s="50" t="s">
        <v>19686</v>
      </c>
      <c r="BO498" s="50" t="s">
        <v>8488</v>
      </c>
      <c r="BP498" s="50" t="s">
        <v>956</v>
      </c>
      <c r="BQ498" s="50" t="s">
        <v>132</v>
      </c>
      <c r="BR498" s="50" t="s">
        <v>958</v>
      </c>
      <c r="BS498" s="50" t="s">
        <v>959</v>
      </c>
      <c r="BT498" s="50" t="s">
        <v>737</v>
      </c>
      <c r="BV498" s="50" t="s">
        <v>19687</v>
      </c>
      <c r="BW498" s="50" t="s">
        <v>10737</v>
      </c>
      <c r="BX498" s="50" t="s">
        <v>138</v>
      </c>
      <c r="BY498" s="50" t="s">
        <v>10738</v>
      </c>
      <c r="BZ498" s="50" t="s">
        <v>10739</v>
      </c>
      <c r="CA498" s="50" t="s">
        <v>10738</v>
      </c>
      <c r="CB498" s="50" t="s">
        <v>10737</v>
      </c>
      <c r="CC498" s="50" t="s">
        <v>10738</v>
      </c>
      <c r="CD498" s="50" t="s">
        <v>10739</v>
      </c>
      <c r="CE498" s="50" t="s">
        <v>10737</v>
      </c>
      <c r="CF498" s="50" t="s">
        <v>10738</v>
      </c>
      <c r="CG498" s="50" t="s">
        <v>10739</v>
      </c>
      <c r="CH498" s="50" t="s">
        <v>10744</v>
      </c>
      <c r="CI498" s="50" t="s">
        <v>10745</v>
      </c>
      <c r="CK498" s="50" t="s">
        <v>102</v>
      </c>
      <c r="CL498" s="50" t="s">
        <v>19688</v>
      </c>
      <c r="CM498" s="50" t="s">
        <v>284</v>
      </c>
      <c r="CN498" s="50" t="s">
        <v>285</v>
      </c>
      <c r="CO498" s="50" t="s">
        <v>2003</v>
      </c>
      <c r="CP498" s="50" t="s">
        <v>10747</v>
      </c>
      <c r="CQ498" s="50" t="s">
        <v>10748</v>
      </c>
      <c r="CR498" s="50" t="s">
        <v>10749</v>
      </c>
      <c r="CS498" s="50" t="s">
        <v>26042</v>
      </c>
    </row>
    <row r="499" spans="1:97" hidden="1">
      <c r="A499" s="50" t="s">
        <v>93</v>
      </c>
      <c r="B499" s="50">
        <v>3567542</v>
      </c>
      <c r="C499" s="50" t="str">
        <f>VLOOKUP(B499,'Drop schools 2026'!B:C,2,0)</f>
        <v>Drop</v>
      </c>
      <c r="D499" s="50" t="s">
        <v>212</v>
      </c>
      <c r="E499" s="50" t="s">
        <v>11995</v>
      </c>
      <c r="F499" s="50" t="s">
        <v>6688</v>
      </c>
      <c r="G499" s="50" t="e">
        <f>VLOOKUP(B499,aa!B:F,5,0)</f>
        <v>#N/A</v>
      </c>
      <c r="H499" s="50" t="e">
        <f>VLOOKUP(B499,aa!B:J,9,0)</f>
        <v>#N/A</v>
      </c>
      <c r="I499" s="50" t="e">
        <f>VLOOKUP(B499,aa!B:L,11,0)</f>
        <v>#N/A</v>
      </c>
      <c r="J499" s="50" t="e">
        <f>VLOOKUP(B499,aa!B:O,14,0)</f>
        <v>#N/A</v>
      </c>
      <c r="K499" s="50" t="e">
        <f>VLOOKUP(B499,aa!B:R,17,0)</f>
        <v>#N/A</v>
      </c>
      <c r="L499" s="50" t="s">
        <v>97</v>
      </c>
      <c r="M499" s="50">
        <v>199260</v>
      </c>
      <c r="N499" s="50">
        <v>199260</v>
      </c>
      <c r="O499" s="50">
        <v>199260</v>
      </c>
      <c r="P499" s="50">
        <v>123</v>
      </c>
      <c r="Q499" s="50" t="s">
        <v>6691</v>
      </c>
      <c r="R499" s="50">
        <v>0</v>
      </c>
      <c r="S499" s="50">
        <v>0</v>
      </c>
      <c r="U499" s="50">
        <v>0</v>
      </c>
      <c r="V499" s="50">
        <v>0</v>
      </c>
      <c r="X499" s="50" t="s">
        <v>102</v>
      </c>
      <c r="Y499" s="50" t="s">
        <v>103</v>
      </c>
      <c r="Z499" s="50" t="s">
        <v>104</v>
      </c>
      <c r="AB499" s="50" t="s">
        <v>16483</v>
      </c>
      <c r="AC499" s="50" t="s">
        <v>16484</v>
      </c>
      <c r="AD499" s="50" t="s">
        <v>11911</v>
      </c>
      <c r="AE499" s="50" t="s">
        <v>16484</v>
      </c>
      <c r="AF499" s="50" t="s">
        <v>109</v>
      </c>
      <c r="AG499" s="50" t="s">
        <v>102</v>
      </c>
      <c r="AH499" s="50" t="s">
        <v>109</v>
      </c>
      <c r="AI499" s="50" t="s">
        <v>102</v>
      </c>
      <c r="AJ499" s="50" t="s">
        <v>102</v>
      </c>
      <c r="AK499" s="50" t="s">
        <v>1547</v>
      </c>
      <c r="AL499" s="50" t="s">
        <v>1547</v>
      </c>
      <c r="AM499" s="50" t="s">
        <v>16485</v>
      </c>
      <c r="AN499" s="50" t="s">
        <v>16484</v>
      </c>
      <c r="AO499" s="50" t="s">
        <v>16484</v>
      </c>
      <c r="AP499" s="50" t="s">
        <v>6699</v>
      </c>
      <c r="AQ499" s="50" t="s">
        <v>6699</v>
      </c>
      <c r="AV499" s="50" t="s">
        <v>6700</v>
      </c>
      <c r="AW499" s="50" t="s">
        <v>118</v>
      </c>
      <c r="AX499" s="50" t="s">
        <v>102</v>
      </c>
      <c r="AY499" s="50" t="s">
        <v>119</v>
      </c>
      <c r="BC499" s="50" t="s">
        <v>120</v>
      </c>
      <c r="BD499" s="50" t="s">
        <v>284</v>
      </c>
      <c r="BE499" s="50" t="s">
        <v>285</v>
      </c>
      <c r="BF499" s="50" t="s">
        <v>212</v>
      </c>
      <c r="BG499" s="50" t="s">
        <v>286</v>
      </c>
      <c r="BH499" s="50" t="s">
        <v>124</v>
      </c>
      <c r="BI499" s="50" t="s">
        <v>12425</v>
      </c>
      <c r="BJ499" s="50" t="s">
        <v>11960</v>
      </c>
      <c r="BK499" s="50" t="s">
        <v>127</v>
      </c>
      <c r="BL499" s="50" t="s">
        <v>16486</v>
      </c>
      <c r="BM499" s="50" t="s">
        <v>6702</v>
      </c>
      <c r="BN499" s="50" t="s">
        <v>16487</v>
      </c>
      <c r="BO499" s="50" t="s">
        <v>16483</v>
      </c>
      <c r="BP499" s="50" t="s">
        <v>480</v>
      </c>
      <c r="BQ499" s="50" t="s">
        <v>180</v>
      </c>
      <c r="BR499" s="50" t="s">
        <v>481</v>
      </c>
      <c r="BS499" s="50" t="s">
        <v>482</v>
      </c>
      <c r="BT499" s="50" t="s">
        <v>2593</v>
      </c>
      <c r="BV499" s="50" t="s">
        <v>16488</v>
      </c>
      <c r="BW499" s="50" t="s">
        <v>16489</v>
      </c>
      <c r="BX499" s="50" t="s">
        <v>138</v>
      </c>
      <c r="BY499" s="50" t="s">
        <v>6708</v>
      </c>
      <c r="BZ499" s="50" t="s">
        <v>16490</v>
      </c>
      <c r="CA499" s="50" t="s">
        <v>6708</v>
      </c>
      <c r="CB499" s="50" t="s">
        <v>16491</v>
      </c>
      <c r="CC499" s="50" t="s">
        <v>16492</v>
      </c>
      <c r="CD499" s="50" t="s">
        <v>16493</v>
      </c>
      <c r="CE499" s="50" t="s">
        <v>16494</v>
      </c>
      <c r="CF499" s="50" t="s">
        <v>16495</v>
      </c>
      <c r="CG499" s="50" t="s">
        <v>16496</v>
      </c>
      <c r="CH499" s="50" t="s">
        <v>6709</v>
      </c>
      <c r="CI499" s="50" t="s">
        <v>16497</v>
      </c>
      <c r="CK499" s="50" t="s">
        <v>6711</v>
      </c>
      <c r="CL499" s="50" t="s">
        <v>16498</v>
      </c>
      <c r="CM499" s="50" t="s">
        <v>284</v>
      </c>
      <c r="CN499" s="50" t="s">
        <v>285</v>
      </c>
      <c r="CO499" s="50" t="s">
        <v>6711</v>
      </c>
      <c r="CQ499" s="50" t="s">
        <v>6710</v>
      </c>
      <c r="CR499" s="50" t="s">
        <v>6710</v>
      </c>
      <c r="CS499" s="50" t="s">
        <v>26046</v>
      </c>
    </row>
    <row r="500" spans="1:97" hidden="1">
      <c r="A500" s="50" t="s">
        <v>93</v>
      </c>
      <c r="B500" s="50">
        <v>8625</v>
      </c>
      <c r="C500" s="50" t="str">
        <f>VLOOKUP(B500,'Drop schools 2026'!B:C,2,0)</f>
        <v>Drop</v>
      </c>
      <c r="D500" s="50" t="s">
        <v>622</v>
      </c>
      <c r="E500" s="50" t="s">
        <v>3562</v>
      </c>
      <c r="F500" s="50" t="s">
        <v>11729</v>
      </c>
      <c r="G500" s="50" t="e">
        <f>VLOOKUP(B500,aa!B:F,5,0)</f>
        <v>#N/A</v>
      </c>
      <c r="H500" s="50" t="e">
        <f>VLOOKUP(B500,aa!B:J,9,0)</f>
        <v>#N/A</v>
      </c>
      <c r="I500" s="50" t="e">
        <f>VLOOKUP(B500,aa!B:L,11,0)</f>
        <v>#N/A</v>
      </c>
      <c r="J500" s="50" t="e">
        <f>VLOOKUP(B500,aa!B:O,14,0)</f>
        <v>#N/A</v>
      </c>
      <c r="K500" s="50" t="e">
        <f>VLOOKUP(B500,aa!B:R,17,0)</f>
        <v>#N/A</v>
      </c>
      <c r="L500" s="50" t="s">
        <v>152</v>
      </c>
      <c r="M500" s="50">
        <v>197600</v>
      </c>
      <c r="N500" s="50">
        <v>197600</v>
      </c>
      <c r="O500" s="50">
        <v>0</v>
      </c>
      <c r="P500" s="50">
        <v>0</v>
      </c>
      <c r="R500" s="50">
        <v>197600</v>
      </c>
      <c r="S500" s="50">
        <v>76</v>
      </c>
      <c r="T500" s="50" t="s">
        <v>21560</v>
      </c>
      <c r="U500" s="50">
        <v>0</v>
      </c>
      <c r="V500" s="50">
        <v>0</v>
      </c>
      <c r="X500" s="50" t="s">
        <v>102</v>
      </c>
      <c r="Y500" s="50" t="s">
        <v>275</v>
      </c>
      <c r="AA500" s="50" t="s">
        <v>11976</v>
      </c>
      <c r="AB500" s="50" t="s">
        <v>109</v>
      </c>
      <c r="AC500" s="50" t="s">
        <v>102</v>
      </c>
      <c r="AD500" s="50" t="s">
        <v>109</v>
      </c>
      <c r="AE500" s="50" t="s">
        <v>102</v>
      </c>
      <c r="AF500" s="50" t="s">
        <v>109</v>
      </c>
      <c r="AG500" s="50" t="s">
        <v>102</v>
      </c>
      <c r="AH500" s="50" t="s">
        <v>109</v>
      </c>
      <c r="AI500" s="50" t="s">
        <v>102</v>
      </c>
      <c r="AJ500" s="50" t="s">
        <v>102</v>
      </c>
      <c r="AK500" s="50" t="s">
        <v>1408</v>
      </c>
      <c r="AL500" s="50" t="s">
        <v>13455</v>
      </c>
      <c r="AM500" s="50" t="s">
        <v>21561</v>
      </c>
      <c r="AN500" s="50" t="s">
        <v>21562</v>
      </c>
      <c r="AO500" s="50" t="s">
        <v>21563</v>
      </c>
      <c r="AP500" s="50" t="s">
        <v>102</v>
      </c>
      <c r="AV500" s="50" t="s">
        <v>102</v>
      </c>
      <c r="AX500" s="50" t="s">
        <v>155</v>
      </c>
      <c r="AY500" s="50" t="s">
        <v>119</v>
      </c>
      <c r="AZ500" s="50" t="s">
        <v>170</v>
      </c>
      <c r="BA500" s="50" t="s">
        <v>118</v>
      </c>
      <c r="BC500" s="50" t="s">
        <v>120</v>
      </c>
      <c r="BD500" s="50" t="s">
        <v>2258</v>
      </c>
      <c r="BE500" s="50" t="s">
        <v>730</v>
      </c>
      <c r="BF500" s="50" t="s">
        <v>622</v>
      </c>
      <c r="BG500" s="50" t="s">
        <v>730</v>
      </c>
      <c r="BH500" s="50" t="s">
        <v>124</v>
      </c>
      <c r="BI500" s="50" t="s">
        <v>11976</v>
      </c>
      <c r="BJ500" s="50" t="s">
        <v>11889</v>
      </c>
      <c r="BK500" s="50" t="s">
        <v>127</v>
      </c>
      <c r="BL500" s="50" t="s">
        <v>21564</v>
      </c>
      <c r="BM500" s="50" t="s">
        <v>11736</v>
      </c>
      <c r="BN500" s="50" t="s">
        <v>21565</v>
      </c>
      <c r="BO500" s="50" t="s">
        <v>15421</v>
      </c>
      <c r="BP500" s="50" t="s">
        <v>2262</v>
      </c>
      <c r="BQ500" s="50" t="s">
        <v>350</v>
      </c>
      <c r="BR500" s="50" t="s">
        <v>2263</v>
      </c>
      <c r="BS500" s="50" t="s">
        <v>2264</v>
      </c>
      <c r="BT500" s="50" t="s">
        <v>2569</v>
      </c>
      <c r="BV500" s="50" t="s">
        <v>21566</v>
      </c>
      <c r="BW500" s="50" t="s">
        <v>21567</v>
      </c>
      <c r="BX500" s="50" t="s">
        <v>138</v>
      </c>
      <c r="BY500" s="50" t="s">
        <v>11740</v>
      </c>
      <c r="BZ500" s="50" t="s">
        <v>21568</v>
      </c>
      <c r="CA500" s="50" t="s">
        <v>11742</v>
      </c>
      <c r="CB500" s="50" t="s">
        <v>21567</v>
      </c>
      <c r="CC500" s="50" t="s">
        <v>11740</v>
      </c>
      <c r="CD500" s="50" t="s">
        <v>21568</v>
      </c>
      <c r="CE500" s="50" t="s">
        <v>21567</v>
      </c>
      <c r="CF500" s="50" t="s">
        <v>11740</v>
      </c>
      <c r="CG500" s="50" t="s">
        <v>21568</v>
      </c>
      <c r="CH500" s="50" t="s">
        <v>1594</v>
      </c>
      <c r="CI500" s="50" t="s">
        <v>21569</v>
      </c>
      <c r="CK500" s="50" t="s">
        <v>11744</v>
      </c>
      <c r="CL500" s="50" t="s">
        <v>21570</v>
      </c>
      <c r="CM500" s="50" t="s">
        <v>2258</v>
      </c>
      <c r="CN500" s="50" t="s">
        <v>2273</v>
      </c>
      <c r="CO500" s="50" t="s">
        <v>11744</v>
      </c>
      <c r="CQ500" s="50" t="s">
        <v>11743</v>
      </c>
      <c r="CR500" s="50" t="s">
        <v>11743</v>
      </c>
      <c r="CS500" s="50" t="s">
        <v>26046</v>
      </c>
    </row>
    <row r="501" spans="1:97" hidden="1">
      <c r="A501" s="50" t="s">
        <v>93</v>
      </c>
      <c r="B501" s="50">
        <v>3464699</v>
      </c>
      <c r="C501" s="50" t="e">
        <f>VLOOKUP(B501,'Drop schools 2026'!B:C,2,0)</f>
        <v>#N/A</v>
      </c>
      <c r="D501" s="50" t="s">
        <v>122</v>
      </c>
      <c r="E501" s="50" t="s">
        <v>12507</v>
      </c>
      <c r="F501" s="50" t="s">
        <v>6171</v>
      </c>
      <c r="G501" s="50" t="str">
        <f>VLOOKUP(B501,aa!B:F,5,0)</f>
        <v>Ei CARES</v>
      </c>
      <c r="H501" s="50">
        <f>VLOOKUP(B501,aa!B:J,9,0)</f>
        <v>420420</v>
      </c>
      <c r="I501" s="50">
        <f>VLOOKUP(B501,aa!B:L,11,0)</f>
        <v>0</v>
      </c>
      <c r="J501" s="50">
        <f>VLOOKUP(B501,aa!B:O,14,0)</f>
        <v>420420</v>
      </c>
      <c r="K501" s="50">
        <f>VLOOKUP(B501,aa!B:R,17,0)</f>
        <v>0</v>
      </c>
      <c r="L501" s="50" t="s">
        <v>152</v>
      </c>
      <c r="M501" s="50">
        <v>195990</v>
      </c>
      <c r="N501" s="50">
        <v>195990</v>
      </c>
      <c r="O501" s="50">
        <v>0</v>
      </c>
      <c r="P501" s="50">
        <v>0</v>
      </c>
      <c r="R501" s="50">
        <v>195990</v>
      </c>
      <c r="S501" s="50">
        <v>98</v>
      </c>
      <c r="T501" s="50" t="s">
        <v>7192</v>
      </c>
      <c r="U501" s="50">
        <v>0</v>
      </c>
      <c r="V501" s="50">
        <v>0</v>
      </c>
      <c r="X501" s="50" t="s">
        <v>102</v>
      </c>
      <c r="Y501" s="50" t="s">
        <v>103</v>
      </c>
      <c r="Z501" s="50" t="s">
        <v>104</v>
      </c>
      <c r="AB501" s="50" t="s">
        <v>12040</v>
      </c>
      <c r="AC501" s="50" t="s">
        <v>16089</v>
      </c>
      <c r="AD501" s="50" t="s">
        <v>13395</v>
      </c>
      <c r="AE501" s="50" t="s">
        <v>16089</v>
      </c>
      <c r="AF501" s="50" t="s">
        <v>109</v>
      </c>
      <c r="AG501" s="50" t="s">
        <v>102</v>
      </c>
      <c r="AH501" s="50" t="s">
        <v>109</v>
      </c>
      <c r="AI501" s="50" t="s">
        <v>102</v>
      </c>
      <c r="AJ501" s="50" t="s">
        <v>102</v>
      </c>
      <c r="AK501" s="50" t="s">
        <v>15873</v>
      </c>
      <c r="AL501" s="50" t="s">
        <v>15873</v>
      </c>
      <c r="AM501" s="50" t="s">
        <v>16090</v>
      </c>
      <c r="AN501" s="50" t="s">
        <v>16089</v>
      </c>
      <c r="AO501" s="50" t="s">
        <v>16089</v>
      </c>
      <c r="AP501" s="50" t="s">
        <v>16091</v>
      </c>
      <c r="AQ501" s="50" t="s">
        <v>16092</v>
      </c>
      <c r="AU501" s="50" t="s">
        <v>169</v>
      </c>
      <c r="AV501" s="50" t="s">
        <v>102</v>
      </c>
      <c r="AX501" s="50" t="s">
        <v>155</v>
      </c>
      <c r="AY501" s="50" t="s">
        <v>447</v>
      </c>
      <c r="AZ501" s="50" t="s">
        <v>170</v>
      </c>
      <c r="BA501" s="50" t="s">
        <v>118</v>
      </c>
      <c r="BC501" s="50" t="s">
        <v>120</v>
      </c>
      <c r="BD501" s="50" t="s">
        <v>6176</v>
      </c>
      <c r="BE501" s="50" t="s">
        <v>556</v>
      </c>
      <c r="BF501" s="50" t="s">
        <v>122</v>
      </c>
      <c r="BG501" s="50" t="s">
        <v>557</v>
      </c>
      <c r="BH501" s="50" t="s">
        <v>124</v>
      </c>
      <c r="BI501" s="50" t="s">
        <v>11976</v>
      </c>
      <c r="BJ501" s="50" t="s">
        <v>11889</v>
      </c>
      <c r="BK501" s="50" t="s">
        <v>127</v>
      </c>
      <c r="BL501" s="50" t="s">
        <v>16093</v>
      </c>
      <c r="BM501" s="50" t="s">
        <v>6179</v>
      </c>
      <c r="BN501" s="50" t="s">
        <v>16094</v>
      </c>
      <c r="BO501" s="50" t="s">
        <v>14292</v>
      </c>
      <c r="BP501" s="50" t="s">
        <v>12743</v>
      </c>
      <c r="BQ501" s="50" t="s">
        <v>350</v>
      </c>
      <c r="BR501" s="50" t="s">
        <v>12744</v>
      </c>
      <c r="BS501" s="50" t="s">
        <v>12745</v>
      </c>
      <c r="BT501" s="50" t="s">
        <v>1074</v>
      </c>
      <c r="BV501" s="50" t="s">
        <v>16095</v>
      </c>
      <c r="BW501" s="50" t="s">
        <v>16096</v>
      </c>
      <c r="BX501" s="50" t="s">
        <v>138</v>
      </c>
      <c r="BY501" s="50" t="s">
        <v>6183</v>
      </c>
      <c r="BZ501" s="50" t="s">
        <v>6184</v>
      </c>
      <c r="CA501" s="50" t="s">
        <v>6183</v>
      </c>
      <c r="CB501" s="50" t="s">
        <v>16096</v>
      </c>
      <c r="CC501" s="50" t="s">
        <v>6183</v>
      </c>
      <c r="CD501" s="50" t="s">
        <v>6184</v>
      </c>
      <c r="CE501" s="50" t="s">
        <v>16096</v>
      </c>
      <c r="CF501" s="50" t="s">
        <v>6183</v>
      </c>
      <c r="CG501" s="50" t="s">
        <v>6184</v>
      </c>
      <c r="CH501" s="50" t="s">
        <v>6185</v>
      </c>
      <c r="CI501" s="50" t="s">
        <v>16097</v>
      </c>
      <c r="CK501" s="50" t="s">
        <v>6187</v>
      </c>
      <c r="CL501" s="50" t="s">
        <v>16098</v>
      </c>
      <c r="CM501" s="50" t="s">
        <v>6176</v>
      </c>
      <c r="CN501" s="50" t="s">
        <v>556</v>
      </c>
      <c r="CO501" s="50" t="s">
        <v>6187</v>
      </c>
      <c r="CQ501" s="50" t="s">
        <v>6186</v>
      </c>
      <c r="CR501" s="50" t="s">
        <v>6186</v>
      </c>
    </row>
    <row r="502" spans="1:97" hidden="1">
      <c r="A502" s="50" t="s">
        <v>149</v>
      </c>
      <c r="B502" s="50">
        <v>5017215</v>
      </c>
      <c r="C502" s="50" t="e">
        <f>VLOOKUP(B502,'Drop schools 2026'!B:C,2,0)</f>
        <v>#N/A</v>
      </c>
      <c r="D502" s="50" t="s">
        <v>212</v>
      </c>
      <c r="E502" s="50" t="s">
        <v>2151</v>
      </c>
      <c r="F502" s="50" t="s">
        <v>9921</v>
      </c>
      <c r="G502" s="50" t="str">
        <f>VLOOKUP(B502,aa!B:F,5,0)</f>
        <v>Ei Mindspark</v>
      </c>
      <c r="H502" s="50">
        <f>VLOOKUP(B502,aa!B:J,9,0)</f>
        <v>300036</v>
      </c>
      <c r="I502" s="50">
        <f>VLOOKUP(B502,aa!B:L,11,0)</f>
        <v>0</v>
      </c>
      <c r="J502" s="50">
        <f>VLOOKUP(B502,aa!B:O,14,0)</f>
        <v>0</v>
      </c>
      <c r="K502" s="50">
        <f>VLOOKUP(B502,aa!B:R,17,0)</f>
        <v>300036</v>
      </c>
      <c r="L502" s="50" t="s">
        <v>848</v>
      </c>
      <c r="M502" s="50">
        <v>194805</v>
      </c>
      <c r="N502" s="50">
        <v>229870</v>
      </c>
      <c r="O502" s="50">
        <v>0</v>
      </c>
      <c r="P502" s="50">
        <v>0</v>
      </c>
      <c r="R502" s="50">
        <v>0</v>
      </c>
      <c r="S502" s="50">
        <v>0</v>
      </c>
      <c r="U502" s="50">
        <v>194805</v>
      </c>
      <c r="V502" s="50">
        <v>95</v>
      </c>
      <c r="W502" s="50" t="s">
        <v>3029</v>
      </c>
      <c r="X502" s="50" t="s">
        <v>102</v>
      </c>
      <c r="Y502" s="50" t="s">
        <v>103</v>
      </c>
      <c r="Z502" s="50" t="s">
        <v>398</v>
      </c>
      <c r="AB502" s="50" t="s">
        <v>15564</v>
      </c>
      <c r="AC502" s="50" t="s">
        <v>19015</v>
      </c>
      <c r="AD502" s="50" t="s">
        <v>18123</v>
      </c>
      <c r="AE502" s="50" t="s">
        <v>19016</v>
      </c>
      <c r="AF502" s="50" t="s">
        <v>12063</v>
      </c>
      <c r="AG502" s="50" t="s">
        <v>19016</v>
      </c>
      <c r="AH502" s="50" t="s">
        <v>109</v>
      </c>
      <c r="AI502" s="50" t="s">
        <v>102</v>
      </c>
      <c r="AJ502" s="50" t="s">
        <v>19017</v>
      </c>
      <c r="AK502" s="50" t="s">
        <v>12890</v>
      </c>
      <c r="AL502" s="50" t="s">
        <v>12043</v>
      </c>
      <c r="AM502" s="50" t="s">
        <v>19018</v>
      </c>
      <c r="AN502" s="50" t="s">
        <v>19019</v>
      </c>
      <c r="AO502" s="50" t="s">
        <v>19020</v>
      </c>
      <c r="AP502" s="50" t="s">
        <v>18129</v>
      </c>
      <c r="AQ502" s="50" t="s">
        <v>18129</v>
      </c>
      <c r="AV502" s="50" t="s">
        <v>102</v>
      </c>
      <c r="AX502" s="50" t="s">
        <v>102</v>
      </c>
      <c r="AY502" s="50" t="s">
        <v>119</v>
      </c>
      <c r="BB502" s="50" t="s">
        <v>250</v>
      </c>
      <c r="BC502" s="50" t="s">
        <v>1242</v>
      </c>
      <c r="BD502" s="50" t="s">
        <v>920</v>
      </c>
      <c r="BE502" s="50" t="s">
        <v>211</v>
      </c>
      <c r="BF502" s="50" t="s">
        <v>212</v>
      </c>
      <c r="BG502" s="50" t="s">
        <v>213</v>
      </c>
      <c r="BH502" s="50" t="s">
        <v>124</v>
      </c>
      <c r="BI502" s="50" t="s">
        <v>11948</v>
      </c>
      <c r="BJ502" s="50" t="s">
        <v>11960</v>
      </c>
      <c r="BK502" s="50" t="s">
        <v>127</v>
      </c>
      <c r="BL502" s="50" t="s">
        <v>19021</v>
      </c>
      <c r="BM502" s="50" t="s">
        <v>9929</v>
      </c>
      <c r="BN502" s="50" t="s">
        <v>19022</v>
      </c>
      <c r="BO502" s="50" t="s">
        <v>11948</v>
      </c>
      <c r="BP502" s="50" t="s">
        <v>415</v>
      </c>
      <c r="BQ502" s="50" t="s">
        <v>180</v>
      </c>
      <c r="BR502" s="50" t="s">
        <v>416</v>
      </c>
      <c r="BS502" s="50" t="s">
        <v>417</v>
      </c>
      <c r="BT502" s="50" t="s">
        <v>2151</v>
      </c>
      <c r="BV502" s="50" t="s">
        <v>19023</v>
      </c>
      <c r="BW502" s="50" t="s">
        <v>19024</v>
      </c>
      <c r="BX502" s="50" t="s">
        <v>598</v>
      </c>
      <c r="BY502" s="50" t="s">
        <v>19025</v>
      </c>
      <c r="BZ502" s="50" t="s">
        <v>19026</v>
      </c>
      <c r="CA502" s="50" t="s">
        <v>9935</v>
      </c>
      <c r="CB502" s="50" t="s">
        <v>19024</v>
      </c>
      <c r="CC502" s="50" t="s">
        <v>19025</v>
      </c>
      <c r="CD502" s="50" t="s">
        <v>19026</v>
      </c>
      <c r="CE502" s="50" t="s">
        <v>19024</v>
      </c>
      <c r="CF502" s="50" t="s">
        <v>19025</v>
      </c>
      <c r="CG502" s="50" t="s">
        <v>19026</v>
      </c>
      <c r="CH502" s="50" t="s">
        <v>9936</v>
      </c>
      <c r="CI502" s="50" t="s">
        <v>19027</v>
      </c>
      <c r="CK502" s="50" t="s">
        <v>9938</v>
      </c>
      <c r="CL502" s="50" t="s">
        <v>9937</v>
      </c>
      <c r="CM502" s="50" t="s">
        <v>920</v>
      </c>
      <c r="CN502" s="50" t="s">
        <v>211</v>
      </c>
      <c r="CO502" s="50" t="s">
        <v>9938</v>
      </c>
      <c r="CP502" s="50" t="s">
        <v>8718</v>
      </c>
      <c r="CQ502" s="50" t="s">
        <v>9937</v>
      </c>
      <c r="CR502" s="50" t="s">
        <v>9937</v>
      </c>
    </row>
    <row r="503" spans="1:97" hidden="1">
      <c r="A503" s="50" t="s">
        <v>337</v>
      </c>
      <c r="B503" s="50">
        <v>5099788</v>
      </c>
      <c r="C503" s="50" t="e">
        <f>VLOOKUP(B503,'Drop schools 2026'!B:C,2,0)</f>
        <v>#N/A</v>
      </c>
      <c r="D503" s="50" t="s">
        <v>622</v>
      </c>
      <c r="E503" s="50" t="s">
        <v>985</v>
      </c>
      <c r="F503" s="50" t="s">
        <v>20874</v>
      </c>
      <c r="G503" s="50" t="str">
        <f>VLOOKUP(B503,aa!B:F,5,0)</f>
        <v>Ei ASSET, Ei Mindspark</v>
      </c>
      <c r="H503" s="50">
        <f>VLOOKUP(B503,aa!B:J,9,0)</f>
        <v>194721</v>
      </c>
      <c r="I503" s="50">
        <f>VLOOKUP(B503,aa!B:L,11,0)</f>
        <v>194721</v>
      </c>
      <c r="J503" s="50">
        <f>VLOOKUP(B503,aa!B:O,14,0)</f>
        <v>0</v>
      </c>
      <c r="K503" s="50">
        <f>VLOOKUP(B503,aa!B:R,17,0)</f>
        <v>0</v>
      </c>
      <c r="L503" s="50" t="s">
        <v>97</v>
      </c>
      <c r="M503" s="50">
        <v>194721</v>
      </c>
      <c r="N503" s="50">
        <v>194721</v>
      </c>
      <c r="O503" s="50">
        <v>194721</v>
      </c>
      <c r="P503" s="50">
        <v>214</v>
      </c>
      <c r="Q503" s="50" t="s">
        <v>1798</v>
      </c>
      <c r="R503" s="50">
        <v>0</v>
      </c>
      <c r="S503" s="50">
        <v>0</v>
      </c>
      <c r="U503" s="50">
        <v>0</v>
      </c>
      <c r="V503" s="50">
        <v>0</v>
      </c>
      <c r="X503" s="50" t="s">
        <v>102</v>
      </c>
      <c r="Y503" s="50" t="s">
        <v>275</v>
      </c>
      <c r="AA503" s="50" t="s">
        <v>13863</v>
      </c>
      <c r="AB503" s="50" t="s">
        <v>109</v>
      </c>
      <c r="AC503" s="50" t="s">
        <v>102</v>
      </c>
      <c r="AD503" s="50" t="s">
        <v>109</v>
      </c>
      <c r="AE503" s="50" t="s">
        <v>102</v>
      </c>
      <c r="AF503" s="50" t="s">
        <v>109</v>
      </c>
      <c r="AG503" s="50" t="s">
        <v>102</v>
      </c>
      <c r="AH503" s="50" t="s">
        <v>109</v>
      </c>
      <c r="AI503" s="50" t="s">
        <v>102</v>
      </c>
      <c r="AJ503" s="50" t="s">
        <v>20875</v>
      </c>
      <c r="AK503" s="50" t="s">
        <v>12084</v>
      </c>
      <c r="AL503" s="50" t="s">
        <v>12752</v>
      </c>
      <c r="AM503" s="50" t="s">
        <v>20876</v>
      </c>
      <c r="AN503" s="50" t="s">
        <v>20877</v>
      </c>
      <c r="AO503" s="50" t="s">
        <v>102</v>
      </c>
      <c r="AP503" s="50" t="s">
        <v>18443</v>
      </c>
      <c r="AQ503" s="50" t="s">
        <v>18443</v>
      </c>
      <c r="AV503" s="50" t="s">
        <v>117</v>
      </c>
      <c r="AW503" s="50" t="s">
        <v>118</v>
      </c>
      <c r="AX503" s="50" t="s">
        <v>102</v>
      </c>
      <c r="AY503" s="50" t="s">
        <v>119</v>
      </c>
      <c r="BC503" s="50" t="s">
        <v>120</v>
      </c>
      <c r="BD503" s="50" t="s">
        <v>2127</v>
      </c>
      <c r="BE503" s="50" t="s">
        <v>621</v>
      </c>
      <c r="BF503" s="50" t="s">
        <v>622</v>
      </c>
      <c r="BG503" s="50" t="s">
        <v>976</v>
      </c>
      <c r="BH503" s="50" t="s">
        <v>124</v>
      </c>
      <c r="BI503" s="50" t="s">
        <v>13863</v>
      </c>
      <c r="BJ503" s="50" t="s">
        <v>11889</v>
      </c>
      <c r="BK503" s="50" t="s">
        <v>127</v>
      </c>
      <c r="BL503" s="50" t="s">
        <v>20878</v>
      </c>
      <c r="BM503" s="50" t="s">
        <v>20879</v>
      </c>
      <c r="BN503" s="50" t="s">
        <v>20880</v>
      </c>
      <c r="BO503" s="50" t="s">
        <v>18439</v>
      </c>
      <c r="BP503" s="50" t="s">
        <v>13638</v>
      </c>
      <c r="BQ503" s="50" t="s">
        <v>132</v>
      </c>
      <c r="BR503" s="50" t="s">
        <v>13639</v>
      </c>
      <c r="BS503" s="50" t="s">
        <v>13640</v>
      </c>
      <c r="BT503" s="50" t="s">
        <v>2847</v>
      </c>
      <c r="BV503" s="50" t="s">
        <v>20881</v>
      </c>
      <c r="BW503" s="50" t="s">
        <v>18448</v>
      </c>
      <c r="BX503" s="50" t="s">
        <v>598</v>
      </c>
      <c r="BY503" s="50" t="s">
        <v>18449</v>
      </c>
      <c r="BZ503" s="50" t="s">
        <v>18450</v>
      </c>
      <c r="CA503" s="50" t="s">
        <v>20882</v>
      </c>
      <c r="CB503" s="50" t="s">
        <v>18452</v>
      </c>
      <c r="CC503" s="50" t="s">
        <v>18453</v>
      </c>
      <c r="CD503" s="50" t="s">
        <v>20883</v>
      </c>
      <c r="CE503" s="50" t="s">
        <v>20884</v>
      </c>
      <c r="CF503" s="50" t="s">
        <v>20885</v>
      </c>
      <c r="CG503" s="50" t="s">
        <v>20883</v>
      </c>
      <c r="CH503" s="50" t="s">
        <v>18457</v>
      </c>
      <c r="CI503" s="50" t="s">
        <v>18458</v>
      </c>
      <c r="CK503" s="50" t="s">
        <v>18459</v>
      </c>
      <c r="CL503" s="50" t="s">
        <v>20886</v>
      </c>
      <c r="CM503" s="50" t="s">
        <v>2127</v>
      </c>
      <c r="CN503" s="50" t="s">
        <v>621</v>
      </c>
      <c r="CO503" s="50" t="s">
        <v>20887</v>
      </c>
      <c r="CP503" s="50" t="s">
        <v>18461</v>
      </c>
      <c r="CQ503" s="50" t="s">
        <v>20888</v>
      </c>
      <c r="CR503" s="50" t="s">
        <v>20889</v>
      </c>
    </row>
    <row r="504" spans="1:97" hidden="1">
      <c r="A504" s="50" t="s">
        <v>337</v>
      </c>
      <c r="B504" s="50">
        <v>3395953</v>
      </c>
      <c r="C504" s="50" t="e">
        <f>VLOOKUP(B504,'Drop schools 2026'!B:C,2,0)</f>
        <v>#N/A</v>
      </c>
      <c r="D504" s="50" t="s">
        <v>122</v>
      </c>
      <c r="E504" s="50" t="s">
        <v>11882</v>
      </c>
      <c r="F504" s="50" t="s">
        <v>15823</v>
      </c>
      <c r="G504" s="50" t="str">
        <f>VLOOKUP(B504,aa!B:F,5,0)</f>
        <v>Ei CARES</v>
      </c>
      <c r="H504" s="50">
        <f>VLOOKUP(B504,aa!B:J,9,0)</f>
        <v>336960</v>
      </c>
      <c r="I504" s="50">
        <f>VLOOKUP(B504,aa!B:L,11,0)</f>
        <v>0</v>
      </c>
      <c r="J504" s="50">
        <f>VLOOKUP(B504,aa!B:O,14,0)</f>
        <v>336960</v>
      </c>
      <c r="K504" s="50">
        <f>VLOOKUP(B504,aa!B:R,17,0)</f>
        <v>0</v>
      </c>
      <c r="L504" s="50" t="s">
        <v>152</v>
      </c>
      <c r="M504" s="50">
        <v>193440</v>
      </c>
      <c r="N504" s="50">
        <v>193440</v>
      </c>
      <c r="O504" s="50">
        <v>0</v>
      </c>
      <c r="P504" s="50">
        <v>0</v>
      </c>
      <c r="R504" s="50">
        <v>193440</v>
      </c>
      <c r="S504" s="50">
        <v>120</v>
      </c>
      <c r="T504" s="50" t="s">
        <v>15824</v>
      </c>
      <c r="U504" s="50">
        <v>0</v>
      </c>
      <c r="V504" s="50">
        <v>0</v>
      </c>
      <c r="X504" s="50" t="s">
        <v>102</v>
      </c>
      <c r="Y504" s="50" t="s">
        <v>103</v>
      </c>
      <c r="Z504" s="50" t="s">
        <v>155</v>
      </c>
      <c r="AB504" s="50" t="s">
        <v>3880</v>
      </c>
      <c r="AC504" s="50" t="s">
        <v>15825</v>
      </c>
      <c r="AD504" s="50" t="s">
        <v>1408</v>
      </c>
      <c r="AE504" s="50" t="s">
        <v>15825</v>
      </c>
      <c r="AF504" s="50" t="s">
        <v>12289</v>
      </c>
      <c r="AG504" s="50" t="s">
        <v>15825</v>
      </c>
      <c r="AH504" s="50" t="s">
        <v>11886</v>
      </c>
      <c r="AI504" s="50" t="s">
        <v>15825</v>
      </c>
      <c r="AJ504" s="50" t="s">
        <v>102</v>
      </c>
      <c r="AK504" s="50" t="s">
        <v>4084</v>
      </c>
      <c r="AL504" s="50" t="s">
        <v>12573</v>
      </c>
      <c r="AM504" s="50" t="s">
        <v>15826</v>
      </c>
      <c r="AN504" s="50" t="s">
        <v>15827</v>
      </c>
      <c r="AO504" s="50" t="s">
        <v>15828</v>
      </c>
      <c r="AP504" s="50" t="s">
        <v>15829</v>
      </c>
      <c r="AQ504" s="50" t="s">
        <v>15829</v>
      </c>
      <c r="AV504" s="50" t="s">
        <v>102</v>
      </c>
      <c r="AX504" s="50" t="s">
        <v>155</v>
      </c>
      <c r="AY504" s="50" t="s">
        <v>119</v>
      </c>
      <c r="AZ504" s="50" t="s">
        <v>170</v>
      </c>
      <c r="BA504" s="50" t="s">
        <v>118</v>
      </c>
      <c r="BC504" s="50" t="s">
        <v>120</v>
      </c>
      <c r="BD504" s="50" t="s">
        <v>15830</v>
      </c>
      <c r="BE504" s="50" t="s">
        <v>252</v>
      </c>
      <c r="BF504" s="50" t="s">
        <v>122</v>
      </c>
      <c r="BG504" s="50" t="s">
        <v>253</v>
      </c>
      <c r="BH504" s="50" t="s">
        <v>124</v>
      </c>
      <c r="BI504" s="50" t="s">
        <v>12023</v>
      </c>
      <c r="BJ504" s="50" t="s">
        <v>11889</v>
      </c>
      <c r="BK504" s="50" t="s">
        <v>127</v>
      </c>
      <c r="BL504" s="50" t="s">
        <v>15831</v>
      </c>
      <c r="BM504" s="50" t="s">
        <v>15832</v>
      </c>
      <c r="BN504" s="50" t="s">
        <v>15833</v>
      </c>
      <c r="BO504" s="50" t="s">
        <v>3880</v>
      </c>
      <c r="BP504" s="50" t="s">
        <v>12453</v>
      </c>
      <c r="BQ504" s="50" t="s">
        <v>350</v>
      </c>
      <c r="BR504" s="50" t="s">
        <v>12454</v>
      </c>
      <c r="BS504" s="50" t="s">
        <v>12455</v>
      </c>
      <c r="BT504" s="50" t="s">
        <v>1995</v>
      </c>
      <c r="BU504" s="50" t="s">
        <v>1111</v>
      </c>
      <c r="BV504" s="50" t="s">
        <v>15834</v>
      </c>
      <c r="BW504" s="50" t="s">
        <v>15835</v>
      </c>
      <c r="BX504" s="50" t="s">
        <v>354</v>
      </c>
      <c r="BY504" s="50" t="s">
        <v>15836</v>
      </c>
      <c r="BZ504" s="50" t="s">
        <v>15837</v>
      </c>
      <c r="CA504" s="50" t="s">
        <v>15838</v>
      </c>
      <c r="CB504" s="50" t="s">
        <v>15839</v>
      </c>
      <c r="CC504" s="50" t="s">
        <v>15836</v>
      </c>
      <c r="CD504" s="50" t="s">
        <v>15837</v>
      </c>
      <c r="CE504" s="50" t="s">
        <v>15839</v>
      </c>
      <c r="CF504" s="50" t="s">
        <v>15836</v>
      </c>
      <c r="CG504" s="50" t="s">
        <v>15837</v>
      </c>
      <c r="CH504" s="50" t="s">
        <v>102</v>
      </c>
      <c r="CI504" s="50" t="s">
        <v>15840</v>
      </c>
      <c r="CK504" s="50" t="s">
        <v>12463</v>
      </c>
      <c r="CM504" s="50" t="s">
        <v>15830</v>
      </c>
      <c r="CN504" s="50" t="s">
        <v>252</v>
      </c>
      <c r="CO504" s="50" t="s">
        <v>12463</v>
      </c>
      <c r="CQ504" s="50" t="s">
        <v>15841</v>
      </c>
      <c r="CR504" s="50" t="s">
        <v>15841</v>
      </c>
    </row>
    <row r="505" spans="1:97" hidden="1">
      <c r="A505" s="50" t="s">
        <v>337</v>
      </c>
      <c r="B505" s="50">
        <v>398948</v>
      </c>
      <c r="C505" s="50" t="e">
        <f>VLOOKUP(B505,'Drop schools 2026'!B:C,2,0)</f>
        <v>#N/A</v>
      </c>
      <c r="D505" s="50" t="s">
        <v>622</v>
      </c>
      <c r="E505" s="50" t="s">
        <v>2525</v>
      </c>
      <c r="F505" s="50" t="s">
        <v>17440</v>
      </c>
      <c r="G505" s="50" t="str">
        <f>VLOOKUP(B505,aa!B:F,5,0)</f>
        <v>Ei CARES</v>
      </c>
      <c r="H505" s="50">
        <f>VLOOKUP(B505,aa!B:J,9,0)</f>
        <v>344009</v>
      </c>
      <c r="I505" s="50">
        <f>VLOOKUP(B505,aa!B:L,11,0)</f>
        <v>0</v>
      </c>
      <c r="J505" s="50">
        <f>VLOOKUP(B505,aa!B:O,14,0)</f>
        <v>344009</v>
      </c>
      <c r="K505" s="50">
        <f>VLOOKUP(B505,aa!B:R,17,0)</f>
        <v>0</v>
      </c>
      <c r="L505" s="50" t="s">
        <v>152</v>
      </c>
      <c r="M505" s="50">
        <v>192605</v>
      </c>
      <c r="N505" s="50">
        <v>192605</v>
      </c>
      <c r="O505" s="50">
        <v>0</v>
      </c>
      <c r="P505" s="50">
        <v>0</v>
      </c>
      <c r="R505" s="50">
        <v>192605</v>
      </c>
      <c r="S505" s="50">
        <v>107</v>
      </c>
      <c r="T505" s="50" t="s">
        <v>3005</v>
      </c>
      <c r="U505" s="50">
        <v>0</v>
      </c>
      <c r="V505" s="50">
        <v>0</v>
      </c>
      <c r="X505" s="50" t="s">
        <v>102</v>
      </c>
      <c r="Y505" s="50" t="s">
        <v>275</v>
      </c>
      <c r="AA505" s="50" t="s">
        <v>1408</v>
      </c>
      <c r="AB505" s="50" t="s">
        <v>109</v>
      </c>
      <c r="AC505" s="50" t="s">
        <v>102</v>
      </c>
      <c r="AD505" s="50" t="s">
        <v>109</v>
      </c>
      <c r="AE505" s="50" t="s">
        <v>102</v>
      </c>
      <c r="AF505" s="50" t="s">
        <v>109</v>
      </c>
      <c r="AG505" s="50" t="s">
        <v>102</v>
      </c>
      <c r="AH505" s="50" t="s">
        <v>109</v>
      </c>
      <c r="AI505" s="50" t="s">
        <v>102</v>
      </c>
      <c r="AJ505" s="50" t="s">
        <v>102</v>
      </c>
      <c r="AK505" s="50" t="s">
        <v>13033</v>
      </c>
      <c r="AL505" s="50" t="s">
        <v>13672</v>
      </c>
      <c r="AM505" s="50" t="s">
        <v>17441</v>
      </c>
      <c r="AN505" s="50" t="s">
        <v>9643</v>
      </c>
      <c r="AO505" s="50" t="s">
        <v>17442</v>
      </c>
      <c r="AP505" s="50" t="s">
        <v>17443</v>
      </c>
      <c r="AQ505" s="50" t="s">
        <v>17443</v>
      </c>
      <c r="AV505" s="50" t="s">
        <v>102</v>
      </c>
      <c r="AX505" s="50" t="s">
        <v>155</v>
      </c>
      <c r="AY505" s="50" t="s">
        <v>119</v>
      </c>
      <c r="AZ505" s="50" t="s">
        <v>170</v>
      </c>
      <c r="BA505" s="50" t="s">
        <v>118</v>
      </c>
      <c r="BC505" s="50" t="s">
        <v>120</v>
      </c>
      <c r="BD505" s="50" t="s">
        <v>17444</v>
      </c>
      <c r="BE505" s="50" t="s">
        <v>730</v>
      </c>
      <c r="BF505" s="50" t="s">
        <v>622</v>
      </c>
      <c r="BG505" s="50" t="s">
        <v>730</v>
      </c>
      <c r="BH505" s="50" t="s">
        <v>124</v>
      </c>
      <c r="BI505" s="50" t="s">
        <v>11959</v>
      </c>
      <c r="BJ505" s="50" t="s">
        <v>11960</v>
      </c>
      <c r="BK505" s="50" t="s">
        <v>127</v>
      </c>
      <c r="BL505" s="50" t="s">
        <v>17445</v>
      </c>
      <c r="BM505" s="50" t="s">
        <v>17446</v>
      </c>
      <c r="BN505" s="50" t="s">
        <v>17447</v>
      </c>
      <c r="BO505" s="50" t="s">
        <v>1408</v>
      </c>
      <c r="BP505" s="50" t="s">
        <v>3910</v>
      </c>
      <c r="BQ505" s="50" t="s">
        <v>350</v>
      </c>
      <c r="BR505" s="50" t="s">
        <v>3911</v>
      </c>
      <c r="BS505" s="50" t="s">
        <v>3912</v>
      </c>
      <c r="BT505" s="50" t="s">
        <v>7862</v>
      </c>
      <c r="BV505" s="50" t="s">
        <v>17448</v>
      </c>
      <c r="BW505" s="50" t="s">
        <v>17449</v>
      </c>
      <c r="BX505" s="50" t="s">
        <v>138</v>
      </c>
      <c r="BY505" s="50" t="s">
        <v>17450</v>
      </c>
      <c r="BZ505" s="50" t="s">
        <v>17451</v>
      </c>
      <c r="CA505" s="50" t="s">
        <v>17450</v>
      </c>
      <c r="CB505" s="50" t="s">
        <v>17449</v>
      </c>
      <c r="CC505" s="50" t="s">
        <v>17450</v>
      </c>
      <c r="CD505" s="50" t="s">
        <v>17451</v>
      </c>
      <c r="CE505" s="50" t="s">
        <v>17449</v>
      </c>
      <c r="CF505" s="50" t="s">
        <v>17450</v>
      </c>
      <c r="CG505" s="50" t="s">
        <v>17451</v>
      </c>
      <c r="CH505" s="50" t="s">
        <v>358</v>
      </c>
      <c r="CI505" s="50" t="s">
        <v>17452</v>
      </c>
      <c r="CK505" s="50" t="s">
        <v>17453</v>
      </c>
      <c r="CL505" s="50" t="s">
        <v>17454</v>
      </c>
      <c r="CM505" s="50" t="s">
        <v>17444</v>
      </c>
      <c r="CN505" s="50" t="s">
        <v>730</v>
      </c>
      <c r="CO505" s="50" t="s">
        <v>17453</v>
      </c>
      <c r="CQ505" s="50" t="s">
        <v>17455</v>
      </c>
      <c r="CR505" s="50" t="s">
        <v>17455</v>
      </c>
    </row>
    <row r="506" spans="1:97" hidden="1">
      <c r="A506" s="50" t="s">
        <v>93</v>
      </c>
      <c r="B506" s="50">
        <v>5017598</v>
      </c>
      <c r="C506" s="50" t="e">
        <f>VLOOKUP(B506,'Drop schools 2026'!B:C,2,0)</f>
        <v>#N/A</v>
      </c>
      <c r="D506" s="50" t="s">
        <v>212</v>
      </c>
      <c r="E506" s="50" t="s">
        <v>418</v>
      </c>
      <c r="F506" s="50" t="s">
        <v>19090</v>
      </c>
      <c r="G506" s="50" t="e">
        <f>VLOOKUP(B506,aa!B:F,5,0)</f>
        <v>#N/A</v>
      </c>
      <c r="H506" s="50" t="e">
        <f>VLOOKUP(B506,aa!B:J,9,0)</f>
        <v>#N/A</v>
      </c>
      <c r="I506" s="50" t="e">
        <f>VLOOKUP(B506,aa!B:L,11,0)</f>
        <v>#N/A</v>
      </c>
      <c r="J506" s="50" t="e">
        <f>VLOOKUP(B506,aa!B:O,14,0)</f>
        <v>#N/A</v>
      </c>
      <c r="K506" s="50" t="e">
        <f>VLOOKUP(B506,aa!B:R,17,0)</f>
        <v>#N/A</v>
      </c>
      <c r="L506" s="50" t="s">
        <v>848</v>
      </c>
      <c r="M506" s="50">
        <v>191060</v>
      </c>
      <c r="N506" s="50">
        <v>225451</v>
      </c>
      <c r="O506" s="50">
        <v>0</v>
      </c>
      <c r="P506" s="50">
        <v>0</v>
      </c>
      <c r="R506" s="50">
        <v>0</v>
      </c>
      <c r="S506" s="50">
        <v>0</v>
      </c>
      <c r="U506" s="50">
        <v>191060</v>
      </c>
      <c r="V506" s="50">
        <v>196</v>
      </c>
      <c r="W506" s="50" t="s">
        <v>15864</v>
      </c>
      <c r="X506" s="50" t="s">
        <v>102</v>
      </c>
      <c r="Y506" s="50" t="s">
        <v>103</v>
      </c>
      <c r="Z506" s="50" t="s">
        <v>104</v>
      </c>
      <c r="AB506" s="50" t="s">
        <v>1408</v>
      </c>
      <c r="AC506" s="50" t="s">
        <v>19091</v>
      </c>
      <c r="AD506" s="50" t="s">
        <v>14024</v>
      </c>
      <c r="AE506" s="50" t="s">
        <v>19091</v>
      </c>
      <c r="AF506" s="50" t="s">
        <v>109</v>
      </c>
      <c r="AG506" s="50" t="s">
        <v>102</v>
      </c>
      <c r="AH506" s="50" t="s">
        <v>109</v>
      </c>
      <c r="AI506" s="50" t="s">
        <v>102</v>
      </c>
      <c r="AJ506" s="50" t="s">
        <v>102</v>
      </c>
      <c r="AK506" s="50" t="s">
        <v>9840</v>
      </c>
      <c r="AL506" s="50" t="s">
        <v>9840</v>
      </c>
      <c r="AM506" s="50" t="s">
        <v>19092</v>
      </c>
      <c r="AN506" s="50" t="s">
        <v>19093</v>
      </c>
      <c r="AO506" s="50" t="s">
        <v>19094</v>
      </c>
      <c r="AP506" s="50" t="s">
        <v>15867</v>
      </c>
      <c r="AQ506" s="50" t="s">
        <v>15867</v>
      </c>
      <c r="AV506" s="50" t="s">
        <v>102</v>
      </c>
      <c r="AX506" s="50" t="s">
        <v>102</v>
      </c>
      <c r="AY506" s="50" t="s">
        <v>119</v>
      </c>
      <c r="BB506" s="50" t="s">
        <v>250</v>
      </c>
      <c r="BC506" s="50" t="s">
        <v>120</v>
      </c>
      <c r="BD506" s="50" t="s">
        <v>3214</v>
      </c>
      <c r="BE506" s="50" t="s">
        <v>410</v>
      </c>
      <c r="BF506" s="50" t="s">
        <v>212</v>
      </c>
      <c r="BG506" s="50" t="s">
        <v>410</v>
      </c>
      <c r="BH506" s="50" t="s">
        <v>124</v>
      </c>
      <c r="BI506" s="50" t="s">
        <v>11976</v>
      </c>
      <c r="BJ506" s="50" t="s">
        <v>11889</v>
      </c>
      <c r="BK506" s="50" t="s">
        <v>127</v>
      </c>
      <c r="BL506" s="50" t="s">
        <v>19095</v>
      </c>
      <c r="BM506" s="50" t="s">
        <v>10068</v>
      </c>
      <c r="BN506" s="50" t="s">
        <v>19096</v>
      </c>
      <c r="BO506" s="50" t="s">
        <v>12541</v>
      </c>
      <c r="BP506" s="50" t="s">
        <v>896</v>
      </c>
      <c r="BQ506" s="50" t="s">
        <v>505</v>
      </c>
      <c r="BR506" s="50" t="s">
        <v>897</v>
      </c>
      <c r="BS506" s="50" t="s">
        <v>898</v>
      </c>
      <c r="BT506" s="50" t="s">
        <v>899</v>
      </c>
      <c r="BU506" s="50" t="s">
        <v>900</v>
      </c>
      <c r="BV506" s="50" t="s">
        <v>19097</v>
      </c>
      <c r="BW506" s="50" t="s">
        <v>19098</v>
      </c>
      <c r="BX506" s="50" t="s">
        <v>138</v>
      </c>
      <c r="BY506" s="50" t="s">
        <v>3221</v>
      </c>
      <c r="BZ506" s="50" t="s">
        <v>3222</v>
      </c>
      <c r="CA506" s="50" t="s">
        <v>3221</v>
      </c>
      <c r="CB506" s="50" t="s">
        <v>19098</v>
      </c>
      <c r="CC506" s="50" t="s">
        <v>3221</v>
      </c>
      <c r="CD506" s="50" t="s">
        <v>3222</v>
      </c>
      <c r="CE506" s="50" t="s">
        <v>19098</v>
      </c>
      <c r="CF506" s="50" t="s">
        <v>3221</v>
      </c>
      <c r="CG506" s="50" t="s">
        <v>3222</v>
      </c>
      <c r="CH506" s="50" t="s">
        <v>2270</v>
      </c>
      <c r="CI506" s="50" t="s">
        <v>10075</v>
      </c>
      <c r="CK506" s="50" t="s">
        <v>3225</v>
      </c>
      <c r="CL506" s="50" t="s">
        <v>10075</v>
      </c>
      <c r="CM506" s="50" t="s">
        <v>3214</v>
      </c>
      <c r="CN506" s="50" t="s">
        <v>10076</v>
      </c>
      <c r="CO506" s="50" t="s">
        <v>3225</v>
      </c>
      <c r="CQ506" s="50" t="s">
        <v>10075</v>
      </c>
      <c r="CR506" s="50" t="s">
        <v>10075</v>
      </c>
      <c r="CS506" s="50" t="s">
        <v>26044</v>
      </c>
    </row>
    <row r="507" spans="1:97" hidden="1">
      <c r="A507" s="50" t="s">
        <v>149</v>
      </c>
      <c r="B507" s="50">
        <v>3285152</v>
      </c>
      <c r="C507" s="50" t="str">
        <f>VLOOKUP(B507,RISK!B:C,2,0)</f>
        <v>Risk</v>
      </c>
      <c r="D507" s="50" t="s">
        <v>122</v>
      </c>
      <c r="E507" s="50" t="s">
        <v>12491</v>
      </c>
      <c r="F507" s="50" t="s">
        <v>5283</v>
      </c>
      <c r="G507" s="50" t="e">
        <f>VLOOKUP(B507,aa!B:F,5,0)</f>
        <v>#N/A</v>
      </c>
      <c r="H507" s="50" t="e">
        <f>VLOOKUP(B507,aa!B:J,9,0)</f>
        <v>#N/A</v>
      </c>
      <c r="I507" s="50" t="e">
        <f>VLOOKUP(B507,aa!B:L,11,0)</f>
        <v>#N/A</v>
      </c>
      <c r="J507" s="50" t="e">
        <f>VLOOKUP(B507,aa!B:O,14,0)</f>
        <v>#N/A</v>
      </c>
      <c r="K507" s="50" t="e">
        <f>VLOOKUP(B507,aa!B:R,17,0)</f>
        <v>#N/A</v>
      </c>
      <c r="L507" s="50" t="s">
        <v>97</v>
      </c>
      <c r="M507" s="50">
        <v>191038</v>
      </c>
      <c r="N507" s="50">
        <v>191038</v>
      </c>
      <c r="O507" s="50">
        <v>191038</v>
      </c>
      <c r="P507" s="50">
        <v>382</v>
      </c>
      <c r="Q507" s="50" t="s">
        <v>364</v>
      </c>
      <c r="R507" s="50">
        <v>0</v>
      </c>
      <c r="S507" s="50">
        <v>0</v>
      </c>
      <c r="U507" s="50">
        <v>0</v>
      </c>
      <c r="V507" s="50">
        <v>0</v>
      </c>
      <c r="X507" s="50" t="s">
        <v>102</v>
      </c>
      <c r="Y507" s="50" t="s">
        <v>103</v>
      </c>
      <c r="Z507" s="50" t="s">
        <v>104</v>
      </c>
      <c r="AB507" s="50" t="s">
        <v>7484</v>
      </c>
      <c r="AC507" s="50" t="s">
        <v>15376</v>
      </c>
      <c r="AD507" s="50" t="s">
        <v>3679</v>
      </c>
      <c r="AE507" s="50" t="s">
        <v>15377</v>
      </c>
      <c r="AF507" s="50" t="s">
        <v>109</v>
      </c>
      <c r="AG507" s="50" t="s">
        <v>102</v>
      </c>
      <c r="AH507" s="50" t="s">
        <v>109</v>
      </c>
      <c r="AI507" s="50" t="s">
        <v>102</v>
      </c>
      <c r="AJ507" s="50" t="s">
        <v>15378</v>
      </c>
      <c r="AK507" s="50" t="s">
        <v>13420</v>
      </c>
      <c r="AL507" s="50" t="s">
        <v>13420</v>
      </c>
      <c r="AM507" s="50" t="s">
        <v>15379</v>
      </c>
      <c r="AN507" s="50" t="s">
        <v>15380</v>
      </c>
      <c r="AO507" s="50" t="s">
        <v>15381</v>
      </c>
      <c r="AP507" s="50" t="s">
        <v>2353</v>
      </c>
      <c r="AQ507" s="50" t="s">
        <v>2353</v>
      </c>
      <c r="AV507" s="50" t="s">
        <v>318</v>
      </c>
      <c r="AW507" s="50" t="s">
        <v>118</v>
      </c>
      <c r="AX507" s="50" t="s">
        <v>102</v>
      </c>
      <c r="AY507" s="50" t="s">
        <v>119</v>
      </c>
      <c r="BC507" s="50" t="s">
        <v>120</v>
      </c>
      <c r="BD507" s="50" t="s">
        <v>121</v>
      </c>
      <c r="BE507" s="50" t="s">
        <v>121</v>
      </c>
      <c r="BF507" s="50" t="s">
        <v>122</v>
      </c>
      <c r="BG507" s="50" t="s">
        <v>123</v>
      </c>
      <c r="BH507" s="50" t="s">
        <v>124</v>
      </c>
      <c r="BI507" s="50" t="s">
        <v>12023</v>
      </c>
      <c r="BJ507" s="50" t="s">
        <v>11889</v>
      </c>
      <c r="BK507" s="50" t="s">
        <v>127</v>
      </c>
      <c r="BL507" s="50" t="s">
        <v>15382</v>
      </c>
      <c r="BM507" s="50" t="s">
        <v>5303</v>
      </c>
      <c r="BN507" s="50" t="s">
        <v>15383</v>
      </c>
      <c r="BO507" s="50" t="s">
        <v>12692</v>
      </c>
      <c r="BP507" s="50" t="s">
        <v>8788</v>
      </c>
      <c r="BQ507" s="50" t="s">
        <v>350</v>
      </c>
      <c r="BR507" s="50" t="s">
        <v>8789</v>
      </c>
      <c r="BS507" s="50" t="s">
        <v>8790</v>
      </c>
      <c r="BT507" s="50" t="s">
        <v>1006</v>
      </c>
      <c r="BV507" s="50" t="s">
        <v>15384</v>
      </c>
      <c r="BW507" s="50" t="s">
        <v>5306</v>
      </c>
      <c r="BX507" s="50" t="s">
        <v>598</v>
      </c>
      <c r="BY507" s="50" t="s">
        <v>5307</v>
      </c>
      <c r="BZ507" s="50" t="s">
        <v>5308</v>
      </c>
      <c r="CA507" s="50" t="s">
        <v>5309</v>
      </c>
      <c r="CB507" s="50" t="s">
        <v>15385</v>
      </c>
      <c r="CC507" s="50" t="s">
        <v>15386</v>
      </c>
      <c r="CD507" s="50" t="s">
        <v>15387</v>
      </c>
      <c r="CE507" s="50" t="s">
        <v>5306</v>
      </c>
      <c r="CF507" s="50" t="s">
        <v>5307</v>
      </c>
      <c r="CG507" s="50" t="s">
        <v>5308</v>
      </c>
      <c r="CH507" s="50" t="s">
        <v>102</v>
      </c>
      <c r="CI507" s="50" t="s">
        <v>5310</v>
      </c>
      <c r="CK507" s="50" t="s">
        <v>5311</v>
      </c>
      <c r="CM507" s="50" t="s">
        <v>121</v>
      </c>
      <c r="CN507" s="50" t="s">
        <v>121</v>
      </c>
      <c r="CO507" s="50" t="s">
        <v>5311</v>
      </c>
      <c r="CP507" s="50" t="s">
        <v>5312</v>
      </c>
      <c r="CQ507" s="50" t="s">
        <v>5310</v>
      </c>
      <c r="CR507" s="50" t="s">
        <v>5310</v>
      </c>
    </row>
    <row r="508" spans="1:97">
      <c r="A508" s="50" t="s">
        <v>337</v>
      </c>
      <c r="B508" s="50">
        <v>3302960</v>
      </c>
      <c r="C508" s="50" t="str">
        <f>VLOOKUP(B508,RISK!B:C,2,0)</f>
        <v>Risk</v>
      </c>
      <c r="D508" s="50" t="s">
        <v>122</v>
      </c>
      <c r="E508" s="50" t="s">
        <v>11898</v>
      </c>
      <c r="F508" s="50" t="s">
        <v>15469</v>
      </c>
      <c r="G508" s="50" t="e">
        <f>VLOOKUP(B508,aa!B:F,5,0)</f>
        <v>#N/A</v>
      </c>
      <c r="H508" s="50" t="e">
        <f>VLOOKUP(B508,aa!B:J,9,0)</f>
        <v>#N/A</v>
      </c>
      <c r="I508" s="50" t="e">
        <f>VLOOKUP(B508,aa!B:L,11,0)</f>
        <v>#N/A</v>
      </c>
      <c r="J508" s="50" t="e">
        <f>VLOOKUP(B508,aa!B:O,14,0)</f>
        <v>#N/A</v>
      </c>
      <c r="K508" s="50" t="e">
        <f>VLOOKUP(B508,aa!B:R,17,0)</f>
        <v>#N/A</v>
      </c>
      <c r="L508" s="50" t="s">
        <v>97</v>
      </c>
      <c r="M508" s="50">
        <v>190009</v>
      </c>
      <c r="N508" s="50">
        <v>190009</v>
      </c>
      <c r="O508" s="50">
        <v>190009</v>
      </c>
      <c r="P508" s="50">
        <v>190</v>
      </c>
      <c r="Q508" s="50" t="s">
        <v>5042</v>
      </c>
      <c r="R508" s="50">
        <v>0</v>
      </c>
      <c r="S508" s="50">
        <v>0</v>
      </c>
      <c r="U508" s="50">
        <v>0</v>
      </c>
      <c r="V508" s="50">
        <v>0</v>
      </c>
      <c r="X508" s="50" t="s">
        <v>102</v>
      </c>
      <c r="Y508" s="50" t="s">
        <v>275</v>
      </c>
      <c r="AA508" s="50" t="s">
        <v>12644</v>
      </c>
      <c r="AB508" s="50" t="s">
        <v>109</v>
      </c>
      <c r="AC508" s="50" t="s">
        <v>102</v>
      </c>
      <c r="AD508" s="50" t="s">
        <v>109</v>
      </c>
      <c r="AE508" s="50" t="s">
        <v>102</v>
      </c>
      <c r="AF508" s="50" t="s">
        <v>109</v>
      </c>
      <c r="AG508" s="50" t="s">
        <v>102</v>
      </c>
      <c r="AH508" s="50" t="s">
        <v>109</v>
      </c>
      <c r="AI508" s="50" t="s">
        <v>102</v>
      </c>
      <c r="AJ508" s="50" t="s">
        <v>11860</v>
      </c>
      <c r="AK508" s="50" t="s">
        <v>15470</v>
      </c>
      <c r="AL508" s="50" t="s">
        <v>15470</v>
      </c>
      <c r="AM508" s="50" t="s">
        <v>15471</v>
      </c>
      <c r="AN508" s="50" t="s">
        <v>15472</v>
      </c>
      <c r="AO508" s="50" t="s">
        <v>1205</v>
      </c>
      <c r="AP508" s="50" t="s">
        <v>3677</v>
      </c>
      <c r="AQ508" s="50" t="s">
        <v>3677</v>
      </c>
      <c r="AV508" s="50" t="s">
        <v>318</v>
      </c>
      <c r="AW508" s="50" t="s">
        <v>118</v>
      </c>
      <c r="AX508" s="50" t="s">
        <v>102</v>
      </c>
      <c r="AY508" s="50" t="s">
        <v>119</v>
      </c>
      <c r="BC508" s="50" t="s">
        <v>120</v>
      </c>
      <c r="BD508" s="50" t="s">
        <v>251</v>
      </c>
      <c r="BE508" s="50" t="s">
        <v>252</v>
      </c>
      <c r="BF508" s="50" t="s">
        <v>122</v>
      </c>
      <c r="BG508" s="50" t="s">
        <v>253</v>
      </c>
      <c r="BH508" s="50" t="s">
        <v>124</v>
      </c>
      <c r="BI508" s="50" t="s">
        <v>12644</v>
      </c>
      <c r="BJ508" s="50" t="s">
        <v>11889</v>
      </c>
      <c r="BK508" s="50" t="s">
        <v>127</v>
      </c>
      <c r="BL508" s="50" t="s">
        <v>15473</v>
      </c>
      <c r="BM508" s="50" t="s">
        <v>15474</v>
      </c>
      <c r="BN508" s="50" t="s">
        <v>15475</v>
      </c>
      <c r="BO508" s="50" t="s">
        <v>12644</v>
      </c>
      <c r="BP508" s="50" t="s">
        <v>12453</v>
      </c>
      <c r="BQ508" s="50" t="s">
        <v>350</v>
      </c>
      <c r="BR508" s="50" t="s">
        <v>12454</v>
      </c>
      <c r="BS508" s="50" t="s">
        <v>12455</v>
      </c>
      <c r="BT508" s="50" t="s">
        <v>1995</v>
      </c>
      <c r="BV508" s="50" t="s">
        <v>15476</v>
      </c>
      <c r="BW508" s="50" t="s">
        <v>15477</v>
      </c>
      <c r="BX508" s="50" t="s">
        <v>138</v>
      </c>
      <c r="BY508" s="50" t="s">
        <v>15478</v>
      </c>
      <c r="BZ508" s="50" t="s">
        <v>15479</v>
      </c>
      <c r="CA508" s="50" t="s">
        <v>15478</v>
      </c>
      <c r="CB508" s="50" t="s">
        <v>15477</v>
      </c>
      <c r="CC508" s="50" t="s">
        <v>15478</v>
      </c>
      <c r="CD508" s="50" t="s">
        <v>15479</v>
      </c>
      <c r="CE508" s="50" t="s">
        <v>15477</v>
      </c>
      <c r="CF508" s="50" t="s">
        <v>15478</v>
      </c>
      <c r="CG508" s="50" t="s">
        <v>15479</v>
      </c>
      <c r="CH508" s="50" t="s">
        <v>15480</v>
      </c>
      <c r="CI508" s="50" t="s">
        <v>15469</v>
      </c>
      <c r="CK508" s="50" t="s">
        <v>15481</v>
      </c>
      <c r="CL508" s="50" t="s">
        <v>15482</v>
      </c>
      <c r="CM508" s="50" t="s">
        <v>251</v>
      </c>
      <c r="CN508" s="50" t="s">
        <v>252</v>
      </c>
      <c r="CO508" s="50" t="s">
        <v>15481</v>
      </c>
      <c r="CQ508" s="50" t="s">
        <v>15482</v>
      </c>
      <c r="CR508" s="50" t="s">
        <v>15482</v>
      </c>
    </row>
    <row r="509" spans="1:97" hidden="1">
      <c r="A509" s="50" t="s">
        <v>149</v>
      </c>
      <c r="B509" s="50">
        <v>2618631</v>
      </c>
      <c r="C509" s="50" t="e">
        <f>VLOOKUP(B509,'Drop schools 2026'!B:C,2,0)</f>
        <v>#N/A</v>
      </c>
      <c r="D509" s="50" t="s">
        <v>212</v>
      </c>
      <c r="E509" s="50" t="s">
        <v>12423</v>
      </c>
      <c r="F509" s="50" t="s">
        <v>4232</v>
      </c>
      <c r="G509" s="50" t="e">
        <f>VLOOKUP(B509,aa!B:F,5,0)</f>
        <v>#N/A</v>
      </c>
      <c r="H509" s="50" t="e">
        <f>VLOOKUP(B509,aa!B:J,9,0)</f>
        <v>#N/A</v>
      </c>
      <c r="I509" s="50" t="e">
        <f>VLOOKUP(B509,aa!B:L,11,0)</f>
        <v>#N/A</v>
      </c>
      <c r="J509" s="50" t="e">
        <f>VLOOKUP(B509,aa!B:O,14,0)</f>
        <v>#N/A</v>
      </c>
      <c r="K509" s="50" t="e">
        <f>VLOOKUP(B509,aa!B:R,17,0)</f>
        <v>#N/A</v>
      </c>
      <c r="L509" s="50" t="s">
        <v>97</v>
      </c>
      <c r="M509" s="50">
        <v>187617</v>
      </c>
      <c r="N509" s="50">
        <v>187617</v>
      </c>
      <c r="O509" s="50">
        <v>187617</v>
      </c>
      <c r="P509" s="50">
        <v>220</v>
      </c>
      <c r="Q509" s="50" t="s">
        <v>12381</v>
      </c>
      <c r="R509" s="50">
        <v>0</v>
      </c>
      <c r="S509" s="50">
        <v>0</v>
      </c>
      <c r="U509" s="50">
        <v>0</v>
      </c>
      <c r="V509" s="50">
        <v>0</v>
      </c>
      <c r="X509" s="50" t="s">
        <v>102</v>
      </c>
      <c r="Y509" s="50" t="s">
        <v>103</v>
      </c>
      <c r="Z509" s="50" t="s">
        <v>104</v>
      </c>
      <c r="AB509" s="50" t="s">
        <v>1165</v>
      </c>
      <c r="AC509" s="50" t="s">
        <v>14631</v>
      </c>
      <c r="AD509" s="50" t="s">
        <v>12888</v>
      </c>
      <c r="AE509" s="50" t="s">
        <v>14632</v>
      </c>
      <c r="AF509" s="50" t="s">
        <v>109</v>
      </c>
      <c r="AG509" s="50" t="s">
        <v>102</v>
      </c>
      <c r="AH509" s="50" t="s">
        <v>109</v>
      </c>
      <c r="AI509" s="50" t="s">
        <v>102</v>
      </c>
      <c r="AJ509" s="50" t="s">
        <v>14633</v>
      </c>
      <c r="AK509" s="50" t="s">
        <v>14210</v>
      </c>
      <c r="AL509" s="50" t="s">
        <v>14210</v>
      </c>
      <c r="AM509" s="50" t="s">
        <v>14634</v>
      </c>
      <c r="AN509" s="50" t="s">
        <v>14635</v>
      </c>
      <c r="AO509" s="50" t="s">
        <v>102</v>
      </c>
      <c r="AP509" s="50" t="s">
        <v>14636</v>
      </c>
      <c r="AQ509" s="50" t="s">
        <v>14636</v>
      </c>
      <c r="AV509" s="50" t="s">
        <v>318</v>
      </c>
      <c r="AW509" s="50" t="s">
        <v>118</v>
      </c>
      <c r="AX509" s="50" t="s">
        <v>102</v>
      </c>
      <c r="AY509" s="50" t="s">
        <v>119</v>
      </c>
      <c r="BC509" s="50" t="s">
        <v>120</v>
      </c>
      <c r="BD509" s="50" t="s">
        <v>3830</v>
      </c>
      <c r="BE509" s="50" t="s">
        <v>410</v>
      </c>
      <c r="BF509" s="50" t="s">
        <v>212</v>
      </c>
      <c r="BG509" s="50" t="s">
        <v>410</v>
      </c>
      <c r="BH509" s="50" t="s">
        <v>124</v>
      </c>
      <c r="BI509" s="50" t="s">
        <v>12082</v>
      </c>
      <c r="BJ509" s="50" t="s">
        <v>11889</v>
      </c>
      <c r="BK509" s="50" t="s">
        <v>127</v>
      </c>
      <c r="BL509" s="50" t="s">
        <v>14637</v>
      </c>
      <c r="BM509" s="50" t="s">
        <v>4242</v>
      </c>
      <c r="BN509" s="50" t="s">
        <v>14638</v>
      </c>
      <c r="BO509" s="50" t="s">
        <v>12023</v>
      </c>
      <c r="BP509" s="50" t="s">
        <v>866</v>
      </c>
      <c r="BQ509" s="50" t="s">
        <v>132</v>
      </c>
      <c r="BR509" s="50" t="s">
        <v>867</v>
      </c>
      <c r="BS509" s="50" t="s">
        <v>868</v>
      </c>
      <c r="BT509" s="50" t="s">
        <v>418</v>
      </c>
      <c r="BV509" s="50" t="s">
        <v>14639</v>
      </c>
      <c r="BW509" s="50" t="s">
        <v>3585</v>
      </c>
      <c r="BX509" s="50" t="s">
        <v>598</v>
      </c>
      <c r="BY509" s="50" t="s">
        <v>225</v>
      </c>
      <c r="BZ509" s="50" t="s">
        <v>226</v>
      </c>
      <c r="CA509" s="50" t="s">
        <v>4245</v>
      </c>
      <c r="CB509" s="50" t="s">
        <v>14640</v>
      </c>
      <c r="CC509" s="50" t="s">
        <v>14641</v>
      </c>
      <c r="CD509" s="50" t="s">
        <v>14642</v>
      </c>
      <c r="CE509" s="50" t="s">
        <v>14643</v>
      </c>
      <c r="CF509" s="50" t="s">
        <v>14644</v>
      </c>
      <c r="CG509" s="50" t="s">
        <v>14645</v>
      </c>
      <c r="CH509" s="50" t="s">
        <v>102</v>
      </c>
      <c r="CI509" s="50" t="s">
        <v>4246</v>
      </c>
      <c r="CK509" s="50" t="s">
        <v>4247</v>
      </c>
      <c r="CM509" s="50" t="s">
        <v>3830</v>
      </c>
      <c r="CN509" s="50" t="s">
        <v>410</v>
      </c>
      <c r="CO509" s="50" t="s">
        <v>4247</v>
      </c>
      <c r="CP509" s="50" t="s">
        <v>3589</v>
      </c>
      <c r="CQ509" s="50" t="s">
        <v>4246</v>
      </c>
      <c r="CR509" s="50" t="s">
        <v>4246</v>
      </c>
      <c r="CS509" s="50" t="s">
        <v>26040</v>
      </c>
    </row>
    <row r="510" spans="1:97" hidden="1">
      <c r="A510" s="50" t="s">
        <v>149</v>
      </c>
      <c r="B510" s="50">
        <v>3472426</v>
      </c>
      <c r="C510" s="50" t="e">
        <f>VLOOKUP(B510,'Drop schools 2026'!B:C,2,0)</f>
        <v>#N/A</v>
      </c>
      <c r="D510" s="50" t="s">
        <v>212</v>
      </c>
      <c r="E510" s="50" t="s">
        <v>418</v>
      </c>
      <c r="F510" s="50" t="s">
        <v>6209</v>
      </c>
      <c r="G510" s="50" t="e">
        <f>VLOOKUP(B510,aa!B:F,5,0)</f>
        <v>#N/A</v>
      </c>
      <c r="H510" s="50" t="e">
        <f>VLOOKUP(B510,aa!B:J,9,0)</f>
        <v>#N/A</v>
      </c>
      <c r="I510" s="50" t="e">
        <f>VLOOKUP(B510,aa!B:L,11,0)</f>
        <v>#N/A</v>
      </c>
      <c r="J510" s="50" t="e">
        <f>VLOOKUP(B510,aa!B:O,14,0)</f>
        <v>#N/A</v>
      </c>
      <c r="K510" s="50" t="e">
        <f>VLOOKUP(B510,aa!B:R,17,0)</f>
        <v>#N/A</v>
      </c>
      <c r="L510" s="50" t="s">
        <v>97</v>
      </c>
      <c r="M510" s="50">
        <v>185236</v>
      </c>
      <c r="N510" s="50">
        <v>185236</v>
      </c>
      <c r="O510" s="50">
        <v>185236</v>
      </c>
      <c r="P510" s="50">
        <v>285</v>
      </c>
      <c r="Q510" s="50" t="s">
        <v>1122</v>
      </c>
      <c r="R510" s="50">
        <v>0</v>
      </c>
      <c r="S510" s="50">
        <v>0</v>
      </c>
      <c r="U510" s="50">
        <v>0</v>
      </c>
      <c r="V510" s="50">
        <v>0</v>
      </c>
      <c r="X510" s="50" t="s">
        <v>102</v>
      </c>
      <c r="Y510" s="50" t="s">
        <v>103</v>
      </c>
      <c r="Z510" s="50" t="s">
        <v>104</v>
      </c>
      <c r="AB510" s="50" t="s">
        <v>1165</v>
      </c>
      <c r="AC510" s="50" t="s">
        <v>16132</v>
      </c>
      <c r="AD510" s="50" t="s">
        <v>12888</v>
      </c>
      <c r="AE510" s="50" t="s">
        <v>16133</v>
      </c>
      <c r="AF510" s="50" t="s">
        <v>109</v>
      </c>
      <c r="AG510" s="50" t="s">
        <v>102</v>
      </c>
      <c r="AH510" s="50" t="s">
        <v>109</v>
      </c>
      <c r="AI510" s="50" t="s">
        <v>102</v>
      </c>
      <c r="AJ510" s="50" t="s">
        <v>102</v>
      </c>
      <c r="AK510" s="50" t="s">
        <v>12838</v>
      </c>
      <c r="AL510" s="50" t="s">
        <v>12838</v>
      </c>
      <c r="AM510" s="50" t="s">
        <v>5349</v>
      </c>
      <c r="AN510" s="50" t="s">
        <v>16134</v>
      </c>
      <c r="AO510" s="50" t="s">
        <v>16135</v>
      </c>
      <c r="AP510" s="50" t="s">
        <v>5355</v>
      </c>
      <c r="AQ510" s="50" t="s">
        <v>5355</v>
      </c>
      <c r="AV510" s="50" t="s">
        <v>318</v>
      </c>
      <c r="AW510" s="50" t="s">
        <v>118</v>
      </c>
      <c r="AX510" s="50" t="s">
        <v>102</v>
      </c>
      <c r="AY510" s="50" t="s">
        <v>119</v>
      </c>
      <c r="BC510" s="50" t="s">
        <v>1242</v>
      </c>
      <c r="BD510" s="50" t="s">
        <v>409</v>
      </c>
      <c r="BE510" s="50" t="s">
        <v>410</v>
      </c>
      <c r="BF510" s="50" t="s">
        <v>212</v>
      </c>
      <c r="BG510" s="50" t="s">
        <v>410</v>
      </c>
      <c r="BH510" s="50" t="s">
        <v>124</v>
      </c>
      <c r="BI510" s="50" t="s">
        <v>12082</v>
      </c>
      <c r="BJ510" s="50" t="s">
        <v>11889</v>
      </c>
      <c r="BK510" s="50" t="s">
        <v>127</v>
      </c>
      <c r="BL510" s="50" t="s">
        <v>16136</v>
      </c>
      <c r="BM510" s="50" t="s">
        <v>6218</v>
      </c>
      <c r="BN510" s="50" t="s">
        <v>16137</v>
      </c>
      <c r="BO510" s="50" t="s">
        <v>12023</v>
      </c>
      <c r="BP510" s="50" t="s">
        <v>866</v>
      </c>
      <c r="BQ510" s="50" t="s">
        <v>132</v>
      </c>
      <c r="BR510" s="50" t="s">
        <v>867</v>
      </c>
      <c r="BS510" s="50" t="s">
        <v>868</v>
      </c>
      <c r="BT510" s="50" t="s">
        <v>418</v>
      </c>
      <c r="BV510" s="50" t="s">
        <v>16138</v>
      </c>
      <c r="BW510" s="50" t="s">
        <v>3585</v>
      </c>
      <c r="BX510" s="50" t="s">
        <v>598</v>
      </c>
      <c r="BY510" s="50" t="s">
        <v>225</v>
      </c>
      <c r="BZ510" s="50" t="s">
        <v>226</v>
      </c>
      <c r="CA510" s="50" t="s">
        <v>6221</v>
      </c>
      <c r="CB510" s="50" t="s">
        <v>16139</v>
      </c>
      <c r="CC510" s="50" t="s">
        <v>16140</v>
      </c>
      <c r="CD510" s="50" t="s">
        <v>16141</v>
      </c>
      <c r="CE510" s="50" t="s">
        <v>16142</v>
      </c>
      <c r="CF510" s="50" t="s">
        <v>16143</v>
      </c>
      <c r="CG510" s="50" t="s">
        <v>16144</v>
      </c>
      <c r="CH510" s="50" t="s">
        <v>102</v>
      </c>
      <c r="CI510" s="50" t="s">
        <v>6222</v>
      </c>
      <c r="CK510" s="50" t="s">
        <v>6223</v>
      </c>
      <c r="CM510" s="50" t="s">
        <v>409</v>
      </c>
      <c r="CN510" s="50" t="s">
        <v>410</v>
      </c>
      <c r="CO510" s="50" t="s">
        <v>6223</v>
      </c>
      <c r="CP510" s="50" t="s">
        <v>3589</v>
      </c>
      <c r="CQ510" s="50" t="s">
        <v>6222</v>
      </c>
      <c r="CR510" s="50" t="s">
        <v>6222</v>
      </c>
      <c r="CS510" s="50" t="s">
        <v>26040</v>
      </c>
    </row>
    <row r="511" spans="1:97" hidden="1">
      <c r="A511" s="50" t="s">
        <v>149</v>
      </c>
      <c r="B511" s="50">
        <v>810367</v>
      </c>
      <c r="C511" s="50" t="e">
        <f>VLOOKUP(B511,'Drop schools 2026'!B:C,2,0)</f>
        <v>#N/A</v>
      </c>
      <c r="D511" s="50" t="s">
        <v>122</v>
      </c>
      <c r="E511" s="50" t="s">
        <v>11882</v>
      </c>
      <c r="F511" s="50" t="s">
        <v>11699</v>
      </c>
      <c r="G511" s="50" t="str">
        <f>VLOOKUP(B511,aa!B:F,5,0)</f>
        <v>Ei Mindspark</v>
      </c>
      <c r="H511" s="50">
        <f>VLOOKUP(B511,aa!B:J,9,0)</f>
        <v>223028</v>
      </c>
      <c r="I511" s="50">
        <f>VLOOKUP(B511,aa!B:L,11,0)</f>
        <v>0</v>
      </c>
      <c r="J511" s="50">
        <f>VLOOKUP(B511,aa!B:O,14,0)</f>
        <v>0</v>
      </c>
      <c r="K511" s="50">
        <f>VLOOKUP(B511,aa!B:R,17,0)</f>
        <v>223028</v>
      </c>
      <c r="L511" s="50" t="s">
        <v>848</v>
      </c>
      <c r="M511" s="50">
        <v>184652</v>
      </c>
      <c r="N511" s="50">
        <v>217889</v>
      </c>
      <c r="O511" s="50">
        <v>0</v>
      </c>
      <c r="P511" s="50">
        <v>0</v>
      </c>
      <c r="R511" s="50">
        <v>0</v>
      </c>
      <c r="S511" s="50">
        <v>0</v>
      </c>
      <c r="U511" s="50">
        <v>184652</v>
      </c>
      <c r="V511" s="50">
        <v>77</v>
      </c>
      <c r="W511" s="50" t="s">
        <v>14168</v>
      </c>
      <c r="X511" s="50" t="s">
        <v>102</v>
      </c>
      <c r="Y511" s="50" t="s">
        <v>679</v>
      </c>
      <c r="Z511" s="50" t="s">
        <v>155</v>
      </c>
      <c r="AA511" s="50" t="s">
        <v>21515</v>
      </c>
      <c r="AB511" s="50" t="s">
        <v>21516</v>
      </c>
      <c r="AC511" s="50" t="s">
        <v>21517</v>
      </c>
      <c r="AD511" s="50" t="s">
        <v>12570</v>
      </c>
      <c r="AE511" s="50" t="s">
        <v>21517</v>
      </c>
      <c r="AF511" s="50" t="s">
        <v>12571</v>
      </c>
      <c r="AG511" s="50" t="s">
        <v>21517</v>
      </c>
      <c r="AH511" s="50" t="s">
        <v>12595</v>
      </c>
      <c r="AI511" s="50" t="s">
        <v>21517</v>
      </c>
      <c r="AJ511" s="50" t="s">
        <v>21518</v>
      </c>
      <c r="AK511" s="50" t="s">
        <v>13496</v>
      </c>
      <c r="AL511" s="50" t="s">
        <v>6895</v>
      </c>
      <c r="AM511" s="50" t="s">
        <v>21519</v>
      </c>
      <c r="AN511" s="50" t="s">
        <v>21520</v>
      </c>
      <c r="AO511" s="50" t="s">
        <v>21521</v>
      </c>
      <c r="AP511" s="50" t="s">
        <v>14174</v>
      </c>
      <c r="AQ511" s="50" t="s">
        <v>14175</v>
      </c>
      <c r="AU511" s="50" t="s">
        <v>169</v>
      </c>
      <c r="AV511" s="50" t="s">
        <v>102</v>
      </c>
      <c r="AX511" s="50" t="s">
        <v>102</v>
      </c>
      <c r="AY511" s="50" t="s">
        <v>119</v>
      </c>
      <c r="BB511" s="50" t="s">
        <v>250</v>
      </c>
      <c r="BC511" s="50" t="s">
        <v>120</v>
      </c>
      <c r="BD511" s="50" t="s">
        <v>2840</v>
      </c>
      <c r="BE511" s="50" t="s">
        <v>449</v>
      </c>
      <c r="BF511" s="50" t="s">
        <v>122</v>
      </c>
      <c r="BG511" s="50" t="s">
        <v>253</v>
      </c>
      <c r="BH511" s="50" t="s">
        <v>124</v>
      </c>
      <c r="BI511" s="50" t="s">
        <v>21514</v>
      </c>
      <c r="BJ511" s="50" t="s">
        <v>11889</v>
      </c>
      <c r="BK511" s="50" t="s">
        <v>127</v>
      </c>
      <c r="BL511" s="50" t="s">
        <v>21522</v>
      </c>
      <c r="BM511" s="50" t="s">
        <v>11706</v>
      </c>
      <c r="BN511" s="50" t="s">
        <v>21523</v>
      </c>
      <c r="BO511" s="50" t="s">
        <v>21514</v>
      </c>
      <c r="BP511" s="50" t="s">
        <v>3267</v>
      </c>
      <c r="BQ511" s="50" t="s">
        <v>350</v>
      </c>
      <c r="BR511" s="50" t="s">
        <v>3268</v>
      </c>
      <c r="BS511" s="50" t="s">
        <v>3269</v>
      </c>
      <c r="BT511" s="50" t="s">
        <v>135</v>
      </c>
      <c r="BV511" s="50" t="s">
        <v>21524</v>
      </c>
      <c r="BW511" s="50" t="s">
        <v>14179</v>
      </c>
      <c r="BX511" s="50" t="s">
        <v>9092</v>
      </c>
      <c r="BY511" s="50" t="s">
        <v>14180</v>
      </c>
      <c r="BZ511" s="50" t="s">
        <v>3633</v>
      </c>
      <c r="CA511" s="50" t="s">
        <v>11709</v>
      </c>
      <c r="CB511" s="50" t="s">
        <v>21525</v>
      </c>
      <c r="CC511" s="50" t="s">
        <v>21526</v>
      </c>
      <c r="CD511" s="50" t="s">
        <v>21527</v>
      </c>
      <c r="CE511" s="50" t="s">
        <v>21525</v>
      </c>
      <c r="CF511" s="50" t="s">
        <v>21526</v>
      </c>
      <c r="CG511" s="50" t="s">
        <v>21527</v>
      </c>
      <c r="CH511" s="50" t="s">
        <v>102</v>
      </c>
      <c r="CI511" s="50" t="s">
        <v>21528</v>
      </c>
      <c r="CK511" s="50" t="s">
        <v>5951</v>
      </c>
      <c r="CM511" s="50" t="s">
        <v>2840</v>
      </c>
      <c r="CN511" s="50" t="s">
        <v>449</v>
      </c>
      <c r="CO511" s="50" t="s">
        <v>5951</v>
      </c>
      <c r="CP511" s="50" t="s">
        <v>3637</v>
      </c>
      <c r="CQ511" s="50" t="s">
        <v>11710</v>
      </c>
      <c r="CR511" s="50" t="s">
        <v>11710</v>
      </c>
    </row>
    <row r="512" spans="1:97" hidden="1">
      <c r="A512" s="50" t="s">
        <v>337</v>
      </c>
      <c r="B512" s="50">
        <v>3187344</v>
      </c>
      <c r="C512" s="50" t="str">
        <f>VLOOKUP(B512,RISK!B:C,2,0)</f>
        <v>Risk</v>
      </c>
      <c r="D512" s="50" t="s">
        <v>212</v>
      </c>
      <c r="E512" s="50" t="s">
        <v>12423</v>
      </c>
      <c r="F512" s="50" t="s">
        <v>15150</v>
      </c>
      <c r="G512" s="50" t="e">
        <f>VLOOKUP(B512,aa!B:F,5,0)</f>
        <v>#N/A</v>
      </c>
      <c r="H512" s="50" t="e">
        <f>VLOOKUP(B512,aa!B:J,9,0)</f>
        <v>#N/A</v>
      </c>
      <c r="I512" s="50" t="e">
        <f>VLOOKUP(B512,aa!B:L,11,0)</f>
        <v>#N/A</v>
      </c>
      <c r="J512" s="50" t="e">
        <f>VLOOKUP(B512,aa!B:O,14,0)</f>
        <v>#N/A</v>
      </c>
      <c r="K512" s="50" t="e">
        <f>VLOOKUP(B512,aa!B:R,17,0)</f>
        <v>#N/A</v>
      </c>
      <c r="L512" s="50" t="s">
        <v>848</v>
      </c>
      <c r="M512" s="50">
        <v>181916</v>
      </c>
      <c r="N512" s="50">
        <v>214661</v>
      </c>
      <c r="O512" s="50">
        <v>0</v>
      </c>
      <c r="P512" s="50">
        <v>0</v>
      </c>
      <c r="R512" s="50">
        <v>0</v>
      </c>
      <c r="S512" s="50">
        <v>0</v>
      </c>
      <c r="U512" s="50">
        <v>181916</v>
      </c>
      <c r="V512" s="50">
        <v>159</v>
      </c>
      <c r="W512" s="50" t="s">
        <v>15151</v>
      </c>
      <c r="X512" s="50" t="s">
        <v>102</v>
      </c>
      <c r="Y512" s="50" t="s">
        <v>103</v>
      </c>
      <c r="Z512" s="50" t="s">
        <v>104</v>
      </c>
      <c r="AB512" s="50" t="s">
        <v>6918</v>
      </c>
      <c r="AC512" s="50" t="s">
        <v>15152</v>
      </c>
      <c r="AD512" s="50" t="s">
        <v>11950</v>
      </c>
      <c r="AE512" s="50" t="s">
        <v>15153</v>
      </c>
      <c r="AF512" s="50" t="s">
        <v>109</v>
      </c>
      <c r="AG512" s="50" t="s">
        <v>102</v>
      </c>
      <c r="AH512" s="50" t="s">
        <v>109</v>
      </c>
      <c r="AI512" s="50" t="s">
        <v>102</v>
      </c>
      <c r="AJ512" s="50" t="s">
        <v>102</v>
      </c>
      <c r="AK512" s="50" t="s">
        <v>11959</v>
      </c>
      <c r="AL512" s="50" t="s">
        <v>11959</v>
      </c>
      <c r="AM512" s="50" t="s">
        <v>15154</v>
      </c>
      <c r="AN512" s="50" t="s">
        <v>1594</v>
      </c>
      <c r="AO512" s="50" t="s">
        <v>1647</v>
      </c>
      <c r="AP512" s="50" t="s">
        <v>15155</v>
      </c>
      <c r="AQ512" s="50" t="s">
        <v>15155</v>
      </c>
      <c r="AV512" s="50" t="s">
        <v>102</v>
      </c>
      <c r="AX512" s="50" t="s">
        <v>102</v>
      </c>
      <c r="AY512" s="50" t="s">
        <v>119</v>
      </c>
      <c r="BB512" s="50" t="s">
        <v>250</v>
      </c>
      <c r="BC512" s="50" t="s">
        <v>120</v>
      </c>
      <c r="BD512" s="50" t="s">
        <v>3214</v>
      </c>
      <c r="BE512" s="50" t="s">
        <v>410</v>
      </c>
      <c r="BF512" s="50" t="s">
        <v>212</v>
      </c>
      <c r="BG512" s="50" t="s">
        <v>410</v>
      </c>
      <c r="BH512" s="50" t="s">
        <v>124</v>
      </c>
      <c r="BI512" s="50" t="s">
        <v>12023</v>
      </c>
      <c r="BJ512" s="50" t="s">
        <v>11889</v>
      </c>
      <c r="BK512" s="50" t="s">
        <v>127</v>
      </c>
      <c r="BL512" s="50" t="s">
        <v>15156</v>
      </c>
      <c r="BM512" s="50" t="s">
        <v>15157</v>
      </c>
      <c r="BN512" s="50" t="s">
        <v>15158</v>
      </c>
      <c r="BO512" s="50" t="s">
        <v>945</v>
      </c>
      <c r="BP512" s="50" t="s">
        <v>4053</v>
      </c>
      <c r="BQ512" s="50" t="s">
        <v>505</v>
      </c>
      <c r="BR512" s="50" t="s">
        <v>4054</v>
      </c>
      <c r="BS512" s="50" t="s">
        <v>4055</v>
      </c>
      <c r="BT512" s="50" t="s">
        <v>4056</v>
      </c>
      <c r="BU512" s="50" t="s">
        <v>15159</v>
      </c>
      <c r="BV512" s="50" t="s">
        <v>15160</v>
      </c>
      <c r="BW512" s="50" t="s">
        <v>15161</v>
      </c>
      <c r="BX512" s="50" t="s">
        <v>354</v>
      </c>
      <c r="BY512" s="50" t="s">
        <v>15162</v>
      </c>
      <c r="BZ512" s="50" t="s">
        <v>15163</v>
      </c>
      <c r="CA512" s="50" t="s">
        <v>15164</v>
      </c>
      <c r="CB512" s="50" t="s">
        <v>15165</v>
      </c>
      <c r="CC512" s="50" t="s">
        <v>15166</v>
      </c>
      <c r="CD512" s="50" t="s">
        <v>15167</v>
      </c>
      <c r="CE512" s="50" t="s">
        <v>15168</v>
      </c>
      <c r="CF512" s="50" t="s">
        <v>15169</v>
      </c>
      <c r="CG512" s="50" t="s">
        <v>15170</v>
      </c>
      <c r="CH512" s="50" t="s">
        <v>2270</v>
      </c>
      <c r="CI512" s="50" t="s">
        <v>15171</v>
      </c>
      <c r="CK512" s="50" t="s">
        <v>15172</v>
      </c>
      <c r="CL512" s="50" t="s">
        <v>15173</v>
      </c>
      <c r="CM512" s="50" t="s">
        <v>3214</v>
      </c>
      <c r="CN512" s="50" t="s">
        <v>410</v>
      </c>
      <c r="CO512" s="50" t="s">
        <v>15172</v>
      </c>
      <c r="CQ512" s="50" t="s">
        <v>15174</v>
      </c>
      <c r="CR512" s="50" t="s">
        <v>15174</v>
      </c>
      <c r="CS512" s="50" t="s">
        <v>26042</v>
      </c>
    </row>
    <row r="513" spans="1:97" hidden="1">
      <c r="A513" s="50" t="s">
        <v>149</v>
      </c>
      <c r="B513" s="50">
        <v>9582</v>
      </c>
      <c r="C513" s="50" t="e">
        <f>VLOOKUP(B513,'Drop schools 2026'!B:C,2,0)</f>
        <v>#N/A</v>
      </c>
      <c r="D513" s="50" t="s">
        <v>174</v>
      </c>
      <c r="E513" s="50" t="s">
        <v>12096</v>
      </c>
      <c r="F513" s="50" t="s">
        <v>11792</v>
      </c>
      <c r="G513" s="50" t="str">
        <f>VLOOKUP(B513,aa!B:F,5,0)</f>
        <v>Ei Mindspark</v>
      </c>
      <c r="H513" s="50">
        <f>VLOOKUP(B513,aa!B:J,9,0)</f>
        <v>135424</v>
      </c>
      <c r="I513" s="50">
        <f>VLOOKUP(B513,aa!B:L,11,0)</f>
        <v>0</v>
      </c>
      <c r="J513" s="50">
        <f>VLOOKUP(B513,aa!B:O,14,0)</f>
        <v>0</v>
      </c>
      <c r="K513" s="50">
        <f>VLOOKUP(B513,aa!B:R,17,0)</f>
        <v>135424</v>
      </c>
      <c r="L513" s="50" t="s">
        <v>848</v>
      </c>
      <c r="M513" s="50">
        <v>181776</v>
      </c>
      <c r="N513" s="50">
        <v>214496</v>
      </c>
      <c r="O513" s="50">
        <v>0</v>
      </c>
      <c r="P513" s="50">
        <v>0</v>
      </c>
      <c r="R513" s="50">
        <v>0</v>
      </c>
      <c r="S513" s="50">
        <v>0</v>
      </c>
      <c r="U513" s="50">
        <v>181776</v>
      </c>
      <c r="V513" s="50">
        <v>71</v>
      </c>
      <c r="W513" s="50" t="s">
        <v>21598</v>
      </c>
      <c r="X513" s="50" t="s">
        <v>102</v>
      </c>
      <c r="Y513" s="50" t="s">
        <v>679</v>
      </c>
      <c r="Z513" s="50" t="s">
        <v>155</v>
      </c>
      <c r="AA513" s="50" t="s">
        <v>13769</v>
      </c>
      <c r="AB513" s="50" t="s">
        <v>21599</v>
      </c>
      <c r="AC513" s="50" t="s">
        <v>21600</v>
      </c>
      <c r="AD513" s="50" t="s">
        <v>20106</v>
      </c>
      <c r="AE513" s="50" t="s">
        <v>21600</v>
      </c>
      <c r="AF513" s="50" t="s">
        <v>15990</v>
      </c>
      <c r="AG513" s="50" t="s">
        <v>21600</v>
      </c>
      <c r="AH513" s="50" t="s">
        <v>12216</v>
      </c>
      <c r="AI513" s="50" t="s">
        <v>21600</v>
      </c>
      <c r="AJ513" s="50" t="s">
        <v>21601</v>
      </c>
      <c r="AK513" s="50" t="s">
        <v>1403</v>
      </c>
      <c r="AL513" s="50" t="s">
        <v>14003</v>
      </c>
      <c r="AM513" s="50" t="s">
        <v>21602</v>
      </c>
      <c r="AN513" s="50" t="s">
        <v>21603</v>
      </c>
      <c r="AO513" s="50" t="s">
        <v>21604</v>
      </c>
      <c r="AP513" s="50" t="s">
        <v>21605</v>
      </c>
      <c r="AQ513" s="50" t="s">
        <v>21605</v>
      </c>
      <c r="AV513" s="50" t="s">
        <v>102</v>
      </c>
      <c r="AX513" s="50" t="s">
        <v>102</v>
      </c>
      <c r="AY513" s="50" t="s">
        <v>119</v>
      </c>
      <c r="BB513" s="50" t="s">
        <v>250</v>
      </c>
      <c r="BC513" s="50" t="s">
        <v>1964</v>
      </c>
      <c r="BD513" s="50" t="s">
        <v>375</v>
      </c>
      <c r="BE513" s="50" t="s">
        <v>376</v>
      </c>
      <c r="BF513" s="50" t="s">
        <v>174</v>
      </c>
      <c r="BG513" s="50" t="s">
        <v>376</v>
      </c>
      <c r="BH513" s="50" t="s">
        <v>124</v>
      </c>
      <c r="BI513" s="50" t="s">
        <v>8186</v>
      </c>
      <c r="BJ513" s="50" t="s">
        <v>15028</v>
      </c>
      <c r="BK513" s="50" t="s">
        <v>127</v>
      </c>
      <c r="BL513" s="50" t="s">
        <v>21606</v>
      </c>
      <c r="BM513" s="50" t="s">
        <v>11808</v>
      </c>
      <c r="BN513" s="50" t="s">
        <v>21607</v>
      </c>
      <c r="BO513" s="50" t="s">
        <v>21597</v>
      </c>
      <c r="BP513" s="50" t="s">
        <v>12071</v>
      </c>
      <c r="BQ513" s="50" t="s">
        <v>350</v>
      </c>
      <c r="BR513" s="50" t="s">
        <v>12072</v>
      </c>
      <c r="BS513" s="50" t="s">
        <v>12073</v>
      </c>
      <c r="BT513" s="50" t="s">
        <v>183</v>
      </c>
      <c r="BV513" s="50" t="s">
        <v>21608</v>
      </c>
      <c r="BW513" s="50" t="s">
        <v>11811</v>
      </c>
      <c r="BX513" s="50" t="s">
        <v>138</v>
      </c>
      <c r="BY513" s="50" t="s">
        <v>11812</v>
      </c>
      <c r="BZ513" s="50" t="s">
        <v>11813</v>
      </c>
      <c r="CB513" s="50" t="s">
        <v>21609</v>
      </c>
      <c r="CC513" s="50" t="s">
        <v>11812</v>
      </c>
      <c r="CD513" s="50" t="s">
        <v>21610</v>
      </c>
      <c r="CE513" s="50" t="s">
        <v>11814</v>
      </c>
      <c r="CF513" s="50" t="s">
        <v>21611</v>
      </c>
      <c r="CG513" s="50" t="s">
        <v>11816</v>
      </c>
      <c r="CH513" s="50" t="s">
        <v>102</v>
      </c>
      <c r="CI513" s="50" t="s">
        <v>11817</v>
      </c>
      <c r="CK513" s="50" t="s">
        <v>11818</v>
      </c>
      <c r="CM513" s="50" t="s">
        <v>375</v>
      </c>
      <c r="CN513" s="50" t="s">
        <v>376</v>
      </c>
      <c r="CO513" s="50" t="s">
        <v>11818</v>
      </c>
      <c r="CP513" s="50" t="s">
        <v>11819</v>
      </c>
      <c r="CQ513" s="50" t="s">
        <v>11817</v>
      </c>
      <c r="CR513" s="50" t="s">
        <v>11817</v>
      </c>
    </row>
    <row r="514" spans="1:97" hidden="1">
      <c r="A514" s="50" t="s">
        <v>149</v>
      </c>
      <c r="B514" s="50">
        <v>2614572</v>
      </c>
      <c r="C514" s="50" t="str">
        <f>VLOOKUP(B514,RISK!B:C,2,0)</f>
        <v>Risk</v>
      </c>
      <c r="D514" s="50" t="s">
        <v>122</v>
      </c>
      <c r="E514" s="50" t="s">
        <v>12507</v>
      </c>
      <c r="F514" s="50" t="s">
        <v>4206</v>
      </c>
      <c r="G514" s="50" t="e">
        <f>VLOOKUP(B514,aa!B:F,5,0)</f>
        <v>#N/A</v>
      </c>
      <c r="H514" s="50" t="e">
        <f>VLOOKUP(B514,aa!B:J,9,0)</f>
        <v>#N/A</v>
      </c>
      <c r="I514" s="50" t="e">
        <f>VLOOKUP(B514,aa!B:L,11,0)</f>
        <v>#N/A</v>
      </c>
      <c r="J514" s="50" t="e">
        <f>VLOOKUP(B514,aa!B:O,14,0)</f>
        <v>#N/A</v>
      </c>
      <c r="K514" s="50" t="e">
        <f>VLOOKUP(B514,aa!B:R,17,0)</f>
        <v>#N/A</v>
      </c>
      <c r="L514" s="50" t="s">
        <v>152</v>
      </c>
      <c r="M514" s="50">
        <v>181155</v>
      </c>
      <c r="N514" s="50">
        <v>181155</v>
      </c>
      <c r="O514" s="50">
        <v>0</v>
      </c>
      <c r="P514" s="50">
        <v>0</v>
      </c>
      <c r="R514" s="50">
        <v>181155</v>
      </c>
      <c r="S514" s="50">
        <v>150</v>
      </c>
      <c r="T514" s="50" t="s">
        <v>4208</v>
      </c>
      <c r="U514" s="50">
        <v>0</v>
      </c>
      <c r="V514" s="50">
        <v>0</v>
      </c>
      <c r="X514" s="50" t="s">
        <v>102</v>
      </c>
      <c r="Y514" s="50" t="s">
        <v>103</v>
      </c>
      <c r="Z514" s="50" t="s">
        <v>155</v>
      </c>
      <c r="AB514" s="50" t="s">
        <v>12040</v>
      </c>
      <c r="AC514" s="50" t="s">
        <v>4209</v>
      </c>
      <c r="AD514" s="50" t="s">
        <v>12800</v>
      </c>
      <c r="AE514" s="50" t="s">
        <v>4209</v>
      </c>
      <c r="AF514" s="50" t="s">
        <v>12099</v>
      </c>
      <c r="AG514" s="50" t="s">
        <v>4209</v>
      </c>
      <c r="AH514" s="50" t="s">
        <v>12713</v>
      </c>
      <c r="AI514" s="50" t="s">
        <v>4209</v>
      </c>
      <c r="AJ514" s="50" t="s">
        <v>14622</v>
      </c>
      <c r="AK514" s="50" t="s">
        <v>11883</v>
      </c>
      <c r="AL514" s="50" t="s">
        <v>14623</v>
      </c>
      <c r="AM514" s="50" t="s">
        <v>4212</v>
      </c>
      <c r="AN514" s="50" t="s">
        <v>14624</v>
      </c>
      <c r="AO514" s="50" t="s">
        <v>14625</v>
      </c>
      <c r="AP514" s="50" t="s">
        <v>4215</v>
      </c>
      <c r="AQ514" s="50" t="s">
        <v>4215</v>
      </c>
      <c r="AV514" s="50" t="s">
        <v>102</v>
      </c>
      <c r="AX514" s="50" t="s">
        <v>1758</v>
      </c>
      <c r="AY514" s="50" t="s">
        <v>119</v>
      </c>
      <c r="AZ514" s="50" t="s">
        <v>170</v>
      </c>
      <c r="BA514" s="50" t="s">
        <v>118</v>
      </c>
      <c r="BC514" s="50" t="s">
        <v>120</v>
      </c>
      <c r="BD514" s="50" t="s">
        <v>4216</v>
      </c>
      <c r="BE514" s="50" t="s">
        <v>556</v>
      </c>
      <c r="BF514" s="50" t="s">
        <v>122</v>
      </c>
      <c r="BG514" s="50" t="s">
        <v>557</v>
      </c>
      <c r="BH514" s="50" t="s">
        <v>124</v>
      </c>
      <c r="BI514" s="50" t="s">
        <v>12023</v>
      </c>
      <c r="BJ514" s="50" t="s">
        <v>11889</v>
      </c>
      <c r="BK514" s="50" t="s">
        <v>127</v>
      </c>
      <c r="BL514" s="50" t="s">
        <v>14626</v>
      </c>
      <c r="BM514" s="50" t="s">
        <v>4218</v>
      </c>
      <c r="BN514" s="50" t="s">
        <v>14627</v>
      </c>
      <c r="BO514" s="50" t="s">
        <v>7145</v>
      </c>
      <c r="BP514" s="50" t="s">
        <v>12743</v>
      </c>
      <c r="BQ514" s="50" t="s">
        <v>350</v>
      </c>
      <c r="BR514" s="50" t="s">
        <v>12744</v>
      </c>
      <c r="BS514" s="50" t="s">
        <v>12745</v>
      </c>
      <c r="BT514" s="50" t="s">
        <v>1075</v>
      </c>
      <c r="BV514" s="50" t="s">
        <v>14628</v>
      </c>
      <c r="BW514" s="50" t="s">
        <v>4221</v>
      </c>
      <c r="BX514" s="50" t="s">
        <v>354</v>
      </c>
      <c r="BY514" s="50" t="s">
        <v>4222</v>
      </c>
      <c r="BZ514" s="50" t="s">
        <v>14629</v>
      </c>
      <c r="CA514" s="50" t="s">
        <v>4224</v>
      </c>
      <c r="CB514" s="50" t="s">
        <v>14630</v>
      </c>
      <c r="CC514" s="50" t="s">
        <v>4226</v>
      </c>
      <c r="CD514" s="50" t="s">
        <v>4223</v>
      </c>
      <c r="CE514" s="50" t="s">
        <v>14630</v>
      </c>
      <c r="CF514" s="50" t="s">
        <v>4226</v>
      </c>
      <c r="CG514" s="50" t="s">
        <v>4223</v>
      </c>
      <c r="CH514" s="50" t="s">
        <v>102</v>
      </c>
      <c r="CI514" s="50" t="s">
        <v>4206</v>
      </c>
      <c r="CK514" s="50" t="s">
        <v>4230</v>
      </c>
      <c r="CM514" s="50" t="s">
        <v>4216</v>
      </c>
      <c r="CN514" s="50" t="s">
        <v>556</v>
      </c>
      <c r="CO514" s="50" t="s">
        <v>4230</v>
      </c>
      <c r="CP514" s="50" t="s">
        <v>4231</v>
      </c>
      <c r="CQ514" s="50" t="s">
        <v>4229</v>
      </c>
      <c r="CR514" s="50" t="s">
        <v>4229</v>
      </c>
    </row>
    <row r="515" spans="1:97" hidden="1">
      <c r="A515" s="50" t="s">
        <v>149</v>
      </c>
      <c r="B515" s="50">
        <v>28275</v>
      </c>
      <c r="C515" s="50" t="e">
        <f>VLOOKUP(B515,'Drop schools 2026'!B:C,2,0)</f>
        <v>#N/A</v>
      </c>
      <c r="D515" s="50" t="s">
        <v>122</v>
      </c>
      <c r="E515" s="50" t="s">
        <v>11898</v>
      </c>
      <c r="F515" s="50" t="s">
        <v>4460</v>
      </c>
      <c r="G515" s="50" t="e">
        <f>VLOOKUP(B515,aa!B:F,5,0)</f>
        <v>#N/A</v>
      </c>
      <c r="H515" s="50" t="e">
        <f>VLOOKUP(B515,aa!B:J,9,0)</f>
        <v>#N/A</v>
      </c>
      <c r="I515" s="50" t="e">
        <f>VLOOKUP(B515,aa!B:L,11,0)</f>
        <v>#N/A</v>
      </c>
      <c r="J515" s="50" t="e">
        <f>VLOOKUP(B515,aa!B:O,14,0)</f>
        <v>#N/A</v>
      </c>
      <c r="K515" s="50" t="e">
        <f>VLOOKUP(B515,aa!B:R,17,0)</f>
        <v>#N/A</v>
      </c>
      <c r="L515" s="50" t="s">
        <v>97</v>
      </c>
      <c r="M515" s="50">
        <v>180016</v>
      </c>
      <c r="N515" s="50">
        <v>180016</v>
      </c>
      <c r="O515" s="50">
        <v>180016</v>
      </c>
      <c r="P515" s="50">
        <v>196</v>
      </c>
      <c r="Q515" s="50" t="s">
        <v>14750</v>
      </c>
      <c r="R515" s="50">
        <v>0</v>
      </c>
      <c r="S515" s="50">
        <v>0</v>
      </c>
      <c r="U515" s="50">
        <v>0</v>
      </c>
      <c r="V515" s="50">
        <v>0</v>
      </c>
      <c r="X515" s="50" t="s">
        <v>102</v>
      </c>
      <c r="Y515" s="50" t="s">
        <v>275</v>
      </c>
      <c r="AA515" s="50" t="s">
        <v>13496</v>
      </c>
      <c r="AB515" s="50" t="s">
        <v>109</v>
      </c>
      <c r="AC515" s="50" t="s">
        <v>102</v>
      </c>
      <c r="AD515" s="50" t="s">
        <v>109</v>
      </c>
      <c r="AE515" s="50" t="s">
        <v>102</v>
      </c>
      <c r="AF515" s="50" t="s">
        <v>109</v>
      </c>
      <c r="AG515" s="50" t="s">
        <v>102</v>
      </c>
      <c r="AH515" s="50" t="s">
        <v>109</v>
      </c>
      <c r="AI515" s="50" t="s">
        <v>102</v>
      </c>
      <c r="AJ515" s="50" t="s">
        <v>102</v>
      </c>
      <c r="AK515" s="50" t="s">
        <v>14751</v>
      </c>
      <c r="AL515" s="50" t="s">
        <v>14751</v>
      </c>
      <c r="AM515" s="50" t="s">
        <v>14752</v>
      </c>
      <c r="AN515" s="50" t="s">
        <v>14753</v>
      </c>
      <c r="AO515" s="50" t="s">
        <v>14754</v>
      </c>
      <c r="AP515" s="50" t="s">
        <v>14755</v>
      </c>
      <c r="AQ515" s="50" t="s">
        <v>14755</v>
      </c>
      <c r="AV515" s="50" t="s">
        <v>318</v>
      </c>
      <c r="AW515" s="50" t="s">
        <v>118</v>
      </c>
      <c r="AX515" s="50" t="s">
        <v>102</v>
      </c>
      <c r="AY515" s="50" t="s">
        <v>119</v>
      </c>
      <c r="BC515" s="50" t="s">
        <v>1664</v>
      </c>
      <c r="BD515" s="50" t="s">
        <v>251</v>
      </c>
      <c r="BE515" s="50" t="s">
        <v>252</v>
      </c>
      <c r="BF515" s="50" t="s">
        <v>122</v>
      </c>
      <c r="BG515" s="50" t="s">
        <v>253</v>
      </c>
      <c r="BH515" s="50" t="s">
        <v>124</v>
      </c>
      <c r="BI515" s="50" t="s">
        <v>11929</v>
      </c>
      <c r="BJ515" s="50" t="s">
        <v>11889</v>
      </c>
      <c r="BK515" s="50" t="s">
        <v>127</v>
      </c>
      <c r="BL515" s="50" t="s">
        <v>14756</v>
      </c>
      <c r="BM515" s="50" t="s">
        <v>4467</v>
      </c>
      <c r="BN515" s="50" t="s">
        <v>14757</v>
      </c>
      <c r="BO515" s="50" t="s">
        <v>5351</v>
      </c>
      <c r="BP515" s="50" t="s">
        <v>1108</v>
      </c>
      <c r="BQ515" s="50" t="s">
        <v>180</v>
      </c>
      <c r="BR515" s="50" t="s">
        <v>1109</v>
      </c>
      <c r="BS515" s="50" t="s">
        <v>1110</v>
      </c>
      <c r="BT515" s="50" t="s">
        <v>1111</v>
      </c>
      <c r="BV515" s="50" t="s">
        <v>14758</v>
      </c>
      <c r="BW515" s="50" t="s">
        <v>14759</v>
      </c>
      <c r="BY515" s="50" t="s">
        <v>4471</v>
      </c>
      <c r="BZ515" s="50" t="s">
        <v>4472</v>
      </c>
      <c r="CA515" s="50" t="s">
        <v>4473</v>
      </c>
      <c r="CB515" s="50" t="s">
        <v>14759</v>
      </c>
      <c r="CC515" s="50" t="s">
        <v>4471</v>
      </c>
      <c r="CD515" s="50" t="s">
        <v>4472</v>
      </c>
      <c r="CE515" s="50" t="s">
        <v>14759</v>
      </c>
      <c r="CF515" s="50" t="s">
        <v>4471</v>
      </c>
      <c r="CG515" s="50" t="s">
        <v>4472</v>
      </c>
      <c r="CH515" s="50" t="s">
        <v>102</v>
      </c>
      <c r="CI515" s="50" t="s">
        <v>14760</v>
      </c>
      <c r="CK515" s="50" t="s">
        <v>270</v>
      </c>
      <c r="CM515" s="50" t="s">
        <v>251</v>
      </c>
      <c r="CN515" s="50" t="s">
        <v>252</v>
      </c>
      <c r="CO515" s="50" t="s">
        <v>270</v>
      </c>
      <c r="CQ515" s="50" t="s">
        <v>4474</v>
      </c>
      <c r="CR515" s="50" t="s">
        <v>4474</v>
      </c>
    </row>
    <row r="516" spans="1:97" hidden="1">
      <c r="A516" s="50" t="s">
        <v>337</v>
      </c>
      <c r="B516" s="50">
        <v>5044289</v>
      </c>
      <c r="C516" s="50" t="e">
        <f>VLOOKUP(B516,'Drop schools 2026'!B:C,2,0)</f>
        <v>#N/A</v>
      </c>
      <c r="D516" s="50" t="s">
        <v>212</v>
      </c>
      <c r="E516" s="50" t="s">
        <v>12423</v>
      </c>
      <c r="F516" s="50" t="s">
        <v>20390</v>
      </c>
      <c r="G516" s="50" t="e">
        <f>VLOOKUP(B516,aa!B:F,5,0)</f>
        <v>#N/A</v>
      </c>
      <c r="H516" s="50" t="e">
        <f>VLOOKUP(B516,aa!B:J,9,0)</f>
        <v>#N/A</v>
      </c>
      <c r="I516" s="50" t="e">
        <f>VLOOKUP(B516,aa!B:L,11,0)</f>
        <v>#N/A</v>
      </c>
      <c r="J516" s="50" t="e">
        <f>VLOOKUP(B516,aa!B:O,14,0)</f>
        <v>#N/A</v>
      </c>
      <c r="K516" s="50" t="e">
        <f>VLOOKUP(B516,aa!B:R,17,0)</f>
        <v>#N/A</v>
      </c>
      <c r="L516" s="50" t="s">
        <v>848</v>
      </c>
      <c r="M516" s="50">
        <v>176275</v>
      </c>
      <c r="N516" s="50">
        <v>208005</v>
      </c>
      <c r="O516" s="50">
        <v>0</v>
      </c>
      <c r="P516" s="50">
        <v>0</v>
      </c>
      <c r="R516" s="50">
        <v>0</v>
      </c>
      <c r="S516" s="50">
        <v>0</v>
      </c>
      <c r="U516" s="50">
        <v>176275</v>
      </c>
      <c r="V516" s="50">
        <v>160</v>
      </c>
      <c r="W516" s="50" t="s">
        <v>17521</v>
      </c>
      <c r="X516" s="50" t="s">
        <v>102</v>
      </c>
      <c r="Y516" s="50" t="s">
        <v>103</v>
      </c>
      <c r="Z516" s="50" t="s">
        <v>155</v>
      </c>
      <c r="AB516" s="50" t="s">
        <v>411</v>
      </c>
      <c r="AC516" s="50" t="s">
        <v>20391</v>
      </c>
      <c r="AD516" s="50" t="s">
        <v>12480</v>
      </c>
      <c r="AE516" s="50" t="s">
        <v>20391</v>
      </c>
      <c r="AF516" s="50" t="s">
        <v>12041</v>
      </c>
      <c r="AG516" s="50" t="s">
        <v>20391</v>
      </c>
      <c r="AH516" s="50" t="s">
        <v>6895</v>
      </c>
      <c r="AI516" s="50" t="s">
        <v>20391</v>
      </c>
      <c r="AJ516" s="50" t="s">
        <v>102</v>
      </c>
      <c r="AK516" s="50" t="s">
        <v>411</v>
      </c>
      <c r="AL516" s="50" t="s">
        <v>14040</v>
      </c>
      <c r="AM516" s="50" t="s">
        <v>20392</v>
      </c>
      <c r="AN516" s="50" t="s">
        <v>20393</v>
      </c>
      <c r="AO516" s="50" t="s">
        <v>20394</v>
      </c>
      <c r="AP516" s="50" t="s">
        <v>17526</v>
      </c>
      <c r="AQ516" s="50" t="s">
        <v>17526</v>
      </c>
      <c r="AV516" s="50" t="s">
        <v>102</v>
      </c>
      <c r="AX516" s="50" t="s">
        <v>102</v>
      </c>
      <c r="AY516" s="50" t="s">
        <v>119</v>
      </c>
      <c r="BB516" s="50" t="s">
        <v>250</v>
      </c>
      <c r="BC516" s="50" t="s">
        <v>120</v>
      </c>
      <c r="BD516" s="50" t="s">
        <v>4049</v>
      </c>
      <c r="BE516" s="50" t="s">
        <v>410</v>
      </c>
      <c r="BF516" s="50" t="s">
        <v>212</v>
      </c>
      <c r="BG516" s="50" t="s">
        <v>410</v>
      </c>
      <c r="BH516" s="50" t="s">
        <v>124</v>
      </c>
      <c r="BI516" s="50" t="s">
        <v>12023</v>
      </c>
      <c r="BJ516" s="50" t="s">
        <v>11889</v>
      </c>
      <c r="BK516" s="50" t="s">
        <v>127</v>
      </c>
      <c r="BL516" s="50" t="s">
        <v>20395</v>
      </c>
      <c r="BM516" s="50" t="s">
        <v>20396</v>
      </c>
      <c r="BN516" s="50" t="s">
        <v>20397</v>
      </c>
      <c r="BO516" s="50" t="s">
        <v>14000</v>
      </c>
      <c r="BP516" s="50" t="s">
        <v>4053</v>
      </c>
      <c r="BQ516" s="50" t="s">
        <v>132</v>
      </c>
      <c r="BR516" s="50" t="s">
        <v>4054</v>
      </c>
      <c r="BS516" s="50" t="s">
        <v>4055</v>
      </c>
      <c r="BT516" s="50" t="s">
        <v>8846</v>
      </c>
      <c r="BV516" s="50" t="s">
        <v>20398</v>
      </c>
      <c r="BW516" s="50" t="s">
        <v>20399</v>
      </c>
      <c r="BX516" s="50" t="s">
        <v>354</v>
      </c>
      <c r="BY516" s="50" t="s">
        <v>20400</v>
      </c>
      <c r="BZ516" s="50" t="s">
        <v>20401</v>
      </c>
      <c r="CA516" s="50" t="s">
        <v>20400</v>
      </c>
      <c r="CB516" s="50" t="s">
        <v>20402</v>
      </c>
      <c r="CC516" s="50" t="s">
        <v>20403</v>
      </c>
      <c r="CD516" s="50" t="s">
        <v>20404</v>
      </c>
      <c r="CE516" s="50" t="s">
        <v>20402</v>
      </c>
      <c r="CF516" s="50" t="s">
        <v>20403</v>
      </c>
      <c r="CG516" s="50" t="s">
        <v>20404</v>
      </c>
      <c r="CH516" s="50" t="s">
        <v>4062</v>
      </c>
      <c r="CI516" s="50" t="s">
        <v>4049</v>
      </c>
      <c r="CK516" s="50" t="s">
        <v>20405</v>
      </c>
      <c r="CL516" s="50" t="s">
        <v>4049</v>
      </c>
      <c r="CM516" s="50" t="s">
        <v>20406</v>
      </c>
      <c r="CN516" s="50" t="s">
        <v>20407</v>
      </c>
      <c r="CO516" s="50" t="s">
        <v>20405</v>
      </c>
      <c r="CQ516" s="50" t="s">
        <v>4049</v>
      </c>
      <c r="CR516" s="50" t="s">
        <v>20408</v>
      </c>
      <c r="CS516" s="50" t="s">
        <v>26047</v>
      </c>
    </row>
    <row r="517" spans="1:97" hidden="1">
      <c r="A517" s="50" t="s">
        <v>337</v>
      </c>
      <c r="B517" s="50">
        <v>3996980</v>
      </c>
      <c r="C517" s="50" t="e">
        <f>VLOOKUP(B517,'Drop schools 2026'!B:C,2,0)</f>
        <v>#N/A</v>
      </c>
      <c r="D517" s="50" t="s">
        <v>174</v>
      </c>
      <c r="E517" s="50" t="s">
        <v>12096</v>
      </c>
      <c r="F517" s="50" t="s">
        <v>17718</v>
      </c>
      <c r="G517" s="50" t="e">
        <f>VLOOKUP(B517,aa!B:F,5,0)</f>
        <v>#N/A</v>
      </c>
      <c r="H517" s="50" t="e">
        <f>VLOOKUP(B517,aa!B:J,9,0)</f>
        <v>#N/A</v>
      </c>
      <c r="I517" s="50" t="e">
        <f>VLOOKUP(B517,aa!B:L,11,0)</f>
        <v>#N/A</v>
      </c>
      <c r="J517" s="50" t="e">
        <f>VLOOKUP(B517,aa!B:O,14,0)</f>
        <v>#N/A</v>
      </c>
      <c r="K517" s="50" t="e">
        <f>VLOOKUP(B517,aa!B:R,17,0)</f>
        <v>#N/A</v>
      </c>
      <c r="L517" s="50" t="s">
        <v>152</v>
      </c>
      <c r="M517" s="50">
        <v>175320</v>
      </c>
      <c r="N517" s="50">
        <v>175320</v>
      </c>
      <c r="O517" s="50">
        <v>0</v>
      </c>
      <c r="P517" s="50">
        <v>0</v>
      </c>
      <c r="R517" s="50">
        <v>175320</v>
      </c>
      <c r="S517" s="50">
        <v>200</v>
      </c>
      <c r="T517" s="50" t="s">
        <v>5436</v>
      </c>
      <c r="U517" s="50">
        <v>0</v>
      </c>
      <c r="V517" s="50">
        <v>0</v>
      </c>
      <c r="X517" s="50" t="s">
        <v>102</v>
      </c>
      <c r="Y517" s="50" t="s">
        <v>103</v>
      </c>
      <c r="Z517" s="50" t="s">
        <v>104</v>
      </c>
      <c r="AB517" s="50" t="s">
        <v>6768</v>
      </c>
      <c r="AC517" s="50" t="s">
        <v>17719</v>
      </c>
      <c r="AD517" s="50" t="s">
        <v>12427</v>
      </c>
      <c r="AE517" s="50" t="s">
        <v>17719</v>
      </c>
      <c r="AF517" s="50" t="s">
        <v>109</v>
      </c>
      <c r="AG517" s="50" t="s">
        <v>102</v>
      </c>
      <c r="AH517" s="50" t="s">
        <v>109</v>
      </c>
      <c r="AI517" s="50" t="s">
        <v>102</v>
      </c>
      <c r="AJ517" s="50" t="s">
        <v>102</v>
      </c>
      <c r="AK517" s="50" t="s">
        <v>11300</v>
      </c>
      <c r="AL517" s="50" t="s">
        <v>17126</v>
      </c>
      <c r="AM517" s="50" t="s">
        <v>17720</v>
      </c>
      <c r="AN517" s="50" t="s">
        <v>17720</v>
      </c>
      <c r="AO517" s="50" t="s">
        <v>102</v>
      </c>
      <c r="AP517" s="50" t="s">
        <v>17721</v>
      </c>
      <c r="AQ517" s="50" t="s">
        <v>17721</v>
      </c>
      <c r="AV517" s="50" t="s">
        <v>102</v>
      </c>
      <c r="AX517" s="50" t="s">
        <v>104</v>
      </c>
      <c r="AY517" s="50" t="s">
        <v>447</v>
      </c>
      <c r="AZ517" s="50" t="s">
        <v>170</v>
      </c>
      <c r="BA517" s="50" t="s">
        <v>118</v>
      </c>
      <c r="BC517" s="50" t="s">
        <v>120</v>
      </c>
      <c r="BD517" s="50" t="s">
        <v>12104</v>
      </c>
      <c r="BE517" s="50" t="s">
        <v>1208</v>
      </c>
      <c r="BF517" s="50" t="s">
        <v>174</v>
      </c>
      <c r="BG517" s="50" t="s">
        <v>1172</v>
      </c>
      <c r="BH517" s="50" t="s">
        <v>124</v>
      </c>
      <c r="BI517" s="50" t="s">
        <v>12023</v>
      </c>
      <c r="BJ517" s="50" t="s">
        <v>11889</v>
      </c>
      <c r="BK517" s="50" t="s">
        <v>127</v>
      </c>
      <c r="BL517" s="50" t="s">
        <v>17722</v>
      </c>
      <c r="BM517" s="50" t="s">
        <v>17723</v>
      </c>
      <c r="BN517" s="50" t="s">
        <v>17724</v>
      </c>
      <c r="BO517" s="50" t="s">
        <v>4909</v>
      </c>
      <c r="BP517" s="50" t="s">
        <v>1212</v>
      </c>
      <c r="BQ517" s="50" t="s">
        <v>180</v>
      </c>
      <c r="BR517" s="50" t="s">
        <v>1213</v>
      </c>
      <c r="BS517" s="50" t="s">
        <v>1214</v>
      </c>
      <c r="BT517" s="50" t="s">
        <v>1215</v>
      </c>
      <c r="BV517" s="50" t="s">
        <v>17725</v>
      </c>
      <c r="BW517" s="50" t="s">
        <v>17726</v>
      </c>
      <c r="BX517" s="50" t="s">
        <v>354</v>
      </c>
      <c r="BY517" s="50" t="s">
        <v>17727</v>
      </c>
      <c r="BZ517" s="50" t="s">
        <v>17728</v>
      </c>
      <c r="CA517" s="50" t="s">
        <v>17727</v>
      </c>
      <c r="CB517" s="50" t="s">
        <v>17729</v>
      </c>
      <c r="CC517" s="50" t="s">
        <v>17730</v>
      </c>
      <c r="CD517" s="50" t="s">
        <v>17731</v>
      </c>
      <c r="CE517" s="50" t="s">
        <v>17729</v>
      </c>
      <c r="CF517" s="50" t="s">
        <v>17730</v>
      </c>
      <c r="CG517" s="50" t="s">
        <v>17731</v>
      </c>
      <c r="CH517" s="50" t="s">
        <v>3918</v>
      </c>
      <c r="CI517" s="50" t="s">
        <v>17732</v>
      </c>
      <c r="CK517" s="50" t="s">
        <v>17733</v>
      </c>
      <c r="CM517" s="50" t="s">
        <v>12104</v>
      </c>
      <c r="CN517" s="50" t="s">
        <v>1208</v>
      </c>
      <c r="CO517" s="50" t="s">
        <v>17733</v>
      </c>
      <c r="CQ517" s="50" t="s">
        <v>17734</v>
      </c>
      <c r="CR517" s="50" t="s">
        <v>17735</v>
      </c>
    </row>
    <row r="518" spans="1:97" hidden="1">
      <c r="A518" s="50" t="s">
        <v>149</v>
      </c>
      <c r="B518" s="50">
        <v>3534332</v>
      </c>
      <c r="C518" s="50" t="e">
        <f>VLOOKUP(B518,'Drop schools 2026'!B:C,2,0)</f>
        <v>#N/A</v>
      </c>
      <c r="D518" s="50" t="s">
        <v>212</v>
      </c>
      <c r="E518" s="50" t="s">
        <v>418</v>
      </c>
      <c r="F518" s="50" t="s">
        <v>6541</v>
      </c>
      <c r="G518" s="50" t="str">
        <f>VLOOKUP(B518,aa!B:F,5,0)</f>
        <v>Ei ASSET, Ei Mindspark</v>
      </c>
      <c r="H518" s="50">
        <f>VLOOKUP(B518,aa!B:J,9,0)</f>
        <v>190618</v>
      </c>
      <c r="I518" s="50">
        <f>VLOOKUP(B518,aa!B:L,11,0)</f>
        <v>77265</v>
      </c>
      <c r="J518" s="50">
        <f>VLOOKUP(B518,aa!B:O,14,0)</f>
        <v>0</v>
      </c>
      <c r="K518" s="50">
        <f>VLOOKUP(B518,aa!B:R,17,0)</f>
        <v>113353</v>
      </c>
      <c r="L518" s="50" t="s">
        <v>193</v>
      </c>
      <c r="M518" s="50">
        <v>173921</v>
      </c>
      <c r="N518" s="50">
        <v>191005</v>
      </c>
      <c r="O518" s="50">
        <v>79010</v>
      </c>
      <c r="P518" s="50">
        <v>117</v>
      </c>
      <c r="Q518" s="50" t="s">
        <v>340</v>
      </c>
      <c r="R518" s="50">
        <v>0</v>
      </c>
      <c r="S518" s="50">
        <v>0</v>
      </c>
      <c r="U518" s="50">
        <v>94911</v>
      </c>
      <c r="V518" s="50">
        <v>35</v>
      </c>
      <c r="W518" s="50" t="s">
        <v>6544</v>
      </c>
      <c r="X518" s="50" t="s">
        <v>102</v>
      </c>
      <c r="Y518" s="50" t="s">
        <v>103</v>
      </c>
      <c r="Z518" s="50" t="s">
        <v>104</v>
      </c>
      <c r="AB518" s="50" t="s">
        <v>1408</v>
      </c>
      <c r="AC518" s="50" t="s">
        <v>16397</v>
      </c>
      <c r="AD518" s="50" t="s">
        <v>12289</v>
      </c>
      <c r="AE518" s="50" t="s">
        <v>16397</v>
      </c>
      <c r="AF518" s="50" t="s">
        <v>109</v>
      </c>
      <c r="AG518" s="50" t="s">
        <v>102</v>
      </c>
      <c r="AH518" s="50" t="s">
        <v>109</v>
      </c>
      <c r="AI518" s="50" t="s">
        <v>102</v>
      </c>
      <c r="AJ518" s="50" t="s">
        <v>16398</v>
      </c>
      <c r="AK518" s="50" t="s">
        <v>3679</v>
      </c>
      <c r="AL518" s="50" t="s">
        <v>15755</v>
      </c>
      <c r="AM518" s="50" t="s">
        <v>16399</v>
      </c>
      <c r="AN518" s="50" t="s">
        <v>16400</v>
      </c>
      <c r="AO518" s="50" t="s">
        <v>16401</v>
      </c>
      <c r="AP518" s="50" t="s">
        <v>16402</v>
      </c>
      <c r="AQ518" s="50" t="s">
        <v>16402</v>
      </c>
      <c r="AV518" s="50" t="s">
        <v>207</v>
      </c>
      <c r="AW518" s="50" t="s">
        <v>118</v>
      </c>
      <c r="AX518" s="50" t="s">
        <v>102</v>
      </c>
      <c r="AY518" s="50" t="s">
        <v>119</v>
      </c>
      <c r="BB518" s="50" t="s">
        <v>250</v>
      </c>
      <c r="BC518" s="50" t="s">
        <v>1242</v>
      </c>
      <c r="BD518" s="50" t="s">
        <v>409</v>
      </c>
      <c r="BE518" s="50" t="s">
        <v>410</v>
      </c>
      <c r="BF518" s="50" t="s">
        <v>212</v>
      </c>
      <c r="BG518" s="50" t="s">
        <v>410</v>
      </c>
      <c r="BH518" s="50" t="s">
        <v>124</v>
      </c>
      <c r="BI518" s="50" t="s">
        <v>11959</v>
      </c>
      <c r="BJ518" s="50" t="s">
        <v>12276</v>
      </c>
      <c r="BK518" s="50" t="s">
        <v>127</v>
      </c>
      <c r="BL518" s="50" t="s">
        <v>16403</v>
      </c>
      <c r="BM518" s="50" t="s">
        <v>6556</v>
      </c>
      <c r="BN518" s="50" t="s">
        <v>16404</v>
      </c>
      <c r="BO518" s="50" t="s">
        <v>16396</v>
      </c>
      <c r="BP518" s="50" t="s">
        <v>866</v>
      </c>
      <c r="BQ518" s="50" t="s">
        <v>132</v>
      </c>
      <c r="BR518" s="50" t="s">
        <v>867</v>
      </c>
      <c r="BS518" s="50" t="s">
        <v>868</v>
      </c>
      <c r="BT518" s="50" t="s">
        <v>418</v>
      </c>
      <c r="BV518" s="50" t="s">
        <v>16405</v>
      </c>
      <c r="BW518" s="50" t="s">
        <v>6562</v>
      </c>
      <c r="BX518" s="50" t="s">
        <v>138</v>
      </c>
      <c r="BY518" s="50" t="s">
        <v>6563</v>
      </c>
      <c r="BZ518" s="50" t="s">
        <v>16406</v>
      </c>
      <c r="CA518" s="50" t="s">
        <v>6565</v>
      </c>
      <c r="CB518" s="50" t="s">
        <v>16407</v>
      </c>
      <c r="CC518" s="50" t="s">
        <v>6563</v>
      </c>
      <c r="CD518" s="50" t="s">
        <v>16406</v>
      </c>
      <c r="CE518" s="50" t="s">
        <v>16408</v>
      </c>
      <c r="CF518" s="50" t="s">
        <v>16409</v>
      </c>
      <c r="CG518" s="50" t="s">
        <v>16410</v>
      </c>
      <c r="CH518" s="50" t="s">
        <v>102</v>
      </c>
      <c r="CI518" s="50" t="s">
        <v>6568</v>
      </c>
      <c r="CK518" s="50" t="s">
        <v>6569</v>
      </c>
      <c r="CM518" s="50" t="s">
        <v>409</v>
      </c>
      <c r="CN518" s="50" t="s">
        <v>410</v>
      </c>
      <c r="CO518" s="50" t="s">
        <v>6569</v>
      </c>
      <c r="CP518" s="50" t="s">
        <v>6570</v>
      </c>
      <c r="CQ518" s="50" t="s">
        <v>6568</v>
      </c>
      <c r="CR518" s="50" t="s">
        <v>6568</v>
      </c>
    </row>
    <row r="519" spans="1:97" hidden="1">
      <c r="A519" s="50" t="s">
        <v>149</v>
      </c>
      <c r="B519" s="50">
        <v>252071</v>
      </c>
      <c r="C519" s="50" t="e">
        <f>VLOOKUP(B519,'Drop schools 2026'!B:C,2,0)</f>
        <v>#N/A</v>
      </c>
      <c r="D519" s="50" t="s">
        <v>212</v>
      </c>
      <c r="E519" s="50" t="s">
        <v>2151</v>
      </c>
      <c r="F519" s="50" t="s">
        <v>3920</v>
      </c>
      <c r="G519" s="50" t="str">
        <f>VLOOKUP(B519,aa!B:F,5,0)</f>
        <v>Ei ASSET,Ei Mindspark</v>
      </c>
      <c r="H519" s="50">
        <f>VLOOKUP(B519,aa!B:J,9,0)</f>
        <v>2061118</v>
      </c>
      <c r="I519" s="50">
        <f>VLOOKUP(B519,aa!B:L,11,0)</f>
        <v>539044</v>
      </c>
      <c r="J519" s="50">
        <f>VLOOKUP(B519,aa!B:O,14,0)</f>
        <v>0</v>
      </c>
      <c r="K519" s="50">
        <f>VLOOKUP(B519,aa!B:R,17,0)</f>
        <v>1522074</v>
      </c>
      <c r="L519" s="50" t="s">
        <v>152</v>
      </c>
      <c r="M519" s="50">
        <v>173700</v>
      </c>
      <c r="N519" s="50">
        <v>173700</v>
      </c>
      <c r="O519" s="50">
        <v>0</v>
      </c>
      <c r="P519" s="50">
        <v>0</v>
      </c>
      <c r="R519" s="50">
        <v>173700</v>
      </c>
      <c r="S519" s="50">
        <v>193</v>
      </c>
      <c r="T519" s="50" t="s">
        <v>2451</v>
      </c>
      <c r="U519" s="50">
        <v>0</v>
      </c>
      <c r="V519" s="50">
        <v>0</v>
      </c>
      <c r="X519" s="50" t="s">
        <v>102</v>
      </c>
      <c r="Y519" s="50" t="s">
        <v>103</v>
      </c>
      <c r="Z519" s="50" t="s">
        <v>398</v>
      </c>
      <c r="AB519" s="50" t="s">
        <v>11954</v>
      </c>
      <c r="AC519" s="50" t="s">
        <v>14382</v>
      </c>
      <c r="AD519" s="50" t="s">
        <v>12838</v>
      </c>
      <c r="AE519" s="50" t="s">
        <v>14383</v>
      </c>
      <c r="AF519" s="50" t="s">
        <v>11886</v>
      </c>
      <c r="AG519" s="50" t="s">
        <v>14383</v>
      </c>
      <c r="AH519" s="50" t="s">
        <v>109</v>
      </c>
      <c r="AI519" s="50" t="s">
        <v>102</v>
      </c>
      <c r="AJ519" s="50" t="s">
        <v>102</v>
      </c>
      <c r="AM519" s="50" t="s">
        <v>14384</v>
      </c>
      <c r="AN519" s="50" t="s">
        <v>102</v>
      </c>
      <c r="AO519" s="50" t="s">
        <v>14384</v>
      </c>
      <c r="AP519" s="50" t="s">
        <v>3213</v>
      </c>
      <c r="AQ519" s="50" t="s">
        <v>3213</v>
      </c>
      <c r="AV519" s="50" t="s">
        <v>102</v>
      </c>
      <c r="AX519" s="50" t="s">
        <v>104</v>
      </c>
      <c r="AY519" s="50" t="s">
        <v>119</v>
      </c>
      <c r="AZ519" s="50" t="s">
        <v>170</v>
      </c>
      <c r="BA519" s="50" t="s">
        <v>118</v>
      </c>
      <c r="BC519" s="50" t="s">
        <v>1964</v>
      </c>
      <c r="BD519" s="50" t="s">
        <v>920</v>
      </c>
      <c r="BE519" s="50" t="s">
        <v>211</v>
      </c>
      <c r="BF519" s="50" t="s">
        <v>212</v>
      </c>
      <c r="BG519" s="50" t="s">
        <v>213</v>
      </c>
      <c r="BH519" s="50" t="s">
        <v>124</v>
      </c>
      <c r="BI519" s="50" t="s">
        <v>11959</v>
      </c>
      <c r="BJ519" s="50" t="s">
        <v>11960</v>
      </c>
      <c r="BK519" s="50" t="s">
        <v>127</v>
      </c>
      <c r="BL519" s="50" t="s">
        <v>14385</v>
      </c>
      <c r="BM519" s="50" t="s">
        <v>3939</v>
      </c>
      <c r="BN519" s="50" t="s">
        <v>14386</v>
      </c>
      <c r="BO519" s="50" t="s">
        <v>14381</v>
      </c>
      <c r="BP519" s="50" t="s">
        <v>415</v>
      </c>
      <c r="BQ519" s="50" t="s">
        <v>180</v>
      </c>
      <c r="BR519" s="50" t="s">
        <v>416</v>
      </c>
      <c r="BS519" s="50" t="s">
        <v>417</v>
      </c>
      <c r="BT519" s="50" t="s">
        <v>2151</v>
      </c>
      <c r="BV519" s="50" t="s">
        <v>14387</v>
      </c>
      <c r="BW519" s="50" t="s">
        <v>14388</v>
      </c>
      <c r="BX519" s="50" t="s">
        <v>354</v>
      </c>
      <c r="BY519" s="50" t="s">
        <v>3944</v>
      </c>
      <c r="BZ519" s="50" t="s">
        <v>14389</v>
      </c>
      <c r="CA519" s="50" t="s">
        <v>3946</v>
      </c>
      <c r="CB519" s="50" t="s">
        <v>14390</v>
      </c>
      <c r="CC519" s="50" t="s">
        <v>3944</v>
      </c>
      <c r="CD519" s="50" t="s">
        <v>14389</v>
      </c>
      <c r="CE519" s="50" t="s">
        <v>14390</v>
      </c>
      <c r="CF519" s="50" t="s">
        <v>3944</v>
      </c>
      <c r="CG519" s="50" t="s">
        <v>14389</v>
      </c>
      <c r="CH519" s="50" t="s">
        <v>102</v>
      </c>
      <c r="CI519" s="50" t="s">
        <v>3947</v>
      </c>
      <c r="CK519" s="50" t="s">
        <v>2473</v>
      </c>
      <c r="CM519" s="50" t="s">
        <v>920</v>
      </c>
      <c r="CN519" s="50" t="s">
        <v>211</v>
      </c>
      <c r="CO519" s="50" t="s">
        <v>2473</v>
      </c>
      <c r="CQ519" s="50" t="s">
        <v>3947</v>
      </c>
      <c r="CR519" s="50" t="s">
        <v>3947</v>
      </c>
    </row>
    <row r="520" spans="1:97" hidden="1">
      <c r="A520" s="50" t="s">
        <v>337</v>
      </c>
      <c r="B520" s="50">
        <v>3992708</v>
      </c>
      <c r="C520" s="50" t="e">
        <f>VLOOKUP(B520,'Drop schools 2026'!B:C,2,0)</f>
        <v>#N/A</v>
      </c>
      <c r="D520" s="50" t="s">
        <v>174</v>
      </c>
      <c r="E520" s="50" t="s">
        <v>12155</v>
      </c>
      <c r="F520" s="50" t="s">
        <v>17550</v>
      </c>
      <c r="G520" s="50" t="str">
        <f>VLOOKUP(B520,aa!B:F,5,0)</f>
        <v>Ei CARES</v>
      </c>
      <c r="H520" s="50">
        <f>VLOOKUP(B520,aa!B:J,9,0)</f>
        <v>166310</v>
      </c>
      <c r="I520" s="50">
        <f>VLOOKUP(B520,aa!B:L,11,0)</f>
        <v>0</v>
      </c>
      <c r="J520" s="50">
        <f>VLOOKUP(B520,aa!B:O,14,0)</f>
        <v>166310</v>
      </c>
      <c r="K520" s="50">
        <f>VLOOKUP(B520,aa!B:R,17,0)</f>
        <v>0</v>
      </c>
      <c r="L520" s="50" t="s">
        <v>152</v>
      </c>
      <c r="M520" s="50">
        <v>173548</v>
      </c>
      <c r="N520" s="50">
        <v>173548</v>
      </c>
      <c r="O520" s="50">
        <v>0</v>
      </c>
      <c r="P520" s="50">
        <v>0</v>
      </c>
      <c r="R520" s="50">
        <v>173548</v>
      </c>
      <c r="S520" s="50">
        <v>263</v>
      </c>
      <c r="T520" s="50" t="s">
        <v>4273</v>
      </c>
      <c r="U520" s="50">
        <v>0</v>
      </c>
      <c r="V520" s="50">
        <v>0</v>
      </c>
      <c r="X520" s="50" t="s">
        <v>102</v>
      </c>
      <c r="Y520" s="50" t="s">
        <v>103</v>
      </c>
      <c r="Z520" s="50" t="s">
        <v>155</v>
      </c>
      <c r="AB520" s="50" t="s">
        <v>1941</v>
      </c>
      <c r="AC520" s="50" t="s">
        <v>17551</v>
      </c>
      <c r="AD520" s="50" t="s">
        <v>11976</v>
      </c>
      <c r="AE520" s="50" t="s">
        <v>17551</v>
      </c>
      <c r="AF520" s="50" t="s">
        <v>12217</v>
      </c>
      <c r="AG520" s="50" t="s">
        <v>17551</v>
      </c>
      <c r="AH520" s="50" t="s">
        <v>12728</v>
      </c>
      <c r="AI520" s="50" t="s">
        <v>17551</v>
      </c>
      <c r="AJ520" s="50" t="s">
        <v>102</v>
      </c>
      <c r="AK520" s="50" t="s">
        <v>12492</v>
      </c>
      <c r="AL520" s="50" t="s">
        <v>13302</v>
      </c>
      <c r="AM520" s="50" t="s">
        <v>17552</v>
      </c>
      <c r="AN520" s="50" t="s">
        <v>17553</v>
      </c>
      <c r="AO520" s="50" t="s">
        <v>17554</v>
      </c>
      <c r="AP520" s="50" t="s">
        <v>10959</v>
      </c>
      <c r="AQ520" s="50" t="s">
        <v>10959</v>
      </c>
      <c r="AV520" s="50" t="s">
        <v>102</v>
      </c>
      <c r="AX520" s="50" t="s">
        <v>104</v>
      </c>
      <c r="AY520" s="50" t="s">
        <v>447</v>
      </c>
      <c r="AZ520" s="50" t="s">
        <v>170</v>
      </c>
      <c r="BA520" s="50" t="s">
        <v>118</v>
      </c>
      <c r="BC520" s="50" t="s">
        <v>120</v>
      </c>
      <c r="BD520" s="50" t="s">
        <v>17555</v>
      </c>
      <c r="BE520" s="50" t="s">
        <v>173</v>
      </c>
      <c r="BF520" s="50" t="s">
        <v>174</v>
      </c>
      <c r="BG520" s="50" t="s">
        <v>173</v>
      </c>
      <c r="BH520" s="50" t="s">
        <v>124</v>
      </c>
      <c r="BI520" s="50" t="s">
        <v>6341</v>
      </c>
      <c r="BJ520" s="50" t="s">
        <v>11889</v>
      </c>
      <c r="BK520" s="50" t="s">
        <v>127</v>
      </c>
      <c r="BL520" s="50" t="s">
        <v>17556</v>
      </c>
      <c r="BM520" s="50" t="s">
        <v>17557</v>
      </c>
      <c r="BN520" s="50" t="s">
        <v>17558</v>
      </c>
      <c r="BO520" s="50" t="s">
        <v>559</v>
      </c>
      <c r="BP520" s="50" t="s">
        <v>8447</v>
      </c>
      <c r="BQ520" s="50" t="s">
        <v>180</v>
      </c>
      <c r="BR520" s="50" t="s">
        <v>8448</v>
      </c>
      <c r="BS520" s="50" t="s">
        <v>8449</v>
      </c>
      <c r="BT520" s="50" t="s">
        <v>8450</v>
      </c>
      <c r="BU520" s="50" t="s">
        <v>17559</v>
      </c>
      <c r="BV520" s="50" t="s">
        <v>17560</v>
      </c>
      <c r="BW520" s="50" t="s">
        <v>17561</v>
      </c>
      <c r="BX520" s="50" t="s">
        <v>354</v>
      </c>
      <c r="BY520" s="50" t="s">
        <v>17562</v>
      </c>
      <c r="BZ520" s="50" t="s">
        <v>17563</v>
      </c>
      <c r="CA520" s="50" t="s">
        <v>17562</v>
      </c>
      <c r="CB520" s="50" t="s">
        <v>17564</v>
      </c>
      <c r="CC520" s="50" t="s">
        <v>17562</v>
      </c>
      <c r="CD520" s="50" t="s">
        <v>17565</v>
      </c>
      <c r="CE520" s="50" t="s">
        <v>17564</v>
      </c>
      <c r="CF520" s="50" t="s">
        <v>17562</v>
      </c>
      <c r="CG520" s="50" t="s">
        <v>17565</v>
      </c>
      <c r="CH520" s="50" t="s">
        <v>17566</v>
      </c>
      <c r="CI520" s="50" t="s">
        <v>17567</v>
      </c>
      <c r="CK520" s="50" t="s">
        <v>17568</v>
      </c>
      <c r="CL520" s="50" t="s">
        <v>17569</v>
      </c>
      <c r="CM520" s="50" t="s">
        <v>17570</v>
      </c>
      <c r="CN520" s="50" t="s">
        <v>173</v>
      </c>
      <c r="CO520" s="50" t="s">
        <v>17568</v>
      </c>
      <c r="CQ520" s="50" t="s">
        <v>17567</v>
      </c>
      <c r="CR520" s="50" t="s">
        <v>17567</v>
      </c>
    </row>
    <row r="521" spans="1:97" hidden="1">
      <c r="A521" s="50" t="s">
        <v>93</v>
      </c>
      <c r="B521" s="50">
        <v>5017739</v>
      </c>
      <c r="C521" s="50" t="str">
        <f>VLOOKUP(B521,RISK!B:C,2,0)</f>
        <v>Risk</v>
      </c>
      <c r="D521" s="50" t="s">
        <v>122</v>
      </c>
      <c r="E521" s="50" t="s">
        <v>11898</v>
      </c>
      <c r="F521" s="50" t="s">
        <v>10158</v>
      </c>
      <c r="G521" s="50" t="e">
        <f>VLOOKUP(B521,aa!B:F,5,0)</f>
        <v>#N/A</v>
      </c>
      <c r="H521" s="50" t="e">
        <f>VLOOKUP(B521,aa!B:J,9,0)</f>
        <v>#N/A</v>
      </c>
      <c r="I521" s="50" t="e">
        <f>VLOOKUP(B521,aa!B:L,11,0)</f>
        <v>#N/A</v>
      </c>
      <c r="J521" s="50" t="e">
        <f>VLOOKUP(B521,aa!B:O,14,0)</f>
        <v>#N/A</v>
      </c>
      <c r="K521" s="50" t="e">
        <f>VLOOKUP(B521,aa!B:R,17,0)</f>
        <v>#N/A</v>
      </c>
      <c r="L521" s="50" t="s">
        <v>193</v>
      </c>
      <c r="M521" s="50">
        <v>171020</v>
      </c>
      <c r="N521" s="50">
        <v>201264</v>
      </c>
      <c r="O521" s="50">
        <v>3000</v>
      </c>
      <c r="P521" s="50">
        <v>5</v>
      </c>
      <c r="Q521" s="50" t="s">
        <v>310</v>
      </c>
      <c r="R521" s="50">
        <v>0</v>
      </c>
      <c r="S521" s="50">
        <v>0</v>
      </c>
      <c r="U521" s="50">
        <v>168020</v>
      </c>
      <c r="V521" s="50">
        <v>112</v>
      </c>
      <c r="W521" s="50" t="s">
        <v>6441</v>
      </c>
      <c r="X521" s="50" t="s">
        <v>102</v>
      </c>
      <c r="Y521" s="50" t="s">
        <v>275</v>
      </c>
      <c r="AA521" s="50" t="s">
        <v>19109</v>
      </c>
      <c r="AB521" s="50" t="s">
        <v>109</v>
      </c>
      <c r="AC521" s="50" t="s">
        <v>102</v>
      </c>
      <c r="AD521" s="50" t="s">
        <v>109</v>
      </c>
      <c r="AE521" s="50" t="s">
        <v>102</v>
      </c>
      <c r="AF521" s="50" t="s">
        <v>109</v>
      </c>
      <c r="AG521" s="50" t="s">
        <v>102</v>
      </c>
      <c r="AH521" s="50" t="s">
        <v>109</v>
      </c>
      <c r="AI521" s="50" t="s">
        <v>102</v>
      </c>
      <c r="AJ521" s="50" t="s">
        <v>102</v>
      </c>
      <c r="AK521" s="50" t="s">
        <v>19110</v>
      </c>
      <c r="AL521" s="50" t="s">
        <v>19110</v>
      </c>
      <c r="AM521" s="50" t="s">
        <v>19111</v>
      </c>
      <c r="AN521" s="50" t="s">
        <v>19112</v>
      </c>
      <c r="AO521" s="50" t="s">
        <v>19113</v>
      </c>
      <c r="AP521" s="50" t="s">
        <v>19114</v>
      </c>
      <c r="AQ521" s="50" t="s">
        <v>19115</v>
      </c>
      <c r="AU521" s="50" t="s">
        <v>169</v>
      </c>
      <c r="AV521" s="50" t="s">
        <v>207</v>
      </c>
      <c r="AW521" s="50" t="s">
        <v>250</v>
      </c>
      <c r="AX521" s="50" t="s">
        <v>102</v>
      </c>
      <c r="AY521" s="50" t="s">
        <v>119</v>
      </c>
      <c r="BB521" s="50" t="s">
        <v>208</v>
      </c>
      <c r="BC521" s="50" t="s">
        <v>120</v>
      </c>
      <c r="BD521" s="50" t="s">
        <v>448</v>
      </c>
      <c r="BE521" s="50" t="s">
        <v>449</v>
      </c>
      <c r="BF521" s="50" t="s">
        <v>122</v>
      </c>
      <c r="BG521" s="50" t="s">
        <v>450</v>
      </c>
      <c r="BH521" s="50" t="s">
        <v>124</v>
      </c>
      <c r="BI521" s="50" t="s">
        <v>19116</v>
      </c>
      <c r="BJ521" s="50" t="s">
        <v>19117</v>
      </c>
      <c r="BK521" s="50" t="s">
        <v>127</v>
      </c>
      <c r="BL521" s="50" t="s">
        <v>19118</v>
      </c>
      <c r="BM521" s="50" t="s">
        <v>10169</v>
      </c>
      <c r="BN521" s="50" t="s">
        <v>19119</v>
      </c>
      <c r="BO521" s="50" t="s">
        <v>19108</v>
      </c>
      <c r="BP521" s="50" t="s">
        <v>131</v>
      </c>
      <c r="BQ521" s="50" t="s">
        <v>350</v>
      </c>
      <c r="BR521" s="50" t="s">
        <v>133</v>
      </c>
      <c r="BS521" s="50" t="s">
        <v>134</v>
      </c>
      <c r="BT521" s="50" t="s">
        <v>455</v>
      </c>
      <c r="BV521" s="50" t="s">
        <v>19120</v>
      </c>
      <c r="BW521" s="50" t="s">
        <v>19121</v>
      </c>
      <c r="BX521" s="50" t="s">
        <v>598</v>
      </c>
      <c r="BY521" s="50" t="s">
        <v>7995</v>
      </c>
      <c r="BZ521" s="50" t="s">
        <v>7996</v>
      </c>
      <c r="CA521" s="50" t="s">
        <v>7995</v>
      </c>
      <c r="CB521" s="50" t="s">
        <v>1973</v>
      </c>
      <c r="CC521" s="50" t="s">
        <v>19122</v>
      </c>
      <c r="CD521" s="50" t="s">
        <v>19123</v>
      </c>
      <c r="CE521" s="50" t="s">
        <v>1973</v>
      </c>
      <c r="CF521" s="50" t="s">
        <v>19122</v>
      </c>
      <c r="CG521" s="50" t="s">
        <v>19123</v>
      </c>
      <c r="CH521" s="50" t="s">
        <v>7998</v>
      </c>
      <c r="CI521" s="50" t="s">
        <v>19124</v>
      </c>
      <c r="CK521" s="50" t="s">
        <v>10174</v>
      </c>
      <c r="CL521" s="50" t="s">
        <v>19124</v>
      </c>
      <c r="CM521" s="50" t="s">
        <v>448</v>
      </c>
      <c r="CN521" s="50" t="s">
        <v>449</v>
      </c>
      <c r="CO521" s="50" t="s">
        <v>10174</v>
      </c>
      <c r="CQ521" s="50" t="s">
        <v>10173</v>
      </c>
      <c r="CR521" s="50" t="s">
        <v>10173</v>
      </c>
    </row>
    <row r="522" spans="1:97" hidden="1">
      <c r="A522" s="50" t="s">
        <v>337</v>
      </c>
      <c r="B522" s="50">
        <v>5018035</v>
      </c>
      <c r="C522" s="50" t="e">
        <f>VLOOKUP(B522,'Drop schools 2026'!B:C,2,0)</f>
        <v>#N/A</v>
      </c>
      <c r="D522" s="50" t="s">
        <v>174</v>
      </c>
      <c r="E522" s="50" t="s">
        <v>384</v>
      </c>
      <c r="F522" s="50" t="s">
        <v>19339</v>
      </c>
      <c r="G522" s="50" t="str">
        <f>VLOOKUP(B522,aa!B:F,5,0)</f>
        <v>Ei ASSET, Ei Mindspark</v>
      </c>
      <c r="H522" s="50">
        <f>VLOOKUP(B522,aa!B:J,9,0)</f>
        <v>898769</v>
      </c>
      <c r="I522" s="50">
        <f>VLOOKUP(B522,aa!B:L,11,0)</f>
        <v>191700</v>
      </c>
      <c r="J522" s="50">
        <f>VLOOKUP(B522,aa!B:O,14,0)</f>
        <v>0</v>
      </c>
      <c r="K522" s="50">
        <f>VLOOKUP(B522,aa!B:R,17,0)</f>
        <v>707069</v>
      </c>
      <c r="L522" s="50" t="s">
        <v>193</v>
      </c>
      <c r="M522" s="50">
        <v>170100</v>
      </c>
      <c r="N522" s="50">
        <v>170100</v>
      </c>
      <c r="O522" s="50">
        <v>170100</v>
      </c>
      <c r="P522" s="50">
        <v>190</v>
      </c>
      <c r="Q522" s="50" t="s">
        <v>14346</v>
      </c>
      <c r="R522" s="50">
        <v>0</v>
      </c>
      <c r="S522" s="50">
        <v>0</v>
      </c>
      <c r="U522" s="50">
        <v>0</v>
      </c>
      <c r="V522" s="50">
        <v>253</v>
      </c>
      <c r="W522" s="50" t="s">
        <v>102</v>
      </c>
      <c r="X522" s="50" t="s">
        <v>102</v>
      </c>
      <c r="Y522" s="50" t="s">
        <v>679</v>
      </c>
      <c r="Z522" s="50" t="s">
        <v>104</v>
      </c>
      <c r="AA522" s="50" t="s">
        <v>19341</v>
      </c>
      <c r="AB522" s="50" t="s">
        <v>14349</v>
      </c>
      <c r="AC522" s="50" t="s">
        <v>19342</v>
      </c>
      <c r="AD522" s="50" t="s">
        <v>13263</v>
      </c>
      <c r="AE522" s="50" t="s">
        <v>19342</v>
      </c>
      <c r="AF522" s="50" t="s">
        <v>109</v>
      </c>
      <c r="AG522" s="50" t="s">
        <v>102</v>
      </c>
      <c r="AH522" s="50" t="s">
        <v>109</v>
      </c>
      <c r="AI522" s="50" t="s">
        <v>102</v>
      </c>
      <c r="AJ522" s="50" t="s">
        <v>102</v>
      </c>
      <c r="AK522" s="50" t="s">
        <v>14351</v>
      </c>
      <c r="AL522" s="50" t="s">
        <v>13000</v>
      </c>
      <c r="AM522" s="50" t="s">
        <v>19343</v>
      </c>
      <c r="AN522" s="50" t="s">
        <v>19344</v>
      </c>
      <c r="AO522" s="50" t="s">
        <v>19345</v>
      </c>
      <c r="AP522" s="50" t="s">
        <v>19346</v>
      </c>
      <c r="AQ522" s="50" t="s">
        <v>19346</v>
      </c>
      <c r="AV522" s="50" t="s">
        <v>207</v>
      </c>
      <c r="AW522" s="50" t="s">
        <v>118</v>
      </c>
      <c r="AX522" s="50" t="s">
        <v>102</v>
      </c>
      <c r="AY522" s="50" t="s">
        <v>119</v>
      </c>
      <c r="BB522" s="50" t="s">
        <v>250</v>
      </c>
      <c r="BC522" s="50" t="s">
        <v>120</v>
      </c>
      <c r="BD522" s="50" t="s">
        <v>13207</v>
      </c>
      <c r="BE522" s="50" t="s">
        <v>376</v>
      </c>
      <c r="BF522" s="50" t="s">
        <v>174</v>
      </c>
      <c r="BG522" s="50" t="s">
        <v>376</v>
      </c>
      <c r="BH522" s="50" t="s">
        <v>124</v>
      </c>
      <c r="BI522" s="50" t="s">
        <v>19347</v>
      </c>
      <c r="BJ522" s="50" t="s">
        <v>11889</v>
      </c>
      <c r="BK522" s="50" t="s">
        <v>127</v>
      </c>
      <c r="BL522" s="50" t="s">
        <v>19348</v>
      </c>
      <c r="BM522" s="50" t="s">
        <v>19349</v>
      </c>
      <c r="BN522" s="50" t="s">
        <v>19350</v>
      </c>
      <c r="BO522" s="50" t="s">
        <v>19340</v>
      </c>
      <c r="BP522" s="50" t="s">
        <v>6926</v>
      </c>
      <c r="BQ522" s="50" t="s">
        <v>180</v>
      </c>
      <c r="BR522" s="50" t="s">
        <v>6927</v>
      </c>
      <c r="BS522" s="50" t="s">
        <v>6928</v>
      </c>
      <c r="BT522" s="50" t="s">
        <v>1858</v>
      </c>
      <c r="BV522" s="50" t="s">
        <v>19351</v>
      </c>
      <c r="BW522" s="50" t="s">
        <v>19352</v>
      </c>
      <c r="BX522" s="50" t="s">
        <v>16620</v>
      </c>
      <c r="BY522" s="50" t="s">
        <v>19353</v>
      </c>
      <c r="BZ522" s="50" t="s">
        <v>19354</v>
      </c>
      <c r="CA522" s="50" t="s">
        <v>19355</v>
      </c>
      <c r="CB522" s="50" t="s">
        <v>19356</v>
      </c>
      <c r="CC522" s="50" t="s">
        <v>19355</v>
      </c>
      <c r="CD522" s="50" t="s">
        <v>19357</v>
      </c>
      <c r="CE522" s="50" t="s">
        <v>19358</v>
      </c>
      <c r="CF522" s="50" t="s">
        <v>19359</v>
      </c>
      <c r="CG522" s="50" t="s">
        <v>19360</v>
      </c>
      <c r="CH522" s="50" t="s">
        <v>19361</v>
      </c>
      <c r="CI522" s="50" t="s">
        <v>19362</v>
      </c>
      <c r="CK522" s="50" t="s">
        <v>19363</v>
      </c>
      <c r="CL522" s="50" t="s">
        <v>19362</v>
      </c>
      <c r="CM522" s="50" t="s">
        <v>13207</v>
      </c>
      <c r="CN522" s="50" t="s">
        <v>376</v>
      </c>
      <c r="CO522" s="50" t="s">
        <v>19363</v>
      </c>
      <c r="CQ522" s="50" t="s">
        <v>19362</v>
      </c>
      <c r="CR522" s="50" t="s">
        <v>19362</v>
      </c>
    </row>
    <row r="523" spans="1:97" hidden="1">
      <c r="A523" s="50" t="s">
        <v>337</v>
      </c>
      <c r="B523" s="50">
        <v>5049594</v>
      </c>
      <c r="C523" s="50" t="e">
        <f>VLOOKUP(B523,'Drop schools 2026'!B:C,2,0)</f>
        <v>#N/A</v>
      </c>
      <c r="D523" s="50" t="s">
        <v>174</v>
      </c>
      <c r="E523" s="50" t="s">
        <v>384</v>
      </c>
      <c r="F523" s="50" t="s">
        <v>20492</v>
      </c>
      <c r="G523" s="50" t="str">
        <f>VLOOKUP(B523,aa!B:F,5,0)</f>
        <v>Ei CARES</v>
      </c>
      <c r="H523" s="50">
        <f>VLOOKUP(B523,aa!B:J,9,0)</f>
        <v>298914</v>
      </c>
      <c r="I523" s="50">
        <f>VLOOKUP(B523,aa!B:L,11,0)</f>
        <v>0</v>
      </c>
      <c r="J523" s="50">
        <f>VLOOKUP(B523,aa!B:O,14,0)</f>
        <v>298914</v>
      </c>
      <c r="K523" s="50">
        <f>VLOOKUP(B523,aa!B:R,17,0)</f>
        <v>0</v>
      </c>
      <c r="L523" s="50" t="s">
        <v>152</v>
      </c>
      <c r="M523" s="50">
        <v>169600</v>
      </c>
      <c r="N523" s="50">
        <v>169600</v>
      </c>
      <c r="O523" s="50">
        <v>0</v>
      </c>
      <c r="P523" s="50">
        <v>0</v>
      </c>
      <c r="R523" s="50">
        <v>169600</v>
      </c>
      <c r="S523" s="50">
        <v>255</v>
      </c>
      <c r="T523" s="50" t="s">
        <v>20494</v>
      </c>
      <c r="U523" s="50">
        <v>0</v>
      </c>
      <c r="V523" s="50">
        <v>0</v>
      </c>
      <c r="X523" s="50" t="s">
        <v>102</v>
      </c>
      <c r="Y523" s="50" t="s">
        <v>679</v>
      </c>
      <c r="Z523" s="50" t="s">
        <v>398</v>
      </c>
      <c r="AA523" s="50" t="s">
        <v>12019</v>
      </c>
      <c r="AB523" s="50" t="s">
        <v>20495</v>
      </c>
      <c r="AC523" s="50" t="s">
        <v>20496</v>
      </c>
      <c r="AD523" s="50" t="s">
        <v>15488</v>
      </c>
      <c r="AE523" s="50" t="s">
        <v>20497</v>
      </c>
      <c r="AF523" s="50" t="s">
        <v>13263</v>
      </c>
      <c r="AG523" s="50" t="s">
        <v>20498</v>
      </c>
      <c r="AH523" s="50" t="s">
        <v>109</v>
      </c>
      <c r="AI523" s="50" t="s">
        <v>102</v>
      </c>
      <c r="AJ523" s="50" t="s">
        <v>102</v>
      </c>
      <c r="AK523" s="50" t="s">
        <v>12911</v>
      </c>
      <c r="AL523" s="50" t="s">
        <v>18922</v>
      </c>
      <c r="AM523" s="50" t="s">
        <v>20499</v>
      </c>
      <c r="AN523" s="50" t="s">
        <v>20500</v>
      </c>
      <c r="AO523" s="50" t="s">
        <v>20501</v>
      </c>
      <c r="AP523" s="50" t="s">
        <v>20502</v>
      </c>
      <c r="AQ523" s="50" t="s">
        <v>20502</v>
      </c>
      <c r="AV523" s="50" t="s">
        <v>102</v>
      </c>
      <c r="AX523" s="50" t="s">
        <v>104</v>
      </c>
      <c r="AY523" s="50" t="s">
        <v>447</v>
      </c>
      <c r="AZ523" s="50" t="s">
        <v>170</v>
      </c>
      <c r="BA523" s="50" t="s">
        <v>118</v>
      </c>
      <c r="BC523" s="50" t="s">
        <v>120</v>
      </c>
      <c r="BD523" s="50" t="s">
        <v>20503</v>
      </c>
      <c r="BE523" s="50" t="s">
        <v>376</v>
      </c>
      <c r="BF523" s="50" t="s">
        <v>174</v>
      </c>
      <c r="BG523" s="50" t="s">
        <v>376</v>
      </c>
      <c r="BH523" s="50" t="s">
        <v>124</v>
      </c>
      <c r="BI523" s="50" t="s">
        <v>12911</v>
      </c>
      <c r="BJ523" s="50" t="s">
        <v>20504</v>
      </c>
      <c r="BK523" s="50" t="s">
        <v>127</v>
      </c>
      <c r="BL523" s="50" t="s">
        <v>20505</v>
      </c>
      <c r="BM523" s="50" t="s">
        <v>20506</v>
      </c>
      <c r="BN523" s="50" t="s">
        <v>20507</v>
      </c>
      <c r="BO523" s="50" t="s">
        <v>20493</v>
      </c>
      <c r="BP523" s="50" t="s">
        <v>13780</v>
      </c>
      <c r="BQ523" s="50" t="s">
        <v>505</v>
      </c>
      <c r="BR523" s="50" t="s">
        <v>13781</v>
      </c>
      <c r="BS523" s="50" t="s">
        <v>13782</v>
      </c>
      <c r="BT523" s="50" t="s">
        <v>13783</v>
      </c>
      <c r="BV523" s="50" t="s">
        <v>20508</v>
      </c>
      <c r="BW523" s="50" t="s">
        <v>20509</v>
      </c>
      <c r="BX523" s="50" t="s">
        <v>138</v>
      </c>
      <c r="BY523" s="50" t="s">
        <v>20510</v>
      </c>
      <c r="BZ523" s="50" t="s">
        <v>20511</v>
      </c>
      <c r="CA523" s="50" t="s">
        <v>20512</v>
      </c>
      <c r="CB523" s="50" t="s">
        <v>20513</v>
      </c>
      <c r="CC523" s="50" t="s">
        <v>20510</v>
      </c>
      <c r="CD523" s="50" t="s">
        <v>20511</v>
      </c>
      <c r="CE523" s="50" t="s">
        <v>20513</v>
      </c>
      <c r="CF523" s="50" t="s">
        <v>20510</v>
      </c>
      <c r="CG523" s="50" t="s">
        <v>20511</v>
      </c>
      <c r="CH523" s="50" t="s">
        <v>6370</v>
      </c>
      <c r="CI523" s="50" t="s">
        <v>20514</v>
      </c>
      <c r="CK523" s="50" t="s">
        <v>20515</v>
      </c>
      <c r="CL523" s="50" t="s">
        <v>20514</v>
      </c>
      <c r="CM523" s="50" t="s">
        <v>20503</v>
      </c>
      <c r="CN523" s="50" t="s">
        <v>376</v>
      </c>
      <c r="CO523" s="50" t="s">
        <v>20515</v>
      </c>
      <c r="CQ523" s="50" t="s">
        <v>20514</v>
      </c>
      <c r="CR523" s="50" t="s">
        <v>20514</v>
      </c>
      <c r="CS523" s="50" t="s">
        <v>26045</v>
      </c>
    </row>
    <row r="524" spans="1:97" hidden="1">
      <c r="A524" s="50" t="s">
        <v>93</v>
      </c>
      <c r="B524" s="50">
        <v>5017533</v>
      </c>
      <c r="C524" s="50" t="e">
        <f>VLOOKUP(B524,'Drop schools 2026'!B:C,2,0)</f>
        <v>#N/A</v>
      </c>
      <c r="D524" s="50" t="s">
        <v>622</v>
      </c>
      <c r="E524" s="50" t="s">
        <v>2525</v>
      </c>
      <c r="F524" s="50" t="s">
        <v>10020</v>
      </c>
      <c r="G524" s="50" t="e">
        <f>VLOOKUP(B524,aa!B:F,5,0)</f>
        <v>#N/A</v>
      </c>
      <c r="H524" s="50" t="e">
        <f>VLOOKUP(B524,aa!B:J,9,0)</f>
        <v>#N/A</v>
      </c>
      <c r="I524" s="50" t="e">
        <f>VLOOKUP(B524,aa!B:L,11,0)</f>
        <v>#N/A</v>
      </c>
      <c r="J524" s="50" t="e">
        <f>VLOOKUP(B524,aa!B:O,14,0)</f>
        <v>#N/A</v>
      </c>
      <c r="K524" s="50" t="e">
        <f>VLOOKUP(B524,aa!B:R,17,0)</f>
        <v>#N/A</v>
      </c>
      <c r="L524" s="50" t="s">
        <v>2713</v>
      </c>
      <c r="M524" s="50">
        <v>169503</v>
      </c>
      <c r="N524" s="50">
        <v>192095</v>
      </c>
      <c r="O524" s="50">
        <v>43992</v>
      </c>
      <c r="P524" s="50">
        <v>65</v>
      </c>
      <c r="Q524" s="50" t="s">
        <v>19070</v>
      </c>
      <c r="R524" s="50">
        <v>0</v>
      </c>
      <c r="S524" s="50">
        <v>0</v>
      </c>
      <c r="U524" s="50">
        <v>125511</v>
      </c>
      <c r="V524" s="50">
        <v>75</v>
      </c>
      <c r="W524" s="50" t="s">
        <v>19071</v>
      </c>
      <c r="X524" s="50" t="s">
        <v>102</v>
      </c>
      <c r="Y524" s="50" t="s">
        <v>679</v>
      </c>
      <c r="Z524" s="50" t="s">
        <v>104</v>
      </c>
      <c r="AA524" s="50" t="s">
        <v>11886</v>
      </c>
      <c r="AB524" s="50" t="s">
        <v>19072</v>
      </c>
      <c r="AC524" s="50" t="s">
        <v>19073</v>
      </c>
      <c r="AD524" s="50" t="s">
        <v>19074</v>
      </c>
      <c r="AE524" s="50" t="s">
        <v>19073</v>
      </c>
      <c r="AF524" s="50" t="s">
        <v>109</v>
      </c>
      <c r="AG524" s="50" t="s">
        <v>102</v>
      </c>
      <c r="AH524" s="50" t="s">
        <v>109</v>
      </c>
      <c r="AI524" s="50" t="s">
        <v>102</v>
      </c>
      <c r="AJ524" s="50" t="s">
        <v>102</v>
      </c>
      <c r="AK524" s="50" t="s">
        <v>13672</v>
      </c>
      <c r="AL524" s="50" t="s">
        <v>13672</v>
      </c>
      <c r="AM524" s="50" t="s">
        <v>19075</v>
      </c>
      <c r="AN524" s="50" t="s">
        <v>19076</v>
      </c>
      <c r="AO524" s="50" t="s">
        <v>19077</v>
      </c>
      <c r="AP524" s="50" t="s">
        <v>19078</v>
      </c>
      <c r="AQ524" s="50" t="s">
        <v>19079</v>
      </c>
      <c r="AU524" s="50" t="s">
        <v>169</v>
      </c>
      <c r="AV524" s="50" t="s">
        <v>117</v>
      </c>
      <c r="AW524" s="50" t="s">
        <v>250</v>
      </c>
      <c r="AX524" s="50" t="s">
        <v>102</v>
      </c>
      <c r="AY524" s="50" t="s">
        <v>119</v>
      </c>
      <c r="BB524" s="50" t="s">
        <v>250</v>
      </c>
      <c r="BC524" s="50" t="s">
        <v>209</v>
      </c>
      <c r="BD524" s="50" t="s">
        <v>1729</v>
      </c>
      <c r="BE524" s="50" t="s">
        <v>730</v>
      </c>
      <c r="BF524" s="50" t="s">
        <v>622</v>
      </c>
      <c r="BG524" s="50" t="s">
        <v>730</v>
      </c>
      <c r="BH524" s="50" t="s">
        <v>124</v>
      </c>
      <c r="BI524" s="50" t="s">
        <v>19080</v>
      </c>
      <c r="BJ524" s="50" t="s">
        <v>19081</v>
      </c>
      <c r="BK524" s="50" t="s">
        <v>127</v>
      </c>
      <c r="BL524" s="50" t="s">
        <v>19082</v>
      </c>
      <c r="BM524" s="50" t="s">
        <v>10032</v>
      </c>
      <c r="BN524" s="50" t="s">
        <v>19083</v>
      </c>
      <c r="BO524" s="50" t="s">
        <v>19069</v>
      </c>
      <c r="BP524" s="50" t="s">
        <v>3910</v>
      </c>
      <c r="BQ524" s="50" t="s">
        <v>350</v>
      </c>
      <c r="BR524" s="50" t="s">
        <v>3911</v>
      </c>
      <c r="BS524" s="50" t="s">
        <v>3912</v>
      </c>
      <c r="BT524" s="50" t="s">
        <v>2569</v>
      </c>
      <c r="BV524" s="50" t="s">
        <v>19084</v>
      </c>
      <c r="BW524" s="50" t="s">
        <v>10035</v>
      </c>
      <c r="BX524" s="50" t="s">
        <v>354</v>
      </c>
      <c r="BY524" s="50" t="s">
        <v>19085</v>
      </c>
      <c r="BZ524" s="50" t="s">
        <v>19086</v>
      </c>
      <c r="CA524" s="50" t="s">
        <v>10038</v>
      </c>
      <c r="CB524" s="50" t="s">
        <v>19087</v>
      </c>
      <c r="CC524" s="50" t="s">
        <v>19088</v>
      </c>
      <c r="CD524" s="50" t="s">
        <v>19086</v>
      </c>
      <c r="CE524" s="50" t="s">
        <v>19087</v>
      </c>
      <c r="CF524" s="50" t="s">
        <v>19088</v>
      </c>
      <c r="CG524" s="50" t="s">
        <v>19086</v>
      </c>
      <c r="CH524" s="50" t="s">
        <v>1594</v>
      </c>
      <c r="CI524" s="50" t="s">
        <v>19089</v>
      </c>
      <c r="CK524" s="50" t="s">
        <v>10421</v>
      </c>
      <c r="CL524" s="50" t="s">
        <v>10039</v>
      </c>
      <c r="CM524" s="50" t="s">
        <v>1729</v>
      </c>
      <c r="CN524" s="50" t="s">
        <v>730</v>
      </c>
      <c r="CO524" s="50" t="s">
        <v>10421</v>
      </c>
      <c r="CQ524" s="50" t="s">
        <v>10040</v>
      </c>
      <c r="CR524" s="50" t="s">
        <v>10039</v>
      </c>
      <c r="CS524" s="50" t="s">
        <v>26048</v>
      </c>
    </row>
    <row r="525" spans="1:97" hidden="1">
      <c r="A525" s="50" t="s">
        <v>93</v>
      </c>
      <c r="B525" s="50">
        <v>5017809</v>
      </c>
      <c r="C525" s="50" t="e">
        <f>VLOOKUP(B525,'Drop schools 2026'!B:C,2,0)</f>
        <v>#N/A</v>
      </c>
      <c r="D525" s="50" t="s">
        <v>122</v>
      </c>
      <c r="E525" s="50" t="s">
        <v>12507</v>
      </c>
      <c r="F525" s="50" t="s">
        <v>10213</v>
      </c>
      <c r="G525" s="50" t="e">
        <f>VLOOKUP(B525,aa!B:F,5,0)</f>
        <v>#N/A</v>
      </c>
      <c r="H525" s="50" t="e">
        <f>VLOOKUP(B525,aa!B:J,9,0)</f>
        <v>#N/A</v>
      </c>
      <c r="I525" s="50" t="e">
        <f>VLOOKUP(B525,aa!B:L,11,0)</f>
        <v>#N/A</v>
      </c>
      <c r="J525" s="50" t="e">
        <f>VLOOKUP(B525,aa!B:O,14,0)</f>
        <v>#N/A</v>
      </c>
      <c r="K525" s="50" t="e">
        <f>VLOOKUP(B525,aa!B:R,17,0)</f>
        <v>#N/A</v>
      </c>
      <c r="L525" s="50" t="s">
        <v>97</v>
      </c>
      <c r="M525" s="50">
        <v>169313</v>
      </c>
      <c r="N525" s="50">
        <v>169313</v>
      </c>
      <c r="O525" s="50">
        <v>169313</v>
      </c>
      <c r="P525" s="50">
        <v>141</v>
      </c>
      <c r="Q525" s="50" t="s">
        <v>19156</v>
      </c>
      <c r="R525" s="50">
        <v>0</v>
      </c>
      <c r="S525" s="50">
        <v>0</v>
      </c>
      <c r="U525" s="50">
        <v>0</v>
      </c>
      <c r="V525" s="50">
        <v>0</v>
      </c>
      <c r="X525" s="50" t="s">
        <v>102</v>
      </c>
      <c r="Y525" s="50" t="s">
        <v>103</v>
      </c>
      <c r="Z525" s="50" t="s">
        <v>155</v>
      </c>
      <c r="AB525" s="50" t="s">
        <v>13033</v>
      </c>
      <c r="AC525" s="50" t="s">
        <v>19157</v>
      </c>
      <c r="AD525" s="50" t="s">
        <v>14057</v>
      </c>
      <c r="AE525" s="50" t="s">
        <v>19157</v>
      </c>
      <c r="AF525" s="50" t="s">
        <v>12041</v>
      </c>
      <c r="AG525" s="50" t="s">
        <v>19157</v>
      </c>
      <c r="AH525" s="50" t="s">
        <v>6895</v>
      </c>
      <c r="AI525" s="50" t="s">
        <v>19157</v>
      </c>
      <c r="AJ525" s="50" t="s">
        <v>13288</v>
      </c>
      <c r="AK525" s="50" t="s">
        <v>5351</v>
      </c>
      <c r="AL525" s="50" t="s">
        <v>13867</v>
      </c>
      <c r="AM525" s="50" t="s">
        <v>19158</v>
      </c>
      <c r="AN525" s="50" t="s">
        <v>19159</v>
      </c>
      <c r="AO525" s="50" t="s">
        <v>19157</v>
      </c>
      <c r="AP525" s="50" t="s">
        <v>19160</v>
      </c>
      <c r="AQ525" s="50" t="s">
        <v>19160</v>
      </c>
      <c r="AV525" s="50" t="s">
        <v>318</v>
      </c>
      <c r="AW525" s="50" t="s">
        <v>118</v>
      </c>
      <c r="AX525" s="50" t="s">
        <v>102</v>
      </c>
      <c r="AY525" s="50" t="s">
        <v>119</v>
      </c>
      <c r="BC525" s="50" t="s">
        <v>1964</v>
      </c>
      <c r="BD525" s="50" t="s">
        <v>10227</v>
      </c>
      <c r="BE525" s="50" t="s">
        <v>1244</v>
      </c>
      <c r="BF525" s="50" t="s">
        <v>122</v>
      </c>
      <c r="BG525" s="50" t="s">
        <v>1244</v>
      </c>
      <c r="BH525" s="50" t="s">
        <v>124</v>
      </c>
      <c r="BI525" s="50" t="s">
        <v>11959</v>
      </c>
      <c r="BJ525" s="50" t="s">
        <v>11960</v>
      </c>
      <c r="BK525" s="50" t="s">
        <v>127</v>
      </c>
      <c r="BL525" s="50" t="s">
        <v>19161</v>
      </c>
      <c r="BM525" s="50" t="s">
        <v>10229</v>
      </c>
      <c r="BN525" s="50" t="s">
        <v>19162</v>
      </c>
      <c r="BO525" s="50" t="s">
        <v>13075</v>
      </c>
      <c r="BP525" s="50" t="s">
        <v>19163</v>
      </c>
      <c r="BQ525" s="50" t="s">
        <v>350</v>
      </c>
      <c r="BR525" s="50" t="s">
        <v>19164</v>
      </c>
      <c r="BS525" s="50" t="s">
        <v>19165</v>
      </c>
      <c r="BT525" s="50" t="s">
        <v>10231</v>
      </c>
      <c r="BU525" s="50" t="s">
        <v>1075</v>
      </c>
      <c r="BV525" s="50" t="s">
        <v>19166</v>
      </c>
      <c r="BW525" s="50" t="s">
        <v>10233</v>
      </c>
      <c r="BX525" s="50" t="s">
        <v>138</v>
      </c>
      <c r="BY525" s="50" t="s">
        <v>225</v>
      </c>
      <c r="BZ525" s="50" t="s">
        <v>10235</v>
      </c>
      <c r="CA525" s="50" t="s">
        <v>10234</v>
      </c>
      <c r="CB525" s="50" t="s">
        <v>10233</v>
      </c>
      <c r="CC525" s="50" t="s">
        <v>10234</v>
      </c>
      <c r="CD525" s="50" t="s">
        <v>10235</v>
      </c>
      <c r="CE525" s="50" t="s">
        <v>10233</v>
      </c>
      <c r="CF525" s="50" t="s">
        <v>10234</v>
      </c>
      <c r="CG525" s="50" t="s">
        <v>10235</v>
      </c>
      <c r="CH525" s="50" t="s">
        <v>3499</v>
      </c>
      <c r="CI525" s="50" t="s">
        <v>19167</v>
      </c>
      <c r="CK525" s="50" t="s">
        <v>10237</v>
      </c>
      <c r="CL525" s="50" t="s">
        <v>19168</v>
      </c>
      <c r="CM525" s="50" t="s">
        <v>10227</v>
      </c>
      <c r="CN525" s="50" t="s">
        <v>1244</v>
      </c>
      <c r="CO525" s="50" t="s">
        <v>10237</v>
      </c>
      <c r="CP525" s="50" t="s">
        <v>10239</v>
      </c>
      <c r="CQ525" s="50" t="s">
        <v>10236</v>
      </c>
      <c r="CR525" s="50" t="s">
        <v>10238</v>
      </c>
    </row>
    <row r="526" spans="1:97" hidden="1">
      <c r="A526" s="50" t="s">
        <v>93</v>
      </c>
      <c r="B526" s="50">
        <v>3582467</v>
      </c>
      <c r="C526" s="50" t="str">
        <f>VLOOKUP(B526,RISK!B:C,2,0)</f>
        <v>Risk</v>
      </c>
      <c r="D526" s="50" t="s">
        <v>622</v>
      </c>
      <c r="E526" s="50" t="s">
        <v>1279</v>
      </c>
      <c r="F526" s="50" t="s">
        <v>6763</v>
      </c>
      <c r="G526" s="50" t="e">
        <f>VLOOKUP(B526,aa!B:F,5,0)</f>
        <v>#N/A</v>
      </c>
      <c r="H526" s="50" t="e">
        <f>VLOOKUP(B526,aa!B:J,9,0)</f>
        <v>#N/A</v>
      </c>
      <c r="I526" s="50" t="e">
        <f>VLOOKUP(B526,aa!B:L,11,0)</f>
        <v>#N/A</v>
      </c>
      <c r="J526" s="50" t="e">
        <f>VLOOKUP(B526,aa!B:O,14,0)</f>
        <v>#N/A</v>
      </c>
      <c r="K526" s="50" t="e">
        <f>VLOOKUP(B526,aa!B:R,17,0)</f>
        <v>#N/A</v>
      </c>
      <c r="L526" s="50" t="s">
        <v>97</v>
      </c>
      <c r="M526" s="50">
        <v>168000</v>
      </c>
      <c r="N526" s="50">
        <v>168000</v>
      </c>
      <c r="O526" s="50">
        <v>168000</v>
      </c>
      <c r="P526" s="50">
        <v>112</v>
      </c>
      <c r="Q526" s="50" t="s">
        <v>6441</v>
      </c>
      <c r="R526" s="50">
        <v>0</v>
      </c>
      <c r="S526" s="50">
        <v>0</v>
      </c>
      <c r="U526" s="50">
        <v>0</v>
      </c>
      <c r="V526" s="50">
        <v>0</v>
      </c>
      <c r="X526" s="50" t="s">
        <v>102</v>
      </c>
      <c r="Y526" s="50" t="s">
        <v>275</v>
      </c>
      <c r="AA526" s="50" t="s">
        <v>1408</v>
      </c>
      <c r="AB526" s="50" t="s">
        <v>109</v>
      </c>
      <c r="AC526" s="50" t="s">
        <v>102</v>
      </c>
      <c r="AD526" s="50" t="s">
        <v>109</v>
      </c>
      <c r="AE526" s="50" t="s">
        <v>102</v>
      </c>
      <c r="AF526" s="50" t="s">
        <v>109</v>
      </c>
      <c r="AG526" s="50" t="s">
        <v>102</v>
      </c>
      <c r="AH526" s="50" t="s">
        <v>109</v>
      </c>
      <c r="AI526" s="50" t="s">
        <v>102</v>
      </c>
      <c r="AJ526" s="50" t="s">
        <v>16511</v>
      </c>
      <c r="AK526" s="50" t="s">
        <v>14193</v>
      </c>
      <c r="AL526" s="50" t="s">
        <v>14193</v>
      </c>
      <c r="AM526" s="50" t="s">
        <v>16512</v>
      </c>
      <c r="AN526" s="50" t="s">
        <v>16513</v>
      </c>
      <c r="AO526" s="50" t="s">
        <v>102</v>
      </c>
      <c r="AP526" s="50" t="s">
        <v>102</v>
      </c>
      <c r="AV526" s="50" t="s">
        <v>318</v>
      </c>
      <c r="AW526" s="50" t="s">
        <v>118</v>
      </c>
      <c r="AX526" s="50" t="s">
        <v>102</v>
      </c>
      <c r="AY526" s="50" t="s">
        <v>119</v>
      </c>
      <c r="BC526" s="50" t="s">
        <v>1664</v>
      </c>
      <c r="BD526" s="50" t="s">
        <v>623</v>
      </c>
      <c r="BE526" s="50" t="s">
        <v>621</v>
      </c>
      <c r="BF526" s="50" t="s">
        <v>622</v>
      </c>
      <c r="BG526" s="50" t="s">
        <v>623</v>
      </c>
      <c r="BH526" s="50" t="s">
        <v>124</v>
      </c>
      <c r="BI526" s="50" t="s">
        <v>12023</v>
      </c>
      <c r="BJ526" s="50" t="s">
        <v>11889</v>
      </c>
      <c r="BK526" s="50" t="s">
        <v>127</v>
      </c>
      <c r="BL526" s="50" t="s">
        <v>16514</v>
      </c>
      <c r="BM526" s="50" t="s">
        <v>6770</v>
      </c>
      <c r="BN526" s="50" t="s">
        <v>16515</v>
      </c>
      <c r="BO526" s="50" t="s">
        <v>1408</v>
      </c>
      <c r="BP526" s="50" t="s">
        <v>1670</v>
      </c>
      <c r="BQ526" s="50" t="s">
        <v>505</v>
      </c>
      <c r="BR526" s="50" t="s">
        <v>1671</v>
      </c>
      <c r="BS526" s="50" t="s">
        <v>1672</v>
      </c>
      <c r="BT526" s="50" t="s">
        <v>507</v>
      </c>
      <c r="BU526" s="50" t="s">
        <v>1279</v>
      </c>
      <c r="BV526" s="50" t="s">
        <v>16516</v>
      </c>
      <c r="BW526" s="50" t="s">
        <v>16517</v>
      </c>
      <c r="BX526" s="50" t="s">
        <v>569</v>
      </c>
      <c r="BY526" s="50" t="s">
        <v>6774</v>
      </c>
      <c r="BZ526" s="50" t="s">
        <v>6775</v>
      </c>
      <c r="CA526" s="50" t="s">
        <v>6774</v>
      </c>
      <c r="CB526" s="50" t="s">
        <v>16517</v>
      </c>
      <c r="CC526" s="50" t="s">
        <v>6774</v>
      </c>
      <c r="CD526" s="50" t="s">
        <v>6775</v>
      </c>
      <c r="CE526" s="50" t="s">
        <v>16517</v>
      </c>
      <c r="CF526" s="50" t="s">
        <v>6774</v>
      </c>
      <c r="CG526" s="50" t="s">
        <v>6775</v>
      </c>
      <c r="CH526" s="50" t="s">
        <v>6776</v>
      </c>
      <c r="CI526" s="50" t="s">
        <v>16518</v>
      </c>
      <c r="CK526" s="50" t="s">
        <v>4679</v>
      </c>
      <c r="CL526" s="50" t="s">
        <v>6777</v>
      </c>
      <c r="CM526" s="50" t="s">
        <v>623</v>
      </c>
      <c r="CN526" s="50" t="s">
        <v>621</v>
      </c>
      <c r="CO526" s="50" t="s">
        <v>4679</v>
      </c>
      <c r="CQ526" s="50" t="s">
        <v>6777</v>
      </c>
      <c r="CR526" s="50" t="s">
        <v>6777</v>
      </c>
    </row>
    <row r="527" spans="1:97" hidden="1">
      <c r="A527" s="50" t="s">
        <v>337</v>
      </c>
      <c r="B527" s="50">
        <v>3784799</v>
      </c>
      <c r="C527" s="50" t="e">
        <f>VLOOKUP(B527,'Drop schools 2026'!B:C,2,0)</f>
        <v>#N/A</v>
      </c>
      <c r="D527" s="50" t="s">
        <v>212</v>
      </c>
      <c r="E527" s="50" t="s">
        <v>12423</v>
      </c>
      <c r="F527" s="50" t="s">
        <v>16958</v>
      </c>
      <c r="G527" s="50" t="e">
        <f>VLOOKUP(B527,aa!B:F,5,0)</f>
        <v>#N/A</v>
      </c>
      <c r="H527" s="50" t="e">
        <f>VLOOKUP(B527,aa!B:J,9,0)</f>
        <v>#N/A</v>
      </c>
      <c r="I527" s="50" t="e">
        <f>VLOOKUP(B527,aa!B:L,11,0)</f>
        <v>#N/A</v>
      </c>
      <c r="J527" s="50" t="e">
        <f>VLOOKUP(B527,aa!B:O,14,0)</f>
        <v>#N/A</v>
      </c>
      <c r="K527" s="50" t="e">
        <f>VLOOKUP(B527,aa!B:R,17,0)</f>
        <v>#N/A</v>
      </c>
      <c r="L527" s="50" t="s">
        <v>97</v>
      </c>
      <c r="M527" s="50">
        <v>166500</v>
      </c>
      <c r="N527" s="50">
        <v>166500</v>
      </c>
      <c r="O527" s="50">
        <v>166500</v>
      </c>
      <c r="P527" s="50">
        <v>222</v>
      </c>
      <c r="Q527" s="50" t="s">
        <v>101</v>
      </c>
      <c r="R527" s="50">
        <v>0</v>
      </c>
      <c r="S527" s="50">
        <v>0</v>
      </c>
      <c r="U527" s="50">
        <v>0</v>
      </c>
      <c r="V527" s="50">
        <v>0</v>
      </c>
      <c r="X527" s="50" t="s">
        <v>102</v>
      </c>
      <c r="Y527" s="50" t="s">
        <v>103</v>
      </c>
      <c r="Z527" s="50" t="s">
        <v>398</v>
      </c>
      <c r="AB527" s="50" t="s">
        <v>13033</v>
      </c>
      <c r="AC527" s="50" t="s">
        <v>16959</v>
      </c>
      <c r="AD527" s="50" t="s">
        <v>12467</v>
      </c>
      <c r="AE527" s="50" t="s">
        <v>16960</v>
      </c>
      <c r="AF527" s="50" t="s">
        <v>13034</v>
      </c>
      <c r="AG527" s="50" t="s">
        <v>16960</v>
      </c>
      <c r="AH527" s="50" t="s">
        <v>109</v>
      </c>
      <c r="AI527" s="50" t="s">
        <v>102</v>
      </c>
      <c r="AJ527" s="50" t="s">
        <v>16961</v>
      </c>
      <c r="AK527" s="50" t="s">
        <v>13174</v>
      </c>
      <c r="AL527" s="50" t="s">
        <v>13034</v>
      </c>
      <c r="AM527" s="50" t="s">
        <v>16962</v>
      </c>
      <c r="AN527" s="50" t="s">
        <v>16963</v>
      </c>
      <c r="AO527" s="50" t="s">
        <v>16964</v>
      </c>
      <c r="AP527" s="50" t="s">
        <v>116</v>
      </c>
      <c r="AQ527" s="50" t="s">
        <v>116</v>
      </c>
      <c r="AV527" s="50" t="s">
        <v>318</v>
      </c>
      <c r="AW527" s="50" t="s">
        <v>118</v>
      </c>
      <c r="AX527" s="50" t="s">
        <v>102</v>
      </c>
      <c r="AY527" s="50" t="s">
        <v>119</v>
      </c>
      <c r="BC527" s="50" t="s">
        <v>120</v>
      </c>
      <c r="BD527" s="50" t="s">
        <v>3830</v>
      </c>
      <c r="BE527" s="50" t="s">
        <v>410</v>
      </c>
      <c r="BF527" s="50" t="s">
        <v>212</v>
      </c>
      <c r="BG527" s="50" t="s">
        <v>410</v>
      </c>
      <c r="BH527" s="50" t="s">
        <v>124</v>
      </c>
      <c r="BI527" s="50" t="s">
        <v>12023</v>
      </c>
      <c r="BJ527" s="50" t="s">
        <v>11889</v>
      </c>
      <c r="BK527" s="50" t="s">
        <v>127</v>
      </c>
      <c r="BL527" s="50" t="s">
        <v>16965</v>
      </c>
      <c r="BM527" s="50" t="s">
        <v>16966</v>
      </c>
      <c r="BN527" s="50" t="s">
        <v>16967</v>
      </c>
      <c r="BO527" s="50" t="s">
        <v>1165</v>
      </c>
      <c r="BP527" s="50" t="s">
        <v>4053</v>
      </c>
      <c r="BQ527" s="50" t="s">
        <v>350</v>
      </c>
      <c r="BR527" s="50" t="s">
        <v>4054</v>
      </c>
      <c r="BS527" s="50" t="s">
        <v>4055</v>
      </c>
      <c r="BT527" s="50" t="s">
        <v>4056</v>
      </c>
      <c r="BV527" s="50" t="s">
        <v>16968</v>
      </c>
      <c r="BW527" s="50" t="s">
        <v>16969</v>
      </c>
      <c r="BX527" s="50" t="s">
        <v>138</v>
      </c>
      <c r="BY527" s="50" t="s">
        <v>16970</v>
      </c>
      <c r="BZ527" s="50" t="s">
        <v>16971</v>
      </c>
      <c r="CA527" s="50" t="s">
        <v>16972</v>
      </c>
      <c r="CB527" s="50" t="s">
        <v>16973</v>
      </c>
      <c r="CC527" s="50" t="s">
        <v>16970</v>
      </c>
      <c r="CD527" s="50" t="s">
        <v>16971</v>
      </c>
      <c r="CE527" s="50" t="s">
        <v>16974</v>
      </c>
      <c r="CF527" s="50" t="s">
        <v>16975</v>
      </c>
      <c r="CG527" s="50" t="s">
        <v>16976</v>
      </c>
      <c r="CH527" s="50" t="s">
        <v>573</v>
      </c>
      <c r="CI527" s="50" t="s">
        <v>16977</v>
      </c>
      <c r="CK527" s="50" t="s">
        <v>16978</v>
      </c>
      <c r="CL527" s="50" t="s">
        <v>16979</v>
      </c>
      <c r="CM527" s="50" t="s">
        <v>3830</v>
      </c>
      <c r="CN527" s="50" t="s">
        <v>410</v>
      </c>
      <c r="CO527" s="50" t="s">
        <v>16978</v>
      </c>
      <c r="CP527" s="50" t="s">
        <v>16980</v>
      </c>
      <c r="CQ527" s="50" t="s">
        <v>16977</v>
      </c>
      <c r="CR527" s="50" t="s">
        <v>16981</v>
      </c>
      <c r="CS527" s="50" t="s">
        <v>26047</v>
      </c>
    </row>
    <row r="528" spans="1:97" hidden="1">
      <c r="A528" s="50" t="s">
        <v>337</v>
      </c>
      <c r="B528" s="50">
        <v>96888</v>
      </c>
      <c r="C528" s="50" t="str">
        <f>VLOOKUP(B528,'Drop schools 2026'!B:C,2,0)</f>
        <v>Drop</v>
      </c>
      <c r="D528" s="50" t="s">
        <v>622</v>
      </c>
      <c r="E528" s="50" t="s">
        <v>1279</v>
      </c>
      <c r="F528" s="50" t="s">
        <v>21612</v>
      </c>
      <c r="G528" s="50" t="e">
        <f>VLOOKUP(B528,aa!B:F,5,0)</f>
        <v>#N/A</v>
      </c>
      <c r="H528" s="50" t="e">
        <f>VLOOKUP(B528,aa!B:J,9,0)</f>
        <v>#N/A</v>
      </c>
      <c r="I528" s="50" t="e">
        <f>VLOOKUP(B528,aa!B:L,11,0)</f>
        <v>#N/A</v>
      </c>
      <c r="J528" s="50" t="e">
        <f>VLOOKUP(B528,aa!B:O,14,0)</f>
        <v>#N/A</v>
      </c>
      <c r="K528" s="50" t="e">
        <f>VLOOKUP(B528,aa!B:R,17,0)</f>
        <v>#N/A</v>
      </c>
      <c r="L528" s="50" t="s">
        <v>152</v>
      </c>
      <c r="M528" s="50">
        <v>162064</v>
      </c>
      <c r="N528" s="50">
        <v>162064</v>
      </c>
      <c r="O528" s="50">
        <v>0</v>
      </c>
      <c r="P528" s="50">
        <v>0</v>
      </c>
      <c r="R528" s="50">
        <v>162064</v>
      </c>
      <c r="S528" s="50">
        <v>150</v>
      </c>
      <c r="T528" s="50" t="s">
        <v>1651</v>
      </c>
      <c r="U528" s="50">
        <v>0</v>
      </c>
      <c r="V528" s="50">
        <v>0</v>
      </c>
      <c r="X528" s="50" t="s">
        <v>102</v>
      </c>
      <c r="Y528" s="50" t="s">
        <v>275</v>
      </c>
      <c r="AA528" s="50" t="s">
        <v>411</v>
      </c>
      <c r="AB528" s="50" t="s">
        <v>109</v>
      </c>
      <c r="AC528" s="50" t="s">
        <v>102</v>
      </c>
      <c r="AD528" s="50" t="s">
        <v>109</v>
      </c>
      <c r="AE528" s="50" t="s">
        <v>102</v>
      </c>
      <c r="AF528" s="50" t="s">
        <v>109</v>
      </c>
      <c r="AG528" s="50" t="s">
        <v>102</v>
      </c>
      <c r="AH528" s="50" t="s">
        <v>109</v>
      </c>
      <c r="AI528" s="50" t="s">
        <v>102</v>
      </c>
      <c r="AJ528" s="50" t="s">
        <v>102</v>
      </c>
      <c r="AK528" s="50" t="s">
        <v>8783</v>
      </c>
      <c r="AL528" s="50" t="s">
        <v>8783</v>
      </c>
      <c r="AM528" s="50" t="s">
        <v>21613</v>
      </c>
      <c r="AN528" s="50" t="s">
        <v>21614</v>
      </c>
      <c r="AO528" s="50" t="s">
        <v>15151</v>
      </c>
      <c r="AP528" s="50" t="s">
        <v>21615</v>
      </c>
      <c r="AQ528" s="50" t="s">
        <v>21615</v>
      </c>
      <c r="AV528" s="50" t="s">
        <v>102</v>
      </c>
      <c r="AX528" s="50" t="s">
        <v>104</v>
      </c>
      <c r="AY528" s="50" t="s">
        <v>119</v>
      </c>
      <c r="AZ528" s="50" t="s">
        <v>170</v>
      </c>
      <c r="BA528" s="50" t="s">
        <v>118</v>
      </c>
      <c r="BC528" s="50" t="s">
        <v>171</v>
      </c>
      <c r="BD528" s="50" t="s">
        <v>623</v>
      </c>
      <c r="BE528" s="50" t="s">
        <v>621</v>
      </c>
      <c r="BF528" s="50" t="s">
        <v>622</v>
      </c>
      <c r="BG528" s="50" t="s">
        <v>623</v>
      </c>
      <c r="BH528" s="50" t="s">
        <v>124</v>
      </c>
      <c r="BI528" s="50" t="s">
        <v>12128</v>
      </c>
      <c r="BJ528" s="50" t="s">
        <v>19143</v>
      </c>
      <c r="BK528" s="50" t="s">
        <v>127</v>
      </c>
      <c r="BL528" s="50" t="s">
        <v>21616</v>
      </c>
      <c r="BM528" s="50" t="s">
        <v>21617</v>
      </c>
      <c r="BN528" s="50" t="s">
        <v>21618</v>
      </c>
      <c r="BO528" s="50" t="s">
        <v>1941</v>
      </c>
      <c r="BP528" s="50" t="s">
        <v>2284</v>
      </c>
      <c r="BQ528" s="50" t="s">
        <v>132</v>
      </c>
      <c r="BR528" s="50" t="s">
        <v>2285</v>
      </c>
      <c r="BS528" s="50" t="s">
        <v>2286</v>
      </c>
      <c r="BT528" s="50" t="s">
        <v>1342</v>
      </c>
      <c r="BV528" s="50" t="s">
        <v>21619</v>
      </c>
      <c r="BW528" s="50" t="s">
        <v>21620</v>
      </c>
      <c r="BX528" s="50" t="s">
        <v>569</v>
      </c>
      <c r="BY528" s="50" t="s">
        <v>21621</v>
      </c>
      <c r="BZ528" s="50" t="s">
        <v>21622</v>
      </c>
      <c r="CA528" s="50" t="s">
        <v>21623</v>
      </c>
      <c r="CB528" s="50" t="s">
        <v>21624</v>
      </c>
      <c r="CC528" s="50" t="s">
        <v>21621</v>
      </c>
      <c r="CD528" s="50" t="s">
        <v>21622</v>
      </c>
      <c r="CE528" s="50" t="s">
        <v>21625</v>
      </c>
      <c r="CF528" s="50" t="s">
        <v>21621</v>
      </c>
      <c r="CG528" s="50" t="s">
        <v>21622</v>
      </c>
      <c r="CH528" s="50" t="s">
        <v>3474</v>
      </c>
      <c r="CI528" s="50" t="s">
        <v>21626</v>
      </c>
      <c r="CK528" s="50" t="s">
        <v>3177</v>
      </c>
      <c r="CL528" s="50" t="s">
        <v>21626</v>
      </c>
      <c r="CM528" s="50" t="s">
        <v>623</v>
      </c>
      <c r="CN528" s="50" t="s">
        <v>621</v>
      </c>
      <c r="CO528" s="50" t="s">
        <v>3177</v>
      </c>
      <c r="CQ528" s="50" t="s">
        <v>21627</v>
      </c>
      <c r="CR528" s="50" t="s">
        <v>21627</v>
      </c>
      <c r="CS528" s="50" t="s">
        <v>26042</v>
      </c>
    </row>
    <row r="529" spans="1:97" hidden="1">
      <c r="A529" s="50" t="s">
        <v>337</v>
      </c>
      <c r="B529" s="50">
        <v>5032729</v>
      </c>
      <c r="C529" s="50" t="e">
        <f>VLOOKUP(B529,'Drop schools 2026'!B:C,2,0)</f>
        <v>#N/A</v>
      </c>
      <c r="D529" s="50" t="s">
        <v>212</v>
      </c>
      <c r="E529" s="50" t="s">
        <v>418</v>
      </c>
      <c r="F529" s="50" t="s">
        <v>20199</v>
      </c>
      <c r="G529" s="50" t="str">
        <f>VLOOKUP(B529,aa!B:F,5,0)</f>
        <v>Ei CARES</v>
      </c>
      <c r="H529" s="50">
        <f>VLOOKUP(B529,aa!B:J,9,0)</f>
        <v>147618</v>
      </c>
      <c r="I529" s="50">
        <f>VLOOKUP(B529,aa!B:L,11,0)</f>
        <v>0</v>
      </c>
      <c r="J529" s="50">
        <f>VLOOKUP(B529,aa!B:O,14,0)</f>
        <v>147618</v>
      </c>
      <c r="K529" s="50">
        <f>VLOOKUP(B529,aa!B:R,17,0)</f>
        <v>0</v>
      </c>
      <c r="L529" s="50" t="s">
        <v>152</v>
      </c>
      <c r="M529" s="50">
        <v>161620</v>
      </c>
      <c r="N529" s="50">
        <v>161620</v>
      </c>
      <c r="O529" s="50">
        <v>0</v>
      </c>
      <c r="P529" s="50">
        <v>0</v>
      </c>
      <c r="R529" s="50">
        <v>161620</v>
      </c>
      <c r="S529" s="50">
        <v>404</v>
      </c>
      <c r="T529" s="50" t="s">
        <v>6051</v>
      </c>
      <c r="U529" s="50">
        <v>0</v>
      </c>
      <c r="V529" s="50">
        <v>0</v>
      </c>
      <c r="X529" s="50" t="s">
        <v>102</v>
      </c>
      <c r="Y529" s="50" t="s">
        <v>103</v>
      </c>
      <c r="Z529" s="50" t="s">
        <v>104</v>
      </c>
      <c r="AB529" s="50" t="s">
        <v>1305</v>
      </c>
      <c r="AC529" s="50" t="s">
        <v>20200</v>
      </c>
      <c r="AD529" s="50" t="s">
        <v>1408</v>
      </c>
      <c r="AE529" s="50" t="s">
        <v>20200</v>
      </c>
      <c r="AF529" s="50" t="s">
        <v>109</v>
      </c>
      <c r="AG529" s="50" t="s">
        <v>102</v>
      </c>
      <c r="AH529" s="50" t="s">
        <v>109</v>
      </c>
      <c r="AI529" s="50" t="s">
        <v>102</v>
      </c>
      <c r="AJ529" s="50" t="s">
        <v>102</v>
      </c>
      <c r="AK529" s="50" t="s">
        <v>4813</v>
      </c>
      <c r="AL529" s="50" t="s">
        <v>4813</v>
      </c>
      <c r="AM529" s="50" t="s">
        <v>20201</v>
      </c>
      <c r="AN529" s="50" t="s">
        <v>20202</v>
      </c>
      <c r="AO529" s="50" t="s">
        <v>20203</v>
      </c>
      <c r="AP529" s="50" t="s">
        <v>13347</v>
      </c>
      <c r="AQ529" s="50" t="s">
        <v>13347</v>
      </c>
      <c r="AV529" s="50" t="s">
        <v>102</v>
      </c>
      <c r="AX529" s="50" t="s">
        <v>104</v>
      </c>
      <c r="AY529" s="50" t="s">
        <v>119</v>
      </c>
      <c r="AZ529" s="50" t="s">
        <v>170</v>
      </c>
      <c r="BA529" s="50" t="s">
        <v>118</v>
      </c>
      <c r="BC529" s="50" t="s">
        <v>120</v>
      </c>
      <c r="BD529" s="50" t="s">
        <v>409</v>
      </c>
      <c r="BE529" s="50" t="s">
        <v>410</v>
      </c>
      <c r="BF529" s="50" t="s">
        <v>212</v>
      </c>
      <c r="BG529" s="50" t="s">
        <v>410</v>
      </c>
      <c r="BH529" s="50" t="s">
        <v>124</v>
      </c>
      <c r="BI529" s="50" t="s">
        <v>12023</v>
      </c>
      <c r="BJ529" s="50" t="s">
        <v>11889</v>
      </c>
      <c r="BK529" s="50" t="s">
        <v>127</v>
      </c>
      <c r="BL529" s="50" t="s">
        <v>20204</v>
      </c>
      <c r="BM529" s="50" t="s">
        <v>20205</v>
      </c>
      <c r="BN529" s="50" t="s">
        <v>20206</v>
      </c>
      <c r="BO529" s="50" t="s">
        <v>4836</v>
      </c>
      <c r="BP529" s="50" t="s">
        <v>1699</v>
      </c>
      <c r="BQ529" s="50" t="s">
        <v>132</v>
      </c>
      <c r="BR529" s="50" t="s">
        <v>1700</v>
      </c>
      <c r="BS529" s="50" t="s">
        <v>1701</v>
      </c>
      <c r="BT529" s="50" t="s">
        <v>1702</v>
      </c>
      <c r="BV529" s="50" t="s">
        <v>20207</v>
      </c>
      <c r="BW529" s="50" t="s">
        <v>20208</v>
      </c>
      <c r="BX529" s="50" t="s">
        <v>138</v>
      </c>
      <c r="BY529" s="50" t="s">
        <v>20209</v>
      </c>
      <c r="BZ529" s="50" t="s">
        <v>20210</v>
      </c>
      <c r="CA529" s="50" t="s">
        <v>20209</v>
      </c>
      <c r="CB529" s="50" t="s">
        <v>20208</v>
      </c>
      <c r="CC529" s="50" t="s">
        <v>20209</v>
      </c>
      <c r="CD529" s="50" t="s">
        <v>20210</v>
      </c>
      <c r="CE529" s="50" t="s">
        <v>20211</v>
      </c>
      <c r="CF529" s="50" t="s">
        <v>20209</v>
      </c>
      <c r="CG529" s="50" t="s">
        <v>20212</v>
      </c>
      <c r="CH529" s="50" t="s">
        <v>6457</v>
      </c>
      <c r="CI529" s="50" t="s">
        <v>20213</v>
      </c>
      <c r="CK529" s="50" t="s">
        <v>20214</v>
      </c>
      <c r="CL529" s="50" t="s">
        <v>20213</v>
      </c>
      <c r="CM529" s="50" t="s">
        <v>409</v>
      </c>
      <c r="CN529" s="50" t="s">
        <v>410</v>
      </c>
      <c r="CO529" s="50" t="s">
        <v>20214</v>
      </c>
      <c r="CQ529" s="50" t="s">
        <v>20215</v>
      </c>
      <c r="CR529" s="50" t="s">
        <v>20215</v>
      </c>
    </row>
    <row r="530" spans="1:97" hidden="1">
      <c r="A530" s="50" t="s">
        <v>93</v>
      </c>
      <c r="B530" s="50">
        <v>5018122</v>
      </c>
      <c r="C530" s="50" t="e">
        <f>VLOOKUP(B530,'Drop schools 2026'!B:C,2,0)</f>
        <v>#N/A</v>
      </c>
      <c r="D530" s="50" t="s">
        <v>622</v>
      </c>
      <c r="E530" s="50" t="s">
        <v>3562</v>
      </c>
      <c r="F530" s="50" t="s">
        <v>10452</v>
      </c>
      <c r="G530" s="50" t="e">
        <f>VLOOKUP(B530,aa!B:F,5,0)</f>
        <v>#N/A</v>
      </c>
      <c r="H530" s="50" t="e">
        <f>VLOOKUP(B530,aa!B:J,9,0)</f>
        <v>#N/A</v>
      </c>
      <c r="I530" s="50" t="e">
        <f>VLOOKUP(B530,aa!B:L,11,0)</f>
        <v>#N/A</v>
      </c>
      <c r="J530" s="50" t="e">
        <f>VLOOKUP(B530,aa!B:O,14,0)</f>
        <v>#N/A</v>
      </c>
      <c r="K530" s="50" t="e">
        <f>VLOOKUP(B530,aa!B:R,17,0)</f>
        <v>#N/A</v>
      </c>
      <c r="L530" s="50" t="s">
        <v>97</v>
      </c>
      <c r="M530" s="50">
        <v>158850</v>
      </c>
      <c r="N530" s="50">
        <v>158850</v>
      </c>
      <c r="O530" s="50">
        <v>158850</v>
      </c>
      <c r="P530" s="50">
        <v>103</v>
      </c>
      <c r="Q530" s="50" t="s">
        <v>19378</v>
      </c>
      <c r="R530" s="50">
        <v>0</v>
      </c>
      <c r="S530" s="50">
        <v>0</v>
      </c>
      <c r="U530" s="50">
        <v>0</v>
      </c>
      <c r="V530" s="50">
        <v>0</v>
      </c>
      <c r="X530" s="50" t="s">
        <v>102</v>
      </c>
      <c r="Y530" s="50" t="s">
        <v>275</v>
      </c>
      <c r="AA530" s="50" t="s">
        <v>12644</v>
      </c>
      <c r="AB530" s="50" t="s">
        <v>109</v>
      </c>
      <c r="AC530" s="50" t="s">
        <v>102</v>
      </c>
      <c r="AD530" s="50" t="s">
        <v>109</v>
      </c>
      <c r="AE530" s="50" t="s">
        <v>102</v>
      </c>
      <c r="AF530" s="50" t="s">
        <v>109</v>
      </c>
      <c r="AG530" s="50" t="s">
        <v>102</v>
      </c>
      <c r="AH530" s="50" t="s">
        <v>109</v>
      </c>
      <c r="AI530" s="50" t="s">
        <v>102</v>
      </c>
      <c r="AJ530" s="50" t="s">
        <v>19379</v>
      </c>
      <c r="AK530" s="50" t="s">
        <v>14292</v>
      </c>
      <c r="AL530" s="50" t="s">
        <v>14292</v>
      </c>
      <c r="AM530" s="50" t="s">
        <v>19380</v>
      </c>
      <c r="AN530" s="50" t="s">
        <v>19381</v>
      </c>
      <c r="AO530" s="50" t="s">
        <v>19382</v>
      </c>
      <c r="AP530" s="50" t="s">
        <v>343</v>
      </c>
      <c r="AQ530" s="50" t="s">
        <v>343</v>
      </c>
      <c r="AV530" s="50" t="s">
        <v>117</v>
      </c>
      <c r="AW530" s="50" t="s">
        <v>118</v>
      </c>
      <c r="AX530" s="50" t="s">
        <v>102</v>
      </c>
      <c r="AY530" s="50" t="s">
        <v>119</v>
      </c>
      <c r="BC530" s="50" t="s">
        <v>3678</v>
      </c>
      <c r="BD530" s="50" t="s">
        <v>4889</v>
      </c>
      <c r="BE530" s="50" t="s">
        <v>730</v>
      </c>
      <c r="BF530" s="50" t="s">
        <v>622</v>
      </c>
      <c r="BG530" s="50" t="s">
        <v>730</v>
      </c>
      <c r="BH530" s="50" t="s">
        <v>124</v>
      </c>
      <c r="BI530" s="50" t="s">
        <v>11959</v>
      </c>
      <c r="BJ530" s="50" t="s">
        <v>11960</v>
      </c>
      <c r="BK530" s="50" t="s">
        <v>127</v>
      </c>
      <c r="BL530" s="50" t="s">
        <v>19383</v>
      </c>
      <c r="BM530" s="50" t="s">
        <v>10460</v>
      </c>
      <c r="BN530" s="50" t="s">
        <v>19384</v>
      </c>
      <c r="BO530" s="50" t="s">
        <v>4563</v>
      </c>
      <c r="BP530" s="50" t="s">
        <v>5197</v>
      </c>
      <c r="BQ530" s="50" t="s">
        <v>350</v>
      </c>
      <c r="BR530" s="50" t="s">
        <v>5198</v>
      </c>
      <c r="BS530" s="50" t="s">
        <v>5199</v>
      </c>
      <c r="BT530" s="50" t="s">
        <v>2569</v>
      </c>
      <c r="BV530" s="50" t="s">
        <v>19385</v>
      </c>
      <c r="BW530" s="50" t="s">
        <v>10463</v>
      </c>
      <c r="BX530" s="50" t="s">
        <v>138</v>
      </c>
      <c r="BY530" s="50" t="s">
        <v>10464</v>
      </c>
      <c r="BZ530" s="50" t="s">
        <v>10465</v>
      </c>
      <c r="CA530" s="50" t="s">
        <v>10466</v>
      </c>
      <c r="CB530" s="50" t="s">
        <v>10463</v>
      </c>
      <c r="CC530" s="50" t="s">
        <v>10464</v>
      </c>
      <c r="CD530" s="50" t="s">
        <v>10465</v>
      </c>
      <c r="CE530" s="50" t="s">
        <v>19386</v>
      </c>
      <c r="CF530" s="50" t="s">
        <v>19387</v>
      </c>
      <c r="CG530" s="50" t="s">
        <v>19388</v>
      </c>
      <c r="CH530" s="50" t="s">
        <v>5842</v>
      </c>
      <c r="CI530" s="50" t="s">
        <v>19389</v>
      </c>
      <c r="CK530" s="50" t="s">
        <v>4903</v>
      </c>
      <c r="CL530" s="50" t="s">
        <v>19390</v>
      </c>
      <c r="CM530" s="50" t="s">
        <v>4889</v>
      </c>
      <c r="CN530" s="50" t="s">
        <v>730</v>
      </c>
      <c r="CO530" s="50" t="s">
        <v>4903</v>
      </c>
      <c r="CP530" s="50" t="s">
        <v>10468</v>
      </c>
      <c r="CQ530" s="50" t="s">
        <v>10467</v>
      </c>
      <c r="CR530" s="50" t="s">
        <v>10467</v>
      </c>
      <c r="CS530" s="50" t="s">
        <v>26047</v>
      </c>
    </row>
    <row r="531" spans="1:97" hidden="1">
      <c r="A531" s="50" t="s">
        <v>337</v>
      </c>
      <c r="B531" s="50">
        <v>5055085</v>
      </c>
      <c r="C531" s="50" t="e">
        <f>VLOOKUP(B531,'Drop schools 2026'!B:C,2,0)</f>
        <v>#N/A</v>
      </c>
      <c r="D531" s="50" t="s">
        <v>174</v>
      </c>
      <c r="E531" s="50" t="s">
        <v>16075</v>
      </c>
      <c r="F531" s="50" t="s">
        <v>20619</v>
      </c>
      <c r="G531" s="50" t="str">
        <f>VLOOKUP(B531,aa!B:F,5,0)</f>
        <v>Ei CARES, Ei Mindspark</v>
      </c>
      <c r="H531" s="50">
        <f>VLOOKUP(B531,aa!B:J,9,0)</f>
        <v>770330</v>
      </c>
      <c r="I531" s="50">
        <f>VLOOKUP(B531,aa!B:L,11,0)</f>
        <v>0</v>
      </c>
      <c r="J531" s="50">
        <f>VLOOKUP(B531,aa!B:O,14,0)</f>
        <v>311155</v>
      </c>
      <c r="K531" s="50">
        <f>VLOOKUP(B531,aa!B:R,17,0)</f>
        <v>459175</v>
      </c>
      <c r="L531" s="50" t="s">
        <v>152</v>
      </c>
      <c r="M531" s="50">
        <v>156277</v>
      </c>
      <c r="N531" s="50">
        <v>156277</v>
      </c>
      <c r="O531" s="50">
        <v>0</v>
      </c>
      <c r="P531" s="50">
        <v>0</v>
      </c>
      <c r="R531" s="50">
        <v>156277</v>
      </c>
      <c r="S531" s="50">
        <v>141</v>
      </c>
      <c r="T531" s="50" t="s">
        <v>20620</v>
      </c>
      <c r="U531" s="50">
        <v>0</v>
      </c>
      <c r="V531" s="50">
        <v>0</v>
      </c>
      <c r="X531" s="50" t="s">
        <v>102</v>
      </c>
      <c r="Y531" s="50" t="s">
        <v>103</v>
      </c>
      <c r="Z531" s="50" t="s">
        <v>398</v>
      </c>
      <c r="AB531" s="50" t="s">
        <v>12425</v>
      </c>
      <c r="AC531" s="50" t="s">
        <v>20621</v>
      </c>
      <c r="AD531" s="50" t="s">
        <v>17783</v>
      </c>
      <c r="AE531" s="50" t="s">
        <v>20622</v>
      </c>
      <c r="AF531" s="50" t="s">
        <v>15933</v>
      </c>
      <c r="AG531" s="50" t="s">
        <v>20622</v>
      </c>
      <c r="AH531" s="50" t="s">
        <v>109</v>
      </c>
      <c r="AI531" s="50" t="s">
        <v>102</v>
      </c>
      <c r="AJ531" s="50" t="s">
        <v>102</v>
      </c>
      <c r="AK531" s="50" t="s">
        <v>2483</v>
      </c>
      <c r="AL531" s="50" t="s">
        <v>12859</v>
      </c>
      <c r="AM531" s="50" t="s">
        <v>20623</v>
      </c>
      <c r="AN531" s="50" t="s">
        <v>20623</v>
      </c>
      <c r="AO531" s="50" t="s">
        <v>102</v>
      </c>
      <c r="AP531" s="50" t="s">
        <v>20624</v>
      </c>
      <c r="AQ531" s="50" t="s">
        <v>20624</v>
      </c>
      <c r="AV531" s="50" t="s">
        <v>102</v>
      </c>
      <c r="AX531" s="50" t="s">
        <v>102</v>
      </c>
      <c r="AY531" s="50" t="s">
        <v>447</v>
      </c>
      <c r="AZ531" s="50" t="s">
        <v>170</v>
      </c>
      <c r="BA531" s="50" t="s">
        <v>118</v>
      </c>
      <c r="BC531" s="50" t="s">
        <v>120</v>
      </c>
      <c r="BD531" s="50" t="s">
        <v>20625</v>
      </c>
      <c r="BE531" s="50" t="s">
        <v>376</v>
      </c>
      <c r="BF531" s="50" t="s">
        <v>174</v>
      </c>
      <c r="BG531" s="50" t="s">
        <v>376</v>
      </c>
      <c r="BH531" s="50" t="s">
        <v>124</v>
      </c>
      <c r="BI531" s="50" t="s">
        <v>12425</v>
      </c>
      <c r="BJ531" s="50" t="s">
        <v>11889</v>
      </c>
      <c r="BK531" s="50" t="s">
        <v>127</v>
      </c>
      <c r="BL531" s="50" t="s">
        <v>20626</v>
      </c>
      <c r="BM531" s="50" t="s">
        <v>20627</v>
      </c>
      <c r="BN531" s="50" t="s">
        <v>20628</v>
      </c>
      <c r="BO531" s="50" t="s">
        <v>12425</v>
      </c>
      <c r="BP531" s="50" t="s">
        <v>13780</v>
      </c>
      <c r="BQ531" s="50" t="s">
        <v>180</v>
      </c>
      <c r="BR531" s="50" t="s">
        <v>13781</v>
      </c>
      <c r="BS531" s="50" t="s">
        <v>13782</v>
      </c>
      <c r="BT531" s="50" t="s">
        <v>13783</v>
      </c>
      <c r="BV531" s="50" t="s">
        <v>20629</v>
      </c>
      <c r="BW531" s="50" t="s">
        <v>20630</v>
      </c>
      <c r="BX531" s="50" t="s">
        <v>354</v>
      </c>
      <c r="BY531" s="50" t="s">
        <v>20631</v>
      </c>
      <c r="BZ531" s="50" t="s">
        <v>20632</v>
      </c>
      <c r="CA531" s="50" t="s">
        <v>20633</v>
      </c>
      <c r="CB531" s="50" t="s">
        <v>20630</v>
      </c>
      <c r="CC531" s="50" t="s">
        <v>20631</v>
      </c>
      <c r="CD531" s="50" t="s">
        <v>20632</v>
      </c>
      <c r="CE531" s="50" t="s">
        <v>20630</v>
      </c>
      <c r="CF531" s="50" t="s">
        <v>20631</v>
      </c>
      <c r="CG531" s="50" t="s">
        <v>20632</v>
      </c>
      <c r="CH531" s="50" t="s">
        <v>6370</v>
      </c>
      <c r="CI531" s="50" t="s">
        <v>20634</v>
      </c>
      <c r="CK531" s="50" t="s">
        <v>20635</v>
      </c>
      <c r="CL531" s="50" t="s">
        <v>20634</v>
      </c>
      <c r="CM531" s="50" t="s">
        <v>20625</v>
      </c>
      <c r="CN531" s="50" t="s">
        <v>376</v>
      </c>
      <c r="CO531" s="50" t="s">
        <v>20635</v>
      </c>
      <c r="CQ531" s="50" t="s">
        <v>20634</v>
      </c>
      <c r="CR531" s="50" t="s">
        <v>20636</v>
      </c>
    </row>
    <row r="532" spans="1:97">
      <c r="A532" s="50" t="s">
        <v>337</v>
      </c>
      <c r="B532" s="50">
        <v>5063726</v>
      </c>
      <c r="C532" s="50" t="e">
        <f>VLOOKUP(B532,'Drop schools 2026'!B:C,2,0)</f>
        <v>#N/A</v>
      </c>
      <c r="D532" s="50" t="s">
        <v>122</v>
      </c>
      <c r="E532" s="50" t="s">
        <v>12491</v>
      </c>
      <c r="F532" s="50" t="s">
        <v>20708</v>
      </c>
      <c r="G532" s="50" t="e">
        <f>VLOOKUP(B532,aa!B:F,5,0)</f>
        <v>#N/A</v>
      </c>
      <c r="H532" s="50" t="e">
        <f>VLOOKUP(B532,aa!B:J,9,0)</f>
        <v>#N/A</v>
      </c>
      <c r="I532" s="50" t="e">
        <f>VLOOKUP(B532,aa!B:L,11,0)</f>
        <v>#N/A</v>
      </c>
      <c r="J532" s="50" t="e">
        <f>VLOOKUP(B532,aa!B:O,14,0)</f>
        <v>#N/A</v>
      </c>
      <c r="K532" s="50" t="e">
        <f>VLOOKUP(B532,aa!B:R,17,0)</f>
        <v>#N/A</v>
      </c>
      <c r="L532" s="50" t="s">
        <v>848</v>
      </c>
      <c r="M532" s="50">
        <v>146407</v>
      </c>
      <c r="N532" s="50">
        <v>172760</v>
      </c>
      <c r="O532" s="50">
        <v>0</v>
      </c>
      <c r="P532" s="50">
        <v>0</v>
      </c>
      <c r="R532" s="50">
        <v>0</v>
      </c>
      <c r="S532" s="50">
        <v>0</v>
      </c>
      <c r="U532" s="50">
        <v>146407</v>
      </c>
      <c r="V532" s="50">
        <v>61</v>
      </c>
      <c r="W532" s="50" t="s">
        <v>4372</v>
      </c>
      <c r="X532" s="50" t="s">
        <v>102</v>
      </c>
      <c r="Y532" s="50" t="s">
        <v>103</v>
      </c>
      <c r="Z532" s="50" t="s">
        <v>155</v>
      </c>
      <c r="AB532" s="50" t="s">
        <v>15642</v>
      </c>
      <c r="AC532" s="50" t="s">
        <v>20709</v>
      </c>
      <c r="AD532" s="50" t="s">
        <v>5651</v>
      </c>
      <c r="AE532" s="50" t="s">
        <v>20709</v>
      </c>
      <c r="AF532" s="50" t="s">
        <v>12327</v>
      </c>
      <c r="AG532" s="50" t="s">
        <v>20709</v>
      </c>
      <c r="AH532" s="50" t="s">
        <v>11886</v>
      </c>
      <c r="AI532" s="50" t="s">
        <v>20709</v>
      </c>
      <c r="AJ532" s="50" t="s">
        <v>102</v>
      </c>
      <c r="AM532" s="50" t="s">
        <v>20710</v>
      </c>
      <c r="AN532" s="50" t="s">
        <v>102</v>
      </c>
      <c r="AO532" s="50" t="s">
        <v>20710</v>
      </c>
      <c r="AP532" s="50" t="s">
        <v>7699</v>
      </c>
      <c r="AQ532" s="50" t="s">
        <v>7699</v>
      </c>
      <c r="AV532" s="50" t="s">
        <v>102</v>
      </c>
      <c r="AX532" s="50" t="s">
        <v>102</v>
      </c>
      <c r="AY532" s="50" t="s">
        <v>119</v>
      </c>
      <c r="BB532" s="50" t="s">
        <v>250</v>
      </c>
      <c r="BC532" s="50" t="s">
        <v>120</v>
      </c>
      <c r="BD532" s="50" t="s">
        <v>20711</v>
      </c>
      <c r="BE532" s="50" t="s">
        <v>1244</v>
      </c>
      <c r="BF532" s="50" t="s">
        <v>122</v>
      </c>
      <c r="BG532" s="50" t="s">
        <v>1244</v>
      </c>
      <c r="BH532" s="50" t="s">
        <v>124</v>
      </c>
      <c r="BI532" s="50" t="s">
        <v>11950</v>
      </c>
      <c r="BJ532" s="50" t="s">
        <v>11960</v>
      </c>
      <c r="BK532" s="50" t="s">
        <v>127</v>
      </c>
      <c r="BL532" s="50" t="s">
        <v>20712</v>
      </c>
      <c r="BM532" s="50" t="s">
        <v>20713</v>
      </c>
      <c r="BN532" s="50" t="s">
        <v>20714</v>
      </c>
      <c r="BO532" s="50" t="s">
        <v>11599</v>
      </c>
      <c r="BP532" s="50" t="s">
        <v>2262</v>
      </c>
      <c r="BQ532" s="50" t="s">
        <v>350</v>
      </c>
      <c r="BR532" s="50" t="s">
        <v>2263</v>
      </c>
      <c r="BS532" s="50" t="s">
        <v>2264</v>
      </c>
      <c r="BT532" s="50" t="s">
        <v>2569</v>
      </c>
      <c r="BU532" s="50" t="s">
        <v>1006</v>
      </c>
      <c r="BV532" s="50" t="s">
        <v>20715</v>
      </c>
      <c r="BW532" s="50" t="s">
        <v>20716</v>
      </c>
      <c r="BX532" s="50" t="s">
        <v>138</v>
      </c>
      <c r="BY532" s="50" t="s">
        <v>2263</v>
      </c>
      <c r="BZ532" s="50" t="s">
        <v>20717</v>
      </c>
      <c r="CA532" s="50" t="s">
        <v>20718</v>
      </c>
      <c r="CB532" s="50" t="s">
        <v>20716</v>
      </c>
      <c r="CC532" s="50" t="s">
        <v>20719</v>
      </c>
      <c r="CD532" s="50" t="s">
        <v>20717</v>
      </c>
      <c r="CE532" s="50" t="s">
        <v>20716</v>
      </c>
      <c r="CF532" s="50" t="s">
        <v>20719</v>
      </c>
      <c r="CG532" s="50" t="s">
        <v>20717</v>
      </c>
      <c r="CH532" s="50" t="s">
        <v>20720</v>
      </c>
      <c r="CI532" s="50" t="s">
        <v>20721</v>
      </c>
      <c r="CK532" s="50" t="s">
        <v>20722</v>
      </c>
      <c r="CL532" s="50" t="s">
        <v>20721</v>
      </c>
      <c r="CM532" s="50" t="s">
        <v>20711</v>
      </c>
      <c r="CN532" s="50" t="s">
        <v>1244</v>
      </c>
      <c r="CO532" s="50" t="s">
        <v>20722</v>
      </c>
      <c r="CQ532" s="50" t="s">
        <v>20711</v>
      </c>
      <c r="CR532" s="50" t="s">
        <v>20711</v>
      </c>
    </row>
    <row r="533" spans="1:97" hidden="1">
      <c r="A533" s="50" t="s">
        <v>337</v>
      </c>
      <c r="B533" s="50">
        <v>5015866</v>
      </c>
      <c r="C533" s="50" t="str">
        <f>VLOOKUP(B533,RISK!B:C,2,0)</f>
        <v>Risk</v>
      </c>
      <c r="D533" s="50" t="s">
        <v>622</v>
      </c>
      <c r="E533" s="50" t="s">
        <v>632</v>
      </c>
      <c r="F533" s="50" t="s">
        <v>18749</v>
      </c>
      <c r="G533" s="50" t="e">
        <f>VLOOKUP(B533,aa!B:F,5,0)</f>
        <v>#N/A</v>
      </c>
      <c r="H533" s="50" t="e">
        <f>VLOOKUP(B533,aa!B:J,9,0)</f>
        <v>#N/A</v>
      </c>
      <c r="I533" s="50" t="e">
        <f>VLOOKUP(B533,aa!B:L,11,0)</f>
        <v>#N/A</v>
      </c>
      <c r="J533" s="50" t="e">
        <f>VLOOKUP(B533,aa!B:O,14,0)</f>
        <v>#N/A</v>
      </c>
      <c r="K533" s="50" t="e">
        <f>VLOOKUP(B533,aa!B:R,17,0)</f>
        <v>#N/A</v>
      </c>
      <c r="L533" s="50" t="s">
        <v>97</v>
      </c>
      <c r="M533" s="50">
        <v>144963</v>
      </c>
      <c r="N533" s="50">
        <v>144963</v>
      </c>
      <c r="O533" s="50">
        <v>144963</v>
      </c>
      <c r="P533" s="50">
        <v>468</v>
      </c>
      <c r="Q533" s="50" t="s">
        <v>8649</v>
      </c>
      <c r="R533" s="50">
        <v>0</v>
      </c>
      <c r="S533" s="50">
        <v>0</v>
      </c>
      <c r="U533" s="50">
        <v>0</v>
      </c>
      <c r="V533" s="50">
        <v>0</v>
      </c>
      <c r="X533" s="50" t="s">
        <v>102</v>
      </c>
      <c r="Y533" s="50" t="s">
        <v>103</v>
      </c>
      <c r="Z533" s="50" t="s">
        <v>104</v>
      </c>
      <c r="AB533" s="50" t="s">
        <v>14000</v>
      </c>
      <c r="AC533" s="50" t="s">
        <v>18750</v>
      </c>
      <c r="AD533" s="50" t="s">
        <v>3679</v>
      </c>
      <c r="AE533" s="50" t="s">
        <v>18750</v>
      </c>
      <c r="AF533" s="50" t="s">
        <v>109</v>
      </c>
      <c r="AG533" s="50" t="s">
        <v>102</v>
      </c>
      <c r="AH533" s="50" t="s">
        <v>109</v>
      </c>
      <c r="AI533" s="50" t="s">
        <v>102</v>
      </c>
      <c r="AJ533" s="50" t="s">
        <v>102</v>
      </c>
      <c r="AK533" s="50" t="s">
        <v>13949</v>
      </c>
      <c r="AL533" s="50" t="s">
        <v>13675</v>
      </c>
      <c r="AM533" s="50" t="s">
        <v>18751</v>
      </c>
      <c r="AN533" s="50" t="s">
        <v>18752</v>
      </c>
      <c r="AO533" s="50" t="s">
        <v>18753</v>
      </c>
      <c r="AP533" s="50" t="s">
        <v>18754</v>
      </c>
      <c r="AQ533" s="50" t="s">
        <v>18754</v>
      </c>
      <c r="AV533" s="50" t="s">
        <v>318</v>
      </c>
      <c r="AW533" s="50" t="s">
        <v>118</v>
      </c>
      <c r="AX533" s="50" t="s">
        <v>102</v>
      </c>
      <c r="AY533" s="50" t="s">
        <v>119</v>
      </c>
      <c r="BC533" s="50" t="s">
        <v>120</v>
      </c>
      <c r="BD533" s="50" t="s">
        <v>2127</v>
      </c>
      <c r="BE533" s="50" t="s">
        <v>621</v>
      </c>
      <c r="BF533" s="50" t="s">
        <v>622</v>
      </c>
      <c r="BG533" s="50" t="s">
        <v>976</v>
      </c>
      <c r="BH533" s="50" t="s">
        <v>124</v>
      </c>
      <c r="BI533" s="50" t="s">
        <v>11976</v>
      </c>
      <c r="BJ533" s="50" t="s">
        <v>12289</v>
      </c>
      <c r="BK533" s="50" t="s">
        <v>127</v>
      </c>
      <c r="BL533" s="50" t="s">
        <v>18755</v>
      </c>
      <c r="BM533" s="50" t="s">
        <v>18756</v>
      </c>
      <c r="BN533" s="50" t="s">
        <v>18757</v>
      </c>
      <c r="BO533" s="50" t="s">
        <v>8783</v>
      </c>
      <c r="BP533" s="50" t="s">
        <v>13638</v>
      </c>
      <c r="BQ533" s="50" t="s">
        <v>132</v>
      </c>
      <c r="BR533" s="50" t="s">
        <v>13639</v>
      </c>
      <c r="BS533" s="50" t="s">
        <v>13640</v>
      </c>
      <c r="BT533" s="50" t="s">
        <v>2847</v>
      </c>
      <c r="BV533" s="50" t="s">
        <v>18758</v>
      </c>
      <c r="BW533" s="50" t="s">
        <v>18759</v>
      </c>
      <c r="BX533" s="50" t="s">
        <v>138</v>
      </c>
      <c r="BY533" s="50" t="s">
        <v>18760</v>
      </c>
      <c r="BZ533" s="50" t="s">
        <v>18761</v>
      </c>
      <c r="CA533" s="50" t="s">
        <v>18762</v>
      </c>
      <c r="CB533" s="50" t="s">
        <v>18759</v>
      </c>
      <c r="CC533" s="50" t="s">
        <v>18760</v>
      </c>
      <c r="CD533" s="50" t="s">
        <v>18761</v>
      </c>
      <c r="CE533" s="50" t="s">
        <v>18759</v>
      </c>
      <c r="CF533" s="50" t="s">
        <v>18760</v>
      </c>
      <c r="CG533" s="50" t="s">
        <v>18761</v>
      </c>
      <c r="CH533" s="50" t="s">
        <v>8653</v>
      </c>
      <c r="CI533" s="50" t="s">
        <v>18749</v>
      </c>
      <c r="CK533" s="50" t="s">
        <v>18763</v>
      </c>
      <c r="CL533" s="50" t="s">
        <v>18764</v>
      </c>
      <c r="CM533" s="50" t="s">
        <v>2127</v>
      </c>
      <c r="CN533" s="50" t="s">
        <v>621</v>
      </c>
      <c r="CO533" s="50" t="s">
        <v>18763</v>
      </c>
      <c r="CQ533" s="50" t="s">
        <v>18765</v>
      </c>
      <c r="CR533" s="50" t="s">
        <v>18766</v>
      </c>
      <c r="CS533" s="50" t="s">
        <v>26042</v>
      </c>
    </row>
    <row r="534" spans="1:97" hidden="1">
      <c r="A534" s="50" t="s">
        <v>337</v>
      </c>
      <c r="B534" s="50">
        <v>5002738</v>
      </c>
      <c r="C534" s="50" t="str">
        <f>VLOOKUP(B534,RISK!B:C,2,0)</f>
        <v>Risk</v>
      </c>
      <c r="D534" s="50" t="s">
        <v>174</v>
      </c>
      <c r="E534" s="50" t="s">
        <v>183</v>
      </c>
      <c r="F534" s="50" t="s">
        <v>18513</v>
      </c>
      <c r="G534" s="50" t="e">
        <f>VLOOKUP(B534,aa!B:F,5,0)</f>
        <v>#N/A</v>
      </c>
      <c r="H534" s="50" t="e">
        <f>VLOOKUP(B534,aa!B:J,9,0)</f>
        <v>#N/A</v>
      </c>
      <c r="I534" s="50" t="e">
        <f>VLOOKUP(B534,aa!B:L,11,0)</f>
        <v>#N/A</v>
      </c>
      <c r="J534" s="50" t="e">
        <f>VLOOKUP(B534,aa!B:O,14,0)</f>
        <v>#N/A</v>
      </c>
      <c r="K534" s="50" t="e">
        <f>VLOOKUP(B534,aa!B:R,17,0)</f>
        <v>#N/A</v>
      </c>
      <c r="L534" s="50" t="s">
        <v>152</v>
      </c>
      <c r="M534" s="50">
        <v>144190</v>
      </c>
      <c r="N534" s="50">
        <v>144190</v>
      </c>
      <c r="O534" s="50">
        <v>0</v>
      </c>
      <c r="P534" s="50">
        <v>0</v>
      </c>
      <c r="R534" s="50">
        <v>144190</v>
      </c>
      <c r="S534" s="50">
        <v>229</v>
      </c>
      <c r="T534" s="50" t="s">
        <v>7219</v>
      </c>
      <c r="U534" s="50">
        <v>0</v>
      </c>
      <c r="V534" s="50">
        <v>0</v>
      </c>
      <c r="X534" s="50" t="s">
        <v>102</v>
      </c>
      <c r="Y534" s="50" t="s">
        <v>103</v>
      </c>
      <c r="Z534" s="50" t="s">
        <v>104</v>
      </c>
      <c r="AB534" s="50" t="s">
        <v>12541</v>
      </c>
      <c r="AC534" s="50" t="s">
        <v>18514</v>
      </c>
      <c r="AD534" s="50" t="s">
        <v>18515</v>
      </c>
      <c r="AE534" s="50" t="s">
        <v>18514</v>
      </c>
      <c r="AF534" s="50" t="s">
        <v>109</v>
      </c>
      <c r="AG534" s="50" t="s">
        <v>102</v>
      </c>
      <c r="AH534" s="50" t="s">
        <v>109</v>
      </c>
      <c r="AI534" s="50" t="s">
        <v>102</v>
      </c>
      <c r="AJ534" s="50" t="s">
        <v>102</v>
      </c>
      <c r="AK534" s="50" t="s">
        <v>13455</v>
      </c>
      <c r="AL534" s="50" t="s">
        <v>13455</v>
      </c>
      <c r="AM534" s="50" t="s">
        <v>18516</v>
      </c>
      <c r="AN534" s="50" t="s">
        <v>18514</v>
      </c>
      <c r="AO534" s="50" t="s">
        <v>18514</v>
      </c>
      <c r="AP534" s="50" t="s">
        <v>18394</v>
      </c>
      <c r="AQ534" s="50" t="s">
        <v>18394</v>
      </c>
      <c r="AV534" s="50" t="s">
        <v>102</v>
      </c>
      <c r="AX534" s="50" t="s">
        <v>104</v>
      </c>
      <c r="AY534" s="50" t="s">
        <v>447</v>
      </c>
      <c r="AZ534" s="50" t="s">
        <v>170</v>
      </c>
      <c r="BA534" s="50" t="s">
        <v>118</v>
      </c>
      <c r="BC534" s="50" t="s">
        <v>171</v>
      </c>
      <c r="BD534" s="50" t="s">
        <v>18395</v>
      </c>
      <c r="BE534" s="50" t="s">
        <v>376</v>
      </c>
      <c r="BF534" s="50" t="s">
        <v>174</v>
      </c>
      <c r="BG534" s="50" t="s">
        <v>376</v>
      </c>
      <c r="BH534" s="50" t="s">
        <v>124</v>
      </c>
      <c r="BI534" s="50" t="s">
        <v>1331</v>
      </c>
      <c r="BJ534" s="50" t="s">
        <v>18517</v>
      </c>
      <c r="BK534" s="50" t="s">
        <v>127</v>
      </c>
      <c r="BL534" s="50" t="s">
        <v>18518</v>
      </c>
      <c r="BM534" s="50" t="s">
        <v>18519</v>
      </c>
      <c r="BN534" s="50" t="s">
        <v>18520</v>
      </c>
      <c r="BO534" s="50" t="s">
        <v>16483</v>
      </c>
      <c r="BP534" s="50" t="s">
        <v>5026</v>
      </c>
      <c r="BQ534" s="50" t="s">
        <v>180</v>
      </c>
      <c r="BR534" s="50" t="s">
        <v>5027</v>
      </c>
      <c r="BS534" s="50" t="s">
        <v>5028</v>
      </c>
      <c r="BT534" s="50" t="s">
        <v>5177</v>
      </c>
      <c r="BV534" s="50" t="s">
        <v>18521</v>
      </c>
      <c r="BW534" s="50" t="s">
        <v>18522</v>
      </c>
      <c r="BX534" s="50" t="s">
        <v>138</v>
      </c>
      <c r="BY534" s="50" t="s">
        <v>18523</v>
      </c>
      <c r="BZ534" s="50" t="s">
        <v>18524</v>
      </c>
      <c r="CA534" s="50" t="s">
        <v>18523</v>
      </c>
      <c r="CB534" s="50" t="s">
        <v>18522</v>
      </c>
      <c r="CC534" s="50" t="s">
        <v>18523</v>
      </c>
      <c r="CD534" s="50" t="s">
        <v>18524</v>
      </c>
      <c r="CE534" s="50" t="s">
        <v>18522</v>
      </c>
      <c r="CF534" s="50" t="s">
        <v>18523</v>
      </c>
      <c r="CG534" s="50" t="s">
        <v>18524</v>
      </c>
      <c r="CH534" s="50" t="s">
        <v>2980</v>
      </c>
      <c r="CI534" s="50" t="s">
        <v>18525</v>
      </c>
      <c r="CK534" s="50" t="s">
        <v>18405</v>
      </c>
      <c r="CL534" s="50" t="s">
        <v>18526</v>
      </c>
      <c r="CM534" s="50" t="s">
        <v>18395</v>
      </c>
      <c r="CN534" s="50" t="s">
        <v>376</v>
      </c>
      <c r="CO534" s="50" t="s">
        <v>18405</v>
      </c>
      <c r="CQ534" s="50" t="s">
        <v>18527</v>
      </c>
      <c r="CR534" s="50" t="s">
        <v>18527</v>
      </c>
      <c r="CS534" s="50" t="s">
        <v>26046</v>
      </c>
    </row>
    <row r="535" spans="1:97" hidden="1">
      <c r="A535" s="50" t="s">
        <v>149</v>
      </c>
      <c r="B535" s="50">
        <v>3712077</v>
      </c>
      <c r="C535" s="50" t="e">
        <f>VLOOKUP(B535,'Drop schools 2026'!B:C,2,0)</f>
        <v>#N/A</v>
      </c>
      <c r="D535" s="50" t="s">
        <v>622</v>
      </c>
      <c r="E535" s="50" t="s">
        <v>632</v>
      </c>
      <c r="F535" s="50" t="s">
        <v>7234</v>
      </c>
      <c r="G535" s="50" t="e">
        <f>VLOOKUP(B535,aa!B:F,5,0)</f>
        <v>#N/A</v>
      </c>
      <c r="H535" s="50" t="e">
        <f>VLOOKUP(B535,aa!B:J,9,0)</f>
        <v>#N/A</v>
      </c>
      <c r="I535" s="50" t="e">
        <f>VLOOKUP(B535,aa!B:L,11,0)</f>
        <v>#N/A</v>
      </c>
      <c r="J535" s="50" t="e">
        <f>VLOOKUP(B535,aa!B:O,14,0)</f>
        <v>#N/A</v>
      </c>
      <c r="K535" s="50" t="e">
        <f>VLOOKUP(B535,aa!B:R,17,0)</f>
        <v>#N/A</v>
      </c>
      <c r="L535" s="50" t="s">
        <v>97</v>
      </c>
      <c r="M535" s="50">
        <v>142805</v>
      </c>
      <c r="N535" s="50">
        <v>142805</v>
      </c>
      <c r="O535" s="50">
        <v>142805</v>
      </c>
      <c r="P535" s="50">
        <v>119</v>
      </c>
      <c r="Q535" s="50" t="s">
        <v>880</v>
      </c>
      <c r="R535" s="50">
        <v>0</v>
      </c>
      <c r="S535" s="50">
        <v>0</v>
      </c>
      <c r="U535" s="50">
        <v>0</v>
      </c>
      <c r="V535" s="50">
        <v>0</v>
      </c>
      <c r="X535" s="50" t="s">
        <v>102</v>
      </c>
      <c r="Y535" s="50" t="s">
        <v>103</v>
      </c>
      <c r="Z535" s="50" t="s">
        <v>104</v>
      </c>
      <c r="AB535" s="50" t="s">
        <v>12217</v>
      </c>
      <c r="AC535" s="50" t="s">
        <v>16797</v>
      </c>
      <c r="AD535" s="50" t="s">
        <v>13395</v>
      </c>
      <c r="AE535" s="50" t="s">
        <v>16798</v>
      </c>
      <c r="AF535" s="50" t="s">
        <v>109</v>
      </c>
      <c r="AG535" s="50" t="s">
        <v>102</v>
      </c>
      <c r="AH535" s="50" t="s">
        <v>109</v>
      </c>
      <c r="AI535" s="50" t="s">
        <v>102</v>
      </c>
      <c r="AJ535" s="50" t="s">
        <v>16799</v>
      </c>
      <c r="AK535" s="50" t="s">
        <v>12609</v>
      </c>
      <c r="AL535" s="50" t="s">
        <v>12609</v>
      </c>
      <c r="AM535" s="50" t="s">
        <v>16800</v>
      </c>
      <c r="AN535" s="50" t="s">
        <v>16801</v>
      </c>
      <c r="AO535" s="50" t="s">
        <v>16798</v>
      </c>
      <c r="AP535" s="50" t="s">
        <v>16802</v>
      </c>
      <c r="AQ535" s="50" t="s">
        <v>16802</v>
      </c>
      <c r="AV535" s="50" t="s">
        <v>117</v>
      </c>
      <c r="AW535" s="50" t="s">
        <v>118</v>
      </c>
      <c r="AX535" s="50" t="s">
        <v>102</v>
      </c>
      <c r="AY535" s="50" t="s">
        <v>119</v>
      </c>
      <c r="BC535" s="50" t="s">
        <v>2565</v>
      </c>
      <c r="BD535" s="50" t="s">
        <v>623</v>
      </c>
      <c r="BE535" s="50" t="s">
        <v>621</v>
      </c>
      <c r="BF535" s="50" t="s">
        <v>622</v>
      </c>
      <c r="BG535" s="50" t="s">
        <v>623</v>
      </c>
      <c r="BH535" s="50" t="s">
        <v>124</v>
      </c>
      <c r="BI535" s="50" t="s">
        <v>12023</v>
      </c>
      <c r="BJ535" s="50" t="s">
        <v>11889</v>
      </c>
      <c r="BK535" s="50" t="s">
        <v>127</v>
      </c>
      <c r="BL535" s="50" t="s">
        <v>16803</v>
      </c>
      <c r="BM535" s="50" t="s">
        <v>7241</v>
      </c>
      <c r="BN535" s="50" t="s">
        <v>16804</v>
      </c>
      <c r="BO535" s="50" t="s">
        <v>12873</v>
      </c>
      <c r="BP535" s="50" t="s">
        <v>1339</v>
      </c>
      <c r="BQ535" s="50" t="s">
        <v>132</v>
      </c>
      <c r="BR535" s="50" t="s">
        <v>1340</v>
      </c>
      <c r="BS535" s="50" t="s">
        <v>1341</v>
      </c>
      <c r="BT535" s="50" t="s">
        <v>507</v>
      </c>
      <c r="BV535" s="50" t="s">
        <v>16805</v>
      </c>
      <c r="BW535" s="50" t="s">
        <v>16806</v>
      </c>
      <c r="BY535" s="50" t="s">
        <v>7245</v>
      </c>
      <c r="BZ535" s="50" t="s">
        <v>16807</v>
      </c>
      <c r="CA535" s="50" t="s">
        <v>7245</v>
      </c>
      <c r="CB535" s="50" t="s">
        <v>16806</v>
      </c>
      <c r="CC535" s="50" t="s">
        <v>7245</v>
      </c>
      <c r="CD535" s="50" t="s">
        <v>16807</v>
      </c>
      <c r="CE535" s="50" t="s">
        <v>16806</v>
      </c>
      <c r="CF535" s="50" t="s">
        <v>7245</v>
      </c>
      <c r="CG535" s="50" t="s">
        <v>16807</v>
      </c>
      <c r="CH535" s="50" t="s">
        <v>7248</v>
      </c>
      <c r="CI535" s="50" t="s">
        <v>7249</v>
      </c>
      <c r="CK535" s="50" t="s">
        <v>7250</v>
      </c>
      <c r="CM535" s="50" t="s">
        <v>623</v>
      </c>
      <c r="CN535" s="50" t="s">
        <v>621</v>
      </c>
      <c r="CO535" s="50" t="s">
        <v>7250</v>
      </c>
      <c r="CP535" s="50" t="s">
        <v>7251</v>
      </c>
      <c r="CQ535" s="50" t="s">
        <v>7249</v>
      </c>
      <c r="CR535" s="50" t="s">
        <v>7249</v>
      </c>
      <c r="CS535" s="50" t="s">
        <v>26048</v>
      </c>
    </row>
    <row r="536" spans="1:97" hidden="1">
      <c r="A536" s="50" t="s">
        <v>337</v>
      </c>
      <c r="B536" s="50">
        <v>203718</v>
      </c>
      <c r="C536" s="50" t="e">
        <f>VLOOKUP(B536,'Drop schools 2026'!B:C,2,0)</f>
        <v>#N/A</v>
      </c>
      <c r="D536" s="50" t="s">
        <v>212</v>
      </c>
      <c r="E536" s="50" t="s">
        <v>12834</v>
      </c>
      <c r="F536" s="50" t="s">
        <v>13364</v>
      </c>
      <c r="G536" s="50" t="e">
        <f>VLOOKUP(B536,aa!B:F,5,0)</f>
        <v>#N/A</v>
      </c>
      <c r="H536" s="50" t="e">
        <f>VLOOKUP(B536,aa!B:J,9,0)</f>
        <v>#N/A</v>
      </c>
      <c r="I536" s="50" t="e">
        <f>VLOOKUP(B536,aa!B:L,11,0)</f>
        <v>#N/A</v>
      </c>
      <c r="J536" s="50" t="e">
        <f>VLOOKUP(B536,aa!B:O,14,0)</f>
        <v>#N/A</v>
      </c>
      <c r="K536" s="50" t="e">
        <f>VLOOKUP(B536,aa!B:R,17,0)</f>
        <v>#N/A</v>
      </c>
      <c r="L536" s="50" t="s">
        <v>97</v>
      </c>
      <c r="M536" s="50">
        <v>141000</v>
      </c>
      <c r="N536" s="50">
        <v>141000</v>
      </c>
      <c r="O536" s="50">
        <v>141000</v>
      </c>
      <c r="P536" s="50">
        <v>235</v>
      </c>
      <c r="Q536" s="50" t="s">
        <v>310</v>
      </c>
      <c r="R536" s="50">
        <v>0</v>
      </c>
      <c r="S536" s="50">
        <v>0</v>
      </c>
      <c r="U536" s="50">
        <v>0</v>
      </c>
      <c r="V536" s="50">
        <v>0</v>
      </c>
      <c r="X536" s="50" t="s">
        <v>102</v>
      </c>
      <c r="Y536" s="50" t="s">
        <v>103</v>
      </c>
      <c r="Z536" s="50" t="s">
        <v>398</v>
      </c>
      <c r="AB536" s="50" t="s">
        <v>12128</v>
      </c>
      <c r="AC536" s="50" t="s">
        <v>13365</v>
      </c>
      <c r="AD536" s="50" t="s">
        <v>12836</v>
      </c>
      <c r="AE536" s="50" t="s">
        <v>13366</v>
      </c>
      <c r="AF536" s="50" t="s">
        <v>12838</v>
      </c>
      <c r="AG536" s="50" t="s">
        <v>13366</v>
      </c>
      <c r="AH536" s="50" t="s">
        <v>109</v>
      </c>
      <c r="AI536" s="50" t="s">
        <v>102</v>
      </c>
      <c r="AJ536" s="50" t="s">
        <v>102</v>
      </c>
      <c r="AM536" s="50" t="s">
        <v>13367</v>
      </c>
      <c r="AN536" s="50" t="s">
        <v>102</v>
      </c>
      <c r="AO536" s="50" t="s">
        <v>13367</v>
      </c>
      <c r="AP536" s="50" t="s">
        <v>317</v>
      </c>
      <c r="AQ536" s="50" t="s">
        <v>317</v>
      </c>
      <c r="AV536" s="50" t="s">
        <v>318</v>
      </c>
      <c r="AW536" s="50" t="s">
        <v>118</v>
      </c>
      <c r="AX536" s="50" t="s">
        <v>102</v>
      </c>
      <c r="AY536" s="50" t="s">
        <v>119</v>
      </c>
      <c r="BC536" s="50" t="s">
        <v>120</v>
      </c>
      <c r="BD536" s="50" t="s">
        <v>13368</v>
      </c>
      <c r="BE536" s="50" t="s">
        <v>211</v>
      </c>
      <c r="BF536" s="50" t="s">
        <v>212</v>
      </c>
      <c r="BG536" s="50" t="s">
        <v>213</v>
      </c>
      <c r="BH536" s="50" t="s">
        <v>124</v>
      </c>
      <c r="BI536" s="50" t="s">
        <v>12023</v>
      </c>
      <c r="BJ536" s="50" t="s">
        <v>11889</v>
      </c>
      <c r="BK536" s="50" t="s">
        <v>127</v>
      </c>
      <c r="BL536" s="50" t="s">
        <v>13369</v>
      </c>
      <c r="BM536" s="50" t="s">
        <v>13370</v>
      </c>
      <c r="BN536" s="50" t="s">
        <v>13371</v>
      </c>
      <c r="BO536" s="50" t="s">
        <v>411</v>
      </c>
      <c r="BP536" s="50" t="s">
        <v>480</v>
      </c>
      <c r="BQ536" s="50" t="s">
        <v>505</v>
      </c>
      <c r="BR536" s="50" t="s">
        <v>481</v>
      </c>
      <c r="BS536" s="50" t="s">
        <v>482</v>
      </c>
      <c r="BT536" s="50" t="s">
        <v>2593</v>
      </c>
      <c r="BU536" s="50" t="s">
        <v>4997</v>
      </c>
      <c r="BV536" s="50" t="s">
        <v>13372</v>
      </c>
      <c r="BW536" s="50" t="s">
        <v>13373</v>
      </c>
      <c r="BX536" s="50" t="s">
        <v>138</v>
      </c>
      <c r="BY536" s="50" t="s">
        <v>481</v>
      </c>
      <c r="BZ536" s="50" t="s">
        <v>12845</v>
      </c>
      <c r="CA536" s="50" t="s">
        <v>13374</v>
      </c>
      <c r="CB536" s="50" t="s">
        <v>13375</v>
      </c>
      <c r="CC536" s="50" t="s">
        <v>13374</v>
      </c>
      <c r="CD536" s="50" t="s">
        <v>13376</v>
      </c>
      <c r="CE536" s="50" t="s">
        <v>13377</v>
      </c>
      <c r="CF536" s="50" t="s">
        <v>13378</v>
      </c>
      <c r="CG536" s="50" t="s">
        <v>13379</v>
      </c>
      <c r="CH536" s="50" t="s">
        <v>5581</v>
      </c>
      <c r="CI536" s="50" t="s">
        <v>13380</v>
      </c>
      <c r="CK536" s="50" t="s">
        <v>13381</v>
      </c>
      <c r="CL536" s="50" t="s">
        <v>13380</v>
      </c>
      <c r="CM536" s="50" t="s">
        <v>13368</v>
      </c>
      <c r="CN536" s="50" t="s">
        <v>211</v>
      </c>
      <c r="CO536" s="50" t="s">
        <v>13381</v>
      </c>
      <c r="CQ536" s="50" t="s">
        <v>13382</v>
      </c>
      <c r="CR536" s="50" t="s">
        <v>13382</v>
      </c>
    </row>
    <row r="537" spans="1:97" hidden="1">
      <c r="A537" s="50" t="s">
        <v>149</v>
      </c>
      <c r="B537" s="50">
        <v>3283255</v>
      </c>
      <c r="C537" s="50" t="e">
        <f>VLOOKUP(B537,'Drop schools 2026'!B:C,2,0)</f>
        <v>#N/A</v>
      </c>
      <c r="D537" s="50" t="s">
        <v>622</v>
      </c>
      <c r="E537" s="50" t="s">
        <v>3562</v>
      </c>
      <c r="F537" s="50" t="s">
        <v>5188</v>
      </c>
      <c r="G537" s="50" t="str">
        <f>VLOOKUP(B537,aa!B:F,5,0)</f>
        <v>Ei ASSET</v>
      </c>
      <c r="H537" s="50">
        <f>VLOOKUP(B537,aa!B:J,9,0)</f>
        <v>582547</v>
      </c>
      <c r="I537" s="50">
        <f>VLOOKUP(B537,aa!B:L,11,0)</f>
        <v>582547</v>
      </c>
      <c r="J537" s="50">
        <f>VLOOKUP(B537,aa!B:O,14,0)</f>
        <v>0</v>
      </c>
      <c r="K537" s="50">
        <f>VLOOKUP(B537,aa!B:R,17,0)</f>
        <v>0</v>
      </c>
      <c r="L537" s="50" t="s">
        <v>97</v>
      </c>
      <c r="M537" s="50">
        <v>137216</v>
      </c>
      <c r="N537" s="50">
        <v>137216</v>
      </c>
      <c r="O537" s="50">
        <v>137216</v>
      </c>
      <c r="P537" s="50">
        <v>196</v>
      </c>
      <c r="Q537" s="50" t="s">
        <v>799</v>
      </c>
      <c r="R537" s="50">
        <v>0</v>
      </c>
      <c r="S537" s="50">
        <v>0</v>
      </c>
      <c r="U537" s="50">
        <v>0</v>
      </c>
      <c r="V537" s="50">
        <v>0</v>
      </c>
      <c r="X537" s="50" t="s">
        <v>102</v>
      </c>
      <c r="Y537" s="50" t="s">
        <v>275</v>
      </c>
      <c r="AA537" s="50" t="s">
        <v>12395</v>
      </c>
      <c r="AB537" s="50" t="s">
        <v>109</v>
      </c>
      <c r="AC537" s="50" t="s">
        <v>102</v>
      </c>
      <c r="AD537" s="50" t="s">
        <v>109</v>
      </c>
      <c r="AE537" s="50" t="s">
        <v>102</v>
      </c>
      <c r="AF537" s="50" t="s">
        <v>109</v>
      </c>
      <c r="AG537" s="50" t="s">
        <v>102</v>
      </c>
      <c r="AH537" s="50" t="s">
        <v>109</v>
      </c>
      <c r="AI537" s="50" t="s">
        <v>102</v>
      </c>
      <c r="AJ537" s="50" t="s">
        <v>102</v>
      </c>
      <c r="AK537" s="50" t="s">
        <v>13395</v>
      </c>
      <c r="AL537" s="50" t="s">
        <v>13395</v>
      </c>
      <c r="AM537" s="50" t="s">
        <v>15319</v>
      </c>
      <c r="AN537" s="50" t="s">
        <v>15320</v>
      </c>
      <c r="AO537" s="50" t="s">
        <v>15321</v>
      </c>
      <c r="AP537" s="50" t="s">
        <v>5193</v>
      </c>
      <c r="AQ537" s="50" t="s">
        <v>5193</v>
      </c>
      <c r="AV537" s="50" t="s">
        <v>117</v>
      </c>
      <c r="AW537" s="50" t="s">
        <v>250</v>
      </c>
      <c r="AX537" s="50" t="s">
        <v>102</v>
      </c>
      <c r="AY537" s="50" t="s">
        <v>119</v>
      </c>
      <c r="BC537" s="50" t="s">
        <v>120</v>
      </c>
      <c r="BD537" s="50" t="s">
        <v>4889</v>
      </c>
      <c r="BE537" s="50" t="s">
        <v>730</v>
      </c>
      <c r="BF537" s="50" t="s">
        <v>622</v>
      </c>
      <c r="BG537" s="50" t="s">
        <v>730</v>
      </c>
      <c r="BH537" s="50" t="s">
        <v>124</v>
      </c>
      <c r="BI537" s="50" t="s">
        <v>12023</v>
      </c>
      <c r="BJ537" s="50" t="s">
        <v>11889</v>
      </c>
      <c r="BK537" s="50" t="s">
        <v>127</v>
      </c>
      <c r="BL537" s="50" t="s">
        <v>15322</v>
      </c>
      <c r="BM537" s="50" t="s">
        <v>5195</v>
      </c>
      <c r="BN537" s="50" t="s">
        <v>5196</v>
      </c>
      <c r="BO537" s="50" t="s">
        <v>12395</v>
      </c>
      <c r="BP537" s="50" t="s">
        <v>5197</v>
      </c>
      <c r="BQ537" s="50" t="s">
        <v>350</v>
      </c>
      <c r="BR537" s="50" t="s">
        <v>5198</v>
      </c>
      <c r="BS537" s="50" t="s">
        <v>5199</v>
      </c>
      <c r="BT537" s="50" t="s">
        <v>2569</v>
      </c>
      <c r="BV537" s="50" t="s">
        <v>15323</v>
      </c>
      <c r="BW537" s="50" t="s">
        <v>15324</v>
      </c>
      <c r="BX537" s="50" t="s">
        <v>138</v>
      </c>
      <c r="BY537" s="50" t="s">
        <v>5202</v>
      </c>
      <c r="BZ537" s="50" t="s">
        <v>5203</v>
      </c>
      <c r="CA537" s="50" t="s">
        <v>5204</v>
      </c>
      <c r="CB537" s="50" t="s">
        <v>15325</v>
      </c>
      <c r="CC537" s="50" t="s">
        <v>5202</v>
      </c>
      <c r="CD537" s="50" t="s">
        <v>5203</v>
      </c>
      <c r="CE537" s="50" t="s">
        <v>15326</v>
      </c>
      <c r="CF537" s="50" t="s">
        <v>15327</v>
      </c>
      <c r="CG537" s="50" t="s">
        <v>15328</v>
      </c>
      <c r="CH537" s="50" t="s">
        <v>5207</v>
      </c>
      <c r="CI537" s="50" t="s">
        <v>5208</v>
      </c>
      <c r="CK537" s="50" t="s">
        <v>4903</v>
      </c>
      <c r="CL537" s="50" t="s">
        <v>5209</v>
      </c>
      <c r="CM537" s="50" t="s">
        <v>4889</v>
      </c>
      <c r="CN537" s="50" t="s">
        <v>730</v>
      </c>
      <c r="CO537" s="50" t="s">
        <v>4903</v>
      </c>
      <c r="CQ537" s="50" t="s">
        <v>5210</v>
      </c>
      <c r="CR537" s="50" t="s">
        <v>5211</v>
      </c>
    </row>
    <row r="538" spans="1:97" hidden="1">
      <c r="A538" s="50" t="s">
        <v>149</v>
      </c>
      <c r="B538" s="50">
        <v>356995</v>
      </c>
      <c r="C538" s="50" t="e">
        <f>VLOOKUP(B538,'Drop schools 2026'!B:C,2,0)</f>
        <v>#N/A</v>
      </c>
      <c r="D538" s="50" t="s">
        <v>622</v>
      </c>
      <c r="E538" s="50" t="s">
        <v>3562</v>
      </c>
      <c r="F538" s="50" t="s">
        <v>6730</v>
      </c>
      <c r="G538" s="50" t="e">
        <f>VLOOKUP(B538,aa!B:F,5,0)</f>
        <v>#N/A</v>
      </c>
      <c r="H538" s="50" t="e">
        <f>VLOOKUP(B538,aa!B:J,9,0)</f>
        <v>#N/A</v>
      </c>
      <c r="I538" s="50" t="e">
        <f>VLOOKUP(B538,aa!B:L,11,0)</f>
        <v>#N/A</v>
      </c>
      <c r="J538" s="50" t="e">
        <f>VLOOKUP(B538,aa!B:O,14,0)</f>
        <v>#N/A</v>
      </c>
      <c r="K538" s="50" t="e">
        <f>VLOOKUP(B538,aa!B:R,17,0)</f>
        <v>#N/A</v>
      </c>
      <c r="L538" s="50" t="s">
        <v>848</v>
      </c>
      <c r="M538" s="50">
        <v>132146</v>
      </c>
      <c r="N538" s="50">
        <v>155932</v>
      </c>
      <c r="O538" s="50">
        <v>0</v>
      </c>
      <c r="P538" s="50">
        <v>0</v>
      </c>
      <c r="R538" s="50">
        <v>0</v>
      </c>
      <c r="S538" s="50">
        <v>0</v>
      </c>
      <c r="U538" s="50">
        <v>132146</v>
      </c>
      <c r="V538" s="50">
        <v>75</v>
      </c>
      <c r="W538" s="50" t="s">
        <v>16499</v>
      </c>
      <c r="X538" s="50" t="s">
        <v>102</v>
      </c>
      <c r="Y538" s="50" t="s">
        <v>275</v>
      </c>
      <c r="AA538" s="50" t="s">
        <v>9460</v>
      </c>
      <c r="AB538" s="50" t="s">
        <v>109</v>
      </c>
      <c r="AC538" s="50" t="s">
        <v>102</v>
      </c>
      <c r="AD538" s="50" t="s">
        <v>109</v>
      </c>
      <c r="AE538" s="50" t="s">
        <v>102</v>
      </c>
      <c r="AF538" s="50" t="s">
        <v>109</v>
      </c>
      <c r="AG538" s="50" t="s">
        <v>102</v>
      </c>
      <c r="AH538" s="50" t="s">
        <v>109</v>
      </c>
      <c r="AI538" s="50" t="s">
        <v>102</v>
      </c>
      <c r="AJ538" s="50" t="s">
        <v>16500</v>
      </c>
      <c r="AK538" s="50" t="s">
        <v>15221</v>
      </c>
      <c r="AL538" s="50" t="s">
        <v>15221</v>
      </c>
      <c r="AM538" s="50" t="s">
        <v>16501</v>
      </c>
      <c r="AN538" s="50" t="s">
        <v>16502</v>
      </c>
      <c r="AO538" s="50" t="s">
        <v>1205</v>
      </c>
      <c r="AP538" s="50" t="s">
        <v>16503</v>
      </c>
      <c r="AQ538" s="50" t="s">
        <v>16504</v>
      </c>
      <c r="AU538" s="50" t="s">
        <v>169</v>
      </c>
      <c r="AV538" s="50" t="s">
        <v>102</v>
      </c>
      <c r="AX538" s="50" t="s">
        <v>102</v>
      </c>
      <c r="AY538" s="50" t="s">
        <v>119</v>
      </c>
      <c r="BB538" s="50" t="s">
        <v>250</v>
      </c>
      <c r="BC538" s="50" t="s">
        <v>120</v>
      </c>
      <c r="BD538" s="50" t="s">
        <v>1729</v>
      </c>
      <c r="BE538" s="50" t="s">
        <v>730</v>
      </c>
      <c r="BF538" s="50" t="s">
        <v>622</v>
      </c>
      <c r="BG538" s="50" t="s">
        <v>730</v>
      </c>
      <c r="BH538" s="50" t="s">
        <v>124</v>
      </c>
      <c r="BI538" s="50" t="s">
        <v>12082</v>
      </c>
      <c r="BJ538" s="50" t="s">
        <v>11889</v>
      </c>
      <c r="BK538" s="50" t="s">
        <v>127</v>
      </c>
      <c r="BL538" s="50" t="s">
        <v>16505</v>
      </c>
      <c r="BM538" s="50" t="s">
        <v>6739</v>
      </c>
      <c r="BN538" s="50" t="s">
        <v>16506</v>
      </c>
      <c r="BO538" s="50" t="s">
        <v>12659</v>
      </c>
      <c r="BP538" s="50" t="s">
        <v>7559</v>
      </c>
      <c r="BQ538" s="50" t="s">
        <v>350</v>
      </c>
      <c r="BR538" s="50" t="s">
        <v>7560</v>
      </c>
      <c r="BS538" s="50" t="s">
        <v>7561</v>
      </c>
      <c r="BT538" s="50" t="s">
        <v>3562</v>
      </c>
      <c r="BV538" s="50" t="s">
        <v>16507</v>
      </c>
      <c r="BW538" s="50" t="s">
        <v>6742</v>
      </c>
      <c r="BX538" s="50" t="s">
        <v>138</v>
      </c>
      <c r="BY538" s="50" t="s">
        <v>6743</v>
      </c>
      <c r="BZ538" s="50" t="s">
        <v>6744</v>
      </c>
      <c r="CA538" s="50" t="s">
        <v>6745</v>
      </c>
      <c r="CB538" s="50" t="s">
        <v>6742</v>
      </c>
      <c r="CC538" s="50" t="s">
        <v>6743</v>
      </c>
      <c r="CD538" s="50" t="s">
        <v>6744</v>
      </c>
      <c r="CE538" s="50" t="s">
        <v>16508</v>
      </c>
      <c r="CF538" s="50" t="s">
        <v>16509</v>
      </c>
      <c r="CG538" s="50" t="s">
        <v>16510</v>
      </c>
      <c r="CH538" s="50" t="s">
        <v>102</v>
      </c>
      <c r="CI538" s="50" t="s">
        <v>6746</v>
      </c>
      <c r="CK538" s="50" t="s">
        <v>4103</v>
      </c>
      <c r="CM538" s="50" t="s">
        <v>1729</v>
      </c>
      <c r="CN538" s="50" t="s">
        <v>2273</v>
      </c>
      <c r="CO538" s="50" t="s">
        <v>4103</v>
      </c>
      <c r="CP538" s="50" t="s">
        <v>6747</v>
      </c>
      <c r="CQ538" s="50" t="s">
        <v>6746</v>
      </c>
      <c r="CR538" s="50" t="s">
        <v>6746</v>
      </c>
      <c r="CS538" s="50" t="s">
        <v>26047</v>
      </c>
    </row>
    <row r="539" spans="1:97" hidden="1">
      <c r="A539" s="50" t="s">
        <v>337</v>
      </c>
      <c r="B539" s="50">
        <v>46864</v>
      </c>
      <c r="C539" s="50" t="e">
        <f>VLOOKUP(B539,'Drop schools 2026'!B:C,2,0)</f>
        <v>#N/A</v>
      </c>
      <c r="D539" s="50" t="s">
        <v>174</v>
      </c>
      <c r="E539" s="50" t="s">
        <v>183</v>
      </c>
      <c r="F539" s="50" t="s">
        <v>18389</v>
      </c>
      <c r="G539" s="50" t="e">
        <f>VLOOKUP(B539,aa!B:F,5,0)</f>
        <v>#N/A</v>
      </c>
      <c r="H539" s="50" t="e">
        <f>VLOOKUP(B539,aa!B:J,9,0)</f>
        <v>#N/A</v>
      </c>
      <c r="I539" s="50" t="e">
        <f>VLOOKUP(B539,aa!B:L,11,0)</f>
        <v>#N/A</v>
      </c>
      <c r="J539" s="50" t="e">
        <f>VLOOKUP(B539,aa!B:O,14,0)</f>
        <v>#N/A</v>
      </c>
      <c r="K539" s="50" t="e">
        <f>VLOOKUP(B539,aa!B:R,17,0)</f>
        <v>#N/A</v>
      </c>
      <c r="L539" s="50" t="s">
        <v>152</v>
      </c>
      <c r="M539" s="50">
        <v>131597</v>
      </c>
      <c r="N539" s="50">
        <v>131597</v>
      </c>
      <c r="O539" s="50">
        <v>0</v>
      </c>
      <c r="P539" s="50">
        <v>0</v>
      </c>
      <c r="R539" s="50">
        <v>131597</v>
      </c>
      <c r="S539" s="50">
        <v>209</v>
      </c>
      <c r="T539" s="50" t="s">
        <v>7219</v>
      </c>
      <c r="U539" s="50">
        <v>0</v>
      </c>
      <c r="V539" s="50">
        <v>0</v>
      </c>
      <c r="X539" s="50" t="s">
        <v>102</v>
      </c>
      <c r="Y539" s="50" t="s">
        <v>103</v>
      </c>
      <c r="Z539" s="50" t="s">
        <v>104</v>
      </c>
      <c r="AB539" s="50" t="s">
        <v>1761</v>
      </c>
      <c r="AC539" s="50" t="s">
        <v>18390</v>
      </c>
      <c r="AD539" s="50" t="s">
        <v>12099</v>
      </c>
      <c r="AE539" s="50" t="s">
        <v>18390</v>
      </c>
      <c r="AF539" s="50" t="s">
        <v>109</v>
      </c>
      <c r="AG539" s="50" t="s">
        <v>102</v>
      </c>
      <c r="AH539" s="50" t="s">
        <v>109</v>
      </c>
      <c r="AI539" s="50" t="s">
        <v>102</v>
      </c>
      <c r="AJ539" s="50" t="s">
        <v>102</v>
      </c>
      <c r="AK539" s="50" t="s">
        <v>15139</v>
      </c>
      <c r="AL539" s="50" t="s">
        <v>15139</v>
      </c>
      <c r="AM539" s="50" t="s">
        <v>18391</v>
      </c>
      <c r="AN539" s="50" t="s">
        <v>18392</v>
      </c>
      <c r="AO539" s="50" t="s">
        <v>18393</v>
      </c>
      <c r="AP539" s="50" t="s">
        <v>18394</v>
      </c>
      <c r="AQ539" s="50" t="s">
        <v>18394</v>
      </c>
      <c r="AV539" s="50" t="s">
        <v>102</v>
      </c>
      <c r="AX539" s="50" t="s">
        <v>104</v>
      </c>
      <c r="AY539" s="50" t="s">
        <v>447</v>
      </c>
      <c r="AZ539" s="50" t="s">
        <v>170</v>
      </c>
      <c r="BA539" s="50" t="s">
        <v>118</v>
      </c>
      <c r="BC539" s="50" t="s">
        <v>171</v>
      </c>
      <c r="BD539" s="50" t="s">
        <v>18395</v>
      </c>
      <c r="BE539" s="50" t="s">
        <v>376</v>
      </c>
      <c r="BF539" s="50" t="s">
        <v>174</v>
      </c>
      <c r="BG539" s="50" t="s">
        <v>376</v>
      </c>
      <c r="BH539" s="50" t="s">
        <v>124</v>
      </c>
      <c r="BI539" s="50" t="s">
        <v>1331</v>
      </c>
      <c r="BJ539" s="50" t="s">
        <v>12931</v>
      </c>
      <c r="BK539" s="50" t="s">
        <v>127</v>
      </c>
      <c r="BL539" s="50" t="s">
        <v>18396</v>
      </c>
      <c r="BM539" s="50" t="s">
        <v>18397</v>
      </c>
      <c r="BN539" s="50" t="s">
        <v>18398</v>
      </c>
      <c r="BO539" s="50" t="s">
        <v>1761</v>
      </c>
      <c r="BP539" s="50" t="s">
        <v>5026</v>
      </c>
      <c r="BQ539" s="50" t="s">
        <v>180</v>
      </c>
      <c r="BR539" s="50" t="s">
        <v>5027</v>
      </c>
      <c r="BS539" s="50" t="s">
        <v>5028</v>
      </c>
      <c r="BT539" s="50" t="s">
        <v>1834</v>
      </c>
      <c r="BV539" s="50" t="s">
        <v>18399</v>
      </c>
      <c r="BW539" s="50" t="s">
        <v>18400</v>
      </c>
      <c r="BX539" s="50" t="s">
        <v>138</v>
      </c>
      <c r="BY539" s="50" t="s">
        <v>18401</v>
      </c>
      <c r="BZ539" s="50" t="s">
        <v>18402</v>
      </c>
      <c r="CA539" s="50" t="s">
        <v>18403</v>
      </c>
      <c r="CB539" s="50" t="s">
        <v>18400</v>
      </c>
      <c r="CC539" s="50" t="s">
        <v>18401</v>
      </c>
      <c r="CD539" s="50" t="s">
        <v>18402</v>
      </c>
      <c r="CE539" s="50" t="s">
        <v>18400</v>
      </c>
      <c r="CF539" s="50" t="s">
        <v>18401</v>
      </c>
      <c r="CG539" s="50" t="s">
        <v>18402</v>
      </c>
      <c r="CH539" s="50" t="s">
        <v>6205</v>
      </c>
      <c r="CI539" s="50" t="s">
        <v>18404</v>
      </c>
      <c r="CK539" s="50" t="s">
        <v>18405</v>
      </c>
      <c r="CL539" s="50" t="s">
        <v>18404</v>
      </c>
      <c r="CM539" s="50" t="s">
        <v>18395</v>
      </c>
      <c r="CN539" s="50" t="s">
        <v>376</v>
      </c>
      <c r="CO539" s="50" t="s">
        <v>18405</v>
      </c>
      <c r="CQ539" s="50" t="s">
        <v>18406</v>
      </c>
      <c r="CR539" s="50" t="s">
        <v>18406</v>
      </c>
      <c r="CS539" s="50" t="s">
        <v>26046</v>
      </c>
    </row>
    <row r="540" spans="1:97" hidden="1">
      <c r="A540" s="50" t="s">
        <v>149</v>
      </c>
      <c r="B540" s="50">
        <v>2503955</v>
      </c>
      <c r="C540" s="50" t="str">
        <f>VLOOKUP(B540,'Drop schools 2026'!B:C,2,0)</f>
        <v>Drop</v>
      </c>
      <c r="D540" s="50" t="s">
        <v>622</v>
      </c>
      <c r="E540" s="50" t="s">
        <v>1279</v>
      </c>
      <c r="F540" s="50" t="s">
        <v>14291</v>
      </c>
      <c r="G540" s="50" t="e">
        <f>VLOOKUP(B540,aa!B:F,5,0)</f>
        <v>#N/A</v>
      </c>
      <c r="H540" s="50" t="e">
        <f>VLOOKUP(B540,aa!B:J,9,0)</f>
        <v>#N/A</v>
      </c>
      <c r="I540" s="50" t="e">
        <f>VLOOKUP(B540,aa!B:L,11,0)</f>
        <v>#N/A</v>
      </c>
      <c r="J540" s="50" t="e">
        <f>VLOOKUP(B540,aa!B:O,14,0)</f>
        <v>#N/A</v>
      </c>
      <c r="K540" s="50" t="e">
        <f>VLOOKUP(B540,aa!B:R,17,0)</f>
        <v>#N/A</v>
      </c>
      <c r="L540" s="50" t="s">
        <v>97</v>
      </c>
      <c r="M540" s="50">
        <v>131047</v>
      </c>
      <c r="N540" s="50">
        <v>131047</v>
      </c>
      <c r="O540" s="50">
        <v>131047</v>
      </c>
      <c r="P540" s="50">
        <v>144</v>
      </c>
      <c r="Q540" s="50" t="s">
        <v>1798</v>
      </c>
      <c r="R540" s="50">
        <v>0</v>
      </c>
      <c r="S540" s="50">
        <v>0</v>
      </c>
      <c r="U540" s="50">
        <v>0</v>
      </c>
      <c r="V540" s="50">
        <v>0</v>
      </c>
      <c r="X540" s="50" t="s">
        <v>102</v>
      </c>
      <c r="Y540" s="50" t="s">
        <v>275</v>
      </c>
      <c r="AA540" s="50" t="s">
        <v>14292</v>
      </c>
      <c r="AB540" s="50" t="s">
        <v>109</v>
      </c>
      <c r="AC540" s="50" t="s">
        <v>102</v>
      </c>
      <c r="AD540" s="50" t="s">
        <v>109</v>
      </c>
      <c r="AE540" s="50" t="s">
        <v>102</v>
      </c>
      <c r="AF540" s="50" t="s">
        <v>109</v>
      </c>
      <c r="AG540" s="50" t="s">
        <v>102</v>
      </c>
      <c r="AH540" s="50" t="s">
        <v>109</v>
      </c>
      <c r="AI540" s="50" t="s">
        <v>102</v>
      </c>
      <c r="AJ540" s="50" t="s">
        <v>102</v>
      </c>
      <c r="AK540" s="50" t="s">
        <v>13033</v>
      </c>
      <c r="AL540" s="50" t="s">
        <v>13033</v>
      </c>
      <c r="AM540" s="50" t="s">
        <v>14293</v>
      </c>
      <c r="AN540" s="50" t="s">
        <v>14294</v>
      </c>
      <c r="AO540" s="50" t="s">
        <v>14295</v>
      </c>
      <c r="AP540" s="50" t="s">
        <v>14296</v>
      </c>
      <c r="AQ540" s="50" t="s">
        <v>14296</v>
      </c>
      <c r="AV540" s="50" t="s">
        <v>318</v>
      </c>
      <c r="AW540" s="50" t="s">
        <v>118</v>
      </c>
      <c r="AX540" s="50" t="s">
        <v>102</v>
      </c>
      <c r="AY540" s="50" t="s">
        <v>119</v>
      </c>
      <c r="BC540" s="50" t="s">
        <v>171</v>
      </c>
      <c r="BD540" s="50" t="s">
        <v>623</v>
      </c>
      <c r="BE540" s="50" t="s">
        <v>621</v>
      </c>
      <c r="BF540" s="50" t="s">
        <v>622</v>
      </c>
      <c r="BG540" s="50" t="s">
        <v>623</v>
      </c>
      <c r="BH540" s="50" t="s">
        <v>124</v>
      </c>
      <c r="BI540" s="50" t="s">
        <v>11959</v>
      </c>
      <c r="BJ540" s="50" t="s">
        <v>11960</v>
      </c>
      <c r="BK540" s="50" t="s">
        <v>127</v>
      </c>
      <c r="BL540" s="50" t="s">
        <v>14297</v>
      </c>
      <c r="BM540" s="50" t="s">
        <v>3814</v>
      </c>
      <c r="BN540" s="50" t="s">
        <v>14298</v>
      </c>
      <c r="BO540" s="50" t="s">
        <v>14292</v>
      </c>
      <c r="BP540" s="50" t="s">
        <v>629</v>
      </c>
      <c r="BQ540" s="50" t="s">
        <v>180</v>
      </c>
      <c r="BR540" s="50" t="s">
        <v>630</v>
      </c>
      <c r="BS540" s="50" t="s">
        <v>631</v>
      </c>
      <c r="BT540" s="50" t="s">
        <v>1279</v>
      </c>
      <c r="BV540" s="50" t="s">
        <v>14299</v>
      </c>
      <c r="BW540" s="50" t="s">
        <v>3817</v>
      </c>
      <c r="BX540" s="50" t="s">
        <v>138</v>
      </c>
      <c r="BY540" s="50" t="s">
        <v>3818</v>
      </c>
      <c r="BZ540" s="50" t="s">
        <v>3819</v>
      </c>
      <c r="CA540" s="50" t="s">
        <v>3818</v>
      </c>
      <c r="CB540" s="50" t="s">
        <v>3817</v>
      </c>
      <c r="CC540" s="50" t="s">
        <v>3818</v>
      </c>
      <c r="CD540" s="50" t="s">
        <v>3819</v>
      </c>
      <c r="CE540" s="50" t="s">
        <v>3817</v>
      </c>
      <c r="CF540" s="50" t="s">
        <v>3818</v>
      </c>
      <c r="CG540" s="50" t="s">
        <v>3819</v>
      </c>
      <c r="CH540" s="50" t="s">
        <v>102</v>
      </c>
      <c r="CI540" s="50" t="s">
        <v>3820</v>
      </c>
      <c r="CK540" s="50" t="s">
        <v>3821</v>
      </c>
      <c r="CM540" s="50" t="s">
        <v>623</v>
      </c>
      <c r="CN540" s="50" t="s">
        <v>621</v>
      </c>
      <c r="CO540" s="50" t="s">
        <v>3821</v>
      </c>
      <c r="CQ540" s="50" t="s">
        <v>3820</v>
      </c>
      <c r="CR540" s="50" t="s">
        <v>3820</v>
      </c>
      <c r="CS540" s="50" t="s">
        <v>26042</v>
      </c>
    </row>
    <row r="541" spans="1:97" hidden="1">
      <c r="A541" s="50" t="s">
        <v>337</v>
      </c>
      <c r="B541" s="50">
        <v>5017448</v>
      </c>
      <c r="C541" s="50" t="e">
        <f>VLOOKUP(B541,'Drop schools 2026'!B:C,2,0)</f>
        <v>#N/A</v>
      </c>
      <c r="D541" s="50" t="s">
        <v>622</v>
      </c>
      <c r="E541" s="50" t="s">
        <v>985</v>
      </c>
      <c r="F541" s="50" t="s">
        <v>19047</v>
      </c>
      <c r="G541" s="50" t="e">
        <f>VLOOKUP(B541,aa!B:F,5,0)</f>
        <v>#N/A</v>
      </c>
      <c r="H541" s="50" t="e">
        <f>VLOOKUP(B541,aa!B:J,9,0)</f>
        <v>#N/A</v>
      </c>
      <c r="I541" s="50" t="e">
        <f>VLOOKUP(B541,aa!B:L,11,0)</f>
        <v>#N/A</v>
      </c>
      <c r="J541" s="50" t="e">
        <f>VLOOKUP(B541,aa!B:O,14,0)</f>
        <v>#N/A</v>
      </c>
      <c r="K541" s="50" t="e">
        <f>VLOOKUP(B541,aa!B:R,17,0)</f>
        <v>#N/A</v>
      </c>
      <c r="L541" s="50" t="s">
        <v>97</v>
      </c>
      <c r="M541" s="50">
        <v>129026</v>
      </c>
      <c r="N541" s="50">
        <v>129026</v>
      </c>
      <c r="O541" s="50">
        <v>129026</v>
      </c>
      <c r="P541" s="50">
        <v>258</v>
      </c>
      <c r="Q541" s="50" t="s">
        <v>364</v>
      </c>
      <c r="R541" s="50">
        <v>0</v>
      </c>
      <c r="S541" s="50">
        <v>0</v>
      </c>
      <c r="U541" s="50">
        <v>0</v>
      </c>
      <c r="V541" s="50">
        <v>0</v>
      </c>
      <c r="X541" s="50" t="s">
        <v>102</v>
      </c>
      <c r="Y541" s="50" t="s">
        <v>103</v>
      </c>
      <c r="Z541" s="50" t="s">
        <v>104</v>
      </c>
      <c r="AB541" s="50" t="s">
        <v>7020</v>
      </c>
      <c r="AC541" s="50" t="s">
        <v>19048</v>
      </c>
      <c r="AD541" s="50" t="s">
        <v>12099</v>
      </c>
      <c r="AE541" s="50" t="s">
        <v>19048</v>
      </c>
      <c r="AF541" s="50" t="s">
        <v>109</v>
      </c>
      <c r="AG541" s="50" t="s">
        <v>102</v>
      </c>
      <c r="AH541" s="50" t="s">
        <v>109</v>
      </c>
      <c r="AI541" s="50" t="s">
        <v>102</v>
      </c>
      <c r="AJ541" s="50" t="s">
        <v>19049</v>
      </c>
      <c r="AK541" s="50" t="s">
        <v>13216</v>
      </c>
      <c r="AL541" s="50" t="s">
        <v>12470</v>
      </c>
      <c r="AM541" s="50" t="s">
        <v>19050</v>
      </c>
      <c r="AN541" s="50" t="s">
        <v>19051</v>
      </c>
      <c r="AO541" s="50" t="s">
        <v>5926</v>
      </c>
      <c r="AP541" s="50" t="s">
        <v>2353</v>
      </c>
      <c r="AQ541" s="50" t="s">
        <v>2353</v>
      </c>
      <c r="AV541" s="50" t="s">
        <v>117</v>
      </c>
      <c r="AW541" s="50" t="s">
        <v>118</v>
      </c>
      <c r="AX541" s="50" t="s">
        <v>102</v>
      </c>
      <c r="AY541" s="50" t="s">
        <v>119</v>
      </c>
      <c r="BC541" s="50" t="s">
        <v>120</v>
      </c>
      <c r="BD541" s="50" t="s">
        <v>19052</v>
      </c>
      <c r="BE541" s="50" t="s">
        <v>621</v>
      </c>
      <c r="BF541" s="50" t="s">
        <v>622</v>
      </c>
      <c r="BG541" s="50" t="s">
        <v>976</v>
      </c>
      <c r="BH541" s="50" t="s">
        <v>124</v>
      </c>
      <c r="BI541" s="50" t="s">
        <v>12023</v>
      </c>
      <c r="BJ541" s="50" t="s">
        <v>11889</v>
      </c>
      <c r="BK541" s="50" t="s">
        <v>127</v>
      </c>
      <c r="BL541" s="50" t="s">
        <v>19053</v>
      </c>
      <c r="BM541" s="50" t="s">
        <v>19054</v>
      </c>
      <c r="BN541" s="50" t="s">
        <v>19055</v>
      </c>
      <c r="BO541" s="50" t="s">
        <v>6768</v>
      </c>
      <c r="BP541" s="50" t="s">
        <v>13638</v>
      </c>
      <c r="BQ541" s="50" t="s">
        <v>132</v>
      </c>
      <c r="BR541" s="50" t="s">
        <v>13639</v>
      </c>
      <c r="BS541" s="50" t="s">
        <v>13640</v>
      </c>
      <c r="BT541" s="50" t="s">
        <v>984</v>
      </c>
      <c r="BU541" s="50" t="s">
        <v>985</v>
      </c>
      <c r="BV541" s="50" t="s">
        <v>19056</v>
      </c>
      <c r="BW541" s="50" t="s">
        <v>17509</v>
      </c>
      <c r="BX541" s="50" t="s">
        <v>598</v>
      </c>
      <c r="BY541" s="50" t="s">
        <v>8158</v>
      </c>
      <c r="BZ541" s="50" t="s">
        <v>13643</v>
      </c>
      <c r="CA541" s="50" t="s">
        <v>8158</v>
      </c>
      <c r="CB541" s="50" t="s">
        <v>19057</v>
      </c>
      <c r="CC541" s="50" t="s">
        <v>19058</v>
      </c>
      <c r="CD541" s="50" t="s">
        <v>13643</v>
      </c>
      <c r="CE541" s="50" t="s">
        <v>17509</v>
      </c>
      <c r="CF541" s="50" t="s">
        <v>8158</v>
      </c>
      <c r="CG541" s="50" t="s">
        <v>13643</v>
      </c>
      <c r="CH541" s="50" t="s">
        <v>19059</v>
      </c>
      <c r="CI541" s="50" t="s">
        <v>19060</v>
      </c>
      <c r="CK541" s="50" t="s">
        <v>10907</v>
      </c>
      <c r="CL541" s="50" t="s">
        <v>19061</v>
      </c>
      <c r="CM541" s="50" t="s">
        <v>2127</v>
      </c>
      <c r="CN541" s="50" t="s">
        <v>621</v>
      </c>
      <c r="CO541" s="50" t="s">
        <v>19062</v>
      </c>
      <c r="CP541" s="50" t="s">
        <v>2857</v>
      </c>
      <c r="CQ541" s="50" t="s">
        <v>19063</v>
      </c>
      <c r="CR541" s="50" t="s">
        <v>14774</v>
      </c>
      <c r="CS541" s="50" t="s">
        <v>26040</v>
      </c>
    </row>
    <row r="542" spans="1:97" hidden="1">
      <c r="A542" s="50" t="s">
        <v>149</v>
      </c>
      <c r="B542" s="50">
        <v>5015890</v>
      </c>
      <c r="C542" s="50" t="e">
        <f>VLOOKUP(B542,'Drop schools 2026'!B:C,2,0)</f>
        <v>#N/A</v>
      </c>
      <c r="D542" s="50" t="s">
        <v>622</v>
      </c>
      <c r="E542" s="50" t="s">
        <v>985</v>
      </c>
      <c r="F542" s="50" t="s">
        <v>9531</v>
      </c>
      <c r="G542" s="50" t="e">
        <f>VLOOKUP(B542,aa!B:F,5,0)</f>
        <v>#N/A</v>
      </c>
      <c r="H542" s="50" t="e">
        <f>VLOOKUP(B542,aa!B:J,9,0)</f>
        <v>#N/A</v>
      </c>
      <c r="I542" s="50" t="e">
        <f>VLOOKUP(B542,aa!B:L,11,0)</f>
        <v>#N/A</v>
      </c>
      <c r="J542" s="50" t="e">
        <f>VLOOKUP(B542,aa!B:O,14,0)</f>
        <v>#N/A</v>
      </c>
      <c r="K542" s="50" t="e">
        <f>VLOOKUP(B542,aa!B:R,17,0)</f>
        <v>#N/A</v>
      </c>
      <c r="L542" s="50" t="s">
        <v>97</v>
      </c>
      <c r="M542" s="50">
        <v>128162</v>
      </c>
      <c r="N542" s="50">
        <v>128162</v>
      </c>
      <c r="O542" s="50">
        <v>128162</v>
      </c>
      <c r="P542" s="50">
        <v>233</v>
      </c>
      <c r="Q542" s="50" t="s">
        <v>3431</v>
      </c>
      <c r="R542" s="50">
        <v>0</v>
      </c>
      <c r="S542" s="50">
        <v>0</v>
      </c>
      <c r="U542" s="50">
        <v>0</v>
      </c>
      <c r="V542" s="50">
        <v>0</v>
      </c>
      <c r="X542" s="50" t="s">
        <v>102</v>
      </c>
      <c r="Y542" s="50" t="s">
        <v>275</v>
      </c>
      <c r="AA542" s="50" t="s">
        <v>12023</v>
      </c>
      <c r="AB542" s="50" t="s">
        <v>109</v>
      </c>
      <c r="AC542" s="50" t="s">
        <v>102</v>
      </c>
      <c r="AD542" s="50" t="s">
        <v>109</v>
      </c>
      <c r="AE542" s="50" t="s">
        <v>102</v>
      </c>
      <c r="AF542" s="50" t="s">
        <v>109</v>
      </c>
      <c r="AG542" s="50" t="s">
        <v>102</v>
      </c>
      <c r="AH542" s="50" t="s">
        <v>109</v>
      </c>
      <c r="AI542" s="50" t="s">
        <v>102</v>
      </c>
      <c r="AJ542" s="50" t="s">
        <v>102</v>
      </c>
      <c r="AM542" s="50" t="s">
        <v>18767</v>
      </c>
      <c r="AN542" s="50" t="s">
        <v>102</v>
      </c>
      <c r="AO542" s="50" t="s">
        <v>18767</v>
      </c>
      <c r="AP542" s="50" t="s">
        <v>3438</v>
      </c>
      <c r="AQ542" s="50" t="s">
        <v>3438</v>
      </c>
      <c r="AV542" s="50" t="s">
        <v>318</v>
      </c>
      <c r="AW542" s="50" t="s">
        <v>118</v>
      </c>
      <c r="AX542" s="50" t="s">
        <v>102</v>
      </c>
      <c r="AY542" s="50" t="s">
        <v>119</v>
      </c>
      <c r="BC542" s="50" t="s">
        <v>120</v>
      </c>
      <c r="BD542" s="50" t="s">
        <v>2127</v>
      </c>
      <c r="BE542" s="50" t="s">
        <v>621</v>
      </c>
      <c r="BF542" s="50" t="s">
        <v>622</v>
      </c>
      <c r="BG542" s="50" t="s">
        <v>976</v>
      </c>
      <c r="BH542" s="50" t="s">
        <v>124</v>
      </c>
      <c r="BI542" s="50" t="s">
        <v>5694</v>
      </c>
      <c r="BJ542" s="50" t="s">
        <v>11889</v>
      </c>
      <c r="BK542" s="50" t="s">
        <v>127</v>
      </c>
      <c r="BL542" s="50" t="s">
        <v>18768</v>
      </c>
      <c r="BM542" s="50" t="s">
        <v>9537</v>
      </c>
      <c r="BN542" s="50" t="s">
        <v>18769</v>
      </c>
      <c r="BO542" s="50" t="s">
        <v>126</v>
      </c>
      <c r="BP542" s="50" t="s">
        <v>981</v>
      </c>
      <c r="BQ542" s="50" t="s">
        <v>132</v>
      </c>
      <c r="BR542" s="50" t="s">
        <v>982</v>
      </c>
      <c r="BS542" s="50" t="s">
        <v>983</v>
      </c>
      <c r="BT542" s="50" t="s">
        <v>984</v>
      </c>
      <c r="BV542" s="50" t="s">
        <v>18770</v>
      </c>
      <c r="BW542" s="50" t="s">
        <v>9540</v>
      </c>
      <c r="BX542" s="50" t="s">
        <v>138</v>
      </c>
      <c r="BY542" s="50" t="s">
        <v>9541</v>
      </c>
      <c r="BZ542" s="50" t="s">
        <v>9542</v>
      </c>
      <c r="CA542" s="50" t="s">
        <v>9541</v>
      </c>
      <c r="CB542" s="50" t="s">
        <v>9540</v>
      </c>
      <c r="CC542" s="50" t="s">
        <v>9541</v>
      </c>
      <c r="CD542" s="50" t="s">
        <v>9542</v>
      </c>
      <c r="CE542" s="50" t="s">
        <v>18771</v>
      </c>
      <c r="CF542" s="50" t="s">
        <v>18772</v>
      </c>
      <c r="CG542" s="50" t="s">
        <v>18773</v>
      </c>
      <c r="CH542" s="50" t="s">
        <v>102</v>
      </c>
      <c r="CI542" s="50" t="s">
        <v>18774</v>
      </c>
      <c r="CK542" s="50" t="s">
        <v>9544</v>
      </c>
      <c r="CM542" s="50" t="s">
        <v>2127</v>
      </c>
      <c r="CN542" s="50" t="s">
        <v>621</v>
      </c>
      <c r="CO542" s="50" t="s">
        <v>9544</v>
      </c>
      <c r="CQ542" s="50" t="s">
        <v>9543</v>
      </c>
      <c r="CR542" s="50" t="s">
        <v>9543</v>
      </c>
      <c r="CS542" s="50" t="s">
        <v>26040</v>
      </c>
    </row>
    <row r="543" spans="1:97" hidden="1">
      <c r="A543" s="50" t="s">
        <v>93</v>
      </c>
      <c r="B543" s="50">
        <v>5018350</v>
      </c>
      <c r="C543" s="50" t="e">
        <f>VLOOKUP(B543,'Drop schools 2026'!B:C,2,0)</f>
        <v>#N/A</v>
      </c>
      <c r="D543" s="50" t="s">
        <v>622</v>
      </c>
      <c r="E543" s="50" t="s">
        <v>3562</v>
      </c>
      <c r="F543" s="50" t="s">
        <v>10705</v>
      </c>
      <c r="G543" s="50" t="e">
        <f>VLOOKUP(B543,aa!B:F,5,0)</f>
        <v>#N/A</v>
      </c>
      <c r="H543" s="50" t="e">
        <f>VLOOKUP(B543,aa!B:J,9,0)</f>
        <v>#N/A</v>
      </c>
      <c r="I543" s="50" t="e">
        <f>VLOOKUP(B543,aa!B:L,11,0)</f>
        <v>#N/A</v>
      </c>
      <c r="J543" s="50" t="e">
        <f>VLOOKUP(B543,aa!B:O,14,0)</f>
        <v>#N/A</v>
      </c>
      <c r="K543" s="50" t="e">
        <f>VLOOKUP(B543,aa!B:R,17,0)</f>
        <v>#N/A</v>
      </c>
      <c r="L543" s="50" t="s">
        <v>3549</v>
      </c>
      <c r="M543" s="50">
        <v>126830</v>
      </c>
      <c r="N543" s="50">
        <v>146623</v>
      </c>
      <c r="O543" s="50">
        <v>16867</v>
      </c>
      <c r="P543" s="50">
        <v>13</v>
      </c>
      <c r="Q543" s="50" t="s">
        <v>19666</v>
      </c>
      <c r="R543" s="50">
        <v>0</v>
      </c>
      <c r="S543" s="50">
        <v>0</v>
      </c>
      <c r="U543" s="50">
        <v>109963</v>
      </c>
      <c r="V543" s="50">
        <v>25</v>
      </c>
      <c r="W543" s="50" t="s">
        <v>19667</v>
      </c>
      <c r="X543" s="50" t="s">
        <v>102</v>
      </c>
      <c r="Y543" s="50" t="s">
        <v>275</v>
      </c>
      <c r="AA543" s="50" t="s">
        <v>12480</v>
      </c>
      <c r="AB543" s="50" t="s">
        <v>109</v>
      </c>
      <c r="AC543" s="50" t="s">
        <v>102</v>
      </c>
      <c r="AD543" s="50" t="s">
        <v>109</v>
      </c>
      <c r="AE543" s="50" t="s">
        <v>102</v>
      </c>
      <c r="AF543" s="50" t="s">
        <v>109</v>
      </c>
      <c r="AG543" s="50" t="s">
        <v>102</v>
      </c>
      <c r="AH543" s="50" t="s">
        <v>109</v>
      </c>
      <c r="AI543" s="50" t="s">
        <v>102</v>
      </c>
      <c r="AJ543" s="50" t="s">
        <v>102</v>
      </c>
      <c r="AK543" s="50" t="s">
        <v>12289</v>
      </c>
      <c r="AL543" s="50" t="s">
        <v>12289</v>
      </c>
      <c r="AM543" s="50" t="s">
        <v>19668</v>
      </c>
      <c r="AN543" s="50" t="s">
        <v>19669</v>
      </c>
      <c r="AO543" s="50" t="s">
        <v>19670</v>
      </c>
      <c r="AP543" s="50" t="s">
        <v>19671</v>
      </c>
      <c r="AQ543" s="50" t="s">
        <v>19672</v>
      </c>
      <c r="AT543" s="50" t="s">
        <v>169</v>
      </c>
      <c r="AV543" s="50" t="s">
        <v>117</v>
      </c>
      <c r="AW543" s="50" t="s">
        <v>118</v>
      </c>
      <c r="AX543" s="50" t="s">
        <v>102</v>
      </c>
      <c r="AY543" s="50" t="s">
        <v>119</v>
      </c>
      <c r="BB543" s="50" t="s">
        <v>250</v>
      </c>
      <c r="BC543" s="50" t="s">
        <v>209</v>
      </c>
      <c r="BD543" s="50" t="s">
        <v>3714</v>
      </c>
      <c r="BE543" s="50" t="s">
        <v>730</v>
      </c>
      <c r="BF543" s="50" t="s">
        <v>622</v>
      </c>
      <c r="BG543" s="50" t="s">
        <v>730</v>
      </c>
      <c r="BH543" s="50" t="s">
        <v>124</v>
      </c>
      <c r="BI543" s="50" t="s">
        <v>13496</v>
      </c>
      <c r="BJ543" s="50" t="s">
        <v>19673</v>
      </c>
      <c r="BK543" s="50" t="s">
        <v>127</v>
      </c>
      <c r="BL543" s="50" t="s">
        <v>19674</v>
      </c>
      <c r="BM543" s="50" t="s">
        <v>10713</v>
      </c>
      <c r="BN543" s="50" t="s">
        <v>19675</v>
      </c>
      <c r="BO543" s="50" t="s">
        <v>13075</v>
      </c>
      <c r="BP543" s="50" t="s">
        <v>3910</v>
      </c>
      <c r="BQ543" s="50" t="s">
        <v>350</v>
      </c>
      <c r="BR543" s="50" t="s">
        <v>3911</v>
      </c>
      <c r="BS543" s="50" t="s">
        <v>3912</v>
      </c>
      <c r="BT543" s="50" t="s">
        <v>2569</v>
      </c>
      <c r="BV543" s="50" t="s">
        <v>19676</v>
      </c>
      <c r="BW543" s="50" t="s">
        <v>19677</v>
      </c>
      <c r="BX543" s="50" t="s">
        <v>354</v>
      </c>
      <c r="BY543" s="50" t="s">
        <v>19678</v>
      </c>
      <c r="BZ543" s="50" t="s">
        <v>10718</v>
      </c>
      <c r="CA543" s="50" t="s">
        <v>10717</v>
      </c>
      <c r="CB543" s="50" t="s">
        <v>10719</v>
      </c>
      <c r="CC543" s="50" t="s">
        <v>19679</v>
      </c>
      <c r="CD543" s="50" t="s">
        <v>10721</v>
      </c>
      <c r="CE543" s="50" t="s">
        <v>10719</v>
      </c>
      <c r="CF543" s="50" t="s">
        <v>19679</v>
      </c>
      <c r="CG543" s="50" t="s">
        <v>10721</v>
      </c>
      <c r="CH543" s="50" t="s">
        <v>6457</v>
      </c>
      <c r="CI543" s="50" t="s">
        <v>10722</v>
      </c>
      <c r="CK543" s="50" t="s">
        <v>10723</v>
      </c>
      <c r="CL543" s="50" t="s">
        <v>19680</v>
      </c>
      <c r="CM543" s="50" t="s">
        <v>3714</v>
      </c>
      <c r="CN543" s="50" t="s">
        <v>730</v>
      </c>
      <c r="CO543" s="50" t="s">
        <v>10723</v>
      </c>
      <c r="CQ543" s="50" t="s">
        <v>10722</v>
      </c>
      <c r="CR543" s="50" t="s">
        <v>10724</v>
      </c>
      <c r="CS543" s="50" t="s">
        <v>26047</v>
      </c>
    </row>
    <row r="544" spans="1:97" hidden="1">
      <c r="A544" s="50" t="s">
        <v>149</v>
      </c>
      <c r="B544" s="50">
        <v>2451376</v>
      </c>
      <c r="C544" s="50" t="e">
        <f>VLOOKUP(B544,'Drop schools 2026'!B:C,2,0)</f>
        <v>#N/A</v>
      </c>
      <c r="D544" s="50" t="s">
        <v>212</v>
      </c>
      <c r="E544" s="50" t="s">
        <v>12423</v>
      </c>
      <c r="F544" s="50" t="s">
        <v>3412</v>
      </c>
      <c r="G544" s="50" t="e">
        <f>VLOOKUP(B544,aa!B:F,5,0)</f>
        <v>#N/A</v>
      </c>
      <c r="H544" s="50" t="e">
        <f>VLOOKUP(B544,aa!B:J,9,0)</f>
        <v>#N/A</v>
      </c>
      <c r="I544" s="50" t="e">
        <f>VLOOKUP(B544,aa!B:L,11,0)</f>
        <v>#N/A</v>
      </c>
      <c r="J544" s="50" t="e">
        <f>VLOOKUP(B544,aa!B:O,14,0)</f>
        <v>#N/A</v>
      </c>
      <c r="K544" s="50" t="e">
        <f>VLOOKUP(B544,aa!B:R,17,0)</f>
        <v>#N/A</v>
      </c>
      <c r="L544" s="50" t="s">
        <v>97</v>
      </c>
      <c r="M544" s="50">
        <v>125487</v>
      </c>
      <c r="N544" s="50">
        <v>125487</v>
      </c>
      <c r="O544" s="50">
        <v>125487</v>
      </c>
      <c r="P544" s="50">
        <v>251</v>
      </c>
      <c r="Q544" s="50" t="s">
        <v>364</v>
      </c>
      <c r="R544" s="50">
        <v>0</v>
      </c>
      <c r="S544" s="50">
        <v>0</v>
      </c>
      <c r="U544" s="50">
        <v>0</v>
      </c>
      <c r="V544" s="50">
        <v>0</v>
      </c>
      <c r="X544" s="50" t="s">
        <v>102</v>
      </c>
      <c r="Y544" s="50" t="s">
        <v>103</v>
      </c>
      <c r="Z544" s="50" t="s">
        <v>104</v>
      </c>
      <c r="AB544" s="50" t="s">
        <v>11976</v>
      </c>
      <c r="AC544" s="50" t="s">
        <v>14001</v>
      </c>
      <c r="AD544" s="50" t="s">
        <v>12084</v>
      </c>
      <c r="AE544" s="50" t="s">
        <v>14001</v>
      </c>
      <c r="AF544" s="50" t="s">
        <v>109</v>
      </c>
      <c r="AG544" s="50" t="s">
        <v>102</v>
      </c>
      <c r="AH544" s="50" t="s">
        <v>109</v>
      </c>
      <c r="AI544" s="50" t="s">
        <v>102</v>
      </c>
      <c r="AJ544" s="50" t="s">
        <v>14002</v>
      </c>
      <c r="AK544" s="50" t="s">
        <v>13832</v>
      </c>
      <c r="AL544" s="50" t="s">
        <v>14003</v>
      </c>
      <c r="AM544" s="50" t="s">
        <v>14004</v>
      </c>
      <c r="AN544" s="50" t="s">
        <v>14005</v>
      </c>
      <c r="AO544" s="50" t="s">
        <v>102</v>
      </c>
      <c r="AP544" s="50" t="s">
        <v>2307</v>
      </c>
      <c r="AQ544" s="50" t="s">
        <v>2307</v>
      </c>
      <c r="AV544" s="50" t="s">
        <v>117</v>
      </c>
      <c r="AW544" s="50" t="s">
        <v>118</v>
      </c>
      <c r="AX544" s="50" t="s">
        <v>102</v>
      </c>
      <c r="AY544" s="50" t="s">
        <v>119</v>
      </c>
      <c r="BC544" s="50" t="s">
        <v>209</v>
      </c>
      <c r="BD544" s="50" t="s">
        <v>1759</v>
      </c>
      <c r="BE544" s="50" t="s">
        <v>410</v>
      </c>
      <c r="BF544" s="50" t="s">
        <v>212</v>
      </c>
      <c r="BG544" s="50" t="s">
        <v>410</v>
      </c>
      <c r="BH544" s="50" t="s">
        <v>124</v>
      </c>
      <c r="BI544" s="50" t="s">
        <v>11959</v>
      </c>
      <c r="BJ544" s="50" t="s">
        <v>12047</v>
      </c>
      <c r="BK544" s="50" t="s">
        <v>127</v>
      </c>
      <c r="BL544" s="50" t="s">
        <v>14006</v>
      </c>
      <c r="BM544" s="50" t="s">
        <v>3421</v>
      </c>
      <c r="BN544" s="50" t="s">
        <v>14007</v>
      </c>
      <c r="BO544" s="50" t="s">
        <v>14000</v>
      </c>
      <c r="BP544" s="50" t="s">
        <v>415</v>
      </c>
      <c r="BQ544" s="50" t="s">
        <v>350</v>
      </c>
      <c r="BR544" s="50" t="s">
        <v>416</v>
      </c>
      <c r="BS544" s="50" t="s">
        <v>417</v>
      </c>
      <c r="BT544" s="50" t="s">
        <v>222</v>
      </c>
      <c r="BV544" s="50" t="s">
        <v>14008</v>
      </c>
      <c r="BW544" s="50" t="s">
        <v>3424</v>
      </c>
      <c r="BX544" s="50" t="s">
        <v>138</v>
      </c>
      <c r="BY544" s="50" t="s">
        <v>3425</v>
      </c>
      <c r="BZ544" s="50" t="s">
        <v>3426</v>
      </c>
      <c r="CA544" s="50" t="s">
        <v>3427</v>
      </c>
      <c r="CB544" s="50" t="s">
        <v>3424</v>
      </c>
      <c r="CC544" s="50" t="s">
        <v>3425</v>
      </c>
      <c r="CD544" s="50" t="s">
        <v>3426</v>
      </c>
      <c r="CE544" s="50" t="s">
        <v>3424</v>
      </c>
      <c r="CF544" s="50" t="s">
        <v>3425</v>
      </c>
      <c r="CG544" s="50" t="s">
        <v>3426</v>
      </c>
      <c r="CH544" s="50" t="s">
        <v>102</v>
      </c>
      <c r="CI544" s="50" t="s">
        <v>3428</v>
      </c>
      <c r="CK544" s="50" t="s">
        <v>2740</v>
      </c>
      <c r="CM544" s="50" t="s">
        <v>1759</v>
      </c>
      <c r="CN544" s="50" t="s">
        <v>410</v>
      </c>
      <c r="CO544" s="50" t="s">
        <v>2740</v>
      </c>
      <c r="CP544" s="50" t="s">
        <v>1775</v>
      </c>
      <c r="CQ544" s="50" t="s">
        <v>3428</v>
      </c>
      <c r="CR544" s="50" t="s">
        <v>3428</v>
      </c>
      <c r="CS544" s="50" t="s">
        <v>26040</v>
      </c>
    </row>
    <row r="545" spans="1:97" hidden="1">
      <c r="A545" s="50" t="s">
        <v>149</v>
      </c>
      <c r="B545" s="50">
        <v>3303259</v>
      </c>
      <c r="C545" s="50" t="e">
        <f>VLOOKUP(B545,'Drop schools 2026'!B:C,2,0)</f>
        <v>#N/A</v>
      </c>
      <c r="D545" s="50" t="s">
        <v>122</v>
      </c>
      <c r="E545" s="50" t="s">
        <v>12507</v>
      </c>
      <c r="F545" s="50" t="s">
        <v>5415</v>
      </c>
      <c r="G545" s="50" t="str">
        <f>VLOOKUP(B545,aa!B:F,5,0)</f>
        <v>Ei ASSET</v>
      </c>
      <c r="H545" s="50">
        <f>VLOOKUP(B545,aa!B:J,9,0)</f>
        <v>123207</v>
      </c>
      <c r="I545" s="50">
        <f>VLOOKUP(B545,aa!B:L,11,0)</f>
        <v>123207</v>
      </c>
      <c r="J545" s="50">
        <f>VLOOKUP(B545,aa!B:O,14,0)</f>
        <v>0</v>
      </c>
      <c r="K545" s="50">
        <f>VLOOKUP(B545,aa!B:R,17,0)</f>
        <v>0</v>
      </c>
      <c r="L545" s="50" t="s">
        <v>97</v>
      </c>
      <c r="M545" s="50">
        <v>124087</v>
      </c>
      <c r="N545" s="50">
        <v>124087</v>
      </c>
      <c r="O545" s="50">
        <v>124087</v>
      </c>
      <c r="P545" s="50">
        <v>141</v>
      </c>
      <c r="Q545" s="50" t="s">
        <v>12942</v>
      </c>
      <c r="R545" s="50">
        <v>0</v>
      </c>
      <c r="S545" s="50">
        <v>0</v>
      </c>
      <c r="U545" s="50">
        <v>0</v>
      </c>
      <c r="V545" s="50">
        <v>0</v>
      </c>
      <c r="X545" s="50" t="s">
        <v>102</v>
      </c>
      <c r="Y545" s="50" t="s">
        <v>679</v>
      </c>
      <c r="Z545" s="50" t="s">
        <v>398</v>
      </c>
      <c r="AA545" s="50" t="s">
        <v>12395</v>
      </c>
      <c r="AB545" s="50" t="s">
        <v>15484</v>
      </c>
      <c r="AC545" s="50" t="s">
        <v>15485</v>
      </c>
      <c r="AD545" s="50" t="s">
        <v>15486</v>
      </c>
      <c r="AE545" s="50" t="s">
        <v>15487</v>
      </c>
      <c r="AF545" s="50" t="s">
        <v>15488</v>
      </c>
      <c r="AG545" s="50" t="s">
        <v>15487</v>
      </c>
      <c r="AH545" s="50" t="s">
        <v>109</v>
      </c>
      <c r="AI545" s="50" t="s">
        <v>102</v>
      </c>
      <c r="AJ545" s="50" t="s">
        <v>102</v>
      </c>
      <c r="AK545" s="50" t="s">
        <v>6715</v>
      </c>
      <c r="AL545" s="50" t="s">
        <v>15489</v>
      </c>
      <c r="AM545" s="50" t="s">
        <v>15490</v>
      </c>
      <c r="AN545" s="50" t="s">
        <v>15491</v>
      </c>
      <c r="AO545" s="50" t="s">
        <v>15492</v>
      </c>
      <c r="AP545" s="50" t="s">
        <v>13068</v>
      </c>
      <c r="AQ545" s="50" t="s">
        <v>13069</v>
      </c>
      <c r="AU545" s="50" t="s">
        <v>169</v>
      </c>
      <c r="AV545" s="50" t="s">
        <v>117</v>
      </c>
      <c r="AW545" s="50" t="s">
        <v>118</v>
      </c>
      <c r="AX545" s="50" t="s">
        <v>102</v>
      </c>
      <c r="AY545" s="50" t="s">
        <v>119</v>
      </c>
      <c r="BC545" s="50" t="s">
        <v>120</v>
      </c>
      <c r="BD545" s="50" t="s">
        <v>5423</v>
      </c>
      <c r="BE545" s="50" t="s">
        <v>2543</v>
      </c>
      <c r="BF545" s="50" t="s">
        <v>122</v>
      </c>
      <c r="BG545" s="50" t="s">
        <v>557</v>
      </c>
      <c r="BH545" s="50" t="s">
        <v>124</v>
      </c>
      <c r="BI545" s="50" t="s">
        <v>12023</v>
      </c>
      <c r="BJ545" s="50" t="s">
        <v>11889</v>
      </c>
      <c r="BK545" s="50" t="s">
        <v>127</v>
      </c>
      <c r="BL545" s="50" t="s">
        <v>15493</v>
      </c>
      <c r="BM545" s="50" t="s">
        <v>5425</v>
      </c>
      <c r="BN545" s="50" t="s">
        <v>15494</v>
      </c>
      <c r="BO545" s="50" t="s">
        <v>15483</v>
      </c>
      <c r="BP545" s="50" t="s">
        <v>12743</v>
      </c>
      <c r="BQ545" s="50" t="s">
        <v>350</v>
      </c>
      <c r="BR545" s="50" t="s">
        <v>12744</v>
      </c>
      <c r="BS545" s="50" t="s">
        <v>12745</v>
      </c>
      <c r="BT545" s="50" t="s">
        <v>1075</v>
      </c>
      <c r="BV545" s="50" t="s">
        <v>15495</v>
      </c>
      <c r="BW545" s="50" t="s">
        <v>5428</v>
      </c>
      <c r="BX545" s="50" t="s">
        <v>138</v>
      </c>
      <c r="BY545" s="50" t="s">
        <v>5429</v>
      </c>
      <c r="BZ545" s="50" t="s">
        <v>5430</v>
      </c>
      <c r="CA545" s="50" t="s">
        <v>5431</v>
      </c>
      <c r="CB545" s="50" t="s">
        <v>5428</v>
      </c>
      <c r="CC545" s="50" t="s">
        <v>5431</v>
      </c>
      <c r="CD545" s="50" t="s">
        <v>15496</v>
      </c>
      <c r="CE545" s="50" t="s">
        <v>5428</v>
      </c>
      <c r="CF545" s="50" t="s">
        <v>5431</v>
      </c>
      <c r="CG545" s="50" t="s">
        <v>15496</v>
      </c>
      <c r="CH545" s="50" t="s">
        <v>573</v>
      </c>
      <c r="CI545" s="50" t="s">
        <v>2831</v>
      </c>
      <c r="CK545" s="50" t="s">
        <v>5433</v>
      </c>
      <c r="CL545" s="50" t="s">
        <v>5432</v>
      </c>
      <c r="CM545" s="50" t="s">
        <v>5423</v>
      </c>
      <c r="CN545" s="50" t="s">
        <v>2543</v>
      </c>
      <c r="CO545" s="50" t="s">
        <v>5433</v>
      </c>
      <c r="CQ545" s="50" t="s">
        <v>5432</v>
      </c>
      <c r="CR545" s="50" t="s">
        <v>5432</v>
      </c>
    </row>
    <row r="546" spans="1:97" hidden="1">
      <c r="A546" s="50" t="s">
        <v>149</v>
      </c>
      <c r="B546" s="50">
        <v>28968</v>
      </c>
      <c r="C546" s="50" t="e">
        <f>VLOOKUP(B546,'Drop schools 2026'!B:C,2,0)</f>
        <v>#N/A</v>
      </c>
      <c r="D546" s="50" t="s">
        <v>122</v>
      </c>
      <c r="E546" s="50" t="s">
        <v>12491</v>
      </c>
      <c r="F546" s="50" t="s">
        <v>4492</v>
      </c>
      <c r="G546" s="50" t="e">
        <f>VLOOKUP(B546,aa!B:F,5,0)</f>
        <v>#N/A</v>
      </c>
      <c r="H546" s="50" t="e">
        <f>VLOOKUP(B546,aa!B:J,9,0)</f>
        <v>#N/A</v>
      </c>
      <c r="I546" s="50" t="e">
        <f>VLOOKUP(B546,aa!B:L,11,0)</f>
        <v>#N/A</v>
      </c>
      <c r="J546" s="50" t="e">
        <f>VLOOKUP(B546,aa!B:O,14,0)</f>
        <v>#N/A</v>
      </c>
      <c r="K546" s="50" t="e">
        <f>VLOOKUP(B546,aa!B:R,17,0)</f>
        <v>#N/A</v>
      </c>
      <c r="L546" s="50" t="s">
        <v>152</v>
      </c>
      <c r="M546" s="50">
        <v>123843</v>
      </c>
      <c r="N546" s="50">
        <v>123843</v>
      </c>
      <c r="O546" s="50">
        <v>0</v>
      </c>
      <c r="P546" s="50">
        <v>0</v>
      </c>
      <c r="R546" s="50">
        <v>123843</v>
      </c>
      <c r="S546" s="50">
        <v>112</v>
      </c>
      <c r="T546" s="50" t="s">
        <v>14805</v>
      </c>
      <c r="U546" s="50">
        <v>0</v>
      </c>
      <c r="V546" s="50">
        <v>0</v>
      </c>
      <c r="X546" s="50" t="s">
        <v>102</v>
      </c>
      <c r="Y546" s="50" t="s">
        <v>103</v>
      </c>
      <c r="Z546" s="50" t="s">
        <v>155</v>
      </c>
      <c r="AB546" s="50" t="s">
        <v>14806</v>
      </c>
      <c r="AC546" s="50" t="s">
        <v>14807</v>
      </c>
      <c r="AD546" s="50" t="s">
        <v>14808</v>
      </c>
      <c r="AE546" s="50" t="s">
        <v>14807</v>
      </c>
      <c r="AF546" s="50" t="s">
        <v>14809</v>
      </c>
      <c r="AG546" s="50" t="s">
        <v>14807</v>
      </c>
      <c r="AH546" s="50" t="s">
        <v>14810</v>
      </c>
      <c r="AI546" s="50" t="s">
        <v>14807</v>
      </c>
      <c r="AJ546" s="50" t="s">
        <v>14811</v>
      </c>
      <c r="AK546" s="50" t="s">
        <v>13863</v>
      </c>
      <c r="AL546" s="50" t="s">
        <v>13964</v>
      </c>
      <c r="AM546" s="50" t="s">
        <v>14812</v>
      </c>
      <c r="AN546" s="50" t="s">
        <v>14813</v>
      </c>
      <c r="AO546" s="50" t="s">
        <v>14814</v>
      </c>
      <c r="AP546" s="50" t="s">
        <v>14815</v>
      </c>
      <c r="AQ546" s="50" t="s">
        <v>14815</v>
      </c>
      <c r="AV546" s="50" t="s">
        <v>102</v>
      </c>
      <c r="AX546" s="50" t="s">
        <v>655</v>
      </c>
      <c r="AY546" s="50" t="s">
        <v>119</v>
      </c>
      <c r="BA546" s="50" t="s">
        <v>250</v>
      </c>
      <c r="BC546" s="50" t="s">
        <v>120</v>
      </c>
      <c r="BD546" s="50" t="s">
        <v>448</v>
      </c>
      <c r="BE546" s="50" t="s">
        <v>449</v>
      </c>
      <c r="BF546" s="50" t="s">
        <v>122</v>
      </c>
      <c r="BG546" s="50" t="s">
        <v>450</v>
      </c>
      <c r="BH546" s="50" t="s">
        <v>124</v>
      </c>
      <c r="BI546" s="50" t="s">
        <v>5651</v>
      </c>
      <c r="BJ546" s="50" t="s">
        <v>11889</v>
      </c>
      <c r="BK546" s="50" t="s">
        <v>127</v>
      </c>
      <c r="BL546" s="50" t="s">
        <v>14816</v>
      </c>
      <c r="BM546" s="50" t="s">
        <v>4504</v>
      </c>
      <c r="BN546" s="50" t="s">
        <v>14817</v>
      </c>
      <c r="BO546" s="50" t="s">
        <v>14804</v>
      </c>
      <c r="BP546" s="50" t="s">
        <v>8788</v>
      </c>
      <c r="BQ546" s="50" t="s">
        <v>132</v>
      </c>
      <c r="BR546" s="50" t="s">
        <v>8789</v>
      </c>
      <c r="BS546" s="50" t="s">
        <v>8790</v>
      </c>
      <c r="BT546" s="50" t="s">
        <v>1006</v>
      </c>
      <c r="BV546" s="50" t="s">
        <v>14818</v>
      </c>
      <c r="BW546" s="50" t="s">
        <v>4507</v>
      </c>
      <c r="BX546" s="50" t="s">
        <v>138</v>
      </c>
      <c r="BY546" s="50" t="s">
        <v>4508</v>
      </c>
      <c r="BZ546" s="50" t="s">
        <v>4509</v>
      </c>
      <c r="CA546" s="50" t="s">
        <v>4510</v>
      </c>
      <c r="CB546" s="50" t="s">
        <v>4507</v>
      </c>
      <c r="CC546" s="50" t="s">
        <v>4508</v>
      </c>
      <c r="CD546" s="50" t="s">
        <v>4509</v>
      </c>
      <c r="CE546" s="50" t="s">
        <v>14819</v>
      </c>
      <c r="CF546" s="50" t="s">
        <v>14820</v>
      </c>
      <c r="CG546" s="50" t="s">
        <v>14821</v>
      </c>
      <c r="CH546" s="50" t="s">
        <v>102</v>
      </c>
      <c r="CI546" s="50" t="s">
        <v>4511</v>
      </c>
      <c r="CK546" s="50" t="s">
        <v>4512</v>
      </c>
      <c r="CM546" s="50" t="s">
        <v>448</v>
      </c>
      <c r="CN546" s="50" t="s">
        <v>449</v>
      </c>
      <c r="CO546" s="50" t="s">
        <v>4512</v>
      </c>
      <c r="CP546" s="50" t="s">
        <v>4513</v>
      </c>
      <c r="CQ546" s="50" t="s">
        <v>4511</v>
      </c>
      <c r="CR546" s="50" t="s">
        <v>4511</v>
      </c>
    </row>
    <row r="547" spans="1:97" hidden="1">
      <c r="A547" s="50" t="s">
        <v>337</v>
      </c>
      <c r="B547" s="50">
        <v>3996943</v>
      </c>
      <c r="C547" s="50" t="e">
        <f>VLOOKUP(B547,'Drop schools 2026'!B:C,2,0)</f>
        <v>#N/A</v>
      </c>
      <c r="D547" s="50" t="s">
        <v>174</v>
      </c>
      <c r="E547" s="50" t="s">
        <v>12096</v>
      </c>
      <c r="F547" s="50" t="s">
        <v>17697</v>
      </c>
      <c r="G547" s="50" t="e">
        <f>VLOOKUP(B547,aa!B:F,5,0)</f>
        <v>#N/A</v>
      </c>
      <c r="H547" s="50" t="e">
        <f>VLOOKUP(B547,aa!B:J,9,0)</f>
        <v>#N/A</v>
      </c>
      <c r="I547" s="50" t="e">
        <f>VLOOKUP(B547,aa!B:L,11,0)</f>
        <v>#N/A</v>
      </c>
      <c r="J547" s="50" t="e">
        <f>VLOOKUP(B547,aa!B:O,14,0)</f>
        <v>#N/A</v>
      </c>
      <c r="K547" s="50" t="e">
        <f>VLOOKUP(B547,aa!B:R,17,0)</f>
        <v>#N/A</v>
      </c>
      <c r="L547" s="50" t="s">
        <v>97</v>
      </c>
      <c r="M547" s="50">
        <v>123690</v>
      </c>
      <c r="N547" s="50">
        <v>123690</v>
      </c>
      <c r="O547" s="50">
        <v>123690</v>
      </c>
      <c r="P547" s="50">
        <v>70</v>
      </c>
      <c r="Q547" s="50" t="s">
        <v>17698</v>
      </c>
      <c r="R547" s="50">
        <v>0</v>
      </c>
      <c r="S547" s="50">
        <v>0</v>
      </c>
      <c r="U547" s="50">
        <v>0</v>
      </c>
      <c r="V547" s="50">
        <v>0</v>
      </c>
      <c r="X547" s="50" t="s">
        <v>102</v>
      </c>
      <c r="Y547" s="50" t="s">
        <v>103</v>
      </c>
      <c r="Z547" s="50" t="s">
        <v>155</v>
      </c>
      <c r="AB547" s="50" t="s">
        <v>12289</v>
      </c>
      <c r="AC547" s="50" t="s">
        <v>17699</v>
      </c>
      <c r="AD547" s="50" t="s">
        <v>12041</v>
      </c>
      <c r="AE547" s="50" t="s">
        <v>17699</v>
      </c>
      <c r="AF547" s="50" t="s">
        <v>14059</v>
      </c>
      <c r="AG547" s="50" t="s">
        <v>17699</v>
      </c>
      <c r="AH547" s="50" t="s">
        <v>6895</v>
      </c>
      <c r="AI547" s="50" t="s">
        <v>17699</v>
      </c>
      <c r="AJ547" s="50" t="s">
        <v>102</v>
      </c>
      <c r="AK547" s="50" t="s">
        <v>8186</v>
      </c>
      <c r="AL547" s="50" t="s">
        <v>8186</v>
      </c>
      <c r="AM547" s="50" t="s">
        <v>17700</v>
      </c>
      <c r="AN547" s="50" t="s">
        <v>5650</v>
      </c>
      <c r="AO547" s="50" t="s">
        <v>17701</v>
      </c>
      <c r="AP547" s="50" t="s">
        <v>17702</v>
      </c>
      <c r="AQ547" s="50" t="s">
        <v>17702</v>
      </c>
      <c r="AV547" s="50" t="s">
        <v>117</v>
      </c>
      <c r="AW547" s="50" t="s">
        <v>118</v>
      </c>
      <c r="AX547" s="50" t="s">
        <v>102</v>
      </c>
      <c r="AY547" s="50" t="s">
        <v>119</v>
      </c>
      <c r="BC547" s="50" t="s">
        <v>120</v>
      </c>
      <c r="BD547" s="50" t="s">
        <v>17703</v>
      </c>
      <c r="BE547" s="50" t="s">
        <v>376</v>
      </c>
      <c r="BF547" s="50" t="s">
        <v>174</v>
      </c>
      <c r="BG547" s="50" t="s">
        <v>376</v>
      </c>
      <c r="BH547" s="50" t="s">
        <v>124</v>
      </c>
      <c r="BI547" s="50" t="s">
        <v>12023</v>
      </c>
      <c r="BJ547" s="50" t="s">
        <v>11889</v>
      </c>
      <c r="BK547" s="50" t="s">
        <v>127</v>
      </c>
      <c r="BL547" s="50" t="s">
        <v>17704</v>
      </c>
      <c r="BM547" s="50" t="s">
        <v>17705</v>
      </c>
      <c r="BN547" s="50" t="s">
        <v>17706</v>
      </c>
      <c r="BO547" s="50" t="s">
        <v>13110</v>
      </c>
      <c r="BP547" s="50" t="s">
        <v>13780</v>
      </c>
      <c r="BQ547" s="50" t="s">
        <v>180</v>
      </c>
      <c r="BR547" s="50" t="s">
        <v>13781</v>
      </c>
      <c r="BS547" s="50" t="s">
        <v>13782</v>
      </c>
      <c r="BT547" s="50" t="s">
        <v>13783</v>
      </c>
      <c r="BV547" s="50" t="s">
        <v>17707</v>
      </c>
      <c r="BW547" s="50" t="s">
        <v>17708</v>
      </c>
      <c r="BX547" s="50" t="s">
        <v>138</v>
      </c>
      <c r="BY547" s="50" t="s">
        <v>17709</v>
      </c>
      <c r="BZ547" s="50" t="s">
        <v>17710</v>
      </c>
      <c r="CA547" s="50" t="s">
        <v>17711</v>
      </c>
      <c r="CB547" s="50" t="s">
        <v>17712</v>
      </c>
      <c r="CC547" s="50" t="s">
        <v>17709</v>
      </c>
      <c r="CD547" s="50" t="s">
        <v>17713</v>
      </c>
      <c r="CE547" s="50" t="s">
        <v>17712</v>
      </c>
      <c r="CF547" s="50" t="s">
        <v>17709</v>
      </c>
      <c r="CG547" s="50" t="s">
        <v>17713</v>
      </c>
      <c r="CH547" s="50" t="s">
        <v>2555</v>
      </c>
      <c r="CI547" s="50" t="s">
        <v>17714</v>
      </c>
      <c r="CK547" s="50" t="s">
        <v>17715</v>
      </c>
      <c r="CL547" s="50" t="s">
        <v>17716</v>
      </c>
      <c r="CM547" s="50" t="s">
        <v>17703</v>
      </c>
      <c r="CN547" s="50" t="s">
        <v>376</v>
      </c>
      <c r="CO547" s="50" t="s">
        <v>17715</v>
      </c>
      <c r="CQ547" s="50" t="s">
        <v>17717</v>
      </c>
      <c r="CR547" s="50" t="s">
        <v>17717</v>
      </c>
    </row>
    <row r="548" spans="1:97" hidden="1">
      <c r="A548" s="50" t="s">
        <v>337</v>
      </c>
      <c r="B548" s="50">
        <v>5068265</v>
      </c>
      <c r="C548" s="50" t="e">
        <f>VLOOKUP(B548,'Drop schools 2026'!B:C,2,0)</f>
        <v>#N/A</v>
      </c>
      <c r="D548" s="50" t="s">
        <v>212</v>
      </c>
      <c r="E548" s="50" t="s">
        <v>11995</v>
      </c>
      <c r="F548" s="50" t="s">
        <v>20732</v>
      </c>
      <c r="G548" s="50" t="str">
        <f>VLOOKUP(B548,aa!B:F,5,0)</f>
        <v>Ei CARES</v>
      </c>
      <c r="H548" s="50">
        <f>VLOOKUP(B548,aa!B:J,9,0)</f>
        <v>122850</v>
      </c>
      <c r="I548" s="50">
        <f>VLOOKUP(B548,aa!B:L,11,0)</f>
        <v>0</v>
      </c>
      <c r="J548" s="50">
        <f>VLOOKUP(B548,aa!B:O,14,0)</f>
        <v>122850</v>
      </c>
      <c r="K548" s="50">
        <f>VLOOKUP(B548,aa!B:R,17,0)</f>
        <v>0</v>
      </c>
      <c r="L548" s="50" t="s">
        <v>152</v>
      </c>
      <c r="M548" s="50">
        <v>122850</v>
      </c>
      <c r="N548" s="50">
        <v>122850</v>
      </c>
      <c r="O548" s="50">
        <v>0</v>
      </c>
      <c r="P548" s="50">
        <v>0</v>
      </c>
      <c r="R548" s="50">
        <v>122850</v>
      </c>
      <c r="S548" s="50">
        <v>75</v>
      </c>
      <c r="T548" s="50" t="s">
        <v>20733</v>
      </c>
      <c r="U548" s="50">
        <v>0</v>
      </c>
      <c r="V548" s="50">
        <v>0</v>
      </c>
      <c r="X548" s="50" t="s">
        <v>102</v>
      </c>
      <c r="Y548" s="50" t="s">
        <v>103</v>
      </c>
      <c r="Z548" s="50" t="s">
        <v>104</v>
      </c>
      <c r="AB548" s="50" t="s">
        <v>12041</v>
      </c>
      <c r="AC548" s="50" t="s">
        <v>8539</v>
      </c>
      <c r="AD548" s="50" t="s">
        <v>6895</v>
      </c>
      <c r="AE548" s="50" t="s">
        <v>8539</v>
      </c>
      <c r="AF548" s="50" t="s">
        <v>109</v>
      </c>
      <c r="AG548" s="50" t="s">
        <v>102</v>
      </c>
      <c r="AH548" s="50" t="s">
        <v>109</v>
      </c>
      <c r="AI548" s="50" t="s">
        <v>102</v>
      </c>
      <c r="AJ548" s="50" t="s">
        <v>102</v>
      </c>
      <c r="AK548" s="50" t="s">
        <v>13302</v>
      </c>
      <c r="AL548" s="50" t="s">
        <v>13302</v>
      </c>
      <c r="AM548" s="50" t="s">
        <v>20734</v>
      </c>
      <c r="AN548" s="50" t="s">
        <v>20734</v>
      </c>
      <c r="AO548" s="50" t="s">
        <v>102</v>
      </c>
      <c r="AP548" s="50" t="s">
        <v>4950</v>
      </c>
      <c r="AQ548" s="50" t="s">
        <v>4950</v>
      </c>
      <c r="AV548" s="50" t="s">
        <v>102</v>
      </c>
      <c r="AX548" s="50" t="s">
        <v>102</v>
      </c>
      <c r="AY548" s="50" t="s">
        <v>119</v>
      </c>
      <c r="AZ548" s="50" t="s">
        <v>1138</v>
      </c>
      <c r="BA548" s="50" t="s">
        <v>118</v>
      </c>
      <c r="BC548" s="50" t="s">
        <v>209</v>
      </c>
      <c r="BD548" s="50" t="s">
        <v>1609</v>
      </c>
      <c r="BE548" s="50" t="s">
        <v>285</v>
      </c>
      <c r="BF548" s="50" t="s">
        <v>212</v>
      </c>
      <c r="BG548" s="50" t="s">
        <v>286</v>
      </c>
      <c r="BH548" s="50" t="s">
        <v>124</v>
      </c>
      <c r="BI548" s="50" t="s">
        <v>11959</v>
      </c>
      <c r="BJ548" s="50" t="s">
        <v>12047</v>
      </c>
      <c r="BK548" s="50" t="s">
        <v>127</v>
      </c>
      <c r="BL548" s="50" t="s">
        <v>20735</v>
      </c>
      <c r="BM548" s="50" t="s">
        <v>20736</v>
      </c>
      <c r="BN548" s="50" t="s">
        <v>20737</v>
      </c>
      <c r="BO548" s="50" t="s">
        <v>14210</v>
      </c>
      <c r="BP548" s="50" t="s">
        <v>3997</v>
      </c>
      <c r="BQ548" s="50" t="s">
        <v>505</v>
      </c>
      <c r="BR548" s="50" t="s">
        <v>3998</v>
      </c>
      <c r="BS548" s="50" t="s">
        <v>3999</v>
      </c>
      <c r="BT548" s="50" t="s">
        <v>3362</v>
      </c>
      <c r="BV548" s="50" t="s">
        <v>20738</v>
      </c>
      <c r="BW548" s="50" t="s">
        <v>19148</v>
      </c>
      <c r="BX548" s="50" t="s">
        <v>354</v>
      </c>
      <c r="BY548" s="50" t="s">
        <v>1618</v>
      </c>
      <c r="BZ548" s="50" t="s">
        <v>1619</v>
      </c>
      <c r="CA548" s="50" t="s">
        <v>1618</v>
      </c>
      <c r="CB548" s="50" t="s">
        <v>19148</v>
      </c>
      <c r="CC548" s="50" t="s">
        <v>1618</v>
      </c>
      <c r="CD548" s="50" t="s">
        <v>1619</v>
      </c>
      <c r="CE548" s="50" t="s">
        <v>20739</v>
      </c>
      <c r="CF548" s="50" t="s">
        <v>1615</v>
      </c>
      <c r="CG548" s="50" t="s">
        <v>1616</v>
      </c>
      <c r="CH548" s="50" t="s">
        <v>573</v>
      </c>
      <c r="CI548" s="50" t="s">
        <v>20740</v>
      </c>
      <c r="CK548" s="50" t="s">
        <v>20741</v>
      </c>
      <c r="CL548" s="50" t="s">
        <v>20740</v>
      </c>
      <c r="CM548" s="50" t="s">
        <v>1609</v>
      </c>
      <c r="CN548" s="50" t="s">
        <v>285</v>
      </c>
      <c r="CO548" s="50" t="s">
        <v>20741</v>
      </c>
      <c r="CQ548" s="50" t="s">
        <v>20742</v>
      </c>
      <c r="CR548" s="50" t="s">
        <v>20742</v>
      </c>
    </row>
    <row r="549" spans="1:97" hidden="1">
      <c r="A549" s="50" t="s">
        <v>337</v>
      </c>
      <c r="B549" s="50">
        <v>5026233</v>
      </c>
      <c r="C549" s="50" t="e">
        <f>VLOOKUP(B549,'Drop schools 2026'!B:C,2,0)</f>
        <v>#N/A</v>
      </c>
      <c r="D549" s="50" t="s">
        <v>622</v>
      </c>
      <c r="E549" s="50" t="s">
        <v>632</v>
      </c>
      <c r="F549" s="50" t="s">
        <v>20170</v>
      </c>
      <c r="G549" s="50" t="str">
        <f>VLOOKUP(B549,aa!B:F,5,0)</f>
        <v>Ei CARES,Ei Mindspark</v>
      </c>
      <c r="H549" s="50">
        <f>VLOOKUP(B549,aa!B:J,9,0)</f>
        <v>191304</v>
      </c>
      <c r="I549" s="50">
        <f>VLOOKUP(B549,aa!B:L,11,0)</f>
        <v>0</v>
      </c>
      <c r="J549" s="50">
        <f>VLOOKUP(B549,aa!B:O,14,0)</f>
        <v>80150</v>
      </c>
      <c r="K549" s="50">
        <f>VLOOKUP(B549,aa!B:R,17,0)</f>
        <v>111154</v>
      </c>
      <c r="L549" s="50" t="s">
        <v>848</v>
      </c>
      <c r="M549" s="50">
        <v>121657</v>
      </c>
      <c r="N549" s="50">
        <v>143555</v>
      </c>
      <c r="O549" s="50">
        <v>0</v>
      </c>
      <c r="P549" s="50">
        <v>0</v>
      </c>
      <c r="R549" s="50">
        <v>0</v>
      </c>
      <c r="S549" s="50">
        <v>0</v>
      </c>
      <c r="U549" s="50">
        <v>121657</v>
      </c>
      <c r="V549" s="50">
        <v>45</v>
      </c>
      <c r="W549" s="50" t="s">
        <v>12674</v>
      </c>
      <c r="X549" s="50" t="s">
        <v>102</v>
      </c>
      <c r="Y549" s="50" t="s">
        <v>103</v>
      </c>
      <c r="Z549" s="50" t="s">
        <v>155</v>
      </c>
      <c r="AB549" s="50" t="s">
        <v>1408</v>
      </c>
      <c r="AC549" s="50" t="s">
        <v>20171</v>
      </c>
      <c r="AD549" s="50" t="s">
        <v>12888</v>
      </c>
      <c r="AE549" s="50" t="s">
        <v>20171</v>
      </c>
      <c r="AF549" s="50" t="s">
        <v>1427</v>
      </c>
      <c r="AG549" s="50" t="s">
        <v>20171</v>
      </c>
      <c r="AH549" s="50" t="s">
        <v>11886</v>
      </c>
      <c r="AI549" s="50" t="s">
        <v>20171</v>
      </c>
      <c r="AJ549" s="50" t="s">
        <v>20172</v>
      </c>
      <c r="AK549" s="50" t="s">
        <v>13455</v>
      </c>
      <c r="AL549" s="50" t="s">
        <v>946</v>
      </c>
      <c r="AM549" s="50" t="s">
        <v>20173</v>
      </c>
      <c r="AN549" s="50" t="s">
        <v>20174</v>
      </c>
      <c r="AO549" s="50" t="s">
        <v>20175</v>
      </c>
      <c r="AP549" s="50" t="s">
        <v>20176</v>
      </c>
      <c r="AQ549" s="50" t="s">
        <v>20176</v>
      </c>
      <c r="AV549" s="50" t="s">
        <v>102</v>
      </c>
      <c r="AX549" s="50" t="s">
        <v>102</v>
      </c>
      <c r="AY549" s="50" t="s">
        <v>119</v>
      </c>
      <c r="BB549" s="50" t="s">
        <v>250</v>
      </c>
      <c r="BC549" s="50" t="s">
        <v>1242</v>
      </c>
      <c r="BD549" s="50" t="s">
        <v>623</v>
      </c>
      <c r="BE549" s="50" t="s">
        <v>621</v>
      </c>
      <c r="BF549" s="50" t="s">
        <v>622</v>
      </c>
      <c r="BG549" s="50" t="s">
        <v>623</v>
      </c>
      <c r="BH549" s="50" t="s">
        <v>124</v>
      </c>
      <c r="BI549" s="50" t="s">
        <v>5548</v>
      </c>
      <c r="BJ549" s="50" t="s">
        <v>14455</v>
      </c>
      <c r="BK549" s="50" t="s">
        <v>127</v>
      </c>
      <c r="BL549" s="50" t="s">
        <v>20177</v>
      </c>
      <c r="BM549" s="50" t="s">
        <v>20178</v>
      </c>
      <c r="BN549" s="50" t="s">
        <v>20179</v>
      </c>
      <c r="BO549" s="50" t="s">
        <v>6134</v>
      </c>
      <c r="BP549" s="50" t="s">
        <v>1339</v>
      </c>
      <c r="BQ549" s="50" t="s">
        <v>132</v>
      </c>
      <c r="BR549" s="50" t="s">
        <v>1340</v>
      </c>
      <c r="BS549" s="50" t="s">
        <v>1341</v>
      </c>
      <c r="BT549" s="50" t="s">
        <v>507</v>
      </c>
      <c r="BV549" s="50" t="s">
        <v>20180</v>
      </c>
      <c r="BW549" s="50" t="s">
        <v>12688</v>
      </c>
      <c r="BX549" s="50" t="s">
        <v>598</v>
      </c>
      <c r="BY549" s="50" t="s">
        <v>12689</v>
      </c>
      <c r="BZ549" s="50" t="s">
        <v>12690</v>
      </c>
      <c r="CA549" s="50" t="s">
        <v>20181</v>
      </c>
      <c r="CB549" s="50" t="s">
        <v>12688</v>
      </c>
      <c r="CC549" s="50" t="s">
        <v>12689</v>
      </c>
      <c r="CD549" s="50" t="s">
        <v>12690</v>
      </c>
      <c r="CE549" s="50" t="s">
        <v>12688</v>
      </c>
      <c r="CF549" s="50" t="s">
        <v>12689</v>
      </c>
      <c r="CG549" s="50" t="s">
        <v>12690</v>
      </c>
      <c r="CH549" s="50" t="s">
        <v>907</v>
      </c>
      <c r="CI549" s="50" t="s">
        <v>20182</v>
      </c>
      <c r="CK549" s="50" t="s">
        <v>1351</v>
      </c>
      <c r="CM549" s="50" t="s">
        <v>623</v>
      </c>
      <c r="CN549" s="50" t="s">
        <v>621</v>
      </c>
      <c r="CO549" s="50" t="s">
        <v>1351</v>
      </c>
      <c r="CP549" s="50" t="s">
        <v>1352</v>
      </c>
      <c r="CQ549" s="50" t="s">
        <v>20183</v>
      </c>
      <c r="CR549" s="50" t="s">
        <v>20184</v>
      </c>
    </row>
    <row r="550" spans="1:97" hidden="1">
      <c r="A550" s="50" t="s">
        <v>337</v>
      </c>
      <c r="B550" s="50">
        <v>2450639</v>
      </c>
      <c r="C550" s="50" t="str">
        <f>VLOOKUP(B550,RISK!B:C,2,0)</f>
        <v>Risk</v>
      </c>
      <c r="D550" s="50" t="s">
        <v>622</v>
      </c>
      <c r="E550" s="50" t="s">
        <v>632</v>
      </c>
      <c r="F550" s="50" t="s">
        <v>13984</v>
      </c>
      <c r="G550" s="50" t="e">
        <f>VLOOKUP(B550,aa!B:F,5,0)</f>
        <v>#N/A</v>
      </c>
      <c r="H550" s="50" t="e">
        <f>VLOOKUP(B550,aa!B:J,9,0)</f>
        <v>#N/A</v>
      </c>
      <c r="I550" s="50" t="e">
        <f>VLOOKUP(B550,aa!B:L,11,0)</f>
        <v>#N/A</v>
      </c>
      <c r="J550" s="50" t="e">
        <f>VLOOKUP(B550,aa!B:O,14,0)</f>
        <v>#N/A</v>
      </c>
      <c r="K550" s="50" t="e">
        <f>VLOOKUP(B550,aa!B:R,17,0)</f>
        <v>#N/A</v>
      </c>
      <c r="L550" s="50" t="s">
        <v>152</v>
      </c>
      <c r="M550" s="50">
        <v>121188</v>
      </c>
      <c r="N550" s="50">
        <v>121188</v>
      </c>
      <c r="O550" s="50">
        <v>0</v>
      </c>
      <c r="P550" s="50">
        <v>0</v>
      </c>
      <c r="R550" s="50">
        <v>121188</v>
      </c>
      <c r="S550" s="50">
        <v>202</v>
      </c>
      <c r="T550" s="50" t="s">
        <v>310</v>
      </c>
      <c r="U550" s="50">
        <v>0</v>
      </c>
      <c r="V550" s="50">
        <v>0</v>
      </c>
      <c r="X550" s="50" t="s">
        <v>102</v>
      </c>
      <c r="Y550" s="50" t="s">
        <v>103</v>
      </c>
      <c r="Z550" s="50" t="s">
        <v>104</v>
      </c>
      <c r="AB550" s="50" t="s">
        <v>7419</v>
      </c>
      <c r="AC550" s="50" t="s">
        <v>13985</v>
      </c>
      <c r="AD550" s="50" t="s">
        <v>12713</v>
      </c>
      <c r="AE550" s="50" t="s">
        <v>13985</v>
      </c>
      <c r="AF550" s="50" t="s">
        <v>109</v>
      </c>
      <c r="AG550" s="50" t="s">
        <v>102</v>
      </c>
      <c r="AH550" s="50" t="s">
        <v>109</v>
      </c>
      <c r="AI550" s="50" t="s">
        <v>102</v>
      </c>
      <c r="AJ550" s="50" t="s">
        <v>13986</v>
      </c>
      <c r="AK550" s="50" t="s">
        <v>12480</v>
      </c>
      <c r="AL550" s="50" t="s">
        <v>12820</v>
      </c>
      <c r="AM550" s="50" t="s">
        <v>13987</v>
      </c>
      <c r="AN550" s="50" t="s">
        <v>13988</v>
      </c>
      <c r="AO550" s="50" t="s">
        <v>310</v>
      </c>
      <c r="AP550" s="50" t="s">
        <v>13989</v>
      </c>
      <c r="AQ550" s="50" t="s">
        <v>13989</v>
      </c>
      <c r="AV550" s="50" t="s">
        <v>102</v>
      </c>
      <c r="AX550" s="50" t="s">
        <v>155</v>
      </c>
      <c r="AY550" s="50" t="s">
        <v>447</v>
      </c>
      <c r="AZ550" s="50" t="s">
        <v>170</v>
      </c>
      <c r="BA550" s="50" t="s">
        <v>118</v>
      </c>
      <c r="BC550" s="50" t="s">
        <v>1964</v>
      </c>
      <c r="BD550" s="50" t="s">
        <v>623</v>
      </c>
      <c r="BE550" s="50" t="s">
        <v>621</v>
      </c>
      <c r="BF550" s="50" t="s">
        <v>622</v>
      </c>
      <c r="BG550" s="50" t="s">
        <v>623</v>
      </c>
      <c r="BH550" s="50" t="s">
        <v>124</v>
      </c>
      <c r="BI550" s="50" t="s">
        <v>11929</v>
      </c>
      <c r="BJ550" s="50" t="s">
        <v>11889</v>
      </c>
      <c r="BK550" s="50" t="s">
        <v>127</v>
      </c>
      <c r="BL550" s="50" t="s">
        <v>13990</v>
      </c>
      <c r="BM550" s="50" t="s">
        <v>13991</v>
      </c>
      <c r="BN550" s="50" t="s">
        <v>13992</v>
      </c>
      <c r="BO550" s="50" t="s">
        <v>12329</v>
      </c>
      <c r="BP550" s="50" t="s">
        <v>2284</v>
      </c>
      <c r="BQ550" s="50" t="s">
        <v>132</v>
      </c>
      <c r="BR550" s="50" t="s">
        <v>2285</v>
      </c>
      <c r="BS550" s="50" t="s">
        <v>2286</v>
      </c>
      <c r="BT550" s="50" t="s">
        <v>1342</v>
      </c>
      <c r="BV550" s="50" t="s">
        <v>13993</v>
      </c>
      <c r="BW550" s="50" t="s">
        <v>13994</v>
      </c>
      <c r="BX550" s="50" t="s">
        <v>138</v>
      </c>
      <c r="BY550" s="50" t="s">
        <v>13995</v>
      </c>
      <c r="BZ550" s="50" t="s">
        <v>13996</v>
      </c>
      <c r="CA550" s="50" t="s">
        <v>13995</v>
      </c>
      <c r="CB550" s="50" t="s">
        <v>13997</v>
      </c>
      <c r="CC550" s="50" t="s">
        <v>13995</v>
      </c>
      <c r="CD550" s="50" t="s">
        <v>13996</v>
      </c>
      <c r="CE550" s="50" t="s">
        <v>13997</v>
      </c>
      <c r="CF550" s="50" t="s">
        <v>13995</v>
      </c>
      <c r="CG550" s="50" t="s">
        <v>13996</v>
      </c>
      <c r="CH550" s="50" t="s">
        <v>102</v>
      </c>
      <c r="CI550" s="50" t="s">
        <v>13998</v>
      </c>
      <c r="CK550" s="50" t="s">
        <v>4342</v>
      </c>
      <c r="CM550" s="50" t="s">
        <v>623</v>
      </c>
      <c r="CN550" s="50" t="s">
        <v>621</v>
      </c>
      <c r="CO550" s="50" t="s">
        <v>4342</v>
      </c>
      <c r="CP550" s="50" t="s">
        <v>13999</v>
      </c>
      <c r="CQ550" s="50" t="s">
        <v>13998</v>
      </c>
      <c r="CR550" s="50" t="s">
        <v>13998</v>
      </c>
    </row>
    <row r="551" spans="1:97" hidden="1">
      <c r="A551" s="50" t="s">
        <v>337</v>
      </c>
      <c r="B551" s="50">
        <v>5100324</v>
      </c>
      <c r="C551" s="50" t="e">
        <f>VLOOKUP(B551,'Drop schools 2026'!B:C,2,0)</f>
        <v>#N/A</v>
      </c>
      <c r="D551" s="50" t="s">
        <v>622</v>
      </c>
      <c r="E551" s="50" t="s">
        <v>3562</v>
      </c>
      <c r="F551" s="50" t="s">
        <v>20890</v>
      </c>
      <c r="G551" s="50" t="str">
        <f>VLOOKUP(B551,aa!B:F,5,0)</f>
        <v>Ei Mindspark</v>
      </c>
      <c r="H551" s="50">
        <f>VLOOKUP(B551,aa!B:J,9,0)</f>
        <v>294530</v>
      </c>
      <c r="I551" s="50">
        <f>VLOOKUP(B551,aa!B:L,11,0)</f>
        <v>0</v>
      </c>
      <c r="J551" s="50">
        <f>VLOOKUP(B551,aa!B:O,14,0)</f>
        <v>0</v>
      </c>
      <c r="K551" s="50">
        <f>VLOOKUP(B551,aa!B:R,17,0)</f>
        <v>294530</v>
      </c>
      <c r="L551" s="50" t="s">
        <v>848</v>
      </c>
      <c r="M551" s="50">
        <v>117826</v>
      </c>
      <c r="N551" s="50">
        <v>139035</v>
      </c>
      <c r="O551" s="50">
        <v>0</v>
      </c>
      <c r="P551" s="50">
        <v>0</v>
      </c>
      <c r="R551" s="50">
        <v>0</v>
      </c>
      <c r="S551" s="50">
        <v>0</v>
      </c>
      <c r="U551" s="50">
        <v>117826</v>
      </c>
      <c r="V551" s="50">
        <v>139</v>
      </c>
      <c r="W551" s="50" t="s">
        <v>19950</v>
      </c>
      <c r="X551" s="50" t="s">
        <v>102</v>
      </c>
      <c r="Y551" s="50" t="s">
        <v>103</v>
      </c>
      <c r="Z551" s="50" t="s">
        <v>104</v>
      </c>
      <c r="AB551" s="50" t="s">
        <v>12043</v>
      </c>
      <c r="AC551" s="50" t="s">
        <v>20891</v>
      </c>
      <c r="AD551" s="50" t="s">
        <v>11886</v>
      </c>
      <c r="AE551" s="50" t="s">
        <v>20891</v>
      </c>
      <c r="AF551" s="50" t="s">
        <v>109</v>
      </c>
      <c r="AG551" s="50" t="s">
        <v>102</v>
      </c>
      <c r="AH551" s="50" t="s">
        <v>109</v>
      </c>
      <c r="AI551" s="50" t="s">
        <v>102</v>
      </c>
      <c r="AJ551" s="50" t="s">
        <v>102</v>
      </c>
      <c r="AK551" s="50" t="s">
        <v>6895</v>
      </c>
      <c r="AL551" s="50" t="s">
        <v>6895</v>
      </c>
      <c r="AM551" s="50" t="s">
        <v>20892</v>
      </c>
      <c r="AN551" s="50" t="s">
        <v>20893</v>
      </c>
      <c r="AO551" s="50" t="s">
        <v>20894</v>
      </c>
      <c r="AP551" s="50" t="s">
        <v>20895</v>
      </c>
      <c r="AQ551" s="50" t="s">
        <v>20895</v>
      </c>
      <c r="AV551" s="50" t="s">
        <v>102</v>
      </c>
      <c r="AX551" s="50" t="s">
        <v>102</v>
      </c>
      <c r="AY551" s="50" t="s">
        <v>119</v>
      </c>
      <c r="BB551" s="50" t="s">
        <v>250</v>
      </c>
      <c r="BC551" s="50" t="s">
        <v>120</v>
      </c>
      <c r="BD551" s="50" t="s">
        <v>1729</v>
      </c>
      <c r="BE551" s="50" t="s">
        <v>730</v>
      </c>
      <c r="BF551" s="50" t="s">
        <v>622</v>
      </c>
      <c r="BG551" s="50" t="s">
        <v>730</v>
      </c>
      <c r="BH551" s="50" t="s">
        <v>124</v>
      </c>
      <c r="BI551" s="50" t="s">
        <v>12043</v>
      </c>
      <c r="BJ551" s="50" t="s">
        <v>11889</v>
      </c>
      <c r="BK551" s="50" t="s">
        <v>127</v>
      </c>
      <c r="BL551" s="50" t="s">
        <v>20896</v>
      </c>
      <c r="BM551" s="50" t="s">
        <v>20897</v>
      </c>
      <c r="BN551" s="50" t="s">
        <v>20898</v>
      </c>
      <c r="BO551" s="50" t="s">
        <v>12043</v>
      </c>
      <c r="BP551" s="50" t="s">
        <v>3910</v>
      </c>
      <c r="BQ551" s="50" t="s">
        <v>350</v>
      </c>
      <c r="BR551" s="50" t="s">
        <v>3911</v>
      </c>
      <c r="BS551" s="50" t="s">
        <v>3912</v>
      </c>
      <c r="BT551" s="50" t="s">
        <v>7862</v>
      </c>
      <c r="BV551" s="50" t="s">
        <v>20899</v>
      </c>
      <c r="BW551" s="50" t="s">
        <v>20900</v>
      </c>
      <c r="BX551" s="50" t="s">
        <v>354</v>
      </c>
      <c r="BY551" s="50" t="s">
        <v>20901</v>
      </c>
      <c r="BZ551" s="50" t="s">
        <v>20902</v>
      </c>
      <c r="CA551" s="50" t="s">
        <v>20903</v>
      </c>
      <c r="CB551" s="50" t="s">
        <v>20904</v>
      </c>
      <c r="CC551" s="50" t="s">
        <v>17082</v>
      </c>
      <c r="CD551" s="50" t="s">
        <v>20905</v>
      </c>
      <c r="CE551" s="50" t="s">
        <v>20904</v>
      </c>
      <c r="CF551" s="50" t="s">
        <v>17082</v>
      </c>
      <c r="CG551" s="50" t="s">
        <v>20905</v>
      </c>
      <c r="CH551" s="50" t="s">
        <v>492</v>
      </c>
      <c r="CI551" s="50" t="s">
        <v>20906</v>
      </c>
      <c r="CK551" s="50" t="s">
        <v>6855</v>
      </c>
      <c r="CL551" s="50" t="s">
        <v>20907</v>
      </c>
      <c r="CM551" s="50" t="s">
        <v>1729</v>
      </c>
      <c r="CN551" s="50" t="s">
        <v>730</v>
      </c>
      <c r="CO551" s="50" t="s">
        <v>6855</v>
      </c>
      <c r="CQ551" s="50" t="s">
        <v>20908</v>
      </c>
      <c r="CR551" s="50" t="s">
        <v>20908</v>
      </c>
    </row>
    <row r="552" spans="1:97" hidden="1">
      <c r="A552" s="50" t="s">
        <v>149</v>
      </c>
      <c r="B552" s="50">
        <v>5017080</v>
      </c>
      <c r="C552" s="50" t="e">
        <f>VLOOKUP(B552,'Drop schools 2026'!B:C,2,0)</f>
        <v>#N/A</v>
      </c>
      <c r="D552" s="50" t="s">
        <v>212</v>
      </c>
      <c r="E552" s="50" t="s">
        <v>11995</v>
      </c>
      <c r="F552" s="50" t="s">
        <v>9851</v>
      </c>
      <c r="G552" s="50" t="e">
        <f>VLOOKUP(B552,aa!B:F,5,0)</f>
        <v>#N/A</v>
      </c>
      <c r="H552" s="50" t="e">
        <f>VLOOKUP(B552,aa!B:J,9,0)</f>
        <v>#N/A</v>
      </c>
      <c r="I552" s="50" t="e">
        <f>VLOOKUP(B552,aa!B:L,11,0)</f>
        <v>#N/A</v>
      </c>
      <c r="J552" s="50" t="e">
        <f>VLOOKUP(B552,aa!B:O,14,0)</f>
        <v>#N/A</v>
      </c>
      <c r="K552" s="50" t="e">
        <f>VLOOKUP(B552,aa!B:R,17,0)</f>
        <v>#N/A</v>
      </c>
      <c r="L552" s="50" t="s">
        <v>2044</v>
      </c>
      <c r="M552" s="50">
        <v>116547</v>
      </c>
      <c r="N552" s="50">
        <v>116547</v>
      </c>
      <c r="O552" s="50">
        <v>49209</v>
      </c>
      <c r="P552" s="50">
        <v>63</v>
      </c>
      <c r="Q552" s="50" t="s">
        <v>11321</v>
      </c>
      <c r="R552" s="50">
        <v>67338</v>
      </c>
      <c r="S552" s="50">
        <v>63</v>
      </c>
      <c r="T552" s="50" t="s">
        <v>15730</v>
      </c>
      <c r="U552" s="50">
        <v>0</v>
      </c>
      <c r="V552" s="50">
        <v>0</v>
      </c>
      <c r="X552" s="50" t="s">
        <v>102</v>
      </c>
      <c r="Y552" s="50" t="s">
        <v>103</v>
      </c>
      <c r="Z552" s="50" t="s">
        <v>398</v>
      </c>
      <c r="AB552" s="50" t="s">
        <v>8708</v>
      </c>
      <c r="AC552" s="50" t="s">
        <v>18993</v>
      </c>
      <c r="AD552" s="50" t="s">
        <v>12800</v>
      </c>
      <c r="AE552" s="50" t="s">
        <v>18994</v>
      </c>
      <c r="AF552" s="50" t="s">
        <v>12713</v>
      </c>
      <c r="AG552" s="50" t="s">
        <v>18994</v>
      </c>
      <c r="AH552" s="50" t="s">
        <v>109</v>
      </c>
      <c r="AI552" s="50" t="s">
        <v>102</v>
      </c>
      <c r="AJ552" s="50" t="s">
        <v>102</v>
      </c>
      <c r="AK552" s="50" t="s">
        <v>12427</v>
      </c>
      <c r="AL552" s="50" t="s">
        <v>12427</v>
      </c>
      <c r="AM552" s="50" t="s">
        <v>18995</v>
      </c>
      <c r="AN552" s="50" t="s">
        <v>18996</v>
      </c>
      <c r="AO552" s="50" t="s">
        <v>18997</v>
      </c>
      <c r="AP552" s="50" t="s">
        <v>11871</v>
      </c>
      <c r="AQ552" s="50" t="s">
        <v>11871</v>
      </c>
      <c r="AV552" s="50" t="s">
        <v>318</v>
      </c>
      <c r="AW552" s="50" t="s">
        <v>118</v>
      </c>
      <c r="AX552" s="50" t="s">
        <v>155</v>
      </c>
      <c r="AY552" s="50" t="s">
        <v>119</v>
      </c>
      <c r="AZ552" s="50" t="s">
        <v>170</v>
      </c>
      <c r="BA552" s="50" t="s">
        <v>118</v>
      </c>
      <c r="BC552" s="50" t="s">
        <v>120</v>
      </c>
      <c r="BD552" s="50" t="s">
        <v>284</v>
      </c>
      <c r="BE552" s="50" t="s">
        <v>285</v>
      </c>
      <c r="BF552" s="50" t="s">
        <v>212</v>
      </c>
      <c r="BG552" s="50" t="s">
        <v>286</v>
      </c>
      <c r="BH552" s="50" t="s">
        <v>124</v>
      </c>
      <c r="BI552" s="50" t="s">
        <v>11959</v>
      </c>
      <c r="BJ552" s="50" t="s">
        <v>11960</v>
      </c>
      <c r="BK552" s="50" t="s">
        <v>127</v>
      </c>
      <c r="BL552" s="50" t="s">
        <v>18998</v>
      </c>
      <c r="BM552" s="50" t="s">
        <v>9859</v>
      </c>
      <c r="BN552" s="50" t="s">
        <v>18999</v>
      </c>
      <c r="BO552" s="50" t="s">
        <v>12711</v>
      </c>
      <c r="BP552" s="50" t="s">
        <v>956</v>
      </c>
      <c r="BQ552" s="50" t="s">
        <v>505</v>
      </c>
      <c r="BR552" s="50" t="s">
        <v>958</v>
      </c>
      <c r="BS552" s="50" t="s">
        <v>959</v>
      </c>
      <c r="BT552" s="50" t="s">
        <v>293</v>
      </c>
      <c r="BV552" s="50" t="s">
        <v>19000</v>
      </c>
      <c r="BW552" s="50" t="s">
        <v>5704</v>
      </c>
      <c r="BX552" s="50" t="s">
        <v>138</v>
      </c>
      <c r="BY552" s="50" t="s">
        <v>5705</v>
      </c>
      <c r="BZ552" s="50" t="s">
        <v>5706</v>
      </c>
      <c r="CA552" s="50" t="s">
        <v>5705</v>
      </c>
      <c r="CB552" s="50" t="s">
        <v>5704</v>
      </c>
      <c r="CC552" s="50" t="s">
        <v>5705</v>
      </c>
      <c r="CD552" s="50" t="s">
        <v>5706</v>
      </c>
      <c r="CE552" s="50" t="s">
        <v>5704</v>
      </c>
      <c r="CF552" s="50" t="s">
        <v>5705</v>
      </c>
      <c r="CG552" s="50" t="s">
        <v>5706</v>
      </c>
      <c r="CH552" s="50" t="s">
        <v>102</v>
      </c>
      <c r="CI552" s="50" t="s">
        <v>5711</v>
      </c>
      <c r="CK552" s="50" t="s">
        <v>5712</v>
      </c>
      <c r="CM552" s="50" t="s">
        <v>284</v>
      </c>
      <c r="CN552" s="50" t="s">
        <v>285</v>
      </c>
      <c r="CO552" s="50" t="s">
        <v>5712</v>
      </c>
      <c r="CQ552" s="50" t="s">
        <v>5711</v>
      </c>
      <c r="CR552" s="50" t="s">
        <v>5711</v>
      </c>
      <c r="CS552" s="50" t="s">
        <v>26040</v>
      </c>
    </row>
    <row r="553" spans="1:97" hidden="1">
      <c r="A553" s="50" t="s">
        <v>93</v>
      </c>
      <c r="B553" s="50">
        <v>5017989</v>
      </c>
      <c r="C553" s="50" t="e">
        <f>VLOOKUP(B553,'Drop schools 2026'!B:C,2,0)</f>
        <v>#N/A</v>
      </c>
      <c r="D553" s="50" t="s">
        <v>622</v>
      </c>
      <c r="E553" s="50" t="s">
        <v>3562</v>
      </c>
      <c r="F553" s="50" t="s">
        <v>10392</v>
      </c>
      <c r="G553" s="50" t="e">
        <f>VLOOKUP(B553,aa!B:F,5,0)</f>
        <v>#N/A</v>
      </c>
      <c r="H553" s="50" t="e">
        <f>VLOOKUP(B553,aa!B:J,9,0)</f>
        <v>#N/A</v>
      </c>
      <c r="I553" s="50" t="e">
        <f>VLOOKUP(B553,aa!B:L,11,0)</f>
        <v>#N/A</v>
      </c>
      <c r="J553" s="50" t="e">
        <f>VLOOKUP(B553,aa!B:O,14,0)</f>
        <v>#N/A</v>
      </c>
      <c r="K553" s="50" t="e">
        <f>VLOOKUP(B553,aa!B:R,17,0)</f>
        <v>#N/A</v>
      </c>
      <c r="L553" s="50" t="s">
        <v>848</v>
      </c>
      <c r="M553" s="50">
        <v>114504</v>
      </c>
      <c r="N553" s="50">
        <v>135115</v>
      </c>
      <c r="O553" s="50">
        <v>0</v>
      </c>
      <c r="P553" s="50">
        <v>0</v>
      </c>
      <c r="R553" s="50">
        <v>0</v>
      </c>
      <c r="S553" s="50">
        <v>0</v>
      </c>
      <c r="U553" s="50">
        <v>114504</v>
      </c>
      <c r="V553" s="50">
        <v>100</v>
      </c>
      <c r="W553" s="50" t="s">
        <v>18588</v>
      </c>
      <c r="X553" s="50" t="s">
        <v>102</v>
      </c>
      <c r="Y553" s="50" t="s">
        <v>275</v>
      </c>
      <c r="AA553" s="50" t="s">
        <v>12084</v>
      </c>
      <c r="AB553" s="50" t="s">
        <v>109</v>
      </c>
      <c r="AC553" s="50" t="s">
        <v>102</v>
      </c>
      <c r="AD553" s="50" t="s">
        <v>109</v>
      </c>
      <c r="AE553" s="50" t="s">
        <v>102</v>
      </c>
      <c r="AF553" s="50" t="s">
        <v>109</v>
      </c>
      <c r="AG553" s="50" t="s">
        <v>102</v>
      </c>
      <c r="AH553" s="50" t="s">
        <v>109</v>
      </c>
      <c r="AI553" s="50" t="s">
        <v>102</v>
      </c>
      <c r="AJ553" s="50" t="s">
        <v>102</v>
      </c>
      <c r="AM553" s="50" t="s">
        <v>19320</v>
      </c>
      <c r="AN553" s="50" t="s">
        <v>102</v>
      </c>
      <c r="AO553" s="50" t="s">
        <v>19320</v>
      </c>
      <c r="AP553" s="50" t="s">
        <v>19321</v>
      </c>
      <c r="AQ553" s="50" t="s">
        <v>19322</v>
      </c>
      <c r="AU553" s="50" t="s">
        <v>169</v>
      </c>
      <c r="AV553" s="50" t="s">
        <v>102</v>
      </c>
      <c r="AX553" s="50" t="s">
        <v>102</v>
      </c>
      <c r="AY553" s="50" t="s">
        <v>119</v>
      </c>
      <c r="BB553" s="50" t="s">
        <v>250</v>
      </c>
      <c r="BC553" s="50" t="s">
        <v>10399</v>
      </c>
      <c r="BD553" s="50" t="s">
        <v>1729</v>
      </c>
      <c r="BE553" s="50" t="s">
        <v>730</v>
      </c>
      <c r="BF553" s="50" t="s">
        <v>622</v>
      </c>
      <c r="BG553" s="50" t="s">
        <v>730</v>
      </c>
      <c r="BH553" s="50" t="s">
        <v>124</v>
      </c>
      <c r="BI553" s="50" t="s">
        <v>11976</v>
      </c>
      <c r="BJ553" s="50" t="s">
        <v>12720</v>
      </c>
      <c r="BK553" s="50" t="s">
        <v>127</v>
      </c>
      <c r="BL553" s="50" t="s">
        <v>19323</v>
      </c>
      <c r="BM553" s="50" t="s">
        <v>10401</v>
      </c>
      <c r="BN553" s="50" t="s">
        <v>19324</v>
      </c>
      <c r="BO553" s="50" t="s">
        <v>4563</v>
      </c>
      <c r="BP553" s="50" t="s">
        <v>2262</v>
      </c>
      <c r="BQ553" s="50" t="s">
        <v>350</v>
      </c>
      <c r="BR553" s="50" t="s">
        <v>2263</v>
      </c>
      <c r="BS553" s="50" t="s">
        <v>2264</v>
      </c>
      <c r="BT553" s="50" t="s">
        <v>2569</v>
      </c>
      <c r="BV553" s="50" t="s">
        <v>19325</v>
      </c>
      <c r="BW553" s="50" t="s">
        <v>6852</v>
      </c>
      <c r="BX553" s="50" t="s">
        <v>598</v>
      </c>
      <c r="BY553" s="50" t="s">
        <v>4098</v>
      </c>
      <c r="BZ553" s="50" t="s">
        <v>19326</v>
      </c>
      <c r="CA553" s="50" t="s">
        <v>10407</v>
      </c>
      <c r="CB553" s="50" t="s">
        <v>6852</v>
      </c>
      <c r="CC553" s="50" t="s">
        <v>4098</v>
      </c>
      <c r="CD553" s="50" t="s">
        <v>19326</v>
      </c>
      <c r="CE553" s="50" t="s">
        <v>6852</v>
      </c>
      <c r="CF553" s="50" t="s">
        <v>4098</v>
      </c>
      <c r="CG553" s="50" t="s">
        <v>19326</v>
      </c>
      <c r="CH553" s="50" t="s">
        <v>5007</v>
      </c>
      <c r="CI553" s="50" t="s">
        <v>19327</v>
      </c>
      <c r="CK553" s="50" t="s">
        <v>1743</v>
      </c>
      <c r="CL553" s="50" t="s">
        <v>19328</v>
      </c>
      <c r="CM553" s="50" t="s">
        <v>1729</v>
      </c>
      <c r="CN553" s="50" t="s">
        <v>730</v>
      </c>
      <c r="CO553" s="50" t="s">
        <v>1743</v>
      </c>
      <c r="CQ553" s="50" t="s">
        <v>10408</v>
      </c>
      <c r="CR553" s="50" t="s">
        <v>10409</v>
      </c>
    </row>
    <row r="554" spans="1:97" hidden="1">
      <c r="A554" s="50" t="s">
        <v>149</v>
      </c>
      <c r="B554" s="50">
        <v>3999269</v>
      </c>
      <c r="C554" s="50" t="e">
        <f>VLOOKUP(B554,'Drop schools 2026'!B:C,2,0)</f>
        <v>#N/A</v>
      </c>
      <c r="D554" s="50" t="s">
        <v>174</v>
      </c>
      <c r="E554" s="50" t="s">
        <v>12155</v>
      </c>
      <c r="F554" s="50" t="s">
        <v>8431</v>
      </c>
      <c r="G554" s="50" t="e">
        <f>VLOOKUP(B554,aa!B:F,5,0)</f>
        <v>#N/A</v>
      </c>
      <c r="H554" s="50" t="e">
        <f>VLOOKUP(B554,aa!B:J,9,0)</f>
        <v>#N/A</v>
      </c>
      <c r="I554" s="50" t="e">
        <f>VLOOKUP(B554,aa!B:L,11,0)</f>
        <v>#N/A</v>
      </c>
      <c r="J554" s="50" t="e">
        <f>VLOOKUP(B554,aa!B:O,14,0)</f>
        <v>#N/A</v>
      </c>
      <c r="K554" s="50" t="e">
        <f>VLOOKUP(B554,aa!B:R,17,0)</f>
        <v>#N/A</v>
      </c>
      <c r="L554" s="50" t="s">
        <v>152</v>
      </c>
      <c r="M554" s="50">
        <v>113850</v>
      </c>
      <c r="N554" s="50">
        <v>113850</v>
      </c>
      <c r="O554" s="50">
        <v>0</v>
      </c>
      <c r="P554" s="50">
        <v>0</v>
      </c>
      <c r="R554" s="50">
        <v>113850</v>
      </c>
      <c r="S554" s="50">
        <v>69</v>
      </c>
      <c r="T554" s="50" t="s">
        <v>9865</v>
      </c>
      <c r="U554" s="50">
        <v>0</v>
      </c>
      <c r="V554" s="50">
        <v>0</v>
      </c>
      <c r="X554" s="50" t="s">
        <v>102</v>
      </c>
      <c r="Y554" s="50" t="s">
        <v>103</v>
      </c>
      <c r="Z554" s="50" t="s">
        <v>155</v>
      </c>
      <c r="AB554" s="50" t="s">
        <v>4813</v>
      </c>
      <c r="AC554" s="50" t="s">
        <v>17829</v>
      </c>
      <c r="AD554" s="50" t="s">
        <v>11929</v>
      </c>
      <c r="AE554" s="50" t="s">
        <v>17829</v>
      </c>
      <c r="AF554" s="50" t="s">
        <v>11930</v>
      </c>
      <c r="AG554" s="50" t="s">
        <v>17829</v>
      </c>
      <c r="AH554" s="50" t="s">
        <v>11886</v>
      </c>
      <c r="AI554" s="50" t="s">
        <v>17829</v>
      </c>
      <c r="AJ554" s="50" t="s">
        <v>102</v>
      </c>
      <c r="AK554" s="50" t="s">
        <v>12043</v>
      </c>
      <c r="AL554" s="50" t="s">
        <v>12043</v>
      </c>
      <c r="AM554" s="50" t="s">
        <v>17830</v>
      </c>
      <c r="AN554" s="50" t="s">
        <v>11377</v>
      </c>
      <c r="AO554" s="50" t="s">
        <v>17831</v>
      </c>
      <c r="AP554" s="50" t="s">
        <v>15155</v>
      </c>
      <c r="AQ554" s="50" t="s">
        <v>15155</v>
      </c>
      <c r="AV554" s="50" t="s">
        <v>102</v>
      </c>
      <c r="AX554" s="50" t="s">
        <v>155</v>
      </c>
      <c r="AY554" s="50" t="s">
        <v>447</v>
      </c>
      <c r="AZ554" s="50" t="s">
        <v>170</v>
      </c>
      <c r="BA554" s="50" t="s">
        <v>118</v>
      </c>
      <c r="BC554" s="50" t="s">
        <v>120</v>
      </c>
      <c r="BD554" s="50" t="s">
        <v>8443</v>
      </c>
      <c r="BE554" s="50" t="s">
        <v>173</v>
      </c>
      <c r="BF554" s="50" t="s">
        <v>174</v>
      </c>
      <c r="BG554" s="50" t="s">
        <v>173</v>
      </c>
      <c r="BH554" s="50" t="s">
        <v>124</v>
      </c>
      <c r="BI554" s="50" t="s">
        <v>12023</v>
      </c>
      <c r="BJ554" s="50" t="s">
        <v>11889</v>
      </c>
      <c r="BK554" s="50" t="s">
        <v>127</v>
      </c>
      <c r="BL554" s="50" t="s">
        <v>17832</v>
      </c>
      <c r="BM554" s="50" t="s">
        <v>8445</v>
      </c>
      <c r="BN554" s="50" t="s">
        <v>17833</v>
      </c>
      <c r="BO554" s="50" t="s">
        <v>3485</v>
      </c>
      <c r="BP554" s="50" t="s">
        <v>12557</v>
      </c>
      <c r="BQ554" s="50" t="s">
        <v>180</v>
      </c>
      <c r="BR554" s="50" t="s">
        <v>12558</v>
      </c>
      <c r="BS554" s="50" t="s">
        <v>12559</v>
      </c>
      <c r="BT554" s="50" t="s">
        <v>8450</v>
      </c>
      <c r="BV554" s="50" t="s">
        <v>17834</v>
      </c>
      <c r="BW554" s="50" t="s">
        <v>17835</v>
      </c>
      <c r="BX554" s="50" t="s">
        <v>354</v>
      </c>
      <c r="BY554" s="50" t="s">
        <v>8455</v>
      </c>
      <c r="BZ554" s="50" t="s">
        <v>17836</v>
      </c>
      <c r="CA554" s="50" t="s">
        <v>8455</v>
      </c>
      <c r="CB554" s="50" t="s">
        <v>17837</v>
      </c>
      <c r="CC554" s="50" t="s">
        <v>8455</v>
      </c>
      <c r="CD554" s="50" t="s">
        <v>17836</v>
      </c>
      <c r="CE554" s="50" t="s">
        <v>17838</v>
      </c>
      <c r="CF554" s="50" t="s">
        <v>17839</v>
      </c>
      <c r="CG554" s="50" t="s">
        <v>17840</v>
      </c>
      <c r="CH554" s="50" t="s">
        <v>8459</v>
      </c>
      <c r="CI554" s="50" t="s">
        <v>17841</v>
      </c>
      <c r="CK554" s="50" t="s">
        <v>8461</v>
      </c>
      <c r="CL554" s="50" t="s">
        <v>17842</v>
      </c>
      <c r="CM554" s="50" t="s">
        <v>8443</v>
      </c>
      <c r="CN554" s="50" t="s">
        <v>173</v>
      </c>
      <c r="CO554" s="50" t="s">
        <v>8461</v>
      </c>
      <c r="CQ554" s="50" t="s">
        <v>8463</v>
      </c>
      <c r="CR554" s="50" t="s">
        <v>8464</v>
      </c>
      <c r="CS554" s="50" t="s">
        <v>26042</v>
      </c>
    </row>
    <row r="555" spans="1:97" hidden="1">
      <c r="A555" s="50" t="s">
        <v>337</v>
      </c>
      <c r="B555" s="50">
        <v>5018584</v>
      </c>
      <c r="C555" s="50" t="str">
        <f>VLOOKUP(B555,'Drop schools 2026'!B:C,2,0)</f>
        <v>Drop</v>
      </c>
      <c r="D555" s="50" t="s">
        <v>174</v>
      </c>
      <c r="E555" s="50" t="s">
        <v>1111</v>
      </c>
      <c r="F555" s="50" t="s">
        <v>20063</v>
      </c>
      <c r="G555" s="50" t="e">
        <f>VLOOKUP(B555,aa!B:F,5,0)</f>
        <v>#N/A</v>
      </c>
      <c r="H555" s="50" t="e">
        <f>VLOOKUP(B555,aa!B:J,9,0)</f>
        <v>#N/A</v>
      </c>
      <c r="I555" s="50" t="e">
        <f>VLOOKUP(B555,aa!B:L,11,0)</f>
        <v>#N/A</v>
      </c>
      <c r="J555" s="50" t="e">
        <f>VLOOKUP(B555,aa!B:O,14,0)</f>
        <v>#N/A</v>
      </c>
      <c r="K555" s="50" t="e">
        <f>VLOOKUP(B555,aa!B:R,17,0)</f>
        <v>#N/A</v>
      </c>
      <c r="L555" s="50" t="s">
        <v>848</v>
      </c>
      <c r="M555" s="50">
        <v>113070</v>
      </c>
      <c r="N555" s="50">
        <v>133423</v>
      </c>
      <c r="O555" s="50">
        <v>0</v>
      </c>
      <c r="P555" s="50">
        <v>0</v>
      </c>
      <c r="R555" s="50">
        <v>0</v>
      </c>
      <c r="S555" s="50">
        <v>0</v>
      </c>
      <c r="U555" s="50">
        <v>113070</v>
      </c>
      <c r="V555" s="50">
        <v>109</v>
      </c>
      <c r="W555" s="50" t="s">
        <v>20064</v>
      </c>
      <c r="X555" s="50" t="s">
        <v>102</v>
      </c>
      <c r="Y555" s="50" t="s">
        <v>103</v>
      </c>
      <c r="Z555" s="50" t="s">
        <v>104</v>
      </c>
      <c r="AB555" s="50" t="s">
        <v>12289</v>
      </c>
      <c r="AC555" s="50" t="s">
        <v>20065</v>
      </c>
      <c r="AD555" s="50" t="s">
        <v>11886</v>
      </c>
      <c r="AE555" s="50" t="s">
        <v>20065</v>
      </c>
      <c r="AF555" s="50" t="s">
        <v>109</v>
      </c>
      <c r="AG555" s="50" t="s">
        <v>102</v>
      </c>
      <c r="AH555" s="50" t="s">
        <v>109</v>
      </c>
      <c r="AI555" s="50" t="s">
        <v>102</v>
      </c>
      <c r="AJ555" s="50" t="s">
        <v>102</v>
      </c>
      <c r="AK555" s="50" t="s">
        <v>12470</v>
      </c>
      <c r="AL555" s="50" t="s">
        <v>12470</v>
      </c>
      <c r="AM555" s="50" t="s">
        <v>20066</v>
      </c>
      <c r="AN555" s="50" t="s">
        <v>5007</v>
      </c>
      <c r="AO555" s="50" t="s">
        <v>20067</v>
      </c>
      <c r="AP555" s="50" t="s">
        <v>15210</v>
      </c>
      <c r="AQ555" s="50" t="s">
        <v>15210</v>
      </c>
      <c r="AV555" s="50" t="s">
        <v>102</v>
      </c>
      <c r="AX555" s="50" t="s">
        <v>102</v>
      </c>
      <c r="AY555" s="50" t="s">
        <v>119</v>
      </c>
      <c r="BB555" s="50" t="s">
        <v>250</v>
      </c>
      <c r="BC555" s="50" t="s">
        <v>120</v>
      </c>
      <c r="BD555" s="50" t="s">
        <v>20068</v>
      </c>
      <c r="BE555" s="50" t="s">
        <v>4404</v>
      </c>
      <c r="BF555" s="50" t="s">
        <v>174</v>
      </c>
      <c r="BG555" s="50" t="s">
        <v>4405</v>
      </c>
      <c r="BH555" s="50" t="s">
        <v>124</v>
      </c>
      <c r="BI555" s="50" t="s">
        <v>4045</v>
      </c>
      <c r="BJ555" s="50" t="s">
        <v>11889</v>
      </c>
      <c r="BK555" s="50" t="s">
        <v>127</v>
      </c>
      <c r="BL555" s="50" t="s">
        <v>20069</v>
      </c>
      <c r="BM555" s="50" t="s">
        <v>20070</v>
      </c>
      <c r="BN555" s="50" t="s">
        <v>20071</v>
      </c>
      <c r="BO555" s="50" t="s">
        <v>12783</v>
      </c>
      <c r="BP555" s="50" t="s">
        <v>16015</v>
      </c>
      <c r="BQ555" s="50" t="s">
        <v>505</v>
      </c>
      <c r="BR555" s="50" t="s">
        <v>16016</v>
      </c>
      <c r="BS555" s="50" t="s">
        <v>16017</v>
      </c>
      <c r="BT555" s="50" t="s">
        <v>4413</v>
      </c>
      <c r="BV555" s="50" t="s">
        <v>20072</v>
      </c>
      <c r="BW555" s="50" t="s">
        <v>20073</v>
      </c>
      <c r="BY555" s="50" t="s">
        <v>20074</v>
      </c>
      <c r="BZ555" s="50" t="s">
        <v>20075</v>
      </c>
      <c r="CA555" s="50" t="s">
        <v>20074</v>
      </c>
      <c r="CB555" s="50" t="s">
        <v>20073</v>
      </c>
      <c r="CC555" s="50" t="s">
        <v>20074</v>
      </c>
      <c r="CD555" s="50" t="s">
        <v>20075</v>
      </c>
      <c r="CE555" s="50" t="s">
        <v>20073</v>
      </c>
      <c r="CF555" s="50" t="s">
        <v>20074</v>
      </c>
      <c r="CG555" s="50" t="s">
        <v>20075</v>
      </c>
      <c r="CH555" s="50" t="s">
        <v>14025</v>
      </c>
      <c r="CI555" s="50" t="s">
        <v>20076</v>
      </c>
      <c r="CK555" s="50" t="s">
        <v>20077</v>
      </c>
      <c r="CL555" s="50" t="s">
        <v>20078</v>
      </c>
      <c r="CM555" s="50" t="s">
        <v>20068</v>
      </c>
      <c r="CN555" s="50" t="s">
        <v>4404</v>
      </c>
      <c r="CO555" s="50" t="s">
        <v>20077</v>
      </c>
      <c r="CQ555" s="50" t="s">
        <v>20079</v>
      </c>
      <c r="CR555" s="50" t="s">
        <v>20079</v>
      </c>
      <c r="CS555" s="50" t="s">
        <v>26046</v>
      </c>
    </row>
    <row r="556" spans="1:97" hidden="1">
      <c r="A556" s="50" t="s">
        <v>337</v>
      </c>
      <c r="B556" s="50">
        <v>5044593</v>
      </c>
      <c r="C556" s="50" t="e">
        <f>VLOOKUP(B556,'Drop schools 2026'!B:C,2,0)</f>
        <v>#N/A</v>
      </c>
      <c r="D556" s="50" t="s">
        <v>622</v>
      </c>
      <c r="E556" s="50" t="s">
        <v>632</v>
      </c>
      <c r="F556" s="50" t="s">
        <v>20409</v>
      </c>
      <c r="G556" s="50" t="e">
        <f>VLOOKUP(B556,aa!B:F,5,0)</f>
        <v>#N/A</v>
      </c>
      <c r="H556" s="50" t="e">
        <f>VLOOKUP(B556,aa!B:J,9,0)</f>
        <v>#N/A</v>
      </c>
      <c r="I556" s="50" t="e">
        <f>VLOOKUP(B556,aa!B:L,11,0)</f>
        <v>#N/A</v>
      </c>
      <c r="J556" s="50" t="e">
        <f>VLOOKUP(B556,aa!B:O,14,0)</f>
        <v>#N/A</v>
      </c>
      <c r="K556" s="50" t="e">
        <f>VLOOKUP(B556,aa!B:R,17,0)</f>
        <v>#N/A</v>
      </c>
      <c r="L556" s="50" t="s">
        <v>152</v>
      </c>
      <c r="M556" s="50">
        <v>112206</v>
      </c>
      <c r="N556" s="50">
        <v>112206</v>
      </c>
      <c r="O556" s="50">
        <v>0</v>
      </c>
      <c r="P556" s="50">
        <v>0</v>
      </c>
      <c r="R556" s="50">
        <v>112206</v>
      </c>
      <c r="S556" s="50">
        <v>187</v>
      </c>
      <c r="T556" s="50" t="s">
        <v>310</v>
      </c>
      <c r="U556" s="50">
        <v>0</v>
      </c>
      <c r="V556" s="50">
        <v>0</v>
      </c>
      <c r="X556" s="50" t="s">
        <v>102</v>
      </c>
      <c r="Y556" s="50" t="s">
        <v>103</v>
      </c>
      <c r="Z556" s="50" t="s">
        <v>398</v>
      </c>
      <c r="AB556" s="50" t="s">
        <v>12890</v>
      </c>
      <c r="AC556" s="50" t="s">
        <v>20410</v>
      </c>
      <c r="AD556" s="50" t="s">
        <v>12800</v>
      </c>
      <c r="AE556" s="50" t="s">
        <v>20411</v>
      </c>
      <c r="AF556" s="50" t="s">
        <v>12713</v>
      </c>
      <c r="AG556" s="50" t="s">
        <v>20410</v>
      </c>
      <c r="AH556" s="50" t="s">
        <v>109</v>
      </c>
      <c r="AI556" s="50" t="s">
        <v>102</v>
      </c>
      <c r="AJ556" s="50" t="s">
        <v>102</v>
      </c>
      <c r="AK556" s="50" t="s">
        <v>1408</v>
      </c>
      <c r="AL556" s="50" t="s">
        <v>19723</v>
      </c>
      <c r="AM556" s="50" t="s">
        <v>20412</v>
      </c>
      <c r="AN556" s="50" t="s">
        <v>20413</v>
      </c>
      <c r="AO556" s="50" t="s">
        <v>20414</v>
      </c>
      <c r="AP556" s="50" t="s">
        <v>3677</v>
      </c>
      <c r="AQ556" s="50" t="s">
        <v>3677</v>
      </c>
      <c r="AV556" s="50" t="s">
        <v>102</v>
      </c>
      <c r="AX556" s="50" t="s">
        <v>104</v>
      </c>
      <c r="AY556" s="50" t="s">
        <v>119</v>
      </c>
      <c r="AZ556" s="50" t="s">
        <v>170</v>
      </c>
      <c r="BA556" s="50" t="s">
        <v>118</v>
      </c>
      <c r="BC556" s="50" t="s">
        <v>18534</v>
      </c>
      <c r="BD556" s="50" t="s">
        <v>623</v>
      </c>
      <c r="BE556" s="50" t="s">
        <v>621</v>
      </c>
      <c r="BF556" s="50" t="s">
        <v>622</v>
      </c>
      <c r="BG556" s="50" t="s">
        <v>623</v>
      </c>
      <c r="BH556" s="50" t="s">
        <v>124</v>
      </c>
      <c r="BI556" s="50" t="s">
        <v>11976</v>
      </c>
      <c r="BJ556" s="50" t="s">
        <v>12047</v>
      </c>
      <c r="BK556" s="50" t="s">
        <v>127</v>
      </c>
      <c r="BL556" s="50" t="s">
        <v>20415</v>
      </c>
      <c r="BM556" s="50" t="s">
        <v>20416</v>
      </c>
      <c r="BN556" s="50" t="s">
        <v>20417</v>
      </c>
      <c r="BO556" s="50" t="s">
        <v>7439</v>
      </c>
      <c r="BP556" s="50" t="s">
        <v>2284</v>
      </c>
      <c r="BQ556" s="50" t="s">
        <v>180</v>
      </c>
      <c r="BR556" s="50" t="s">
        <v>2285</v>
      </c>
      <c r="BS556" s="50" t="s">
        <v>2286</v>
      </c>
      <c r="BT556" s="50" t="s">
        <v>1342</v>
      </c>
      <c r="BV556" s="50" t="s">
        <v>20418</v>
      </c>
      <c r="BW556" s="50" t="s">
        <v>20419</v>
      </c>
      <c r="BX556" s="50" t="s">
        <v>138</v>
      </c>
      <c r="BY556" s="50" t="s">
        <v>20420</v>
      </c>
      <c r="BZ556" s="50" t="s">
        <v>20421</v>
      </c>
      <c r="CA556" s="50" t="s">
        <v>20420</v>
      </c>
      <c r="CB556" s="50" t="s">
        <v>20422</v>
      </c>
      <c r="CC556" s="50" t="s">
        <v>20420</v>
      </c>
      <c r="CD556" s="50" t="s">
        <v>20421</v>
      </c>
      <c r="CE556" s="50" t="s">
        <v>20422</v>
      </c>
      <c r="CF556" s="50" t="s">
        <v>20420</v>
      </c>
      <c r="CG556" s="50" t="s">
        <v>20421</v>
      </c>
      <c r="CH556" s="50" t="s">
        <v>14701</v>
      </c>
      <c r="CI556" s="50" t="s">
        <v>20423</v>
      </c>
      <c r="CK556" s="50" t="s">
        <v>3177</v>
      </c>
      <c r="CL556" s="50" t="s">
        <v>20423</v>
      </c>
      <c r="CM556" s="50" t="s">
        <v>623</v>
      </c>
      <c r="CN556" s="50" t="s">
        <v>621</v>
      </c>
      <c r="CO556" s="50" t="s">
        <v>3177</v>
      </c>
      <c r="CQ556" s="50" t="s">
        <v>20423</v>
      </c>
      <c r="CR556" s="50" t="s">
        <v>20423</v>
      </c>
    </row>
    <row r="557" spans="1:97" hidden="1">
      <c r="A557" s="50" t="s">
        <v>337</v>
      </c>
      <c r="B557" s="50">
        <v>5035523</v>
      </c>
      <c r="C557" s="50" t="str">
        <f>VLOOKUP(B557,RISK!B:C,2,0)</f>
        <v>Risk</v>
      </c>
      <c r="D557" s="50" t="s">
        <v>622</v>
      </c>
      <c r="E557" s="50" t="s">
        <v>3562</v>
      </c>
      <c r="F557" s="50" t="s">
        <v>20216</v>
      </c>
      <c r="G557" s="50" t="e">
        <f>VLOOKUP(B557,aa!B:F,5,0)</f>
        <v>#N/A</v>
      </c>
      <c r="H557" s="50" t="e">
        <f>VLOOKUP(B557,aa!B:J,9,0)</f>
        <v>#N/A</v>
      </c>
      <c r="I557" s="50" t="e">
        <f>VLOOKUP(B557,aa!B:L,11,0)</f>
        <v>#N/A</v>
      </c>
      <c r="J557" s="50" t="e">
        <f>VLOOKUP(B557,aa!B:O,14,0)</f>
        <v>#N/A</v>
      </c>
      <c r="K557" s="50" t="e">
        <f>VLOOKUP(B557,aa!B:R,17,0)</f>
        <v>#N/A</v>
      </c>
      <c r="L557" s="50" t="s">
        <v>848</v>
      </c>
      <c r="M557" s="50">
        <v>110263</v>
      </c>
      <c r="N557" s="50">
        <v>130110</v>
      </c>
      <c r="O557" s="50">
        <v>0</v>
      </c>
      <c r="P557" s="50">
        <v>0</v>
      </c>
      <c r="R557" s="50">
        <v>0</v>
      </c>
      <c r="S557" s="50">
        <v>0</v>
      </c>
      <c r="U557" s="50">
        <v>110263</v>
      </c>
      <c r="V557" s="50">
        <v>52</v>
      </c>
      <c r="W557" s="50" t="s">
        <v>20217</v>
      </c>
      <c r="X557" s="50" t="s">
        <v>102</v>
      </c>
      <c r="Y557" s="50" t="s">
        <v>103</v>
      </c>
      <c r="Z557" s="50" t="s">
        <v>104</v>
      </c>
      <c r="AB557" s="50" t="s">
        <v>411</v>
      </c>
      <c r="AC557" s="50" t="s">
        <v>20218</v>
      </c>
      <c r="AD557" s="50" t="s">
        <v>11976</v>
      </c>
      <c r="AE557" s="50" t="s">
        <v>20218</v>
      </c>
      <c r="AF557" s="50" t="s">
        <v>109</v>
      </c>
      <c r="AG557" s="50" t="s">
        <v>102</v>
      </c>
      <c r="AH557" s="50" t="s">
        <v>109</v>
      </c>
      <c r="AI557" s="50" t="s">
        <v>102</v>
      </c>
      <c r="AJ557" s="50" t="s">
        <v>102</v>
      </c>
      <c r="AK557" s="50" t="s">
        <v>15332</v>
      </c>
      <c r="AL557" s="50" t="s">
        <v>12836</v>
      </c>
      <c r="AM557" s="50" t="s">
        <v>20219</v>
      </c>
      <c r="AN557" s="50" t="s">
        <v>20219</v>
      </c>
      <c r="AO557" s="50" t="s">
        <v>102</v>
      </c>
      <c r="AP557" s="50" t="s">
        <v>20220</v>
      </c>
      <c r="AQ557" s="50" t="s">
        <v>20220</v>
      </c>
      <c r="AV557" s="50" t="s">
        <v>102</v>
      </c>
      <c r="AX557" s="50" t="s">
        <v>102</v>
      </c>
      <c r="AY557" s="50" t="s">
        <v>119</v>
      </c>
      <c r="BB557" s="50" t="s">
        <v>250</v>
      </c>
      <c r="BC557" s="50" t="s">
        <v>1964</v>
      </c>
      <c r="BD557" s="50" t="s">
        <v>3714</v>
      </c>
      <c r="BE557" s="50" t="s">
        <v>730</v>
      </c>
      <c r="BF557" s="50" t="s">
        <v>622</v>
      </c>
      <c r="BG557" s="50" t="s">
        <v>730</v>
      </c>
      <c r="BH557" s="50" t="s">
        <v>124</v>
      </c>
      <c r="BI557" s="50" t="s">
        <v>11959</v>
      </c>
      <c r="BJ557" s="50" t="s">
        <v>11960</v>
      </c>
      <c r="BK557" s="50" t="s">
        <v>127</v>
      </c>
      <c r="BL557" s="50" t="s">
        <v>20221</v>
      </c>
      <c r="BM557" s="50" t="s">
        <v>20222</v>
      </c>
      <c r="BN557" s="50" t="s">
        <v>20223</v>
      </c>
      <c r="BO557" s="50" t="s">
        <v>1097</v>
      </c>
      <c r="BP557" s="50" t="s">
        <v>3910</v>
      </c>
      <c r="BQ557" s="50" t="s">
        <v>350</v>
      </c>
      <c r="BR557" s="50" t="s">
        <v>3911</v>
      </c>
      <c r="BS557" s="50" t="s">
        <v>3912</v>
      </c>
      <c r="BT557" s="50" t="s">
        <v>2331</v>
      </c>
      <c r="BV557" s="50" t="s">
        <v>20224</v>
      </c>
      <c r="BW557" s="50" t="s">
        <v>20225</v>
      </c>
      <c r="BX557" s="50" t="s">
        <v>138</v>
      </c>
      <c r="BY557" s="50" t="s">
        <v>20226</v>
      </c>
      <c r="BZ557" s="50" t="s">
        <v>20227</v>
      </c>
      <c r="CA557" s="50" t="s">
        <v>20228</v>
      </c>
      <c r="CB557" s="50" t="s">
        <v>20225</v>
      </c>
      <c r="CC557" s="50" t="s">
        <v>20226</v>
      </c>
      <c r="CD557" s="50" t="s">
        <v>20227</v>
      </c>
      <c r="CE557" s="50" t="s">
        <v>20225</v>
      </c>
      <c r="CF557" s="50" t="s">
        <v>20226</v>
      </c>
      <c r="CG557" s="50" t="s">
        <v>20227</v>
      </c>
      <c r="CH557" s="50" t="s">
        <v>20229</v>
      </c>
      <c r="CI557" s="50" t="s">
        <v>20230</v>
      </c>
      <c r="CK557" s="50" t="s">
        <v>10723</v>
      </c>
      <c r="CL557" s="50" t="s">
        <v>20230</v>
      </c>
      <c r="CM557" s="50" t="s">
        <v>3714</v>
      </c>
      <c r="CN557" s="50" t="s">
        <v>730</v>
      </c>
      <c r="CO557" s="50" t="s">
        <v>10723</v>
      </c>
      <c r="CQ557" s="50" t="s">
        <v>20231</v>
      </c>
      <c r="CR557" s="50" t="s">
        <v>20231</v>
      </c>
    </row>
    <row r="558" spans="1:97" hidden="1">
      <c r="A558" s="50" t="s">
        <v>337</v>
      </c>
      <c r="B558" s="50">
        <v>3514450</v>
      </c>
      <c r="C558" s="50" t="str">
        <f>VLOOKUP(B558,RISK!B:C,2,0)</f>
        <v>Risk</v>
      </c>
      <c r="D558" s="50" t="s">
        <v>174</v>
      </c>
      <c r="E558" s="50" t="s">
        <v>12155</v>
      </c>
      <c r="F558" s="50" t="s">
        <v>16325</v>
      </c>
      <c r="G558" s="50" t="e">
        <f>VLOOKUP(B558,aa!B:F,5,0)</f>
        <v>#N/A</v>
      </c>
      <c r="H558" s="50" t="e">
        <f>VLOOKUP(B558,aa!B:J,9,0)</f>
        <v>#N/A</v>
      </c>
      <c r="I558" s="50" t="e">
        <f>VLOOKUP(B558,aa!B:L,11,0)</f>
        <v>#N/A</v>
      </c>
      <c r="J558" s="50" t="e">
        <f>VLOOKUP(B558,aa!B:O,14,0)</f>
        <v>#N/A</v>
      </c>
      <c r="K558" s="50" t="e">
        <f>VLOOKUP(B558,aa!B:R,17,0)</f>
        <v>#N/A</v>
      </c>
      <c r="L558" s="50" t="s">
        <v>152</v>
      </c>
      <c r="M558" s="50">
        <v>108974</v>
      </c>
      <c r="N558" s="50">
        <v>108974</v>
      </c>
      <c r="O558" s="50">
        <v>0</v>
      </c>
      <c r="P558" s="50">
        <v>0</v>
      </c>
      <c r="R558" s="50">
        <v>108974</v>
      </c>
      <c r="S558" s="50">
        <v>336</v>
      </c>
      <c r="T558" s="50" t="s">
        <v>16326</v>
      </c>
      <c r="U558" s="50">
        <v>0</v>
      </c>
      <c r="V558" s="50">
        <v>0</v>
      </c>
      <c r="X558" s="50" t="s">
        <v>102</v>
      </c>
      <c r="Y558" s="50" t="s">
        <v>103</v>
      </c>
      <c r="Z558" s="50" t="s">
        <v>801</v>
      </c>
      <c r="AB558" s="50" t="s">
        <v>854</v>
      </c>
      <c r="AC558" s="50" t="s">
        <v>16327</v>
      </c>
      <c r="AD558" s="50" t="s">
        <v>16328</v>
      </c>
      <c r="AE558" s="50" t="s">
        <v>16327</v>
      </c>
      <c r="AF558" s="50" t="s">
        <v>16329</v>
      </c>
      <c r="AG558" s="50" t="s">
        <v>16327</v>
      </c>
      <c r="AH558" s="50" t="s">
        <v>16330</v>
      </c>
      <c r="AI558" s="50" t="s">
        <v>16327</v>
      </c>
      <c r="AJ558" s="50" t="s">
        <v>102</v>
      </c>
      <c r="AK558" s="50" t="s">
        <v>5022</v>
      </c>
      <c r="AL558" s="50" t="s">
        <v>13386</v>
      </c>
      <c r="AM558" s="50" t="s">
        <v>16331</v>
      </c>
      <c r="AN558" s="50" t="s">
        <v>16332</v>
      </c>
      <c r="AO558" s="50" t="s">
        <v>16333</v>
      </c>
      <c r="AP558" s="50" t="s">
        <v>16334</v>
      </c>
      <c r="AQ558" s="50" t="s">
        <v>16334</v>
      </c>
      <c r="AV558" s="50" t="s">
        <v>102</v>
      </c>
      <c r="AX558" s="50" t="s">
        <v>104</v>
      </c>
      <c r="AY558" s="50" t="s">
        <v>119</v>
      </c>
      <c r="AZ558" s="50" t="s">
        <v>170</v>
      </c>
      <c r="BA558" s="50" t="s">
        <v>118</v>
      </c>
      <c r="BC558" s="50" t="s">
        <v>120</v>
      </c>
      <c r="BD558" s="50" t="s">
        <v>16335</v>
      </c>
      <c r="BE558" s="50" t="s">
        <v>173</v>
      </c>
      <c r="BF558" s="50" t="s">
        <v>174</v>
      </c>
      <c r="BG558" s="50" t="s">
        <v>173</v>
      </c>
      <c r="BH558" s="50" t="s">
        <v>124</v>
      </c>
      <c r="BI558" s="50" t="s">
        <v>12023</v>
      </c>
      <c r="BJ558" s="50" t="s">
        <v>11889</v>
      </c>
      <c r="BK558" s="50" t="s">
        <v>127</v>
      </c>
      <c r="BL558" s="50" t="s">
        <v>16336</v>
      </c>
      <c r="BM558" s="50" t="s">
        <v>16337</v>
      </c>
      <c r="BN558" s="50" t="s">
        <v>16338</v>
      </c>
      <c r="BO558" s="50" t="s">
        <v>915</v>
      </c>
      <c r="BP558" s="50" t="s">
        <v>8447</v>
      </c>
      <c r="BQ558" s="50" t="s">
        <v>7992</v>
      </c>
      <c r="BR558" s="50" t="s">
        <v>8448</v>
      </c>
      <c r="BS558" s="50" t="s">
        <v>8449</v>
      </c>
      <c r="BT558" s="50" t="s">
        <v>8450</v>
      </c>
      <c r="BV558" s="50" t="s">
        <v>16339</v>
      </c>
      <c r="BW558" s="50" t="s">
        <v>16340</v>
      </c>
      <c r="BX558" s="50" t="s">
        <v>138</v>
      </c>
      <c r="BY558" s="50" t="s">
        <v>16341</v>
      </c>
      <c r="BZ558" s="50" t="s">
        <v>16342</v>
      </c>
      <c r="CA558" s="50" t="s">
        <v>16341</v>
      </c>
      <c r="CB558" s="50" t="s">
        <v>16340</v>
      </c>
      <c r="CC558" s="50" t="s">
        <v>16341</v>
      </c>
      <c r="CD558" s="50" t="s">
        <v>16342</v>
      </c>
      <c r="CE558" s="50" t="s">
        <v>16343</v>
      </c>
      <c r="CF558" s="50" t="s">
        <v>16344</v>
      </c>
      <c r="CG558" s="50" t="s">
        <v>16345</v>
      </c>
      <c r="CH558" s="50" t="s">
        <v>16346</v>
      </c>
      <c r="CI558" s="50" t="s">
        <v>16347</v>
      </c>
      <c r="CK558" s="50" t="s">
        <v>16348</v>
      </c>
      <c r="CL558" s="50" t="s">
        <v>16349</v>
      </c>
      <c r="CM558" s="50" t="s">
        <v>16335</v>
      </c>
      <c r="CN558" s="50" t="s">
        <v>173</v>
      </c>
      <c r="CO558" s="50" t="s">
        <v>16348</v>
      </c>
      <c r="CQ558" s="50" t="s">
        <v>16350</v>
      </c>
      <c r="CR558" s="50" t="s">
        <v>16351</v>
      </c>
      <c r="CS558" s="50" t="s">
        <v>26047</v>
      </c>
    </row>
    <row r="559" spans="1:97" hidden="1">
      <c r="A559" s="50" t="s">
        <v>337</v>
      </c>
      <c r="B559" s="50">
        <v>3395252</v>
      </c>
      <c r="C559" s="50" t="str">
        <f>VLOOKUP(B559,RISK!B:C,2,0)</f>
        <v>Risk</v>
      </c>
      <c r="D559" s="50" t="s">
        <v>622</v>
      </c>
      <c r="E559" s="50" t="s">
        <v>2525</v>
      </c>
      <c r="F559" s="50" t="s">
        <v>15801</v>
      </c>
      <c r="G559" s="50" t="e">
        <f>VLOOKUP(B559,aa!B:F,5,0)</f>
        <v>#N/A</v>
      </c>
      <c r="H559" s="50" t="e">
        <f>VLOOKUP(B559,aa!B:J,9,0)</f>
        <v>#N/A</v>
      </c>
      <c r="I559" s="50" t="e">
        <f>VLOOKUP(B559,aa!B:L,11,0)</f>
        <v>#N/A</v>
      </c>
      <c r="J559" s="50" t="e">
        <f>VLOOKUP(B559,aa!B:O,14,0)</f>
        <v>#N/A</v>
      </c>
      <c r="K559" s="50" t="e">
        <f>VLOOKUP(B559,aa!B:R,17,0)</f>
        <v>#N/A</v>
      </c>
      <c r="L559" s="50" t="s">
        <v>152</v>
      </c>
      <c r="M559" s="50">
        <v>108915</v>
      </c>
      <c r="N559" s="50">
        <v>108915</v>
      </c>
      <c r="O559" s="50">
        <v>0</v>
      </c>
      <c r="P559" s="50">
        <v>0</v>
      </c>
      <c r="R559" s="50">
        <v>108915</v>
      </c>
      <c r="S559" s="50">
        <v>121</v>
      </c>
      <c r="T559" s="50" t="s">
        <v>2451</v>
      </c>
      <c r="U559" s="50">
        <v>0</v>
      </c>
      <c r="V559" s="50">
        <v>0</v>
      </c>
      <c r="X559" s="50" t="s">
        <v>102</v>
      </c>
      <c r="Y559" s="50" t="s">
        <v>103</v>
      </c>
      <c r="Z559" s="50" t="s">
        <v>104</v>
      </c>
      <c r="AB559" s="50" t="s">
        <v>13435</v>
      </c>
      <c r="AC559" s="50" t="s">
        <v>15802</v>
      </c>
      <c r="AD559" s="50" t="s">
        <v>12467</v>
      </c>
      <c r="AE559" s="50" t="s">
        <v>15802</v>
      </c>
      <c r="AF559" s="50" t="s">
        <v>109</v>
      </c>
      <c r="AG559" s="50" t="s">
        <v>102</v>
      </c>
      <c r="AH559" s="50" t="s">
        <v>109</v>
      </c>
      <c r="AI559" s="50" t="s">
        <v>102</v>
      </c>
      <c r="AJ559" s="50" t="s">
        <v>102</v>
      </c>
      <c r="AK559" s="50" t="s">
        <v>945</v>
      </c>
      <c r="AL559" s="50" t="s">
        <v>14267</v>
      </c>
      <c r="AM559" s="50" t="s">
        <v>15803</v>
      </c>
      <c r="AN559" s="50" t="s">
        <v>15804</v>
      </c>
      <c r="AO559" s="50" t="s">
        <v>15805</v>
      </c>
      <c r="AP559" s="50" t="s">
        <v>3906</v>
      </c>
      <c r="AQ559" s="50" t="s">
        <v>3906</v>
      </c>
      <c r="AV559" s="50" t="s">
        <v>102</v>
      </c>
      <c r="AX559" s="50" t="s">
        <v>104</v>
      </c>
      <c r="AY559" s="50" t="s">
        <v>119</v>
      </c>
      <c r="AZ559" s="50" t="s">
        <v>170</v>
      </c>
      <c r="BA559" s="50" t="s">
        <v>118</v>
      </c>
      <c r="BC559" s="50" t="s">
        <v>120</v>
      </c>
      <c r="BD559" s="50" t="s">
        <v>15806</v>
      </c>
      <c r="BE559" s="50" t="s">
        <v>730</v>
      </c>
      <c r="BF559" s="50" t="s">
        <v>622</v>
      </c>
      <c r="BG559" s="50" t="s">
        <v>730</v>
      </c>
      <c r="BH559" s="50" t="s">
        <v>124</v>
      </c>
      <c r="BI559" s="50" t="s">
        <v>12023</v>
      </c>
      <c r="BJ559" s="50" t="s">
        <v>11889</v>
      </c>
      <c r="BK559" s="50" t="s">
        <v>127</v>
      </c>
      <c r="BL559" s="50" t="s">
        <v>15807</v>
      </c>
      <c r="BM559" s="50" t="s">
        <v>15808</v>
      </c>
      <c r="BN559" s="50" t="s">
        <v>15809</v>
      </c>
      <c r="BO559" s="50" t="s">
        <v>13435</v>
      </c>
      <c r="BP559" s="50" t="s">
        <v>5197</v>
      </c>
      <c r="BQ559" s="50" t="s">
        <v>505</v>
      </c>
      <c r="BR559" s="50" t="s">
        <v>5198</v>
      </c>
      <c r="BS559" s="50" t="s">
        <v>5199</v>
      </c>
      <c r="BT559" s="50" t="s">
        <v>2331</v>
      </c>
      <c r="BV559" s="50" t="s">
        <v>15810</v>
      </c>
      <c r="BW559" s="50" t="s">
        <v>15811</v>
      </c>
      <c r="BX559" s="50" t="s">
        <v>138</v>
      </c>
      <c r="BY559" s="50" t="s">
        <v>15812</v>
      </c>
      <c r="BZ559" s="50" t="s">
        <v>15813</v>
      </c>
      <c r="CA559" s="50" t="s">
        <v>15814</v>
      </c>
      <c r="CB559" s="50" t="s">
        <v>15815</v>
      </c>
      <c r="CC559" s="50" t="s">
        <v>15816</v>
      </c>
      <c r="CD559" s="50" t="s">
        <v>15813</v>
      </c>
      <c r="CE559" s="50" t="s">
        <v>15817</v>
      </c>
      <c r="CF559" s="50" t="s">
        <v>15818</v>
      </c>
      <c r="CG559" s="50" t="s">
        <v>15819</v>
      </c>
      <c r="CH559" s="50" t="s">
        <v>2270</v>
      </c>
      <c r="CI559" s="50" t="s">
        <v>15820</v>
      </c>
      <c r="CK559" s="50" t="s">
        <v>15821</v>
      </c>
      <c r="CM559" s="50" t="s">
        <v>15806</v>
      </c>
      <c r="CN559" s="50" t="s">
        <v>730</v>
      </c>
      <c r="CO559" s="50" t="s">
        <v>15821</v>
      </c>
      <c r="CQ559" s="50" t="s">
        <v>15822</v>
      </c>
      <c r="CR559" s="50" t="s">
        <v>15822</v>
      </c>
    </row>
    <row r="560" spans="1:97" hidden="1">
      <c r="A560" s="50" t="s">
        <v>93</v>
      </c>
      <c r="B560" s="50">
        <v>5017993</v>
      </c>
      <c r="C560" s="50" t="e">
        <f>VLOOKUP(B560,'Drop schools 2026'!B:C,2,0)</f>
        <v>#N/A</v>
      </c>
      <c r="D560" s="50" t="s">
        <v>622</v>
      </c>
      <c r="E560" s="50" t="s">
        <v>3562</v>
      </c>
      <c r="F560" s="50" t="s">
        <v>10423</v>
      </c>
      <c r="G560" s="50" t="e">
        <f>VLOOKUP(B560,aa!B:F,5,0)</f>
        <v>#N/A</v>
      </c>
      <c r="H560" s="50" t="e">
        <f>VLOOKUP(B560,aa!B:J,9,0)</f>
        <v>#N/A</v>
      </c>
      <c r="I560" s="50" t="e">
        <f>VLOOKUP(B560,aa!B:L,11,0)</f>
        <v>#N/A</v>
      </c>
      <c r="J560" s="50" t="e">
        <f>VLOOKUP(B560,aa!B:O,14,0)</f>
        <v>#N/A</v>
      </c>
      <c r="K560" s="50" t="e">
        <f>VLOOKUP(B560,aa!B:R,17,0)</f>
        <v>#N/A</v>
      </c>
      <c r="L560" s="50" t="s">
        <v>848</v>
      </c>
      <c r="M560" s="50">
        <v>103054</v>
      </c>
      <c r="N560" s="50">
        <v>121604</v>
      </c>
      <c r="O560" s="50">
        <v>0</v>
      </c>
      <c r="P560" s="50">
        <v>0</v>
      </c>
      <c r="R560" s="50">
        <v>0</v>
      </c>
      <c r="S560" s="50">
        <v>0</v>
      </c>
      <c r="U560" s="50">
        <v>103054</v>
      </c>
      <c r="V560" s="50">
        <v>90</v>
      </c>
      <c r="W560" s="50" t="s">
        <v>18588</v>
      </c>
      <c r="X560" s="50" t="s">
        <v>102</v>
      </c>
      <c r="Y560" s="50" t="s">
        <v>275</v>
      </c>
      <c r="AA560" s="50" t="s">
        <v>12084</v>
      </c>
      <c r="AB560" s="50" t="s">
        <v>109</v>
      </c>
      <c r="AC560" s="50" t="s">
        <v>102</v>
      </c>
      <c r="AD560" s="50" t="s">
        <v>109</v>
      </c>
      <c r="AE560" s="50" t="s">
        <v>102</v>
      </c>
      <c r="AF560" s="50" t="s">
        <v>109</v>
      </c>
      <c r="AG560" s="50" t="s">
        <v>102</v>
      </c>
      <c r="AH560" s="50" t="s">
        <v>109</v>
      </c>
      <c r="AI560" s="50" t="s">
        <v>102</v>
      </c>
      <c r="AJ560" s="50" t="s">
        <v>102</v>
      </c>
      <c r="AM560" s="50" t="s">
        <v>19334</v>
      </c>
      <c r="AN560" s="50" t="s">
        <v>102</v>
      </c>
      <c r="AO560" s="50" t="s">
        <v>19334</v>
      </c>
      <c r="AP560" s="50" t="s">
        <v>19321</v>
      </c>
      <c r="AQ560" s="50" t="s">
        <v>19322</v>
      </c>
      <c r="AU560" s="50" t="s">
        <v>169</v>
      </c>
      <c r="AV560" s="50" t="s">
        <v>102</v>
      </c>
      <c r="AX560" s="50" t="s">
        <v>102</v>
      </c>
      <c r="AY560" s="50" t="s">
        <v>119</v>
      </c>
      <c r="BB560" s="50" t="s">
        <v>250</v>
      </c>
      <c r="BC560" s="50" t="s">
        <v>10399</v>
      </c>
      <c r="BD560" s="50" t="s">
        <v>1729</v>
      </c>
      <c r="BE560" s="50" t="s">
        <v>730</v>
      </c>
      <c r="BF560" s="50" t="s">
        <v>622</v>
      </c>
      <c r="BG560" s="50" t="s">
        <v>730</v>
      </c>
      <c r="BH560" s="50" t="s">
        <v>124</v>
      </c>
      <c r="BI560" s="50" t="s">
        <v>11976</v>
      </c>
      <c r="BJ560" s="50" t="s">
        <v>12720</v>
      </c>
      <c r="BK560" s="50" t="s">
        <v>127</v>
      </c>
      <c r="BL560" s="50" t="s">
        <v>19335</v>
      </c>
      <c r="BM560" s="50" t="s">
        <v>10429</v>
      </c>
      <c r="BN560" s="50" t="s">
        <v>19336</v>
      </c>
      <c r="BO560" s="50" t="s">
        <v>4563</v>
      </c>
      <c r="BP560" s="50" t="s">
        <v>2262</v>
      </c>
      <c r="BQ560" s="50" t="s">
        <v>350</v>
      </c>
      <c r="BR560" s="50" t="s">
        <v>2263</v>
      </c>
      <c r="BS560" s="50" t="s">
        <v>2264</v>
      </c>
      <c r="BT560" s="50" t="s">
        <v>2569</v>
      </c>
      <c r="BV560" s="50" t="s">
        <v>19337</v>
      </c>
      <c r="BW560" s="50" t="s">
        <v>6852</v>
      </c>
      <c r="BX560" s="50" t="s">
        <v>598</v>
      </c>
      <c r="BY560" s="50" t="s">
        <v>4098</v>
      </c>
      <c r="BZ560" s="50" t="s">
        <v>19326</v>
      </c>
      <c r="CA560" s="50" t="s">
        <v>10407</v>
      </c>
      <c r="CB560" s="50" t="s">
        <v>6852</v>
      </c>
      <c r="CC560" s="50" t="s">
        <v>4098</v>
      </c>
      <c r="CD560" s="50" t="s">
        <v>19326</v>
      </c>
      <c r="CE560" s="50" t="s">
        <v>6852</v>
      </c>
      <c r="CF560" s="50" t="s">
        <v>4098</v>
      </c>
      <c r="CG560" s="50" t="s">
        <v>19326</v>
      </c>
      <c r="CH560" s="50" t="s">
        <v>5007</v>
      </c>
      <c r="CI560" s="50" t="s">
        <v>19338</v>
      </c>
      <c r="CK560" s="50" t="s">
        <v>7868</v>
      </c>
      <c r="CL560" s="50" t="s">
        <v>19328</v>
      </c>
      <c r="CM560" s="50" t="s">
        <v>1729</v>
      </c>
      <c r="CN560" s="50" t="s">
        <v>730</v>
      </c>
      <c r="CO560" s="50" t="s">
        <v>7868</v>
      </c>
      <c r="CQ560" s="50" t="s">
        <v>10432</v>
      </c>
      <c r="CR560" s="50" t="s">
        <v>10433</v>
      </c>
    </row>
    <row r="561" spans="1:97" hidden="1">
      <c r="A561" s="50" t="s">
        <v>149</v>
      </c>
      <c r="B561" s="50">
        <v>617089</v>
      </c>
      <c r="C561" s="50" t="e">
        <f>VLOOKUP(B561,'Drop schools 2026'!B:C,2,0)</f>
        <v>#N/A</v>
      </c>
      <c r="D561" s="50" t="s">
        <v>622</v>
      </c>
      <c r="E561" s="50" t="s">
        <v>985</v>
      </c>
      <c r="F561" s="50" t="s">
        <v>11330</v>
      </c>
      <c r="G561" s="50" t="e">
        <f>VLOOKUP(B561,aa!B:F,5,0)</f>
        <v>#N/A</v>
      </c>
      <c r="H561" s="50" t="e">
        <f>VLOOKUP(B561,aa!B:J,9,0)</f>
        <v>#N/A</v>
      </c>
      <c r="I561" s="50" t="e">
        <f>VLOOKUP(B561,aa!B:L,11,0)</f>
        <v>#N/A</v>
      </c>
      <c r="J561" s="50" t="e">
        <f>VLOOKUP(B561,aa!B:O,14,0)</f>
        <v>#N/A</v>
      </c>
      <c r="K561" s="50" t="e">
        <f>VLOOKUP(B561,aa!B:R,17,0)</f>
        <v>#N/A</v>
      </c>
      <c r="L561" s="50" t="s">
        <v>848</v>
      </c>
      <c r="M561" s="50">
        <v>97997</v>
      </c>
      <c r="N561" s="50">
        <v>115636</v>
      </c>
      <c r="O561" s="50">
        <v>0</v>
      </c>
      <c r="P561" s="50">
        <v>0</v>
      </c>
      <c r="R561" s="50">
        <v>0</v>
      </c>
      <c r="S561" s="50">
        <v>0</v>
      </c>
      <c r="U561" s="50">
        <v>97997</v>
      </c>
      <c r="V561" s="50">
        <v>49</v>
      </c>
      <c r="W561" s="50" t="s">
        <v>7192</v>
      </c>
      <c r="X561" s="50" t="s">
        <v>102</v>
      </c>
      <c r="Y561" s="50" t="s">
        <v>103</v>
      </c>
      <c r="Z561" s="50" t="s">
        <v>398</v>
      </c>
      <c r="AB561" s="50" t="s">
        <v>12040</v>
      </c>
      <c r="AC561" s="50" t="s">
        <v>21249</v>
      </c>
      <c r="AD561" s="50" t="s">
        <v>1427</v>
      </c>
      <c r="AE561" s="50" t="s">
        <v>21250</v>
      </c>
      <c r="AF561" s="50" t="s">
        <v>11886</v>
      </c>
      <c r="AG561" s="50" t="s">
        <v>21250</v>
      </c>
      <c r="AH561" s="50" t="s">
        <v>109</v>
      </c>
      <c r="AI561" s="50" t="s">
        <v>102</v>
      </c>
      <c r="AJ561" s="50" t="s">
        <v>102</v>
      </c>
      <c r="AK561" s="50" t="s">
        <v>12020</v>
      </c>
      <c r="AL561" s="50" t="s">
        <v>13863</v>
      </c>
      <c r="AM561" s="50" t="s">
        <v>21251</v>
      </c>
      <c r="AN561" s="50" t="s">
        <v>21252</v>
      </c>
      <c r="AO561" s="50" t="s">
        <v>21250</v>
      </c>
      <c r="AP561" s="50" t="s">
        <v>21253</v>
      </c>
      <c r="AQ561" s="50" t="s">
        <v>21253</v>
      </c>
      <c r="AV561" s="50" t="s">
        <v>102</v>
      </c>
      <c r="AW561" s="50" t="s">
        <v>250</v>
      </c>
      <c r="AX561" s="50" t="s">
        <v>102</v>
      </c>
      <c r="AY561" s="50" t="s">
        <v>119</v>
      </c>
      <c r="BB561" s="50" t="s">
        <v>250</v>
      </c>
      <c r="BC561" s="50" t="s">
        <v>120</v>
      </c>
      <c r="BD561" s="50" t="s">
        <v>11335</v>
      </c>
      <c r="BE561" s="50" t="s">
        <v>621</v>
      </c>
      <c r="BF561" s="50" t="s">
        <v>622</v>
      </c>
      <c r="BG561" s="50" t="s">
        <v>976</v>
      </c>
      <c r="BH561" s="50" t="s">
        <v>124</v>
      </c>
      <c r="BI561" s="50" t="s">
        <v>13033</v>
      </c>
      <c r="BJ561" s="50" t="s">
        <v>11960</v>
      </c>
      <c r="BK561" s="50" t="s">
        <v>127</v>
      </c>
      <c r="BL561" s="50" t="s">
        <v>21254</v>
      </c>
      <c r="BM561" s="50" t="s">
        <v>11337</v>
      </c>
      <c r="BN561" s="50" t="s">
        <v>21255</v>
      </c>
      <c r="BO561" s="50" t="s">
        <v>13033</v>
      </c>
      <c r="BP561" s="50" t="s">
        <v>981</v>
      </c>
      <c r="BQ561" s="50" t="s">
        <v>505</v>
      </c>
      <c r="BR561" s="50" t="s">
        <v>982</v>
      </c>
      <c r="BS561" s="50" t="s">
        <v>983</v>
      </c>
      <c r="BT561" s="50" t="s">
        <v>984</v>
      </c>
      <c r="BV561" s="50" t="s">
        <v>21256</v>
      </c>
      <c r="BW561" s="50" t="s">
        <v>11340</v>
      </c>
      <c r="BX561" s="50" t="s">
        <v>354</v>
      </c>
      <c r="BY561" s="50" t="s">
        <v>11341</v>
      </c>
      <c r="BZ561" s="50" t="s">
        <v>11342</v>
      </c>
      <c r="CA561" s="50" t="s">
        <v>11343</v>
      </c>
      <c r="CB561" s="50" t="s">
        <v>11340</v>
      </c>
      <c r="CC561" s="50" t="s">
        <v>11341</v>
      </c>
      <c r="CD561" s="50" t="s">
        <v>11342</v>
      </c>
      <c r="CE561" s="50" t="s">
        <v>11340</v>
      </c>
      <c r="CF561" s="50" t="s">
        <v>11341</v>
      </c>
      <c r="CG561" s="50" t="s">
        <v>11342</v>
      </c>
      <c r="CH561" s="50" t="s">
        <v>102</v>
      </c>
      <c r="CI561" s="50" t="s">
        <v>21257</v>
      </c>
      <c r="CK561" s="50" t="s">
        <v>11345</v>
      </c>
      <c r="CM561" s="50" t="s">
        <v>11335</v>
      </c>
      <c r="CN561" s="50" t="s">
        <v>621</v>
      </c>
      <c r="CO561" s="50" t="s">
        <v>11345</v>
      </c>
      <c r="CQ561" s="50" t="s">
        <v>11344</v>
      </c>
      <c r="CR561" s="50" t="s">
        <v>11344</v>
      </c>
      <c r="CS561" s="50" t="s">
        <v>26043</v>
      </c>
    </row>
    <row r="562" spans="1:97" hidden="1">
      <c r="A562" s="50" t="s">
        <v>337</v>
      </c>
      <c r="B562" s="50">
        <v>5018471</v>
      </c>
      <c r="C562" s="50" t="e">
        <f>VLOOKUP(B562,'Drop schools 2026'!B:C,2,0)</f>
        <v>#N/A</v>
      </c>
      <c r="D562" s="50" t="s">
        <v>212</v>
      </c>
      <c r="E562" s="50" t="s">
        <v>12423</v>
      </c>
      <c r="F562" s="50" t="s">
        <v>19829</v>
      </c>
      <c r="G562" s="50" t="e">
        <f>VLOOKUP(B562,aa!B:F,5,0)</f>
        <v>#N/A</v>
      </c>
      <c r="H562" s="50" t="e">
        <f>VLOOKUP(B562,aa!B:J,9,0)</f>
        <v>#N/A</v>
      </c>
      <c r="I562" s="50" t="e">
        <f>VLOOKUP(B562,aa!B:L,11,0)</f>
        <v>#N/A</v>
      </c>
      <c r="J562" s="50" t="e">
        <f>VLOOKUP(B562,aa!B:O,14,0)</f>
        <v>#N/A</v>
      </c>
      <c r="K562" s="50" t="e">
        <f>VLOOKUP(B562,aa!B:R,17,0)</f>
        <v>#N/A</v>
      </c>
      <c r="L562" s="50" t="s">
        <v>848</v>
      </c>
      <c r="M562" s="50">
        <v>97644</v>
      </c>
      <c r="N562" s="50">
        <v>115220</v>
      </c>
      <c r="O562" s="50">
        <v>0</v>
      </c>
      <c r="P562" s="50">
        <v>0</v>
      </c>
      <c r="R562" s="50">
        <v>0</v>
      </c>
      <c r="S562" s="50">
        <v>0</v>
      </c>
      <c r="U562" s="50">
        <v>97644</v>
      </c>
      <c r="V562" s="50">
        <v>36</v>
      </c>
      <c r="W562" s="50" t="s">
        <v>6544</v>
      </c>
      <c r="X562" s="50" t="s">
        <v>102</v>
      </c>
      <c r="Y562" s="50" t="s">
        <v>103</v>
      </c>
      <c r="Z562" s="50" t="s">
        <v>104</v>
      </c>
      <c r="AB562" s="50" t="s">
        <v>5755</v>
      </c>
      <c r="AC562" s="50" t="s">
        <v>19830</v>
      </c>
      <c r="AD562" s="50" t="s">
        <v>1408</v>
      </c>
      <c r="AE562" s="50" t="s">
        <v>19830</v>
      </c>
      <c r="AF562" s="50" t="s">
        <v>109</v>
      </c>
      <c r="AG562" s="50" t="s">
        <v>102</v>
      </c>
      <c r="AH562" s="50" t="s">
        <v>109</v>
      </c>
      <c r="AI562" s="50" t="s">
        <v>102</v>
      </c>
      <c r="AJ562" s="50" t="s">
        <v>102</v>
      </c>
      <c r="AK562" s="50" t="s">
        <v>13075</v>
      </c>
      <c r="AL562" s="50" t="s">
        <v>13075</v>
      </c>
      <c r="AM562" s="50" t="s">
        <v>19831</v>
      </c>
      <c r="AN562" s="50" t="s">
        <v>19832</v>
      </c>
      <c r="AO562" s="50" t="s">
        <v>19833</v>
      </c>
      <c r="AP562" s="50" t="s">
        <v>13347</v>
      </c>
      <c r="AQ562" s="50" t="s">
        <v>13347</v>
      </c>
      <c r="AV562" s="50" t="s">
        <v>102</v>
      </c>
      <c r="AX562" s="50" t="s">
        <v>102</v>
      </c>
      <c r="AY562" s="50" t="s">
        <v>119</v>
      </c>
      <c r="BB562" s="50" t="s">
        <v>250</v>
      </c>
      <c r="BC562" s="50" t="s">
        <v>1242</v>
      </c>
      <c r="BD562" s="50" t="s">
        <v>1759</v>
      </c>
      <c r="BE562" s="50" t="s">
        <v>410</v>
      </c>
      <c r="BF562" s="50" t="s">
        <v>212</v>
      </c>
      <c r="BG562" s="50" t="s">
        <v>410</v>
      </c>
      <c r="BH562" s="50" t="s">
        <v>124</v>
      </c>
      <c r="BI562" s="50" t="s">
        <v>5755</v>
      </c>
      <c r="BJ562" s="50" t="s">
        <v>11889</v>
      </c>
      <c r="BK562" s="50" t="s">
        <v>127</v>
      </c>
      <c r="BL562" s="50" t="s">
        <v>19834</v>
      </c>
      <c r="BM562" s="50" t="s">
        <v>19835</v>
      </c>
      <c r="BN562" s="50" t="s">
        <v>19836</v>
      </c>
      <c r="BO562" s="50" t="s">
        <v>5015</v>
      </c>
      <c r="BP562" s="50" t="s">
        <v>1582</v>
      </c>
      <c r="BQ562" s="50" t="s">
        <v>132</v>
      </c>
      <c r="BR562" s="50" t="s">
        <v>1583</v>
      </c>
      <c r="BS562" s="50" t="s">
        <v>1584</v>
      </c>
      <c r="BT562" s="50" t="s">
        <v>4056</v>
      </c>
      <c r="BV562" s="50" t="s">
        <v>19837</v>
      </c>
      <c r="BW562" s="50" t="s">
        <v>19838</v>
      </c>
      <c r="BX562" s="50" t="s">
        <v>138</v>
      </c>
      <c r="BY562" s="50" t="s">
        <v>19839</v>
      </c>
      <c r="BZ562" s="50" t="s">
        <v>19840</v>
      </c>
      <c r="CA562" s="50" t="s">
        <v>19839</v>
      </c>
      <c r="CB562" s="50" t="s">
        <v>19841</v>
      </c>
      <c r="CC562" s="50" t="s">
        <v>19839</v>
      </c>
      <c r="CD562" s="50" t="s">
        <v>19842</v>
      </c>
      <c r="CE562" s="50" t="s">
        <v>19843</v>
      </c>
      <c r="CF562" s="50" t="s">
        <v>19839</v>
      </c>
      <c r="CG562" s="50" t="s">
        <v>19844</v>
      </c>
      <c r="CH562" s="50" t="s">
        <v>13597</v>
      </c>
      <c r="CI562" s="50" t="s">
        <v>19845</v>
      </c>
      <c r="CK562" s="50" t="s">
        <v>2740</v>
      </c>
      <c r="CL562" s="50" t="s">
        <v>19845</v>
      </c>
      <c r="CM562" s="50" t="s">
        <v>1759</v>
      </c>
      <c r="CN562" s="50" t="s">
        <v>9715</v>
      </c>
      <c r="CO562" s="50" t="s">
        <v>2740</v>
      </c>
      <c r="CQ562" s="50" t="s">
        <v>16051</v>
      </c>
      <c r="CR562" s="50" t="s">
        <v>16051</v>
      </c>
      <c r="CS562" s="50" t="s">
        <v>26042</v>
      </c>
    </row>
    <row r="563" spans="1:97">
      <c r="A563" s="50" t="s">
        <v>337</v>
      </c>
      <c r="B563" s="50">
        <v>2053321</v>
      </c>
      <c r="C563" s="50" t="e">
        <f>VLOOKUP(B563,'Drop schools 2026'!B:C,2,0)</f>
        <v>#N/A</v>
      </c>
      <c r="D563" s="50" t="s">
        <v>122</v>
      </c>
      <c r="E563" s="50" t="s">
        <v>12507</v>
      </c>
      <c r="F563" s="50" t="s">
        <v>13393</v>
      </c>
      <c r="G563" s="50" t="e">
        <f>VLOOKUP(B563,aa!B:F,5,0)</f>
        <v>#N/A</v>
      </c>
      <c r="H563" s="50" t="e">
        <f>VLOOKUP(B563,aa!B:J,9,0)</f>
        <v>#N/A</v>
      </c>
      <c r="I563" s="50" t="e">
        <f>VLOOKUP(B563,aa!B:L,11,0)</f>
        <v>#N/A</v>
      </c>
      <c r="J563" s="50" t="e">
        <f>VLOOKUP(B563,aa!B:O,14,0)</f>
        <v>#N/A</v>
      </c>
      <c r="K563" s="50" t="e">
        <f>VLOOKUP(B563,aa!B:R,17,0)</f>
        <v>#N/A</v>
      </c>
      <c r="L563" s="50" t="s">
        <v>97</v>
      </c>
      <c r="M563" s="50">
        <v>95519</v>
      </c>
      <c r="N563" s="50">
        <v>95519</v>
      </c>
      <c r="O563" s="50">
        <v>95519</v>
      </c>
      <c r="P563" s="50">
        <v>191</v>
      </c>
      <c r="Q563" s="50" t="s">
        <v>364</v>
      </c>
      <c r="R563" s="50">
        <v>0</v>
      </c>
      <c r="S563" s="50">
        <v>0</v>
      </c>
      <c r="U563" s="50">
        <v>0</v>
      </c>
      <c r="V563" s="50">
        <v>0</v>
      </c>
      <c r="X563" s="50" t="s">
        <v>102</v>
      </c>
      <c r="Y563" s="50" t="s">
        <v>103</v>
      </c>
      <c r="Z563" s="50" t="s">
        <v>104</v>
      </c>
      <c r="AB563" s="50" t="s">
        <v>12427</v>
      </c>
      <c r="AC563" s="50" t="s">
        <v>13394</v>
      </c>
      <c r="AD563" s="50" t="s">
        <v>13395</v>
      </c>
      <c r="AE563" s="50" t="s">
        <v>13394</v>
      </c>
      <c r="AF563" s="50" t="s">
        <v>109</v>
      </c>
      <c r="AG563" s="50" t="s">
        <v>102</v>
      </c>
      <c r="AH563" s="50" t="s">
        <v>109</v>
      </c>
      <c r="AI563" s="50" t="s">
        <v>102</v>
      </c>
      <c r="AJ563" s="50" t="s">
        <v>102</v>
      </c>
      <c r="AK563" s="50" t="s">
        <v>13340</v>
      </c>
      <c r="AL563" s="50" t="s">
        <v>13340</v>
      </c>
      <c r="AM563" s="50" t="s">
        <v>13396</v>
      </c>
      <c r="AN563" s="50" t="s">
        <v>13397</v>
      </c>
      <c r="AO563" s="50" t="s">
        <v>13398</v>
      </c>
      <c r="AP563" s="50" t="s">
        <v>2353</v>
      </c>
      <c r="AQ563" s="50" t="s">
        <v>2353</v>
      </c>
      <c r="AV563" s="50" t="s">
        <v>117</v>
      </c>
      <c r="AW563" s="50" t="s">
        <v>118</v>
      </c>
      <c r="AX563" s="50" t="s">
        <v>102</v>
      </c>
      <c r="AY563" s="50" t="s">
        <v>119</v>
      </c>
      <c r="BC563" s="50" t="s">
        <v>120</v>
      </c>
      <c r="BD563" s="50" t="s">
        <v>2542</v>
      </c>
      <c r="BE563" s="50" t="s">
        <v>2543</v>
      </c>
      <c r="BF563" s="50" t="s">
        <v>122</v>
      </c>
      <c r="BG563" s="50" t="s">
        <v>557</v>
      </c>
      <c r="BH563" s="50" t="s">
        <v>124</v>
      </c>
      <c r="BI563" s="50" t="s">
        <v>12427</v>
      </c>
      <c r="BJ563" s="50" t="s">
        <v>12047</v>
      </c>
      <c r="BK563" s="50" t="s">
        <v>127</v>
      </c>
      <c r="BL563" s="50" t="s">
        <v>13399</v>
      </c>
      <c r="BM563" s="50" t="s">
        <v>13400</v>
      </c>
      <c r="BN563" s="50" t="s">
        <v>13401</v>
      </c>
      <c r="BO563" s="50" t="s">
        <v>2050</v>
      </c>
      <c r="BP563" s="50" t="s">
        <v>13402</v>
      </c>
      <c r="BQ563" s="50" t="s">
        <v>350</v>
      </c>
      <c r="BR563" s="50" t="s">
        <v>13403</v>
      </c>
      <c r="BS563" s="50" t="s">
        <v>13404</v>
      </c>
      <c r="BT563" s="50" t="s">
        <v>13405</v>
      </c>
      <c r="BV563" s="50" t="s">
        <v>13406</v>
      </c>
      <c r="BW563" s="50" t="s">
        <v>13407</v>
      </c>
      <c r="BX563" s="50" t="s">
        <v>138</v>
      </c>
      <c r="BY563" s="50" t="s">
        <v>13408</v>
      </c>
      <c r="BZ563" s="50" t="s">
        <v>13409</v>
      </c>
      <c r="CA563" s="50" t="s">
        <v>13408</v>
      </c>
      <c r="CB563" s="50" t="s">
        <v>13407</v>
      </c>
      <c r="CC563" s="50" t="s">
        <v>13408</v>
      </c>
      <c r="CD563" s="50" t="s">
        <v>13409</v>
      </c>
      <c r="CE563" s="50" t="s">
        <v>13410</v>
      </c>
      <c r="CF563" s="50" t="s">
        <v>13411</v>
      </c>
      <c r="CG563" s="50" t="s">
        <v>13412</v>
      </c>
      <c r="CH563" s="50" t="s">
        <v>7500</v>
      </c>
      <c r="CI563" s="50" t="s">
        <v>13413</v>
      </c>
      <c r="CK563" s="50" t="s">
        <v>13414</v>
      </c>
      <c r="CM563" s="50" t="s">
        <v>2542</v>
      </c>
      <c r="CN563" s="50" t="s">
        <v>2543</v>
      </c>
      <c r="CO563" s="50" t="s">
        <v>13414</v>
      </c>
      <c r="CQ563" s="50" t="s">
        <v>13415</v>
      </c>
      <c r="CR563" s="50" t="s">
        <v>13416</v>
      </c>
    </row>
    <row r="564" spans="1:97" hidden="1">
      <c r="A564" s="50" t="s">
        <v>337</v>
      </c>
      <c r="B564" s="50">
        <v>5054739</v>
      </c>
      <c r="C564" s="50" t="e">
        <f>VLOOKUP(B564,'Drop schools 2026'!B:C,2,0)</f>
        <v>#N/A</v>
      </c>
      <c r="D564" s="50" t="s">
        <v>174</v>
      </c>
      <c r="E564" s="50" t="s">
        <v>384</v>
      </c>
      <c r="F564" s="50" t="s">
        <v>20596</v>
      </c>
      <c r="G564" s="50" t="str">
        <f>VLOOKUP(B564,aa!B:F,5,0)</f>
        <v>Ei CARES</v>
      </c>
      <c r="H564" s="50">
        <f>VLOOKUP(B564,aa!B:J,9,0)</f>
        <v>460037</v>
      </c>
      <c r="I564" s="50">
        <f>VLOOKUP(B564,aa!B:L,11,0)</f>
        <v>0</v>
      </c>
      <c r="J564" s="50">
        <f>VLOOKUP(B564,aa!B:O,14,0)</f>
        <v>460037</v>
      </c>
      <c r="K564" s="50">
        <f>VLOOKUP(B564,aa!B:R,17,0)</f>
        <v>0</v>
      </c>
      <c r="L564" s="50" t="s">
        <v>152</v>
      </c>
      <c r="M564" s="50">
        <v>94913</v>
      </c>
      <c r="N564" s="50">
        <v>94913</v>
      </c>
      <c r="O564" s="50">
        <v>0</v>
      </c>
      <c r="P564" s="50">
        <v>0</v>
      </c>
      <c r="R564" s="50">
        <v>94913</v>
      </c>
      <c r="S564" s="50">
        <v>184</v>
      </c>
      <c r="T564" s="50" t="s">
        <v>20598</v>
      </c>
      <c r="U564" s="50">
        <v>0</v>
      </c>
      <c r="V564" s="50">
        <v>0</v>
      </c>
      <c r="X564" s="50" t="s">
        <v>102</v>
      </c>
      <c r="Y564" s="50" t="s">
        <v>679</v>
      </c>
      <c r="Z564" s="50" t="s">
        <v>155</v>
      </c>
      <c r="AA564" s="50" t="s">
        <v>20599</v>
      </c>
      <c r="AB564" s="50" t="s">
        <v>20600</v>
      </c>
      <c r="AC564" s="50" t="s">
        <v>20601</v>
      </c>
      <c r="AD564" s="50" t="s">
        <v>17049</v>
      </c>
      <c r="AE564" s="50" t="s">
        <v>20601</v>
      </c>
      <c r="AF564" s="50" t="s">
        <v>20602</v>
      </c>
      <c r="AG564" s="50" t="s">
        <v>20601</v>
      </c>
      <c r="AH564" s="50" t="s">
        <v>20603</v>
      </c>
      <c r="AI564" s="50" t="s">
        <v>20601</v>
      </c>
      <c r="AJ564" s="50" t="s">
        <v>102</v>
      </c>
      <c r="AK564" s="50" t="s">
        <v>12324</v>
      </c>
      <c r="AL564" s="50" t="s">
        <v>15642</v>
      </c>
      <c r="AM564" s="50" t="s">
        <v>20604</v>
      </c>
      <c r="AN564" s="50" t="s">
        <v>20605</v>
      </c>
      <c r="AO564" s="50" t="s">
        <v>20606</v>
      </c>
      <c r="AP564" s="50" t="s">
        <v>20607</v>
      </c>
      <c r="AQ564" s="50" t="s">
        <v>20607</v>
      </c>
      <c r="AV564" s="50" t="s">
        <v>102</v>
      </c>
      <c r="AX564" s="50" t="s">
        <v>104</v>
      </c>
      <c r="AY564" s="50" t="s">
        <v>447</v>
      </c>
      <c r="AZ564" s="50" t="s">
        <v>170</v>
      </c>
      <c r="BA564" s="50" t="s">
        <v>118</v>
      </c>
      <c r="BC564" s="50" t="s">
        <v>1964</v>
      </c>
      <c r="BD564" s="50" t="s">
        <v>19597</v>
      </c>
      <c r="BE564" s="50" t="s">
        <v>376</v>
      </c>
      <c r="BF564" s="50" t="s">
        <v>174</v>
      </c>
      <c r="BG564" s="50" t="s">
        <v>376</v>
      </c>
      <c r="BH564" s="50" t="s">
        <v>124</v>
      </c>
      <c r="BI564" s="50" t="s">
        <v>12324</v>
      </c>
      <c r="BJ564" s="50" t="s">
        <v>11889</v>
      </c>
      <c r="BK564" s="50" t="s">
        <v>127</v>
      </c>
      <c r="BL564" s="50" t="s">
        <v>20608</v>
      </c>
      <c r="BM564" s="50" t="s">
        <v>20609</v>
      </c>
      <c r="BN564" s="50" t="s">
        <v>20610</v>
      </c>
      <c r="BO564" s="50" t="s">
        <v>20597</v>
      </c>
      <c r="BP564" s="50" t="s">
        <v>13780</v>
      </c>
      <c r="BQ564" s="50" t="s">
        <v>180</v>
      </c>
      <c r="BR564" s="50" t="s">
        <v>13781</v>
      </c>
      <c r="BS564" s="50" t="s">
        <v>13782</v>
      </c>
      <c r="BT564" s="50" t="s">
        <v>13783</v>
      </c>
      <c r="BV564" s="50" t="s">
        <v>20611</v>
      </c>
      <c r="BW564" s="50" t="s">
        <v>20612</v>
      </c>
      <c r="BX564" s="50" t="s">
        <v>3121</v>
      </c>
      <c r="BY564" s="50" t="s">
        <v>20613</v>
      </c>
      <c r="BZ564" s="50" t="s">
        <v>20614</v>
      </c>
      <c r="CA564" s="50" t="s">
        <v>20615</v>
      </c>
      <c r="CB564" s="50" t="s">
        <v>20612</v>
      </c>
      <c r="CC564" s="50" t="s">
        <v>20613</v>
      </c>
      <c r="CD564" s="50" t="s">
        <v>20614</v>
      </c>
      <c r="CE564" s="50" t="s">
        <v>20612</v>
      </c>
      <c r="CF564" s="50" t="s">
        <v>20613</v>
      </c>
      <c r="CG564" s="50" t="s">
        <v>20614</v>
      </c>
      <c r="CH564" s="50" t="s">
        <v>6370</v>
      </c>
      <c r="CI564" s="50" t="s">
        <v>20616</v>
      </c>
      <c r="CK564" s="50" t="s">
        <v>20617</v>
      </c>
      <c r="CL564" s="50" t="s">
        <v>20618</v>
      </c>
      <c r="CM564" s="50" t="s">
        <v>19597</v>
      </c>
      <c r="CN564" s="50" t="s">
        <v>376</v>
      </c>
      <c r="CO564" s="50" t="s">
        <v>20617</v>
      </c>
      <c r="CQ564" s="50" t="s">
        <v>20616</v>
      </c>
      <c r="CR564" s="50" t="s">
        <v>20616</v>
      </c>
    </row>
    <row r="565" spans="1:97" hidden="1">
      <c r="A565" s="50" t="s">
        <v>149</v>
      </c>
      <c r="B565" s="50">
        <v>2672</v>
      </c>
      <c r="C565" s="50" t="e">
        <f>VLOOKUP(B565,'Drop schools 2026'!B:C,2,0)</f>
        <v>#N/A</v>
      </c>
      <c r="D565" s="50" t="s">
        <v>122</v>
      </c>
      <c r="E565" s="50" t="s">
        <v>12491</v>
      </c>
      <c r="F565" s="50" t="s">
        <v>2831</v>
      </c>
      <c r="G565" s="50" t="e">
        <f>VLOOKUP(B565,aa!B:F,5,0)</f>
        <v>#N/A</v>
      </c>
      <c r="H565" s="50" t="e">
        <f>VLOOKUP(B565,aa!B:J,9,0)</f>
        <v>#N/A</v>
      </c>
      <c r="I565" s="50" t="e">
        <f>VLOOKUP(B565,aa!B:L,11,0)</f>
        <v>#N/A</v>
      </c>
      <c r="J565" s="50" t="e">
        <f>VLOOKUP(B565,aa!B:O,14,0)</f>
        <v>#N/A</v>
      </c>
      <c r="K565" s="50" t="e">
        <f>VLOOKUP(B565,aa!B:R,17,0)</f>
        <v>#N/A</v>
      </c>
      <c r="L565" s="50" t="s">
        <v>97</v>
      </c>
      <c r="M565" s="50">
        <v>93486</v>
      </c>
      <c r="N565" s="50">
        <v>93486</v>
      </c>
      <c r="O565" s="50">
        <v>93486</v>
      </c>
      <c r="P565" s="50">
        <v>123</v>
      </c>
      <c r="Q565" s="50" t="s">
        <v>14654</v>
      </c>
      <c r="R565" s="50">
        <v>0</v>
      </c>
      <c r="S565" s="50">
        <v>0</v>
      </c>
      <c r="U565" s="50">
        <v>0</v>
      </c>
      <c r="V565" s="50">
        <v>0</v>
      </c>
      <c r="X565" s="50" t="s">
        <v>102</v>
      </c>
      <c r="Y565" s="50" t="s">
        <v>275</v>
      </c>
      <c r="AA565" s="50" t="s">
        <v>11929</v>
      </c>
      <c r="AB565" s="50" t="s">
        <v>109</v>
      </c>
      <c r="AC565" s="50" t="s">
        <v>102</v>
      </c>
      <c r="AD565" s="50" t="s">
        <v>109</v>
      </c>
      <c r="AE565" s="50" t="s">
        <v>102</v>
      </c>
      <c r="AF565" s="50" t="s">
        <v>109</v>
      </c>
      <c r="AG565" s="50" t="s">
        <v>102</v>
      </c>
      <c r="AH565" s="50" t="s">
        <v>109</v>
      </c>
      <c r="AI565" s="50" t="s">
        <v>102</v>
      </c>
      <c r="AJ565" s="50" t="s">
        <v>14655</v>
      </c>
      <c r="AK565" s="50" t="s">
        <v>13511</v>
      </c>
      <c r="AL565" s="50" t="s">
        <v>13511</v>
      </c>
      <c r="AM565" s="50" t="s">
        <v>14656</v>
      </c>
      <c r="AN565" s="50" t="s">
        <v>14657</v>
      </c>
      <c r="AO565" s="50" t="s">
        <v>12878</v>
      </c>
      <c r="AP565" s="50" t="s">
        <v>14658</v>
      </c>
      <c r="AQ565" s="50" t="s">
        <v>14658</v>
      </c>
      <c r="AV565" s="50" t="s">
        <v>318</v>
      </c>
      <c r="AW565" s="50" t="s">
        <v>118</v>
      </c>
      <c r="AX565" s="50" t="s">
        <v>102</v>
      </c>
      <c r="AY565" s="50" t="s">
        <v>119</v>
      </c>
      <c r="BC565" s="50" t="s">
        <v>120</v>
      </c>
      <c r="BD565" s="50" t="s">
        <v>1243</v>
      </c>
      <c r="BE565" s="50" t="s">
        <v>1244</v>
      </c>
      <c r="BF565" s="50" t="s">
        <v>122</v>
      </c>
      <c r="BG565" s="50" t="s">
        <v>1244</v>
      </c>
      <c r="BH565" s="50" t="s">
        <v>124</v>
      </c>
      <c r="BI565" s="50" t="s">
        <v>12023</v>
      </c>
      <c r="BJ565" s="50" t="s">
        <v>11889</v>
      </c>
      <c r="BK565" s="50" t="s">
        <v>127</v>
      </c>
      <c r="BL565" s="50" t="s">
        <v>14659</v>
      </c>
      <c r="BM565" s="50" t="s">
        <v>4277</v>
      </c>
      <c r="BN565" s="50" t="s">
        <v>14660</v>
      </c>
      <c r="BO565" s="50" t="s">
        <v>12040</v>
      </c>
      <c r="BP565" s="50" t="s">
        <v>8788</v>
      </c>
      <c r="BQ565" s="50" t="s">
        <v>350</v>
      </c>
      <c r="BR565" s="50" t="s">
        <v>8789</v>
      </c>
      <c r="BS565" s="50" t="s">
        <v>8790</v>
      </c>
      <c r="BT565" s="50" t="s">
        <v>1006</v>
      </c>
      <c r="BV565" s="50" t="s">
        <v>14661</v>
      </c>
      <c r="BW565" s="50" t="s">
        <v>4280</v>
      </c>
      <c r="BX565" s="50" t="s">
        <v>296</v>
      </c>
      <c r="BY565" s="50" t="s">
        <v>4281</v>
      </c>
      <c r="BZ565" s="50" t="s">
        <v>4282</v>
      </c>
      <c r="CA565" s="50" t="s">
        <v>4283</v>
      </c>
      <c r="CB565" s="50" t="s">
        <v>14662</v>
      </c>
      <c r="CC565" s="50" t="s">
        <v>14663</v>
      </c>
      <c r="CD565" s="50" t="s">
        <v>4282</v>
      </c>
      <c r="CE565" s="50" t="s">
        <v>4280</v>
      </c>
      <c r="CF565" s="50" t="s">
        <v>4281</v>
      </c>
      <c r="CG565" s="50" t="s">
        <v>4282</v>
      </c>
      <c r="CH565" s="50" t="s">
        <v>102</v>
      </c>
      <c r="CI565" s="50" t="s">
        <v>4284</v>
      </c>
      <c r="CK565" s="50" t="s">
        <v>4285</v>
      </c>
      <c r="CM565" s="50" t="s">
        <v>1243</v>
      </c>
      <c r="CN565" s="50" t="s">
        <v>1244</v>
      </c>
      <c r="CO565" s="50" t="s">
        <v>4285</v>
      </c>
      <c r="CP565" s="50" t="s">
        <v>4286</v>
      </c>
      <c r="CQ565" s="50" t="s">
        <v>4284</v>
      </c>
      <c r="CR565" s="50" t="s">
        <v>4284</v>
      </c>
    </row>
    <row r="566" spans="1:97" hidden="1">
      <c r="A566" s="50" t="s">
        <v>149</v>
      </c>
      <c r="B566" s="50">
        <v>3754524</v>
      </c>
      <c r="C566" s="50" t="e">
        <f>VLOOKUP(B566,'Drop schools 2026'!B:C,2,0)</f>
        <v>#N/A</v>
      </c>
      <c r="D566" s="50" t="s">
        <v>622</v>
      </c>
      <c r="E566" s="50" t="s">
        <v>985</v>
      </c>
      <c r="F566" s="50" t="s">
        <v>7335</v>
      </c>
      <c r="G566" s="50" t="e">
        <f>VLOOKUP(B566,aa!B:F,5,0)</f>
        <v>#N/A</v>
      </c>
      <c r="H566" s="50" t="e">
        <f>VLOOKUP(B566,aa!B:J,9,0)</f>
        <v>#N/A</v>
      </c>
      <c r="I566" s="50" t="e">
        <f>VLOOKUP(B566,aa!B:L,11,0)</f>
        <v>#N/A</v>
      </c>
      <c r="J566" s="50" t="e">
        <f>VLOOKUP(B566,aa!B:O,14,0)</f>
        <v>#N/A</v>
      </c>
      <c r="K566" s="50" t="e">
        <f>VLOOKUP(B566,aa!B:R,17,0)</f>
        <v>#N/A</v>
      </c>
      <c r="L566" s="50" t="s">
        <v>97</v>
      </c>
      <c r="M566" s="50">
        <v>91858</v>
      </c>
      <c r="N566" s="50">
        <v>91858</v>
      </c>
      <c r="O566" s="50">
        <v>91858</v>
      </c>
      <c r="P566" s="50">
        <v>167</v>
      </c>
      <c r="Q566" s="50" t="s">
        <v>3431</v>
      </c>
      <c r="R566" s="50">
        <v>0</v>
      </c>
      <c r="S566" s="50">
        <v>0</v>
      </c>
      <c r="U566" s="50">
        <v>0</v>
      </c>
      <c r="V566" s="50">
        <v>0</v>
      </c>
      <c r="X566" s="50" t="s">
        <v>102</v>
      </c>
      <c r="Y566" s="50" t="s">
        <v>103</v>
      </c>
      <c r="Z566" s="50" t="s">
        <v>104</v>
      </c>
      <c r="AB566" s="50" t="s">
        <v>1427</v>
      </c>
      <c r="AC566" s="50" t="s">
        <v>16853</v>
      </c>
      <c r="AD566" s="50" t="s">
        <v>12713</v>
      </c>
      <c r="AE566" s="50" t="s">
        <v>16853</v>
      </c>
      <c r="AF566" s="50" t="s">
        <v>109</v>
      </c>
      <c r="AG566" s="50" t="s">
        <v>102</v>
      </c>
      <c r="AH566" s="50" t="s">
        <v>109</v>
      </c>
      <c r="AI566" s="50" t="s">
        <v>102</v>
      </c>
      <c r="AJ566" s="50" t="s">
        <v>102</v>
      </c>
      <c r="AK566" s="50" t="s">
        <v>13242</v>
      </c>
      <c r="AL566" s="50" t="s">
        <v>13242</v>
      </c>
      <c r="AM566" s="50" t="s">
        <v>16854</v>
      </c>
      <c r="AN566" s="50" t="s">
        <v>16855</v>
      </c>
      <c r="AO566" s="50" t="s">
        <v>16856</v>
      </c>
      <c r="AP566" s="50" t="s">
        <v>3438</v>
      </c>
      <c r="AQ566" s="50" t="s">
        <v>3438</v>
      </c>
      <c r="AV566" s="50" t="s">
        <v>117</v>
      </c>
      <c r="AW566" s="50" t="s">
        <v>118</v>
      </c>
      <c r="AX566" s="50" t="s">
        <v>102</v>
      </c>
      <c r="AY566" s="50" t="s">
        <v>119</v>
      </c>
      <c r="BC566" s="50" t="s">
        <v>120</v>
      </c>
      <c r="BD566" s="50" t="s">
        <v>7340</v>
      </c>
      <c r="BE566" s="50" t="s">
        <v>621</v>
      </c>
      <c r="BF566" s="50" t="s">
        <v>622</v>
      </c>
      <c r="BG566" s="50" t="s">
        <v>976</v>
      </c>
      <c r="BH566" s="50" t="s">
        <v>124</v>
      </c>
      <c r="BI566" s="50" t="s">
        <v>9814</v>
      </c>
      <c r="BJ566" s="50" t="s">
        <v>11960</v>
      </c>
      <c r="BK566" s="50" t="s">
        <v>127</v>
      </c>
      <c r="BL566" s="50" t="s">
        <v>16857</v>
      </c>
      <c r="BM566" s="50" t="s">
        <v>7342</v>
      </c>
      <c r="BN566" s="50" t="s">
        <v>16858</v>
      </c>
      <c r="BO566" s="50" t="s">
        <v>12289</v>
      </c>
      <c r="BP566" s="50" t="s">
        <v>981</v>
      </c>
      <c r="BQ566" s="50" t="s">
        <v>505</v>
      </c>
      <c r="BR566" s="50" t="s">
        <v>982</v>
      </c>
      <c r="BS566" s="50" t="s">
        <v>983</v>
      </c>
      <c r="BT566" s="50" t="s">
        <v>984</v>
      </c>
      <c r="BV566" s="50" t="s">
        <v>16859</v>
      </c>
      <c r="BW566" s="50" t="s">
        <v>7345</v>
      </c>
      <c r="BX566" s="50" t="s">
        <v>138</v>
      </c>
      <c r="BY566" s="50" t="s">
        <v>7346</v>
      </c>
      <c r="BZ566" s="50" t="s">
        <v>16860</v>
      </c>
      <c r="CA566" s="50" t="s">
        <v>7348</v>
      </c>
      <c r="CB566" s="50" t="s">
        <v>7345</v>
      </c>
      <c r="CC566" s="50" t="s">
        <v>7346</v>
      </c>
      <c r="CD566" s="50" t="s">
        <v>16860</v>
      </c>
      <c r="CE566" s="50" t="s">
        <v>16861</v>
      </c>
      <c r="CF566" s="50" t="s">
        <v>16862</v>
      </c>
      <c r="CG566" s="50" t="s">
        <v>16863</v>
      </c>
      <c r="CH566" s="50" t="s">
        <v>102</v>
      </c>
      <c r="CI566" s="50" t="s">
        <v>16864</v>
      </c>
      <c r="CK566" s="50" t="s">
        <v>7350</v>
      </c>
      <c r="CM566" s="50" t="s">
        <v>7340</v>
      </c>
      <c r="CN566" s="50" t="s">
        <v>621</v>
      </c>
      <c r="CO566" s="50" t="s">
        <v>7350</v>
      </c>
      <c r="CP566" s="50" t="s">
        <v>7187</v>
      </c>
      <c r="CQ566" s="50" t="s">
        <v>7349</v>
      </c>
      <c r="CR566" s="50" t="s">
        <v>7349</v>
      </c>
      <c r="CS566" s="50" t="s">
        <v>26047</v>
      </c>
    </row>
    <row r="567" spans="1:97" hidden="1">
      <c r="A567" s="50" t="s">
        <v>337</v>
      </c>
      <c r="B567" s="50">
        <v>5038577</v>
      </c>
      <c r="C567" s="50" t="e">
        <f>VLOOKUP(B567,'Drop schools 2026'!B:C,2,0)</f>
        <v>#N/A</v>
      </c>
      <c r="D567" s="50" t="s">
        <v>174</v>
      </c>
      <c r="E567" s="50" t="s">
        <v>20272</v>
      </c>
      <c r="F567" s="50" t="s">
        <v>20271</v>
      </c>
      <c r="G567" s="50" t="str">
        <f>VLOOKUP(B567,aa!B:F,5,0)</f>
        <v>Ei CARES</v>
      </c>
      <c r="H567" s="50">
        <f>VLOOKUP(B567,aa!B:J,9,0)</f>
        <v>105002</v>
      </c>
      <c r="I567" s="50">
        <f>VLOOKUP(B567,aa!B:L,11,0)</f>
        <v>0</v>
      </c>
      <c r="J567" s="50">
        <f>VLOOKUP(B567,aa!B:O,14,0)</f>
        <v>105002</v>
      </c>
      <c r="K567" s="50">
        <f>VLOOKUP(B567,aa!B:R,17,0)</f>
        <v>0</v>
      </c>
      <c r="L567" s="50" t="s">
        <v>152</v>
      </c>
      <c r="M567" s="50">
        <v>87003</v>
      </c>
      <c r="N567" s="50">
        <v>87003</v>
      </c>
      <c r="O567" s="50">
        <v>0</v>
      </c>
      <c r="P567" s="50">
        <v>0</v>
      </c>
      <c r="R567" s="50">
        <v>87003</v>
      </c>
      <c r="S567" s="50">
        <v>87</v>
      </c>
      <c r="T567" s="50" t="s">
        <v>5042</v>
      </c>
      <c r="U567" s="50">
        <v>0</v>
      </c>
      <c r="V567" s="50">
        <v>0</v>
      </c>
      <c r="X567" s="50" t="s">
        <v>102</v>
      </c>
      <c r="Y567" s="50" t="s">
        <v>103</v>
      </c>
      <c r="Z567" s="50" t="s">
        <v>398</v>
      </c>
      <c r="AB567" s="50" t="s">
        <v>6341</v>
      </c>
      <c r="AC567" s="50" t="s">
        <v>20273</v>
      </c>
      <c r="AD567" s="50" t="s">
        <v>12082</v>
      </c>
      <c r="AE567" s="50" t="s">
        <v>20274</v>
      </c>
      <c r="AF567" s="50" t="s">
        <v>12327</v>
      </c>
      <c r="AG567" s="50" t="s">
        <v>20275</v>
      </c>
      <c r="AH567" s="50" t="s">
        <v>109</v>
      </c>
      <c r="AI567" s="50" t="s">
        <v>102</v>
      </c>
      <c r="AJ567" s="50" t="s">
        <v>102</v>
      </c>
      <c r="AK567" s="50" t="s">
        <v>12023</v>
      </c>
      <c r="AL567" s="50" t="s">
        <v>12713</v>
      </c>
      <c r="AM567" s="50" t="s">
        <v>20276</v>
      </c>
      <c r="AN567" s="50" t="s">
        <v>20277</v>
      </c>
      <c r="AO567" s="50" t="s">
        <v>20278</v>
      </c>
      <c r="AP567" s="50" t="s">
        <v>20279</v>
      </c>
      <c r="AQ567" s="50" t="s">
        <v>20279</v>
      </c>
      <c r="AV567" s="50" t="s">
        <v>102</v>
      </c>
      <c r="AX567" s="50" t="s">
        <v>104</v>
      </c>
      <c r="AY567" s="50" t="s">
        <v>447</v>
      </c>
      <c r="AZ567" s="50" t="s">
        <v>170</v>
      </c>
      <c r="BA567" s="50" t="s">
        <v>118</v>
      </c>
      <c r="BC567" s="50" t="s">
        <v>120</v>
      </c>
      <c r="BD567" s="50" t="s">
        <v>12104</v>
      </c>
      <c r="BE567" s="50" t="s">
        <v>1208</v>
      </c>
      <c r="BF567" s="50" t="s">
        <v>174</v>
      </c>
      <c r="BG567" s="50" t="s">
        <v>1172</v>
      </c>
      <c r="BH567" s="50" t="s">
        <v>124</v>
      </c>
      <c r="BI567" s="50" t="s">
        <v>12023</v>
      </c>
      <c r="BJ567" s="50" t="s">
        <v>11889</v>
      </c>
      <c r="BK567" s="50" t="s">
        <v>127</v>
      </c>
      <c r="BL567" s="50" t="s">
        <v>20280</v>
      </c>
      <c r="BM567" s="50" t="s">
        <v>20281</v>
      </c>
      <c r="BN567" s="50" t="s">
        <v>20282</v>
      </c>
      <c r="BO567" s="50" t="s">
        <v>7719</v>
      </c>
      <c r="BP567" s="50" t="s">
        <v>1212</v>
      </c>
      <c r="BQ567" s="50" t="s">
        <v>350</v>
      </c>
      <c r="BR567" s="50" t="s">
        <v>1213</v>
      </c>
      <c r="BS567" s="50" t="s">
        <v>1214</v>
      </c>
      <c r="BT567" s="50" t="s">
        <v>1215</v>
      </c>
      <c r="BV567" s="50" t="s">
        <v>20283</v>
      </c>
      <c r="BW567" s="50" t="s">
        <v>20284</v>
      </c>
      <c r="BX567" s="50" t="s">
        <v>138</v>
      </c>
      <c r="BY567" s="50" t="s">
        <v>20285</v>
      </c>
      <c r="BZ567" s="50" t="s">
        <v>20286</v>
      </c>
      <c r="CA567" s="50" t="s">
        <v>20285</v>
      </c>
      <c r="CB567" s="50" t="s">
        <v>20284</v>
      </c>
      <c r="CC567" s="50" t="s">
        <v>20285</v>
      </c>
      <c r="CD567" s="50" t="s">
        <v>20286</v>
      </c>
      <c r="CE567" s="50" t="s">
        <v>20284</v>
      </c>
      <c r="CF567" s="50" t="s">
        <v>20285</v>
      </c>
      <c r="CG567" s="50" t="s">
        <v>20286</v>
      </c>
      <c r="CH567" s="50" t="s">
        <v>4425</v>
      </c>
      <c r="CI567" s="50" t="s">
        <v>20287</v>
      </c>
      <c r="CK567" s="50" t="s">
        <v>20288</v>
      </c>
      <c r="CL567" s="50" t="s">
        <v>20287</v>
      </c>
      <c r="CM567" s="50" t="s">
        <v>12104</v>
      </c>
      <c r="CN567" s="50" t="s">
        <v>1208</v>
      </c>
      <c r="CO567" s="50" t="s">
        <v>20288</v>
      </c>
      <c r="CQ567" s="50" t="s">
        <v>20289</v>
      </c>
      <c r="CR567" s="50" t="s">
        <v>20289</v>
      </c>
    </row>
    <row r="568" spans="1:97" hidden="1">
      <c r="A568" s="50" t="s">
        <v>93</v>
      </c>
      <c r="B568" s="50">
        <v>608032</v>
      </c>
      <c r="C568" s="50" t="str">
        <f>VLOOKUP(B568,'Drop schools 2026'!B:C,2,0)</f>
        <v>Drop</v>
      </c>
      <c r="D568" s="50" t="s">
        <v>622</v>
      </c>
      <c r="E568" s="50" t="s">
        <v>985</v>
      </c>
      <c r="F568" s="50" t="s">
        <v>21231</v>
      </c>
      <c r="G568" s="50" t="e">
        <f>VLOOKUP(B568,aa!B:F,5,0)</f>
        <v>#N/A</v>
      </c>
      <c r="H568" s="50" t="e">
        <f>VLOOKUP(B568,aa!B:J,9,0)</f>
        <v>#N/A</v>
      </c>
      <c r="I568" s="50" t="e">
        <f>VLOOKUP(B568,aa!B:L,11,0)</f>
        <v>#N/A</v>
      </c>
      <c r="J568" s="50" t="e">
        <f>VLOOKUP(B568,aa!B:O,14,0)</f>
        <v>#N/A</v>
      </c>
      <c r="K568" s="50" t="e">
        <f>VLOOKUP(B568,aa!B:R,17,0)</f>
        <v>#N/A</v>
      </c>
      <c r="L568" s="50" t="s">
        <v>97</v>
      </c>
      <c r="M568" s="50">
        <v>81000</v>
      </c>
      <c r="N568" s="50">
        <v>81000</v>
      </c>
      <c r="O568" s="50">
        <v>81000</v>
      </c>
      <c r="P568" s="50">
        <v>135</v>
      </c>
      <c r="Q568" s="50" t="s">
        <v>310</v>
      </c>
      <c r="R568" s="50">
        <v>0</v>
      </c>
      <c r="S568" s="50">
        <v>0</v>
      </c>
      <c r="U568" s="50">
        <v>0</v>
      </c>
      <c r="V568" s="50">
        <v>0</v>
      </c>
      <c r="X568" s="50" t="s">
        <v>102</v>
      </c>
      <c r="Y568" s="50" t="s">
        <v>103</v>
      </c>
      <c r="Z568" s="50" t="s">
        <v>398</v>
      </c>
      <c r="AB568" s="50" t="s">
        <v>126</v>
      </c>
      <c r="AC568" s="50" t="s">
        <v>21232</v>
      </c>
      <c r="AD568" s="50" t="s">
        <v>1408</v>
      </c>
      <c r="AE568" s="50" t="s">
        <v>21233</v>
      </c>
      <c r="AF568" s="50" t="s">
        <v>3679</v>
      </c>
      <c r="AG568" s="50" t="s">
        <v>21233</v>
      </c>
      <c r="AH568" s="50" t="s">
        <v>109</v>
      </c>
      <c r="AI568" s="50" t="s">
        <v>102</v>
      </c>
      <c r="AJ568" s="50" t="s">
        <v>102</v>
      </c>
      <c r="AK568" s="50" t="s">
        <v>11300</v>
      </c>
      <c r="AL568" s="50" t="s">
        <v>8060</v>
      </c>
      <c r="AM568" s="50" t="s">
        <v>3223</v>
      </c>
      <c r="AN568" s="50" t="s">
        <v>3223</v>
      </c>
      <c r="AO568" s="50" t="s">
        <v>102</v>
      </c>
      <c r="AP568" s="50" t="s">
        <v>317</v>
      </c>
      <c r="AQ568" s="50" t="s">
        <v>317</v>
      </c>
      <c r="AV568" s="50" t="s">
        <v>318</v>
      </c>
      <c r="AW568" s="50" t="s">
        <v>118</v>
      </c>
      <c r="AX568" s="50" t="s">
        <v>102</v>
      </c>
      <c r="AY568" s="50" t="s">
        <v>119</v>
      </c>
      <c r="BC568" s="50" t="s">
        <v>209</v>
      </c>
      <c r="BD568" s="50" t="s">
        <v>11303</v>
      </c>
      <c r="BE568" s="50" t="s">
        <v>9269</v>
      </c>
      <c r="BF568" s="50" t="s">
        <v>622</v>
      </c>
      <c r="BG568" s="50" t="s">
        <v>976</v>
      </c>
      <c r="BH568" s="50" t="s">
        <v>124</v>
      </c>
      <c r="BI568" s="50" t="s">
        <v>12082</v>
      </c>
      <c r="BJ568" s="50" t="s">
        <v>11886</v>
      </c>
      <c r="BK568" s="50" t="s">
        <v>127</v>
      </c>
      <c r="BL568" s="50" t="s">
        <v>21234</v>
      </c>
      <c r="BM568" s="50" t="s">
        <v>11305</v>
      </c>
      <c r="BN568" s="50" t="s">
        <v>21235</v>
      </c>
      <c r="BO568" s="50" t="s">
        <v>945</v>
      </c>
      <c r="BP568" s="50" t="s">
        <v>18506</v>
      </c>
      <c r="BQ568" s="50" t="s">
        <v>350</v>
      </c>
      <c r="BR568" s="50" t="s">
        <v>18507</v>
      </c>
      <c r="BS568" s="50" t="s">
        <v>18508</v>
      </c>
      <c r="BT568" s="50" t="s">
        <v>984</v>
      </c>
      <c r="BV568" s="50" t="s">
        <v>21236</v>
      </c>
      <c r="BW568" s="50" t="s">
        <v>11312</v>
      </c>
      <c r="BX568" s="50" t="s">
        <v>138</v>
      </c>
      <c r="BY568" s="50" t="s">
        <v>11309</v>
      </c>
      <c r="BZ568" s="50" t="s">
        <v>11310</v>
      </c>
      <c r="CA568" s="50" t="s">
        <v>11311</v>
      </c>
      <c r="CB568" s="50" t="s">
        <v>21237</v>
      </c>
      <c r="CC568" s="50" t="s">
        <v>11309</v>
      </c>
      <c r="CD568" s="50" t="s">
        <v>11310</v>
      </c>
      <c r="CE568" s="50" t="s">
        <v>21237</v>
      </c>
      <c r="CF568" s="50" t="s">
        <v>11309</v>
      </c>
      <c r="CG568" s="50" t="s">
        <v>11310</v>
      </c>
      <c r="CH568" s="50" t="s">
        <v>709</v>
      </c>
      <c r="CI568" s="50" t="s">
        <v>21238</v>
      </c>
      <c r="CK568" s="50" t="s">
        <v>11315</v>
      </c>
      <c r="CL568" s="50" t="s">
        <v>21239</v>
      </c>
      <c r="CM568" s="50" t="s">
        <v>11303</v>
      </c>
      <c r="CN568" s="50" t="s">
        <v>9269</v>
      </c>
      <c r="CO568" s="50" t="s">
        <v>11315</v>
      </c>
      <c r="CQ568" s="50" t="s">
        <v>11316</v>
      </c>
      <c r="CR568" s="50" t="s">
        <v>11303</v>
      </c>
      <c r="CS568" s="50" t="s">
        <v>26046</v>
      </c>
    </row>
    <row r="569" spans="1:97" hidden="1">
      <c r="A569" s="50" t="s">
        <v>337</v>
      </c>
      <c r="B569" s="50">
        <v>5103484</v>
      </c>
      <c r="C569" s="50" t="e">
        <f>VLOOKUP(B569,'Drop schools 2026'!B:C,2,0)</f>
        <v>#N/A</v>
      </c>
      <c r="D569" s="50" t="s">
        <v>212</v>
      </c>
      <c r="E569" s="50" t="s">
        <v>2151</v>
      </c>
      <c r="F569" s="50" t="s">
        <v>20909</v>
      </c>
      <c r="G569" s="50" t="str">
        <f>VLOOKUP(B569,aa!B:F,5,0)</f>
        <v>Ei Mindspark</v>
      </c>
      <c r="H569" s="50">
        <f>VLOOKUP(B569,aa!B:J,9,0)</f>
        <v>406759</v>
      </c>
      <c r="I569" s="50">
        <f>VLOOKUP(B569,aa!B:L,11,0)</f>
        <v>0</v>
      </c>
      <c r="J569" s="50">
        <f>VLOOKUP(B569,aa!B:O,14,0)</f>
        <v>0</v>
      </c>
      <c r="K569" s="50">
        <f>VLOOKUP(B569,aa!B:R,17,0)</f>
        <v>406759</v>
      </c>
      <c r="L569" s="50" t="s">
        <v>193</v>
      </c>
      <c r="M569" s="50">
        <v>81000</v>
      </c>
      <c r="N569" s="50">
        <v>81000</v>
      </c>
      <c r="O569" s="50">
        <v>81000</v>
      </c>
      <c r="P569" s="50">
        <v>90</v>
      </c>
      <c r="Q569" s="50" t="s">
        <v>2451</v>
      </c>
      <c r="R569" s="50">
        <v>0</v>
      </c>
      <c r="S569" s="50">
        <v>0</v>
      </c>
      <c r="U569" s="50">
        <v>0</v>
      </c>
      <c r="V569" s="50">
        <v>120</v>
      </c>
      <c r="W569" s="50" t="s">
        <v>102</v>
      </c>
      <c r="X569" s="50" t="s">
        <v>102</v>
      </c>
      <c r="Y569" s="50" t="s">
        <v>275</v>
      </c>
      <c r="AA569" s="50" t="s">
        <v>20910</v>
      </c>
      <c r="AB569" s="50" t="s">
        <v>109</v>
      </c>
      <c r="AC569" s="50" t="s">
        <v>102</v>
      </c>
      <c r="AD569" s="50" t="s">
        <v>109</v>
      </c>
      <c r="AE569" s="50" t="s">
        <v>102</v>
      </c>
      <c r="AF569" s="50" t="s">
        <v>109</v>
      </c>
      <c r="AG569" s="50" t="s">
        <v>102</v>
      </c>
      <c r="AH569" s="50" t="s">
        <v>109</v>
      </c>
      <c r="AI569" s="50" t="s">
        <v>102</v>
      </c>
      <c r="AJ569" s="50" t="s">
        <v>102</v>
      </c>
      <c r="AK569" s="50" t="s">
        <v>13242</v>
      </c>
      <c r="AL569" s="50" t="s">
        <v>13242</v>
      </c>
      <c r="AM569" s="50" t="s">
        <v>20911</v>
      </c>
      <c r="AN569" s="50" t="s">
        <v>20912</v>
      </c>
      <c r="AO569" s="50" t="s">
        <v>20913</v>
      </c>
      <c r="AP569" s="50" t="s">
        <v>19346</v>
      </c>
      <c r="AQ569" s="50" t="s">
        <v>19346</v>
      </c>
      <c r="AV569" s="50" t="s">
        <v>207</v>
      </c>
      <c r="AW569" s="50" t="s">
        <v>118</v>
      </c>
      <c r="AX569" s="50" t="s">
        <v>102</v>
      </c>
      <c r="AY569" s="50" t="s">
        <v>119</v>
      </c>
      <c r="BB569" s="50" t="s">
        <v>250</v>
      </c>
      <c r="BC569" s="50" t="s">
        <v>20914</v>
      </c>
      <c r="BD569" s="50" t="s">
        <v>920</v>
      </c>
      <c r="BE569" s="50" t="s">
        <v>211</v>
      </c>
      <c r="BF569" s="50" t="s">
        <v>212</v>
      </c>
      <c r="BG569" s="50" t="s">
        <v>213</v>
      </c>
      <c r="BH569" s="50" t="s">
        <v>124</v>
      </c>
      <c r="BI569" s="50" t="s">
        <v>20910</v>
      </c>
      <c r="BJ569" s="50" t="s">
        <v>12435</v>
      </c>
      <c r="BK569" s="50" t="s">
        <v>127</v>
      </c>
      <c r="BL569" s="50" t="s">
        <v>20915</v>
      </c>
      <c r="BM569" s="50" t="s">
        <v>20916</v>
      </c>
      <c r="BN569" s="50" t="s">
        <v>20917</v>
      </c>
      <c r="BO569" s="50" t="s">
        <v>20910</v>
      </c>
      <c r="BP569" s="50" t="s">
        <v>1309</v>
      </c>
      <c r="BQ569" s="50" t="s">
        <v>180</v>
      </c>
      <c r="BR569" s="50" t="s">
        <v>1310</v>
      </c>
      <c r="BS569" s="50" t="s">
        <v>1311</v>
      </c>
      <c r="BT569" s="50" t="s">
        <v>1312</v>
      </c>
      <c r="BV569" s="50" t="s">
        <v>20918</v>
      </c>
      <c r="BW569" s="50" t="s">
        <v>20919</v>
      </c>
      <c r="BX569" s="50" t="s">
        <v>9184</v>
      </c>
      <c r="BY569" s="50" t="s">
        <v>20920</v>
      </c>
      <c r="BZ569" s="50" t="s">
        <v>20921</v>
      </c>
      <c r="CA569" s="50" t="s">
        <v>20922</v>
      </c>
      <c r="CB569" s="50" t="s">
        <v>20919</v>
      </c>
      <c r="CC569" s="50" t="s">
        <v>20922</v>
      </c>
      <c r="CD569" s="50" t="s">
        <v>20923</v>
      </c>
      <c r="CE569" s="50" t="s">
        <v>20919</v>
      </c>
      <c r="CF569" s="50" t="s">
        <v>20922</v>
      </c>
      <c r="CG569" s="50" t="s">
        <v>20923</v>
      </c>
      <c r="CH569" s="50" t="s">
        <v>5007</v>
      </c>
      <c r="CI569" s="50" t="s">
        <v>20924</v>
      </c>
      <c r="CK569" s="50" t="s">
        <v>932</v>
      </c>
      <c r="CL569" s="50" t="s">
        <v>20924</v>
      </c>
      <c r="CM569" s="50" t="s">
        <v>920</v>
      </c>
      <c r="CN569" s="50" t="s">
        <v>211</v>
      </c>
      <c r="CO569" s="50" t="s">
        <v>932</v>
      </c>
      <c r="CQ569" s="50" t="s">
        <v>20925</v>
      </c>
      <c r="CR569" s="50" t="s">
        <v>20925</v>
      </c>
    </row>
    <row r="570" spans="1:97" hidden="1">
      <c r="A570" s="50" t="s">
        <v>149</v>
      </c>
      <c r="B570" s="50">
        <v>3693693</v>
      </c>
      <c r="C570" s="50" t="e">
        <f>VLOOKUP(B570,'Drop schools 2026'!B:C,2,0)</f>
        <v>#N/A</v>
      </c>
      <c r="D570" s="50" t="s">
        <v>212</v>
      </c>
      <c r="E570" s="50" t="s">
        <v>2151</v>
      </c>
      <c r="F570" s="50" t="s">
        <v>7097</v>
      </c>
      <c r="G570" s="50" t="e">
        <f>VLOOKUP(B570,aa!B:F,5,0)</f>
        <v>#N/A</v>
      </c>
      <c r="H570" s="50" t="e">
        <f>VLOOKUP(B570,aa!B:J,9,0)</f>
        <v>#N/A</v>
      </c>
      <c r="I570" s="50" t="e">
        <f>VLOOKUP(B570,aa!B:L,11,0)</f>
        <v>#N/A</v>
      </c>
      <c r="J570" s="50" t="e">
        <f>VLOOKUP(B570,aa!B:O,14,0)</f>
        <v>#N/A</v>
      </c>
      <c r="K570" s="50" t="e">
        <f>VLOOKUP(B570,aa!B:R,17,0)</f>
        <v>#N/A</v>
      </c>
      <c r="L570" s="50" t="s">
        <v>3549</v>
      </c>
      <c r="M570" s="50">
        <v>80660</v>
      </c>
      <c r="N570" s="50">
        <v>91613</v>
      </c>
      <c r="O570" s="50">
        <v>19811</v>
      </c>
      <c r="P570" s="50">
        <v>28</v>
      </c>
      <c r="Q570" s="50" t="s">
        <v>16736</v>
      </c>
      <c r="R570" s="50">
        <v>0</v>
      </c>
      <c r="S570" s="50">
        <v>0</v>
      </c>
      <c r="U570" s="50">
        <v>60849</v>
      </c>
      <c r="V570" s="50">
        <v>30</v>
      </c>
      <c r="W570" s="50" t="s">
        <v>16737</v>
      </c>
      <c r="X570" s="50" t="s">
        <v>102</v>
      </c>
      <c r="Y570" s="50" t="s">
        <v>275</v>
      </c>
      <c r="AA570" s="50" t="s">
        <v>411</v>
      </c>
      <c r="AB570" s="50" t="s">
        <v>109</v>
      </c>
      <c r="AC570" s="50" t="s">
        <v>102</v>
      </c>
      <c r="AD570" s="50" t="s">
        <v>109</v>
      </c>
      <c r="AE570" s="50" t="s">
        <v>102</v>
      </c>
      <c r="AF570" s="50" t="s">
        <v>109</v>
      </c>
      <c r="AG570" s="50" t="s">
        <v>102</v>
      </c>
      <c r="AH570" s="50" t="s">
        <v>109</v>
      </c>
      <c r="AI570" s="50" t="s">
        <v>102</v>
      </c>
      <c r="AJ570" s="50" t="s">
        <v>102</v>
      </c>
      <c r="AK570" s="50" t="s">
        <v>1604</v>
      </c>
      <c r="AL570" s="50" t="s">
        <v>10167</v>
      </c>
      <c r="AM570" s="50" t="s">
        <v>16738</v>
      </c>
      <c r="AN570" s="50" t="s">
        <v>6693</v>
      </c>
      <c r="AO570" s="50" t="s">
        <v>16739</v>
      </c>
      <c r="AP570" s="50" t="s">
        <v>1853</v>
      </c>
      <c r="AQ570" s="50" t="s">
        <v>1853</v>
      </c>
      <c r="AV570" s="50" t="s">
        <v>318</v>
      </c>
      <c r="AW570" s="50" t="s">
        <v>118</v>
      </c>
      <c r="AX570" s="50" t="s">
        <v>102</v>
      </c>
      <c r="AY570" s="50" t="s">
        <v>119</v>
      </c>
      <c r="BB570" s="50" t="s">
        <v>250</v>
      </c>
      <c r="BC570" s="50" t="s">
        <v>120</v>
      </c>
      <c r="BD570" s="50" t="s">
        <v>920</v>
      </c>
      <c r="BE570" s="50" t="s">
        <v>211</v>
      </c>
      <c r="BF570" s="50" t="s">
        <v>212</v>
      </c>
      <c r="BG570" s="50" t="s">
        <v>213</v>
      </c>
      <c r="BH570" s="50" t="s">
        <v>124</v>
      </c>
      <c r="BI570" s="50" t="s">
        <v>16740</v>
      </c>
      <c r="BJ570" s="50" t="s">
        <v>11960</v>
      </c>
      <c r="BK570" s="50" t="s">
        <v>127</v>
      </c>
      <c r="BL570" s="50" t="s">
        <v>16741</v>
      </c>
      <c r="BM570" s="50" t="s">
        <v>7106</v>
      </c>
      <c r="BN570" s="50" t="s">
        <v>16742</v>
      </c>
      <c r="BO570" s="50" t="s">
        <v>12100</v>
      </c>
      <c r="BP570" s="50" t="s">
        <v>7108</v>
      </c>
      <c r="BQ570" s="50" t="s">
        <v>180</v>
      </c>
      <c r="BR570" s="50" t="s">
        <v>7109</v>
      </c>
      <c r="BS570" s="50" t="s">
        <v>2151</v>
      </c>
      <c r="BT570" s="50" t="s">
        <v>2151</v>
      </c>
      <c r="BV570" s="50" t="s">
        <v>16743</v>
      </c>
      <c r="BW570" s="50" t="s">
        <v>7111</v>
      </c>
      <c r="BX570" s="50" t="s">
        <v>598</v>
      </c>
      <c r="BY570" s="50" t="s">
        <v>7112</v>
      </c>
      <c r="BZ570" s="50" t="s">
        <v>7113</v>
      </c>
      <c r="CA570" s="50" t="s">
        <v>7114</v>
      </c>
      <c r="CB570" s="50" t="s">
        <v>7111</v>
      </c>
      <c r="CC570" s="50" t="s">
        <v>7112</v>
      </c>
      <c r="CD570" s="50" t="s">
        <v>7113</v>
      </c>
      <c r="CE570" s="50" t="s">
        <v>16744</v>
      </c>
      <c r="CF570" s="50" t="s">
        <v>7116</v>
      </c>
      <c r="CG570" s="50" t="s">
        <v>7117</v>
      </c>
      <c r="CH570" s="50" t="s">
        <v>102</v>
      </c>
      <c r="CI570" s="50" t="s">
        <v>7118</v>
      </c>
      <c r="CK570" s="50" t="s">
        <v>5392</v>
      </c>
      <c r="CM570" s="50" t="s">
        <v>920</v>
      </c>
      <c r="CN570" s="50" t="s">
        <v>211</v>
      </c>
      <c r="CO570" s="50" t="s">
        <v>5392</v>
      </c>
      <c r="CQ570" s="50" t="s">
        <v>7118</v>
      </c>
      <c r="CR570" s="50" t="s">
        <v>7118</v>
      </c>
      <c r="CS570" s="50" t="s">
        <v>26040</v>
      </c>
    </row>
    <row r="571" spans="1:97" hidden="1">
      <c r="A571" s="50" t="s">
        <v>337</v>
      </c>
      <c r="B571" s="50">
        <v>5045565</v>
      </c>
      <c r="C571" s="50" t="e">
        <f>VLOOKUP(B571,'Drop schools 2026'!B:C,2,0)</f>
        <v>#N/A</v>
      </c>
      <c r="D571" s="50" t="s">
        <v>174</v>
      </c>
      <c r="E571" s="50" t="s">
        <v>183</v>
      </c>
      <c r="F571" s="50" t="s">
        <v>20458</v>
      </c>
      <c r="G571" s="50" t="e">
        <f>VLOOKUP(B571,aa!B:F,5,0)</f>
        <v>#N/A</v>
      </c>
      <c r="H571" s="50" t="e">
        <f>VLOOKUP(B571,aa!B:J,9,0)</f>
        <v>#N/A</v>
      </c>
      <c r="I571" s="50" t="e">
        <f>VLOOKUP(B571,aa!B:L,11,0)</f>
        <v>#N/A</v>
      </c>
      <c r="J571" s="50" t="e">
        <f>VLOOKUP(B571,aa!B:O,14,0)</f>
        <v>#N/A</v>
      </c>
      <c r="K571" s="50" t="e">
        <f>VLOOKUP(B571,aa!B:R,17,0)</f>
        <v>#N/A</v>
      </c>
      <c r="L571" s="50" t="s">
        <v>152</v>
      </c>
      <c r="M571" s="50">
        <v>76188</v>
      </c>
      <c r="N571" s="50">
        <v>76188</v>
      </c>
      <c r="O571" s="50">
        <v>0</v>
      </c>
      <c r="P571" s="50">
        <v>0</v>
      </c>
      <c r="R571" s="50">
        <v>76188</v>
      </c>
      <c r="S571" s="50">
        <v>121</v>
      </c>
      <c r="T571" s="50" t="s">
        <v>7219</v>
      </c>
      <c r="U571" s="50">
        <v>0</v>
      </c>
      <c r="V571" s="50">
        <v>0</v>
      </c>
      <c r="X571" s="50" t="s">
        <v>102</v>
      </c>
      <c r="Y571" s="50" t="s">
        <v>275</v>
      </c>
      <c r="AA571" s="50" t="s">
        <v>11932</v>
      </c>
      <c r="AB571" s="50" t="s">
        <v>109</v>
      </c>
      <c r="AC571" s="50" t="s">
        <v>102</v>
      </c>
      <c r="AD571" s="50" t="s">
        <v>109</v>
      </c>
      <c r="AE571" s="50" t="s">
        <v>102</v>
      </c>
      <c r="AF571" s="50" t="s">
        <v>109</v>
      </c>
      <c r="AG571" s="50" t="s">
        <v>102</v>
      </c>
      <c r="AH571" s="50" t="s">
        <v>109</v>
      </c>
      <c r="AI571" s="50" t="s">
        <v>102</v>
      </c>
      <c r="AJ571" s="50" t="s">
        <v>102</v>
      </c>
      <c r="AK571" s="50" t="s">
        <v>4563</v>
      </c>
      <c r="AL571" s="50" t="s">
        <v>4563</v>
      </c>
      <c r="AM571" s="50" t="s">
        <v>20459</v>
      </c>
      <c r="AN571" s="50" t="s">
        <v>20459</v>
      </c>
      <c r="AO571" s="50" t="s">
        <v>102</v>
      </c>
      <c r="AP571" s="50" t="s">
        <v>18394</v>
      </c>
      <c r="AQ571" s="50" t="s">
        <v>18394</v>
      </c>
      <c r="AV571" s="50" t="s">
        <v>102</v>
      </c>
      <c r="AX571" s="50" t="s">
        <v>104</v>
      </c>
      <c r="AY571" s="50" t="s">
        <v>447</v>
      </c>
      <c r="AZ571" s="50" t="s">
        <v>170</v>
      </c>
      <c r="BA571" s="50" t="s">
        <v>118</v>
      </c>
      <c r="BC571" s="50" t="s">
        <v>1964</v>
      </c>
      <c r="BD571" s="50" t="s">
        <v>18395</v>
      </c>
      <c r="BE571" s="50" t="s">
        <v>376</v>
      </c>
      <c r="BF571" s="50" t="s">
        <v>174</v>
      </c>
      <c r="BG571" s="50" t="s">
        <v>376</v>
      </c>
      <c r="BH571" s="50" t="s">
        <v>124</v>
      </c>
      <c r="BI571" s="50" t="s">
        <v>1331</v>
      </c>
      <c r="BJ571" s="50" t="s">
        <v>12931</v>
      </c>
      <c r="BK571" s="50" t="s">
        <v>127</v>
      </c>
      <c r="BL571" s="50" t="s">
        <v>20460</v>
      </c>
      <c r="BM571" s="50" t="s">
        <v>20461</v>
      </c>
      <c r="BN571" s="50" t="s">
        <v>20462</v>
      </c>
      <c r="BO571" s="50" t="s">
        <v>15564</v>
      </c>
      <c r="BP571" s="50" t="s">
        <v>5026</v>
      </c>
      <c r="BQ571" s="50" t="s">
        <v>180</v>
      </c>
      <c r="BR571" s="50" t="s">
        <v>5027</v>
      </c>
      <c r="BS571" s="50" t="s">
        <v>5028</v>
      </c>
      <c r="BT571" s="50" t="s">
        <v>1834</v>
      </c>
      <c r="BV571" s="50" t="s">
        <v>20463</v>
      </c>
      <c r="BW571" s="50" t="s">
        <v>20464</v>
      </c>
      <c r="BX571" s="50" t="s">
        <v>138</v>
      </c>
      <c r="BY571" s="50" t="s">
        <v>18401</v>
      </c>
      <c r="BZ571" s="50" t="s">
        <v>20465</v>
      </c>
      <c r="CA571" s="50" t="s">
        <v>20466</v>
      </c>
      <c r="CB571" s="50" t="s">
        <v>20464</v>
      </c>
      <c r="CC571" s="50" t="s">
        <v>20466</v>
      </c>
      <c r="CD571" s="50" t="s">
        <v>20465</v>
      </c>
      <c r="CE571" s="50" t="s">
        <v>20464</v>
      </c>
      <c r="CF571" s="50" t="s">
        <v>20466</v>
      </c>
      <c r="CG571" s="50" t="s">
        <v>20465</v>
      </c>
      <c r="CH571" s="50" t="s">
        <v>364</v>
      </c>
      <c r="CI571" s="50" t="s">
        <v>20467</v>
      </c>
      <c r="CK571" s="50" t="s">
        <v>18405</v>
      </c>
      <c r="CL571" s="50" t="s">
        <v>20467</v>
      </c>
      <c r="CM571" s="50" t="s">
        <v>18395</v>
      </c>
      <c r="CN571" s="50" t="s">
        <v>376</v>
      </c>
      <c r="CO571" s="50" t="s">
        <v>18405</v>
      </c>
      <c r="CQ571" s="50" t="s">
        <v>20468</v>
      </c>
      <c r="CR571" s="50" t="s">
        <v>20468</v>
      </c>
      <c r="CS571" s="50" t="s">
        <v>26046</v>
      </c>
    </row>
    <row r="572" spans="1:97" hidden="1">
      <c r="A572" s="50" t="s">
        <v>149</v>
      </c>
      <c r="B572" s="50">
        <v>249296</v>
      </c>
      <c r="C572" s="50" t="e">
        <f>VLOOKUP(B572,'Drop schools 2026'!B:C,2,0)</f>
        <v>#N/A</v>
      </c>
      <c r="D572" s="50" t="s">
        <v>622</v>
      </c>
      <c r="E572" s="50" t="s">
        <v>2525</v>
      </c>
      <c r="F572" s="50" t="s">
        <v>3708</v>
      </c>
      <c r="G572" s="50" t="e">
        <f>VLOOKUP(B572,aa!B:F,5,0)</f>
        <v>#N/A</v>
      </c>
      <c r="H572" s="50" t="e">
        <f>VLOOKUP(B572,aa!B:J,9,0)</f>
        <v>#N/A</v>
      </c>
      <c r="I572" s="50" t="e">
        <f>VLOOKUP(B572,aa!B:L,11,0)</f>
        <v>#N/A</v>
      </c>
      <c r="J572" s="50" t="e">
        <f>VLOOKUP(B572,aa!B:O,14,0)</f>
        <v>#N/A</v>
      </c>
      <c r="K572" s="50" t="e">
        <f>VLOOKUP(B572,aa!B:R,17,0)</f>
        <v>#N/A</v>
      </c>
      <c r="L572" s="50" t="s">
        <v>97</v>
      </c>
      <c r="M572" s="50">
        <v>75899</v>
      </c>
      <c r="N572" s="50">
        <v>75899</v>
      </c>
      <c r="O572" s="50">
        <v>75899</v>
      </c>
      <c r="P572" s="50">
        <v>92</v>
      </c>
      <c r="Q572" s="50" t="s">
        <v>3811</v>
      </c>
      <c r="R572" s="50">
        <v>0</v>
      </c>
      <c r="S572" s="50">
        <v>0</v>
      </c>
      <c r="U572" s="50">
        <v>0</v>
      </c>
      <c r="V572" s="50">
        <v>0</v>
      </c>
      <c r="X572" s="50" t="s">
        <v>102</v>
      </c>
      <c r="Y572" s="50" t="s">
        <v>275</v>
      </c>
      <c r="AA572" s="50" t="s">
        <v>126</v>
      </c>
      <c r="AB572" s="50" t="s">
        <v>109</v>
      </c>
      <c r="AC572" s="50" t="s">
        <v>102</v>
      </c>
      <c r="AD572" s="50" t="s">
        <v>109</v>
      </c>
      <c r="AE572" s="50" t="s">
        <v>102</v>
      </c>
      <c r="AF572" s="50" t="s">
        <v>109</v>
      </c>
      <c r="AG572" s="50" t="s">
        <v>102</v>
      </c>
      <c r="AH572" s="50" t="s">
        <v>109</v>
      </c>
      <c r="AI572" s="50" t="s">
        <v>102</v>
      </c>
      <c r="AJ572" s="50" t="s">
        <v>102</v>
      </c>
      <c r="AK572" s="50" t="s">
        <v>9814</v>
      </c>
      <c r="AL572" s="50" t="s">
        <v>9814</v>
      </c>
      <c r="AM572" s="50" t="s">
        <v>14224</v>
      </c>
      <c r="AN572" s="50" t="s">
        <v>14225</v>
      </c>
      <c r="AO572" s="50" t="s">
        <v>1544</v>
      </c>
      <c r="AP572" s="50" t="s">
        <v>14226</v>
      </c>
      <c r="AQ572" s="50" t="s">
        <v>14227</v>
      </c>
      <c r="AR572" s="50" t="s">
        <v>343</v>
      </c>
      <c r="AU572" s="50" t="s">
        <v>169</v>
      </c>
      <c r="AV572" s="50" t="s">
        <v>117</v>
      </c>
      <c r="AW572" s="50" t="s">
        <v>118</v>
      </c>
      <c r="AX572" s="50" t="s">
        <v>102</v>
      </c>
      <c r="AY572" s="50" t="s">
        <v>119</v>
      </c>
      <c r="BC572" s="50" t="s">
        <v>120</v>
      </c>
      <c r="BD572" s="50" t="s">
        <v>3714</v>
      </c>
      <c r="BE572" s="50" t="s">
        <v>730</v>
      </c>
      <c r="BF572" s="50" t="s">
        <v>622</v>
      </c>
      <c r="BG572" s="50" t="s">
        <v>730</v>
      </c>
      <c r="BH572" s="50" t="s">
        <v>124</v>
      </c>
      <c r="BI572" s="50" t="s">
        <v>12023</v>
      </c>
      <c r="BJ572" s="50" t="s">
        <v>11889</v>
      </c>
      <c r="BK572" s="50" t="s">
        <v>127</v>
      </c>
      <c r="BL572" s="50" t="s">
        <v>14228</v>
      </c>
      <c r="BM572" s="50" t="s">
        <v>3716</v>
      </c>
      <c r="BN572" s="50" t="s">
        <v>14229</v>
      </c>
      <c r="BO572" s="50" t="s">
        <v>12217</v>
      </c>
      <c r="BP572" s="50" t="s">
        <v>3606</v>
      </c>
      <c r="BQ572" s="50" t="s">
        <v>350</v>
      </c>
      <c r="BR572" s="50" t="s">
        <v>3607</v>
      </c>
      <c r="BS572" s="50" t="s">
        <v>3608</v>
      </c>
      <c r="BT572" s="50" t="s">
        <v>2525</v>
      </c>
      <c r="BV572" s="50" t="s">
        <v>14230</v>
      </c>
      <c r="BW572" s="50" t="s">
        <v>3719</v>
      </c>
      <c r="BX572" s="50" t="s">
        <v>598</v>
      </c>
      <c r="BY572" s="50" t="s">
        <v>3720</v>
      </c>
      <c r="BZ572" s="50" t="s">
        <v>3721</v>
      </c>
      <c r="CA572" s="50" t="s">
        <v>3722</v>
      </c>
      <c r="CB572" s="50" t="s">
        <v>14231</v>
      </c>
      <c r="CC572" s="50" t="s">
        <v>14232</v>
      </c>
      <c r="CD572" s="50" t="s">
        <v>3721</v>
      </c>
      <c r="CE572" s="50" t="s">
        <v>3719</v>
      </c>
      <c r="CF572" s="50" t="s">
        <v>14233</v>
      </c>
      <c r="CG572" s="50" t="s">
        <v>3721</v>
      </c>
      <c r="CH572" s="50" t="s">
        <v>102</v>
      </c>
      <c r="CI572" s="50" t="s">
        <v>3723</v>
      </c>
      <c r="CK572" s="50" t="s">
        <v>3724</v>
      </c>
      <c r="CM572" s="50" t="s">
        <v>3714</v>
      </c>
      <c r="CN572" s="50" t="s">
        <v>730</v>
      </c>
      <c r="CO572" s="50" t="s">
        <v>3724</v>
      </c>
      <c r="CQ572" s="50" t="s">
        <v>3723</v>
      </c>
      <c r="CR572" s="50" t="s">
        <v>3723</v>
      </c>
      <c r="CS572" s="50" t="s">
        <v>26048</v>
      </c>
    </row>
    <row r="573" spans="1:97">
      <c r="A573" s="50" t="s">
        <v>337</v>
      </c>
      <c r="B573" s="50">
        <v>3402446</v>
      </c>
      <c r="C573" s="50" t="e">
        <f>VLOOKUP(B573,'Drop schools 2026'!B:C,2,0)</f>
        <v>#N/A</v>
      </c>
      <c r="D573" s="50" t="s">
        <v>122</v>
      </c>
      <c r="E573" s="50" t="s">
        <v>12030</v>
      </c>
      <c r="F573" s="52" t="s">
        <v>15872</v>
      </c>
      <c r="G573" s="50" t="e">
        <f>VLOOKUP(B573,aa!B:F,5,0)</f>
        <v>#N/A</v>
      </c>
      <c r="H573" s="50" t="e">
        <f>VLOOKUP(B573,aa!B:J,9,0)</f>
        <v>#N/A</v>
      </c>
      <c r="I573" s="50" t="e">
        <f>VLOOKUP(B573,aa!B:L,11,0)</f>
        <v>#N/A</v>
      </c>
      <c r="J573" s="50" t="e">
        <f>VLOOKUP(B573,aa!B:O,14,0)</f>
        <v>#N/A</v>
      </c>
      <c r="K573" s="50" t="e">
        <f>VLOOKUP(B573,aa!B:R,17,0)</f>
        <v>#N/A</v>
      </c>
      <c r="L573" s="50" t="s">
        <v>97</v>
      </c>
      <c r="M573" s="50">
        <v>72600</v>
      </c>
      <c r="N573" s="50">
        <v>72600</v>
      </c>
      <c r="O573" s="50">
        <v>72600</v>
      </c>
      <c r="P573" s="50">
        <v>121</v>
      </c>
      <c r="Q573" s="50" t="s">
        <v>310</v>
      </c>
      <c r="R573" s="50">
        <v>0</v>
      </c>
      <c r="S573" s="50">
        <v>0</v>
      </c>
      <c r="U573" s="50">
        <v>0</v>
      </c>
      <c r="V573" s="50">
        <v>0</v>
      </c>
      <c r="X573" s="50" t="s">
        <v>102</v>
      </c>
      <c r="Y573" s="50" t="s">
        <v>275</v>
      </c>
      <c r="AA573" s="50" t="s">
        <v>14597</v>
      </c>
      <c r="AB573" s="50" t="s">
        <v>109</v>
      </c>
      <c r="AC573" s="50" t="s">
        <v>102</v>
      </c>
      <c r="AD573" s="50" t="s">
        <v>109</v>
      </c>
      <c r="AE573" s="50" t="s">
        <v>102</v>
      </c>
      <c r="AF573" s="50" t="s">
        <v>109</v>
      </c>
      <c r="AG573" s="50" t="s">
        <v>102</v>
      </c>
      <c r="AH573" s="50" t="s">
        <v>109</v>
      </c>
      <c r="AI573" s="50" t="s">
        <v>102</v>
      </c>
      <c r="AJ573" s="50" t="s">
        <v>102</v>
      </c>
      <c r="AM573" s="50" t="s">
        <v>12021</v>
      </c>
      <c r="AN573" s="50" t="s">
        <v>102</v>
      </c>
      <c r="AO573" s="50" t="s">
        <v>12021</v>
      </c>
      <c r="AP573" s="50" t="s">
        <v>317</v>
      </c>
      <c r="AQ573" s="50" t="s">
        <v>317</v>
      </c>
      <c r="AV573" s="50" t="s">
        <v>318</v>
      </c>
      <c r="AW573" s="50" t="s">
        <v>118</v>
      </c>
      <c r="AX573" s="50" t="s">
        <v>102</v>
      </c>
      <c r="AY573" s="50" t="s">
        <v>119</v>
      </c>
      <c r="BC573" s="50" t="s">
        <v>120</v>
      </c>
      <c r="BD573" s="50" t="s">
        <v>5739</v>
      </c>
      <c r="BE573" s="50" t="s">
        <v>2800</v>
      </c>
      <c r="BF573" s="50" t="s">
        <v>122</v>
      </c>
      <c r="BG573" s="50" t="s">
        <v>346</v>
      </c>
      <c r="BH573" s="50" t="s">
        <v>124</v>
      </c>
      <c r="BI573" s="50" t="s">
        <v>12873</v>
      </c>
      <c r="BJ573" s="50" t="s">
        <v>15873</v>
      </c>
      <c r="BK573" s="50" t="s">
        <v>127</v>
      </c>
      <c r="BL573" s="50" t="s">
        <v>15874</v>
      </c>
      <c r="BM573" s="50" t="s">
        <v>15875</v>
      </c>
      <c r="BN573" s="50" t="s">
        <v>15876</v>
      </c>
      <c r="BO573" s="50" t="s">
        <v>12217</v>
      </c>
      <c r="BP573" s="50" t="s">
        <v>349</v>
      </c>
      <c r="BQ573" s="50" t="s">
        <v>350</v>
      </c>
      <c r="BR573" s="50" t="s">
        <v>351</v>
      </c>
      <c r="BS573" s="50" t="s">
        <v>352</v>
      </c>
      <c r="BT573" s="50" t="s">
        <v>6249</v>
      </c>
      <c r="BV573" s="50" t="s">
        <v>15877</v>
      </c>
      <c r="BW573" s="50" t="s">
        <v>15878</v>
      </c>
      <c r="BX573" s="50" t="s">
        <v>354</v>
      </c>
      <c r="BY573" s="50" t="s">
        <v>15879</v>
      </c>
      <c r="BZ573" s="50" t="s">
        <v>15880</v>
      </c>
      <c r="CA573" s="50" t="s">
        <v>15881</v>
      </c>
      <c r="CB573" s="50" t="s">
        <v>15882</v>
      </c>
      <c r="CC573" s="50" t="s">
        <v>15879</v>
      </c>
      <c r="CD573" s="50" t="s">
        <v>15883</v>
      </c>
      <c r="CE573" s="50" t="s">
        <v>15882</v>
      </c>
      <c r="CF573" s="50" t="s">
        <v>15879</v>
      </c>
      <c r="CG573" s="50" t="s">
        <v>15883</v>
      </c>
      <c r="CH573" s="50" t="s">
        <v>15884</v>
      </c>
      <c r="CI573" s="50" t="s">
        <v>15885</v>
      </c>
      <c r="CK573" s="50" t="s">
        <v>15886</v>
      </c>
      <c r="CL573" s="50" t="s">
        <v>15885</v>
      </c>
      <c r="CM573" s="50" t="s">
        <v>5739</v>
      </c>
      <c r="CN573" s="50" t="s">
        <v>2800</v>
      </c>
      <c r="CO573" s="50" t="s">
        <v>15886</v>
      </c>
      <c r="CQ573" s="50" t="s">
        <v>15887</v>
      </c>
      <c r="CR573" s="50" t="s">
        <v>15887</v>
      </c>
    </row>
    <row r="574" spans="1:97" hidden="1">
      <c r="A574" s="50" t="s">
        <v>149</v>
      </c>
      <c r="B574" s="50">
        <v>1026343</v>
      </c>
      <c r="C574" s="50" t="e">
        <f>VLOOKUP(B574,'Drop schools 2026'!B:C,2,0)</f>
        <v>#N/A</v>
      </c>
      <c r="D574" s="50" t="s">
        <v>122</v>
      </c>
      <c r="E574" s="50" t="s">
        <v>12018</v>
      </c>
      <c r="F574" s="50" t="s">
        <v>308</v>
      </c>
      <c r="G574" s="50" t="e">
        <f>VLOOKUP(B574,aa!B:F,5,0)</f>
        <v>#N/A</v>
      </c>
      <c r="H574" s="50" t="e">
        <f>VLOOKUP(B574,aa!B:J,9,0)</f>
        <v>#N/A</v>
      </c>
      <c r="I574" s="50" t="e">
        <f>VLOOKUP(B574,aa!B:L,11,0)</f>
        <v>#N/A</v>
      </c>
      <c r="J574" s="50" t="e">
        <f>VLOOKUP(B574,aa!B:O,14,0)</f>
        <v>#N/A</v>
      </c>
      <c r="K574" s="50" t="e">
        <f>VLOOKUP(B574,aa!B:R,17,0)</f>
        <v>#N/A</v>
      </c>
      <c r="L574" s="50" t="s">
        <v>97</v>
      </c>
      <c r="M574" s="50">
        <v>71400</v>
      </c>
      <c r="N574" s="50">
        <v>71400</v>
      </c>
      <c r="O574" s="50">
        <v>71400</v>
      </c>
      <c r="P574" s="50">
        <v>119</v>
      </c>
      <c r="Q574" s="50" t="s">
        <v>310</v>
      </c>
      <c r="R574" s="50">
        <v>0</v>
      </c>
      <c r="S574" s="50">
        <v>0</v>
      </c>
      <c r="U574" s="50">
        <v>0</v>
      </c>
      <c r="V574" s="50">
        <v>0</v>
      </c>
      <c r="X574" s="50" t="s">
        <v>102</v>
      </c>
      <c r="Y574" s="50" t="s">
        <v>275</v>
      </c>
      <c r="AA574" s="50" t="s">
        <v>12019</v>
      </c>
      <c r="AB574" s="50" t="s">
        <v>109</v>
      </c>
      <c r="AC574" s="50" t="s">
        <v>102</v>
      </c>
      <c r="AD574" s="50" t="s">
        <v>109</v>
      </c>
      <c r="AE574" s="50" t="s">
        <v>102</v>
      </c>
      <c r="AF574" s="50" t="s">
        <v>109</v>
      </c>
      <c r="AG574" s="50" t="s">
        <v>102</v>
      </c>
      <c r="AH574" s="50" t="s">
        <v>109</v>
      </c>
      <c r="AI574" s="50" t="s">
        <v>102</v>
      </c>
      <c r="AJ574" s="50" t="s">
        <v>102</v>
      </c>
      <c r="AK574" s="50" t="s">
        <v>12020</v>
      </c>
      <c r="AL574" s="50" t="s">
        <v>12020</v>
      </c>
      <c r="AM574" s="50" t="s">
        <v>9118</v>
      </c>
      <c r="AN574" s="50" t="s">
        <v>12021</v>
      </c>
      <c r="AO574" s="50" t="s">
        <v>12022</v>
      </c>
      <c r="AP574" s="50" t="s">
        <v>317</v>
      </c>
      <c r="AQ574" s="50" t="s">
        <v>317</v>
      </c>
      <c r="AV574" s="50" t="s">
        <v>318</v>
      </c>
      <c r="AW574" s="50" t="s">
        <v>118</v>
      </c>
      <c r="AX574" s="50" t="s">
        <v>102</v>
      </c>
      <c r="AY574" s="50" t="s">
        <v>119</v>
      </c>
      <c r="BC574" s="50" t="s">
        <v>120</v>
      </c>
      <c r="BD574" s="50" t="s">
        <v>319</v>
      </c>
      <c r="BE574" s="50" t="s">
        <v>320</v>
      </c>
      <c r="BF574" s="50" t="s">
        <v>122</v>
      </c>
      <c r="BG574" s="50" t="s">
        <v>123</v>
      </c>
      <c r="BH574" s="50" t="s">
        <v>124</v>
      </c>
      <c r="BI574" s="50" t="s">
        <v>12023</v>
      </c>
      <c r="BJ574" s="50" t="s">
        <v>11889</v>
      </c>
      <c r="BK574" s="50" t="s">
        <v>127</v>
      </c>
      <c r="BL574" s="50" t="s">
        <v>12024</v>
      </c>
      <c r="BM574" s="50" t="s">
        <v>323</v>
      </c>
      <c r="BN574" s="50" t="s">
        <v>12025</v>
      </c>
      <c r="BO574" s="50" t="s">
        <v>8537</v>
      </c>
      <c r="BP574" s="50" t="s">
        <v>593</v>
      </c>
      <c r="BQ574" s="50" t="s">
        <v>350</v>
      </c>
      <c r="BR574" s="50" t="s">
        <v>594</v>
      </c>
      <c r="BS574" s="50" t="s">
        <v>595</v>
      </c>
      <c r="BT574" s="50" t="s">
        <v>328</v>
      </c>
      <c r="BV574" s="50" t="s">
        <v>12026</v>
      </c>
      <c r="BW574" s="50" t="s">
        <v>6234</v>
      </c>
      <c r="BX574" s="50" t="s">
        <v>354</v>
      </c>
      <c r="BY574" s="50" t="s">
        <v>6235</v>
      </c>
      <c r="BZ574" s="50" t="s">
        <v>6236</v>
      </c>
      <c r="CA574" s="50" t="s">
        <v>333</v>
      </c>
      <c r="CB574" s="50" t="s">
        <v>6234</v>
      </c>
      <c r="CC574" s="50" t="s">
        <v>6235</v>
      </c>
      <c r="CD574" s="50" t="s">
        <v>6236</v>
      </c>
      <c r="CE574" s="50" t="s">
        <v>12027</v>
      </c>
      <c r="CF574" s="50" t="s">
        <v>6235</v>
      </c>
      <c r="CG574" s="50" t="s">
        <v>12028</v>
      </c>
      <c r="CH574" s="50" t="s">
        <v>334</v>
      </c>
      <c r="CI574" s="50" t="s">
        <v>335</v>
      </c>
      <c r="CK574" s="50" t="s">
        <v>336</v>
      </c>
      <c r="CL574" s="50" t="s">
        <v>12029</v>
      </c>
      <c r="CM574" s="50" t="s">
        <v>319</v>
      </c>
      <c r="CN574" s="50" t="s">
        <v>320</v>
      </c>
      <c r="CO574" s="50" t="s">
        <v>336</v>
      </c>
      <c r="CQ574" s="50" t="s">
        <v>335</v>
      </c>
      <c r="CR574" s="50" t="s">
        <v>335</v>
      </c>
    </row>
    <row r="575" spans="1:97" hidden="1">
      <c r="A575" s="50" t="s">
        <v>149</v>
      </c>
      <c r="B575" s="50">
        <v>3639531</v>
      </c>
      <c r="C575" s="50" t="e">
        <f>VLOOKUP(B575,'Drop schools 2026'!B:C,2,0)</f>
        <v>#N/A</v>
      </c>
      <c r="D575" s="50" t="s">
        <v>122</v>
      </c>
      <c r="E575" s="50" t="s">
        <v>11882</v>
      </c>
      <c r="F575" s="50" t="s">
        <v>16688</v>
      </c>
      <c r="G575" s="50" t="e">
        <f>VLOOKUP(B575,aa!B:F,5,0)</f>
        <v>#N/A</v>
      </c>
      <c r="H575" s="50" t="e">
        <f>VLOOKUP(B575,aa!B:J,9,0)</f>
        <v>#N/A</v>
      </c>
      <c r="I575" s="50" t="e">
        <f>VLOOKUP(B575,aa!B:L,11,0)</f>
        <v>#N/A</v>
      </c>
      <c r="J575" s="50" t="e">
        <f>VLOOKUP(B575,aa!B:O,14,0)</f>
        <v>#N/A</v>
      </c>
      <c r="K575" s="50" t="e">
        <f>VLOOKUP(B575,aa!B:R,17,0)</f>
        <v>#N/A</v>
      </c>
      <c r="L575" s="50" t="s">
        <v>97</v>
      </c>
      <c r="M575" s="50">
        <v>67080</v>
      </c>
      <c r="N575" s="50">
        <v>67080</v>
      </c>
      <c r="O575" s="50">
        <v>67080</v>
      </c>
      <c r="P575" s="50">
        <v>86</v>
      </c>
      <c r="Q575" s="50" t="s">
        <v>2110</v>
      </c>
      <c r="R575" s="50">
        <v>0</v>
      </c>
      <c r="S575" s="50">
        <v>0</v>
      </c>
      <c r="U575" s="50">
        <v>0</v>
      </c>
      <c r="V575" s="50">
        <v>0</v>
      </c>
      <c r="X575" s="50" t="s">
        <v>102</v>
      </c>
      <c r="Y575" s="50" t="s">
        <v>275</v>
      </c>
      <c r="AA575" s="50" t="s">
        <v>12099</v>
      </c>
      <c r="AB575" s="50" t="s">
        <v>109</v>
      </c>
      <c r="AC575" s="50" t="s">
        <v>102</v>
      </c>
      <c r="AD575" s="50" t="s">
        <v>109</v>
      </c>
      <c r="AE575" s="50" t="s">
        <v>102</v>
      </c>
      <c r="AF575" s="50" t="s">
        <v>109</v>
      </c>
      <c r="AG575" s="50" t="s">
        <v>102</v>
      </c>
      <c r="AH575" s="50" t="s">
        <v>109</v>
      </c>
      <c r="AI575" s="50" t="s">
        <v>102</v>
      </c>
      <c r="AJ575" s="50" t="s">
        <v>102</v>
      </c>
      <c r="AM575" s="50" t="s">
        <v>16689</v>
      </c>
      <c r="AN575" s="50" t="s">
        <v>102</v>
      </c>
      <c r="AO575" s="50" t="s">
        <v>16689</v>
      </c>
      <c r="AP575" s="50" t="s">
        <v>3357</v>
      </c>
      <c r="AQ575" s="50" t="s">
        <v>3357</v>
      </c>
      <c r="AV575" s="50" t="s">
        <v>117</v>
      </c>
      <c r="AW575" s="50" t="s">
        <v>118</v>
      </c>
      <c r="AX575" s="50" t="s">
        <v>102</v>
      </c>
      <c r="AY575" s="50" t="s">
        <v>119</v>
      </c>
      <c r="BC575" s="50" t="s">
        <v>120</v>
      </c>
      <c r="BD575" s="50" t="s">
        <v>4153</v>
      </c>
      <c r="BE575" s="50" t="s">
        <v>320</v>
      </c>
      <c r="BF575" s="50" t="s">
        <v>122</v>
      </c>
      <c r="BG575" s="50" t="s">
        <v>123</v>
      </c>
      <c r="BH575" s="50" t="s">
        <v>124</v>
      </c>
      <c r="BI575" s="50" t="s">
        <v>11888</v>
      </c>
      <c r="BJ575" s="50" t="s">
        <v>11889</v>
      </c>
      <c r="BK575" s="50" t="s">
        <v>127</v>
      </c>
      <c r="BL575" s="50" t="s">
        <v>16690</v>
      </c>
      <c r="BM575" s="50" t="s">
        <v>6963</v>
      </c>
      <c r="BN575" s="50" t="s">
        <v>16691</v>
      </c>
      <c r="BO575" s="50" t="s">
        <v>12020</v>
      </c>
      <c r="BP575" s="50" t="s">
        <v>3267</v>
      </c>
      <c r="BQ575" s="50" t="s">
        <v>350</v>
      </c>
      <c r="BR575" s="50" t="s">
        <v>3268</v>
      </c>
      <c r="BS575" s="50" t="s">
        <v>3269</v>
      </c>
      <c r="BT575" s="50" t="s">
        <v>135</v>
      </c>
      <c r="BV575" s="50" t="s">
        <v>16692</v>
      </c>
      <c r="BW575" s="50" t="s">
        <v>6970</v>
      </c>
      <c r="BX575" s="50" t="s">
        <v>138</v>
      </c>
      <c r="BY575" s="50" t="s">
        <v>16693</v>
      </c>
      <c r="BZ575" s="50" t="s">
        <v>16694</v>
      </c>
      <c r="CA575" s="50" t="s">
        <v>6969</v>
      </c>
      <c r="CB575" s="50" t="s">
        <v>6970</v>
      </c>
      <c r="CC575" s="50" t="s">
        <v>16693</v>
      </c>
      <c r="CD575" s="50" t="s">
        <v>16694</v>
      </c>
      <c r="CE575" s="50" t="s">
        <v>6966</v>
      </c>
      <c r="CF575" s="50" t="s">
        <v>6967</v>
      </c>
      <c r="CG575" s="50" t="s">
        <v>6968</v>
      </c>
      <c r="CH575" s="50" t="s">
        <v>102</v>
      </c>
      <c r="CI575" s="50" t="s">
        <v>16695</v>
      </c>
      <c r="CK575" s="50" t="s">
        <v>6973</v>
      </c>
      <c r="CM575" s="50" t="s">
        <v>4153</v>
      </c>
      <c r="CN575" s="50" t="s">
        <v>320</v>
      </c>
      <c r="CO575" s="50" t="s">
        <v>6973</v>
      </c>
      <c r="CQ575" s="50" t="s">
        <v>6972</v>
      </c>
      <c r="CR575" s="50" t="s">
        <v>6972</v>
      </c>
    </row>
    <row r="576" spans="1:97" hidden="1">
      <c r="A576" s="50" t="s">
        <v>93</v>
      </c>
      <c r="B576" s="50">
        <v>5017990</v>
      </c>
      <c r="C576" s="50" t="e">
        <f>VLOOKUP(B576,'Drop schools 2026'!B:C,2,0)</f>
        <v>#N/A</v>
      </c>
      <c r="D576" s="50" t="s">
        <v>622</v>
      </c>
      <c r="E576" s="50" t="s">
        <v>3562</v>
      </c>
      <c r="F576" s="50" t="s">
        <v>10410</v>
      </c>
      <c r="G576" s="50" t="e">
        <f>VLOOKUP(B576,aa!B:F,5,0)</f>
        <v>#N/A</v>
      </c>
      <c r="H576" s="50" t="e">
        <f>VLOOKUP(B576,aa!B:J,9,0)</f>
        <v>#N/A</v>
      </c>
      <c r="I576" s="50" t="e">
        <f>VLOOKUP(B576,aa!B:L,11,0)</f>
        <v>#N/A</v>
      </c>
      <c r="J576" s="50" t="e">
        <f>VLOOKUP(B576,aa!B:O,14,0)</f>
        <v>#N/A</v>
      </c>
      <c r="K576" s="50" t="e">
        <f>VLOOKUP(B576,aa!B:R,17,0)</f>
        <v>#N/A</v>
      </c>
      <c r="L576" s="50" t="s">
        <v>848</v>
      </c>
      <c r="M576" s="50">
        <v>66412</v>
      </c>
      <c r="N576" s="50">
        <v>78366</v>
      </c>
      <c r="O576" s="50">
        <v>0</v>
      </c>
      <c r="P576" s="50">
        <v>0</v>
      </c>
      <c r="R576" s="50">
        <v>0</v>
      </c>
      <c r="S576" s="50">
        <v>0</v>
      </c>
      <c r="U576" s="50">
        <v>66412</v>
      </c>
      <c r="V576" s="50">
        <v>58</v>
      </c>
      <c r="W576" s="50" t="s">
        <v>18588</v>
      </c>
      <c r="X576" s="50" t="s">
        <v>102</v>
      </c>
      <c r="Y576" s="50" t="s">
        <v>275</v>
      </c>
      <c r="AA576" s="50" t="s">
        <v>12084</v>
      </c>
      <c r="AB576" s="50" t="s">
        <v>109</v>
      </c>
      <c r="AC576" s="50" t="s">
        <v>102</v>
      </c>
      <c r="AD576" s="50" t="s">
        <v>109</v>
      </c>
      <c r="AE576" s="50" t="s">
        <v>102</v>
      </c>
      <c r="AF576" s="50" t="s">
        <v>109</v>
      </c>
      <c r="AG576" s="50" t="s">
        <v>102</v>
      </c>
      <c r="AH576" s="50" t="s">
        <v>109</v>
      </c>
      <c r="AI576" s="50" t="s">
        <v>102</v>
      </c>
      <c r="AJ576" s="50" t="s">
        <v>102</v>
      </c>
      <c r="AM576" s="50" t="s">
        <v>19329</v>
      </c>
      <c r="AN576" s="50" t="s">
        <v>102</v>
      </c>
      <c r="AO576" s="50" t="s">
        <v>19329</v>
      </c>
      <c r="AP576" s="50" t="s">
        <v>19321</v>
      </c>
      <c r="AQ576" s="50" t="s">
        <v>19322</v>
      </c>
      <c r="AU576" s="50" t="s">
        <v>169</v>
      </c>
      <c r="AV576" s="50" t="s">
        <v>102</v>
      </c>
      <c r="AX576" s="50" t="s">
        <v>102</v>
      </c>
      <c r="AY576" s="50" t="s">
        <v>119</v>
      </c>
      <c r="BB576" s="50" t="s">
        <v>250</v>
      </c>
      <c r="BC576" s="50" t="s">
        <v>10399</v>
      </c>
      <c r="BD576" s="50" t="s">
        <v>1729</v>
      </c>
      <c r="BE576" s="50" t="s">
        <v>730</v>
      </c>
      <c r="BF576" s="50" t="s">
        <v>622</v>
      </c>
      <c r="BG576" s="50" t="s">
        <v>730</v>
      </c>
      <c r="BH576" s="50" t="s">
        <v>124</v>
      </c>
      <c r="BI576" s="50" t="s">
        <v>11976</v>
      </c>
      <c r="BJ576" s="50" t="s">
        <v>12720</v>
      </c>
      <c r="BK576" s="50" t="s">
        <v>127</v>
      </c>
      <c r="BL576" s="50" t="s">
        <v>19330</v>
      </c>
      <c r="BM576" s="50" t="s">
        <v>10416</v>
      </c>
      <c r="BN576" s="50" t="s">
        <v>19331</v>
      </c>
      <c r="BO576" s="50" t="s">
        <v>4563</v>
      </c>
      <c r="BP576" s="50" t="s">
        <v>2262</v>
      </c>
      <c r="BQ576" s="50" t="s">
        <v>350</v>
      </c>
      <c r="BR576" s="50" t="s">
        <v>2263</v>
      </c>
      <c r="BS576" s="50" t="s">
        <v>2264</v>
      </c>
      <c r="BT576" s="50" t="s">
        <v>2569</v>
      </c>
      <c r="BV576" s="50" t="s">
        <v>19332</v>
      </c>
      <c r="BW576" s="50" t="s">
        <v>6852</v>
      </c>
      <c r="BX576" s="50" t="s">
        <v>598</v>
      </c>
      <c r="BY576" s="50" t="s">
        <v>4098</v>
      </c>
      <c r="BZ576" s="50" t="s">
        <v>19326</v>
      </c>
      <c r="CA576" s="50" t="s">
        <v>10407</v>
      </c>
      <c r="CB576" s="50" t="s">
        <v>6852</v>
      </c>
      <c r="CC576" s="50" t="s">
        <v>4098</v>
      </c>
      <c r="CD576" s="50" t="s">
        <v>19326</v>
      </c>
      <c r="CE576" s="50" t="s">
        <v>6852</v>
      </c>
      <c r="CF576" s="50" t="s">
        <v>4098</v>
      </c>
      <c r="CG576" s="50" t="s">
        <v>19326</v>
      </c>
      <c r="CH576" s="50" t="s">
        <v>5007</v>
      </c>
      <c r="CI576" s="50" t="s">
        <v>19333</v>
      </c>
      <c r="CK576" s="50" t="s">
        <v>10421</v>
      </c>
      <c r="CL576" s="50" t="s">
        <v>19328</v>
      </c>
      <c r="CM576" s="50" t="s">
        <v>1729</v>
      </c>
      <c r="CN576" s="50" t="s">
        <v>730</v>
      </c>
      <c r="CO576" s="50" t="s">
        <v>10421</v>
      </c>
      <c r="CQ576" s="50" t="s">
        <v>10420</v>
      </c>
      <c r="CR576" s="50" t="s">
        <v>10422</v>
      </c>
    </row>
    <row r="577" spans="1:97" hidden="1">
      <c r="A577" s="50" t="s">
        <v>149</v>
      </c>
      <c r="B577" s="50">
        <v>3998030</v>
      </c>
      <c r="C577" s="50" t="e">
        <f>VLOOKUP(B577,'Drop schools 2026'!B:C,2,0)</f>
        <v>#N/A</v>
      </c>
      <c r="D577" s="50" t="s">
        <v>212</v>
      </c>
      <c r="E577" s="50" t="s">
        <v>11947</v>
      </c>
      <c r="F577" s="50" t="s">
        <v>8358</v>
      </c>
      <c r="G577" s="50" t="e">
        <f>VLOOKUP(B577,aa!B:F,5,0)</f>
        <v>#N/A</v>
      </c>
      <c r="H577" s="50" t="e">
        <f>VLOOKUP(B577,aa!B:J,9,0)</f>
        <v>#N/A</v>
      </c>
      <c r="I577" s="50" t="e">
        <f>VLOOKUP(B577,aa!B:L,11,0)</f>
        <v>#N/A</v>
      </c>
      <c r="J577" s="50" t="e">
        <f>VLOOKUP(B577,aa!B:O,14,0)</f>
        <v>#N/A</v>
      </c>
      <c r="K577" s="50" t="e">
        <f>VLOOKUP(B577,aa!B:R,17,0)</f>
        <v>#N/A</v>
      </c>
      <c r="L577" s="50" t="s">
        <v>97</v>
      </c>
      <c r="M577" s="50">
        <v>65988</v>
      </c>
      <c r="N577" s="50">
        <v>65988</v>
      </c>
      <c r="O577" s="50">
        <v>65988</v>
      </c>
      <c r="P577" s="50">
        <v>120</v>
      </c>
      <c r="Q577" s="50" t="s">
        <v>3431</v>
      </c>
      <c r="R577" s="50">
        <v>0</v>
      </c>
      <c r="S577" s="50">
        <v>0</v>
      </c>
      <c r="U577" s="50">
        <v>0</v>
      </c>
      <c r="V577" s="50">
        <v>0</v>
      </c>
      <c r="X577" s="50" t="s">
        <v>102</v>
      </c>
      <c r="Y577" s="50" t="s">
        <v>103</v>
      </c>
      <c r="Z577" s="50" t="s">
        <v>104</v>
      </c>
      <c r="AB577" s="50" t="s">
        <v>12040</v>
      </c>
      <c r="AC577" s="50" t="s">
        <v>17780</v>
      </c>
      <c r="AD577" s="50" t="s">
        <v>12713</v>
      </c>
      <c r="AE577" s="50" t="s">
        <v>17781</v>
      </c>
      <c r="AF577" s="50" t="s">
        <v>109</v>
      </c>
      <c r="AG577" s="50" t="s">
        <v>102</v>
      </c>
      <c r="AH577" s="50" t="s">
        <v>109</v>
      </c>
      <c r="AI577" s="50" t="s">
        <v>102</v>
      </c>
      <c r="AJ577" s="50" t="s">
        <v>17782</v>
      </c>
      <c r="AK577" s="50" t="s">
        <v>17783</v>
      </c>
      <c r="AL577" s="50" t="s">
        <v>13386</v>
      </c>
      <c r="AM577" s="50" t="s">
        <v>17784</v>
      </c>
      <c r="AN577" s="50" t="s">
        <v>17785</v>
      </c>
      <c r="AO577" s="50" t="s">
        <v>17786</v>
      </c>
      <c r="AP577" s="50" t="s">
        <v>4840</v>
      </c>
      <c r="AQ577" s="50" t="s">
        <v>4840</v>
      </c>
      <c r="AV577" s="50" t="s">
        <v>3439</v>
      </c>
      <c r="AW577" s="50" t="s">
        <v>118</v>
      </c>
      <c r="AX577" s="50" t="s">
        <v>102</v>
      </c>
      <c r="AY577" s="50" t="s">
        <v>119</v>
      </c>
      <c r="BC577" s="50" t="s">
        <v>120</v>
      </c>
      <c r="BD577" s="50" t="s">
        <v>920</v>
      </c>
      <c r="BE577" s="50" t="s">
        <v>211</v>
      </c>
      <c r="BF577" s="50" t="s">
        <v>212</v>
      </c>
      <c r="BG577" s="50" t="s">
        <v>213</v>
      </c>
      <c r="BH577" s="50" t="s">
        <v>124</v>
      </c>
      <c r="BI577" s="50" t="s">
        <v>11959</v>
      </c>
      <c r="BJ577" s="50" t="s">
        <v>11889</v>
      </c>
      <c r="BK577" s="50" t="s">
        <v>127</v>
      </c>
      <c r="BL577" s="50" t="s">
        <v>17787</v>
      </c>
      <c r="BM577" s="50" t="s">
        <v>8367</v>
      </c>
      <c r="BN577" s="50" t="s">
        <v>17788</v>
      </c>
      <c r="BO577" s="50" t="s">
        <v>1408</v>
      </c>
      <c r="BP577" s="50" t="s">
        <v>415</v>
      </c>
      <c r="BQ577" s="50" t="s">
        <v>180</v>
      </c>
      <c r="BR577" s="50" t="s">
        <v>416</v>
      </c>
      <c r="BS577" s="50" t="s">
        <v>417</v>
      </c>
      <c r="BT577" s="50" t="s">
        <v>2151</v>
      </c>
      <c r="BV577" s="50" t="s">
        <v>17789</v>
      </c>
      <c r="BW577" s="50" t="s">
        <v>8370</v>
      </c>
      <c r="BX577" s="50" t="s">
        <v>138</v>
      </c>
      <c r="BY577" s="50" t="s">
        <v>3448</v>
      </c>
      <c r="BZ577" s="50" t="s">
        <v>3449</v>
      </c>
      <c r="CA577" s="50" t="s">
        <v>8371</v>
      </c>
      <c r="CB577" s="50" t="s">
        <v>8370</v>
      </c>
      <c r="CC577" s="50" t="s">
        <v>3448</v>
      </c>
      <c r="CD577" s="50" t="s">
        <v>3449</v>
      </c>
      <c r="CE577" s="50" t="s">
        <v>8370</v>
      </c>
      <c r="CF577" s="50" t="s">
        <v>3448</v>
      </c>
      <c r="CG577" s="50" t="s">
        <v>3449</v>
      </c>
      <c r="CH577" s="50" t="s">
        <v>3968</v>
      </c>
      <c r="CI577" s="50" t="s">
        <v>8372</v>
      </c>
      <c r="CK577" s="50" t="s">
        <v>8373</v>
      </c>
      <c r="CL577" s="50" t="s">
        <v>8372</v>
      </c>
      <c r="CM577" s="50" t="s">
        <v>920</v>
      </c>
      <c r="CN577" s="50" t="s">
        <v>211</v>
      </c>
      <c r="CO577" s="50" t="s">
        <v>8373</v>
      </c>
      <c r="CP577" s="50" t="s">
        <v>8374</v>
      </c>
      <c r="CQ577" s="50" t="s">
        <v>8372</v>
      </c>
      <c r="CR577" s="50" t="s">
        <v>8372</v>
      </c>
      <c r="CS577" s="50" t="s">
        <v>26043</v>
      </c>
    </row>
    <row r="578" spans="1:97" hidden="1">
      <c r="A578" s="50" t="s">
        <v>149</v>
      </c>
      <c r="B578" s="50">
        <v>19966</v>
      </c>
      <c r="C578" s="50" t="e">
        <f>VLOOKUP(B578,'Drop schools 2026'!B:C,2,0)</f>
        <v>#N/A</v>
      </c>
      <c r="D578" s="50" t="s">
        <v>212</v>
      </c>
      <c r="E578" s="50" t="s">
        <v>418</v>
      </c>
      <c r="F578" s="50" t="s">
        <v>13228</v>
      </c>
      <c r="G578" s="50" t="e">
        <f>VLOOKUP(B578,aa!B:F,5,0)</f>
        <v>#N/A</v>
      </c>
      <c r="H578" s="50" t="e">
        <f>VLOOKUP(B578,aa!B:J,9,0)</f>
        <v>#N/A</v>
      </c>
      <c r="I578" s="50" t="e">
        <f>VLOOKUP(B578,aa!B:L,11,0)</f>
        <v>#N/A</v>
      </c>
      <c r="J578" s="50" t="e">
        <f>VLOOKUP(B578,aa!B:O,14,0)</f>
        <v>#N/A</v>
      </c>
      <c r="K578" s="50" t="e">
        <f>VLOOKUP(B578,aa!B:R,17,0)</f>
        <v>#N/A</v>
      </c>
      <c r="L578" s="50" t="s">
        <v>97</v>
      </c>
      <c r="M578" s="50">
        <v>61994</v>
      </c>
      <c r="N578" s="50">
        <v>61994</v>
      </c>
      <c r="O578" s="50">
        <v>61994</v>
      </c>
      <c r="P578" s="50">
        <v>124</v>
      </c>
      <c r="Q578" s="50" t="s">
        <v>364</v>
      </c>
      <c r="R578" s="50">
        <v>0</v>
      </c>
      <c r="S578" s="50">
        <v>0</v>
      </c>
      <c r="U578" s="50">
        <v>0</v>
      </c>
      <c r="V578" s="50">
        <v>0</v>
      </c>
      <c r="X578" s="50" t="s">
        <v>102</v>
      </c>
      <c r="Y578" s="50" t="s">
        <v>103</v>
      </c>
      <c r="Z578" s="50" t="s">
        <v>104</v>
      </c>
      <c r="AB578" s="50" t="s">
        <v>8708</v>
      </c>
      <c r="AC578" s="50" t="s">
        <v>13229</v>
      </c>
      <c r="AD578" s="50" t="s">
        <v>5651</v>
      </c>
      <c r="AE578" s="50" t="s">
        <v>13230</v>
      </c>
      <c r="AF578" s="50" t="s">
        <v>109</v>
      </c>
      <c r="AG578" s="50" t="s">
        <v>102</v>
      </c>
      <c r="AH578" s="50" t="s">
        <v>109</v>
      </c>
      <c r="AI578" s="50" t="s">
        <v>102</v>
      </c>
      <c r="AJ578" s="50" t="s">
        <v>13231</v>
      </c>
      <c r="AK578" s="50" t="s">
        <v>12737</v>
      </c>
      <c r="AL578" s="50" t="s">
        <v>11911</v>
      </c>
      <c r="AM578" s="50" t="s">
        <v>13232</v>
      </c>
      <c r="AN578" s="50" t="s">
        <v>13233</v>
      </c>
      <c r="AO578" s="50" t="s">
        <v>102</v>
      </c>
      <c r="AP578" s="50" t="s">
        <v>2307</v>
      </c>
      <c r="AQ578" s="50" t="s">
        <v>2307</v>
      </c>
      <c r="AV578" s="50" t="s">
        <v>318</v>
      </c>
      <c r="AW578" s="50" t="s">
        <v>118</v>
      </c>
      <c r="AX578" s="50" t="s">
        <v>102</v>
      </c>
      <c r="AY578" s="50" t="s">
        <v>119</v>
      </c>
      <c r="BC578" s="50" t="s">
        <v>120</v>
      </c>
      <c r="BD578" s="50" t="s">
        <v>409</v>
      </c>
      <c r="BE578" s="50" t="s">
        <v>410</v>
      </c>
      <c r="BF578" s="50" t="s">
        <v>212</v>
      </c>
      <c r="BG578" s="50" t="s">
        <v>410</v>
      </c>
      <c r="BH578" s="50" t="s">
        <v>124</v>
      </c>
      <c r="BI578" s="50" t="s">
        <v>11932</v>
      </c>
      <c r="BJ578" s="50" t="s">
        <v>12047</v>
      </c>
      <c r="BK578" s="50" t="s">
        <v>127</v>
      </c>
      <c r="BL578" s="50" t="s">
        <v>13234</v>
      </c>
      <c r="BM578" s="50" t="s">
        <v>2355</v>
      </c>
      <c r="BN578" s="50" t="s">
        <v>13235</v>
      </c>
      <c r="BO578" s="50" t="s">
        <v>13216</v>
      </c>
      <c r="BP578" s="50" t="s">
        <v>866</v>
      </c>
      <c r="BQ578" s="50" t="s">
        <v>132</v>
      </c>
      <c r="BR578" s="50" t="s">
        <v>867</v>
      </c>
      <c r="BS578" s="50" t="s">
        <v>868</v>
      </c>
      <c r="BT578" s="50" t="s">
        <v>222</v>
      </c>
      <c r="BV578" s="50" t="s">
        <v>13236</v>
      </c>
      <c r="BW578" s="50" t="s">
        <v>2312</v>
      </c>
      <c r="BX578" s="50" t="s">
        <v>598</v>
      </c>
      <c r="BY578" s="50" t="s">
        <v>2313</v>
      </c>
      <c r="BZ578" s="50" t="s">
        <v>2314</v>
      </c>
      <c r="CA578" s="50" t="s">
        <v>2358</v>
      </c>
      <c r="CB578" s="50" t="s">
        <v>13237</v>
      </c>
      <c r="CC578" s="50" t="s">
        <v>13238</v>
      </c>
      <c r="CD578" s="50" t="s">
        <v>13239</v>
      </c>
      <c r="CE578" s="50" t="s">
        <v>13237</v>
      </c>
      <c r="CF578" s="50" t="s">
        <v>13238</v>
      </c>
      <c r="CG578" s="50" t="s">
        <v>13239</v>
      </c>
      <c r="CH578" s="50" t="s">
        <v>102</v>
      </c>
      <c r="CI578" s="50" t="s">
        <v>2359</v>
      </c>
      <c r="CK578" s="50" t="s">
        <v>2360</v>
      </c>
      <c r="CM578" s="50" t="s">
        <v>409</v>
      </c>
      <c r="CN578" s="50" t="s">
        <v>410</v>
      </c>
      <c r="CO578" s="50" t="s">
        <v>2360</v>
      </c>
      <c r="CP578" s="50" t="s">
        <v>2319</v>
      </c>
      <c r="CQ578" s="50" t="s">
        <v>2359</v>
      </c>
      <c r="CR578" s="50" t="s">
        <v>2359</v>
      </c>
      <c r="CS578" s="50" t="s">
        <v>26040</v>
      </c>
    </row>
    <row r="579" spans="1:97" hidden="1">
      <c r="A579" s="50" t="s">
        <v>337</v>
      </c>
      <c r="B579" s="50">
        <v>5042891</v>
      </c>
      <c r="C579" s="50" t="e">
        <f>VLOOKUP(B579,'Drop schools 2026'!B:C,2,0)</f>
        <v>#N/A</v>
      </c>
      <c r="D579" s="50" t="s">
        <v>622</v>
      </c>
      <c r="E579" s="50" t="s">
        <v>985</v>
      </c>
      <c r="F579" s="50" t="s">
        <v>20375</v>
      </c>
      <c r="G579" s="50" t="e">
        <f>VLOOKUP(B579,aa!B:F,5,0)</f>
        <v>#N/A</v>
      </c>
      <c r="H579" s="50" t="e">
        <f>VLOOKUP(B579,aa!B:J,9,0)</f>
        <v>#N/A</v>
      </c>
      <c r="I579" s="50" t="e">
        <f>VLOOKUP(B579,aa!B:L,11,0)</f>
        <v>#N/A</v>
      </c>
      <c r="J579" s="50" t="e">
        <f>VLOOKUP(B579,aa!B:O,14,0)</f>
        <v>#N/A</v>
      </c>
      <c r="K579" s="50" t="e">
        <f>VLOOKUP(B579,aa!B:R,17,0)</f>
        <v>#N/A</v>
      </c>
      <c r="L579" s="50" t="s">
        <v>97</v>
      </c>
      <c r="M579" s="50">
        <v>59389</v>
      </c>
      <c r="N579" s="50">
        <v>59389</v>
      </c>
      <c r="O579" s="50">
        <v>59389</v>
      </c>
      <c r="P579" s="50">
        <v>108</v>
      </c>
      <c r="Q579" s="50" t="s">
        <v>3431</v>
      </c>
      <c r="R579" s="50">
        <v>0</v>
      </c>
      <c r="S579" s="50">
        <v>0</v>
      </c>
      <c r="U579" s="50">
        <v>0</v>
      </c>
      <c r="V579" s="50">
        <v>0</v>
      </c>
      <c r="X579" s="50" t="s">
        <v>102</v>
      </c>
      <c r="Y579" s="50" t="s">
        <v>103</v>
      </c>
      <c r="Z579" s="50" t="s">
        <v>104</v>
      </c>
      <c r="AB579" s="50" t="s">
        <v>11888</v>
      </c>
      <c r="AC579" s="50" t="s">
        <v>20376</v>
      </c>
      <c r="AD579" s="50" t="s">
        <v>12327</v>
      </c>
      <c r="AE579" s="50" t="s">
        <v>20376</v>
      </c>
      <c r="AF579" s="50" t="s">
        <v>109</v>
      </c>
      <c r="AG579" s="50" t="s">
        <v>102</v>
      </c>
      <c r="AH579" s="50" t="s">
        <v>109</v>
      </c>
      <c r="AI579" s="50" t="s">
        <v>102</v>
      </c>
      <c r="AJ579" s="50" t="s">
        <v>102</v>
      </c>
      <c r="AK579" s="50" t="s">
        <v>4563</v>
      </c>
      <c r="AL579" s="50" t="s">
        <v>4563</v>
      </c>
      <c r="AM579" s="50" t="s">
        <v>20377</v>
      </c>
      <c r="AN579" s="50" t="s">
        <v>5650</v>
      </c>
      <c r="AO579" s="50" t="s">
        <v>20378</v>
      </c>
      <c r="AP579" s="50" t="s">
        <v>4840</v>
      </c>
      <c r="AQ579" s="50" t="s">
        <v>4840</v>
      </c>
      <c r="AV579" s="50" t="s">
        <v>117</v>
      </c>
      <c r="AW579" s="50" t="s">
        <v>118</v>
      </c>
      <c r="AX579" s="50" t="s">
        <v>102</v>
      </c>
      <c r="AY579" s="50" t="s">
        <v>119</v>
      </c>
      <c r="BC579" s="50" t="s">
        <v>120</v>
      </c>
      <c r="BD579" s="50" t="s">
        <v>20379</v>
      </c>
      <c r="BE579" s="50" t="s">
        <v>621</v>
      </c>
      <c r="BF579" s="50" t="s">
        <v>622</v>
      </c>
      <c r="BG579" s="50" t="s">
        <v>976</v>
      </c>
      <c r="BH579" s="50" t="s">
        <v>124</v>
      </c>
      <c r="BI579" s="50" t="s">
        <v>11888</v>
      </c>
      <c r="BJ579" s="50" t="s">
        <v>14455</v>
      </c>
      <c r="BK579" s="50" t="s">
        <v>127</v>
      </c>
      <c r="BL579" s="50" t="s">
        <v>20380</v>
      </c>
      <c r="BM579" s="50" t="s">
        <v>20381</v>
      </c>
      <c r="BN579" s="50" t="s">
        <v>20382</v>
      </c>
      <c r="BO579" s="50" t="s">
        <v>13602</v>
      </c>
      <c r="BP579" s="50" t="s">
        <v>18506</v>
      </c>
      <c r="BQ579" s="50" t="s">
        <v>132</v>
      </c>
      <c r="BR579" s="50" t="s">
        <v>18507</v>
      </c>
      <c r="BS579" s="50" t="s">
        <v>18508</v>
      </c>
      <c r="BT579" s="50" t="s">
        <v>984</v>
      </c>
      <c r="BV579" s="50" t="s">
        <v>20383</v>
      </c>
      <c r="BW579" s="50" t="s">
        <v>20384</v>
      </c>
      <c r="BX579" s="50" t="s">
        <v>138</v>
      </c>
      <c r="BY579" s="50" t="s">
        <v>20385</v>
      </c>
      <c r="BZ579" s="50" t="s">
        <v>20386</v>
      </c>
      <c r="CA579" s="50" t="s">
        <v>20385</v>
      </c>
      <c r="CB579" s="50" t="s">
        <v>20384</v>
      </c>
      <c r="CC579" s="50" t="s">
        <v>20385</v>
      </c>
      <c r="CD579" s="50" t="s">
        <v>20386</v>
      </c>
      <c r="CE579" s="50" t="s">
        <v>20384</v>
      </c>
      <c r="CF579" s="50" t="s">
        <v>20385</v>
      </c>
      <c r="CG579" s="50" t="s">
        <v>20386</v>
      </c>
      <c r="CH579" s="50" t="s">
        <v>1221</v>
      </c>
      <c r="CI579" s="50" t="s">
        <v>20387</v>
      </c>
      <c r="CK579" s="50" t="s">
        <v>18459</v>
      </c>
      <c r="CL579" s="50" t="s">
        <v>20388</v>
      </c>
      <c r="CM579" s="50" t="s">
        <v>20379</v>
      </c>
      <c r="CN579" s="50" t="s">
        <v>621</v>
      </c>
      <c r="CO579" s="50" t="s">
        <v>18459</v>
      </c>
      <c r="CQ579" s="50" t="s">
        <v>20389</v>
      </c>
      <c r="CR579" s="50" t="s">
        <v>20389</v>
      </c>
      <c r="CS579" s="50" t="s">
        <v>26040</v>
      </c>
    </row>
    <row r="580" spans="1:97" hidden="1">
      <c r="A580" s="50" t="s">
        <v>149</v>
      </c>
      <c r="B580" s="50">
        <v>24299</v>
      </c>
      <c r="C580" s="50" t="e">
        <f>VLOOKUP(B580,'Drop schools 2026'!B:C,2,0)</f>
        <v>#N/A</v>
      </c>
      <c r="D580" s="50" t="s">
        <v>212</v>
      </c>
      <c r="E580" s="50" t="s">
        <v>11947</v>
      </c>
      <c r="F580" s="50" t="s">
        <v>3300</v>
      </c>
      <c r="G580" s="50" t="e">
        <f>VLOOKUP(B580,aa!B:F,5,0)</f>
        <v>#N/A</v>
      </c>
      <c r="H580" s="50" t="e">
        <f>VLOOKUP(B580,aa!B:J,9,0)</f>
        <v>#N/A</v>
      </c>
      <c r="I580" s="50" t="e">
        <f>VLOOKUP(B580,aa!B:L,11,0)</f>
        <v>#N/A</v>
      </c>
      <c r="J580" s="50" t="e">
        <f>VLOOKUP(B580,aa!B:O,14,0)</f>
        <v>#N/A</v>
      </c>
      <c r="K580" s="50" t="e">
        <f>VLOOKUP(B580,aa!B:R,17,0)</f>
        <v>#N/A</v>
      </c>
      <c r="L580" s="50" t="s">
        <v>97</v>
      </c>
      <c r="M580" s="50">
        <v>55436</v>
      </c>
      <c r="N580" s="50">
        <v>55436</v>
      </c>
      <c r="O580" s="50">
        <v>55436</v>
      </c>
      <c r="P580" s="50">
        <v>72</v>
      </c>
      <c r="Q580" s="50" t="s">
        <v>13937</v>
      </c>
      <c r="R580" s="50">
        <v>0</v>
      </c>
      <c r="S580" s="50">
        <v>0</v>
      </c>
      <c r="U580" s="50">
        <v>0</v>
      </c>
      <c r="V580" s="50">
        <v>0</v>
      </c>
      <c r="X580" s="50" t="s">
        <v>102</v>
      </c>
      <c r="Y580" s="50" t="s">
        <v>275</v>
      </c>
      <c r="AA580" s="50" t="s">
        <v>12911</v>
      </c>
      <c r="AB580" s="50" t="s">
        <v>109</v>
      </c>
      <c r="AC580" s="50" t="s">
        <v>102</v>
      </c>
      <c r="AD580" s="50" t="s">
        <v>109</v>
      </c>
      <c r="AE580" s="50" t="s">
        <v>102</v>
      </c>
      <c r="AF580" s="50" t="s">
        <v>109</v>
      </c>
      <c r="AG580" s="50" t="s">
        <v>102</v>
      </c>
      <c r="AH580" s="50" t="s">
        <v>109</v>
      </c>
      <c r="AI580" s="50" t="s">
        <v>102</v>
      </c>
      <c r="AJ580" s="50" t="s">
        <v>102</v>
      </c>
      <c r="AK580" s="50" t="s">
        <v>1165</v>
      </c>
      <c r="AL580" s="50" t="s">
        <v>1165</v>
      </c>
      <c r="AM580" s="50" t="s">
        <v>13938</v>
      </c>
      <c r="AN580" s="50" t="s">
        <v>13939</v>
      </c>
      <c r="AO580" s="50" t="s">
        <v>13940</v>
      </c>
      <c r="AP580" s="50" t="s">
        <v>13941</v>
      </c>
      <c r="AQ580" s="50" t="s">
        <v>13941</v>
      </c>
      <c r="AV580" s="50" t="s">
        <v>117</v>
      </c>
      <c r="AW580" s="50" t="s">
        <v>118</v>
      </c>
      <c r="AX580" s="50" t="s">
        <v>102</v>
      </c>
      <c r="AY580" s="50" t="s">
        <v>119</v>
      </c>
      <c r="BC580" s="50" t="s">
        <v>120</v>
      </c>
      <c r="BD580" s="50" t="s">
        <v>920</v>
      </c>
      <c r="BE580" s="50" t="s">
        <v>211</v>
      </c>
      <c r="BF580" s="50" t="s">
        <v>212</v>
      </c>
      <c r="BG580" s="50" t="s">
        <v>213</v>
      </c>
      <c r="BH580" s="50" t="s">
        <v>124</v>
      </c>
      <c r="BI580" s="50" t="s">
        <v>11932</v>
      </c>
      <c r="BJ580" s="50" t="s">
        <v>11960</v>
      </c>
      <c r="BK580" s="50" t="s">
        <v>127</v>
      </c>
      <c r="BL580" s="50" t="s">
        <v>13942</v>
      </c>
      <c r="BM580" s="50" t="s">
        <v>3308</v>
      </c>
      <c r="BN580" s="50" t="s">
        <v>13943</v>
      </c>
      <c r="BO580" s="50" t="s">
        <v>12911</v>
      </c>
      <c r="BP580" s="50" t="s">
        <v>1880</v>
      </c>
      <c r="BQ580" s="50" t="s">
        <v>180</v>
      </c>
      <c r="BR580" s="50" t="s">
        <v>1882</v>
      </c>
      <c r="BS580" s="50" t="s">
        <v>1883</v>
      </c>
      <c r="BT580" s="50" t="s">
        <v>2151</v>
      </c>
      <c r="BV580" s="50" t="s">
        <v>13944</v>
      </c>
      <c r="BW580" s="50" t="s">
        <v>13945</v>
      </c>
      <c r="BY580" s="50" t="s">
        <v>3312</v>
      </c>
      <c r="BZ580" s="50" t="s">
        <v>3313</v>
      </c>
      <c r="CA580" s="50" t="s">
        <v>3314</v>
      </c>
      <c r="CB580" s="50" t="s">
        <v>13945</v>
      </c>
      <c r="CC580" s="50" t="s">
        <v>3312</v>
      </c>
      <c r="CD580" s="50" t="s">
        <v>3313</v>
      </c>
      <c r="CE580" s="50" t="s">
        <v>13946</v>
      </c>
      <c r="CF580" s="50" t="s">
        <v>13947</v>
      </c>
      <c r="CG580" s="50" t="s">
        <v>13948</v>
      </c>
      <c r="CH580" s="50" t="s">
        <v>102</v>
      </c>
      <c r="CI580" s="50" t="s">
        <v>3315</v>
      </c>
      <c r="CK580" s="50" t="s">
        <v>2248</v>
      </c>
      <c r="CM580" s="50" t="s">
        <v>920</v>
      </c>
      <c r="CN580" s="50" t="s">
        <v>211</v>
      </c>
      <c r="CO580" s="50" t="s">
        <v>2248</v>
      </c>
      <c r="CQ580" s="50" t="s">
        <v>3315</v>
      </c>
      <c r="CR580" s="50" t="s">
        <v>3315</v>
      </c>
      <c r="CS580" s="50" t="s">
        <v>26044</v>
      </c>
    </row>
    <row r="581" spans="1:97" hidden="1">
      <c r="A581" s="50" t="s">
        <v>337</v>
      </c>
      <c r="B581" s="50">
        <v>5054276</v>
      </c>
      <c r="C581" s="50" t="e">
        <f>VLOOKUP(B581,'Drop schools 2026'!B:C,2,0)</f>
        <v>#N/A</v>
      </c>
      <c r="D581" s="50" t="s">
        <v>212</v>
      </c>
      <c r="E581" s="50" t="s">
        <v>11995</v>
      </c>
      <c r="F581" s="50" t="s">
        <v>20579</v>
      </c>
      <c r="G581" s="50" t="e">
        <f>VLOOKUP(B581,aa!B:F,5,0)</f>
        <v>#N/A</v>
      </c>
      <c r="H581" s="50" t="e">
        <f>VLOOKUP(B581,aa!B:J,9,0)</f>
        <v>#N/A</v>
      </c>
      <c r="I581" s="50" t="e">
        <f>VLOOKUP(B581,aa!B:L,11,0)</f>
        <v>#N/A</v>
      </c>
      <c r="J581" s="50" t="e">
        <f>VLOOKUP(B581,aa!B:O,14,0)</f>
        <v>#N/A</v>
      </c>
      <c r="K581" s="50" t="e">
        <f>VLOOKUP(B581,aa!B:R,17,0)</f>
        <v>#N/A</v>
      </c>
      <c r="L581" s="50" t="s">
        <v>152</v>
      </c>
      <c r="M581" s="50">
        <v>54764</v>
      </c>
      <c r="N581" s="50">
        <v>54764</v>
      </c>
      <c r="O581" s="50">
        <v>0</v>
      </c>
      <c r="P581" s="50">
        <v>0</v>
      </c>
      <c r="R581" s="50">
        <v>54764</v>
      </c>
      <c r="S581" s="50">
        <v>19</v>
      </c>
      <c r="T581" s="50" t="s">
        <v>1263</v>
      </c>
      <c r="U581" s="50">
        <v>0</v>
      </c>
      <c r="V581" s="50">
        <v>0</v>
      </c>
      <c r="X581" s="50" t="s">
        <v>102</v>
      </c>
      <c r="Y581" s="50" t="s">
        <v>275</v>
      </c>
      <c r="AA581" s="50" t="s">
        <v>126</v>
      </c>
      <c r="AB581" s="50" t="s">
        <v>109</v>
      </c>
      <c r="AC581" s="50" t="s">
        <v>102</v>
      </c>
      <c r="AD581" s="50" t="s">
        <v>109</v>
      </c>
      <c r="AE581" s="50" t="s">
        <v>102</v>
      </c>
      <c r="AF581" s="50" t="s">
        <v>109</v>
      </c>
      <c r="AG581" s="50" t="s">
        <v>102</v>
      </c>
      <c r="AH581" s="50" t="s">
        <v>109</v>
      </c>
      <c r="AI581" s="50" t="s">
        <v>102</v>
      </c>
      <c r="AJ581" s="50" t="s">
        <v>102</v>
      </c>
      <c r="AK581" s="50" t="s">
        <v>20580</v>
      </c>
      <c r="AL581" s="50" t="s">
        <v>20580</v>
      </c>
      <c r="AM581" s="50" t="s">
        <v>20581</v>
      </c>
      <c r="AN581" s="50" t="s">
        <v>907</v>
      </c>
      <c r="AO581" s="50" t="s">
        <v>20582</v>
      </c>
      <c r="AP581" s="50" t="s">
        <v>20583</v>
      </c>
      <c r="AQ581" s="50" t="s">
        <v>20584</v>
      </c>
      <c r="AR581" s="50" t="s">
        <v>343</v>
      </c>
      <c r="AV581" s="50" t="s">
        <v>102</v>
      </c>
      <c r="AX581" s="50" t="s">
        <v>1384</v>
      </c>
      <c r="AY581" s="50" t="s">
        <v>447</v>
      </c>
      <c r="AZ581" s="50" t="s">
        <v>1138</v>
      </c>
      <c r="BA581" s="50" t="s">
        <v>118</v>
      </c>
      <c r="BC581" s="50" t="s">
        <v>120</v>
      </c>
      <c r="BD581" s="50" t="s">
        <v>20585</v>
      </c>
      <c r="BE581" s="50" t="s">
        <v>285</v>
      </c>
      <c r="BF581" s="50" t="s">
        <v>212</v>
      </c>
      <c r="BG581" s="50" t="s">
        <v>286</v>
      </c>
      <c r="BH581" s="50" t="s">
        <v>124</v>
      </c>
      <c r="BI581" s="50" t="s">
        <v>11959</v>
      </c>
      <c r="BJ581" s="50" t="s">
        <v>11960</v>
      </c>
      <c r="BK581" s="50" t="s">
        <v>127</v>
      </c>
      <c r="BL581" s="50" t="s">
        <v>20586</v>
      </c>
      <c r="BM581" s="50" t="s">
        <v>20587</v>
      </c>
      <c r="BN581" s="50" t="s">
        <v>20588</v>
      </c>
      <c r="BO581" s="50" t="s">
        <v>8488</v>
      </c>
      <c r="BP581" s="50" t="s">
        <v>3997</v>
      </c>
      <c r="BQ581" s="50" t="s">
        <v>505</v>
      </c>
      <c r="BR581" s="50" t="s">
        <v>3998</v>
      </c>
      <c r="BS581" s="50" t="s">
        <v>3999</v>
      </c>
      <c r="BT581" s="50" t="s">
        <v>3362</v>
      </c>
      <c r="BV581" s="50" t="s">
        <v>20589</v>
      </c>
      <c r="BW581" s="50" t="s">
        <v>20590</v>
      </c>
      <c r="BX581" s="50" t="s">
        <v>354</v>
      </c>
      <c r="BY581" s="50" t="s">
        <v>20591</v>
      </c>
      <c r="BZ581" s="50" t="s">
        <v>20592</v>
      </c>
      <c r="CA581" s="50" t="s">
        <v>20591</v>
      </c>
      <c r="CB581" s="50" t="s">
        <v>20593</v>
      </c>
      <c r="CC581" s="50" t="s">
        <v>20591</v>
      </c>
      <c r="CD581" s="50" t="s">
        <v>20592</v>
      </c>
      <c r="CE581" s="50" t="s">
        <v>20593</v>
      </c>
      <c r="CF581" s="50" t="s">
        <v>20591</v>
      </c>
      <c r="CG581" s="50" t="s">
        <v>20592</v>
      </c>
      <c r="CH581" s="50" t="s">
        <v>573</v>
      </c>
      <c r="CI581" s="50" t="s">
        <v>20594</v>
      </c>
      <c r="CK581" s="50" t="s">
        <v>20595</v>
      </c>
      <c r="CL581" s="50" t="s">
        <v>20594</v>
      </c>
      <c r="CM581" s="50" t="s">
        <v>20585</v>
      </c>
      <c r="CN581" s="50" t="s">
        <v>285</v>
      </c>
      <c r="CO581" s="50" t="s">
        <v>20595</v>
      </c>
      <c r="CQ581" s="50" t="s">
        <v>20594</v>
      </c>
      <c r="CR581" s="50" t="s">
        <v>20594</v>
      </c>
      <c r="CS581" s="50" t="s">
        <v>26042</v>
      </c>
    </row>
    <row r="582" spans="1:97" hidden="1">
      <c r="A582" s="50" t="s">
        <v>337</v>
      </c>
      <c r="B582" s="50">
        <v>5063250</v>
      </c>
      <c r="C582" s="50" t="e">
        <f>VLOOKUP(B582,'Drop schools 2026'!B:C,2,0)</f>
        <v>#N/A</v>
      </c>
      <c r="D582" s="50" t="s">
        <v>174</v>
      </c>
      <c r="E582" s="50" t="s">
        <v>20687</v>
      </c>
      <c r="F582" s="50" t="s">
        <v>20686</v>
      </c>
      <c r="G582" s="50" t="e">
        <f>VLOOKUP(B582,aa!B:F,5,0)</f>
        <v>#N/A</v>
      </c>
      <c r="H582" s="50" t="e">
        <f>VLOOKUP(B582,aa!B:J,9,0)</f>
        <v>#N/A</v>
      </c>
      <c r="I582" s="50" t="e">
        <f>VLOOKUP(B582,aa!B:L,11,0)</f>
        <v>#N/A</v>
      </c>
      <c r="J582" s="50" t="e">
        <f>VLOOKUP(B582,aa!B:O,14,0)</f>
        <v>#N/A</v>
      </c>
      <c r="K582" s="50" t="e">
        <f>VLOOKUP(B582,aa!B:R,17,0)</f>
        <v>#N/A</v>
      </c>
      <c r="L582" s="50" t="s">
        <v>9078</v>
      </c>
      <c r="M582" s="50">
        <v>54094</v>
      </c>
      <c r="N582" s="50">
        <v>60896</v>
      </c>
      <c r="O582" s="50">
        <v>8670</v>
      </c>
      <c r="P582" s="50">
        <v>23</v>
      </c>
      <c r="Q582" s="50" t="s">
        <v>20689</v>
      </c>
      <c r="R582" s="50">
        <v>7637</v>
      </c>
      <c r="S582" s="50">
        <v>21</v>
      </c>
      <c r="T582" s="50" t="s">
        <v>20690</v>
      </c>
      <c r="U582" s="50">
        <v>37787</v>
      </c>
      <c r="V582" s="50">
        <v>36</v>
      </c>
      <c r="W582" s="50" t="s">
        <v>20691</v>
      </c>
      <c r="X582" s="50" t="s">
        <v>102</v>
      </c>
      <c r="Y582" s="50" t="s">
        <v>275</v>
      </c>
      <c r="AA582" s="50" t="s">
        <v>20692</v>
      </c>
      <c r="AB582" s="50" t="s">
        <v>109</v>
      </c>
      <c r="AC582" s="50" t="s">
        <v>102</v>
      </c>
      <c r="AD582" s="50" t="s">
        <v>109</v>
      </c>
      <c r="AE582" s="50" t="s">
        <v>102</v>
      </c>
      <c r="AF582" s="50" t="s">
        <v>109</v>
      </c>
      <c r="AG582" s="50" t="s">
        <v>102</v>
      </c>
      <c r="AH582" s="50" t="s">
        <v>109</v>
      </c>
      <c r="AI582" s="50" t="s">
        <v>102</v>
      </c>
      <c r="AJ582" s="50" t="s">
        <v>102</v>
      </c>
      <c r="AM582" s="50" t="s">
        <v>20693</v>
      </c>
      <c r="AN582" s="50" t="s">
        <v>102</v>
      </c>
      <c r="AO582" s="50" t="s">
        <v>20693</v>
      </c>
      <c r="AP582" s="50" t="s">
        <v>20694</v>
      </c>
      <c r="AQ582" s="50" t="s">
        <v>20694</v>
      </c>
      <c r="AV582" s="50" t="s">
        <v>6700</v>
      </c>
      <c r="AW582" s="50" t="s">
        <v>250</v>
      </c>
      <c r="AX582" s="50" t="s">
        <v>1103</v>
      </c>
      <c r="AY582" s="50" t="s">
        <v>249</v>
      </c>
      <c r="BA582" s="50" t="s">
        <v>250</v>
      </c>
      <c r="BB582" s="50" t="s">
        <v>250</v>
      </c>
      <c r="BC582" s="50" t="s">
        <v>1964</v>
      </c>
      <c r="BD582" s="50" t="s">
        <v>375</v>
      </c>
      <c r="BE582" s="50" t="s">
        <v>376</v>
      </c>
      <c r="BF582" s="50" t="s">
        <v>174</v>
      </c>
      <c r="BG582" s="50" t="s">
        <v>376</v>
      </c>
      <c r="BH582" s="50" t="s">
        <v>124</v>
      </c>
      <c r="BI582" s="50" t="s">
        <v>20695</v>
      </c>
      <c r="BJ582" s="50" t="s">
        <v>20696</v>
      </c>
      <c r="BK582" s="50" t="s">
        <v>127</v>
      </c>
      <c r="BL582" s="50" t="s">
        <v>20697</v>
      </c>
      <c r="BM582" s="50" t="s">
        <v>20698</v>
      </c>
      <c r="BN582" s="50" t="s">
        <v>20699</v>
      </c>
      <c r="BO582" s="50" t="s">
        <v>20688</v>
      </c>
      <c r="BP582" s="50" t="s">
        <v>179</v>
      </c>
      <c r="BQ582" s="50" t="s">
        <v>7992</v>
      </c>
      <c r="BR582" s="50" t="s">
        <v>181</v>
      </c>
      <c r="BS582" s="50" t="s">
        <v>182</v>
      </c>
      <c r="BT582" s="50" t="s">
        <v>1858</v>
      </c>
      <c r="BV582" s="50" t="s">
        <v>20700</v>
      </c>
      <c r="BW582" s="50" t="s">
        <v>20701</v>
      </c>
      <c r="BX582" s="50" t="s">
        <v>138</v>
      </c>
      <c r="BY582" s="50" t="s">
        <v>20702</v>
      </c>
      <c r="BZ582" s="50" t="s">
        <v>20703</v>
      </c>
      <c r="CA582" s="50" t="s">
        <v>20704</v>
      </c>
      <c r="CB582" s="50" t="s">
        <v>20701</v>
      </c>
      <c r="CC582" s="50" t="s">
        <v>20705</v>
      </c>
      <c r="CD582" s="50" t="s">
        <v>20703</v>
      </c>
      <c r="CE582" s="50" t="s">
        <v>20701</v>
      </c>
      <c r="CF582" s="50" t="s">
        <v>20705</v>
      </c>
      <c r="CG582" s="50" t="s">
        <v>20703</v>
      </c>
      <c r="CH582" s="50" t="s">
        <v>102</v>
      </c>
      <c r="CI582" s="50" t="s">
        <v>20686</v>
      </c>
      <c r="CK582" s="50" t="s">
        <v>20706</v>
      </c>
      <c r="CM582" s="50" t="s">
        <v>375</v>
      </c>
      <c r="CN582" s="50" t="s">
        <v>376</v>
      </c>
      <c r="CO582" s="50" t="s">
        <v>20706</v>
      </c>
      <c r="CQ582" s="50" t="s">
        <v>20707</v>
      </c>
      <c r="CR582" s="50" t="s">
        <v>20707</v>
      </c>
      <c r="CS582" s="50" t="s">
        <v>26048</v>
      </c>
    </row>
    <row r="583" spans="1:97" hidden="1">
      <c r="A583" s="50" t="s">
        <v>337</v>
      </c>
      <c r="B583" s="50">
        <v>5018392</v>
      </c>
      <c r="C583" s="50" t="e">
        <f>VLOOKUP(B583,'Drop schools 2026'!B:C,2,0)</f>
        <v>#N/A</v>
      </c>
      <c r="D583" s="50" t="s">
        <v>174</v>
      </c>
      <c r="E583" s="50" t="s">
        <v>12155</v>
      </c>
      <c r="F583" s="50" t="s">
        <v>19689</v>
      </c>
      <c r="G583" s="50" t="e">
        <f>VLOOKUP(B583,aa!B:F,5,0)</f>
        <v>#N/A</v>
      </c>
      <c r="H583" s="50" t="e">
        <f>VLOOKUP(B583,aa!B:J,9,0)</f>
        <v>#N/A</v>
      </c>
      <c r="I583" s="50" t="e">
        <f>VLOOKUP(B583,aa!B:L,11,0)</f>
        <v>#N/A</v>
      </c>
      <c r="J583" s="50" t="e">
        <f>VLOOKUP(B583,aa!B:O,14,0)</f>
        <v>#N/A</v>
      </c>
      <c r="K583" s="50" t="e">
        <f>VLOOKUP(B583,aa!B:R,17,0)</f>
        <v>#N/A</v>
      </c>
      <c r="L583" s="50" t="s">
        <v>152</v>
      </c>
      <c r="M583" s="50">
        <v>53100</v>
      </c>
      <c r="N583" s="50">
        <v>53100</v>
      </c>
      <c r="O583" s="50">
        <v>0</v>
      </c>
      <c r="P583" s="50">
        <v>0</v>
      </c>
      <c r="R583" s="50">
        <v>53100</v>
      </c>
      <c r="S583" s="50">
        <v>59</v>
      </c>
      <c r="T583" s="50" t="s">
        <v>2451</v>
      </c>
      <c r="U583" s="50">
        <v>0</v>
      </c>
      <c r="V583" s="50">
        <v>0</v>
      </c>
      <c r="X583" s="50" t="s">
        <v>102</v>
      </c>
      <c r="Y583" s="50" t="s">
        <v>275</v>
      </c>
      <c r="AA583" s="50" t="s">
        <v>11954</v>
      </c>
      <c r="AB583" s="50" t="s">
        <v>109</v>
      </c>
      <c r="AC583" s="50" t="s">
        <v>102</v>
      </c>
      <c r="AD583" s="50" t="s">
        <v>109</v>
      </c>
      <c r="AE583" s="50" t="s">
        <v>102</v>
      </c>
      <c r="AF583" s="50" t="s">
        <v>109</v>
      </c>
      <c r="AG583" s="50" t="s">
        <v>102</v>
      </c>
      <c r="AH583" s="50" t="s">
        <v>109</v>
      </c>
      <c r="AI583" s="50" t="s">
        <v>102</v>
      </c>
      <c r="AJ583" s="50" t="s">
        <v>102</v>
      </c>
      <c r="AK583" s="50" t="s">
        <v>4374</v>
      </c>
      <c r="AL583" s="50" t="s">
        <v>4374</v>
      </c>
      <c r="AM583" s="50" t="s">
        <v>19690</v>
      </c>
      <c r="AN583" s="50" t="s">
        <v>1594</v>
      </c>
      <c r="AO583" s="50" t="s">
        <v>19691</v>
      </c>
      <c r="AP583" s="50" t="s">
        <v>116</v>
      </c>
      <c r="AQ583" s="50" t="s">
        <v>116</v>
      </c>
      <c r="AV583" s="50" t="s">
        <v>102</v>
      </c>
      <c r="AX583" s="50" t="s">
        <v>104</v>
      </c>
      <c r="AY583" s="50" t="s">
        <v>447</v>
      </c>
      <c r="AZ583" s="50" t="s">
        <v>170</v>
      </c>
      <c r="BA583" s="50" t="s">
        <v>118</v>
      </c>
      <c r="BC583" s="50" t="s">
        <v>120</v>
      </c>
      <c r="BD583" s="50" t="s">
        <v>19692</v>
      </c>
      <c r="BE583" s="50" t="s">
        <v>173</v>
      </c>
      <c r="BF583" s="50" t="s">
        <v>174</v>
      </c>
      <c r="BG583" s="50" t="s">
        <v>173</v>
      </c>
      <c r="BH583" s="50" t="s">
        <v>124</v>
      </c>
      <c r="BI583" s="50" t="s">
        <v>12023</v>
      </c>
      <c r="BJ583" s="50" t="s">
        <v>11889</v>
      </c>
      <c r="BK583" s="50" t="s">
        <v>127</v>
      </c>
      <c r="BL583" s="50" t="s">
        <v>19693</v>
      </c>
      <c r="BM583" s="50" t="s">
        <v>19694</v>
      </c>
      <c r="BN583" s="50" t="s">
        <v>19695</v>
      </c>
      <c r="BO583" s="50" t="s">
        <v>14381</v>
      </c>
      <c r="BP583" s="50" t="s">
        <v>9823</v>
      </c>
      <c r="BQ583" s="50" t="s">
        <v>505</v>
      </c>
      <c r="BR583" s="50" t="s">
        <v>9824</v>
      </c>
      <c r="BS583" s="50" t="s">
        <v>9825</v>
      </c>
      <c r="BT583" s="50" t="s">
        <v>1176</v>
      </c>
      <c r="BV583" s="50" t="s">
        <v>19696</v>
      </c>
      <c r="BW583" s="50" t="s">
        <v>19697</v>
      </c>
      <c r="BX583" s="50" t="s">
        <v>138</v>
      </c>
      <c r="BY583" s="50" t="s">
        <v>19698</v>
      </c>
      <c r="BZ583" s="50" t="s">
        <v>19699</v>
      </c>
      <c r="CA583" s="50" t="s">
        <v>19698</v>
      </c>
      <c r="CB583" s="50" t="s">
        <v>19697</v>
      </c>
      <c r="CC583" s="50" t="s">
        <v>19698</v>
      </c>
      <c r="CD583" s="50" t="s">
        <v>19699</v>
      </c>
      <c r="CE583" s="50" t="s">
        <v>19700</v>
      </c>
      <c r="CF583" s="50" t="s">
        <v>19698</v>
      </c>
      <c r="CG583" s="50" t="s">
        <v>19701</v>
      </c>
      <c r="CH583" s="50" t="s">
        <v>19702</v>
      </c>
      <c r="CI583" s="50" t="s">
        <v>19703</v>
      </c>
      <c r="CK583" s="50" t="s">
        <v>19704</v>
      </c>
      <c r="CL583" s="50" t="s">
        <v>19705</v>
      </c>
      <c r="CM583" s="50" t="s">
        <v>19692</v>
      </c>
      <c r="CN583" s="50" t="s">
        <v>173</v>
      </c>
      <c r="CO583" s="50" t="s">
        <v>19704</v>
      </c>
      <c r="CQ583" s="50" t="s">
        <v>19706</v>
      </c>
      <c r="CR583" s="50" t="s">
        <v>19706</v>
      </c>
      <c r="CS583" s="50" t="s">
        <v>26046</v>
      </c>
    </row>
    <row r="584" spans="1:97" hidden="1">
      <c r="A584" s="50" t="s">
        <v>337</v>
      </c>
      <c r="B584" s="50">
        <v>1324784</v>
      </c>
      <c r="C584" s="50" t="e">
        <f>VLOOKUP(B584,'Drop schools 2026'!B:C,2,0)</f>
        <v>#N/A</v>
      </c>
      <c r="D584" s="50" t="s">
        <v>122</v>
      </c>
      <c r="E584" s="50" t="s">
        <v>12030</v>
      </c>
      <c r="F584" s="50" t="s">
        <v>12392</v>
      </c>
      <c r="G584" s="50" t="str">
        <f>VLOOKUP(B584,aa!B:F,5,0)</f>
        <v>Ei CARES</v>
      </c>
      <c r="H584" s="50">
        <f>VLOOKUP(B584,aa!B:J,9,0)</f>
        <v>180024</v>
      </c>
      <c r="I584" s="50">
        <f>VLOOKUP(B584,aa!B:L,11,0)</f>
        <v>0</v>
      </c>
      <c r="J584" s="50">
        <f>VLOOKUP(B584,aa!B:O,14,0)</f>
        <v>180024</v>
      </c>
      <c r="K584" s="50">
        <f>VLOOKUP(B584,aa!B:R,17,0)</f>
        <v>0</v>
      </c>
      <c r="L584" s="50" t="s">
        <v>152</v>
      </c>
      <c r="M584" s="50">
        <v>49148</v>
      </c>
      <c r="N584" s="50">
        <v>49148</v>
      </c>
      <c r="O584" s="50">
        <v>0</v>
      </c>
      <c r="P584" s="50">
        <v>0</v>
      </c>
      <c r="R584" s="50">
        <v>49148</v>
      </c>
      <c r="S584" s="50">
        <v>119</v>
      </c>
      <c r="T584" s="50" t="s">
        <v>12394</v>
      </c>
      <c r="U584" s="50">
        <v>0</v>
      </c>
      <c r="V584" s="50">
        <v>0</v>
      </c>
      <c r="X584" s="50" t="s">
        <v>102</v>
      </c>
      <c r="Y584" s="50" t="s">
        <v>103</v>
      </c>
      <c r="Z584" s="50" t="s">
        <v>104</v>
      </c>
      <c r="AB584" s="50" t="s">
        <v>12395</v>
      </c>
      <c r="AC584" s="50" t="s">
        <v>12396</v>
      </c>
      <c r="AD584" s="50" t="s">
        <v>11886</v>
      </c>
      <c r="AE584" s="50" t="s">
        <v>12396</v>
      </c>
      <c r="AF584" s="50" t="s">
        <v>109</v>
      </c>
      <c r="AG584" s="50" t="s">
        <v>102</v>
      </c>
      <c r="AH584" s="50" t="s">
        <v>109</v>
      </c>
      <c r="AI584" s="50" t="s">
        <v>102</v>
      </c>
      <c r="AJ584" s="50" t="s">
        <v>102</v>
      </c>
      <c r="AK584" s="50" t="s">
        <v>12397</v>
      </c>
      <c r="AL584" s="50" t="s">
        <v>12397</v>
      </c>
      <c r="AM584" s="50" t="s">
        <v>12398</v>
      </c>
      <c r="AN584" s="50" t="s">
        <v>12399</v>
      </c>
      <c r="AO584" s="50" t="s">
        <v>12400</v>
      </c>
      <c r="AP584" s="50" t="s">
        <v>12401</v>
      </c>
      <c r="AQ584" s="50" t="s">
        <v>12401</v>
      </c>
      <c r="AV584" s="50" t="s">
        <v>102</v>
      </c>
      <c r="AX584" s="50" t="s">
        <v>104</v>
      </c>
      <c r="AY584" s="50" t="s">
        <v>447</v>
      </c>
      <c r="AZ584" s="50" t="s">
        <v>170</v>
      </c>
      <c r="BA584" s="50" t="s">
        <v>118</v>
      </c>
      <c r="BC584" s="50" t="s">
        <v>120</v>
      </c>
      <c r="BD584" s="50" t="s">
        <v>319</v>
      </c>
      <c r="BE584" s="50" t="s">
        <v>320</v>
      </c>
      <c r="BF584" s="50" t="s">
        <v>122</v>
      </c>
      <c r="BG584" s="50" t="s">
        <v>123</v>
      </c>
      <c r="BH584" s="50" t="s">
        <v>124</v>
      </c>
      <c r="BI584" s="50" t="s">
        <v>12327</v>
      </c>
      <c r="BJ584" s="50" t="s">
        <v>11889</v>
      </c>
      <c r="BK584" s="50" t="s">
        <v>127</v>
      </c>
      <c r="BL584" s="50" t="s">
        <v>12402</v>
      </c>
      <c r="BM584" s="50" t="s">
        <v>12403</v>
      </c>
      <c r="BN584" s="50" t="s">
        <v>12404</v>
      </c>
      <c r="BO584" s="50" t="s">
        <v>12393</v>
      </c>
      <c r="BP584" s="50" t="s">
        <v>4845</v>
      </c>
      <c r="BQ584" s="50" t="s">
        <v>350</v>
      </c>
      <c r="BR584" s="50" t="s">
        <v>4846</v>
      </c>
      <c r="BS584" s="50" t="s">
        <v>4847</v>
      </c>
      <c r="BT584" s="50" t="s">
        <v>8756</v>
      </c>
      <c r="BU584" s="50" t="s">
        <v>5574</v>
      </c>
      <c r="BV584" s="50" t="s">
        <v>12405</v>
      </c>
      <c r="BW584" s="50" t="s">
        <v>12406</v>
      </c>
      <c r="BX584" s="50" t="s">
        <v>138</v>
      </c>
      <c r="BY584" s="50" t="s">
        <v>12407</v>
      </c>
      <c r="BZ584" s="50" t="s">
        <v>12408</v>
      </c>
      <c r="CA584" s="50" t="s">
        <v>12409</v>
      </c>
      <c r="CB584" s="50" t="s">
        <v>12406</v>
      </c>
      <c r="CC584" s="50" t="s">
        <v>12407</v>
      </c>
      <c r="CD584" s="50" t="s">
        <v>12408</v>
      </c>
      <c r="CE584" s="50" t="s">
        <v>12406</v>
      </c>
      <c r="CF584" s="50" t="s">
        <v>12407</v>
      </c>
      <c r="CG584" s="50" t="s">
        <v>12408</v>
      </c>
      <c r="CH584" s="50" t="s">
        <v>12115</v>
      </c>
      <c r="CI584" s="50" t="s">
        <v>12410</v>
      </c>
      <c r="CK584" s="50" t="s">
        <v>12411</v>
      </c>
      <c r="CL584" s="50" t="s">
        <v>12412</v>
      </c>
      <c r="CM584" s="50" t="s">
        <v>319</v>
      </c>
      <c r="CN584" s="50" t="s">
        <v>320</v>
      </c>
      <c r="CO584" s="50" t="s">
        <v>12411</v>
      </c>
      <c r="CQ584" s="50" t="s">
        <v>12410</v>
      </c>
      <c r="CR584" s="50" t="s">
        <v>12410</v>
      </c>
    </row>
    <row r="585" spans="1:97" hidden="1">
      <c r="A585" s="50" t="s">
        <v>93</v>
      </c>
      <c r="B585" s="50">
        <v>3871414</v>
      </c>
      <c r="C585" s="50" t="e">
        <f>VLOOKUP(B585,'Drop schools 2026'!B:C,2,0)</f>
        <v>#N/A</v>
      </c>
      <c r="D585" s="50" t="s">
        <v>212</v>
      </c>
      <c r="E585" s="50" t="s">
        <v>11947</v>
      </c>
      <c r="F585" s="50" t="s">
        <v>5145</v>
      </c>
      <c r="G585" s="50" t="e">
        <f>VLOOKUP(B585,aa!B:F,5,0)</f>
        <v>#N/A</v>
      </c>
      <c r="H585" s="50" t="e">
        <f>VLOOKUP(B585,aa!B:J,9,0)</f>
        <v>#N/A</v>
      </c>
      <c r="I585" s="50" t="e">
        <f>VLOOKUP(B585,aa!B:L,11,0)</f>
        <v>#N/A</v>
      </c>
      <c r="J585" s="50" t="e">
        <f>VLOOKUP(B585,aa!B:O,14,0)</f>
        <v>#N/A</v>
      </c>
      <c r="K585" s="50" t="e">
        <f>VLOOKUP(B585,aa!B:R,17,0)</f>
        <v>#N/A</v>
      </c>
      <c r="L585" s="50" t="s">
        <v>97</v>
      </c>
      <c r="M585" s="50">
        <v>49140</v>
      </c>
      <c r="N585" s="50">
        <v>49140</v>
      </c>
      <c r="O585" s="50">
        <v>49140</v>
      </c>
      <c r="P585" s="50">
        <v>63</v>
      </c>
      <c r="Q585" s="50" t="s">
        <v>2110</v>
      </c>
      <c r="R585" s="50">
        <v>0</v>
      </c>
      <c r="S585" s="50">
        <v>0</v>
      </c>
      <c r="U585" s="50">
        <v>0</v>
      </c>
      <c r="V585" s="50">
        <v>0</v>
      </c>
      <c r="X585" s="50" t="s">
        <v>102</v>
      </c>
      <c r="Y585" s="50" t="s">
        <v>275</v>
      </c>
      <c r="AA585" s="50" t="s">
        <v>8258</v>
      </c>
      <c r="AB585" s="50" t="s">
        <v>109</v>
      </c>
      <c r="AC585" s="50" t="s">
        <v>102</v>
      </c>
      <c r="AD585" s="50" t="s">
        <v>109</v>
      </c>
      <c r="AE585" s="50" t="s">
        <v>102</v>
      </c>
      <c r="AF585" s="50" t="s">
        <v>109</v>
      </c>
      <c r="AG585" s="50" t="s">
        <v>102</v>
      </c>
      <c r="AH585" s="50" t="s">
        <v>109</v>
      </c>
      <c r="AI585" s="50" t="s">
        <v>102</v>
      </c>
      <c r="AJ585" s="50" t="s">
        <v>102</v>
      </c>
      <c r="AK585" s="50" t="s">
        <v>15179</v>
      </c>
      <c r="AL585" s="50" t="s">
        <v>15179</v>
      </c>
      <c r="AM585" s="50" t="s">
        <v>17199</v>
      </c>
      <c r="AN585" s="50" t="s">
        <v>17199</v>
      </c>
      <c r="AO585" s="50" t="s">
        <v>102</v>
      </c>
      <c r="AP585" s="50" t="s">
        <v>6752</v>
      </c>
      <c r="AQ585" s="50" t="s">
        <v>6752</v>
      </c>
      <c r="AV585" s="50" t="s">
        <v>318</v>
      </c>
      <c r="AW585" s="50" t="s">
        <v>250</v>
      </c>
      <c r="AX585" s="50" t="s">
        <v>102</v>
      </c>
      <c r="AY585" s="50" t="s">
        <v>119</v>
      </c>
      <c r="BC585" s="50" t="s">
        <v>120</v>
      </c>
      <c r="BD585" s="50" t="s">
        <v>7718</v>
      </c>
      <c r="BE585" s="50" t="s">
        <v>211</v>
      </c>
      <c r="BF585" s="50" t="s">
        <v>212</v>
      </c>
      <c r="BG585" s="50" t="s">
        <v>213</v>
      </c>
      <c r="BH585" s="50" t="s">
        <v>124</v>
      </c>
      <c r="BI585" s="50" t="s">
        <v>8258</v>
      </c>
      <c r="BJ585" s="50" t="s">
        <v>11889</v>
      </c>
      <c r="BK585" s="50" t="s">
        <v>127</v>
      </c>
      <c r="BL585" s="50" t="s">
        <v>17200</v>
      </c>
      <c r="BM585" s="50" t="s">
        <v>7721</v>
      </c>
      <c r="BN585" s="50" t="s">
        <v>17201</v>
      </c>
      <c r="BO585" s="50" t="s">
        <v>8258</v>
      </c>
      <c r="BP585" s="50" t="s">
        <v>1309</v>
      </c>
      <c r="BQ585" s="50" t="s">
        <v>180</v>
      </c>
      <c r="BR585" s="50" t="s">
        <v>1310</v>
      </c>
      <c r="BS585" s="50" t="s">
        <v>1311</v>
      </c>
      <c r="BT585" s="50" t="s">
        <v>1312</v>
      </c>
      <c r="BU585" s="50" t="s">
        <v>900</v>
      </c>
      <c r="BV585" s="50" t="s">
        <v>17202</v>
      </c>
      <c r="BW585" s="50" t="s">
        <v>17203</v>
      </c>
      <c r="BX585" s="50" t="s">
        <v>138</v>
      </c>
      <c r="BY585" s="50" t="s">
        <v>7725</v>
      </c>
      <c r="BZ585" s="50" t="s">
        <v>7726</v>
      </c>
      <c r="CA585" s="50" t="s">
        <v>7727</v>
      </c>
      <c r="CB585" s="50" t="s">
        <v>17203</v>
      </c>
      <c r="CC585" s="50" t="s">
        <v>7725</v>
      </c>
      <c r="CD585" s="50" t="s">
        <v>7726</v>
      </c>
      <c r="CE585" s="50" t="s">
        <v>8017</v>
      </c>
      <c r="CF585" s="50" t="s">
        <v>17204</v>
      </c>
      <c r="CG585" s="50" t="s">
        <v>17205</v>
      </c>
      <c r="CH585" s="50" t="s">
        <v>5811</v>
      </c>
      <c r="CI585" s="50" t="s">
        <v>17206</v>
      </c>
      <c r="CK585" s="50" t="s">
        <v>5392</v>
      </c>
      <c r="CL585" s="50" t="s">
        <v>7728</v>
      </c>
      <c r="CM585" s="50" t="s">
        <v>7718</v>
      </c>
      <c r="CN585" s="50" t="s">
        <v>211</v>
      </c>
      <c r="CO585" s="50" t="s">
        <v>5392</v>
      </c>
      <c r="CQ585" s="50" t="s">
        <v>7728</v>
      </c>
      <c r="CR585" s="50" t="s">
        <v>7728</v>
      </c>
    </row>
    <row r="586" spans="1:97" hidden="1">
      <c r="A586" s="50" t="s">
        <v>337</v>
      </c>
      <c r="B586" s="50">
        <v>5057744</v>
      </c>
      <c r="C586" s="50" t="e">
        <f>VLOOKUP(B586,'Drop schools 2026'!B:C,2,0)</f>
        <v>#N/A</v>
      </c>
      <c r="D586" s="50" t="s">
        <v>212</v>
      </c>
      <c r="E586" s="50" t="s">
        <v>11995</v>
      </c>
      <c r="F586" s="50" t="s">
        <v>20658</v>
      </c>
      <c r="G586" s="50" t="e">
        <f>VLOOKUP(B586,aa!B:F,5,0)</f>
        <v>#N/A</v>
      </c>
      <c r="H586" s="50" t="e">
        <f>VLOOKUP(B586,aa!B:J,9,0)</f>
        <v>#N/A</v>
      </c>
      <c r="I586" s="50" t="e">
        <f>VLOOKUP(B586,aa!B:L,11,0)</f>
        <v>#N/A</v>
      </c>
      <c r="J586" s="50" t="e">
        <f>VLOOKUP(B586,aa!B:O,14,0)</f>
        <v>#N/A</v>
      </c>
      <c r="K586" s="50" t="e">
        <f>VLOOKUP(B586,aa!B:R,17,0)</f>
        <v>#N/A</v>
      </c>
      <c r="L586" s="50" t="s">
        <v>152</v>
      </c>
      <c r="M586" s="50">
        <v>49000</v>
      </c>
      <c r="N586" s="50">
        <v>49000</v>
      </c>
      <c r="O586" s="50">
        <v>0</v>
      </c>
      <c r="P586" s="50">
        <v>0</v>
      </c>
      <c r="R586" s="50">
        <v>49000</v>
      </c>
      <c r="S586" s="50">
        <v>17</v>
      </c>
      <c r="T586" s="50" t="s">
        <v>1263</v>
      </c>
      <c r="U586" s="50">
        <v>0</v>
      </c>
      <c r="V586" s="50">
        <v>0</v>
      </c>
      <c r="X586" s="50" t="s">
        <v>102</v>
      </c>
      <c r="Y586" s="50" t="s">
        <v>275</v>
      </c>
      <c r="AA586" s="50" t="s">
        <v>126</v>
      </c>
      <c r="AB586" s="50" t="s">
        <v>109</v>
      </c>
      <c r="AC586" s="50" t="s">
        <v>102</v>
      </c>
      <c r="AD586" s="50" t="s">
        <v>109</v>
      </c>
      <c r="AE586" s="50" t="s">
        <v>102</v>
      </c>
      <c r="AF586" s="50" t="s">
        <v>109</v>
      </c>
      <c r="AG586" s="50" t="s">
        <v>102</v>
      </c>
      <c r="AH586" s="50" t="s">
        <v>109</v>
      </c>
      <c r="AI586" s="50" t="s">
        <v>102</v>
      </c>
      <c r="AJ586" s="50" t="s">
        <v>102</v>
      </c>
      <c r="AM586" s="50" t="s">
        <v>10017</v>
      </c>
      <c r="AN586" s="50" t="s">
        <v>102</v>
      </c>
      <c r="AO586" s="50" t="s">
        <v>10017</v>
      </c>
      <c r="AP586" s="50" t="s">
        <v>20583</v>
      </c>
      <c r="AQ586" s="50" t="s">
        <v>20584</v>
      </c>
      <c r="AR586" s="50" t="s">
        <v>343</v>
      </c>
      <c r="AV586" s="50" t="s">
        <v>102</v>
      </c>
      <c r="AX586" s="50" t="s">
        <v>1384</v>
      </c>
      <c r="AY586" s="50" t="s">
        <v>447</v>
      </c>
      <c r="AZ586" s="50" t="s">
        <v>1138</v>
      </c>
      <c r="BA586" s="50" t="s">
        <v>118</v>
      </c>
      <c r="BC586" s="50" t="s">
        <v>120</v>
      </c>
      <c r="BD586" s="50" t="s">
        <v>20659</v>
      </c>
      <c r="BE586" s="50" t="s">
        <v>285</v>
      </c>
      <c r="BF586" s="50" t="s">
        <v>212</v>
      </c>
      <c r="BG586" s="50" t="s">
        <v>286</v>
      </c>
      <c r="BH586" s="50" t="s">
        <v>124</v>
      </c>
      <c r="BI586" s="50" t="s">
        <v>11959</v>
      </c>
      <c r="BJ586" s="50" t="s">
        <v>11960</v>
      </c>
      <c r="BK586" s="50" t="s">
        <v>127</v>
      </c>
      <c r="BL586" s="50" t="s">
        <v>20660</v>
      </c>
      <c r="BM586" s="50" t="s">
        <v>20661</v>
      </c>
      <c r="BN586" s="50" t="s">
        <v>20662</v>
      </c>
      <c r="BO586" s="50" t="s">
        <v>8488</v>
      </c>
      <c r="BP586" s="50" t="s">
        <v>3997</v>
      </c>
      <c r="BQ586" s="50" t="s">
        <v>505</v>
      </c>
      <c r="BR586" s="50" t="s">
        <v>3998</v>
      </c>
      <c r="BS586" s="50" t="s">
        <v>3999</v>
      </c>
      <c r="BT586" s="50" t="s">
        <v>3362</v>
      </c>
      <c r="BV586" s="50" t="s">
        <v>20663</v>
      </c>
      <c r="BW586" s="50" t="s">
        <v>20590</v>
      </c>
      <c r="BX586" s="50" t="s">
        <v>354</v>
      </c>
      <c r="BY586" s="50" t="s">
        <v>20591</v>
      </c>
      <c r="BZ586" s="50" t="s">
        <v>20592</v>
      </c>
      <c r="CA586" s="50" t="s">
        <v>20591</v>
      </c>
      <c r="CB586" s="50" t="s">
        <v>20593</v>
      </c>
      <c r="CC586" s="50" t="s">
        <v>20591</v>
      </c>
      <c r="CD586" s="50" t="s">
        <v>20592</v>
      </c>
      <c r="CE586" s="50" t="s">
        <v>20593</v>
      </c>
      <c r="CF586" s="50" t="s">
        <v>20591</v>
      </c>
      <c r="CG586" s="50" t="s">
        <v>20592</v>
      </c>
      <c r="CH586" s="50" t="s">
        <v>10583</v>
      </c>
      <c r="CI586" s="50" t="s">
        <v>20594</v>
      </c>
      <c r="CK586" s="50" t="s">
        <v>20595</v>
      </c>
      <c r="CL586" s="50" t="s">
        <v>20594</v>
      </c>
      <c r="CM586" s="50" t="s">
        <v>20659</v>
      </c>
      <c r="CN586" s="50" t="s">
        <v>285</v>
      </c>
      <c r="CO586" s="50" t="s">
        <v>20595</v>
      </c>
      <c r="CQ586" s="50" t="s">
        <v>20594</v>
      </c>
      <c r="CR586" s="50" t="s">
        <v>20594</v>
      </c>
      <c r="CS586" s="50" t="s">
        <v>26042</v>
      </c>
    </row>
    <row r="587" spans="1:97" hidden="1">
      <c r="A587" s="50" t="s">
        <v>337</v>
      </c>
      <c r="B587" s="50">
        <v>4129415</v>
      </c>
      <c r="C587" s="50" t="e">
        <f>VLOOKUP(B587,'Drop schools 2026'!B:C,2,0)</f>
        <v>#N/A</v>
      </c>
      <c r="D587" s="50" t="s">
        <v>174</v>
      </c>
      <c r="E587" s="50" t="s">
        <v>384</v>
      </c>
      <c r="F587" s="50" t="s">
        <v>18149</v>
      </c>
      <c r="G587" s="50" t="str">
        <f>VLOOKUP(B587,aa!B:F,5,0)</f>
        <v>Ei Mindspark</v>
      </c>
      <c r="H587" s="50">
        <f>VLOOKUP(B587,aa!B:J,9,0)</f>
        <v>358492</v>
      </c>
      <c r="I587" s="50">
        <f>VLOOKUP(B587,aa!B:L,11,0)</f>
        <v>0</v>
      </c>
      <c r="J587" s="50">
        <f>VLOOKUP(B587,aa!B:O,14,0)</f>
        <v>0</v>
      </c>
      <c r="K587" s="50">
        <f>VLOOKUP(B587,aa!B:R,17,0)</f>
        <v>358492</v>
      </c>
      <c r="L587" s="50" t="s">
        <v>848</v>
      </c>
      <c r="M587" s="50">
        <v>48816</v>
      </c>
      <c r="N587" s="50">
        <v>57603</v>
      </c>
      <c r="O587" s="50">
        <v>0</v>
      </c>
      <c r="P587" s="50">
        <v>0</v>
      </c>
      <c r="R587" s="50">
        <v>0</v>
      </c>
      <c r="S587" s="50">
        <v>0</v>
      </c>
      <c r="U587" s="50">
        <v>48816</v>
      </c>
      <c r="V587" s="50">
        <v>192</v>
      </c>
      <c r="W587" s="50" t="s">
        <v>18150</v>
      </c>
      <c r="X587" s="50" t="s">
        <v>102</v>
      </c>
      <c r="Y587" s="50" t="s">
        <v>275</v>
      </c>
      <c r="AA587" s="50" t="s">
        <v>11886</v>
      </c>
      <c r="AB587" s="50" t="s">
        <v>109</v>
      </c>
      <c r="AC587" s="50" t="s">
        <v>102</v>
      </c>
      <c r="AD587" s="50" t="s">
        <v>109</v>
      </c>
      <c r="AE587" s="50" t="s">
        <v>102</v>
      </c>
      <c r="AF587" s="50" t="s">
        <v>109</v>
      </c>
      <c r="AG587" s="50" t="s">
        <v>102</v>
      </c>
      <c r="AH587" s="50" t="s">
        <v>109</v>
      </c>
      <c r="AI587" s="50" t="s">
        <v>102</v>
      </c>
      <c r="AJ587" s="50" t="s">
        <v>102</v>
      </c>
      <c r="AK587" s="50" t="s">
        <v>17126</v>
      </c>
      <c r="AL587" s="50" t="s">
        <v>17126</v>
      </c>
      <c r="AM587" s="50" t="s">
        <v>18151</v>
      </c>
      <c r="AN587" s="50" t="s">
        <v>1221</v>
      </c>
      <c r="AO587" s="50" t="s">
        <v>18152</v>
      </c>
      <c r="AP587" s="50" t="s">
        <v>18153</v>
      </c>
      <c r="AQ587" s="50" t="s">
        <v>18153</v>
      </c>
      <c r="AV587" s="50" t="s">
        <v>102</v>
      </c>
      <c r="AX587" s="50" t="s">
        <v>102</v>
      </c>
      <c r="AY587" s="50" t="s">
        <v>119</v>
      </c>
      <c r="BB587" s="50" t="s">
        <v>250</v>
      </c>
      <c r="BC587" s="50" t="s">
        <v>120</v>
      </c>
      <c r="BD587" s="50" t="s">
        <v>18154</v>
      </c>
      <c r="BE587" s="50" t="s">
        <v>1171</v>
      </c>
      <c r="BF587" s="50" t="s">
        <v>174</v>
      </c>
      <c r="BG587" s="50" t="s">
        <v>1172</v>
      </c>
      <c r="BH587" s="50" t="s">
        <v>124</v>
      </c>
      <c r="BI587" s="50" t="s">
        <v>18155</v>
      </c>
      <c r="BJ587" s="50" t="s">
        <v>11889</v>
      </c>
      <c r="BK587" s="50" t="s">
        <v>127</v>
      </c>
      <c r="BL587" s="50" t="s">
        <v>18156</v>
      </c>
      <c r="BM587" s="50" t="s">
        <v>18157</v>
      </c>
      <c r="BN587" s="50" t="s">
        <v>18158</v>
      </c>
      <c r="BO587" s="50" t="s">
        <v>15933</v>
      </c>
      <c r="BP587" s="50" t="s">
        <v>5557</v>
      </c>
      <c r="BQ587" s="50" t="s">
        <v>180</v>
      </c>
      <c r="BR587" s="50" t="s">
        <v>5558</v>
      </c>
      <c r="BS587" s="50" t="s">
        <v>5559</v>
      </c>
      <c r="BT587" s="50" t="s">
        <v>5560</v>
      </c>
      <c r="BV587" s="50" t="s">
        <v>18159</v>
      </c>
      <c r="BW587" s="50" t="s">
        <v>18160</v>
      </c>
      <c r="BX587" s="50" t="s">
        <v>354</v>
      </c>
      <c r="BY587" s="50" t="s">
        <v>18161</v>
      </c>
      <c r="BZ587" s="50" t="s">
        <v>18162</v>
      </c>
      <c r="CA587" s="50" t="s">
        <v>18161</v>
      </c>
      <c r="CB587" s="50" t="s">
        <v>18163</v>
      </c>
      <c r="CC587" s="50" t="s">
        <v>18161</v>
      </c>
      <c r="CD587" s="50" t="s">
        <v>18162</v>
      </c>
      <c r="CE587" s="50" t="s">
        <v>18163</v>
      </c>
      <c r="CF587" s="50" t="s">
        <v>18161</v>
      </c>
      <c r="CG587" s="50" t="s">
        <v>18162</v>
      </c>
      <c r="CH587" s="50" t="s">
        <v>18164</v>
      </c>
      <c r="CI587" s="50" t="s">
        <v>18165</v>
      </c>
      <c r="CK587" s="50" t="s">
        <v>18166</v>
      </c>
      <c r="CL587" s="50" t="s">
        <v>18165</v>
      </c>
      <c r="CM587" s="50" t="s">
        <v>18154</v>
      </c>
      <c r="CN587" s="50" t="s">
        <v>1171</v>
      </c>
      <c r="CO587" s="50" t="s">
        <v>18166</v>
      </c>
      <c r="CQ587" s="50" t="s">
        <v>14774</v>
      </c>
      <c r="CR587" s="50" t="s">
        <v>18167</v>
      </c>
    </row>
    <row r="588" spans="1:97" hidden="1">
      <c r="A588" s="50" t="s">
        <v>337</v>
      </c>
      <c r="B588" s="50">
        <v>5015638</v>
      </c>
      <c r="C588" s="50" t="e">
        <f>VLOOKUP(B588,'Drop schools 2026'!B:C,2,0)</f>
        <v>#N/A</v>
      </c>
      <c r="D588" s="50" t="s">
        <v>174</v>
      </c>
      <c r="E588" s="50" t="s">
        <v>12155</v>
      </c>
      <c r="F588" s="50" t="s">
        <v>18699</v>
      </c>
      <c r="G588" s="50" t="e">
        <f>VLOOKUP(B588,aa!B:F,5,0)</f>
        <v>#N/A</v>
      </c>
      <c r="H588" s="50" t="e">
        <f>VLOOKUP(B588,aa!B:J,9,0)</f>
        <v>#N/A</v>
      </c>
      <c r="I588" s="50" t="e">
        <f>VLOOKUP(B588,aa!B:L,11,0)</f>
        <v>#N/A</v>
      </c>
      <c r="J588" s="50" t="e">
        <f>VLOOKUP(B588,aa!B:O,14,0)</f>
        <v>#N/A</v>
      </c>
      <c r="K588" s="50" t="e">
        <f>VLOOKUP(B588,aa!B:R,17,0)</f>
        <v>#N/A</v>
      </c>
      <c r="L588" s="50" t="s">
        <v>152</v>
      </c>
      <c r="M588" s="50">
        <v>42480</v>
      </c>
      <c r="N588" s="50">
        <v>42480</v>
      </c>
      <c r="O588" s="50">
        <v>0</v>
      </c>
      <c r="P588" s="50">
        <v>0</v>
      </c>
      <c r="R588" s="50">
        <v>42480</v>
      </c>
      <c r="S588" s="50">
        <v>59</v>
      </c>
      <c r="T588" s="50" t="s">
        <v>995</v>
      </c>
      <c r="U588" s="50">
        <v>0</v>
      </c>
      <c r="V588" s="50">
        <v>0</v>
      </c>
      <c r="X588" s="50" t="s">
        <v>102</v>
      </c>
      <c r="Y588" s="50" t="s">
        <v>103</v>
      </c>
      <c r="Z588" s="50" t="s">
        <v>104</v>
      </c>
      <c r="AB588" s="50" t="s">
        <v>12873</v>
      </c>
      <c r="AC588" s="50" t="s">
        <v>18700</v>
      </c>
      <c r="AD588" s="50" t="s">
        <v>12713</v>
      </c>
      <c r="AE588" s="50" t="s">
        <v>18700</v>
      </c>
      <c r="AF588" s="50" t="s">
        <v>109</v>
      </c>
      <c r="AG588" s="50" t="s">
        <v>102</v>
      </c>
      <c r="AH588" s="50" t="s">
        <v>109</v>
      </c>
      <c r="AI588" s="50" t="s">
        <v>102</v>
      </c>
      <c r="AJ588" s="50" t="s">
        <v>102</v>
      </c>
      <c r="AK588" s="50" t="s">
        <v>2050</v>
      </c>
      <c r="AL588" s="50" t="s">
        <v>2050</v>
      </c>
      <c r="AM588" s="50" t="s">
        <v>18701</v>
      </c>
      <c r="AN588" s="50" t="s">
        <v>18700</v>
      </c>
      <c r="AO588" s="50" t="s">
        <v>18700</v>
      </c>
      <c r="AP588" s="50" t="s">
        <v>317</v>
      </c>
      <c r="AQ588" s="50" t="s">
        <v>317</v>
      </c>
      <c r="AV588" s="50" t="s">
        <v>102</v>
      </c>
      <c r="AX588" s="50" t="s">
        <v>104</v>
      </c>
      <c r="AY588" s="50" t="s">
        <v>447</v>
      </c>
      <c r="AZ588" s="50" t="s">
        <v>170</v>
      </c>
      <c r="BA588" s="50" t="s">
        <v>118</v>
      </c>
      <c r="BC588" s="50" t="s">
        <v>120</v>
      </c>
      <c r="BD588" s="50" t="s">
        <v>12104</v>
      </c>
      <c r="BE588" s="50" t="s">
        <v>1208</v>
      </c>
      <c r="BF588" s="50" t="s">
        <v>174</v>
      </c>
      <c r="BG588" s="50" t="s">
        <v>1172</v>
      </c>
      <c r="BH588" s="50" t="s">
        <v>124</v>
      </c>
      <c r="BI588" s="50" t="s">
        <v>12023</v>
      </c>
      <c r="BJ588" s="50" t="s">
        <v>11889</v>
      </c>
      <c r="BK588" s="50" t="s">
        <v>127</v>
      </c>
      <c r="BL588" s="50" t="s">
        <v>18702</v>
      </c>
      <c r="BM588" s="50" t="s">
        <v>18703</v>
      </c>
      <c r="BN588" s="50" t="s">
        <v>18704</v>
      </c>
      <c r="BO588" s="50" t="s">
        <v>12158</v>
      </c>
      <c r="BP588" s="50" t="s">
        <v>1212</v>
      </c>
      <c r="BQ588" s="50" t="s">
        <v>180</v>
      </c>
      <c r="BR588" s="50" t="s">
        <v>1213</v>
      </c>
      <c r="BS588" s="50" t="s">
        <v>1214</v>
      </c>
      <c r="BT588" s="50" t="s">
        <v>1215</v>
      </c>
      <c r="BV588" s="50" t="s">
        <v>18705</v>
      </c>
      <c r="BW588" s="50" t="s">
        <v>18706</v>
      </c>
      <c r="BX588" s="50" t="s">
        <v>138</v>
      </c>
      <c r="BY588" s="50" t="s">
        <v>18707</v>
      </c>
      <c r="BZ588" s="50" t="s">
        <v>18708</v>
      </c>
      <c r="CA588" s="50" t="s">
        <v>18707</v>
      </c>
      <c r="CB588" s="50" t="s">
        <v>18706</v>
      </c>
      <c r="CC588" s="50" t="s">
        <v>18707</v>
      </c>
      <c r="CD588" s="50" t="s">
        <v>18708</v>
      </c>
      <c r="CE588" s="50" t="s">
        <v>18706</v>
      </c>
      <c r="CF588" s="50" t="s">
        <v>18707</v>
      </c>
      <c r="CG588" s="50" t="s">
        <v>18708</v>
      </c>
      <c r="CH588" s="50" t="s">
        <v>18709</v>
      </c>
      <c r="CI588" s="50" t="s">
        <v>18710</v>
      </c>
      <c r="CK588" s="50" t="s">
        <v>18711</v>
      </c>
      <c r="CL588" s="50" t="s">
        <v>18710</v>
      </c>
      <c r="CM588" s="50" t="s">
        <v>12104</v>
      </c>
      <c r="CN588" s="50" t="s">
        <v>1208</v>
      </c>
      <c r="CO588" s="50" t="s">
        <v>18711</v>
      </c>
      <c r="CQ588" s="50" t="s">
        <v>18712</v>
      </c>
      <c r="CR588" s="50" t="s">
        <v>18712</v>
      </c>
      <c r="CS588" s="50" t="s">
        <v>26046</v>
      </c>
    </row>
    <row r="589" spans="1:97" hidden="1">
      <c r="A589" s="50" t="s">
        <v>337</v>
      </c>
      <c r="B589" s="50">
        <v>4007320</v>
      </c>
      <c r="C589" s="50" t="e">
        <f>VLOOKUP(B589,'Drop schools 2026'!B:C,2,0)</f>
        <v>#N/A</v>
      </c>
      <c r="D589" s="50" t="s">
        <v>622</v>
      </c>
      <c r="E589" s="50" t="s">
        <v>985</v>
      </c>
      <c r="F589" s="50" t="s">
        <v>17957</v>
      </c>
      <c r="G589" s="50" t="e">
        <f>VLOOKUP(B589,aa!B:F,5,0)</f>
        <v>#N/A</v>
      </c>
      <c r="H589" s="50" t="e">
        <f>VLOOKUP(B589,aa!B:J,9,0)</f>
        <v>#N/A</v>
      </c>
      <c r="I589" s="50" t="e">
        <f>VLOOKUP(B589,aa!B:L,11,0)</f>
        <v>#N/A</v>
      </c>
      <c r="J589" s="50" t="e">
        <f>VLOOKUP(B589,aa!B:O,14,0)</f>
        <v>#N/A</v>
      </c>
      <c r="K589" s="50" t="e">
        <f>VLOOKUP(B589,aa!B:R,17,0)</f>
        <v>#N/A</v>
      </c>
      <c r="L589" s="50" t="s">
        <v>152</v>
      </c>
      <c r="M589" s="50">
        <v>41998</v>
      </c>
      <c r="N589" s="50">
        <v>41998</v>
      </c>
      <c r="O589" s="50">
        <v>0</v>
      </c>
      <c r="P589" s="50">
        <v>0</v>
      </c>
      <c r="R589" s="50">
        <v>41998</v>
      </c>
      <c r="S589" s="50">
        <v>61</v>
      </c>
      <c r="T589" s="50" t="s">
        <v>1750</v>
      </c>
      <c r="U589" s="50">
        <v>0</v>
      </c>
      <c r="V589" s="50">
        <v>0</v>
      </c>
      <c r="X589" s="50" t="s">
        <v>102</v>
      </c>
      <c r="Y589" s="50" t="s">
        <v>275</v>
      </c>
      <c r="AA589" s="50" t="s">
        <v>15933</v>
      </c>
      <c r="AB589" s="50" t="s">
        <v>109</v>
      </c>
      <c r="AC589" s="50" t="s">
        <v>102</v>
      </c>
      <c r="AD589" s="50" t="s">
        <v>109</v>
      </c>
      <c r="AE589" s="50" t="s">
        <v>102</v>
      </c>
      <c r="AF589" s="50" t="s">
        <v>109</v>
      </c>
      <c r="AG589" s="50" t="s">
        <v>102</v>
      </c>
      <c r="AH589" s="50" t="s">
        <v>109</v>
      </c>
      <c r="AI589" s="50" t="s">
        <v>102</v>
      </c>
      <c r="AJ589" s="50" t="s">
        <v>102</v>
      </c>
      <c r="AK589" s="50" t="s">
        <v>13302</v>
      </c>
      <c r="AL589" s="50" t="s">
        <v>13302</v>
      </c>
      <c r="AM589" s="50" t="s">
        <v>17958</v>
      </c>
      <c r="AN589" s="50" t="s">
        <v>8459</v>
      </c>
      <c r="AO589" s="50" t="s">
        <v>5926</v>
      </c>
      <c r="AP589" s="50" t="s">
        <v>17959</v>
      </c>
      <c r="AQ589" s="50" t="s">
        <v>17959</v>
      </c>
      <c r="AV589" s="50" t="s">
        <v>102</v>
      </c>
      <c r="AX589" s="50" t="s">
        <v>102</v>
      </c>
      <c r="AY589" s="50" t="s">
        <v>119</v>
      </c>
      <c r="AZ589" s="50" t="s">
        <v>170</v>
      </c>
      <c r="BA589" s="50" t="s">
        <v>118</v>
      </c>
      <c r="BC589" s="50" t="s">
        <v>209</v>
      </c>
      <c r="BD589" s="50" t="s">
        <v>2127</v>
      </c>
      <c r="BE589" s="50" t="s">
        <v>621</v>
      </c>
      <c r="BF589" s="50" t="s">
        <v>622</v>
      </c>
      <c r="BG589" s="50" t="s">
        <v>976</v>
      </c>
      <c r="BH589" s="50" t="s">
        <v>124</v>
      </c>
      <c r="BI589" s="50" t="s">
        <v>14415</v>
      </c>
      <c r="BJ589" s="50" t="s">
        <v>11889</v>
      </c>
      <c r="BK589" s="50" t="s">
        <v>127</v>
      </c>
      <c r="BL589" s="50" t="s">
        <v>17960</v>
      </c>
      <c r="BM589" s="50" t="s">
        <v>17961</v>
      </c>
      <c r="BN589" s="50" t="s">
        <v>17962</v>
      </c>
      <c r="BO589" s="50" t="s">
        <v>3849</v>
      </c>
      <c r="BP589" s="50" t="s">
        <v>13638</v>
      </c>
      <c r="BQ589" s="50" t="s">
        <v>505</v>
      </c>
      <c r="BR589" s="50" t="s">
        <v>13639</v>
      </c>
      <c r="BS589" s="50" t="s">
        <v>13640</v>
      </c>
      <c r="BT589" s="50" t="s">
        <v>2847</v>
      </c>
      <c r="BV589" s="50" t="s">
        <v>17963</v>
      </c>
      <c r="BW589" s="50" t="s">
        <v>17964</v>
      </c>
      <c r="BX589" s="50" t="s">
        <v>138</v>
      </c>
      <c r="BY589" s="50" t="s">
        <v>17965</v>
      </c>
      <c r="BZ589" s="50" t="s">
        <v>17966</v>
      </c>
      <c r="CA589" s="50" t="s">
        <v>17965</v>
      </c>
      <c r="CB589" s="50" t="s">
        <v>17964</v>
      </c>
      <c r="CC589" s="50" t="s">
        <v>17965</v>
      </c>
      <c r="CD589" s="50" t="s">
        <v>17966</v>
      </c>
      <c r="CE589" s="50" t="s">
        <v>17967</v>
      </c>
      <c r="CF589" s="50" t="s">
        <v>17965</v>
      </c>
      <c r="CG589" s="50" t="s">
        <v>17968</v>
      </c>
      <c r="CH589" s="50" t="s">
        <v>10117</v>
      </c>
      <c r="CI589" s="50" t="s">
        <v>17969</v>
      </c>
      <c r="CK589" s="50" t="s">
        <v>8655</v>
      </c>
      <c r="CL589" s="50" t="s">
        <v>17970</v>
      </c>
      <c r="CM589" s="50" t="s">
        <v>2127</v>
      </c>
      <c r="CN589" s="50" t="s">
        <v>621</v>
      </c>
      <c r="CO589" s="50" t="s">
        <v>8655</v>
      </c>
      <c r="CQ589" s="50" t="s">
        <v>17969</v>
      </c>
      <c r="CR589" s="50" t="s">
        <v>17969</v>
      </c>
    </row>
    <row r="590" spans="1:97" hidden="1">
      <c r="A590" s="50" t="s">
        <v>149</v>
      </c>
      <c r="B590" s="50">
        <v>3707644</v>
      </c>
      <c r="C590" s="50" t="e">
        <f>VLOOKUP(B590,'Drop schools 2026'!B:C,2,0)</f>
        <v>#N/A</v>
      </c>
      <c r="D590" s="50" t="s">
        <v>212</v>
      </c>
      <c r="E590" s="50" t="s">
        <v>11947</v>
      </c>
      <c r="F590" s="50" t="s">
        <v>7217</v>
      </c>
      <c r="G590" s="50" t="e">
        <f>VLOOKUP(B590,aa!B:F,5,0)</f>
        <v>#N/A</v>
      </c>
      <c r="H590" s="50" t="e">
        <f>VLOOKUP(B590,aa!B:J,9,0)</f>
        <v>#N/A</v>
      </c>
      <c r="I590" s="50" t="e">
        <f>VLOOKUP(B590,aa!B:L,11,0)</f>
        <v>#N/A</v>
      </c>
      <c r="J590" s="50" t="e">
        <f>VLOOKUP(B590,aa!B:O,14,0)</f>
        <v>#N/A</v>
      </c>
      <c r="K590" s="50" t="e">
        <f>VLOOKUP(B590,aa!B:R,17,0)</f>
        <v>#N/A</v>
      </c>
      <c r="L590" s="50" t="s">
        <v>97</v>
      </c>
      <c r="M590" s="50">
        <v>30485</v>
      </c>
      <c r="N590" s="50">
        <v>30485</v>
      </c>
      <c r="O590" s="50">
        <v>30485</v>
      </c>
      <c r="P590" s="50">
        <v>44</v>
      </c>
      <c r="Q590" s="50" t="s">
        <v>16790</v>
      </c>
      <c r="R590" s="50">
        <v>0</v>
      </c>
      <c r="S590" s="50">
        <v>0</v>
      </c>
      <c r="U590" s="50">
        <v>0</v>
      </c>
      <c r="V590" s="50">
        <v>0</v>
      </c>
      <c r="X590" s="50" t="s">
        <v>102</v>
      </c>
      <c r="Y590" s="50" t="s">
        <v>275</v>
      </c>
      <c r="AA590" s="50" t="s">
        <v>11884</v>
      </c>
      <c r="AB590" s="50" t="s">
        <v>109</v>
      </c>
      <c r="AC590" s="50" t="s">
        <v>102</v>
      </c>
      <c r="AD590" s="50" t="s">
        <v>109</v>
      </c>
      <c r="AE590" s="50" t="s">
        <v>102</v>
      </c>
      <c r="AF590" s="50" t="s">
        <v>109</v>
      </c>
      <c r="AG590" s="50" t="s">
        <v>102</v>
      </c>
      <c r="AH590" s="50" t="s">
        <v>109</v>
      </c>
      <c r="AI590" s="50" t="s">
        <v>102</v>
      </c>
      <c r="AJ590" s="50" t="s">
        <v>102</v>
      </c>
      <c r="AK590" s="50" t="s">
        <v>11899</v>
      </c>
      <c r="AL590" s="50" t="s">
        <v>14455</v>
      </c>
      <c r="AM590" s="50" t="s">
        <v>16791</v>
      </c>
      <c r="AN590" s="50" t="s">
        <v>16791</v>
      </c>
      <c r="AO590" s="50" t="s">
        <v>102</v>
      </c>
      <c r="AP590" s="50" t="s">
        <v>16792</v>
      </c>
      <c r="AQ590" s="50" t="s">
        <v>16792</v>
      </c>
      <c r="AV590" s="50" t="s">
        <v>117</v>
      </c>
      <c r="AW590" s="50" t="s">
        <v>118</v>
      </c>
      <c r="AX590" s="50" t="s">
        <v>102</v>
      </c>
      <c r="AY590" s="50" t="s">
        <v>119</v>
      </c>
      <c r="BC590" s="50" t="s">
        <v>120</v>
      </c>
      <c r="BD590" s="50" t="s">
        <v>920</v>
      </c>
      <c r="BE590" s="50" t="s">
        <v>211</v>
      </c>
      <c r="BF590" s="50" t="s">
        <v>212</v>
      </c>
      <c r="BG590" s="50" t="s">
        <v>213</v>
      </c>
      <c r="BH590" s="50" t="s">
        <v>124</v>
      </c>
      <c r="BI590" s="50" t="s">
        <v>11959</v>
      </c>
      <c r="BJ590" s="50" t="s">
        <v>11889</v>
      </c>
      <c r="BK590" s="50" t="s">
        <v>127</v>
      </c>
      <c r="BL590" s="50" t="s">
        <v>16793</v>
      </c>
      <c r="BM590" s="50" t="s">
        <v>7223</v>
      </c>
      <c r="BN590" s="50" t="s">
        <v>16794</v>
      </c>
      <c r="BO590" s="50" t="s">
        <v>11899</v>
      </c>
      <c r="BP590" s="50" t="s">
        <v>415</v>
      </c>
      <c r="BQ590" s="50" t="s">
        <v>180</v>
      </c>
      <c r="BR590" s="50" t="s">
        <v>416</v>
      </c>
      <c r="BS590" s="50" t="s">
        <v>417</v>
      </c>
      <c r="BT590" s="50" t="s">
        <v>7225</v>
      </c>
      <c r="BV590" s="50" t="s">
        <v>16795</v>
      </c>
      <c r="BW590" s="50" t="s">
        <v>16796</v>
      </c>
      <c r="BX590" s="50" t="s">
        <v>354</v>
      </c>
      <c r="BY590" s="50" t="s">
        <v>7228</v>
      </c>
      <c r="BZ590" s="50" t="s">
        <v>7229</v>
      </c>
      <c r="CA590" s="50" t="s">
        <v>7230</v>
      </c>
      <c r="CB590" s="50" t="s">
        <v>16796</v>
      </c>
      <c r="CC590" s="50" t="s">
        <v>7228</v>
      </c>
      <c r="CD590" s="50" t="s">
        <v>7229</v>
      </c>
      <c r="CE590" s="50" t="s">
        <v>16796</v>
      </c>
      <c r="CF590" s="50" t="s">
        <v>7228</v>
      </c>
      <c r="CG590" s="50" t="s">
        <v>7229</v>
      </c>
      <c r="CH590" s="50" t="s">
        <v>102</v>
      </c>
      <c r="CI590" s="50" t="s">
        <v>7232</v>
      </c>
      <c r="CK590" s="50" t="s">
        <v>7233</v>
      </c>
      <c r="CM590" s="50" t="s">
        <v>920</v>
      </c>
      <c r="CN590" s="50" t="s">
        <v>211</v>
      </c>
      <c r="CO590" s="50" t="s">
        <v>7233</v>
      </c>
      <c r="CQ590" s="50" t="s">
        <v>7232</v>
      </c>
      <c r="CR590" s="50" t="s">
        <v>7232</v>
      </c>
      <c r="CS590" s="50" t="s">
        <v>26044</v>
      </c>
    </row>
    <row r="591" spans="1:97" hidden="1">
      <c r="A591" s="50" t="s">
        <v>337</v>
      </c>
      <c r="B591" s="50">
        <v>5107064</v>
      </c>
      <c r="C591" s="50" t="e">
        <f>VLOOKUP(B591,'Drop schools 2026'!B:C,2,0)</f>
        <v>#N/A</v>
      </c>
      <c r="D591" s="50" t="s">
        <v>174</v>
      </c>
      <c r="E591" s="50" t="s">
        <v>384</v>
      </c>
      <c r="F591" s="50" t="s">
        <v>20926</v>
      </c>
      <c r="G591" s="50" t="str">
        <f>VLOOKUP(B591,aa!B:F,5,0)</f>
        <v>Ei Mindspark</v>
      </c>
      <c r="H591" s="50">
        <f>VLOOKUP(B591,aa!B:J,9,0)</f>
        <v>273064</v>
      </c>
      <c r="I591" s="50">
        <f>VLOOKUP(B591,aa!B:L,11,0)</f>
        <v>0</v>
      </c>
      <c r="J591" s="50">
        <f>VLOOKUP(B591,aa!B:O,14,0)</f>
        <v>0</v>
      </c>
      <c r="K591" s="50">
        <f>VLOOKUP(B591,aa!B:R,17,0)</f>
        <v>273064</v>
      </c>
      <c r="L591" s="50" t="s">
        <v>848</v>
      </c>
      <c r="M591" s="50">
        <v>28730</v>
      </c>
      <c r="N591" s="50">
        <v>33901</v>
      </c>
      <c r="O591" s="50">
        <v>0</v>
      </c>
      <c r="P591" s="50">
        <v>0</v>
      </c>
      <c r="R591" s="50">
        <v>0</v>
      </c>
      <c r="S591" s="50">
        <v>0</v>
      </c>
      <c r="U591" s="50">
        <v>28730</v>
      </c>
      <c r="V591" s="50">
        <v>113</v>
      </c>
      <c r="W591" s="50" t="s">
        <v>18150</v>
      </c>
      <c r="X591" s="50" t="s">
        <v>102</v>
      </c>
      <c r="Y591" s="50" t="s">
        <v>275</v>
      </c>
      <c r="AA591" s="50" t="s">
        <v>11886</v>
      </c>
      <c r="AB591" s="50" t="s">
        <v>109</v>
      </c>
      <c r="AC591" s="50" t="s">
        <v>102</v>
      </c>
      <c r="AD591" s="50" t="s">
        <v>109</v>
      </c>
      <c r="AE591" s="50" t="s">
        <v>102</v>
      </c>
      <c r="AF591" s="50" t="s">
        <v>109</v>
      </c>
      <c r="AG591" s="50" t="s">
        <v>102</v>
      </c>
      <c r="AH591" s="50" t="s">
        <v>109</v>
      </c>
      <c r="AI591" s="50" t="s">
        <v>102</v>
      </c>
      <c r="AJ591" s="50" t="s">
        <v>102</v>
      </c>
      <c r="AK591" s="50" t="s">
        <v>17126</v>
      </c>
      <c r="AL591" s="50" t="s">
        <v>17126</v>
      </c>
      <c r="AM591" s="50" t="s">
        <v>20927</v>
      </c>
      <c r="AN591" s="50" t="s">
        <v>1221</v>
      </c>
      <c r="AO591" s="50" t="s">
        <v>20928</v>
      </c>
      <c r="AP591" s="50" t="s">
        <v>18153</v>
      </c>
      <c r="AQ591" s="50" t="s">
        <v>18153</v>
      </c>
      <c r="AV591" s="50" t="s">
        <v>102</v>
      </c>
      <c r="AX591" s="50" t="s">
        <v>102</v>
      </c>
      <c r="AY591" s="50" t="s">
        <v>119</v>
      </c>
      <c r="BB591" s="50" t="s">
        <v>250</v>
      </c>
      <c r="BC591" s="50" t="s">
        <v>120</v>
      </c>
      <c r="BD591" s="50" t="s">
        <v>18154</v>
      </c>
      <c r="BE591" s="50" t="s">
        <v>1171</v>
      </c>
      <c r="BF591" s="50" t="s">
        <v>174</v>
      </c>
      <c r="BG591" s="50" t="s">
        <v>1172</v>
      </c>
      <c r="BH591" s="50" t="s">
        <v>124</v>
      </c>
      <c r="BI591" s="50" t="s">
        <v>18155</v>
      </c>
      <c r="BJ591" s="50" t="s">
        <v>11889</v>
      </c>
      <c r="BK591" s="50" t="s">
        <v>127</v>
      </c>
      <c r="BL591" s="50" t="s">
        <v>20929</v>
      </c>
      <c r="BM591" s="50" t="s">
        <v>20930</v>
      </c>
      <c r="BN591" s="50" t="s">
        <v>20931</v>
      </c>
      <c r="BO591" s="50" t="s">
        <v>15933</v>
      </c>
      <c r="BP591" s="50" t="s">
        <v>5557</v>
      </c>
      <c r="BQ591" s="50" t="s">
        <v>180</v>
      </c>
      <c r="BR591" s="50" t="s">
        <v>5558</v>
      </c>
      <c r="BS591" s="50" t="s">
        <v>5559</v>
      </c>
      <c r="BT591" s="50" t="s">
        <v>5560</v>
      </c>
      <c r="BV591" s="50" t="s">
        <v>20932</v>
      </c>
      <c r="BW591" s="50" t="s">
        <v>20933</v>
      </c>
      <c r="BX591" s="50" t="s">
        <v>354</v>
      </c>
      <c r="BY591" s="50" t="s">
        <v>18161</v>
      </c>
      <c r="BZ591" s="50" t="s">
        <v>20934</v>
      </c>
      <c r="CB591" s="50" t="s">
        <v>20935</v>
      </c>
      <c r="CC591" s="50" t="s">
        <v>18161</v>
      </c>
      <c r="CD591" s="50" t="s">
        <v>18162</v>
      </c>
      <c r="CE591" s="50" t="s">
        <v>20935</v>
      </c>
      <c r="CF591" s="50" t="s">
        <v>18161</v>
      </c>
      <c r="CG591" s="50" t="s">
        <v>18162</v>
      </c>
      <c r="CH591" s="50" t="s">
        <v>102</v>
      </c>
      <c r="CI591" s="50" t="s">
        <v>20936</v>
      </c>
      <c r="CK591" s="50" t="s">
        <v>20937</v>
      </c>
      <c r="CM591" s="50" t="s">
        <v>18154</v>
      </c>
      <c r="CN591" s="50" t="s">
        <v>1171</v>
      </c>
      <c r="CO591" s="50" t="s">
        <v>20937</v>
      </c>
      <c r="CQ591" s="50" t="s">
        <v>20938</v>
      </c>
      <c r="CR591" s="50" t="s">
        <v>20938</v>
      </c>
    </row>
    <row r="592" spans="1:97" hidden="1">
      <c r="A592" s="50" t="s">
        <v>337</v>
      </c>
      <c r="B592" s="50">
        <v>5051627</v>
      </c>
      <c r="C592" s="50" t="e">
        <f>VLOOKUP(B592,'Drop schools 2026'!B:C,2,0)</f>
        <v>#N/A</v>
      </c>
      <c r="D592" s="50" t="s">
        <v>622</v>
      </c>
      <c r="E592" s="50" t="s">
        <v>3562</v>
      </c>
      <c r="F592" s="50" t="s">
        <v>20516</v>
      </c>
      <c r="G592" s="50" t="str">
        <f>VLOOKUP(B592,aa!B:F,5,0)</f>
        <v>Ei ASSET, Ei Mindspark</v>
      </c>
      <c r="H592" s="50">
        <f>VLOOKUP(B592,aa!B:J,9,0)</f>
        <v>67923</v>
      </c>
      <c r="I592" s="50">
        <f>VLOOKUP(B592,aa!B:L,11,0)</f>
        <v>9621</v>
      </c>
      <c r="J592" s="50">
        <f>VLOOKUP(B592,aa!B:O,14,0)</f>
        <v>0</v>
      </c>
      <c r="K592" s="50">
        <f>VLOOKUP(B592,aa!B:R,17,0)</f>
        <v>58302</v>
      </c>
      <c r="L592" s="50" t="s">
        <v>3549</v>
      </c>
      <c r="M592" s="50">
        <v>26586</v>
      </c>
      <c r="N592" s="50">
        <v>30458</v>
      </c>
      <c r="O592" s="50">
        <v>5076</v>
      </c>
      <c r="P592" s="50">
        <v>6</v>
      </c>
      <c r="Q592" s="50" t="s">
        <v>20517</v>
      </c>
      <c r="R592" s="50">
        <v>0</v>
      </c>
      <c r="S592" s="50">
        <v>0</v>
      </c>
      <c r="U592" s="50">
        <v>21510</v>
      </c>
      <c r="V592" s="50">
        <v>10</v>
      </c>
      <c r="W592" s="50" t="s">
        <v>20518</v>
      </c>
      <c r="X592" s="50" t="s">
        <v>102</v>
      </c>
      <c r="Y592" s="50" t="s">
        <v>275</v>
      </c>
      <c r="AA592" s="50" t="s">
        <v>1408</v>
      </c>
      <c r="AB592" s="50" t="s">
        <v>109</v>
      </c>
      <c r="AC592" s="50" t="s">
        <v>102</v>
      </c>
      <c r="AD592" s="50" t="s">
        <v>109</v>
      </c>
      <c r="AE592" s="50" t="s">
        <v>102</v>
      </c>
      <c r="AF592" s="50" t="s">
        <v>109</v>
      </c>
      <c r="AG592" s="50" t="s">
        <v>102</v>
      </c>
      <c r="AH592" s="50" t="s">
        <v>109</v>
      </c>
      <c r="AI592" s="50" t="s">
        <v>102</v>
      </c>
      <c r="AJ592" s="50" t="s">
        <v>102</v>
      </c>
      <c r="AK592" s="50" t="s">
        <v>1408</v>
      </c>
      <c r="AL592" s="50" t="s">
        <v>1408</v>
      </c>
      <c r="AM592" s="50" t="s">
        <v>20519</v>
      </c>
      <c r="AN592" s="50" t="s">
        <v>20520</v>
      </c>
      <c r="AO592" s="50" t="s">
        <v>20521</v>
      </c>
      <c r="AP592" s="50" t="s">
        <v>20522</v>
      </c>
      <c r="AQ592" s="50" t="s">
        <v>20522</v>
      </c>
      <c r="AV592" s="50" t="s">
        <v>117</v>
      </c>
      <c r="AW592" s="50" t="s">
        <v>250</v>
      </c>
      <c r="AX592" s="50" t="s">
        <v>102</v>
      </c>
      <c r="AY592" s="50" t="s">
        <v>119</v>
      </c>
      <c r="BB592" s="50" t="s">
        <v>250</v>
      </c>
      <c r="BC592" s="50" t="s">
        <v>1242</v>
      </c>
      <c r="BD592" s="50" t="s">
        <v>2327</v>
      </c>
      <c r="BE592" s="50" t="s">
        <v>730</v>
      </c>
      <c r="BF592" s="50" t="s">
        <v>622</v>
      </c>
      <c r="BG592" s="50" t="s">
        <v>730</v>
      </c>
      <c r="BH592" s="50" t="s">
        <v>124</v>
      </c>
      <c r="BI592" s="50" t="s">
        <v>11976</v>
      </c>
      <c r="BJ592" s="50" t="s">
        <v>12720</v>
      </c>
      <c r="BK592" s="50" t="s">
        <v>127</v>
      </c>
      <c r="BL592" s="50" t="s">
        <v>20523</v>
      </c>
      <c r="BM592" s="50" t="s">
        <v>20524</v>
      </c>
      <c r="BN592" s="50" t="s">
        <v>20525</v>
      </c>
      <c r="BO592" s="50" t="s">
        <v>4563</v>
      </c>
      <c r="BP592" s="50" t="s">
        <v>2262</v>
      </c>
      <c r="BQ592" s="50" t="s">
        <v>180</v>
      </c>
      <c r="BR592" s="50" t="s">
        <v>2263</v>
      </c>
      <c r="BS592" s="50" t="s">
        <v>2264</v>
      </c>
      <c r="BT592" s="50" t="s">
        <v>2331</v>
      </c>
      <c r="BV592" s="50" t="s">
        <v>20526</v>
      </c>
      <c r="BW592" s="50" t="s">
        <v>20527</v>
      </c>
      <c r="BX592" s="50" t="s">
        <v>354</v>
      </c>
      <c r="BY592" s="50" t="s">
        <v>20528</v>
      </c>
      <c r="BZ592" s="50" t="s">
        <v>20529</v>
      </c>
      <c r="CA592" s="50" t="s">
        <v>20530</v>
      </c>
      <c r="CB592" s="50" t="s">
        <v>20531</v>
      </c>
      <c r="CC592" s="50" t="s">
        <v>20532</v>
      </c>
      <c r="CD592" s="50" t="s">
        <v>20533</v>
      </c>
      <c r="CE592" s="50" t="s">
        <v>20531</v>
      </c>
      <c r="CF592" s="50" t="s">
        <v>20532</v>
      </c>
      <c r="CG592" s="50" t="s">
        <v>20533</v>
      </c>
      <c r="CH592" s="50" t="s">
        <v>4937</v>
      </c>
      <c r="CI592" s="50" t="s">
        <v>20534</v>
      </c>
      <c r="CK592" s="50" t="s">
        <v>20535</v>
      </c>
      <c r="CL592" s="50" t="s">
        <v>20534</v>
      </c>
      <c r="CM592" s="50" t="s">
        <v>2327</v>
      </c>
      <c r="CN592" s="50" t="s">
        <v>730</v>
      </c>
      <c r="CO592" s="50" t="s">
        <v>20535</v>
      </c>
      <c r="CQ592" s="50" t="s">
        <v>20536</v>
      </c>
      <c r="CR592" s="50" t="s">
        <v>20536</v>
      </c>
    </row>
    <row r="593" spans="1:97" hidden="1">
      <c r="A593" s="50" t="s">
        <v>149</v>
      </c>
      <c r="B593" s="50">
        <v>5015850</v>
      </c>
      <c r="C593" s="50" t="str">
        <f>VLOOKUP(B593,'Drop schools 2026'!B:C,2,0)</f>
        <v>Drop</v>
      </c>
      <c r="D593" s="50" t="s">
        <v>622</v>
      </c>
      <c r="E593" s="50" t="s">
        <v>1279</v>
      </c>
      <c r="F593" s="50" t="s">
        <v>14291</v>
      </c>
      <c r="G593" s="50" t="e">
        <f>VLOOKUP(B593,aa!B:F,5,0)</f>
        <v>#N/A</v>
      </c>
      <c r="H593" s="50" t="e">
        <f>VLOOKUP(B593,aa!B:J,9,0)</f>
        <v>#N/A</v>
      </c>
      <c r="I593" s="50" t="e">
        <f>VLOOKUP(B593,aa!B:L,11,0)</f>
        <v>#N/A</v>
      </c>
      <c r="J593" s="50" t="e">
        <f>VLOOKUP(B593,aa!B:O,14,0)</f>
        <v>#N/A</v>
      </c>
      <c r="K593" s="50" t="e">
        <f>VLOOKUP(B593,aa!B:R,17,0)</f>
        <v>#N/A</v>
      </c>
      <c r="L593" s="50" t="s">
        <v>97</v>
      </c>
      <c r="M593" s="50">
        <v>22751</v>
      </c>
      <c r="N593" s="50">
        <v>22751</v>
      </c>
      <c r="O593" s="50">
        <v>22751</v>
      </c>
      <c r="P593" s="50">
        <v>25</v>
      </c>
      <c r="Q593" s="50" t="s">
        <v>1798</v>
      </c>
      <c r="R593" s="50">
        <v>0</v>
      </c>
      <c r="S593" s="50">
        <v>0</v>
      </c>
      <c r="U593" s="50">
        <v>0</v>
      </c>
      <c r="V593" s="50">
        <v>0</v>
      </c>
      <c r="X593" s="50" t="s">
        <v>102</v>
      </c>
      <c r="Y593" s="50" t="s">
        <v>275</v>
      </c>
      <c r="AA593" s="50" t="s">
        <v>12923</v>
      </c>
      <c r="AB593" s="50" t="s">
        <v>109</v>
      </c>
      <c r="AC593" s="50" t="s">
        <v>102</v>
      </c>
      <c r="AD593" s="50" t="s">
        <v>109</v>
      </c>
      <c r="AE593" s="50" t="s">
        <v>102</v>
      </c>
      <c r="AF593" s="50" t="s">
        <v>109</v>
      </c>
      <c r="AG593" s="50" t="s">
        <v>102</v>
      </c>
      <c r="AH593" s="50" t="s">
        <v>109</v>
      </c>
      <c r="AI593" s="50" t="s">
        <v>102</v>
      </c>
      <c r="AJ593" s="50" t="s">
        <v>102</v>
      </c>
      <c r="AK593" s="50" t="s">
        <v>13511</v>
      </c>
      <c r="AL593" s="50" t="s">
        <v>13511</v>
      </c>
      <c r="AM593" s="50" t="s">
        <v>18727</v>
      </c>
      <c r="AN593" s="50" t="s">
        <v>18727</v>
      </c>
      <c r="AO593" s="50" t="s">
        <v>102</v>
      </c>
      <c r="AP593" s="50" t="s">
        <v>14296</v>
      </c>
      <c r="AQ593" s="50" t="s">
        <v>14296</v>
      </c>
      <c r="AV593" s="50" t="s">
        <v>318</v>
      </c>
      <c r="AW593" s="50" t="s">
        <v>118</v>
      </c>
      <c r="AX593" s="50" t="s">
        <v>102</v>
      </c>
      <c r="AY593" s="50" t="s">
        <v>119</v>
      </c>
      <c r="BC593" s="50" t="s">
        <v>1964</v>
      </c>
      <c r="BD593" s="50" t="s">
        <v>623</v>
      </c>
      <c r="BE593" s="50" t="s">
        <v>621</v>
      </c>
      <c r="BF593" s="50" t="s">
        <v>622</v>
      </c>
      <c r="BG593" s="50" t="s">
        <v>623</v>
      </c>
      <c r="BH593" s="50" t="s">
        <v>124</v>
      </c>
      <c r="BI593" s="50" t="s">
        <v>11959</v>
      </c>
      <c r="BJ593" s="50" t="s">
        <v>11960</v>
      </c>
      <c r="BK593" s="50" t="s">
        <v>127</v>
      </c>
      <c r="BL593" s="50" t="s">
        <v>18728</v>
      </c>
      <c r="BM593" s="50" t="s">
        <v>9520</v>
      </c>
      <c r="BN593" s="50" t="s">
        <v>18729</v>
      </c>
      <c r="BO593" s="50" t="s">
        <v>12923</v>
      </c>
      <c r="BP593" s="50" t="s">
        <v>629</v>
      </c>
      <c r="BQ593" s="50" t="s">
        <v>180</v>
      </c>
      <c r="BR593" s="50" t="s">
        <v>630</v>
      </c>
      <c r="BS593" s="50" t="s">
        <v>631</v>
      </c>
      <c r="BT593" s="50" t="s">
        <v>1279</v>
      </c>
      <c r="BV593" s="50" t="s">
        <v>18730</v>
      </c>
      <c r="BW593" s="50" t="s">
        <v>3817</v>
      </c>
      <c r="BX593" s="50" t="s">
        <v>138</v>
      </c>
      <c r="BY593" s="50" t="s">
        <v>3818</v>
      </c>
      <c r="BZ593" s="50" t="s">
        <v>3819</v>
      </c>
      <c r="CA593" s="50" t="s">
        <v>3818</v>
      </c>
      <c r="CB593" s="50" t="s">
        <v>3817</v>
      </c>
      <c r="CC593" s="50" t="s">
        <v>3818</v>
      </c>
      <c r="CD593" s="50" t="s">
        <v>3819</v>
      </c>
      <c r="CE593" s="50" t="s">
        <v>3817</v>
      </c>
      <c r="CF593" s="50" t="s">
        <v>3818</v>
      </c>
      <c r="CG593" s="50" t="s">
        <v>3819</v>
      </c>
      <c r="CH593" s="50" t="s">
        <v>102</v>
      </c>
      <c r="CI593" s="50" t="s">
        <v>9523</v>
      </c>
      <c r="CK593" s="50" t="s">
        <v>3821</v>
      </c>
      <c r="CM593" s="50" t="s">
        <v>623</v>
      </c>
      <c r="CN593" s="50" t="s">
        <v>621</v>
      </c>
      <c r="CO593" s="50" t="s">
        <v>3821</v>
      </c>
      <c r="CQ593" s="50" t="s">
        <v>9523</v>
      </c>
      <c r="CR593" s="50" t="s">
        <v>9523</v>
      </c>
    </row>
    <row r="594" spans="1:97" hidden="1">
      <c r="A594" s="50" t="s">
        <v>149</v>
      </c>
      <c r="B594" s="50">
        <v>3401697</v>
      </c>
      <c r="C594" s="50" t="e">
        <f>VLOOKUP(B594,'Drop schools 2026'!B:C,2,0)</f>
        <v>#N/A</v>
      </c>
      <c r="D594" s="50" t="s">
        <v>212</v>
      </c>
      <c r="E594" s="50" t="s">
        <v>418</v>
      </c>
      <c r="F594" s="50" t="s">
        <v>5890</v>
      </c>
      <c r="G594" s="50" t="e">
        <f>VLOOKUP(B594,aa!B:F,5,0)</f>
        <v>#N/A</v>
      </c>
      <c r="H594" s="50" t="e">
        <f>VLOOKUP(B594,aa!B:J,9,0)</f>
        <v>#N/A</v>
      </c>
      <c r="I594" s="50" t="e">
        <f>VLOOKUP(B594,aa!B:L,11,0)</f>
        <v>#N/A</v>
      </c>
      <c r="J594" s="50" t="e">
        <f>VLOOKUP(B594,aa!B:O,14,0)</f>
        <v>#N/A</v>
      </c>
      <c r="K594" s="50" t="e">
        <f>VLOOKUP(B594,aa!B:R,17,0)</f>
        <v>#N/A</v>
      </c>
      <c r="L594" s="50" t="s">
        <v>848</v>
      </c>
      <c r="M594" s="50">
        <v>21445</v>
      </c>
      <c r="N594" s="50">
        <v>25305</v>
      </c>
      <c r="O594" s="50">
        <v>0</v>
      </c>
      <c r="P594" s="50">
        <v>0</v>
      </c>
      <c r="R594" s="50">
        <v>0</v>
      </c>
      <c r="S594" s="50">
        <v>0</v>
      </c>
      <c r="U594" s="50">
        <v>21445</v>
      </c>
      <c r="V594" s="50">
        <v>22</v>
      </c>
      <c r="W594" s="50" t="s">
        <v>15864</v>
      </c>
      <c r="X594" s="50" t="s">
        <v>102</v>
      </c>
      <c r="Y594" s="50" t="s">
        <v>103</v>
      </c>
      <c r="Z594" s="50" t="s">
        <v>104</v>
      </c>
      <c r="AB594" s="50" t="s">
        <v>11929</v>
      </c>
      <c r="AC594" s="50" t="s">
        <v>15865</v>
      </c>
      <c r="AD594" s="50" t="s">
        <v>12084</v>
      </c>
      <c r="AE594" s="50" t="s">
        <v>15865</v>
      </c>
      <c r="AF594" s="50" t="s">
        <v>109</v>
      </c>
      <c r="AG594" s="50" t="s">
        <v>102</v>
      </c>
      <c r="AH594" s="50" t="s">
        <v>109</v>
      </c>
      <c r="AI594" s="50" t="s">
        <v>102</v>
      </c>
      <c r="AJ594" s="50" t="s">
        <v>102</v>
      </c>
      <c r="AM594" s="50" t="s">
        <v>15866</v>
      </c>
      <c r="AN594" s="50" t="s">
        <v>102</v>
      </c>
      <c r="AO594" s="50" t="s">
        <v>15866</v>
      </c>
      <c r="AP594" s="50" t="s">
        <v>15867</v>
      </c>
      <c r="AQ594" s="50" t="s">
        <v>15867</v>
      </c>
      <c r="AV594" s="50" t="s">
        <v>102</v>
      </c>
      <c r="AX594" s="50" t="s">
        <v>102</v>
      </c>
      <c r="AY594" s="50" t="s">
        <v>119</v>
      </c>
      <c r="BB594" s="50" t="s">
        <v>250</v>
      </c>
      <c r="BC594" s="50" t="s">
        <v>120</v>
      </c>
      <c r="BD594" s="50" t="s">
        <v>5898</v>
      </c>
      <c r="BE594" s="50" t="s">
        <v>410</v>
      </c>
      <c r="BF594" s="50" t="s">
        <v>212</v>
      </c>
      <c r="BG594" s="50" t="s">
        <v>410</v>
      </c>
      <c r="BH594" s="50" t="s">
        <v>124</v>
      </c>
      <c r="BI594" s="50" t="s">
        <v>15470</v>
      </c>
      <c r="BJ594" s="50" t="s">
        <v>11960</v>
      </c>
      <c r="BK594" s="50" t="s">
        <v>127</v>
      </c>
      <c r="BL594" s="50" t="s">
        <v>15868</v>
      </c>
      <c r="BM594" s="50" t="s">
        <v>5900</v>
      </c>
      <c r="BN594" s="50" t="s">
        <v>15869</v>
      </c>
      <c r="BO594" s="50" t="s">
        <v>13511</v>
      </c>
      <c r="BP594" s="50" t="s">
        <v>866</v>
      </c>
      <c r="BQ594" s="50" t="s">
        <v>132</v>
      </c>
      <c r="BR594" s="50" t="s">
        <v>867</v>
      </c>
      <c r="BS594" s="50" t="s">
        <v>868</v>
      </c>
      <c r="BT594" s="50" t="s">
        <v>418</v>
      </c>
      <c r="BV594" s="50" t="s">
        <v>15870</v>
      </c>
      <c r="BW594" s="50" t="s">
        <v>3220</v>
      </c>
      <c r="BY594" s="50" t="s">
        <v>3221</v>
      </c>
      <c r="BZ594" s="50" t="s">
        <v>3222</v>
      </c>
      <c r="CA594" s="50" t="s">
        <v>5906</v>
      </c>
      <c r="CB594" s="50" t="s">
        <v>15871</v>
      </c>
      <c r="CC594" s="50" t="s">
        <v>3221</v>
      </c>
      <c r="CD594" s="50" t="s">
        <v>3222</v>
      </c>
      <c r="CE594" s="50" t="s">
        <v>15871</v>
      </c>
      <c r="CF594" s="50" t="s">
        <v>3221</v>
      </c>
      <c r="CG594" s="50" t="s">
        <v>3222</v>
      </c>
      <c r="CH594" s="50" t="s">
        <v>3968</v>
      </c>
      <c r="CI594" s="50" t="s">
        <v>5907</v>
      </c>
      <c r="CK594" s="50" t="s">
        <v>5908</v>
      </c>
      <c r="CL594" s="50" t="s">
        <v>5907</v>
      </c>
      <c r="CM594" s="50" t="s">
        <v>5898</v>
      </c>
      <c r="CN594" s="50" t="s">
        <v>410</v>
      </c>
      <c r="CO594" s="50" t="s">
        <v>5908</v>
      </c>
      <c r="CQ594" s="50" t="s">
        <v>5907</v>
      </c>
      <c r="CR594" s="50" t="s">
        <v>5907</v>
      </c>
      <c r="CS594" s="50" t="s">
        <v>26044</v>
      </c>
    </row>
    <row r="595" spans="1:97" hidden="1">
      <c r="A595" s="50" t="s">
        <v>149</v>
      </c>
      <c r="B595" s="50">
        <v>615868</v>
      </c>
      <c r="C595" s="50" t="e">
        <f>VLOOKUP(B595,'Drop schools 2026'!B:C,2,0)</f>
        <v>#N/A</v>
      </c>
      <c r="D595" s="50" t="s">
        <v>212</v>
      </c>
      <c r="E595" s="50" t="s">
        <v>11947</v>
      </c>
      <c r="F595" s="50" t="s">
        <v>11317</v>
      </c>
      <c r="G595" s="50" t="e">
        <f>VLOOKUP(B595,aa!B:F,5,0)</f>
        <v>#N/A</v>
      </c>
      <c r="H595" s="50" t="e">
        <f>VLOOKUP(B595,aa!B:J,9,0)</f>
        <v>#N/A</v>
      </c>
      <c r="I595" s="50" t="e">
        <f>VLOOKUP(B595,aa!B:L,11,0)</f>
        <v>#N/A</v>
      </c>
      <c r="J595" s="50" t="e">
        <f>VLOOKUP(B595,aa!B:O,14,0)</f>
        <v>#N/A</v>
      </c>
      <c r="K595" s="50" t="e">
        <f>VLOOKUP(B595,aa!B:R,17,0)</f>
        <v>#N/A</v>
      </c>
      <c r="L595" s="50" t="s">
        <v>97</v>
      </c>
      <c r="M595" s="50">
        <v>15947</v>
      </c>
      <c r="N595" s="50">
        <v>15947</v>
      </c>
      <c r="O595" s="50">
        <v>15947</v>
      </c>
      <c r="P595" s="50">
        <v>29</v>
      </c>
      <c r="Q595" s="50" t="s">
        <v>3431</v>
      </c>
      <c r="R595" s="50">
        <v>0</v>
      </c>
      <c r="S595" s="50">
        <v>0</v>
      </c>
      <c r="U595" s="50">
        <v>0</v>
      </c>
      <c r="V595" s="50">
        <v>0</v>
      </c>
      <c r="X595" s="50" t="s">
        <v>102</v>
      </c>
      <c r="Y595" s="50" t="s">
        <v>103</v>
      </c>
      <c r="Z595" s="50" t="s">
        <v>104</v>
      </c>
      <c r="AB595" s="50" t="s">
        <v>12040</v>
      </c>
      <c r="AC595" s="50" t="s">
        <v>21240</v>
      </c>
      <c r="AD595" s="50" t="s">
        <v>12713</v>
      </c>
      <c r="AE595" s="50" t="s">
        <v>21241</v>
      </c>
      <c r="AF595" s="50" t="s">
        <v>109</v>
      </c>
      <c r="AG595" s="50" t="s">
        <v>102</v>
      </c>
      <c r="AH595" s="50" t="s">
        <v>109</v>
      </c>
      <c r="AI595" s="50" t="s">
        <v>102</v>
      </c>
      <c r="AJ595" s="50" t="s">
        <v>21242</v>
      </c>
      <c r="AK595" s="50" t="s">
        <v>12427</v>
      </c>
      <c r="AL595" s="50" t="s">
        <v>13386</v>
      </c>
      <c r="AM595" s="50" t="s">
        <v>21243</v>
      </c>
      <c r="AN595" s="50" t="s">
        <v>21244</v>
      </c>
      <c r="AO595" s="50" t="s">
        <v>104</v>
      </c>
      <c r="AP595" s="50" t="s">
        <v>4840</v>
      </c>
      <c r="AQ595" s="50" t="s">
        <v>4840</v>
      </c>
      <c r="AV595" s="50" t="s">
        <v>318</v>
      </c>
      <c r="AW595" s="50" t="s">
        <v>118</v>
      </c>
      <c r="AX595" s="50" t="s">
        <v>102</v>
      </c>
      <c r="AY595" s="50" t="s">
        <v>119</v>
      </c>
      <c r="BC595" s="50" t="s">
        <v>209</v>
      </c>
      <c r="BD595" s="50" t="s">
        <v>920</v>
      </c>
      <c r="BE595" s="50" t="s">
        <v>211</v>
      </c>
      <c r="BF595" s="50" t="s">
        <v>212</v>
      </c>
      <c r="BG595" s="50" t="s">
        <v>213</v>
      </c>
      <c r="BH595" s="50" t="s">
        <v>124</v>
      </c>
      <c r="BI595" s="50" t="s">
        <v>11959</v>
      </c>
      <c r="BJ595" s="50" t="s">
        <v>11889</v>
      </c>
      <c r="BK595" s="50" t="s">
        <v>127</v>
      </c>
      <c r="BL595" s="50" t="s">
        <v>21245</v>
      </c>
      <c r="BM595" s="50" t="s">
        <v>11325</v>
      </c>
      <c r="BN595" s="50" t="s">
        <v>21246</v>
      </c>
      <c r="BO595" s="50" t="s">
        <v>1408</v>
      </c>
      <c r="BP595" s="50" t="s">
        <v>415</v>
      </c>
      <c r="BQ595" s="50" t="s">
        <v>180</v>
      </c>
      <c r="BR595" s="50" t="s">
        <v>416</v>
      </c>
      <c r="BS595" s="50" t="s">
        <v>417</v>
      </c>
      <c r="BT595" s="50" t="s">
        <v>2151</v>
      </c>
      <c r="BV595" s="50" t="s">
        <v>21247</v>
      </c>
      <c r="BW595" s="50" t="s">
        <v>14018</v>
      </c>
      <c r="BX595" s="50" t="s">
        <v>138</v>
      </c>
      <c r="BY595" s="50" t="s">
        <v>3448</v>
      </c>
      <c r="BZ595" s="50" t="s">
        <v>14019</v>
      </c>
      <c r="CA595" s="50" t="s">
        <v>3450</v>
      </c>
      <c r="CB595" s="50" t="s">
        <v>14018</v>
      </c>
      <c r="CC595" s="50" t="s">
        <v>3448</v>
      </c>
      <c r="CD595" s="50" t="s">
        <v>14019</v>
      </c>
      <c r="CE595" s="50" t="s">
        <v>14018</v>
      </c>
      <c r="CF595" s="50" t="s">
        <v>3448</v>
      </c>
      <c r="CG595" s="50" t="s">
        <v>14019</v>
      </c>
      <c r="CH595" s="50" t="s">
        <v>573</v>
      </c>
      <c r="CI595" s="50" t="s">
        <v>11329</v>
      </c>
      <c r="CK595" s="50" t="s">
        <v>3453</v>
      </c>
      <c r="CL595" s="50" t="s">
        <v>21248</v>
      </c>
      <c r="CM595" s="50" t="s">
        <v>920</v>
      </c>
      <c r="CN595" s="50" t="s">
        <v>211</v>
      </c>
      <c r="CO595" s="50" t="s">
        <v>3453</v>
      </c>
      <c r="CP595" s="50" t="s">
        <v>3455</v>
      </c>
      <c r="CQ595" s="50" t="s">
        <v>11329</v>
      </c>
      <c r="CR595" s="50" t="s">
        <v>11329</v>
      </c>
      <c r="CS595" s="50" t="s">
        <v>26043</v>
      </c>
    </row>
    <row r="596" spans="1:97">
      <c r="A596" s="50" t="s">
        <v>337</v>
      </c>
      <c r="B596" s="50">
        <v>5074421</v>
      </c>
      <c r="C596" s="50" t="e">
        <f>VLOOKUP(B596,'Drop schools 2026'!B:C,2,0)</f>
        <v>#N/A</v>
      </c>
      <c r="D596" s="50" t="s">
        <v>122</v>
      </c>
      <c r="E596" s="50" t="s">
        <v>11882</v>
      </c>
      <c r="F596" s="53" t="s">
        <v>20825</v>
      </c>
      <c r="G596" s="50" t="e">
        <f>VLOOKUP(B596,aa!B:F,5,0)</f>
        <v>#N/A</v>
      </c>
      <c r="H596" s="50" t="e">
        <f>VLOOKUP(B596,aa!B:J,9,0)</f>
        <v>#N/A</v>
      </c>
      <c r="I596" s="50" t="e">
        <f>VLOOKUP(B596,aa!B:L,11,0)</f>
        <v>#N/A</v>
      </c>
      <c r="J596" s="50" t="e">
        <f>VLOOKUP(B596,aa!B:O,14,0)</f>
        <v>#N/A</v>
      </c>
      <c r="K596" s="50" t="e">
        <f>VLOOKUP(B596,aa!B:R,17,0)</f>
        <v>#N/A</v>
      </c>
      <c r="L596" s="50" t="s">
        <v>97</v>
      </c>
      <c r="M596" s="50">
        <v>7020</v>
      </c>
      <c r="N596" s="50">
        <v>7020</v>
      </c>
      <c r="O596" s="50">
        <v>7020</v>
      </c>
      <c r="P596" s="50">
        <v>9</v>
      </c>
      <c r="Q596" s="50" t="s">
        <v>2110</v>
      </c>
      <c r="R596" s="50">
        <v>0</v>
      </c>
      <c r="S596" s="50">
        <v>0</v>
      </c>
      <c r="U596" s="50">
        <v>0</v>
      </c>
      <c r="V596" s="50">
        <v>0</v>
      </c>
      <c r="X596" s="50" t="s">
        <v>102</v>
      </c>
      <c r="Y596" s="50" t="s">
        <v>275</v>
      </c>
      <c r="AA596" s="50" t="s">
        <v>18515</v>
      </c>
      <c r="AB596" s="50" t="s">
        <v>109</v>
      </c>
      <c r="AC596" s="50" t="s">
        <v>102</v>
      </c>
      <c r="AD596" s="50" t="s">
        <v>109</v>
      </c>
      <c r="AE596" s="50" t="s">
        <v>102</v>
      </c>
      <c r="AF596" s="50" t="s">
        <v>109</v>
      </c>
      <c r="AG596" s="50" t="s">
        <v>102</v>
      </c>
      <c r="AH596" s="50" t="s">
        <v>109</v>
      </c>
      <c r="AI596" s="50" t="s">
        <v>102</v>
      </c>
      <c r="AJ596" s="50" t="s">
        <v>102</v>
      </c>
      <c r="AM596" s="50" t="s">
        <v>10458</v>
      </c>
      <c r="AN596" s="50" t="s">
        <v>102</v>
      </c>
      <c r="AO596" s="50" t="s">
        <v>10458</v>
      </c>
      <c r="AP596" s="50" t="s">
        <v>3357</v>
      </c>
      <c r="AQ596" s="50" t="s">
        <v>3357</v>
      </c>
      <c r="AV596" s="50" t="s">
        <v>117</v>
      </c>
      <c r="AW596" s="50" t="s">
        <v>118</v>
      </c>
      <c r="AX596" s="50" t="s">
        <v>102</v>
      </c>
      <c r="AY596" s="50" t="s">
        <v>119</v>
      </c>
      <c r="BC596" s="50" t="s">
        <v>120</v>
      </c>
      <c r="BD596" s="50" t="s">
        <v>4153</v>
      </c>
      <c r="BE596" s="50" t="s">
        <v>320</v>
      </c>
      <c r="BF596" s="50" t="s">
        <v>122</v>
      </c>
      <c r="BG596" s="50" t="s">
        <v>123</v>
      </c>
      <c r="BH596" s="50" t="s">
        <v>124</v>
      </c>
      <c r="BI596" s="50" t="s">
        <v>11888</v>
      </c>
      <c r="BJ596" s="50" t="s">
        <v>11889</v>
      </c>
      <c r="BK596" s="50" t="s">
        <v>127</v>
      </c>
      <c r="BL596" s="50" t="s">
        <v>20826</v>
      </c>
      <c r="BM596" s="50" t="s">
        <v>20827</v>
      </c>
      <c r="BN596" s="50" t="s">
        <v>20828</v>
      </c>
      <c r="BO596" s="50" t="s">
        <v>16372</v>
      </c>
      <c r="BP596" s="50" t="s">
        <v>3267</v>
      </c>
      <c r="BQ596" s="50" t="s">
        <v>350</v>
      </c>
      <c r="BR596" s="50" t="s">
        <v>3268</v>
      </c>
      <c r="BS596" s="50" t="s">
        <v>3269</v>
      </c>
      <c r="BT596" s="50" t="s">
        <v>135</v>
      </c>
      <c r="BV596" s="50" t="s">
        <v>20829</v>
      </c>
      <c r="BW596" s="50" t="s">
        <v>6970</v>
      </c>
      <c r="BX596" s="50" t="s">
        <v>138</v>
      </c>
      <c r="BY596" s="50" t="s">
        <v>16693</v>
      </c>
      <c r="BZ596" s="50" t="s">
        <v>16694</v>
      </c>
      <c r="CB596" s="50" t="s">
        <v>6970</v>
      </c>
      <c r="CC596" s="50" t="s">
        <v>16693</v>
      </c>
      <c r="CD596" s="50" t="s">
        <v>16694</v>
      </c>
      <c r="CE596" s="50" t="s">
        <v>6966</v>
      </c>
      <c r="CF596" s="50" t="s">
        <v>6967</v>
      </c>
      <c r="CG596" s="50" t="s">
        <v>16694</v>
      </c>
      <c r="CH596" s="50" t="s">
        <v>102</v>
      </c>
      <c r="CI596" s="50" t="s">
        <v>19014</v>
      </c>
      <c r="CK596" s="50" t="s">
        <v>9897</v>
      </c>
      <c r="CM596" s="50" t="s">
        <v>4153</v>
      </c>
      <c r="CN596" s="50" t="s">
        <v>320</v>
      </c>
      <c r="CO596" s="50" t="s">
        <v>9897</v>
      </c>
      <c r="CQ596" s="50" t="s">
        <v>20830</v>
      </c>
      <c r="CR596" s="50" t="s">
        <v>20830</v>
      </c>
    </row>
    <row r="597" spans="1:97" hidden="1">
      <c r="A597" s="50" t="s">
        <v>337</v>
      </c>
      <c r="B597" s="50">
        <v>2755127</v>
      </c>
      <c r="C597" s="50" t="e">
        <f>VLOOKUP(B597,'Drop schools 2026'!B:C,2,0)</f>
        <v>#N/A</v>
      </c>
      <c r="D597" s="50" t="s">
        <v>622</v>
      </c>
      <c r="E597" s="50" t="s">
        <v>632</v>
      </c>
      <c r="F597" s="50" t="s">
        <v>14688</v>
      </c>
      <c r="G597" s="50" t="e">
        <f>VLOOKUP(B597,aa!B:F,5,0)</f>
        <v>#N/A</v>
      </c>
      <c r="H597" s="50" t="e">
        <f>VLOOKUP(B597,aa!B:J,9,0)</f>
        <v>#N/A</v>
      </c>
      <c r="I597" s="50" t="e">
        <f>VLOOKUP(B597,aa!B:L,11,0)</f>
        <v>#N/A</v>
      </c>
      <c r="J597" s="50" t="e">
        <f>VLOOKUP(B597,aa!B:O,14,0)</f>
        <v>#N/A</v>
      </c>
      <c r="K597" s="50" t="e">
        <f>VLOOKUP(B597,aa!B:R,17,0)</f>
        <v>#N/A</v>
      </c>
      <c r="L597" s="50" t="s">
        <v>97</v>
      </c>
      <c r="M597" s="50">
        <v>0</v>
      </c>
      <c r="N597" s="50">
        <v>0</v>
      </c>
      <c r="O597" s="50">
        <v>0</v>
      </c>
      <c r="P597" s="50">
        <v>920</v>
      </c>
      <c r="Q597" s="50" t="s">
        <v>102</v>
      </c>
      <c r="R597" s="50">
        <v>0</v>
      </c>
      <c r="S597" s="50">
        <v>0</v>
      </c>
      <c r="U597" s="50">
        <v>0</v>
      </c>
      <c r="V597" s="50">
        <v>0</v>
      </c>
      <c r="X597" s="50" t="s">
        <v>102</v>
      </c>
      <c r="Y597" s="50" t="s">
        <v>103</v>
      </c>
      <c r="Z597" s="50" t="s">
        <v>104</v>
      </c>
      <c r="AB597" s="50" t="s">
        <v>14689</v>
      </c>
      <c r="AC597" s="50" t="s">
        <v>102</v>
      </c>
      <c r="AD597" s="50" t="s">
        <v>11976</v>
      </c>
      <c r="AE597" s="50" t="s">
        <v>102</v>
      </c>
      <c r="AF597" s="50" t="s">
        <v>109</v>
      </c>
      <c r="AG597" s="50" t="s">
        <v>102</v>
      </c>
      <c r="AH597" s="50" t="s">
        <v>109</v>
      </c>
      <c r="AI597" s="50" t="s">
        <v>102</v>
      </c>
      <c r="AJ597" s="50" t="s">
        <v>102</v>
      </c>
      <c r="AM597" s="50" t="s">
        <v>102</v>
      </c>
      <c r="AN597" s="50" t="s">
        <v>102</v>
      </c>
      <c r="AO597" s="50" t="s">
        <v>102</v>
      </c>
      <c r="AP597" s="50" t="s">
        <v>115</v>
      </c>
      <c r="AQ597" s="50" t="s">
        <v>115</v>
      </c>
      <c r="AV597" s="50" t="s">
        <v>318</v>
      </c>
      <c r="AW597" s="50" t="s">
        <v>250</v>
      </c>
      <c r="AX597" s="50" t="s">
        <v>102</v>
      </c>
      <c r="AY597" s="50" t="s">
        <v>119</v>
      </c>
      <c r="BC597" s="50" t="s">
        <v>171</v>
      </c>
      <c r="BD597" s="50" t="s">
        <v>623</v>
      </c>
      <c r="BE597" s="50" t="s">
        <v>621</v>
      </c>
      <c r="BF597" s="50" t="s">
        <v>622</v>
      </c>
      <c r="BG597" s="50" t="s">
        <v>623</v>
      </c>
      <c r="BH597" s="50" t="s">
        <v>124</v>
      </c>
      <c r="BI597" s="50" t="s">
        <v>12023</v>
      </c>
      <c r="BJ597" s="50" t="s">
        <v>11889</v>
      </c>
      <c r="BK597" s="50" t="s">
        <v>127</v>
      </c>
      <c r="BL597" s="50" t="s">
        <v>14690</v>
      </c>
      <c r="BM597" s="50" t="s">
        <v>14691</v>
      </c>
      <c r="BN597" s="50" t="s">
        <v>14692</v>
      </c>
      <c r="BO597" s="50" t="s">
        <v>1523</v>
      </c>
      <c r="BP597" s="50" t="s">
        <v>1670</v>
      </c>
      <c r="BQ597" s="50" t="s">
        <v>505</v>
      </c>
      <c r="BR597" s="50" t="s">
        <v>1671</v>
      </c>
      <c r="BS597" s="50" t="s">
        <v>1672</v>
      </c>
      <c r="BT597" s="50" t="s">
        <v>507</v>
      </c>
      <c r="BV597" s="50" t="s">
        <v>14693</v>
      </c>
      <c r="BW597" s="50" t="s">
        <v>14694</v>
      </c>
      <c r="BX597" s="50" t="s">
        <v>569</v>
      </c>
      <c r="BY597" s="50" t="s">
        <v>225</v>
      </c>
      <c r="BZ597" s="50" t="s">
        <v>14695</v>
      </c>
      <c r="CA597" s="50" t="s">
        <v>14696</v>
      </c>
      <c r="CB597" s="50" t="s">
        <v>14697</v>
      </c>
      <c r="CC597" s="50" t="s">
        <v>14698</v>
      </c>
      <c r="CD597" s="50" t="s">
        <v>14695</v>
      </c>
      <c r="CE597" s="50" t="s">
        <v>14699</v>
      </c>
      <c r="CF597" s="50" t="s">
        <v>14696</v>
      </c>
      <c r="CG597" s="50" t="s">
        <v>14700</v>
      </c>
      <c r="CH597" s="50" t="s">
        <v>14701</v>
      </c>
      <c r="CI597" s="50" t="s">
        <v>14702</v>
      </c>
      <c r="CK597" s="50" t="s">
        <v>14703</v>
      </c>
      <c r="CL597" s="50" t="s">
        <v>14702</v>
      </c>
      <c r="CM597" s="50" t="s">
        <v>623</v>
      </c>
      <c r="CN597" s="50" t="s">
        <v>621</v>
      </c>
      <c r="CO597" s="50" t="s">
        <v>14703</v>
      </c>
      <c r="CQ597" s="50" t="s">
        <v>14702</v>
      </c>
      <c r="CR597" s="50" t="s">
        <v>14702</v>
      </c>
      <c r="CS597" s="50" t="s">
        <v>26045</v>
      </c>
    </row>
    <row r="598" spans="1:97" hidden="1">
      <c r="A598" s="50" t="s">
        <v>337</v>
      </c>
      <c r="B598" s="50">
        <v>3838227</v>
      </c>
      <c r="C598" s="50" t="e">
        <f>VLOOKUP(B598,'Drop schools 2026'!B:C,2,0)</f>
        <v>#N/A</v>
      </c>
      <c r="D598" s="50" t="s">
        <v>622</v>
      </c>
      <c r="E598" s="50" t="s">
        <v>632</v>
      </c>
      <c r="F598" s="50" t="s">
        <v>17110</v>
      </c>
      <c r="G598" s="50" t="e">
        <f>VLOOKUP(B598,aa!B:F,5,0)</f>
        <v>#N/A</v>
      </c>
      <c r="H598" s="50" t="e">
        <f>VLOOKUP(B598,aa!B:J,9,0)</f>
        <v>#N/A</v>
      </c>
      <c r="I598" s="50" t="e">
        <f>VLOOKUP(B598,aa!B:L,11,0)</f>
        <v>#N/A</v>
      </c>
      <c r="J598" s="50" t="e">
        <f>VLOOKUP(B598,aa!B:O,14,0)</f>
        <v>#N/A</v>
      </c>
      <c r="K598" s="50" t="e">
        <f>VLOOKUP(B598,aa!B:R,17,0)</f>
        <v>#N/A</v>
      </c>
      <c r="L598" s="50" t="s">
        <v>97</v>
      </c>
      <c r="M598" s="50">
        <v>0</v>
      </c>
      <c r="N598" s="50">
        <v>0</v>
      </c>
      <c r="O598" s="50">
        <v>0</v>
      </c>
      <c r="P598" s="50">
        <v>355</v>
      </c>
      <c r="Q598" s="50" t="s">
        <v>102</v>
      </c>
      <c r="R598" s="50">
        <v>0</v>
      </c>
      <c r="S598" s="50">
        <v>0</v>
      </c>
      <c r="U598" s="50">
        <v>0</v>
      </c>
      <c r="V598" s="50">
        <v>0</v>
      </c>
      <c r="X598" s="50" t="s">
        <v>102</v>
      </c>
      <c r="Y598" s="50" t="s">
        <v>103</v>
      </c>
      <c r="Z598" s="50" t="s">
        <v>104</v>
      </c>
      <c r="AB598" s="50" t="s">
        <v>14689</v>
      </c>
      <c r="AC598" s="50" t="s">
        <v>102</v>
      </c>
      <c r="AD598" s="50" t="s">
        <v>11976</v>
      </c>
      <c r="AE598" s="50" t="s">
        <v>102</v>
      </c>
      <c r="AF598" s="50" t="s">
        <v>109</v>
      </c>
      <c r="AG598" s="50" t="s">
        <v>102</v>
      </c>
      <c r="AH598" s="50" t="s">
        <v>109</v>
      </c>
      <c r="AI598" s="50" t="s">
        <v>102</v>
      </c>
      <c r="AJ598" s="50" t="s">
        <v>102</v>
      </c>
      <c r="AM598" s="50" t="s">
        <v>102</v>
      </c>
      <c r="AN598" s="50" t="s">
        <v>102</v>
      </c>
      <c r="AO598" s="50" t="s">
        <v>102</v>
      </c>
      <c r="AP598" s="50" t="s">
        <v>115</v>
      </c>
      <c r="AQ598" s="50" t="s">
        <v>115</v>
      </c>
      <c r="AV598" s="50" t="s">
        <v>318</v>
      </c>
      <c r="AW598" s="50" t="s">
        <v>250</v>
      </c>
      <c r="AX598" s="50" t="s">
        <v>102</v>
      </c>
      <c r="AY598" s="50" t="s">
        <v>119</v>
      </c>
      <c r="BC598" s="50" t="s">
        <v>171</v>
      </c>
      <c r="BD598" s="50" t="s">
        <v>623</v>
      </c>
      <c r="BE598" s="50" t="s">
        <v>621</v>
      </c>
      <c r="BF598" s="50" t="s">
        <v>622</v>
      </c>
      <c r="BG598" s="50" t="s">
        <v>623</v>
      </c>
      <c r="BH598" s="50" t="s">
        <v>124</v>
      </c>
      <c r="BI598" s="50" t="s">
        <v>12023</v>
      </c>
      <c r="BJ598" s="50" t="s">
        <v>11889</v>
      </c>
      <c r="BK598" s="50" t="s">
        <v>127</v>
      </c>
      <c r="BL598" s="50" t="s">
        <v>17111</v>
      </c>
      <c r="BM598" s="50" t="s">
        <v>17112</v>
      </c>
      <c r="BN598" s="50" t="s">
        <v>17113</v>
      </c>
      <c r="BO598" s="50" t="s">
        <v>1523</v>
      </c>
      <c r="BP598" s="50" t="s">
        <v>1670</v>
      </c>
      <c r="BQ598" s="50" t="s">
        <v>505</v>
      </c>
      <c r="BR598" s="50" t="s">
        <v>1671</v>
      </c>
      <c r="BS598" s="50" t="s">
        <v>1672</v>
      </c>
      <c r="BT598" s="50" t="s">
        <v>507</v>
      </c>
      <c r="BV598" s="50" t="s">
        <v>17114</v>
      </c>
      <c r="BW598" s="50" t="s">
        <v>17115</v>
      </c>
      <c r="BY598" s="50" t="s">
        <v>225</v>
      </c>
      <c r="BZ598" s="50" t="s">
        <v>17116</v>
      </c>
      <c r="CA598" s="50" t="s">
        <v>17117</v>
      </c>
      <c r="CB598" s="50" t="s">
        <v>14697</v>
      </c>
      <c r="CC598" s="50" t="s">
        <v>14698</v>
      </c>
      <c r="CD598" s="50" t="s">
        <v>14695</v>
      </c>
      <c r="CE598" s="50" t="s">
        <v>17118</v>
      </c>
      <c r="CF598" s="50" t="s">
        <v>17117</v>
      </c>
      <c r="CG598" s="50" t="s">
        <v>17119</v>
      </c>
      <c r="CH598" s="50" t="s">
        <v>17120</v>
      </c>
      <c r="CI598" s="50" t="s">
        <v>17121</v>
      </c>
      <c r="CK598" s="50" t="s">
        <v>17122</v>
      </c>
      <c r="CL598" s="50" t="s">
        <v>17121</v>
      </c>
      <c r="CM598" s="50" t="s">
        <v>623</v>
      </c>
      <c r="CN598" s="50" t="s">
        <v>621</v>
      </c>
      <c r="CO598" s="50" t="s">
        <v>17122</v>
      </c>
      <c r="CQ598" s="50" t="s">
        <v>17121</v>
      </c>
      <c r="CR598" s="50" t="s">
        <v>17121</v>
      </c>
      <c r="CS598" s="50" t="s">
        <v>26045</v>
      </c>
    </row>
    <row r="599" spans="1:97" hidden="1">
      <c r="A599" s="50" t="s">
        <v>337</v>
      </c>
      <c r="B599" s="50">
        <v>5018396</v>
      </c>
      <c r="C599" s="50" t="e">
        <f>VLOOKUP(B599,'Drop schools 2026'!B:C,2,0)</f>
        <v>#N/A</v>
      </c>
      <c r="D599" s="50" t="s">
        <v>622</v>
      </c>
      <c r="E599" s="50" t="s">
        <v>632</v>
      </c>
      <c r="F599" s="50" t="s">
        <v>19707</v>
      </c>
      <c r="G599" s="50" t="e">
        <f>VLOOKUP(B599,aa!B:F,5,0)</f>
        <v>#N/A</v>
      </c>
      <c r="H599" s="50" t="e">
        <f>VLOOKUP(B599,aa!B:J,9,0)</f>
        <v>#N/A</v>
      </c>
      <c r="I599" s="50" t="e">
        <f>VLOOKUP(B599,aa!B:L,11,0)</f>
        <v>#N/A</v>
      </c>
      <c r="J599" s="50" t="e">
        <f>VLOOKUP(B599,aa!B:O,14,0)</f>
        <v>#N/A</v>
      </c>
      <c r="K599" s="50" t="e">
        <f>VLOOKUP(B599,aa!B:R,17,0)</f>
        <v>#N/A</v>
      </c>
      <c r="L599" s="50" t="s">
        <v>97</v>
      </c>
      <c r="M599" s="50">
        <v>0</v>
      </c>
      <c r="N599" s="50">
        <v>0</v>
      </c>
      <c r="O599" s="50">
        <v>0</v>
      </c>
      <c r="P599" s="50">
        <v>125</v>
      </c>
      <c r="Q599" s="50" t="s">
        <v>102</v>
      </c>
      <c r="R599" s="50">
        <v>0</v>
      </c>
      <c r="S599" s="50">
        <v>0</v>
      </c>
      <c r="U599" s="50">
        <v>0</v>
      </c>
      <c r="V599" s="50">
        <v>0</v>
      </c>
      <c r="X599" s="50" t="s">
        <v>102</v>
      </c>
      <c r="Y599" s="50" t="s">
        <v>103</v>
      </c>
      <c r="Z599" s="50" t="s">
        <v>104</v>
      </c>
      <c r="AB599" s="50" t="s">
        <v>14689</v>
      </c>
      <c r="AC599" s="50" t="s">
        <v>102</v>
      </c>
      <c r="AD599" s="50" t="s">
        <v>11976</v>
      </c>
      <c r="AE599" s="50" t="s">
        <v>102</v>
      </c>
      <c r="AF599" s="50" t="s">
        <v>109</v>
      </c>
      <c r="AG599" s="50" t="s">
        <v>102</v>
      </c>
      <c r="AH599" s="50" t="s">
        <v>109</v>
      </c>
      <c r="AI599" s="50" t="s">
        <v>102</v>
      </c>
      <c r="AJ599" s="50" t="s">
        <v>102</v>
      </c>
      <c r="AM599" s="50" t="s">
        <v>102</v>
      </c>
      <c r="AN599" s="50" t="s">
        <v>102</v>
      </c>
      <c r="AO599" s="50" t="s">
        <v>102</v>
      </c>
      <c r="AP599" s="50" t="s">
        <v>115</v>
      </c>
      <c r="AQ599" s="50" t="s">
        <v>115</v>
      </c>
      <c r="AV599" s="50" t="s">
        <v>318</v>
      </c>
      <c r="AW599" s="50" t="s">
        <v>250</v>
      </c>
      <c r="AX599" s="50" t="s">
        <v>102</v>
      </c>
      <c r="AY599" s="50" t="s">
        <v>119</v>
      </c>
      <c r="BC599" s="50" t="s">
        <v>1964</v>
      </c>
      <c r="BD599" s="50" t="s">
        <v>620</v>
      </c>
      <c r="BE599" s="50" t="s">
        <v>621</v>
      </c>
      <c r="BF599" s="50" t="s">
        <v>622</v>
      </c>
      <c r="BG599" s="50" t="s">
        <v>623</v>
      </c>
      <c r="BH599" s="50" t="s">
        <v>124</v>
      </c>
      <c r="BI599" s="50" t="s">
        <v>12023</v>
      </c>
      <c r="BJ599" s="50" t="s">
        <v>11889</v>
      </c>
      <c r="BK599" s="50" t="s">
        <v>127</v>
      </c>
      <c r="BL599" s="50" t="s">
        <v>19708</v>
      </c>
      <c r="BM599" s="50" t="s">
        <v>19709</v>
      </c>
      <c r="BN599" s="50" t="s">
        <v>19710</v>
      </c>
      <c r="BO599" s="50" t="s">
        <v>1523</v>
      </c>
      <c r="BP599" s="50" t="s">
        <v>1670</v>
      </c>
      <c r="BQ599" s="50" t="s">
        <v>258</v>
      </c>
      <c r="BR599" s="50" t="s">
        <v>1671</v>
      </c>
      <c r="BS599" s="50" t="s">
        <v>1672</v>
      </c>
      <c r="BT599" s="50" t="s">
        <v>8262</v>
      </c>
      <c r="BV599" s="50" t="s">
        <v>19711</v>
      </c>
      <c r="BW599" s="50" t="s">
        <v>19712</v>
      </c>
      <c r="BX599" s="50" t="s">
        <v>138</v>
      </c>
      <c r="BY599" s="50" t="s">
        <v>225</v>
      </c>
      <c r="BZ599" s="50" t="s">
        <v>19713</v>
      </c>
      <c r="CA599" s="50" t="s">
        <v>19714</v>
      </c>
      <c r="CB599" s="50" t="s">
        <v>14697</v>
      </c>
      <c r="CC599" s="50" t="s">
        <v>14698</v>
      </c>
      <c r="CD599" s="50" t="s">
        <v>14695</v>
      </c>
      <c r="CE599" s="50" t="s">
        <v>19715</v>
      </c>
      <c r="CF599" s="50" t="s">
        <v>19714</v>
      </c>
      <c r="CG599" s="50" t="s">
        <v>19716</v>
      </c>
      <c r="CH599" s="50" t="s">
        <v>19717</v>
      </c>
      <c r="CI599" s="50" t="s">
        <v>19718</v>
      </c>
      <c r="CK599" s="50" t="s">
        <v>19719</v>
      </c>
      <c r="CL599" s="50" t="s">
        <v>19718</v>
      </c>
      <c r="CM599" s="50" t="s">
        <v>620</v>
      </c>
      <c r="CN599" s="50" t="s">
        <v>621</v>
      </c>
      <c r="CO599" s="50" t="s">
        <v>19719</v>
      </c>
      <c r="CQ599" s="50" t="s">
        <v>19718</v>
      </c>
      <c r="CR599" s="50" t="s">
        <v>19718</v>
      </c>
      <c r="CS599" s="50" t="s">
        <v>26045</v>
      </c>
    </row>
    <row r="600" spans="1:97" hidden="1">
      <c r="A600" s="50" t="s">
        <v>93</v>
      </c>
      <c r="B600" s="50">
        <v>4156961</v>
      </c>
      <c r="C600" s="50" t="e">
        <f>VLOOKUP(B600,'Drop schools 2026'!B:C,2,0)</f>
        <v>#N/A</v>
      </c>
      <c r="D600" s="50" t="s">
        <v>122</v>
      </c>
      <c r="E600" s="50" t="s">
        <v>12491</v>
      </c>
      <c r="F600" s="50" t="s">
        <v>8782</v>
      </c>
      <c r="G600" s="50" t="e">
        <f>VLOOKUP(B600,aa!B:F,5,0)</f>
        <v>#N/A</v>
      </c>
      <c r="H600" s="50" t="e">
        <f>VLOOKUP(B600,aa!B:J,9,0)</f>
        <v>#N/A</v>
      </c>
      <c r="I600" s="50" t="e">
        <f>VLOOKUP(B600,aa!B:L,11,0)</f>
        <v>#N/A</v>
      </c>
      <c r="J600" s="50" t="e">
        <f>VLOOKUP(B600,aa!B:O,14,0)</f>
        <v>#N/A</v>
      </c>
      <c r="K600" s="50" t="e">
        <f>VLOOKUP(B600,aa!B:R,17,0)</f>
        <v>#N/A</v>
      </c>
      <c r="L600" s="50" t="s">
        <v>193</v>
      </c>
      <c r="M600" s="50">
        <v>0</v>
      </c>
      <c r="N600" s="50">
        <v>0</v>
      </c>
      <c r="O600" s="50">
        <v>0</v>
      </c>
      <c r="P600" s="50">
        <v>83</v>
      </c>
      <c r="Q600" s="50" t="s">
        <v>102</v>
      </c>
      <c r="R600" s="50">
        <v>0</v>
      </c>
      <c r="S600" s="50">
        <v>0</v>
      </c>
      <c r="U600" s="50">
        <v>0</v>
      </c>
      <c r="V600" s="50">
        <v>37</v>
      </c>
      <c r="W600" s="50" t="s">
        <v>102</v>
      </c>
      <c r="X600" s="50" t="s">
        <v>102</v>
      </c>
      <c r="Y600" s="50" t="s">
        <v>275</v>
      </c>
      <c r="AA600" s="50" t="s">
        <v>18207</v>
      </c>
      <c r="AB600" s="50" t="s">
        <v>109</v>
      </c>
      <c r="AC600" s="50" t="s">
        <v>102</v>
      </c>
      <c r="AD600" s="50" t="s">
        <v>109</v>
      </c>
      <c r="AE600" s="50" t="s">
        <v>102</v>
      </c>
      <c r="AF600" s="50" t="s">
        <v>109</v>
      </c>
      <c r="AG600" s="50" t="s">
        <v>102</v>
      </c>
      <c r="AH600" s="50" t="s">
        <v>109</v>
      </c>
      <c r="AI600" s="50" t="s">
        <v>102</v>
      </c>
      <c r="AJ600" s="50" t="s">
        <v>102</v>
      </c>
      <c r="AM600" s="50" t="s">
        <v>102</v>
      </c>
      <c r="AN600" s="50" t="s">
        <v>102</v>
      </c>
      <c r="AO600" s="50" t="s">
        <v>102</v>
      </c>
      <c r="AP600" s="50" t="s">
        <v>115</v>
      </c>
      <c r="AQ600" s="50" t="s">
        <v>115</v>
      </c>
      <c r="AV600" s="50" t="s">
        <v>588</v>
      </c>
      <c r="AW600" s="50" t="s">
        <v>2203</v>
      </c>
      <c r="AX600" s="50" t="s">
        <v>102</v>
      </c>
      <c r="AY600" s="50" t="s">
        <v>119</v>
      </c>
      <c r="BB600" s="50" t="s">
        <v>250</v>
      </c>
      <c r="BC600" s="50" t="s">
        <v>120</v>
      </c>
      <c r="BD600" s="50" t="s">
        <v>814</v>
      </c>
      <c r="BE600" s="50" t="s">
        <v>320</v>
      </c>
      <c r="BF600" s="50" t="s">
        <v>122</v>
      </c>
      <c r="BG600" s="50" t="s">
        <v>123</v>
      </c>
      <c r="BH600" s="50" t="s">
        <v>124</v>
      </c>
      <c r="BI600" s="50" t="s">
        <v>15312</v>
      </c>
      <c r="BJ600" s="50" t="s">
        <v>11889</v>
      </c>
      <c r="BK600" s="50" t="s">
        <v>127</v>
      </c>
      <c r="BL600" s="50" t="s">
        <v>18208</v>
      </c>
      <c r="BM600" s="50" t="s">
        <v>8786</v>
      </c>
      <c r="BN600" s="50" t="s">
        <v>18209</v>
      </c>
      <c r="BO600" s="50" t="s">
        <v>18206</v>
      </c>
      <c r="BP600" s="50" t="s">
        <v>8788</v>
      </c>
      <c r="BQ600" s="50" t="s">
        <v>696</v>
      </c>
      <c r="BR600" s="50" t="s">
        <v>8789</v>
      </c>
      <c r="BS600" s="50" t="s">
        <v>8790</v>
      </c>
      <c r="BT600" s="50" t="s">
        <v>1006</v>
      </c>
      <c r="BV600" s="50" t="s">
        <v>18210</v>
      </c>
      <c r="BW600" s="50" t="s">
        <v>18211</v>
      </c>
      <c r="BX600" s="50" t="s">
        <v>354</v>
      </c>
      <c r="BY600" s="50" t="s">
        <v>8792</v>
      </c>
      <c r="BZ600" s="50" t="s">
        <v>18212</v>
      </c>
      <c r="CA600" s="50" t="s">
        <v>8792</v>
      </c>
      <c r="CB600" s="50" t="s">
        <v>18211</v>
      </c>
      <c r="CC600" s="50" t="s">
        <v>8792</v>
      </c>
      <c r="CD600" s="50" t="s">
        <v>18212</v>
      </c>
      <c r="CE600" s="50" t="s">
        <v>18211</v>
      </c>
      <c r="CF600" s="50" t="s">
        <v>8792</v>
      </c>
      <c r="CG600" s="50" t="s">
        <v>18212</v>
      </c>
      <c r="CH600" s="50" t="s">
        <v>8793</v>
      </c>
      <c r="CI600" s="50" t="s">
        <v>8794</v>
      </c>
      <c r="CK600" s="50" t="s">
        <v>8795</v>
      </c>
      <c r="CL600" s="50" t="s">
        <v>8794</v>
      </c>
      <c r="CM600" s="50" t="s">
        <v>814</v>
      </c>
      <c r="CN600" s="50" t="s">
        <v>320</v>
      </c>
      <c r="CO600" s="50" t="s">
        <v>8795</v>
      </c>
      <c r="CQ600" s="50" t="s">
        <v>8794</v>
      </c>
      <c r="CR600" s="50" t="s">
        <v>8794</v>
      </c>
    </row>
    <row r="601" spans="1:97" hidden="1">
      <c r="A601" s="50" t="s">
        <v>149</v>
      </c>
      <c r="B601" s="50">
        <v>5018344</v>
      </c>
      <c r="C601" s="50" t="e">
        <f>VLOOKUP(B601,'Drop schools 2026'!B:C,2,0)</f>
        <v>#N/A</v>
      </c>
      <c r="D601" s="50" t="s">
        <v>122</v>
      </c>
      <c r="E601" s="50" t="s">
        <v>18464</v>
      </c>
      <c r="F601" s="50" t="s">
        <v>10689</v>
      </c>
      <c r="G601" s="50" t="e">
        <f>VLOOKUP(B601,aa!B:F,5,0)</f>
        <v>#N/A</v>
      </c>
      <c r="H601" s="50" t="e">
        <f>VLOOKUP(B601,aa!B:J,9,0)</f>
        <v>#N/A</v>
      </c>
      <c r="I601" s="50" t="e">
        <f>VLOOKUP(B601,aa!B:L,11,0)</f>
        <v>#N/A</v>
      </c>
      <c r="J601" s="50" t="e">
        <f>VLOOKUP(B601,aa!B:O,14,0)</f>
        <v>#N/A</v>
      </c>
      <c r="K601" s="50" t="e">
        <f>VLOOKUP(B601,aa!B:R,17,0)</f>
        <v>#N/A</v>
      </c>
      <c r="L601" s="50" t="s">
        <v>97</v>
      </c>
      <c r="M601" s="50">
        <v>0</v>
      </c>
      <c r="N601" s="50">
        <v>0</v>
      </c>
      <c r="O601" s="50">
        <v>0</v>
      </c>
      <c r="P601" s="50">
        <v>18</v>
      </c>
      <c r="Q601" s="50" t="s">
        <v>102</v>
      </c>
      <c r="R601" s="50">
        <v>0</v>
      </c>
      <c r="S601" s="50">
        <v>0</v>
      </c>
      <c r="U601" s="50">
        <v>0</v>
      </c>
      <c r="V601" s="50">
        <v>0</v>
      </c>
      <c r="X601" s="50" t="s">
        <v>102</v>
      </c>
      <c r="Y601" s="50" t="s">
        <v>275</v>
      </c>
      <c r="AA601" s="50" t="s">
        <v>4045</v>
      </c>
      <c r="AB601" s="50" t="s">
        <v>109</v>
      </c>
      <c r="AC601" s="50" t="s">
        <v>102</v>
      </c>
      <c r="AD601" s="50" t="s">
        <v>109</v>
      </c>
      <c r="AE601" s="50" t="s">
        <v>102</v>
      </c>
      <c r="AF601" s="50" t="s">
        <v>109</v>
      </c>
      <c r="AG601" s="50" t="s">
        <v>102</v>
      </c>
      <c r="AH601" s="50" t="s">
        <v>109</v>
      </c>
      <c r="AI601" s="50" t="s">
        <v>102</v>
      </c>
      <c r="AJ601" s="50" t="s">
        <v>102</v>
      </c>
      <c r="AM601" s="50" t="s">
        <v>102</v>
      </c>
      <c r="AN601" s="50" t="s">
        <v>102</v>
      </c>
      <c r="AO601" s="50" t="s">
        <v>102</v>
      </c>
      <c r="AP601" s="50" t="s">
        <v>115</v>
      </c>
      <c r="AQ601" s="50" t="s">
        <v>115</v>
      </c>
      <c r="AV601" s="50" t="s">
        <v>117</v>
      </c>
      <c r="AW601" s="50" t="s">
        <v>250</v>
      </c>
      <c r="AX601" s="50" t="s">
        <v>102</v>
      </c>
      <c r="AY601" s="50" t="s">
        <v>119</v>
      </c>
      <c r="BC601" s="50" t="s">
        <v>9282</v>
      </c>
      <c r="BD601" s="50" t="s">
        <v>9082</v>
      </c>
      <c r="BE601" s="50" t="s">
        <v>10691</v>
      </c>
      <c r="BF601" s="50" t="s">
        <v>122</v>
      </c>
      <c r="BG601" s="50" t="s">
        <v>253</v>
      </c>
      <c r="BH601" s="50" t="s">
        <v>124</v>
      </c>
      <c r="BI601" s="50" t="s">
        <v>232</v>
      </c>
      <c r="BJ601" s="50" t="s">
        <v>16918</v>
      </c>
      <c r="BK601" s="50" t="s">
        <v>127</v>
      </c>
      <c r="BL601" s="50" t="s">
        <v>19646</v>
      </c>
      <c r="BM601" s="50" t="s">
        <v>10693</v>
      </c>
      <c r="BN601" s="50" t="s">
        <v>19647</v>
      </c>
      <c r="BO601" s="50" t="s">
        <v>8186</v>
      </c>
      <c r="BP601" s="50" t="s">
        <v>3267</v>
      </c>
      <c r="BQ601" s="50" t="s">
        <v>258</v>
      </c>
      <c r="BR601" s="50" t="s">
        <v>3268</v>
      </c>
      <c r="BS601" s="50" t="s">
        <v>3269</v>
      </c>
      <c r="BT601" s="50" t="s">
        <v>135</v>
      </c>
      <c r="BV601" s="50" t="s">
        <v>19648</v>
      </c>
      <c r="BW601" s="50" t="s">
        <v>18607</v>
      </c>
      <c r="BX601" s="50" t="s">
        <v>354</v>
      </c>
      <c r="BY601" s="50" t="s">
        <v>18608</v>
      </c>
      <c r="BZ601" s="50" t="s">
        <v>18609</v>
      </c>
      <c r="CA601" s="50" t="s">
        <v>9287</v>
      </c>
      <c r="CB601" s="50" t="s">
        <v>18607</v>
      </c>
      <c r="CC601" s="50" t="s">
        <v>18608</v>
      </c>
      <c r="CD601" s="50" t="s">
        <v>18609</v>
      </c>
      <c r="CE601" s="50" t="s">
        <v>18607</v>
      </c>
      <c r="CF601" s="50" t="s">
        <v>18608</v>
      </c>
      <c r="CG601" s="50" t="s">
        <v>18609</v>
      </c>
      <c r="CH601" s="50" t="s">
        <v>102</v>
      </c>
      <c r="CI601" s="50" t="s">
        <v>19649</v>
      </c>
      <c r="CK601" s="50" t="s">
        <v>9102</v>
      </c>
      <c r="CM601" s="50" t="s">
        <v>10704</v>
      </c>
      <c r="CN601" s="50" t="s">
        <v>10691</v>
      </c>
      <c r="CO601" s="50" t="s">
        <v>9291</v>
      </c>
      <c r="CQ601" s="50" t="s">
        <v>10702</v>
      </c>
      <c r="CR601" s="50" t="s">
        <v>10703</v>
      </c>
    </row>
    <row r="602" spans="1:97" hidden="1">
      <c r="A602" s="50" t="s">
        <v>149</v>
      </c>
      <c r="B602" s="50">
        <v>5018142</v>
      </c>
      <c r="C602" s="50" t="e">
        <f>VLOOKUP(B602,'Drop schools 2026'!B:C,2,0)</f>
        <v>#N/A</v>
      </c>
      <c r="D602" s="50" t="s">
        <v>212</v>
      </c>
      <c r="E602" s="50" t="s">
        <v>11995</v>
      </c>
      <c r="F602" s="50" t="s">
        <v>10469</v>
      </c>
      <c r="G602" s="50" t="e">
        <f>VLOOKUP(B602,aa!B:F,5,0)</f>
        <v>#N/A</v>
      </c>
      <c r="H602" s="50" t="e">
        <f>VLOOKUP(B602,aa!B:J,9,0)</f>
        <v>#N/A</v>
      </c>
      <c r="I602" s="50" t="e">
        <f>VLOOKUP(B602,aa!B:L,11,0)</f>
        <v>#N/A</v>
      </c>
      <c r="J602" s="50" t="e">
        <f>VLOOKUP(B602,aa!B:O,14,0)</f>
        <v>#N/A</v>
      </c>
      <c r="K602" s="50" t="e">
        <f>VLOOKUP(B602,aa!B:R,17,0)</f>
        <v>#N/A</v>
      </c>
      <c r="L602" s="50" t="s">
        <v>97</v>
      </c>
      <c r="M602" s="50">
        <v>0</v>
      </c>
      <c r="N602" s="50">
        <v>0</v>
      </c>
      <c r="O602" s="50">
        <v>0</v>
      </c>
      <c r="P602" s="50">
        <v>4</v>
      </c>
      <c r="Q602" s="50" t="s">
        <v>102</v>
      </c>
      <c r="R602" s="50">
        <v>0</v>
      </c>
      <c r="S602" s="50">
        <v>0</v>
      </c>
      <c r="U602" s="50">
        <v>0</v>
      </c>
      <c r="V602" s="50">
        <v>0</v>
      </c>
      <c r="X602" s="50" t="s">
        <v>102</v>
      </c>
      <c r="Y602" s="50" t="s">
        <v>275</v>
      </c>
      <c r="AA602" s="50" t="s">
        <v>4045</v>
      </c>
      <c r="AB602" s="50" t="s">
        <v>109</v>
      </c>
      <c r="AC602" s="50" t="s">
        <v>102</v>
      </c>
      <c r="AD602" s="50" t="s">
        <v>109</v>
      </c>
      <c r="AE602" s="50" t="s">
        <v>102</v>
      </c>
      <c r="AF602" s="50" t="s">
        <v>109</v>
      </c>
      <c r="AG602" s="50" t="s">
        <v>102</v>
      </c>
      <c r="AH602" s="50" t="s">
        <v>109</v>
      </c>
      <c r="AI602" s="50" t="s">
        <v>102</v>
      </c>
      <c r="AJ602" s="50" t="s">
        <v>102</v>
      </c>
      <c r="AM602" s="50" t="s">
        <v>102</v>
      </c>
      <c r="AN602" s="50" t="s">
        <v>102</v>
      </c>
      <c r="AO602" s="50" t="s">
        <v>102</v>
      </c>
      <c r="AP602" s="50" t="s">
        <v>115</v>
      </c>
      <c r="AQ602" s="50" t="s">
        <v>115</v>
      </c>
      <c r="AV602" s="50" t="s">
        <v>117</v>
      </c>
      <c r="AW602" s="50" t="s">
        <v>250</v>
      </c>
      <c r="AX602" s="50" t="s">
        <v>102</v>
      </c>
      <c r="AY602" s="50" t="s">
        <v>119</v>
      </c>
      <c r="BC602" s="50" t="s">
        <v>209</v>
      </c>
      <c r="BD602" s="50" t="s">
        <v>284</v>
      </c>
      <c r="BE602" s="50" t="s">
        <v>285</v>
      </c>
      <c r="BF602" s="50" t="s">
        <v>212</v>
      </c>
      <c r="BG602" s="50" t="s">
        <v>286</v>
      </c>
      <c r="BH602" s="50" t="s">
        <v>124</v>
      </c>
      <c r="BI602" s="50" t="s">
        <v>12023</v>
      </c>
      <c r="BJ602" s="50" t="s">
        <v>11889</v>
      </c>
      <c r="BK602" s="50" t="s">
        <v>127</v>
      </c>
      <c r="BL602" s="50" t="s">
        <v>19391</v>
      </c>
      <c r="BM602" s="50" t="s">
        <v>10472</v>
      </c>
      <c r="BN602" s="50" t="s">
        <v>19392</v>
      </c>
      <c r="BO602" s="50" t="s">
        <v>4045</v>
      </c>
      <c r="BP602" s="50" t="s">
        <v>956</v>
      </c>
      <c r="BQ602" s="50" t="s">
        <v>258</v>
      </c>
      <c r="BR602" s="50" t="s">
        <v>958</v>
      </c>
      <c r="BS602" s="50" t="s">
        <v>959</v>
      </c>
      <c r="BT602" s="50" t="s">
        <v>4765</v>
      </c>
      <c r="BV602" s="50" t="s">
        <v>19393</v>
      </c>
      <c r="BW602" s="50" t="s">
        <v>3585</v>
      </c>
      <c r="BX602" s="50" t="s">
        <v>598</v>
      </c>
      <c r="BY602" s="50" t="s">
        <v>6400</v>
      </c>
      <c r="BZ602" s="50" t="s">
        <v>226</v>
      </c>
      <c r="CB602" s="50" t="s">
        <v>19394</v>
      </c>
      <c r="CC602" s="50" t="s">
        <v>19395</v>
      </c>
      <c r="CD602" s="50" t="s">
        <v>10477</v>
      </c>
      <c r="CE602" s="50" t="s">
        <v>19394</v>
      </c>
      <c r="CF602" s="50" t="s">
        <v>19395</v>
      </c>
      <c r="CG602" s="50" t="s">
        <v>10477</v>
      </c>
      <c r="CH602" s="50" t="s">
        <v>102</v>
      </c>
      <c r="CI602" s="50" t="s">
        <v>19396</v>
      </c>
      <c r="CK602" s="50" t="s">
        <v>10479</v>
      </c>
      <c r="CM602" s="50" t="s">
        <v>284</v>
      </c>
      <c r="CN602" s="50" t="s">
        <v>285</v>
      </c>
      <c r="CO602" s="50" t="s">
        <v>10479</v>
      </c>
      <c r="CQ602" s="50" t="s">
        <v>10480</v>
      </c>
      <c r="CR602" s="50" t="s">
        <v>10480</v>
      </c>
      <c r="CS602" s="50" t="s">
        <v>26048</v>
      </c>
    </row>
    <row r="603" spans="1:97" hidden="1">
      <c r="A603" s="50" t="s">
        <v>337</v>
      </c>
      <c r="B603" s="50">
        <v>4052744</v>
      </c>
      <c r="C603" s="50" t="str">
        <f>VLOOKUP(B603,RISK!B:C,2,0)</f>
        <v>Risk</v>
      </c>
      <c r="D603" s="50" t="s">
        <v>622</v>
      </c>
      <c r="E603" s="50" t="s">
        <v>632</v>
      </c>
      <c r="F603" s="50" t="s">
        <v>18017</v>
      </c>
      <c r="G603" s="50" t="e">
        <f>VLOOKUP(B603,aa!B:F,5,0)</f>
        <v>#N/A</v>
      </c>
      <c r="H603" s="50" t="e">
        <f>VLOOKUP(B603,aa!B:J,9,0)</f>
        <v>#N/A</v>
      </c>
      <c r="I603" s="50" t="e">
        <f>VLOOKUP(B603,aa!B:L,11,0)</f>
        <v>#N/A</v>
      </c>
      <c r="J603" s="50" t="e">
        <f>VLOOKUP(B603,aa!B:O,14,0)</f>
        <v>#N/A</v>
      </c>
      <c r="K603" s="50" t="e">
        <f>VLOOKUP(B603,aa!B:R,17,0)</f>
        <v>#N/A</v>
      </c>
      <c r="L603" s="50" t="s">
        <v>97</v>
      </c>
      <c r="M603" s="50">
        <v>0</v>
      </c>
      <c r="N603" s="50">
        <v>0</v>
      </c>
      <c r="O603" s="50">
        <v>0</v>
      </c>
      <c r="P603" s="50">
        <v>1261</v>
      </c>
      <c r="Q603" s="50" t="s">
        <v>102</v>
      </c>
      <c r="R603" s="50">
        <v>0</v>
      </c>
      <c r="S603" s="50">
        <v>0</v>
      </c>
      <c r="U603" s="50">
        <v>0</v>
      </c>
      <c r="V603" s="50">
        <v>0</v>
      </c>
      <c r="X603" s="50" t="s">
        <v>102</v>
      </c>
      <c r="Y603" s="50" t="s">
        <v>275</v>
      </c>
      <c r="AA603" s="50" t="s">
        <v>411</v>
      </c>
      <c r="AB603" s="50" t="s">
        <v>109</v>
      </c>
      <c r="AC603" s="50" t="s">
        <v>102</v>
      </c>
      <c r="AD603" s="50" t="s">
        <v>109</v>
      </c>
      <c r="AE603" s="50" t="s">
        <v>102</v>
      </c>
      <c r="AF603" s="50" t="s">
        <v>109</v>
      </c>
      <c r="AG603" s="50" t="s">
        <v>102</v>
      </c>
      <c r="AH603" s="50" t="s">
        <v>109</v>
      </c>
      <c r="AI603" s="50" t="s">
        <v>102</v>
      </c>
      <c r="AJ603" s="50" t="s">
        <v>102</v>
      </c>
      <c r="AM603" s="50" t="s">
        <v>102</v>
      </c>
      <c r="AN603" s="50" t="s">
        <v>102</v>
      </c>
      <c r="AO603" s="50" t="s">
        <v>102</v>
      </c>
      <c r="AP603" s="50" t="s">
        <v>115</v>
      </c>
      <c r="AQ603" s="50" t="s">
        <v>115</v>
      </c>
      <c r="AV603" s="50" t="s">
        <v>318</v>
      </c>
      <c r="AW603" s="50" t="s">
        <v>118</v>
      </c>
      <c r="AX603" s="50" t="s">
        <v>102</v>
      </c>
      <c r="AY603" s="50" t="s">
        <v>119</v>
      </c>
      <c r="BC603" s="50" t="s">
        <v>120</v>
      </c>
      <c r="BD603" s="50" t="s">
        <v>2127</v>
      </c>
      <c r="BE603" s="50" t="s">
        <v>621</v>
      </c>
      <c r="BF603" s="50" t="s">
        <v>622</v>
      </c>
      <c r="BG603" s="50" t="s">
        <v>976</v>
      </c>
      <c r="BH603" s="50" t="s">
        <v>124</v>
      </c>
      <c r="BI603" s="50" t="s">
        <v>11976</v>
      </c>
      <c r="BJ603" s="50" t="s">
        <v>12289</v>
      </c>
      <c r="BK603" s="50" t="s">
        <v>127</v>
      </c>
      <c r="BL603" s="50" t="s">
        <v>18018</v>
      </c>
      <c r="BM603" s="50" t="s">
        <v>8650</v>
      </c>
      <c r="BN603" s="50" t="s">
        <v>18019</v>
      </c>
      <c r="BO603" s="50" t="s">
        <v>4813</v>
      </c>
      <c r="BP603" s="50" t="s">
        <v>13638</v>
      </c>
      <c r="BQ603" s="50" t="s">
        <v>505</v>
      </c>
      <c r="BR603" s="50" t="s">
        <v>13639</v>
      </c>
      <c r="BS603" s="50" t="s">
        <v>13640</v>
      </c>
      <c r="BT603" s="50" t="s">
        <v>2847</v>
      </c>
      <c r="BV603" s="50" t="s">
        <v>18020</v>
      </c>
      <c r="BW603" s="50" t="s">
        <v>18021</v>
      </c>
      <c r="BX603" s="50" t="s">
        <v>138</v>
      </c>
      <c r="BY603" s="50" t="s">
        <v>8652</v>
      </c>
      <c r="BZ603" s="50" t="s">
        <v>8651</v>
      </c>
      <c r="CA603" s="50" t="s">
        <v>8652</v>
      </c>
      <c r="CB603" s="50" t="s">
        <v>18022</v>
      </c>
      <c r="CC603" s="50" t="s">
        <v>8652</v>
      </c>
      <c r="CD603" s="50" t="s">
        <v>8651</v>
      </c>
      <c r="CE603" s="50" t="s">
        <v>12096</v>
      </c>
      <c r="CF603" s="50" t="s">
        <v>8652</v>
      </c>
      <c r="CG603" s="50" t="s">
        <v>18023</v>
      </c>
      <c r="CH603" s="50" t="s">
        <v>8653</v>
      </c>
      <c r="CI603" s="50" t="s">
        <v>8654</v>
      </c>
      <c r="CK603" s="50" t="s">
        <v>8655</v>
      </c>
      <c r="CL603" s="50" t="s">
        <v>18024</v>
      </c>
      <c r="CM603" s="50" t="s">
        <v>2127</v>
      </c>
      <c r="CN603" s="50" t="s">
        <v>621</v>
      </c>
      <c r="CO603" s="50" t="s">
        <v>8655</v>
      </c>
      <c r="CQ603" s="50" t="s">
        <v>8656</v>
      </c>
      <c r="CR603" s="50" t="s">
        <v>8654</v>
      </c>
      <c r="CS603" s="50" t="s">
        <v>26042</v>
      </c>
    </row>
    <row r="604" spans="1:97" hidden="1">
      <c r="A604" s="50" t="s">
        <v>337</v>
      </c>
      <c r="B604" s="50">
        <v>5017865</v>
      </c>
      <c r="C604" s="50" t="str">
        <f>VLOOKUP(B604,RISK!B:C,2,0)</f>
        <v>Risk</v>
      </c>
      <c r="D604" s="50" t="s">
        <v>622</v>
      </c>
      <c r="E604" s="50" t="s">
        <v>632</v>
      </c>
      <c r="F604" s="50" t="s">
        <v>19245</v>
      </c>
      <c r="G604" s="50" t="e">
        <f>VLOOKUP(B604,aa!B:F,5,0)</f>
        <v>#N/A</v>
      </c>
      <c r="H604" s="50" t="e">
        <f>VLOOKUP(B604,aa!B:J,9,0)</f>
        <v>#N/A</v>
      </c>
      <c r="I604" s="50" t="e">
        <f>VLOOKUP(B604,aa!B:L,11,0)</f>
        <v>#N/A</v>
      </c>
      <c r="J604" s="50" t="e">
        <f>VLOOKUP(B604,aa!B:O,14,0)</f>
        <v>#N/A</v>
      </c>
      <c r="K604" s="50" t="e">
        <f>VLOOKUP(B604,aa!B:R,17,0)</f>
        <v>#N/A</v>
      </c>
      <c r="L604" s="50" t="s">
        <v>97</v>
      </c>
      <c r="M604" s="50">
        <v>0</v>
      </c>
      <c r="N604" s="50">
        <v>0</v>
      </c>
      <c r="O604" s="50">
        <v>0</v>
      </c>
      <c r="P604" s="50">
        <v>457</v>
      </c>
      <c r="Q604" s="50" t="s">
        <v>102</v>
      </c>
      <c r="R604" s="50">
        <v>0</v>
      </c>
      <c r="S604" s="50">
        <v>0</v>
      </c>
      <c r="U604" s="50">
        <v>0</v>
      </c>
      <c r="V604" s="50">
        <v>0</v>
      </c>
      <c r="X604" s="50" t="s">
        <v>102</v>
      </c>
      <c r="Y604" s="50" t="s">
        <v>275</v>
      </c>
      <c r="AA604" s="50" t="s">
        <v>14000</v>
      </c>
      <c r="AB604" s="50" t="s">
        <v>109</v>
      </c>
      <c r="AC604" s="50" t="s">
        <v>102</v>
      </c>
      <c r="AD604" s="50" t="s">
        <v>109</v>
      </c>
      <c r="AE604" s="50" t="s">
        <v>102</v>
      </c>
      <c r="AF604" s="50" t="s">
        <v>109</v>
      </c>
      <c r="AG604" s="50" t="s">
        <v>102</v>
      </c>
      <c r="AH604" s="50" t="s">
        <v>109</v>
      </c>
      <c r="AI604" s="50" t="s">
        <v>102</v>
      </c>
      <c r="AJ604" s="50" t="s">
        <v>102</v>
      </c>
      <c r="AM604" s="50" t="s">
        <v>102</v>
      </c>
      <c r="AN604" s="50" t="s">
        <v>102</v>
      </c>
      <c r="AO604" s="50" t="s">
        <v>102</v>
      </c>
      <c r="AP604" s="50" t="s">
        <v>115</v>
      </c>
      <c r="AQ604" s="50" t="s">
        <v>115</v>
      </c>
      <c r="AV604" s="50" t="s">
        <v>318</v>
      </c>
      <c r="AW604" s="50" t="s">
        <v>118</v>
      </c>
      <c r="AX604" s="50" t="s">
        <v>102</v>
      </c>
      <c r="AY604" s="50" t="s">
        <v>119</v>
      </c>
      <c r="BC604" s="50" t="s">
        <v>120</v>
      </c>
      <c r="BD604" s="50" t="s">
        <v>2127</v>
      </c>
      <c r="BE604" s="50" t="s">
        <v>621</v>
      </c>
      <c r="BF604" s="50" t="s">
        <v>622</v>
      </c>
      <c r="BG604" s="50" t="s">
        <v>976</v>
      </c>
      <c r="BH604" s="50" t="s">
        <v>124</v>
      </c>
      <c r="BI604" s="50" t="s">
        <v>11976</v>
      </c>
      <c r="BJ604" s="50" t="s">
        <v>12289</v>
      </c>
      <c r="BK604" s="50" t="s">
        <v>127</v>
      </c>
      <c r="BL604" s="50" t="s">
        <v>19246</v>
      </c>
      <c r="BM604" s="50" t="s">
        <v>19247</v>
      </c>
      <c r="BN604" s="50" t="s">
        <v>19248</v>
      </c>
      <c r="BO604" s="50" t="s">
        <v>8783</v>
      </c>
      <c r="BP604" s="50" t="s">
        <v>13638</v>
      </c>
      <c r="BQ604" s="50" t="s">
        <v>505</v>
      </c>
      <c r="BR604" s="50" t="s">
        <v>13639</v>
      </c>
      <c r="BS604" s="50" t="s">
        <v>13640</v>
      </c>
      <c r="BT604" s="50" t="s">
        <v>984</v>
      </c>
      <c r="BV604" s="50" t="s">
        <v>19249</v>
      </c>
      <c r="BW604" s="50" t="s">
        <v>19250</v>
      </c>
      <c r="BX604" s="50" t="s">
        <v>569</v>
      </c>
      <c r="BY604" s="50" t="s">
        <v>19251</v>
      </c>
      <c r="BZ604" s="50" t="s">
        <v>19252</v>
      </c>
      <c r="CA604" s="50" t="s">
        <v>19251</v>
      </c>
      <c r="CB604" s="50" t="s">
        <v>19250</v>
      </c>
      <c r="CC604" s="50" t="s">
        <v>19251</v>
      </c>
      <c r="CD604" s="50" t="s">
        <v>19252</v>
      </c>
      <c r="CE604" s="50" t="s">
        <v>19250</v>
      </c>
      <c r="CF604" s="50" t="s">
        <v>19251</v>
      </c>
      <c r="CG604" s="50" t="s">
        <v>19252</v>
      </c>
      <c r="CH604" s="50" t="s">
        <v>19253</v>
      </c>
      <c r="CI604" s="50" t="s">
        <v>19254</v>
      </c>
      <c r="CK604" s="50" t="s">
        <v>19255</v>
      </c>
      <c r="CL604" s="50" t="s">
        <v>19256</v>
      </c>
      <c r="CM604" s="50" t="s">
        <v>2127</v>
      </c>
      <c r="CN604" s="50" t="s">
        <v>621</v>
      </c>
      <c r="CO604" s="50" t="s">
        <v>19255</v>
      </c>
      <c r="CQ604" s="50" t="s">
        <v>19257</v>
      </c>
      <c r="CR604" s="50" t="s">
        <v>19258</v>
      </c>
      <c r="CS604" s="50" t="s">
        <v>26042</v>
      </c>
    </row>
    <row r="605" spans="1:97">
      <c r="A605" s="50" t="s">
        <v>337</v>
      </c>
      <c r="B605" s="50">
        <v>4104626</v>
      </c>
      <c r="C605" s="50" t="str">
        <f>VLOOKUP(B605,RISK!B:C,2,0)</f>
        <v>Risk</v>
      </c>
      <c r="D605" s="50" t="s">
        <v>122</v>
      </c>
      <c r="E605" s="50" t="s">
        <v>12018</v>
      </c>
      <c r="F605" s="50" t="s">
        <v>18091</v>
      </c>
      <c r="G605" s="50" t="e">
        <f>VLOOKUP(B605,aa!B:F,5,0)</f>
        <v>#N/A</v>
      </c>
      <c r="H605" s="50" t="e">
        <f>VLOOKUP(B605,aa!B:J,9,0)</f>
        <v>#N/A</v>
      </c>
      <c r="I605" s="50" t="e">
        <f>VLOOKUP(B605,aa!B:L,11,0)</f>
        <v>#N/A</v>
      </c>
      <c r="J605" s="50" t="e">
        <f>VLOOKUP(B605,aa!B:O,14,0)</f>
        <v>#N/A</v>
      </c>
      <c r="K605" s="50" t="e">
        <f>VLOOKUP(B605,aa!B:R,17,0)</f>
        <v>#N/A</v>
      </c>
      <c r="L605" s="50" t="s">
        <v>848</v>
      </c>
      <c r="M605" s="50">
        <v>0</v>
      </c>
      <c r="N605" s="50">
        <v>0</v>
      </c>
      <c r="O605" s="50">
        <v>0</v>
      </c>
      <c r="P605" s="50">
        <v>0</v>
      </c>
      <c r="R605" s="50">
        <v>0</v>
      </c>
      <c r="S605" s="50">
        <v>0</v>
      </c>
      <c r="U605" s="50">
        <v>0</v>
      </c>
      <c r="V605" s="50">
        <v>326</v>
      </c>
      <c r="W605" s="50" t="s">
        <v>102</v>
      </c>
      <c r="X605" s="50" t="s">
        <v>102</v>
      </c>
      <c r="Y605" s="50" t="s">
        <v>275</v>
      </c>
      <c r="AA605" s="50" t="s">
        <v>12492</v>
      </c>
      <c r="AB605" s="50" t="s">
        <v>109</v>
      </c>
      <c r="AC605" s="50" t="s">
        <v>102</v>
      </c>
      <c r="AD605" s="50" t="s">
        <v>109</v>
      </c>
      <c r="AE605" s="50" t="s">
        <v>102</v>
      </c>
      <c r="AF605" s="50" t="s">
        <v>109</v>
      </c>
      <c r="AG605" s="50" t="s">
        <v>102</v>
      </c>
      <c r="AH605" s="50" t="s">
        <v>109</v>
      </c>
      <c r="AI605" s="50" t="s">
        <v>102</v>
      </c>
      <c r="AJ605" s="50" t="s">
        <v>102</v>
      </c>
      <c r="AM605" s="50" t="s">
        <v>102</v>
      </c>
      <c r="AN605" s="50" t="s">
        <v>102</v>
      </c>
      <c r="AO605" s="50" t="s">
        <v>102</v>
      </c>
      <c r="AP605" s="50" t="s">
        <v>115</v>
      </c>
      <c r="AQ605" s="50" t="s">
        <v>115</v>
      </c>
      <c r="AV605" s="50" t="s">
        <v>102</v>
      </c>
      <c r="AX605" s="50" t="s">
        <v>102</v>
      </c>
      <c r="AY605" s="50" t="s">
        <v>119</v>
      </c>
      <c r="BB605" s="50" t="s">
        <v>250</v>
      </c>
      <c r="BC605" s="50" t="s">
        <v>120</v>
      </c>
      <c r="BD605" s="50" t="s">
        <v>18092</v>
      </c>
      <c r="BE605" s="50" t="s">
        <v>2800</v>
      </c>
      <c r="BF605" s="50" t="s">
        <v>122</v>
      </c>
      <c r="BG605" s="50" t="s">
        <v>346</v>
      </c>
      <c r="BH605" s="50" t="s">
        <v>124</v>
      </c>
      <c r="BI605" s="50" t="s">
        <v>12023</v>
      </c>
      <c r="BJ605" s="50" t="s">
        <v>11889</v>
      </c>
      <c r="BK605" s="50" t="s">
        <v>127</v>
      </c>
      <c r="BL605" s="50" t="s">
        <v>18093</v>
      </c>
      <c r="BM605" s="50" t="s">
        <v>18094</v>
      </c>
      <c r="BN605" s="50" t="s">
        <v>18095</v>
      </c>
      <c r="BO605" s="50" t="s">
        <v>13769</v>
      </c>
      <c r="BP605" s="50" t="s">
        <v>593</v>
      </c>
      <c r="BQ605" s="50" t="s">
        <v>350</v>
      </c>
      <c r="BR605" s="50" t="s">
        <v>594</v>
      </c>
      <c r="BS605" s="50" t="s">
        <v>595</v>
      </c>
      <c r="BT605" s="50" t="s">
        <v>8756</v>
      </c>
      <c r="BV605" s="50" t="s">
        <v>18096</v>
      </c>
      <c r="BW605" s="50" t="s">
        <v>18097</v>
      </c>
      <c r="BX605" s="50" t="s">
        <v>354</v>
      </c>
      <c r="BY605" s="50" t="s">
        <v>18098</v>
      </c>
      <c r="BZ605" s="50" t="s">
        <v>18099</v>
      </c>
      <c r="CA605" s="50" t="s">
        <v>18100</v>
      </c>
      <c r="CB605" s="50" t="s">
        <v>18101</v>
      </c>
      <c r="CC605" s="50" t="s">
        <v>18100</v>
      </c>
      <c r="CD605" s="50" t="s">
        <v>18102</v>
      </c>
      <c r="CE605" s="50" t="s">
        <v>18103</v>
      </c>
      <c r="CF605" s="50" t="s">
        <v>18100</v>
      </c>
      <c r="CG605" s="50" t="s">
        <v>18104</v>
      </c>
      <c r="CH605" s="50" t="s">
        <v>102</v>
      </c>
      <c r="CI605" s="50" t="s">
        <v>18105</v>
      </c>
      <c r="CK605" s="50" t="s">
        <v>18106</v>
      </c>
      <c r="CM605" s="50" t="s">
        <v>18092</v>
      </c>
      <c r="CN605" s="50" t="s">
        <v>2800</v>
      </c>
      <c r="CO605" s="50" t="s">
        <v>18106</v>
      </c>
      <c r="CQ605" s="50" t="s">
        <v>18105</v>
      </c>
      <c r="CR605" s="50" t="s">
        <v>18105</v>
      </c>
    </row>
    <row r="606" spans="1:97" hidden="1">
      <c r="A606" s="50" t="s">
        <v>149</v>
      </c>
      <c r="B606" s="50">
        <v>5014602</v>
      </c>
      <c r="C606" s="50" t="e">
        <f>VLOOKUP(B606,'Drop schools 2026'!B:C,2,0)</f>
        <v>#N/A</v>
      </c>
      <c r="D606" s="50" t="s">
        <v>122</v>
      </c>
      <c r="E606" s="50" t="s">
        <v>18599</v>
      </c>
      <c r="F606" s="50" t="s">
        <v>23438</v>
      </c>
      <c r="G606" s="50" t="e">
        <f>VLOOKUP(B606,aa!B:F,5,0)</f>
        <v>#N/A</v>
      </c>
      <c r="H606" s="50" t="e">
        <f>VLOOKUP(B606,aa!B:J,9,0)</f>
        <v>#N/A</v>
      </c>
      <c r="I606" s="50" t="e">
        <f>VLOOKUP(B606,aa!B:L,11,0)</f>
        <v>#N/A</v>
      </c>
      <c r="J606" s="50" t="e">
        <f>VLOOKUP(B606,aa!B:O,14,0)</f>
        <v>#N/A</v>
      </c>
      <c r="K606" s="50" t="e">
        <f>VLOOKUP(B606,aa!B:R,17,0)</f>
        <v>#N/A</v>
      </c>
      <c r="L606" s="50" t="s">
        <v>2884</v>
      </c>
      <c r="M606" s="50">
        <v>0</v>
      </c>
      <c r="N606" s="50">
        <v>0</v>
      </c>
      <c r="O606" s="50">
        <v>0</v>
      </c>
      <c r="P606" s="50">
        <v>309</v>
      </c>
      <c r="Q606" s="50" t="s">
        <v>102</v>
      </c>
      <c r="R606" s="50">
        <v>0</v>
      </c>
      <c r="S606" s="50">
        <v>354</v>
      </c>
      <c r="T606" s="50" t="s">
        <v>102</v>
      </c>
      <c r="U606" s="50">
        <v>0</v>
      </c>
      <c r="V606" s="50">
        <v>379</v>
      </c>
      <c r="W606" s="50" t="s">
        <v>102</v>
      </c>
      <c r="X606" s="50" t="s">
        <v>102</v>
      </c>
      <c r="Y606" s="50" t="s">
        <v>275</v>
      </c>
      <c r="AA606" s="50" t="s">
        <v>18601</v>
      </c>
      <c r="AB606" s="50" t="s">
        <v>109</v>
      </c>
      <c r="AC606" s="50" t="s">
        <v>102</v>
      </c>
      <c r="AD606" s="50" t="s">
        <v>109</v>
      </c>
      <c r="AE606" s="50" t="s">
        <v>102</v>
      </c>
      <c r="AF606" s="50" t="s">
        <v>109</v>
      </c>
      <c r="AG606" s="50" t="s">
        <v>102</v>
      </c>
      <c r="AH606" s="50" t="s">
        <v>109</v>
      </c>
      <c r="AI606" s="50" t="s">
        <v>102</v>
      </c>
      <c r="AJ606" s="50" t="s">
        <v>102</v>
      </c>
      <c r="AM606" s="50" t="s">
        <v>102</v>
      </c>
      <c r="AN606" s="50" t="s">
        <v>102</v>
      </c>
      <c r="AO606" s="50" t="s">
        <v>102</v>
      </c>
      <c r="AP606" s="50" t="s">
        <v>115</v>
      </c>
      <c r="AQ606" s="50" t="s">
        <v>115</v>
      </c>
      <c r="AV606" s="50" t="s">
        <v>18576</v>
      </c>
      <c r="AW606" s="50" t="s">
        <v>250</v>
      </c>
      <c r="AX606" s="50" t="s">
        <v>155</v>
      </c>
      <c r="AY606" s="50" t="s">
        <v>119</v>
      </c>
      <c r="BA606" s="50" t="s">
        <v>250</v>
      </c>
      <c r="BB606" s="50" t="s">
        <v>250</v>
      </c>
      <c r="BC606" s="50" t="s">
        <v>9282</v>
      </c>
      <c r="BD606" s="50" t="s">
        <v>18602</v>
      </c>
      <c r="BE606" s="50" t="s">
        <v>449</v>
      </c>
      <c r="BF606" s="50" t="s">
        <v>122</v>
      </c>
      <c r="BG606" s="50" t="s">
        <v>253</v>
      </c>
      <c r="BH606" s="50" t="s">
        <v>124</v>
      </c>
      <c r="BI606" s="50" t="s">
        <v>18603</v>
      </c>
      <c r="BJ606" s="50" t="s">
        <v>12963</v>
      </c>
      <c r="BK606" s="50" t="s">
        <v>127</v>
      </c>
      <c r="BL606" s="50" t="s">
        <v>18604</v>
      </c>
      <c r="BM606" s="50" t="s">
        <v>9284</v>
      </c>
      <c r="BN606" s="50" t="s">
        <v>18605</v>
      </c>
      <c r="BO606" s="50" t="s">
        <v>18600</v>
      </c>
      <c r="BP606" s="50" t="s">
        <v>3267</v>
      </c>
      <c r="BQ606" s="50" t="s">
        <v>350</v>
      </c>
      <c r="BR606" s="50" t="s">
        <v>3268</v>
      </c>
      <c r="BS606" s="50" t="s">
        <v>3269</v>
      </c>
      <c r="BT606" s="50" t="s">
        <v>135</v>
      </c>
      <c r="BV606" s="50" t="s">
        <v>18606</v>
      </c>
      <c r="BW606" s="50" t="s">
        <v>18607</v>
      </c>
      <c r="BX606" s="50" t="s">
        <v>354</v>
      </c>
      <c r="BY606" s="50" t="s">
        <v>18608</v>
      </c>
      <c r="BZ606" s="50" t="s">
        <v>18609</v>
      </c>
      <c r="CA606" s="50" t="s">
        <v>9287</v>
      </c>
      <c r="CB606" s="50" t="s">
        <v>18607</v>
      </c>
      <c r="CC606" s="50" t="s">
        <v>18608</v>
      </c>
      <c r="CD606" s="50" t="s">
        <v>18610</v>
      </c>
      <c r="CE606" s="50" t="s">
        <v>18607</v>
      </c>
      <c r="CF606" s="50" t="s">
        <v>18608</v>
      </c>
      <c r="CG606" s="50" t="s">
        <v>18610</v>
      </c>
      <c r="CH606" s="50" t="s">
        <v>102</v>
      </c>
      <c r="CI606" s="50" t="s">
        <v>18611</v>
      </c>
      <c r="CK606" s="50" t="s">
        <v>9102</v>
      </c>
      <c r="CM606" s="50" t="s">
        <v>9290</v>
      </c>
      <c r="CN606" s="50" t="s">
        <v>449</v>
      </c>
      <c r="CO606" s="50" t="s">
        <v>9291</v>
      </c>
      <c r="CQ606" s="50" t="s">
        <v>9288</v>
      </c>
      <c r="CR606" s="50" t="s">
        <v>9289</v>
      </c>
    </row>
    <row r="607" spans="1:97" hidden="1">
      <c r="A607" s="50" t="s">
        <v>149</v>
      </c>
      <c r="B607" s="50">
        <v>5018143</v>
      </c>
      <c r="C607" s="50" t="e">
        <f>VLOOKUP(B607,'Drop schools 2026'!B:C,2,0)</f>
        <v>#N/A</v>
      </c>
      <c r="D607" s="50" t="s">
        <v>212</v>
      </c>
      <c r="E607" s="50" t="s">
        <v>11995</v>
      </c>
      <c r="F607" s="50" t="s">
        <v>10481</v>
      </c>
      <c r="G607" s="50" t="e">
        <f>VLOOKUP(B607,aa!B:F,5,0)</f>
        <v>#N/A</v>
      </c>
      <c r="H607" s="50" t="e">
        <f>VLOOKUP(B607,aa!B:J,9,0)</f>
        <v>#N/A</v>
      </c>
      <c r="I607" s="50" t="e">
        <f>VLOOKUP(B607,aa!B:L,11,0)</f>
        <v>#N/A</v>
      </c>
      <c r="J607" s="50" t="e">
        <f>VLOOKUP(B607,aa!B:O,14,0)</f>
        <v>#N/A</v>
      </c>
      <c r="K607" s="50" t="e">
        <f>VLOOKUP(B607,aa!B:R,17,0)</f>
        <v>#N/A</v>
      </c>
      <c r="L607" s="50" t="s">
        <v>1746</v>
      </c>
      <c r="M607" s="50">
        <v>0</v>
      </c>
      <c r="N607" s="50">
        <v>0</v>
      </c>
      <c r="O607" s="50">
        <v>0</v>
      </c>
      <c r="P607" s="50">
        <v>186</v>
      </c>
      <c r="Q607" s="50" t="s">
        <v>102</v>
      </c>
      <c r="R607" s="50">
        <v>0</v>
      </c>
      <c r="S607" s="50">
        <v>186</v>
      </c>
      <c r="T607" s="50" t="s">
        <v>102</v>
      </c>
      <c r="U607" s="50">
        <v>0</v>
      </c>
      <c r="V607" s="50">
        <v>256</v>
      </c>
      <c r="W607" s="50" t="s">
        <v>102</v>
      </c>
      <c r="X607" s="50" t="s">
        <v>102</v>
      </c>
      <c r="Y607" s="50" t="s">
        <v>275</v>
      </c>
      <c r="AA607" s="50" t="s">
        <v>8537</v>
      </c>
      <c r="AB607" s="50" t="s">
        <v>109</v>
      </c>
      <c r="AC607" s="50" t="s">
        <v>102</v>
      </c>
      <c r="AD607" s="50" t="s">
        <v>109</v>
      </c>
      <c r="AE607" s="50" t="s">
        <v>102</v>
      </c>
      <c r="AF607" s="50" t="s">
        <v>109</v>
      </c>
      <c r="AG607" s="50" t="s">
        <v>102</v>
      </c>
      <c r="AH607" s="50" t="s">
        <v>109</v>
      </c>
      <c r="AI607" s="50" t="s">
        <v>102</v>
      </c>
      <c r="AJ607" s="50" t="s">
        <v>102</v>
      </c>
      <c r="AM607" s="50" t="s">
        <v>102</v>
      </c>
      <c r="AN607" s="50" t="s">
        <v>102</v>
      </c>
      <c r="AO607" s="50" t="s">
        <v>102</v>
      </c>
      <c r="AP607" s="50" t="s">
        <v>115</v>
      </c>
      <c r="AQ607" s="50" t="s">
        <v>115</v>
      </c>
      <c r="AV607" s="50" t="s">
        <v>6700</v>
      </c>
      <c r="AW607" s="50" t="s">
        <v>250</v>
      </c>
      <c r="AX607" s="50" t="s">
        <v>104</v>
      </c>
      <c r="AY607" s="50" t="s">
        <v>119</v>
      </c>
      <c r="BA607" s="50" t="s">
        <v>250</v>
      </c>
      <c r="BB607" s="50" t="s">
        <v>250</v>
      </c>
      <c r="BC607" s="50" t="s">
        <v>209</v>
      </c>
      <c r="BD607" s="50" t="s">
        <v>284</v>
      </c>
      <c r="BE607" s="50" t="s">
        <v>285</v>
      </c>
      <c r="BF607" s="50" t="s">
        <v>212</v>
      </c>
      <c r="BG607" s="50" t="s">
        <v>286</v>
      </c>
      <c r="BH607" s="50" t="s">
        <v>124</v>
      </c>
      <c r="BI607" s="50" t="s">
        <v>11959</v>
      </c>
      <c r="BJ607" s="50" t="s">
        <v>12047</v>
      </c>
      <c r="BK607" s="50" t="s">
        <v>127</v>
      </c>
      <c r="BL607" s="50" t="s">
        <v>19397</v>
      </c>
      <c r="BM607" s="50" t="s">
        <v>10484</v>
      </c>
      <c r="BN607" s="50" t="s">
        <v>19398</v>
      </c>
      <c r="BO607" s="50" t="s">
        <v>8537</v>
      </c>
      <c r="BP607" s="50" t="s">
        <v>956</v>
      </c>
      <c r="BQ607" s="50" t="s">
        <v>258</v>
      </c>
      <c r="BR607" s="50" t="s">
        <v>958</v>
      </c>
      <c r="BS607" s="50" t="s">
        <v>959</v>
      </c>
      <c r="BT607" s="50" t="s">
        <v>4765</v>
      </c>
      <c r="BV607" s="50" t="s">
        <v>19399</v>
      </c>
      <c r="BW607" s="50" t="s">
        <v>3585</v>
      </c>
      <c r="BX607" s="50" t="s">
        <v>598</v>
      </c>
      <c r="BY607" s="50" t="s">
        <v>225</v>
      </c>
      <c r="BZ607" s="50" t="s">
        <v>226</v>
      </c>
      <c r="CB607" s="50" t="s">
        <v>10476</v>
      </c>
      <c r="CC607" s="50" t="s">
        <v>19395</v>
      </c>
      <c r="CD607" s="50" t="s">
        <v>10477</v>
      </c>
      <c r="CE607" s="50" t="s">
        <v>10476</v>
      </c>
      <c r="CF607" s="50" t="s">
        <v>19395</v>
      </c>
      <c r="CG607" s="50" t="s">
        <v>10477</v>
      </c>
      <c r="CH607" s="50" t="s">
        <v>102</v>
      </c>
      <c r="CI607" s="50" t="s">
        <v>19396</v>
      </c>
      <c r="CK607" s="50" t="s">
        <v>10479</v>
      </c>
      <c r="CM607" s="50" t="s">
        <v>284</v>
      </c>
      <c r="CN607" s="50" t="s">
        <v>285</v>
      </c>
      <c r="CO607" s="50" t="s">
        <v>10479</v>
      </c>
      <c r="CQ607" s="50" t="s">
        <v>10480</v>
      </c>
      <c r="CR607" s="50" t="s">
        <v>10480</v>
      </c>
      <c r="CS607" s="50" t="s">
        <v>26048</v>
      </c>
    </row>
    <row r="608" spans="1:97" hidden="1">
      <c r="A608" s="50" t="s">
        <v>149</v>
      </c>
      <c r="B608" s="50">
        <v>5002504</v>
      </c>
      <c r="C608" s="50" t="e">
        <f>VLOOKUP(B608,'Drop schools 2026'!B:C,2,0)</f>
        <v>#N/A</v>
      </c>
      <c r="D608" s="50" t="s">
        <v>122</v>
      </c>
      <c r="E608" s="50" t="s">
        <v>18464</v>
      </c>
      <c r="F608" s="50" t="s">
        <v>9076</v>
      </c>
      <c r="G608" s="50" t="e">
        <f>VLOOKUP(B608,aa!B:F,5,0)</f>
        <v>#N/A</v>
      </c>
      <c r="H608" s="50" t="e">
        <f>VLOOKUP(B608,aa!B:J,9,0)</f>
        <v>#N/A</v>
      </c>
      <c r="I608" s="50" t="e">
        <f>VLOOKUP(B608,aa!B:L,11,0)</f>
        <v>#N/A</v>
      </c>
      <c r="J608" s="50" t="e">
        <f>VLOOKUP(B608,aa!B:O,14,0)</f>
        <v>#N/A</v>
      </c>
      <c r="K608" s="50" t="e">
        <f>VLOOKUP(B608,aa!B:R,17,0)</f>
        <v>#N/A</v>
      </c>
      <c r="L608" s="50" t="s">
        <v>1746</v>
      </c>
      <c r="M608" s="50">
        <v>0</v>
      </c>
      <c r="N608" s="50">
        <v>0</v>
      </c>
      <c r="O608" s="50">
        <v>0</v>
      </c>
      <c r="P608" s="50">
        <v>385</v>
      </c>
      <c r="Q608" s="50" t="s">
        <v>102</v>
      </c>
      <c r="R608" s="50">
        <v>0</v>
      </c>
      <c r="S608" s="50">
        <v>385</v>
      </c>
      <c r="T608" s="50" t="s">
        <v>102</v>
      </c>
      <c r="U608" s="50">
        <v>0</v>
      </c>
      <c r="V608" s="50">
        <v>525</v>
      </c>
      <c r="W608" s="50" t="s">
        <v>102</v>
      </c>
      <c r="X608" s="50" t="s">
        <v>102</v>
      </c>
      <c r="Y608" s="50" t="s">
        <v>275</v>
      </c>
      <c r="AA608" s="50" t="s">
        <v>12819</v>
      </c>
      <c r="AB608" s="50" t="s">
        <v>109</v>
      </c>
      <c r="AC608" s="50" t="s">
        <v>102</v>
      </c>
      <c r="AD608" s="50" t="s">
        <v>109</v>
      </c>
      <c r="AE608" s="50" t="s">
        <v>102</v>
      </c>
      <c r="AF608" s="50" t="s">
        <v>109</v>
      </c>
      <c r="AG608" s="50" t="s">
        <v>102</v>
      </c>
      <c r="AH608" s="50" t="s">
        <v>109</v>
      </c>
      <c r="AI608" s="50" t="s">
        <v>102</v>
      </c>
      <c r="AJ608" s="50" t="s">
        <v>102</v>
      </c>
      <c r="AM608" s="50" t="s">
        <v>102</v>
      </c>
      <c r="AN608" s="50" t="s">
        <v>102</v>
      </c>
      <c r="AO608" s="50" t="s">
        <v>102</v>
      </c>
      <c r="AP608" s="50" t="s">
        <v>115</v>
      </c>
      <c r="AQ608" s="50" t="s">
        <v>115</v>
      </c>
      <c r="AV608" s="50" t="s">
        <v>6700</v>
      </c>
      <c r="AW608" s="50" t="s">
        <v>250</v>
      </c>
      <c r="AX608" s="50" t="s">
        <v>155</v>
      </c>
      <c r="AY608" s="50" t="s">
        <v>119</v>
      </c>
      <c r="BA608" s="50" t="s">
        <v>250</v>
      </c>
      <c r="BB608" s="50" t="s">
        <v>250</v>
      </c>
      <c r="BC608" s="50" t="s">
        <v>120</v>
      </c>
      <c r="BD608" s="50" t="s">
        <v>9082</v>
      </c>
      <c r="BE608" s="50" t="s">
        <v>1244</v>
      </c>
      <c r="BF608" s="50" t="s">
        <v>122</v>
      </c>
      <c r="BG608" s="50" t="s">
        <v>1244</v>
      </c>
      <c r="BH608" s="50" t="s">
        <v>124</v>
      </c>
      <c r="BI608" s="50" t="s">
        <v>6715</v>
      </c>
      <c r="BJ608" s="50" t="s">
        <v>11889</v>
      </c>
      <c r="BK608" s="50" t="s">
        <v>127</v>
      </c>
      <c r="BL608" s="50" t="s">
        <v>18465</v>
      </c>
      <c r="BM608" s="50" t="s">
        <v>9085</v>
      </c>
      <c r="BN608" s="50" t="s">
        <v>18466</v>
      </c>
      <c r="BO608" s="50" t="s">
        <v>7439</v>
      </c>
      <c r="BP608" s="50" t="s">
        <v>18467</v>
      </c>
      <c r="BQ608" s="50" t="s">
        <v>505</v>
      </c>
      <c r="BR608" s="50" t="s">
        <v>18468</v>
      </c>
      <c r="BS608" s="50" t="s">
        <v>18469</v>
      </c>
      <c r="BT608" s="50" t="s">
        <v>261</v>
      </c>
      <c r="BV608" s="50" t="s">
        <v>18470</v>
      </c>
      <c r="BW608" s="50" t="s">
        <v>18471</v>
      </c>
      <c r="BX608" s="50" t="s">
        <v>354</v>
      </c>
      <c r="BY608" s="50" t="s">
        <v>10448</v>
      </c>
      <c r="BZ608" s="50" t="s">
        <v>9098</v>
      </c>
      <c r="CA608" s="50" t="s">
        <v>9095</v>
      </c>
      <c r="CB608" s="50" t="s">
        <v>18471</v>
      </c>
      <c r="CC608" s="50" t="s">
        <v>10448</v>
      </c>
      <c r="CD608" s="50" t="s">
        <v>9098</v>
      </c>
      <c r="CE608" s="50" t="s">
        <v>18471</v>
      </c>
      <c r="CF608" s="50" t="s">
        <v>10448</v>
      </c>
      <c r="CG608" s="50" t="s">
        <v>9098</v>
      </c>
      <c r="CH608" s="50" t="s">
        <v>102</v>
      </c>
      <c r="CI608" s="50" t="s">
        <v>18472</v>
      </c>
      <c r="CK608" s="50" t="s">
        <v>9102</v>
      </c>
      <c r="CM608" s="50" t="s">
        <v>9082</v>
      </c>
      <c r="CN608" s="50" t="s">
        <v>1244</v>
      </c>
      <c r="CO608" s="50" t="s">
        <v>9102</v>
      </c>
      <c r="CQ608" s="50" t="s">
        <v>9103</v>
      </c>
      <c r="CR608" s="50" t="s">
        <v>9103</v>
      </c>
    </row>
    <row r="609" spans="1:97" hidden="1">
      <c r="A609" s="50" t="s">
        <v>149</v>
      </c>
      <c r="B609" s="50">
        <v>2560999</v>
      </c>
      <c r="C609" s="50" t="e">
        <f>VLOOKUP(B609,'Drop schools 2026'!B:C,2,0)</f>
        <v>#N/A</v>
      </c>
      <c r="D609" s="50" t="s">
        <v>122</v>
      </c>
      <c r="E609" s="50" t="s">
        <v>13158</v>
      </c>
      <c r="F609" s="50" t="s">
        <v>4067</v>
      </c>
      <c r="G609" s="50" t="e">
        <f>VLOOKUP(B609,aa!B:F,5,0)</f>
        <v>#N/A</v>
      </c>
      <c r="H609" s="50" t="e">
        <f>VLOOKUP(B609,aa!B:J,9,0)</f>
        <v>#N/A</v>
      </c>
      <c r="I609" s="50" t="e">
        <f>VLOOKUP(B609,aa!B:L,11,0)</f>
        <v>#N/A</v>
      </c>
      <c r="J609" s="50" t="e">
        <f>VLOOKUP(B609,aa!B:O,14,0)</f>
        <v>#N/A</v>
      </c>
      <c r="K609" s="50" t="e">
        <f>VLOOKUP(B609,aa!B:R,17,0)</f>
        <v>#N/A</v>
      </c>
      <c r="L609" s="50" t="s">
        <v>97</v>
      </c>
      <c r="M609" s="50">
        <v>0</v>
      </c>
      <c r="N609" s="50">
        <v>0</v>
      </c>
      <c r="O609" s="50">
        <v>0</v>
      </c>
      <c r="P609" s="50">
        <v>394</v>
      </c>
      <c r="Q609" s="50" t="s">
        <v>102</v>
      </c>
      <c r="R609" s="50">
        <v>0</v>
      </c>
      <c r="S609" s="50">
        <v>0</v>
      </c>
      <c r="U609" s="50">
        <v>0</v>
      </c>
      <c r="V609" s="50">
        <v>0</v>
      </c>
      <c r="X609" s="50" t="s">
        <v>102</v>
      </c>
      <c r="Y609" s="50" t="s">
        <v>275</v>
      </c>
      <c r="AA609" s="50" t="s">
        <v>14534</v>
      </c>
      <c r="AB609" s="50" t="s">
        <v>109</v>
      </c>
      <c r="AC609" s="50" t="s">
        <v>102</v>
      </c>
      <c r="AD609" s="50" t="s">
        <v>109</v>
      </c>
      <c r="AE609" s="50" t="s">
        <v>102</v>
      </c>
      <c r="AF609" s="50" t="s">
        <v>109</v>
      </c>
      <c r="AG609" s="50" t="s">
        <v>102</v>
      </c>
      <c r="AH609" s="50" t="s">
        <v>109</v>
      </c>
      <c r="AI609" s="50" t="s">
        <v>102</v>
      </c>
      <c r="AJ609" s="50" t="s">
        <v>102</v>
      </c>
      <c r="AM609" s="50" t="s">
        <v>102</v>
      </c>
      <c r="AN609" s="50" t="s">
        <v>102</v>
      </c>
      <c r="AO609" s="50" t="s">
        <v>102</v>
      </c>
      <c r="AP609" s="50" t="s">
        <v>115</v>
      </c>
      <c r="AQ609" s="50" t="s">
        <v>115</v>
      </c>
      <c r="AV609" s="50" t="s">
        <v>318</v>
      </c>
      <c r="AW609" s="50" t="s">
        <v>118</v>
      </c>
      <c r="AX609" s="50" t="s">
        <v>102</v>
      </c>
      <c r="AY609" s="50" t="s">
        <v>119</v>
      </c>
      <c r="BC609" s="50" t="s">
        <v>120</v>
      </c>
      <c r="BD609" s="50" t="s">
        <v>1407</v>
      </c>
      <c r="BE609" s="50" t="s">
        <v>449</v>
      </c>
      <c r="BF609" s="50" t="s">
        <v>122</v>
      </c>
      <c r="BG609" s="50" t="s">
        <v>450</v>
      </c>
      <c r="BH609" s="50" t="s">
        <v>124</v>
      </c>
      <c r="BI609" s="50" t="s">
        <v>12911</v>
      </c>
      <c r="BJ609" s="50" t="s">
        <v>11889</v>
      </c>
      <c r="BK609" s="50" t="s">
        <v>127</v>
      </c>
      <c r="BL609" s="50" t="s">
        <v>14535</v>
      </c>
      <c r="BM609" s="50" t="s">
        <v>4070</v>
      </c>
      <c r="BN609" s="50" t="s">
        <v>14536</v>
      </c>
      <c r="BO609" s="50" t="s">
        <v>12324</v>
      </c>
      <c r="BP609" s="50" t="s">
        <v>1108</v>
      </c>
      <c r="BQ609" s="50" t="s">
        <v>350</v>
      </c>
      <c r="BR609" s="50" t="s">
        <v>1109</v>
      </c>
      <c r="BS609" s="50" t="s">
        <v>1110</v>
      </c>
      <c r="BT609" s="50" t="s">
        <v>1111</v>
      </c>
      <c r="BV609" s="50" t="s">
        <v>14537</v>
      </c>
      <c r="BW609" s="50" t="s">
        <v>224</v>
      </c>
      <c r="BX609" s="50" t="s">
        <v>598</v>
      </c>
      <c r="BY609" s="50" t="s">
        <v>225</v>
      </c>
      <c r="BZ609" s="50" t="s">
        <v>226</v>
      </c>
      <c r="CA609" s="50" t="s">
        <v>4076</v>
      </c>
      <c r="CB609" s="50" t="s">
        <v>14538</v>
      </c>
      <c r="CC609" s="50" t="s">
        <v>14539</v>
      </c>
      <c r="CD609" s="50" t="s">
        <v>14540</v>
      </c>
      <c r="CE609" s="50" t="s">
        <v>14541</v>
      </c>
      <c r="CF609" s="50" t="s">
        <v>14542</v>
      </c>
      <c r="CG609" s="50" t="s">
        <v>14540</v>
      </c>
      <c r="CH609" s="50" t="s">
        <v>102</v>
      </c>
      <c r="CI609" s="50" t="s">
        <v>14543</v>
      </c>
      <c r="CK609" s="50" t="s">
        <v>4078</v>
      </c>
      <c r="CM609" s="50" t="s">
        <v>1407</v>
      </c>
      <c r="CN609" s="50" t="s">
        <v>449</v>
      </c>
      <c r="CO609" s="50" t="s">
        <v>4078</v>
      </c>
      <c r="CQ609" s="50" t="s">
        <v>4077</v>
      </c>
      <c r="CR609" s="50" t="s">
        <v>4077</v>
      </c>
    </row>
    <row r="610" spans="1:97" hidden="1">
      <c r="A610" s="50" t="s">
        <v>93</v>
      </c>
      <c r="B610" s="50">
        <v>5018147</v>
      </c>
      <c r="C610" s="50" t="e">
        <f>VLOOKUP(B610,'Drop schools 2026'!B:C,2,0)</f>
        <v>#N/A</v>
      </c>
      <c r="D610" s="50" t="s">
        <v>122</v>
      </c>
      <c r="E610" s="50" t="s">
        <v>13158</v>
      </c>
      <c r="F610" s="50" t="s">
        <v>10501</v>
      </c>
      <c r="G610" s="50" t="e">
        <f>VLOOKUP(B610,aa!B:F,5,0)</f>
        <v>#N/A</v>
      </c>
      <c r="H610" s="50" t="e">
        <f>VLOOKUP(B610,aa!B:J,9,0)</f>
        <v>#N/A</v>
      </c>
      <c r="I610" s="50" t="e">
        <f>VLOOKUP(B610,aa!B:L,11,0)</f>
        <v>#N/A</v>
      </c>
      <c r="J610" s="50" t="e">
        <f>VLOOKUP(B610,aa!B:O,14,0)</f>
        <v>#N/A</v>
      </c>
      <c r="K610" s="50" t="e">
        <f>VLOOKUP(B610,aa!B:R,17,0)</f>
        <v>#N/A</v>
      </c>
      <c r="L610" s="50" t="s">
        <v>97</v>
      </c>
      <c r="M610" s="50">
        <v>0</v>
      </c>
      <c r="N610" s="50">
        <v>0</v>
      </c>
      <c r="O610" s="50">
        <v>0</v>
      </c>
      <c r="P610" s="50">
        <v>110</v>
      </c>
      <c r="Q610" s="50" t="s">
        <v>102</v>
      </c>
      <c r="R610" s="50">
        <v>0</v>
      </c>
      <c r="S610" s="50">
        <v>0</v>
      </c>
      <c r="U610" s="50">
        <v>0</v>
      </c>
      <c r="V610" s="50">
        <v>0</v>
      </c>
      <c r="X610" s="50" t="s">
        <v>102</v>
      </c>
      <c r="Y610" s="50" t="s">
        <v>275</v>
      </c>
      <c r="AA610" s="50" t="s">
        <v>14534</v>
      </c>
      <c r="AB610" s="50" t="s">
        <v>109</v>
      </c>
      <c r="AC610" s="50" t="s">
        <v>102</v>
      </c>
      <c r="AD610" s="50" t="s">
        <v>109</v>
      </c>
      <c r="AE610" s="50" t="s">
        <v>102</v>
      </c>
      <c r="AF610" s="50" t="s">
        <v>109</v>
      </c>
      <c r="AG610" s="50" t="s">
        <v>102</v>
      </c>
      <c r="AH610" s="50" t="s">
        <v>109</v>
      </c>
      <c r="AI610" s="50" t="s">
        <v>102</v>
      </c>
      <c r="AJ610" s="50" t="s">
        <v>102</v>
      </c>
      <c r="AM610" s="50" t="s">
        <v>102</v>
      </c>
      <c r="AN610" s="50" t="s">
        <v>102</v>
      </c>
      <c r="AO610" s="50" t="s">
        <v>102</v>
      </c>
      <c r="AP610" s="50" t="s">
        <v>115</v>
      </c>
      <c r="AQ610" s="50" t="s">
        <v>115</v>
      </c>
      <c r="AV610" s="50" t="s">
        <v>318</v>
      </c>
      <c r="AW610" s="50" t="s">
        <v>118</v>
      </c>
      <c r="AX610" s="50" t="s">
        <v>102</v>
      </c>
      <c r="AY610" s="50" t="s">
        <v>119</v>
      </c>
      <c r="BC610" s="50" t="s">
        <v>120</v>
      </c>
      <c r="BD610" s="50" t="s">
        <v>1407</v>
      </c>
      <c r="BE610" s="50" t="s">
        <v>449</v>
      </c>
      <c r="BF610" s="50" t="s">
        <v>122</v>
      </c>
      <c r="BG610" s="50" t="s">
        <v>450</v>
      </c>
      <c r="BH610" s="50" t="s">
        <v>124</v>
      </c>
      <c r="BI610" s="50" t="s">
        <v>2483</v>
      </c>
      <c r="BJ610" s="50" t="s">
        <v>11889</v>
      </c>
      <c r="BK610" s="50" t="s">
        <v>127</v>
      </c>
      <c r="BL610" s="50" t="s">
        <v>19416</v>
      </c>
      <c r="BM610" s="50" t="s">
        <v>10504</v>
      </c>
      <c r="BN610" s="50" t="s">
        <v>19417</v>
      </c>
      <c r="BO610" s="50" t="s">
        <v>12324</v>
      </c>
      <c r="BP610" s="50" t="s">
        <v>1108</v>
      </c>
      <c r="BQ610" s="50" t="s">
        <v>505</v>
      </c>
      <c r="BR610" s="50" t="s">
        <v>1109</v>
      </c>
      <c r="BS610" s="50" t="s">
        <v>1110</v>
      </c>
      <c r="BT610" s="50" t="s">
        <v>1111</v>
      </c>
      <c r="BV610" s="50" t="s">
        <v>19418</v>
      </c>
      <c r="BW610" s="50" t="s">
        <v>224</v>
      </c>
      <c r="BX610" s="50" t="s">
        <v>598</v>
      </c>
      <c r="BY610" s="50" t="s">
        <v>225</v>
      </c>
      <c r="BZ610" s="50" t="s">
        <v>226</v>
      </c>
      <c r="CA610" s="50" t="s">
        <v>4076</v>
      </c>
      <c r="CB610" s="50" t="s">
        <v>14538</v>
      </c>
      <c r="CC610" s="50" t="s">
        <v>14539</v>
      </c>
      <c r="CD610" s="50" t="s">
        <v>14540</v>
      </c>
      <c r="CE610" s="50" t="s">
        <v>14541</v>
      </c>
      <c r="CF610" s="50" t="s">
        <v>14542</v>
      </c>
      <c r="CG610" s="50" t="s">
        <v>14540</v>
      </c>
      <c r="CH610" s="50" t="s">
        <v>102</v>
      </c>
      <c r="CI610" s="50" t="s">
        <v>14543</v>
      </c>
      <c r="CK610" s="50" t="s">
        <v>4078</v>
      </c>
      <c r="CM610" s="50" t="s">
        <v>1407</v>
      </c>
      <c r="CN610" s="50" t="s">
        <v>449</v>
      </c>
      <c r="CO610" s="50" t="s">
        <v>4078</v>
      </c>
      <c r="CQ610" s="50" t="s">
        <v>4077</v>
      </c>
      <c r="CR610" s="50" t="s">
        <v>4077</v>
      </c>
    </row>
    <row r="611" spans="1:97" hidden="1">
      <c r="A611" s="50" t="s">
        <v>93</v>
      </c>
      <c r="B611" s="50">
        <v>5018148</v>
      </c>
      <c r="C611" s="50" t="e">
        <f>VLOOKUP(B611,'Drop schools 2026'!B:C,2,0)</f>
        <v>#N/A</v>
      </c>
      <c r="D611" s="50" t="s">
        <v>122</v>
      </c>
      <c r="E611" s="50" t="s">
        <v>13158</v>
      </c>
      <c r="F611" s="50" t="s">
        <v>10507</v>
      </c>
      <c r="G611" s="50" t="e">
        <f>VLOOKUP(B611,aa!B:F,5,0)</f>
        <v>#N/A</v>
      </c>
      <c r="H611" s="50" t="e">
        <f>VLOOKUP(B611,aa!B:J,9,0)</f>
        <v>#N/A</v>
      </c>
      <c r="I611" s="50" t="e">
        <f>VLOOKUP(B611,aa!B:L,11,0)</f>
        <v>#N/A</v>
      </c>
      <c r="J611" s="50" t="e">
        <f>VLOOKUP(B611,aa!B:O,14,0)</f>
        <v>#N/A</v>
      </c>
      <c r="K611" s="50" t="e">
        <f>VLOOKUP(B611,aa!B:R,17,0)</f>
        <v>#N/A</v>
      </c>
      <c r="L611" s="50" t="s">
        <v>97</v>
      </c>
      <c r="M611" s="50">
        <v>0</v>
      </c>
      <c r="N611" s="50">
        <v>0</v>
      </c>
      <c r="O611" s="50">
        <v>0</v>
      </c>
      <c r="P611" s="50">
        <v>29</v>
      </c>
      <c r="Q611" s="50" t="s">
        <v>102</v>
      </c>
      <c r="R611" s="50">
        <v>0</v>
      </c>
      <c r="S611" s="50">
        <v>0</v>
      </c>
      <c r="U611" s="50">
        <v>0</v>
      </c>
      <c r="V611" s="50">
        <v>0</v>
      </c>
      <c r="X611" s="50" t="s">
        <v>102</v>
      </c>
      <c r="Y611" s="50" t="s">
        <v>275</v>
      </c>
      <c r="AA611" s="50" t="s">
        <v>14534</v>
      </c>
      <c r="AB611" s="50" t="s">
        <v>109</v>
      </c>
      <c r="AC611" s="50" t="s">
        <v>102</v>
      </c>
      <c r="AD611" s="50" t="s">
        <v>109</v>
      </c>
      <c r="AE611" s="50" t="s">
        <v>102</v>
      </c>
      <c r="AF611" s="50" t="s">
        <v>109</v>
      </c>
      <c r="AG611" s="50" t="s">
        <v>102</v>
      </c>
      <c r="AH611" s="50" t="s">
        <v>109</v>
      </c>
      <c r="AI611" s="50" t="s">
        <v>102</v>
      </c>
      <c r="AJ611" s="50" t="s">
        <v>102</v>
      </c>
      <c r="AM611" s="50" t="s">
        <v>102</v>
      </c>
      <c r="AN611" s="50" t="s">
        <v>102</v>
      </c>
      <c r="AO611" s="50" t="s">
        <v>102</v>
      </c>
      <c r="AP611" s="50" t="s">
        <v>115</v>
      </c>
      <c r="AQ611" s="50" t="s">
        <v>115</v>
      </c>
      <c r="AV611" s="50" t="s">
        <v>318</v>
      </c>
      <c r="AW611" s="50" t="s">
        <v>118</v>
      </c>
      <c r="AX611" s="50" t="s">
        <v>102</v>
      </c>
      <c r="AY611" s="50" t="s">
        <v>119</v>
      </c>
      <c r="BC611" s="50" t="s">
        <v>120</v>
      </c>
      <c r="BD611" s="50" t="s">
        <v>1407</v>
      </c>
      <c r="BE611" s="50" t="s">
        <v>449</v>
      </c>
      <c r="BF611" s="50" t="s">
        <v>122</v>
      </c>
      <c r="BG611" s="50" t="s">
        <v>450</v>
      </c>
      <c r="BH611" s="50" t="s">
        <v>124</v>
      </c>
      <c r="BI611" s="50" t="s">
        <v>2483</v>
      </c>
      <c r="BJ611" s="50" t="s">
        <v>11889</v>
      </c>
      <c r="BK611" s="50" t="s">
        <v>127</v>
      </c>
      <c r="BL611" s="50" t="s">
        <v>19419</v>
      </c>
      <c r="BM611" s="50" t="s">
        <v>10510</v>
      </c>
      <c r="BN611" s="50" t="s">
        <v>19420</v>
      </c>
      <c r="BO611" s="50" t="s">
        <v>12324</v>
      </c>
      <c r="BP611" s="50" t="s">
        <v>1108</v>
      </c>
      <c r="BQ611" s="50" t="s">
        <v>350</v>
      </c>
      <c r="BR611" s="50" t="s">
        <v>1109</v>
      </c>
      <c r="BS611" s="50" t="s">
        <v>1110</v>
      </c>
      <c r="BT611" s="50" t="s">
        <v>1111</v>
      </c>
      <c r="BV611" s="50" t="s">
        <v>19421</v>
      </c>
      <c r="BW611" s="50" t="s">
        <v>224</v>
      </c>
      <c r="BX611" s="50" t="s">
        <v>598</v>
      </c>
      <c r="BY611" s="50" t="s">
        <v>225</v>
      </c>
      <c r="BZ611" s="50" t="s">
        <v>226</v>
      </c>
      <c r="CA611" s="50" t="s">
        <v>4076</v>
      </c>
      <c r="CB611" s="50" t="s">
        <v>14538</v>
      </c>
      <c r="CC611" s="50" t="s">
        <v>14539</v>
      </c>
      <c r="CD611" s="50" t="s">
        <v>14540</v>
      </c>
      <c r="CE611" s="50" t="s">
        <v>14541</v>
      </c>
      <c r="CF611" s="50" t="s">
        <v>14542</v>
      </c>
      <c r="CG611" s="50" t="s">
        <v>14540</v>
      </c>
      <c r="CH611" s="50" t="s">
        <v>102</v>
      </c>
      <c r="CI611" s="50" t="s">
        <v>14543</v>
      </c>
      <c r="CK611" s="50" t="s">
        <v>4078</v>
      </c>
      <c r="CM611" s="50" t="s">
        <v>1407</v>
      </c>
      <c r="CN611" s="50" t="s">
        <v>449</v>
      </c>
      <c r="CO611" s="50" t="s">
        <v>4078</v>
      </c>
      <c r="CQ611" s="50" t="s">
        <v>4077</v>
      </c>
      <c r="CR611" s="50" t="s">
        <v>4077</v>
      </c>
    </row>
    <row r="612" spans="1:97" hidden="1">
      <c r="A612" s="50" t="s">
        <v>93</v>
      </c>
      <c r="B612" s="50">
        <v>5018150</v>
      </c>
      <c r="C612" s="50" t="e">
        <f>VLOOKUP(B612,'Drop schools 2026'!B:C,2,0)</f>
        <v>#N/A</v>
      </c>
      <c r="D612" s="50" t="s">
        <v>122</v>
      </c>
      <c r="E612" s="50" t="s">
        <v>13158</v>
      </c>
      <c r="F612" s="50" t="s">
        <v>19422</v>
      </c>
      <c r="G612" s="50" t="e">
        <f>VLOOKUP(B612,aa!B:F,5,0)</f>
        <v>#N/A</v>
      </c>
      <c r="H612" s="50" t="e">
        <f>VLOOKUP(B612,aa!B:J,9,0)</f>
        <v>#N/A</v>
      </c>
      <c r="I612" s="50" t="e">
        <f>VLOOKUP(B612,aa!B:L,11,0)</f>
        <v>#N/A</v>
      </c>
      <c r="J612" s="50" t="e">
        <f>VLOOKUP(B612,aa!B:O,14,0)</f>
        <v>#N/A</v>
      </c>
      <c r="K612" s="50" t="e">
        <f>VLOOKUP(B612,aa!B:R,17,0)</f>
        <v>#N/A</v>
      </c>
      <c r="L612" s="50" t="s">
        <v>97</v>
      </c>
      <c r="M612" s="50">
        <v>0</v>
      </c>
      <c r="N612" s="50">
        <v>0</v>
      </c>
      <c r="O612" s="50">
        <v>0</v>
      </c>
      <c r="P612" s="50">
        <v>73</v>
      </c>
      <c r="Q612" s="50" t="s">
        <v>102</v>
      </c>
      <c r="R612" s="50">
        <v>0</v>
      </c>
      <c r="S612" s="50">
        <v>0</v>
      </c>
      <c r="U612" s="50">
        <v>0</v>
      </c>
      <c r="V612" s="50">
        <v>0</v>
      </c>
      <c r="X612" s="50" t="s">
        <v>102</v>
      </c>
      <c r="Y612" s="50" t="s">
        <v>275</v>
      </c>
      <c r="AA612" s="50" t="s">
        <v>14534</v>
      </c>
      <c r="AB612" s="50" t="s">
        <v>109</v>
      </c>
      <c r="AC612" s="50" t="s">
        <v>102</v>
      </c>
      <c r="AD612" s="50" t="s">
        <v>109</v>
      </c>
      <c r="AE612" s="50" t="s">
        <v>102</v>
      </c>
      <c r="AF612" s="50" t="s">
        <v>109</v>
      </c>
      <c r="AG612" s="50" t="s">
        <v>102</v>
      </c>
      <c r="AH612" s="50" t="s">
        <v>109</v>
      </c>
      <c r="AI612" s="50" t="s">
        <v>102</v>
      </c>
      <c r="AJ612" s="50" t="s">
        <v>102</v>
      </c>
      <c r="AM612" s="50" t="s">
        <v>102</v>
      </c>
      <c r="AN612" s="50" t="s">
        <v>102</v>
      </c>
      <c r="AO612" s="50" t="s">
        <v>102</v>
      </c>
      <c r="AP612" s="50" t="s">
        <v>115</v>
      </c>
      <c r="AQ612" s="50" t="s">
        <v>115</v>
      </c>
      <c r="AV612" s="50" t="s">
        <v>318</v>
      </c>
      <c r="AW612" s="50" t="s">
        <v>118</v>
      </c>
      <c r="AX612" s="50" t="s">
        <v>102</v>
      </c>
      <c r="AY612" s="50" t="s">
        <v>119</v>
      </c>
      <c r="BC612" s="50" t="s">
        <v>120</v>
      </c>
      <c r="BD612" s="50" t="s">
        <v>3058</v>
      </c>
      <c r="BE612" s="50" t="s">
        <v>320</v>
      </c>
      <c r="BF612" s="50" t="s">
        <v>122</v>
      </c>
      <c r="BG612" s="50" t="s">
        <v>123</v>
      </c>
      <c r="BH612" s="50" t="s">
        <v>124</v>
      </c>
      <c r="BI612" s="50" t="s">
        <v>12324</v>
      </c>
      <c r="BJ612" s="50" t="s">
        <v>11889</v>
      </c>
      <c r="BK612" s="50" t="s">
        <v>127</v>
      </c>
      <c r="BL612" s="50" t="s">
        <v>19423</v>
      </c>
      <c r="BM612" s="50" t="s">
        <v>10516</v>
      </c>
      <c r="BN612" s="50" t="s">
        <v>19424</v>
      </c>
      <c r="BO612" s="50" t="s">
        <v>12324</v>
      </c>
      <c r="BP612" s="50" t="s">
        <v>1108</v>
      </c>
      <c r="BQ612" s="50" t="s">
        <v>180</v>
      </c>
      <c r="BR612" s="50" t="s">
        <v>1109</v>
      </c>
      <c r="BS612" s="50" t="s">
        <v>1110</v>
      </c>
      <c r="BT612" s="50" t="s">
        <v>1111</v>
      </c>
      <c r="BV612" s="50" t="s">
        <v>19425</v>
      </c>
      <c r="BW612" s="50" t="s">
        <v>224</v>
      </c>
      <c r="BX612" s="50" t="s">
        <v>598</v>
      </c>
      <c r="BY612" s="50" t="s">
        <v>225</v>
      </c>
      <c r="BZ612" s="50" t="s">
        <v>226</v>
      </c>
      <c r="CA612" s="50" t="s">
        <v>10519</v>
      </c>
      <c r="CB612" s="50" t="s">
        <v>19426</v>
      </c>
      <c r="CC612" s="50" t="s">
        <v>10519</v>
      </c>
      <c r="CD612" s="50" t="s">
        <v>19427</v>
      </c>
      <c r="CE612" s="50" t="s">
        <v>19428</v>
      </c>
      <c r="CF612" s="50" t="s">
        <v>19429</v>
      </c>
      <c r="CG612" s="50" t="s">
        <v>19427</v>
      </c>
      <c r="CH612" s="50" t="s">
        <v>102</v>
      </c>
      <c r="CI612" s="50" t="s">
        <v>19430</v>
      </c>
      <c r="CK612" s="50" t="s">
        <v>3070</v>
      </c>
      <c r="CM612" s="50" t="s">
        <v>3058</v>
      </c>
      <c r="CN612" s="50" t="s">
        <v>320</v>
      </c>
      <c r="CO612" s="50" t="s">
        <v>3070</v>
      </c>
      <c r="CQ612" s="50" t="s">
        <v>10520</v>
      </c>
      <c r="CR612" s="50" t="s">
        <v>10520</v>
      </c>
    </row>
    <row r="613" spans="1:97" hidden="1">
      <c r="A613" s="50" t="s">
        <v>93</v>
      </c>
      <c r="B613" s="50">
        <v>5018151</v>
      </c>
      <c r="C613" s="50" t="e">
        <f>VLOOKUP(B613,'Drop schools 2026'!B:C,2,0)</f>
        <v>#N/A</v>
      </c>
      <c r="D613" s="50" t="s">
        <v>122</v>
      </c>
      <c r="E613" s="50" t="s">
        <v>13158</v>
      </c>
      <c r="F613" s="50" t="s">
        <v>18935</v>
      </c>
      <c r="G613" s="50" t="e">
        <f>VLOOKUP(B613,aa!B:F,5,0)</f>
        <v>#N/A</v>
      </c>
      <c r="H613" s="50" t="e">
        <f>VLOOKUP(B613,aa!B:J,9,0)</f>
        <v>#N/A</v>
      </c>
      <c r="I613" s="50" t="e">
        <f>VLOOKUP(B613,aa!B:L,11,0)</f>
        <v>#N/A</v>
      </c>
      <c r="J613" s="50" t="e">
        <f>VLOOKUP(B613,aa!B:O,14,0)</f>
        <v>#N/A</v>
      </c>
      <c r="K613" s="50" t="e">
        <f>VLOOKUP(B613,aa!B:R,17,0)</f>
        <v>#N/A</v>
      </c>
      <c r="L613" s="50" t="s">
        <v>97</v>
      </c>
      <c r="M613" s="50">
        <v>0</v>
      </c>
      <c r="N613" s="50">
        <v>0</v>
      </c>
      <c r="O613" s="50">
        <v>0</v>
      </c>
      <c r="P613" s="50">
        <v>16</v>
      </c>
      <c r="Q613" s="50" t="s">
        <v>102</v>
      </c>
      <c r="R613" s="50">
        <v>0</v>
      </c>
      <c r="S613" s="50">
        <v>0</v>
      </c>
      <c r="U613" s="50">
        <v>0</v>
      </c>
      <c r="V613" s="50">
        <v>0</v>
      </c>
      <c r="X613" s="50" t="s">
        <v>102</v>
      </c>
      <c r="Y613" s="50" t="s">
        <v>275</v>
      </c>
      <c r="AA613" s="50" t="s">
        <v>14534</v>
      </c>
      <c r="AB613" s="50" t="s">
        <v>109</v>
      </c>
      <c r="AC613" s="50" t="s">
        <v>102</v>
      </c>
      <c r="AD613" s="50" t="s">
        <v>109</v>
      </c>
      <c r="AE613" s="50" t="s">
        <v>102</v>
      </c>
      <c r="AF613" s="50" t="s">
        <v>109</v>
      </c>
      <c r="AG613" s="50" t="s">
        <v>102</v>
      </c>
      <c r="AH613" s="50" t="s">
        <v>109</v>
      </c>
      <c r="AI613" s="50" t="s">
        <v>102</v>
      </c>
      <c r="AJ613" s="50" t="s">
        <v>102</v>
      </c>
      <c r="AM613" s="50" t="s">
        <v>102</v>
      </c>
      <c r="AN613" s="50" t="s">
        <v>102</v>
      </c>
      <c r="AO613" s="50" t="s">
        <v>102</v>
      </c>
      <c r="AP613" s="50" t="s">
        <v>115</v>
      </c>
      <c r="AQ613" s="50" t="s">
        <v>115</v>
      </c>
      <c r="AV613" s="50" t="s">
        <v>318</v>
      </c>
      <c r="AW613" s="50" t="s">
        <v>118</v>
      </c>
      <c r="AX613" s="50" t="s">
        <v>102</v>
      </c>
      <c r="AY613" s="50" t="s">
        <v>119</v>
      </c>
      <c r="BC613" s="50" t="s">
        <v>120</v>
      </c>
      <c r="BD613" s="50" t="s">
        <v>3058</v>
      </c>
      <c r="BE613" s="50" t="s">
        <v>320</v>
      </c>
      <c r="BF613" s="50" t="s">
        <v>122</v>
      </c>
      <c r="BG613" s="50" t="s">
        <v>123</v>
      </c>
      <c r="BH613" s="50" t="s">
        <v>124</v>
      </c>
      <c r="BI613" s="50" t="s">
        <v>12911</v>
      </c>
      <c r="BJ613" s="50" t="s">
        <v>11889</v>
      </c>
      <c r="BK613" s="50" t="s">
        <v>127</v>
      </c>
      <c r="BL613" s="50" t="s">
        <v>19431</v>
      </c>
      <c r="BM613" s="50" t="s">
        <v>10524</v>
      </c>
      <c r="BN613" s="50" t="s">
        <v>19432</v>
      </c>
      <c r="BO613" s="50" t="s">
        <v>12324</v>
      </c>
      <c r="BP613" s="50" t="s">
        <v>1108</v>
      </c>
      <c r="BQ613" s="50" t="s">
        <v>180</v>
      </c>
      <c r="BR613" s="50" t="s">
        <v>1109</v>
      </c>
      <c r="BS613" s="50" t="s">
        <v>1110</v>
      </c>
      <c r="BT613" s="50" t="s">
        <v>1111</v>
      </c>
      <c r="BV613" s="50" t="s">
        <v>19433</v>
      </c>
      <c r="BW613" s="50" t="s">
        <v>224</v>
      </c>
      <c r="BX613" s="50" t="s">
        <v>598</v>
      </c>
      <c r="BY613" s="50" t="s">
        <v>225</v>
      </c>
      <c r="BZ613" s="50" t="s">
        <v>226</v>
      </c>
      <c r="CA613" s="50" t="s">
        <v>10519</v>
      </c>
      <c r="CB613" s="50" t="s">
        <v>19426</v>
      </c>
      <c r="CC613" s="50" t="s">
        <v>10519</v>
      </c>
      <c r="CD613" s="50" t="s">
        <v>19427</v>
      </c>
      <c r="CE613" s="50" t="s">
        <v>19428</v>
      </c>
      <c r="CF613" s="50" t="s">
        <v>19429</v>
      </c>
      <c r="CG613" s="50" t="s">
        <v>19427</v>
      </c>
      <c r="CH613" s="50" t="s">
        <v>102</v>
      </c>
      <c r="CI613" s="50" t="s">
        <v>19430</v>
      </c>
      <c r="CK613" s="50" t="s">
        <v>3070</v>
      </c>
      <c r="CM613" s="50" t="s">
        <v>3058</v>
      </c>
      <c r="CN613" s="50" t="s">
        <v>320</v>
      </c>
      <c r="CO613" s="50" t="s">
        <v>3070</v>
      </c>
      <c r="CQ613" s="50" t="s">
        <v>10527</v>
      </c>
      <c r="CR613" s="50" t="s">
        <v>10527</v>
      </c>
    </row>
    <row r="614" spans="1:97" hidden="1">
      <c r="A614" s="50" t="s">
        <v>93</v>
      </c>
      <c r="B614" s="50">
        <v>5018152</v>
      </c>
      <c r="C614" s="50" t="e">
        <f>VLOOKUP(B614,'Drop schools 2026'!B:C,2,0)</f>
        <v>#N/A</v>
      </c>
      <c r="D614" s="50" t="s">
        <v>122</v>
      </c>
      <c r="E614" s="50" t="s">
        <v>13158</v>
      </c>
      <c r="F614" s="50" t="s">
        <v>19422</v>
      </c>
      <c r="G614" s="50" t="e">
        <f>VLOOKUP(B614,aa!B:F,5,0)</f>
        <v>#N/A</v>
      </c>
      <c r="H614" s="50" t="e">
        <f>VLOOKUP(B614,aa!B:J,9,0)</f>
        <v>#N/A</v>
      </c>
      <c r="I614" s="50" t="e">
        <f>VLOOKUP(B614,aa!B:L,11,0)</f>
        <v>#N/A</v>
      </c>
      <c r="J614" s="50" t="e">
        <f>VLOOKUP(B614,aa!B:O,14,0)</f>
        <v>#N/A</v>
      </c>
      <c r="K614" s="50" t="e">
        <f>VLOOKUP(B614,aa!B:R,17,0)</f>
        <v>#N/A</v>
      </c>
      <c r="L614" s="50" t="s">
        <v>97</v>
      </c>
      <c r="M614" s="50">
        <v>0</v>
      </c>
      <c r="N614" s="50">
        <v>0</v>
      </c>
      <c r="O614" s="50">
        <v>0</v>
      </c>
      <c r="P614" s="50">
        <v>144</v>
      </c>
      <c r="Q614" s="50" t="s">
        <v>102</v>
      </c>
      <c r="R614" s="50">
        <v>0</v>
      </c>
      <c r="S614" s="50">
        <v>0</v>
      </c>
      <c r="U614" s="50">
        <v>0</v>
      </c>
      <c r="V614" s="50">
        <v>0</v>
      </c>
      <c r="X614" s="50" t="s">
        <v>102</v>
      </c>
      <c r="Y614" s="50" t="s">
        <v>275</v>
      </c>
      <c r="AA614" s="50" t="s">
        <v>14534</v>
      </c>
      <c r="AB614" s="50" t="s">
        <v>109</v>
      </c>
      <c r="AC614" s="50" t="s">
        <v>102</v>
      </c>
      <c r="AD614" s="50" t="s">
        <v>109</v>
      </c>
      <c r="AE614" s="50" t="s">
        <v>102</v>
      </c>
      <c r="AF614" s="50" t="s">
        <v>109</v>
      </c>
      <c r="AG614" s="50" t="s">
        <v>102</v>
      </c>
      <c r="AH614" s="50" t="s">
        <v>109</v>
      </c>
      <c r="AI614" s="50" t="s">
        <v>102</v>
      </c>
      <c r="AJ614" s="50" t="s">
        <v>102</v>
      </c>
      <c r="AM614" s="50" t="s">
        <v>102</v>
      </c>
      <c r="AN614" s="50" t="s">
        <v>102</v>
      </c>
      <c r="AO614" s="50" t="s">
        <v>102</v>
      </c>
      <c r="AP614" s="50" t="s">
        <v>115</v>
      </c>
      <c r="AQ614" s="50" t="s">
        <v>115</v>
      </c>
      <c r="AV614" s="50" t="s">
        <v>318</v>
      </c>
      <c r="AW614" s="50" t="s">
        <v>118</v>
      </c>
      <c r="AX614" s="50" t="s">
        <v>102</v>
      </c>
      <c r="AY614" s="50" t="s">
        <v>119</v>
      </c>
      <c r="BC614" s="50" t="s">
        <v>3678</v>
      </c>
      <c r="BD614" s="50" t="s">
        <v>4153</v>
      </c>
      <c r="BE614" s="50" t="s">
        <v>320</v>
      </c>
      <c r="BF614" s="50" t="s">
        <v>122</v>
      </c>
      <c r="BG614" s="50" t="s">
        <v>123</v>
      </c>
      <c r="BH614" s="50" t="s">
        <v>124</v>
      </c>
      <c r="BI614" s="50" t="s">
        <v>2483</v>
      </c>
      <c r="BJ614" s="50" t="s">
        <v>11889</v>
      </c>
      <c r="BK614" s="50" t="s">
        <v>127</v>
      </c>
      <c r="BL614" s="50" t="s">
        <v>19434</v>
      </c>
      <c r="BM614" s="50" t="s">
        <v>10531</v>
      </c>
      <c r="BN614" s="50" t="s">
        <v>19435</v>
      </c>
      <c r="BO614" s="50" t="s">
        <v>12324</v>
      </c>
      <c r="BP614" s="50" t="s">
        <v>1108</v>
      </c>
      <c r="BQ614" s="50" t="s">
        <v>350</v>
      </c>
      <c r="BR614" s="50" t="s">
        <v>1109</v>
      </c>
      <c r="BS614" s="50" t="s">
        <v>1110</v>
      </c>
      <c r="BT614" s="50" t="s">
        <v>1111</v>
      </c>
      <c r="BV614" s="50" t="s">
        <v>19436</v>
      </c>
      <c r="BW614" s="50" t="s">
        <v>224</v>
      </c>
      <c r="BX614" s="50" t="s">
        <v>598</v>
      </c>
      <c r="BY614" s="50" t="s">
        <v>225</v>
      </c>
      <c r="BZ614" s="50" t="s">
        <v>226</v>
      </c>
      <c r="CA614" s="50" t="s">
        <v>9785</v>
      </c>
      <c r="CB614" s="50" t="s">
        <v>19437</v>
      </c>
      <c r="CC614" s="50" t="s">
        <v>9785</v>
      </c>
      <c r="CD614" s="50" t="s">
        <v>19438</v>
      </c>
      <c r="CE614" s="50" t="s">
        <v>19439</v>
      </c>
      <c r="CF614" s="50" t="s">
        <v>19440</v>
      </c>
      <c r="CG614" s="50" t="s">
        <v>19438</v>
      </c>
      <c r="CH614" s="50" t="s">
        <v>102</v>
      </c>
      <c r="CI614" s="50" t="s">
        <v>19441</v>
      </c>
      <c r="CK614" s="50" t="s">
        <v>4160</v>
      </c>
      <c r="CM614" s="50" t="s">
        <v>4153</v>
      </c>
      <c r="CN614" s="50" t="s">
        <v>320</v>
      </c>
      <c r="CO614" s="50" t="s">
        <v>4160</v>
      </c>
      <c r="CQ614" s="50" t="s">
        <v>10536</v>
      </c>
      <c r="CR614" s="50" t="s">
        <v>10536</v>
      </c>
    </row>
    <row r="615" spans="1:97" hidden="1">
      <c r="A615" s="50" t="s">
        <v>149</v>
      </c>
      <c r="B615" s="50">
        <v>2565214</v>
      </c>
      <c r="C615" s="50" t="e">
        <f>VLOOKUP(B615,'Drop schools 2026'!B:C,2,0)</f>
        <v>#N/A</v>
      </c>
      <c r="D615" s="50" t="s">
        <v>122</v>
      </c>
      <c r="E615" s="50" t="s">
        <v>13158</v>
      </c>
      <c r="F615" s="50" t="s">
        <v>14582</v>
      </c>
      <c r="G615" s="50" t="e">
        <f>VLOOKUP(B615,aa!B:F,5,0)</f>
        <v>#N/A</v>
      </c>
      <c r="H615" s="50" t="e">
        <f>VLOOKUP(B615,aa!B:J,9,0)</f>
        <v>#N/A</v>
      </c>
      <c r="I615" s="50" t="e">
        <f>VLOOKUP(B615,aa!B:L,11,0)</f>
        <v>#N/A</v>
      </c>
      <c r="J615" s="50" t="e">
        <f>VLOOKUP(B615,aa!B:O,14,0)</f>
        <v>#N/A</v>
      </c>
      <c r="K615" s="50" t="e">
        <f>VLOOKUP(B615,aa!B:R,17,0)</f>
        <v>#N/A</v>
      </c>
      <c r="L615" s="50" t="s">
        <v>97</v>
      </c>
      <c r="M615" s="50">
        <v>0</v>
      </c>
      <c r="N615" s="50">
        <v>0</v>
      </c>
      <c r="O615" s="50">
        <v>0</v>
      </c>
      <c r="P615" s="50">
        <v>514</v>
      </c>
      <c r="Q615" s="50" t="s">
        <v>102</v>
      </c>
      <c r="R615" s="50">
        <v>0</v>
      </c>
      <c r="S615" s="50">
        <v>0</v>
      </c>
      <c r="U615" s="50">
        <v>0</v>
      </c>
      <c r="V615" s="50">
        <v>0</v>
      </c>
      <c r="X615" s="50" t="s">
        <v>102</v>
      </c>
      <c r="Y615" s="50" t="s">
        <v>275</v>
      </c>
      <c r="AA615" s="50" t="s">
        <v>14584</v>
      </c>
      <c r="AB615" s="50" t="s">
        <v>109</v>
      </c>
      <c r="AC615" s="50" t="s">
        <v>102</v>
      </c>
      <c r="AD615" s="50" t="s">
        <v>109</v>
      </c>
      <c r="AE615" s="50" t="s">
        <v>102</v>
      </c>
      <c r="AF615" s="50" t="s">
        <v>109</v>
      </c>
      <c r="AG615" s="50" t="s">
        <v>102</v>
      </c>
      <c r="AH615" s="50" t="s">
        <v>109</v>
      </c>
      <c r="AI615" s="50" t="s">
        <v>102</v>
      </c>
      <c r="AJ615" s="50" t="s">
        <v>102</v>
      </c>
      <c r="AM615" s="50" t="s">
        <v>102</v>
      </c>
      <c r="AN615" s="50" t="s">
        <v>102</v>
      </c>
      <c r="AO615" s="50" t="s">
        <v>102</v>
      </c>
      <c r="AP615" s="50" t="s">
        <v>115</v>
      </c>
      <c r="AQ615" s="50" t="s">
        <v>115</v>
      </c>
      <c r="AV615" s="50" t="s">
        <v>3439</v>
      </c>
      <c r="AW615" s="50" t="s">
        <v>118</v>
      </c>
      <c r="AX615" s="50" t="s">
        <v>102</v>
      </c>
      <c r="AY615" s="50" t="s">
        <v>119</v>
      </c>
      <c r="BC615" s="50" t="s">
        <v>120</v>
      </c>
      <c r="BD615" s="50" t="s">
        <v>4153</v>
      </c>
      <c r="BE615" s="50" t="s">
        <v>320</v>
      </c>
      <c r="BF615" s="50" t="s">
        <v>122</v>
      </c>
      <c r="BG615" s="50" t="s">
        <v>123</v>
      </c>
      <c r="BH615" s="50" t="s">
        <v>124</v>
      </c>
      <c r="BI615" s="50" t="s">
        <v>14585</v>
      </c>
      <c r="BJ615" s="50" t="s">
        <v>11889</v>
      </c>
      <c r="BK615" s="50" t="s">
        <v>127</v>
      </c>
      <c r="BL615" s="50" t="s">
        <v>14586</v>
      </c>
      <c r="BM615" s="50" t="s">
        <v>4155</v>
      </c>
      <c r="BN615" s="50" t="s">
        <v>14587</v>
      </c>
      <c r="BO615" s="50" t="s">
        <v>14583</v>
      </c>
      <c r="BP615" s="50" t="s">
        <v>14588</v>
      </c>
      <c r="BQ615" s="50" t="s">
        <v>696</v>
      </c>
      <c r="BR615" s="50" t="s">
        <v>14589</v>
      </c>
      <c r="BS615" s="50" t="s">
        <v>14590</v>
      </c>
      <c r="BT615" s="50" t="s">
        <v>1111</v>
      </c>
      <c r="BV615" s="50" t="s">
        <v>14591</v>
      </c>
      <c r="BW615" s="50" t="s">
        <v>224</v>
      </c>
      <c r="BX615" s="50" t="s">
        <v>598</v>
      </c>
      <c r="BY615" s="50" t="s">
        <v>225</v>
      </c>
      <c r="BZ615" s="50" t="s">
        <v>226</v>
      </c>
      <c r="CA615" s="50" t="s">
        <v>4158</v>
      </c>
      <c r="CB615" s="50" t="s">
        <v>14592</v>
      </c>
      <c r="CC615" s="50" t="s">
        <v>9785</v>
      </c>
      <c r="CD615" s="50" t="s">
        <v>14593</v>
      </c>
      <c r="CE615" s="50" t="s">
        <v>14594</v>
      </c>
      <c r="CF615" s="50" t="s">
        <v>14595</v>
      </c>
      <c r="CG615" s="50" t="s">
        <v>14593</v>
      </c>
      <c r="CH615" s="50" t="s">
        <v>102</v>
      </c>
      <c r="CI615" s="50" t="s">
        <v>14596</v>
      </c>
      <c r="CK615" s="50" t="s">
        <v>4160</v>
      </c>
      <c r="CM615" s="50" t="s">
        <v>4153</v>
      </c>
      <c r="CN615" s="50" t="s">
        <v>320</v>
      </c>
      <c r="CO615" s="50" t="s">
        <v>4160</v>
      </c>
      <c r="CQ615" s="50" t="s">
        <v>4159</v>
      </c>
      <c r="CR615" s="50" t="s">
        <v>4159</v>
      </c>
    </row>
    <row r="616" spans="1:97" hidden="1">
      <c r="A616" s="50" t="s">
        <v>149</v>
      </c>
      <c r="B616" s="50">
        <v>5016674</v>
      </c>
      <c r="C616" s="50" t="e">
        <f>VLOOKUP(B616,'Drop schools 2026'!B:C,2,0)</f>
        <v>#N/A</v>
      </c>
      <c r="D616" s="50" t="s">
        <v>122</v>
      </c>
      <c r="E616" s="50" t="s">
        <v>13158</v>
      </c>
      <c r="F616" s="50" t="s">
        <v>18935</v>
      </c>
      <c r="G616" s="50" t="e">
        <f>VLOOKUP(B616,aa!B:F,5,0)</f>
        <v>#N/A</v>
      </c>
      <c r="H616" s="50" t="e">
        <f>VLOOKUP(B616,aa!B:J,9,0)</f>
        <v>#N/A</v>
      </c>
      <c r="I616" s="50" t="e">
        <f>VLOOKUP(B616,aa!B:L,11,0)</f>
        <v>#N/A</v>
      </c>
      <c r="J616" s="50" t="e">
        <f>VLOOKUP(B616,aa!B:O,14,0)</f>
        <v>#N/A</v>
      </c>
      <c r="K616" s="50" t="e">
        <f>VLOOKUP(B616,aa!B:R,17,0)</f>
        <v>#N/A</v>
      </c>
      <c r="L616" s="50" t="s">
        <v>97</v>
      </c>
      <c r="M616" s="50">
        <v>0</v>
      </c>
      <c r="N616" s="50">
        <v>0</v>
      </c>
      <c r="O616" s="50">
        <v>0</v>
      </c>
      <c r="P616" s="50">
        <v>17</v>
      </c>
      <c r="Q616" s="50" t="s">
        <v>102</v>
      </c>
      <c r="R616" s="50">
        <v>0</v>
      </c>
      <c r="S616" s="50">
        <v>0</v>
      </c>
      <c r="U616" s="50">
        <v>0</v>
      </c>
      <c r="V616" s="50">
        <v>0</v>
      </c>
      <c r="X616" s="50" t="s">
        <v>102</v>
      </c>
      <c r="Y616" s="50" t="s">
        <v>275</v>
      </c>
      <c r="AA616" s="50" t="s">
        <v>14584</v>
      </c>
      <c r="AB616" s="50" t="s">
        <v>109</v>
      </c>
      <c r="AC616" s="50" t="s">
        <v>102</v>
      </c>
      <c r="AD616" s="50" t="s">
        <v>109</v>
      </c>
      <c r="AE616" s="50" t="s">
        <v>102</v>
      </c>
      <c r="AF616" s="50" t="s">
        <v>109</v>
      </c>
      <c r="AG616" s="50" t="s">
        <v>102</v>
      </c>
      <c r="AH616" s="50" t="s">
        <v>109</v>
      </c>
      <c r="AI616" s="50" t="s">
        <v>102</v>
      </c>
      <c r="AJ616" s="50" t="s">
        <v>102</v>
      </c>
      <c r="AM616" s="50" t="s">
        <v>102</v>
      </c>
      <c r="AN616" s="50" t="s">
        <v>102</v>
      </c>
      <c r="AO616" s="50" t="s">
        <v>102</v>
      </c>
      <c r="AP616" s="50" t="s">
        <v>115</v>
      </c>
      <c r="AQ616" s="50" t="s">
        <v>115</v>
      </c>
      <c r="AV616" s="50" t="s">
        <v>3439</v>
      </c>
      <c r="AW616" s="50" t="s">
        <v>118</v>
      </c>
      <c r="AX616" s="50" t="s">
        <v>102</v>
      </c>
      <c r="AY616" s="50" t="s">
        <v>119</v>
      </c>
      <c r="BC616" s="50" t="s">
        <v>120</v>
      </c>
      <c r="BD616" s="50" t="s">
        <v>4153</v>
      </c>
      <c r="BE616" s="50" t="s">
        <v>320</v>
      </c>
      <c r="BF616" s="50" t="s">
        <v>122</v>
      </c>
      <c r="BG616" s="50" t="s">
        <v>123</v>
      </c>
      <c r="BH616" s="50" t="s">
        <v>124</v>
      </c>
      <c r="BI616" s="50" t="s">
        <v>14585</v>
      </c>
      <c r="BJ616" s="50" t="s">
        <v>11889</v>
      </c>
      <c r="BK616" s="50" t="s">
        <v>127</v>
      </c>
      <c r="BL616" s="50" t="s">
        <v>18936</v>
      </c>
      <c r="BM616" s="50" t="s">
        <v>9782</v>
      </c>
      <c r="BN616" s="50" t="s">
        <v>18937</v>
      </c>
      <c r="BO616" s="50" t="s">
        <v>14583</v>
      </c>
      <c r="BP616" s="50" t="s">
        <v>14588</v>
      </c>
      <c r="BQ616" s="50" t="s">
        <v>696</v>
      </c>
      <c r="BR616" s="50" t="s">
        <v>14589</v>
      </c>
      <c r="BS616" s="50" t="s">
        <v>14590</v>
      </c>
      <c r="BT616" s="50" t="s">
        <v>1111</v>
      </c>
      <c r="BV616" s="50" t="s">
        <v>18938</v>
      </c>
      <c r="BW616" s="50" t="s">
        <v>224</v>
      </c>
      <c r="BX616" s="50" t="s">
        <v>598</v>
      </c>
      <c r="BY616" s="50" t="s">
        <v>225</v>
      </c>
      <c r="BZ616" s="50" t="s">
        <v>226</v>
      </c>
      <c r="CA616" s="50" t="s">
        <v>9785</v>
      </c>
      <c r="CB616" s="50" t="s">
        <v>14592</v>
      </c>
      <c r="CC616" s="50" t="s">
        <v>9785</v>
      </c>
      <c r="CD616" s="50" t="s">
        <v>14593</v>
      </c>
      <c r="CE616" s="50" t="s">
        <v>14594</v>
      </c>
      <c r="CF616" s="50" t="s">
        <v>14595</v>
      </c>
      <c r="CG616" s="50" t="s">
        <v>14593</v>
      </c>
      <c r="CH616" s="50" t="s">
        <v>102</v>
      </c>
      <c r="CI616" s="50" t="s">
        <v>18939</v>
      </c>
      <c r="CK616" s="50" t="s">
        <v>4160</v>
      </c>
      <c r="CM616" s="50" t="s">
        <v>4153</v>
      </c>
      <c r="CN616" s="50" t="s">
        <v>320</v>
      </c>
      <c r="CO616" s="50" t="s">
        <v>4160</v>
      </c>
      <c r="CQ616" s="50" t="s">
        <v>9786</v>
      </c>
      <c r="CR616" s="50" t="s">
        <v>9786</v>
      </c>
    </row>
    <row r="617" spans="1:97" hidden="1">
      <c r="A617" s="50" t="s">
        <v>149</v>
      </c>
      <c r="B617" s="50">
        <v>3992812</v>
      </c>
      <c r="C617" s="50" t="e">
        <f>VLOOKUP(B617,'Drop schools 2026'!B:C,2,0)</f>
        <v>#N/A</v>
      </c>
      <c r="D617" s="50" t="s">
        <v>212</v>
      </c>
      <c r="E617" s="50" t="s">
        <v>12423</v>
      </c>
      <c r="F617" s="50" t="s">
        <v>8238</v>
      </c>
      <c r="G617" s="50" t="e">
        <f>VLOOKUP(B617,aa!B:F,5,0)</f>
        <v>#N/A</v>
      </c>
      <c r="H617" s="50" t="e">
        <f>VLOOKUP(B617,aa!B:J,9,0)</f>
        <v>#N/A</v>
      </c>
      <c r="I617" s="50" t="e">
        <f>VLOOKUP(B617,aa!B:L,11,0)</f>
        <v>#N/A</v>
      </c>
      <c r="J617" s="50" t="e">
        <f>VLOOKUP(B617,aa!B:O,14,0)</f>
        <v>#N/A</v>
      </c>
      <c r="K617" s="50" t="e">
        <f>VLOOKUP(B617,aa!B:R,17,0)</f>
        <v>#N/A</v>
      </c>
      <c r="L617" s="50" t="s">
        <v>848</v>
      </c>
      <c r="M617" s="50">
        <v>0</v>
      </c>
      <c r="N617" s="50">
        <v>0</v>
      </c>
      <c r="O617" s="50">
        <v>0</v>
      </c>
      <c r="P617" s="50">
        <v>0</v>
      </c>
      <c r="R617" s="50">
        <v>0</v>
      </c>
      <c r="S617" s="50">
        <v>0</v>
      </c>
      <c r="U617" s="50">
        <v>0</v>
      </c>
      <c r="V617" s="50">
        <v>353</v>
      </c>
      <c r="W617" s="50" t="s">
        <v>102</v>
      </c>
      <c r="X617" s="50" t="s">
        <v>102</v>
      </c>
      <c r="Y617" s="50" t="s">
        <v>275</v>
      </c>
      <c r="AA617" s="50" t="s">
        <v>1408</v>
      </c>
      <c r="AB617" s="50" t="s">
        <v>109</v>
      </c>
      <c r="AC617" s="50" t="s">
        <v>102</v>
      </c>
      <c r="AD617" s="50" t="s">
        <v>109</v>
      </c>
      <c r="AE617" s="50" t="s">
        <v>102</v>
      </c>
      <c r="AF617" s="50" t="s">
        <v>109</v>
      </c>
      <c r="AG617" s="50" t="s">
        <v>102</v>
      </c>
      <c r="AH617" s="50" t="s">
        <v>109</v>
      </c>
      <c r="AI617" s="50" t="s">
        <v>102</v>
      </c>
      <c r="AJ617" s="50" t="s">
        <v>102</v>
      </c>
      <c r="AM617" s="50" t="s">
        <v>102</v>
      </c>
      <c r="AN617" s="50" t="s">
        <v>102</v>
      </c>
      <c r="AO617" s="50" t="s">
        <v>102</v>
      </c>
      <c r="AP617" s="50" t="s">
        <v>115</v>
      </c>
      <c r="AQ617" s="50" t="s">
        <v>115</v>
      </c>
      <c r="AV617" s="50" t="s">
        <v>102</v>
      </c>
      <c r="AX617" s="50" t="s">
        <v>102</v>
      </c>
      <c r="AY617" s="50" t="s">
        <v>119</v>
      </c>
      <c r="BB617" s="50" t="s">
        <v>250</v>
      </c>
      <c r="BC617" s="50" t="s">
        <v>120</v>
      </c>
      <c r="BD617" s="50" t="s">
        <v>8240</v>
      </c>
      <c r="BE617" s="50" t="s">
        <v>410</v>
      </c>
      <c r="BF617" s="50" t="s">
        <v>212</v>
      </c>
      <c r="BG617" s="50" t="s">
        <v>410</v>
      </c>
      <c r="BH617" s="50" t="s">
        <v>124</v>
      </c>
      <c r="BI617" s="50" t="s">
        <v>4563</v>
      </c>
      <c r="BJ617" s="50" t="s">
        <v>11960</v>
      </c>
      <c r="BK617" s="50" t="s">
        <v>127</v>
      </c>
      <c r="BL617" s="50" t="s">
        <v>17571</v>
      </c>
      <c r="BM617" s="50" t="s">
        <v>8242</v>
      </c>
      <c r="BN617" s="50" t="s">
        <v>17572</v>
      </c>
      <c r="BO617" s="50" t="s">
        <v>12644</v>
      </c>
      <c r="BP617" s="50" t="s">
        <v>866</v>
      </c>
      <c r="BQ617" s="50" t="s">
        <v>505</v>
      </c>
      <c r="BR617" s="50" t="s">
        <v>867</v>
      </c>
      <c r="BS617" s="50" t="s">
        <v>868</v>
      </c>
      <c r="BT617" s="50" t="s">
        <v>2151</v>
      </c>
      <c r="BV617" s="50" t="s">
        <v>17573</v>
      </c>
      <c r="BW617" s="50" t="s">
        <v>224</v>
      </c>
      <c r="BX617" s="50" t="s">
        <v>598</v>
      </c>
      <c r="BY617" s="50" t="s">
        <v>225</v>
      </c>
      <c r="BZ617" s="50" t="s">
        <v>226</v>
      </c>
      <c r="CA617" s="50" t="s">
        <v>8246</v>
      </c>
      <c r="CB617" s="50" t="s">
        <v>224</v>
      </c>
      <c r="CC617" s="50" t="s">
        <v>225</v>
      </c>
      <c r="CD617" s="50" t="s">
        <v>226</v>
      </c>
      <c r="CE617" s="50" t="s">
        <v>224</v>
      </c>
      <c r="CF617" s="50" t="s">
        <v>225</v>
      </c>
      <c r="CG617" s="50" t="s">
        <v>226</v>
      </c>
      <c r="CH617" s="50" t="s">
        <v>102</v>
      </c>
      <c r="CI617" s="50" t="s">
        <v>8247</v>
      </c>
      <c r="CK617" s="50" t="s">
        <v>8248</v>
      </c>
      <c r="CM617" s="50" t="s">
        <v>8240</v>
      </c>
      <c r="CN617" s="50" t="s">
        <v>410</v>
      </c>
      <c r="CO617" s="50" t="s">
        <v>8248</v>
      </c>
      <c r="CQ617" s="50" t="s">
        <v>8247</v>
      </c>
      <c r="CR617" s="50" t="s">
        <v>8247</v>
      </c>
      <c r="CS617" s="50" t="s">
        <v>26048</v>
      </c>
    </row>
    <row r="618" spans="1:97" hidden="1">
      <c r="A618" s="50" t="s">
        <v>149</v>
      </c>
      <c r="B618" s="50">
        <v>5004172</v>
      </c>
      <c r="C618" s="50" t="e">
        <f>VLOOKUP(B618,'Drop schools 2026'!B:C,2,0)</f>
        <v>#N/A</v>
      </c>
      <c r="D618" s="50" t="s">
        <v>212</v>
      </c>
      <c r="E618" s="50" t="s">
        <v>293</v>
      </c>
      <c r="F618" s="50" t="s">
        <v>9230</v>
      </c>
      <c r="G618" s="50" t="e">
        <f>VLOOKUP(B618,aa!B:F,5,0)</f>
        <v>#N/A</v>
      </c>
      <c r="H618" s="50" t="e">
        <f>VLOOKUP(B618,aa!B:J,9,0)</f>
        <v>#N/A</v>
      </c>
      <c r="I618" s="50" t="e">
        <f>VLOOKUP(B618,aa!B:L,11,0)</f>
        <v>#N/A</v>
      </c>
      <c r="J618" s="50" t="e">
        <f>VLOOKUP(B618,aa!B:O,14,0)</f>
        <v>#N/A</v>
      </c>
      <c r="K618" s="50" t="e">
        <f>VLOOKUP(B618,aa!B:R,17,0)</f>
        <v>#N/A</v>
      </c>
      <c r="L618" s="50" t="s">
        <v>2163</v>
      </c>
      <c r="M618" s="50">
        <v>0</v>
      </c>
      <c r="N618" s="50">
        <v>0</v>
      </c>
      <c r="O618" s="50">
        <v>0</v>
      </c>
      <c r="P618" s="50">
        <v>110</v>
      </c>
      <c r="Q618" s="50" t="s">
        <v>102</v>
      </c>
      <c r="R618" s="50">
        <v>0</v>
      </c>
      <c r="S618" s="50">
        <v>113</v>
      </c>
      <c r="T618" s="50" t="s">
        <v>102</v>
      </c>
      <c r="U618" s="50">
        <v>0</v>
      </c>
      <c r="V618" s="50">
        <v>112</v>
      </c>
      <c r="W618" s="50" t="s">
        <v>102</v>
      </c>
      <c r="X618" s="50" t="s">
        <v>102</v>
      </c>
      <c r="Y618" s="50" t="s">
        <v>275</v>
      </c>
      <c r="AA618" s="50" t="s">
        <v>12675</v>
      </c>
      <c r="AB618" s="50" t="s">
        <v>109</v>
      </c>
      <c r="AC618" s="50" t="s">
        <v>102</v>
      </c>
      <c r="AD618" s="50" t="s">
        <v>109</v>
      </c>
      <c r="AE618" s="50" t="s">
        <v>102</v>
      </c>
      <c r="AF618" s="50" t="s">
        <v>109</v>
      </c>
      <c r="AG618" s="50" t="s">
        <v>102</v>
      </c>
      <c r="AH618" s="50" t="s">
        <v>109</v>
      </c>
      <c r="AI618" s="50" t="s">
        <v>102</v>
      </c>
      <c r="AJ618" s="50" t="s">
        <v>102</v>
      </c>
      <c r="AM618" s="50" t="s">
        <v>102</v>
      </c>
      <c r="AN618" s="50" t="s">
        <v>102</v>
      </c>
      <c r="AO618" s="50" t="s">
        <v>102</v>
      </c>
      <c r="AP618" s="50" t="s">
        <v>115</v>
      </c>
      <c r="AQ618" s="50" t="s">
        <v>115</v>
      </c>
      <c r="AV618" s="50" t="s">
        <v>18576</v>
      </c>
      <c r="AW618" s="50" t="s">
        <v>250</v>
      </c>
      <c r="AX618" s="50" t="s">
        <v>1103</v>
      </c>
      <c r="AY618" s="50" t="s">
        <v>119</v>
      </c>
      <c r="BA618" s="50" t="s">
        <v>250</v>
      </c>
      <c r="BB618" s="50" t="s">
        <v>250</v>
      </c>
      <c r="BC618" s="50" t="s">
        <v>209</v>
      </c>
      <c r="BD618" s="50" t="s">
        <v>7718</v>
      </c>
      <c r="BE618" s="50" t="s">
        <v>211</v>
      </c>
      <c r="BF618" s="50" t="s">
        <v>212</v>
      </c>
      <c r="BG618" s="50" t="s">
        <v>213</v>
      </c>
      <c r="BH618" s="50" t="s">
        <v>124</v>
      </c>
      <c r="BI618" s="50" t="s">
        <v>11959</v>
      </c>
      <c r="BJ618" s="50" t="s">
        <v>11960</v>
      </c>
      <c r="BK618" s="50" t="s">
        <v>127</v>
      </c>
      <c r="BL618" s="50" t="s">
        <v>18577</v>
      </c>
      <c r="BM618" s="50" t="s">
        <v>9233</v>
      </c>
      <c r="BN618" s="50" t="s">
        <v>18578</v>
      </c>
      <c r="BO618" s="50" t="s">
        <v>18575</v>
      </c>
      <c r="BP618" s="50" t="s">
        <v>1880</v>
      </c>
      <c r="BQ618" s="50" t="s">
        <v>505</v>
      </c>
      <c r="BR618" s="50" t="s">
        <v>1882</v>
      </c>
      <c r="BS618" s="50" t="s">
        <v>1883</v>
      </c>
      <c r="BT618" s="50" t="s">
        <v>483</v>
      </c>
      <c r="BV618" s="50" t="s">
        <v>18579</v>
      </c>
      <c r="BW618" s="50" t="s">
        <v>15748</v>
      </c>
      <c r="BX618" s="50" t="s">
        <v>598</v>
      </c>
      <c r="BY618" s="50" t="s">
        <v>225</v>
      </c>
      <c r="BZ618" s="50" t="s">
        <v>18580</v>
      </c>
      <c r="CA618" s="50" t="s">
        <v>9236</v>
      </c>
      <c r="CB618" s="50" t="s">
        <v>18581</v>
      </c>
      <c r="CC618" s="50" t="s">
        <v>18582</v>
      </c>
      <c r="CD618" s="50" t="s">
        <v>18583</v>
      </c>
      <c r="CE618" s="50" t="s">
        <v>18584</v>
      </c>
      <c r="CF618" s="50" t="s">
        <v>18585</v>
      </c>
      <c r="CG618" s="50" t="s">
        <v>18586</v>
      </c>
      <c r="CH618" s="50" t="s">
        <v>102</v>
      </c>
      <c r="CI618" s="50" t="s">
        <v>18587</v>
      </c>
      <c r="CK618" s="50" t="s">
        <v>5844</v>
      </c>
      <c r="CM618" s="50" t="s">
        <v>7718</v>
      </c>
      <c r="CN618" s="50" t="s">
        <v>211</v>
      </c>
      <c r="CO618" s="50" t="s">
        <v>5844</v>
      </c>
      <c r="CQ618" s="50" t="s">
        <v>9237</v>
      </c>
      <c r="CR618" s="50" t="s">
        <v>9237</v>
      </c>
      <c r="CS618" s="50" t="s">
        <v>26048</v>
      </c>
    </row>
    <row r="619" spans="1:97" hidden="1">
      <c r="A619" s="50" t="s">
        <v>93</v>
      </c>
      <c r="B619" s="50">
        <v>5018513</v>
      </c>
      <c r="C619" s="50" t="e">
        <f>VLOOKUP(B619,'Drop schools 2026'!B:C,2,0)</f>
        <v>#N/A</v>
      </c>
      <c r="D619" s="50" t="s">
        <v>122</v>
      </c>
      <c r="E619" s="50" t="s">
        <v>11898</v>
      </c>
      <c r="F619" s="50" t="s">
        <v>10757</v>
      </c>
      <c r="G619" s="50" t="e">
        <f>VLOOKUP(B619,aa!B:F,5,0)</f>
        <v>#N/A</v>
      </c>
      <c r="H619" s="50" t="e">
        <f>VLOOKUP(B619,aa!B:J,9,0)</f>
        <v>#N/A</v>
      </c>
      <c r="I619" s="50" t="e">
        <f>VLOOKUP(B619,aa!B:L,11,0)</f>
        <v>#N/A</v>
      </c>
      <c r="J619" s="50" t="e">
        <f>VLOOKUP(B619,aa!B:O,14,0)</f>
        <v>#N/A</v>
      </c>
      <c r="K619" s="50" t="e">
        <f>VLOOKUP(B619,aa!B:R,17,0)</f>
        <v>#N/A</v>
      </c>
      <c r="L619" s="50" t="s">
        <v>1746</v>
      </c>
      <c r="M619" s="50">
        <v>0</v>
      </c>
      <c r="N619" s="50">
        <v>0</v>
      </c>
      <c r="O619" s="50">
        <v>0</v>
      </c>
      <c r="P619" s="50">
        <v>85</v>
      </c>
      <c r="Q619" s="50" t="s">
        <v>102</v>
      </c>
      <c r="R619" s="50">
        <v>0</v>
      </c>
      <c r="S619" s="50">
        <v>85</v>
      </c>
      <c r="T619" s="50" t="s">
        <v>102</v>
      </c>
      <c r="U619" s="50">
        <v>0</v>
      </c>
      <c r="V619" s="50">
        <v>166</v>
      </c>
      <c r="W619" s="50" t="s">
        <v>102</v>
      </c>
      <c r="X619" s="50" t="s">
        <v>102</v>
      </c>
      <c r="Y619" s="50" t="s">
        <v>275</v>
      </c>
      <c r="AA619" s="50" t="s">
        <v>8258</v>
      </c>
      <c r="AB619" s="50" t="s">
        <v>109</v>
      </c>
      <c r="AC619" s="50" t="s">
        <v>102</v>
      </c>
      <c r="AD619" s="50" t="s">
        <v>109</v>
      </c>
      <c r="AE619" s="50" t="s">
        <v>102</v>
      </c>
      <c r="AF619" s="50" t="s">
        <v>109</v>
      </c>
      <c r="AG619" s="50" t="s">
        <v>102</v>
      </c>
      <c r="AH619" s="50" t="s">
        <v>109</v>
      </c>
      <c r="AI619" s="50" t="s">
        <v>102</v>
      </c>
      <c r="AJ619" s="50" t="s">
        <v>102</v>
      </c>
      <c r="AM619" s="50" t="s">
        <v>102</v>
      </c>
      <c r="AN619" s="50" t="s">
        <v>102</v>
      </c>
      <c r="AO619" s="50" t="s">
        <v>102</v>
      </c>
      <c r="AP619" s="50" t="s">
        <v>115</v>
      </c>
      <c r="AQ619" s="50" t="s">
        <v>115</v>
      </c>
      <c r="AV619" s="50" t="s">
        <v>6700</v>
      </c>
      <c r="AW619" s="50" t="s">
        <v>250</v>
      </c>
      <c r="AX619" s="50" t="s">
        <v>104</v>
      </c>
      <c r="AY619" s="50" t="s">
        <v>119</v>
      </c>
      <c r="BA619" s="50" t="s">
        <v>250</v>
      </c>
      <c r="BB619" s="50" t="s">
        <v>250</v>
      </c>
      <c r="BC619" s="50" t="s">
        <v>120</v>
      </c>
      <c r="BD619" s="50" t="s">
        <v>1407</v>
      </c>
      <c r="BE619" s="50" t="s">
        <v>121</v>
      </c>
      <c r="BF619" s="50" t="s">
        <v>122</v>
      </c>
      <c r="BG619" s="50" t="s">
        <v>123</v>
      </c>
      <c r="BH619" s="50" t="s">
        <v>124</v>
      </c>
      <c r="BI619" s="50" t="s">
        <v>12082</v>
      </c>
      <c r="BJ619" s="50" t="s">
        <v>11960</v>
      </c>
      <c r="BK619" s="50" t="s">
        <v>127</v>
      </c>
      <c r="BL619" s="50" t="s">
        <v>19973</v>
      </c>
      <c r="BM619" s="50" t="s">
        <v>10761</v>
      </c>
      <c r="BN619" s="50" t="s">
        <v>19974</v>
      </c>
      <c r="BO619" s="50" t="s">
        <v>19972</v>
      </c>
      <c r="BP619" s="50" t="s">
        <v>18467</v>
      </c>
      <c r="BQ619" s="50" t="s">
        <v>505</v>
      </c>
      <c r="BR619" s="50" t="s">
        <v>18468</v>
      </c>
      <c r="BS619" s="50" t="s">
        <v>18469</v>
      </c>
      <c r="BT619" s="50" t="s">
        <v>566</v>
      </c>
      <c r="BV619" s="50" t="s">
        <v>19975</v>
      </c>
      <c r="BW619" s="50" t="s">
        <v>224</v>
      </c>
      <c r="BX619" s="50" t="s">
        <v>354</v>
      </c>
      <c r="BY619" s="50" t="s">
        <v>225</v>
      </c>
      <c r="BZ619" s="50" t="s">
        <v>226</v>
      </c>
      <c r="CA619" s="50" t="s">
        <v>10765</v>
      </c>
      <c r="CB619" s="50" t="s">
        <v>224</v>
      </c>
      <c r="CC619" s="50" t="s">
        <v>225</v>
      </c>
      <c r="CD619" s="50" t="s">
        <v>226</v>
      </c>
      <c r="CE619" s="50" t="s">
        <v>224</v>
      </c>
      <c r="CF619" s="50" t="s">
        <v>225</v>
      </c>
      <c r="CG619" s="50" t="s">
        <v>226</v>
      </c>
      <c r="CH619" s="50" t="s">
        <v>102</v>
      </c>
      <c r="CI619" s="50" t="s">
        <v>10769</v>
      </c>
      <c r="CK619" s="50" t="s">
        <v>1419</v>
      </c>
      <c r="CM619" s="50" t="s">
        <v>1407</v>
      </c>
      <c r="CN619" s="50" t="s">
        <v>121</v>
      </c>
      <c r="CO619" s="50" t="s">
        <v>1419</v>
      </c>
      <c r="CQ619" s="50" t="s">
        <v>10769</v>
      </c>
      <c r="CR619" s="50" t="s">
        <v>10769</v>
      </c>
    </row>
    <row r="620" spans="1:97" hidden="1">
      <c r="A620" s="50" t="s">
        <v>337</v>
      </c>
      <c r="B620" s="50">
        <v>5064415</v>
      </c>
      <c r="C620" s="50" t="e">
        <f>VLOOKUP(B620,'Drop schools 2026'!B:C,2,0)</f>
        <v>#N/A</v>
      </c>
      <c r="D620" s="50" t="s">
        <v>174</v>
      </c>
      <c r="E620" s="50" t="s">
        <v>20687</v>
      </c>
      <c r="F620" s="50" t="s">
        <v>20723</v>
      </c>
      <c r="G620" s="50" t="e">
        <f>VLOOKUP(B620,aa!B:F,5,0)</f>
        <v>#N/A</v>
      </c>
      <c r="H620" s="50" t="e">
        <f>VLOOKUP(B620,aa!B:J,9,0)</f>
        <v>#N/A</v>
      </c>
      <c r="I620" s="50" t="e">
        <f>VLOOKUP(B620,aa!B:L,11,0)</f>
        <v>#N/A</v>
      </c>
      <c r="J620" s="50" t="e">
        <f>VLOOKUP(B620,aa!B:O,14,0)</f>
        <v>#N/A</v>
      </c>
      <c r="K620" s="50" t="e">
        <f>VLOOKUP(B620,aa!B:R,17,0)</f>
        <v>#N/A</v>
      </c>
      <c r="L620" s="50" t="s">
        <v>2884</v>
      </c>
      <c r="M620" s="50">
        <v>0</v>
      </c>
      <c r="N620" s="50">
        <v>0</v>
      </c>
      <c r="O620" s="50">
        <v>0</v>
      </c>
      <c r="P620" s="50">
        <v>13</v>
      </c>
      <c r="Q620" s="50" t="s">
        <v>102</v>
      </c>
      <c r="R620" s="50">
        <v>0</v>
      </c>
      <c r="S620" s="50">
        <v>22</v>
      </c>
      <c r="T620" s="50" t="s">
        <v>102</v>
      </c>
      <c r="U620" s="50">
        <v>0</v>
      </c>
      <c r="V620" s="50">
        <v>26</v>
      </c>
      <c r="W620" s="50" t="s">
        <v>102</v>
      </c>
      <c r="X620" s="50" t="s">
        <v>102</v>
      </c>
      <c r="Y620" s="50" t="s">
        <v>275</v>
      </c>
      <c r="AA620" s="50" t="s">
        <v>20725</v>
      </c>
      <c r="AB620" s="50" t="s">
        <v>109</v>
      </c>
      <c r="AC620" s="50" t="s">
        <v>102</v>
      </c>
      <c r="AD620" s="50" t="s">
        <v>109</v>
      </c>
      <c r="AE620" s="50" t="s">
        <v>102</v>
      </c>
      <c r="AF620" s="50" t="s">
        <v>109</v>
      </c>
      <c r="AG620" s="50" t="s">
        <v>102</v>
      </c>
      <c r="AH620" s="50" t="s">
        <v>109</v>
      </c>
      <c r="AI620" s="50" t="s">
        <v>102</v>
      </c>
      <c r="AJ620" s="50" t="s">
        <v>102</v>
      </c>
      <c r="AM620" s="50" t="s">
        <v>102</v>
      </c>
      <c r="AN620" s="50" t="s">
        <v>102</v>
      </c>
      <c r="AO620" s="50" t="s">
        <v>102</v>
      </c>
      <c r="AP620" s="50" t="s">
        <v>115</v>
      </c>
      <c r="AQ620" s="50" t="s">
        <v>115</v>
      </c>
      <c r="AV620" s="50" t="s">
        <v>6700</v>
      </c>
      <c r="AW620" s="50" t="s">
        <v>250</v>
      </c>
      <c r="AX620" s="50" t="s">
        <v>104</v>
      </c>
      <c r="AY620" s="50" t="s">
        <v>447</v>
      </c>
      <c r="BA620" s="50" t="s">
        <v>250</v>
      </c>
      <c r="BB620" s="50" t="s">
        <v>250</v>
      </c>
      <c r="BC620" s="50" t="s">
        <v>1964</v>
      </c>
      <c r="BD620" s="50" t="s">
        <v>375</v>
      </c>
      <c r="BE620" s="50" t="s">
        <v>376</v>
      </c>
      <c r="BF620" s="50" t="s">
        <v>174</v>
      </c>
      <c r="BG620" s="50" t="s">
        <v>376</v>
      </c>
      <c r="BH620" s="50" t="s">
        <v>124</v>
      </c>
      <c r="BI620" s="50" t="s">
        <v>12836</v>
      </c>
      <c r="BJ620" s="50" t="s">
        <v>11889</v>
      </c>
      <c r="BK620" s="50" t="s">
        <v>127</v>
      </c>
      <c r="BL620" s="50" t="s">
        <v>20726</v>
      </c>
      <c r="BM620" s="50" t="s">
        <v>20727</v>
      </c>
      <c r="BN620" s="50" t="s">
        <v>20728</v>
      </c>
      <c r="BO620" s="50" t="s">
        <v>20724</v>
      </c>
      <c r="BP620" s="50" t="s">
        <v>179</v>
      </c>
      <c r="BQ620" s="50" t="s">
        <v>505</v>
      </c>
      <c r="BR620" s="50" t="s">
        <v>181</v>
      </c>
      <c r="BS620" s="50" t="s">
        <v>182</v>
      </c>
      <c r="BT620" s="50" t="s">
        <v>1858</v>
      </c>
      <c r="BV620" s="50" t="s">
        <v>20729</v>
      </c>
      <c r="BW620" s="50" t="s">
        <v>224</v>
      </c>
      <c r="BX620" s="50" t="s">
        <v>1282</v>
      </c>
      <c r="BY620" s="50" t="s">
        <v>225</v>
      </c>
      <c r="BZ620" s="50" t="s">
        <v>10475</v>
      </c>
      <c r="CA620" s="50" t="s">
        <v>20704</v>
      </c>
      <c r="CB620" s="50" t="s">
        <v>20730</v>
      </c>
      <c r="CC620" s="50" t="s">
        <v>20702</v>
      </c>
      <c r="CD620" s="50" t="s">
        <v>20731</v>
      </c>
      <c r="CE620" s="50" t="s">
        <v>20730</v>
      </c>
      <c r="CF620" s="50" t="s">
        <v>20702</v>
      </c>
      <c r="CG620" s="50" t="s">
        <v>20731</v>
      </c>
      <c r="CH620" s="50" t="s">
        <v>102</v>
      </c>
      <c r="CI620" s="50" t="s">
        <v>20686</v>
      </c>
      <c r="CK620" s="50" t="s">
        <v>20706</v>
      </c>
      <c r="CM620" s="50" t="s">
        <v>375</v>
      </c>
      <c r="CN620" s="50" t="s">
        <v>376</v>
      </c>
      <c r="CO620" s="50" t="s">
        <v>20706</v>
      </c>
      <c r="CQ620" s="50" t="s">
        <v>20707</v>
      </c>
      <c r="CR620" s="50" t="s">
        <v>20707</v>
      </c>
      <c r="CS620" s="50" t="s">
        <v>26048</v>
      </c>
    </row>
    <row r="621" spans="1:97" hidden="1">
      <c r="A621" s="50" t="s">
        <v>337</v>
      </c>
      <c r="B621" s="50">
        <v>463877</v>
      </c>
      <c r="C621" s="50" t="e">
        <f>VLOOKUP(B621,'Drop schools 2026'!B:C,2,0)</f>
        <v>#N/A</v>
      </c>
      <c r="D621" s="50" t="s">
        <v>622</v>
      </c>
      <c r="E621" s="50" t="s">
        <v>632</v>
      </c>
      <c r="F621" s="50" t="s">
        <v>18377</v>
      </c>
      <c r="G621" s="50" t="str">
        <f>VLOOKUP(B621,aa!B:F,5,0)</f>
        <v>Ei CARES, Ei Mindspark</v>
      </c>
      <c r="H621" s="50">
        <f>VLOOKUP(B621,aa!B:J,9,0)</f>
        <v>311014</v>
      </c>
      <c r="I621" s="50">
        <f>VLOOKUP(B621,aa!B:L,11,0)</f>
        <v>0</v>
      </c>
      <c r="J621" s="50">
        <f>VLOOKUP(B621,aa!B:O,14,0)</f>
        <v>311014</v>
      </c>
      <c r="K621" s="50">
        <f>VLOOKUP(B621,aa!B:R,17,0)</f>
        <v>0</v>
      </c>
      <c r="L621" s="50" t="s">
        <v>152</v>
      </c>
      <c r="M621" s="50">
        <v>0</v>
      </c>
      <c r="N621" s="50">
        <v>0</v>
      </c>
      <c r="O621" s="50">
        <v>0</v>
      </c>
      <c r="P621" s="50">
        <v>0</v>
      </c>
      <c r="R621" s="50">
        <v>0</v>
      </c>
      <c r="S621" s="50">
        <v>162</v>
      </c>
      <c r="T621" s="50" t="s">
        <v>102</v>
      </c>
      <c r="U621" s="50">
        <v>0</v>
      </c>
      <c r="V621" s="50">
        <v>0</v>
      </c>
      <c r="X621" s="50" t="s">
        <v>102</v>
      </c>
      <c r="Y621" s="50" t="s">
        <v>275</v>
      </c>
      <c r="AA621" s="50" t="s">
        <v>16421</v>
      </c>
      <c r="AB621" s="50" t="s">
        <v>109</v>
      </c>
      <c r="AC621" s="50" t="s">
        <v>102</v>
      </c>
      <c r="AD621" s="50" t="s">
        <v>109</v>
      </c>
      <c r="AE621" s="50" t="s">
        <v>102</v>
      </c>
      <c r="AF621" s="50" t="s">
        <v>109</v>
      </c>
      <c r="AG621" s="50" t="s">
        <v>102</v>
      </c>
      <c r="AH621" s="50" t="s">
        <v>109</v>
      </c>
      <c r="AI621" s="50" t="s">
        <v>102</v>
      </c>
      <c r="AJ621" s="50" t="s">
        <v>102</v>
      </c>
      <c r="AM621" s="50" t="s">
        <v>102</v>
      </c>
      <c r="AN621" s="50" t="s">
        <v>102</v>
      </c>
      <c r="AO621" s="50" t="s">
        <v>102</v>
      </c>
      <c r="AP621" s="50" t="s">
        <v>115</v>
      </c>
      <c r="AQ621" s="50" t="s">
        <v>115</v>
      </c>
      <c r="AV621" s="50" t="s">
        <v>102</v>
      </c>
      <c r="AX621" s="50" t="s">
        <v>104</v>
      </c>
      <c r="AY621" s="50" t="s">
        <v>119</v>
      </c>
      <c r="AZ621" s="50" t="s">
        <v>170</v>
      </c>
      <c r="BA621" s="50" t="s">
        <v>118</v>
      </c>
      <c r="BC621" s="50" t="s">
        <v>209</v>
      </c>
      <c r="BD621" s="50" t="s">
        <v>623</v>
      </c>
      <c r="BE621" s="50" t="s">
        <v>621</v>
      </c>
      <c r="BF621" s="50" t="s">
        <v>622</v>
      </c>
      <c r="BG621" s="50" t="s">
        <v>623</v>
      </c>
      <c r="BH621" s="50" t="s">
        <v>124</v>
      </c>
      <c r="BI621" s="50" t="s">
        <v>11888</v>
      </c>
      <c r="BJ621" s="50" t="s">
        <v>11889</v>
      </c>
      <c r="BK621" s="50" t="s">
        <v>127</v>
      </c>
      <c r="BL621" s="50" t="s">
        <v>18378</v>
      </c>
      <c r="BM621" s="50" t="s">
        <v>18379</v>
      </c>
      <c r="BN621" s="50" t="s">
        <v>18380</v>
      </c>
      <c r="BO621" s="50" t="s">
        <v>15791</v>
      </c>
      <c r="BP621" s="50" t="s">
        <v>2284</v>
      </c>
      <c r="BQ621" s="50" t="s">
        <v>505</v>
      </c>
      <c r="BR621" s="50" t="s">
        <v>2285</v>
      </c>
      <c r="BS621" s="50" t="s">
        <v>2286</v>
      </c>
      <c r="BT621" s="50" t="s">
        <v>1342</v>
      </c>
      <c r="BV621" s="50" t="s">
        <v>18381</v>
      </c>
      <c r="BW621" s="50" t="s">
        <v>18382</v>
      </c>
      <c r="BY621" s="50" t="s">
        <v>18383</v>
      </c>
      <c r="BZ621" s="50" t="s">
        <v>18384</v>
      </c>
      <c r="CA621" s="50" t="s">
        <v>18385</v>
      </c>
      <c r="CB621" s="50" t="s">
        <v>18382</v>
      </c>
      <c r="CC621" s="50" t="s">
        <v>18383</v>
      </c>
      <c r="CD621" s="50" t="s">
        <v>18384</v>
      </c>
      <c r="CE621" s="50" t="s">
        <v>18382</v>
      </c>
      <c r="CF621" s="50" t="s">
        <v>18383</v>
      </c>
      <c r="CG621" s="50" t="s">
        <v>18384</v>
      </c>
      <c r="CH621" s="50" t="s">
        <v>9607</v>
      </c>
      <c r="CI621" s="50" t="s">
        <v>18386</v>
      </c>
      <c r="CK621" s="50" t="s">
        <v>7250</v>
      </c>
      <c r="CL621" s="50" t="s">
        <v>18386</v>
      </c>
      <c r="CM621" s="50" t="s">
        <v>623</v>
      </c>
      <c r="CN621" s="50" t="s">
        <v>621</v>
      </c>
      <c r="CO621" s="50" t="s">
        <v>7250</v>
      </c>
      <c r="CP621" s="50" t="s">
        <v>18387</v>
      </c>
      <c r="CQ621" s="50" t="s">
        <v>18388</v>
      </c>
      <c r="CR621" s="50" t="s">
        <v>18388</v>
      </c>
    </row>
    <row r="622" spans="1:97" hidden="1">
      <c r="A622" s="50" t="s">
        <v>93</v>
      </c>
      <c r="B622" s="50">
        <v>5018174</v>
      </c>
      <c r="C622" s="50" t="e">
        <f>VLOOKUP(B622,'Drop schools 2026'!B:C,2,0)</f>
        <v>#N/A</v>
      </c>
      <c r="D622" s="50" t="s">
        <v>212</v>
      </c>
      <c r="E622" s="50" t="s">
        <v>222</v>
      </c>
      <c r="F622" s="50" t="s">
        <v>10599</v>
      </c>
      <c r="G622" s="50" t="e">
        <f>VLOOKUP(B622,aa!B:F,5,0)</f>
        <v>#N/A</v>
      </c>
      <c r="H622" s="50" t="e">
        <f>VLOOKUP(B622,aa!B:J,9,0)</f>
        <v>#N/A</v>
      </c>
      <c r="I622" s="50" t="e">
        <f>VLOOKUP(B622,aa!B:L,11,0)</f>
        <v>#N/A</v>
      </c>
      <c r="J622" s="50" t="e">
        <f>VLOOKUP(B622,aa!B:O,14,0)</f>
        <v>#N/A</v>
      </c>
      <c r="K622" s="50" t="e">
        <f>VLOOKUP(B622,aa!B:R,17,0)</f>
        <v>#N/A</v>
      </c>
      <c r="L622" s="50" t="s">
        <v>152</v>
      </c>
      <c r="M622" s="50">
        <v>0</v>
      </c>
      <c r="N622" s="50">
        <v>0</v>
      </c>
      <c r="O622" s="50">
        <v>0</v>
      </c>
      <c r="P622" s="50">
        <v>0</v>
      </c>
      <c r="R622" s="50">
        <v>0</v>
      </c>
      <c r="S622" s="50">
        <v>205</v>
      </c>
      <c r="T622" s="50" t="s">
        <v>102</v>
      </c>
      <c r="U622" s="50">
        <v>0</v>
      </c>
      <c r="V622" s="50">
        <v>0</v>
      </c>
      <c r="X622" s="50" t="s">
        <v>102</v>
      </c>
      <c r="Y622" s="50" t="s">
        <v>275</v>
      </c>
      <c r="AA622" s="50" t="s">
        <v>19469</v>
      </c>
      <c r="AB622" s="50" t="s">
        <v>109</v>
      </c>
      <c r="AC622" s="50" t="s">
        <v>102</v>
      </c>
      <c r="AD622" s="50" t="s">
        <v>109</v>
      </c>
      <c r="AE622" s="50" t="s">
        <v>102</v>
      </c>
      <c r="AF622" s="50" t="s">
        <v>109</v>
      </c>
      <c r="AG622" s="50" t="s">
        <v>102</v>
      </c>
      <c r="AH622" s="50" t="s">
        <v>109</v>
      </c>
      <c r="AI622" s="50" t="s">
        <v>102</v>
      </c>
      <c r="AJ622" s="50" t="s">
        <v>102</v>
      </c>
      <c r="AM622" s="50" t="s">
        <v>102</v>
      </c>
      <c r="AN622" s="50" t="s">
        <v>102</v>
      </c>
      <c r="AO622" s="50" t="s">
        <v>102</v>
      </c>
      <c r="AP622" s="50" t="s">
        <v>115</v>
      </c>
      <c r="AQ622" s="50" t="s">
        <v>115</v>
      </c>
      <c r="AV622" s="50" t="s">
        <v>102</v>
      </c>
      <c r="AX622" s="50" t="s">
        <v>1384</v>
      </c>
      <c r="AY622" s="50" t="s">
        <v>119</v>
      </c>
      <c r="BA622" s="50" t="s">
        <v>250</v>
      </c>
      <c r="BC622" s="50" t="s">
        <v>209</v>
      </c>
      <c r="BD622" s="50" t="s">
        <v>1759</v>
      </c>
      <c r="BE622" s="50" t="s">
        <v>410</v>
      </c>
      <c r="BF622" s="50" t="s">
        <v>212</v>
      </c>
      <c r="BG622" s="50" t="s">
        <v>410</v>
      </c>
      <c r="BH622" s="50" t="s">
        <v>124</v>
      </c>
      <c r="BI622" s="50" t="s">
        <v>12082</v>
      </c>
      <c r="BJ622" s="50" t="s">
        <v>11889</v>
      </c>
      <c r="BK622" s="50" t="s">
        <v>127</v>
      </c>
      <c r="BL622" s="50" t="s">
        <v>19470</v>
      </c>
      <c r="BM622" s="50" t="s">
        <v>10602</v>
      </c>
      <c r="BN622" s="50" t="s">
        <v>19471</v>
      </c>
      <c r="BO622" s="50" t="s">
        <v>18123</v>
      </c>
      <c r="BP622" s="50" t="s">
        <v>415</v>
      </c>
      <c r="BQ622" s="50" t="s">
        <v>505</v>
      </c>
      <c r="BR622" s="50" t="s">
        <v>416</v>
      </c>
      <c r="BS622" s="50" t="s">
        <v>417</v>
      </c>
      <c r="BT622" s="50" t="s">
        <v>222</v>
      </c>
      <c r="BV622" s="50" t="s">
        <v>19472</v>
      </c>
      <c r="BW622" s="50" t="s">
        <v>3585</v>
      </c>
      <c r="BX622" s="50" t="s">
        <v>598</v>
      </c>
      <c r="BY622" s="50" t="s">
        <v>225</v>
      </c>
      <c r="BZ622" s="50" t="s">
        <v>10475</v>
      </c>
      <c r="CA622" s="50" t="s">
        <v>1769</v>
      </c>
      <c r="CB622" s="50" t="s">
        <v>3585</v>
      </c>
      <c r="CC622" s="50" t="s">
        <v>225</v>
      </c>
      <c r="CD622" s="50" t="s">
        <v>10475</v>
      </c>
      <c r="CE622" s="50" t="s">
        <v>3585</v>
      </c>
      <c r="CF622" s="50" t="s">
        <v>225</v>
      </c>
      <c r="CG622" s="50" t="s">
        <v>10475</v>
      </c>
      <c r="CH622" s="50" t="s">
        <v>102</v>
      </c>
      <c r="CI622" s="50" t="s">
        <v>19473</v>
      </c>
      <c r="CK622" s="50" t="s">
        <v>1774</v>
      </c>
      <c r="CM622" s="50" t="s">
        <v>1759</v>
      </c>
      <c r="CN622" s="50" t="s">
        <v>410</v>
      </c>
      <c r="CO622" s="50" t="s">
        <v>1774</v>
      </c>
      <c r="CQ622" s="50" t="s">
        <v>1773</v>
      </c>
      <c r="CR622" s="50" t="s">
        <v>1773</v>
      </c>
      <c r="CS622" s="50" t="s">
        <v>26048</v>
      </c>
    </row>
    <row r="623" spans="1:97" hidden="1">
      <c r="A623" s="50" t="s">
        <v>337</v>
      </c>
      <c r="B623" s="50">
        <v>5070312</v>
      </c>
      <c r="C623" s="50" t="e">
        <f>VLOOKUP(B623,'Drop schools 2026'!B:C,2,0)</f>
        <v>#N/A</v>
      </c>
      <c r="D623" s="50" t="s">
        <v>212</v>
      </c>
      <c r="E623" s="50" t="s">
        <v>293</v>
      </c>
      <c r="F623" s="50" t="s">
        <v>20770</v>
      </c>
      <c r="G623" s="50" t="e">
        <f>VLOOKUP(B623,aa!B:F,5,0)</f>
        <v>#N/A</v>
      </c>
      <c r="H623" s="50" t="e">
        <f>VLOOKUP(B623,aa!B:J,9,0)</f>
        <v>#N/A</v>
      </c>
      <c r="I623" s="50" t="e">
        <f>VLOOKUP(B623,aa!B:L,11,0)</f>
        <v>#N/A</v>
      </c>
      <c r="J623" s="50" t="e">
        <f>VLOOKUP(B623,aa!B:O,14,0)</f>
        <v>#N/A</v>
      </c>
      <c r="K623" s="50" t="e">
        <f>VLOOKUP(B623,aa!B:R,17,0)</f>
        <v>#N/A</v>
      </c>
      <c r="L623" s="50" t="s">
        <v>1746</v>
      </c>
      <c r="M623" s="50">
        <v>0</v>
      </c>
      <c r="N623" s="50">
        <v>0</v>
      </c>
      <c r="O623" s="50">
        <v>0</v>
      </c>
      <c r="P623" s="50">
        <v>250</v>
      </c>
      <c r="Q623" s="50" t="s">
        <v>102</v>
      </c>
      <c r="R623" s="50">
        <v>0</v>
      </c>
      <c r="S623" s="50">
        <v>250</v>
      </c>
      <c r="T623" s="50" t="s">
        <v>102</v>
      </c>
      <c r="U623" s="50">
        <v>0</v>
      </c>
      <c r="V623" s="50">
        <v>250</v>
      </c>
      <c r="W623" s="50" t="s">
        <v>102</v>
      </c>
      <c r="X623" s="50" t="s">
        <v>102</v>
      </c>
      <c r="Y623" s="50" t="s">
        <v>275</v>
      </c>
      <c r="AA623" s="50" t="s">
        <v>14705</v>
      </c>
      <c r="AB623" s="50" t="s">
        <v>109</v>
      </c>
      <c r="AC623" s="50" t="s">
        <v>102</v>
      </c>
      <c r="AD623" s="50" t="s">
        <v>109</v>
      </c>
      <c r="AE623" s="50" t="s">
        <v>102</v>
      </c>
      <c r="AF623" s="50" t="s">
        <v>109</v>
      </c>
      <c r="AG623" s="50" t="s">
        <v>102</v>
      </c>
      <c r="AH623" s="50" t="s">
        <v>109</v>
      </c>
      <c r="AI623" s="50" t="s">
        <v>102</v>
      </c>
      <c r="AJ623" s="50" t="s">
        <v>102</v>
      </c>
      <c r="AM623" s="50" t="s">
        <v>102</v>
      </c>
      <c r="AN623" s="50" t="s">
        <v>102</v>
      </c>
      <c r="AO623" s="50" t="s">
        <v>102</v>
      </c>
      <c r="AP623" s="50" t="s">
        <v>115</v>
      </c>
      <c r="AQ623" s="50" t="s">
        <v>115</v>
      </c>
      <c r="AV623" s="50" t="s">
        <v>6700</v>
      </c>
      <c r="AW623" s="50" t="s">
        <v>250</v>
      </c>
      <c r="AX623" s="50" t="s">
        <v>155</v>
      </c>
      <c r="AY623" s="50" t="s">
        <v>119</v>
      </c>
      <c r="BA623" s="50" t="s">
        <v>250</v>
      </c>
      <c r="BB623" s="50" t="s">
        <v>250</v>
      </c>
      <c r="BC623" s="50" t="s">
        <v>120</v>
      </c>
      <c r="BD623" s="50" t="s">
        <v>7718</v>
      </c>
      <c r="BE623" s="50" t="s">
        <v>211</v>
      </c>
      <c r="BF623" s="50" t="s">
        <v>212</v>
      </c>
      <c r="BG623" s="50" t="s">
        <v>213</v>
      </c>
      <c r="BH623" s="50" t="s">
        <v>124</v>
      </c>
      <c r="BI623" s="50" t="s">
        <v>13680</v>
      </c>
      <c r="BJ623" s="50" t="s">
        <v>12047</v>
      </c>
      <c r="BK623" s="50" t="s">
        <v>127</v>
      </c>
      <c r="BL623" s="50" t="s">
        <v>20771</v>
      </c>
      <c r="BM623" s="50" t="s">
        <v>20772</v>
      </c>
      <c r="BN623" s="50" t="s">
        <v>20773</v>
      </c>
      <c r="BO623" s="50" t="s">
        <v>14705</v>
      </c>
      <c r="BP623" s="50" t="s">
        <v>956</v>
      </c>
      <c r="BQ623" s="50" t="s">
        <v>258</v>
      </c>
      <c r="BR623" s="50" t="s">
        <v>958</v>
      </c>
      <c r="BS623" s="50" t="s">
        <v>959</v>
      </c>
      <c r="BT623" s="50" t="s">
        <v>4765</v>
      </c>
      <c r="BV623" s="50" t="s">
        <v>20774</v>
      </c>
      <c r="BW623" s="50" t="s">
        <v>3585</v>
      </c>
      <c r="BY623" s="50" t="s">
        <v>225</v>
      </c>
      <c r="BZ623" s="50" t="s">
        <v>8332</v>
      </c>
      <c r="CB623" s="50" t="s">
        <v>3585</v>
      </c>
      <c r="CC623" s="50" t="s">
        <v>225</v>
      </c>
      <c r="CD623" s="50" t="s">
        <v>8332</v>
      </c>
      <c r="CE623" s="50" t="s">
        <v>3585</v>
      </c>
      <c r="CF623" s="50" t="s">
        <v>225</v>
      </c>
      <c r="CG623" s="50" t="s">
        <v>8332</v>
      </c>
      <c r="CH623" s="50" t="s">
        <v>102</v>
      </c>
      <c r="CI623" s="50" t="s">
        <v>20775</v>
      </c>
      <c r="CK623" s="50" t="s">
        <v>20776</v>
      </c>
      <c r="CM623" s="50" t="s">
        <v>7718</v>
      </c>
      <c r="CN623" s="50" t="s">
        <v>211</v>
      </c>
      <c r="CO623" s="50" t="s">
        <v>20776</v>
      </c>
      <c r="CQ623" s="50" t="s">
        <v>20777</v>
      </c>
      <c r="CR623" s="50" t="s">
        <v>20777</v>
      </c>
      <c r="CS623" s="50" t="s">
        <v>26048</v>
      </c>
    </row>
    <row r="624" spans="1:97" hidden="1">
      <c r="A624" s="50" t="s">
        <v>337</v>
      </c>
      <c r="B624" s="50">
        <v>5070482</v>
      </c>
      <c r="C624" s="50" t="e">
        <f>VLOOKUP(B624,'Drop schools 2026'!B:C,2,0)</f>
        <v>#N/A</v>
      </c>
      <c r="D624" s="50" t="s">
        <v>212</v>
      </c>
      <c r="E624" s="50" t="s">
        <v>293</v>
      </c>
      <c r="F624" s="50" t="s">
        <v>20778</v>
      </c>
      <c r="G624" s="50" t="e">
        <f>VLOOKUP(B624,aa!B:F,5,0)</f>
        <v>#N/A</v>
      </c>
      <c r="H624" s="50" t="e">
        <f>VLOOKUP(B624,aa!B:J,9,0)</f>
        <v>#N/A</v>
      </c>
      <c r="I624" s="50" t="e">
        <f>VLOOKUP(B624,aa!B:L,11,0)</f>
        <v>#N/A</v>
      </c>
      <c r="J624" s="50" t="e">
        <f>VLOOKUP(B624,aa!B:O,14,0)</f>
        <v>#N/A</v>
      </c>
      <c r="K624" s="50" t="e">
        <f>VLOOKUP(B624,aa!B:R,17,0)</f>
        <v>#N/A</v>
      </c>
      <c r="L624" s="50" t="s">
        <v>1746</v>
      </c>
      <c r="M624" s="50">
        <v>0</v>
      </c>
      <c r="N624" s="50">
        <v>0</v>
      </c>
      <c r="O624" s="50">
        <v>0</v>
      </c>
      <c r="P624" s="50">
        <v>250</v>
      </c>
      <c r="Q624" s="50" t="s">
        <v>102</v>
      </c>
      <c r="R624" s="50">
        <v>0</v>
      </c>
      <c r="S624" s="50">
        <v>250</v>
      </c>
      <c r="T624" s="50" t="s">
        <v>102</v>
      </c>
      <c r="U624" s="50">
        <v>0</v>
      </c>
      <c r="V624" s="50">
        <v>250</v>
      </c>
      <c r="W624" s="50" t="s">
        <v>102</v>
      </c>
      <c r="X624" s="50" t="s">
        <v>102</v>
      </c>
      <c r="Y624" s="50" t="s">
        <v>275</v>
      </c>
      <c r="AA624" s="50" t="s">
        <v>14705</v>
      </c>
      <c r="AB624" s="50" t="s">
        <v>109</v>
      </c>
      <c r="AC624" s="50" t="s">
        <v>102</v>
      </c>
      <c r="AD624" s="50" t="s">
        <v>109</v>
      </c>
      <c r="AE624" s="50" t="s">
        <v>102</v>
      </c>
      <c r="AF624" s="50" t="s">
        <v>109</v>
      </c>
      <c r="AG624" s="50" t="s">
        <v>102</v>
      </c>
      <c r="AH624" s="50" t="s">
        <v>109</v>
      </c>
      <c r="AI624" s="50" t="s">
        <v>102</v>
      </c>
      <c r="AJ624" s="50" t="s">
        <v>102</v>
      </c>
      <c r="AM624" s="50" t="s">
        <v>102</v>
      </c>
      <c r="AN624" s="50" t="s">
        <v>102</v>
      </c>
      <c r="AO624" s="50" t="s">
        <v>102</v>
      </c>
      <c r="AP624" s="50" t="s">
        <v>115</v>
      </c>
      <c r="AQ624" s="50" t="s">
        <v>115</v>
      </c>
      <c r="AV624" s="50" t="s">
        <v>6700</v>
      </c>
      <c r="AW624" s="50" t="s">
        <v>250</v>
      </c>
      <c r="AX624" s="50" t="s">
        <v>155</v>
      </c>
      <c r="AY624" s="50" t="s">
        <v>119</v>
      </c>
      <c r="BA624" s="50" t="s">
        <v>250</v>
      </c>
      <c r="BB624" s="50" t="s">
        <v>250</v>
      </c>
      <c r="BC624" s="50" t="s">
        <v>120</v>
      </c>
      <c r="BD624" s="50" t="s">
        <v>7718</v>
      </c>
      <c r="BE624" s="50" t="s">
        <v>211</v>
      </c>
      <c r="BF624" s="50" t="s">
        <v>212</v>
      </c>
      <c r="BG624" s="50" t="s">
        <v>213</v>
      </c>
      <c r="BH624" s="50" t="s">
        <v>124</v>
      </c>
      <c r="BI624" s="50" t="s">
        <v>13680</v>
      </c>
      <c r="BJ624" s="50" t="s">
        <v>12047</v>
      </c>
      <c r="BK624" s="50" t="s">
        <v>127</v>
      </c>
      <c r="BL624" s="50" t="s">
        <v>20779</v>
      </c>
      <c r="BM624" s="50" t="s">
        <v>20780</v>
      </c>
      <c r="BN624" s="50" t="s">
        <v>20781</v>
      </c>
      <c r="BO624" s="50" t="s">
        <v>14705</v>
      </c>
      <c r="BP624" s="50" t="s">
        <v>956</v>
      </c>
      <c r="BQ624" s="50" t="s">
        <v>258</v>
      </c>
      <c r="BR624" s="50" t="s">
        <v>958</v>
      </c>
      <c r="BS624" s="50" t="s">
        <v>959</v>
      </c>
      <c r="BT624" s="50" t="s">
        <v>4765</v>
      </c>
      <c r="BV624" s="50" t="s">
        <v>20782</v>
      </c>
      <c r="BW624" s="50" t="s">
        <v>3585</v>
      </c>
      <c r="BY624" s="50" t="s">
        <v>225</v>
      </c>
      <c r="BZ624" s="50" t="s">
        <v>8332</v>
      </c>
      <c r="CB624" s="50" t="s">
        <v>3585</v>
      </c>
      <c r="CC624" s="50" t="s">
        <v>225</v>
      </c>
      <c r="CD624" s="50" t="s">
        <v>8332</v>
      </c>
      <c r="CE624" s="50" t="s">
        <v>3585</v>
      </c>
      <c r="CF624" s="50" t="s">
        <v>225</v>
      </c>
      <c r="CG624" s="50" t="s">
        <v>8332</v>
      </c>
      <c r="CH624" s="50" t="s">
        <v>102</v>
      </c>
      <c r="CI624" s="50" t="s">
        <v>20783</v>
      </c>
      <c r="CK624" s="50" t="s">
        <v>20784</v>
      </c>
      <c r="CM624" s="50" t="s">
        <v>7718</v>
      </c>
      <c r="CN624" s="50" t="s">
        <v>211</v>
      </c>
      <c r="CO624" s="50" t="s">
        <v>20784</v>
      </c>
      <c r="CQ624" s="50" t="s">
        <v>20785</v>
      </c>
      <c r="CR624" s="50" t="s">
        <v>20785</v>
      </c>
      <c r="CS624" s="50" t="s">
        <v>26048</v>
      </c>
    </row>
    <row r="625" spans="1:97" hidden="1">
      <c r="A625" s="50" t="s">
        <v>337</v>
      </c>
      <c r="B625" s="50">
        <v>5094396</v>
      </c>
      <c r="C625" s="50" t="str">
        <f>VLOOKUP(B625,RISK!B:C,2,0)</f>
        <v>Risk</v>
      </c>
      <c r="D625" s="50" t="s">
        <v>622</v>
      </c>
      <c r="E625" s="50" t="s">
        <v>985</v>
      </c>
      <c r="F625" s="50" t="s">
        <v>20843</v>
      </c>
      <c r="G625" s="50" t="str">
        <f>VLOOKUP(B625,aa!B:F,5,0)</f>
        <v>Ei Mindspark</v>
      </c>
      <c r="H625" s="50">
        <f>VLOOKUP(B625,aa!B:J,9,0)</f>
        <v>264522</v>
      </c>
      <c r="I625" s="50">
        <f>VLOOKUP(B625,aa!B:L,11,0)</f>
        <v>0</v>
      </c>
      <c r="J625" s="50">
        <f>VLOOKUP(B625,aa!B:O,14,0)</f>
        <v>0</v>
      </c>
      <c r="K625" s="50">
        <f>VLOOKUP(B625,aa!B:R,17,0)</f>
        <v>264522</v>
      </c>
      <c r="L625" s="50" t="s">
        <v>848</v>
      </c>
      <c r="M625" s="50">
        <v>0</v>
      </c>
      <c r="N625" s="50">
        <v>0</v>
      </c>
      <c r="O625" s="50">
        <v>0</v>
      </c>
      <c r="P625" s="50">
        <v>0</v>
      </c>
      <c r="R625" s="50">
        <v>0</v>
      </c>
      <c r="S625" s="50">
        <v>0</v>
      </c>
      <c r="U625" s="50">
        <v>0</v>
      </c>
      <c r="V625" s="50">
        <v>102</v>
      </c>
      <c r="W625" s="50" t="s">
        <v>102</v>
      </c>
      <c r="X625" s="50" t="s">
        <v>102</v>
      </c>
      <c r="Y625" s="50" t="s">
        <v>275</v>
      </c>
      <c r="AA625" s="50" t="s">
        <v>12327</v>
      </c>
      <c r="AB625" s="50" t="s">
        <v>109</v>
      </c>
      <c r="AC625" s="50" t="s">
        <v>102</v>
      </c>
      <c r="AD625" s="50" t="s">
        <v>109</v>
      </c>
      <c r="AE625" s="50" t="s">
        <v>102</v>
      </c>
      <c r="AF625" s="50" t="s">
        <v>109</v>
      </c>
      <c r="AG625" s="50" t="s">
        <v>102</v>
      </c>
      <c r="AH625" s="50" t="s">
        <v>109</v>
      </c>
      <c r="AI625" s="50" t="s">
        <v>102</v>
      </c>
      <c r="AJ625" s="50" t="s">
        <v>102</v>
      </c>
      <c r="AM625" s="50" t="s">
        <v>102</v>
      </c>
      <c r="AN625" s="50" t="s">
        <v>102</v>
      </c>
      <c r="AO625" s="50" t="s">
        <v>102</v>
      </c>
      <c r="AP625" s="50" t="s">
        <v>115</v>
      </c>
      <c r="AQ625" s="50" t="s">
        <v>115</v>
      </c>
      <c r="AV625" s="50" t="s">
        <v>102</v>
      </c>
      <c r="AX625" s="50" t="s">
        <v>102</v>
      </c>
      <c r="AY625" s="50" t="s">
        <v>119</v>
      </c>
      <c r="BB625" s="50" t="s">
        <v>250</v>
      </c>
      <c r="BC625" s="50" t="s">
        <v>120</v>
      </c>
      <c r="BD625" s="50" t="s">
        <v>2127</v>
      </c>
      <c r="BE625" s="50" t="s">
        <v>621</v>
      </c>
      <c r="BF625" s="50" t="s">
        <v>622</v>
      </c>
      <c r="BG625" s="50" t="s">
        <v>976</v>
      </c>
      <c r="BH625" s="50" t="s">
        <v>124</v>
      </c>
      <c r="BI625" s="50" t="s">
        <v>12327</v>
      </c>
      <c r="BJ625" s="50" t="s">
        <v>11889</v>
      </c>
      <c r="BK625" s="50" t="s">
        <v>127</v>
      </c>
      <c r="BL625" s="50" t="s">
        <v>20845</v>
      </c>
      <c r="BM625" s="50" t="s">
        <v>20846</v>
      </c>
      <c r="BN625" s="50" t="s">
        <v>20847</v>
      </c>
      <c r="BO625" s="50" t="s">
        <v>20844</v>
      </c>
      <c r="BP625" s="50" t="s">
        <v>13638</v>
      </c>
      <c r="BQ625" s="50" t="s">
        <v>132</v>
      </c>
      <c r="BR625" s="50" t="s">
        <v>13639</v>
      </c>
      <c r="BS625" s="50" t="s">
        <v>13640</v>
      </c>
      <c r="BT625" s="50" t="s">
        <v>2847</v>
      </c>
      <c r="BV625" s="50" t="s">
        <v>20848</v>
      </c>
      <c r="BW625" s="50" t="s">
        <v>20849</v>
      </c>
      <c r="BX625" s="50" t="s">
        <v>354</v>
      </c>
      <c r="BY625" s="50" t="s">
        <v>20850</v>
      </c>
      <c r="BZ625" s="50" t="s">
        <v>20851</v>
      </c>
      <c r="CA625" s="50" t="s">
        <v>20852</v>
      </c>
      <c r="CB625" s="50" t="s">
        <v>20849</v>
      </c>
      <c r="CC625" s="50" t="s">
        <v>20853</v>
      </c>
      <c r="CD625" s="50" t="s">
        <v>20851</v>
      </c>
      <c r="CE625" s="50" t="s">
        <v>20849</v>
      </c>
      <c r="CF625" s="50" t="s">
        <v>20853</v>
      </c>
      <c r="CG625" s="50" t="s">
        <v>20851</v>
      </c>
      <c r="CH625" s="50" t="s">
        <v>20854</v>
      </c>
      <c r="CI625" s="50" t="s">
        <v>20855</v>
      </c>
      <c r="CK625" s="50" t="s">
        <v>20856</v>
      </c>
      <c r="CL625" s="50" t="s">
        <v>20857</v>
      </c>
      <c r="CM625" s="50" t="s">
        <v>2127</v>
      </c>
      <c r="CN625" s="50" t="s">
        <v>621</v>
      </c>
      <c r="CO625" s="50" t="s">
        <v>20856</v>
      </c>
      <c r="CQ625" s="50" t="s">
        <v>20858</v>
      </c>
      <c r="CR625" s="50" t="s">
        <v>20858</v>
      </c>
    </row>
    <row r="626" spans="1:97" hidden="1">
      <c r="A626" s="50" t="s">
        <v>337</v>
      </c>
      <c r="B626" s="50">
        <v>2827739</v>
      </c>
      <c r="C626" s="50" t="e">
        <f>VLOOKUP(B626,'Drop schools 2026'!B:C,2,0)</f>
        <v>#N/A</v>
      </c>
      <c r="D626" s="50" t="s">
        <v>212</v>
      </c>
      <c r="E626" s="50" t="s">
        <v>293</v>
      </c>
      <c r="F626" s="50" t="s">
        <v>14761</v>
      </c>
      <c r="G626" s="50" t="str">
        <f>VLOOKUP(B626,aa!B:F,5,0)</f>
        <v>Ei CARES, Ei Mindspark</v>
      </c>
      <c r="H626" s="50">
        <f>VLOOKUP(B626,aa!B:J,9,0)</f>
        <v>1080881</v>
      </c>
      <c r="I626" s="50">
        <f>VLOOKUP(B626,aa!B:L,11,0)</f>
        <v>0</v>
      </c>
      <c r="J626" s="50">
        <f>VLOOKUP(B626,aa!B:O,14,0)</f>
        <v>585503</v>
      </c>
      <c r="K626" s="50">
        <f>VLOOKUP(B626,aa!B:R,17,0)</f>
        <v>495378</v>
      </c>
      <c r="L626" s="50" t="s">
        <v>152</v>
      </c>
      <c r="M626" s="50">
        <v>0</v>
      </c>
      <c r="N626" s="50">
        <v>0</v>
      </c>
      <c r="O626" s="50">
        <v>0</v>
      </c>
      <c r="P626" s="50">
        <v>0</v>
      </c>
      <c r="R626" s="50">
        <v>0</v>
      </c>
      <c r="S626" s="50">
        <v>366</v>
      </c>
      <c r="T626" s="50" t="s">
        <v>102</v>
      </c>
      <c r="U626" s="50">
        <v>0</v>
      </c>
      <c r="V626" s="50">
        <v>0</v>
      </c>
      <c r="X626" s="50" t="s">
        <v>102</v>
      </c>
      <c r="Y626" s="50" t="s">
        <v>275</v>
      </c>
      <c r="AA626" s="50" t="s">
        <v>12043</v>
      </c>
      <c r="AB626" s="50" t="s">
        <v>109</v>
      </c>
      <c r="AC626" s="50" t="s">
        <v>102</v>
      </c>
      <c r="AD626" s="50" t="s">
        <v>109</v>
      </c>
      <c r="AE626" s="50" t="s">
        <v>102</v>
      </c>
      <c r="AF626" s="50" t="s">
        <v>109</v>
      </c>
      <c r="AG626" s="50" t="s">
        <v>102</v>
      </c>
      <c r="AH626" s="50" t="s">
        <v>109</v>
      </c>
      <c r="AI626" s="50" t="s">
        <v>102</v>
      </c>
      <c r="AJ626" s="50" t="s">
        <v>102</v>
      </c>
      <c r="AM626" s="50" t="s">
        <v>102</v>
      </c>
      <c r="AN626" s="50" t="s">
        <v>102</v>
      </c>
      <c r="AO626" s="50" t="s">
        <v>102</v>
      </c>
      <c r="AP626" s="50" t="s">
        <v>115</v>
      </c>
      <c r="AQ626" s="50" t="s">
        <v>115</v>
      </c>
      <c r="AV626" s="50" t="s">
        <v>102</v>
      </c>
      <c r="AX626" s="50" t="s">
        <v>104</v>
      </c>
      <c r="AY626" s="50" t="s">
        <v>447</v>
      </c>
      <c r="AZ626" s="50" t="s">
        <v>170</v>
      </c>
      <c r="BA626" s="50" t="s">
        <v>118</v>
      </c>
      <c r="BC626" s="50" t="s">
        <v>120</v>
      </c>
      <c r="BD626" s="50" t="s">
        <v>14762</v>
      </c>
      <c r="BE626" s="50" t="s">
        <v>410</v>
      </c>
      <c r="BF626" s="50" t="s">
        <v>212</v>
      </c>
      <c r="BG626" s="50" t="s">
        <v>410</v>
      </c>
      <c r="BH626" s="50" t="s">
        <v>124</v>
      </c>
      <c r="BI626" s="50" t="s">
        <v>12043</v>
      </c>
      <c r="BJ626" s="50" t="s">
        <v>11889</v>
      </c>
      <c r="BK626" s="50" t="s">
        <v>127</v>
      </c>
      <c r="BL626" s="50" t="s">
        <v>14763</v>
      </c>
      <c r="BM626" s="50" t="s">
        <v>14764</v>
      </c>
      <c r="BN626" s="50" t="s">
        <v>14765</v>
      </c>
      <c r="BO626" s="50" t="s">
        <v>12043</v>
      </c>
      <c r="BP626" s="50" t="s">
        <v>896</v>
      </c>
      <c r="BQ626" s="50" t="s">
        <v>258</v>
      </c>
      <c r="BR626" s="50" t="s">
        <v>897</v>
      </c>
      <c r="BS626" s="50" t="s">
        <v>898</v>
      </c>
      <c r="BT626" s="50" t="s">
        <v>899</v>
      </c>
      <c r="BV626" s="50" t="s">
        <v>14766</v>
      </c>
      <c r="BW626" s="50" t="s">
        <v>14767</v>
      </c>
      <c r="BX626" s="50" t="s">
        <v>354</v>
      </c>
      <c r="BY626" s="50" t="s">
        <v>14768</v>
      </c>
      <c r="BZ626" s="50" t="s">
        <v>14769</v>
      </c>
      <c r="CA626" s="50" t="s">
        <v>14770</v>
      </c>
      <c r="CB626" s="50" t="s">
        <v>14771</v>
      </c>
      <c r="CC626" s="50" t="s">
        <v>14770</v>
      </c>
      <c r="CD626" s="50" t="s">
        <v>14769</v>
      </c>
      <c r="CE626" s="50" t="s">
        <v>14771</v>
      </c>
      <c r="CF626" s="50" t="s">
        <v>14770</v>
      </c>
      <c r="CG626" s="50" t="s">
        <v>14769</v>
      </c>
      <c r="CH626" s="50" t="s">
        <v>3841</v>
      </c>
      <c r="CI626" s="50" t="s">
        <v>14772</v>
      </c>
      <c r="CK626" s="50" t="s">
        <v>14773</v>
      </c>
      <c r="CL626" s="50" t="s">
        <v>14772</v>
      </c>
      <c r="CM626" s="50" t="s">
        <v>14762</v>
      </c>
      <c r="CN626" s="50" t="s">
        <v>410</v>
      </c>
      <c r="CO626" s="50" t="s">
        <v>14773</v>
      </c>
      <c r="CQ626" s="50" t="s">
        <v>14774</v>
      </c>
      <c r="CR626" s="50" t="s">
        <v>14772</v>
      </c>
    </row>
    <row r="627" spans="1:97">
      <c r="A627" s="50" t="s">
        <v>337</v>
      </c>
      <c r="B627" s="50">
        <v>2509933</v>
      </c>
      <c r="C627" s="50" t="e">
        <f>VLOOKUP(B627,'Drop schools 2026'!B:C,2,0)</f>
        <v>#N/A</v>
      </c>
      <c r="D627" s="50" t="s">
        <v>122</v>
      </c>
      <c r="E627" s="50" t="s">
        <v>13158</v>
      </c>
      <c r="F627" s="50" t="s">
        <v>3879</v>
      </c>
      <c r="G627" s="50" t="e">
        <f>VLOOKUP(B627,aa!B:F,5,0)</f>
        <v>#N/A</v>
      </c>
      <c r="H627" s="50" t="e">
        <f>VLOOKUP(B627,aa!B:J,9,0)</f>
        <v>#N/A</v>
      </c>
      <c r="I627" s="50" t="e">
        <f>VLOOKUP(B627,aa!B:L,11,0)</f>
        <v>#N/A</v>
      </c>
      <c r="J627" s="50" t="e">
        <f>VLOOKUP(B627,aa!B:O,14,0)</f>
        <v>#N/A</v>
      </c>
      <c r="K627" s="50" t="e">
        <f>VLOOKUP(B627,aa!B:R,17,0)</f>
        <v>#N/A</v>
      </c>
      <c r="L627" s="50" t="s">
        <v>97</v>
      </c>
      <c r="M627" s="50">
        <v>0</v>
      </c>
      <c r="N627" s="50">
        <v>0</v>
      </c>
      <c r="O627" s="50">
        <v>0</v>
      </c>
      <c r="P627" s="50">
        <v>984</v>
      </c>
      <c r="Q627" s="50" t="s">
        <v>102</v>
      </c>
      <c r="R627" s="50">
        <v>0</v>
      </c>
      <c r="S627" s="50">
        <v>0</v>
      </c>
      <c r="U627" s="50">
        <v>0</v>
      </c>
      <c r="V627" s="50">
        <v>0</v>
      </c>
      <c r="X627" s="50" t="s">
        <v>102</v>
      </c>
      <c r="Y627" s="50" t="s">
        <v>275</v>
      </c>
      <c r="AA627" s="50" t="s">
        <v>12820</v>
      </c>
      <c r="AB627" s="50" t="s">
        <v>109</v>
      </c>
      <c r="AC627" s="50" t="s">
        <v>102</v>
      </c>
      <c r="AD627" s="50" t="s">
        <v>109</v>
      </c>
      <c r="AE627" s="50" t="s">
        <v>102</v>
      </c>
      <c r="AF627" s="50" t="s">
        <v>109</v>
      </c>
      <c r="AG627" s="50" t="s">
        <v>102</v>
      </c>
      <c r="AH627" s="50" t="s">
        <v>109</v>
      </c>
      <c r="AI627" s="50" t="s">
        <v>102</v>
      </c>
      <c r="AJ627" s="50" t="s">
        <v>102</v>
      </c>
      <c r="AM627" s="50" t="s">
        <v>102</v>
      </c>
      <c r="AN627" s="50" t="s">
        <v>102</v>
      </c>
      <c r="AO627" s="50" t="s">
        <v>102</v>
      </c>
      <c r="AP627" s="50" t="s">
        <v>115</v>
      </c>
      <c r="AQ627" s="50" t="s">
        <v>115</v>
      </c>
      <c r="AV627" s="50" t="s">
        <v>117</v>
      </c>
      <c r="AW627" s="50" t="s">
        <v>118</v>
      </c>
      <c r="AX627" s="50" t="s">
        <v>102</v>
      </c>
      <c r="AY627" s="50" t="s">
        <v>119</v>
      </c>
      <c r="BC627" s="50" t="s">
        <v>120</v>
      </c>
      <c r="BD627" s="50" t="s">
        <v>1407</v>
      </c>
      <c r="BE627" s="50" t="s">
        <v>449</v>
      </c>
      <c r="BF627" s="50" t="s">
        <v>122</v>
      </c>
      <c r="BG627" s="50" t="s">
        <v>450</v>
      </c>
      <c r="BH627" s="50" t="s">
        <v>124</v>
      </c>
      <c r="BI627" s="50" t="s">
        <v>12084</v>
      </c>
      <c r="BJ627" s="50" t="s">
        <v>11889</v>
      </c>
      <c r="BK627" s="50" t="s">
        <v>127</v>
      </c>
      <c r="BL627" s="50" t="s">
        <v>14333</v>
      </c>
      <c r="BM627" s="50" t="s">
        <v>14334</v>
      </c>
      <c r="BN627" s="50" t="s">
        <v>14335</v>
      </c>
      <c r="BO627" s="50" t="s">
        <v>12820</v>
      </c>
      <c r="BP627" s="50" t="s">
        <v>180</v>
      </c>
      <c r="BQ627" s="50" t="s">
        <v>505</v>
      </c>
      <c r="BR627" s="50" t="s">
        <v>8588</v>
      </c>
      <c r="BS627" s="50" t="s">
        <v>14336</v>
      </c>
      <c r="BT627" s="50" t="s">
        <v>2593</v>
      </c>
      <c r="BU627" s="50" t="s">
        <v>4765</v>
      </c>
      <c r="BV627" s="50" t="s">
        <v>14337</v>
      </c>
      <c r="BW627" s="50" t="s">
        <v>14338</v>
      </c>
      <c r="BX627" s="50" t="s">
        <v>598</v>
      </c>
      <c r="BY627" s="50" t="s">
        <v>14339</v>
      </c>
      <c r="BZ627" s="50" t="s">
        <v>14340</v>
      </c>
      <c r="CA627" s="50" t="s">
        <v>14341</v>
      </c>
      <c r="CB627" s="50" t="s">
        <v>14342</v>
      </c>
      <c r="CC627" s="50" t="s">
        <v>8588</v>
      </c>
      <c r="CD627" s="50" t="s">
        <v>14343</v>
      </c>
      <c r="CE627" s="50" t="s">
        <v>14342</v>
      </c>
      <c r="CF627" s="50" t="s">
        <v>8588</v>
      </c>
      <c r="CG627" s="50" t="s">
        <v>14343</v>
      </c>
      <c r="CH627" s="50" t="s">
        <v>907</v>
      </c>
      <c r="CI627" s="50" t="s">
        <v>1407</v>
      </c>
      <c r="CK627" s="50" t="s">
        <v>1419</v>
      </c>
      <c r="CL627" s="50" t="s">
        <v>14344</v>
      </c>
      <c r="CM627" s="50" t="s">
        <v>1407</v>
      </c>
      <c r="CN627" s="50" t="s">
        <v>449</v>
      </c>
      <c r="CO627" s="50" t="s">
        <v>1419</v>
      </c>
      <c r="CQ627" s="50" t="s">
        <v>14344</v>
      </c>
      <c r="CR627" s="50" t="s">
        <v>14344</v>
      </c>
    </row>
    <row r="628" spans="1:97" hidden="1">
      <c r="A628" s="50" t="s">
        <v>337</v>
      </c>
      <c r="B628" s="50">
        <v>3031830</v>
      </c>
      <c r="C628" s="50" t="e">
        <f>VLOOKUP(B628,'Drop schools 2026'!B:C,2,0)</f>
        <v>#N/A</v>
      </c>
      <c r="D628" s="50" t="s">
        <v>212</v>
      </c>
      <c r="E628" s="50" t="s">
        <v>13158</v>
      </c>
      <c r="F628" s="50" t="s">
        <v>3879</v>
      </c>
      <c r="G628" s="50" t="e">
        <f>VLOOKUP(B628,aa!B:F,5,0)</f>
        <v>#N/A</v>
      </c>
      <c r="H628" s="50" t="e">
        <f>VLOOKUP(B628,aa!B:J,9,0)</f>
        <v>#N/A</v>
      </c>
      <c r="I628" s="50" t="e">
        <f>VLOOKUP(B628,aa!B:L,11,0)</f>
        <v>#N/A</v>
      </c>
      <c r="J628" s="50" t="e">
        <f>VLOOKUP(B628,aa!B:O,14,0)</f>
        <v>#N/A</v>
      </c>
      <c r="K628" s="50" t="e">
        <f>VLOOKUP(B628,aa!B:R,17,0)</f>
        <v>#N/A</v>
      </c>
      <c r="L628" s="50" t="s">
        <v>97</v>
      </c>
      <c r="M628" s="50">
        <v>0</v>
      </c>
      <c r="N628" s="50">
        <v>0</v>
      </c>
      <c r="O628" s="50">
        <v>0</v>
      </c>
      <c r="P628" s="50">
        <v>1309</v>
      </c>
      <c r="Q628" s="50" t="s">
        <v>102</v>
      </c>
      <c r="R628" s="50">
        <v>0</v>
      </c>
      <c r="S628" s="50">
        <v>0</v>
      </c>
      <c r="U628" s="50">
        <v>0</v>
      </c>
      <c r="V628" s="50">
        <v>0</v>
      </c>
      <c r="X628" s="50" t="s">
        <v>102</v>
      </c>
      <c r="Y628" s="50" t="s">
        <v>275</v>
      </c>
      <c r="AA628" s="50" t="s">
        <v>12820</v>
      </c>
      <c r="AB628" s="50" t="s">
        <v>109</v>
      </c>
      <c r="AC628" s="50" t="s">
        <v>102</v>
      </c>
      <c r="AD628" s="50" t="s">
        <v>109</v>
      </c>
      <c r="AE628" s="50" t="s">
        <v>102</v>
      </c>
      <c r="AF628" s="50" t="s">
        <v>109</v>
      </c>
      <c r="AG628" s="50" t="s">
        <v>102</v>
      </c>
      <c r="AH628" s="50" t="s">
        <v>109</v>
      </c>
      <c r="AI628" s="50" t="s">
        <v>102</v>
      </c>
      <c r="AJ628" s="50" t="s">
        <v>102</v>
      </c>
      <c r="AM628" s="50" t="s">
        <v>102</v>
      </c>
      <c r="AN628" s="50" t="s">
        <v>102</v>
      </c>
      <c r="AO628" s="50" t="s">
        <v>102</v>
      </c>
      <c r="AP628" s="50" t="s">
        <v>115</v>
      </c>
      <c r="AQ628" s="50" t="s">
        <v>115</v>
      </c>
      <c r="AV628" s="50" t="s">
        <v>117</v>
      </c>
      <c r="AW628" s="50" t="s">
        <v>118</v>
      </c>
      <c r="AX628" s="50" t="s">
        <v>102</v>
      </c>
      <c r="AY628" s="50" t="s">
        <v>119</v>
      </c>
      <c r="BC628" s="50" t="s">
        <v>120</v>
      </c>
      <c r="BD628" s="50" t="s">
        <v>920</v>
      </c>
      <c r="BE628" s="50" t="s">
        <v>211</v>
      </c>
      <c r="BF628" s="50" t="s">
        <v>212</v>
      </c>
      <c r="BG628" s="50" t="s">
        <v>213</v>
      </c>
      <c r="BH628" s="50" t="s">
        <v>124</v>
      </c>
      <c r="BI628" s="50" t="s">
        <v>12084</v>
      </c>
      <c r="BJ628" s="50" t="s">
        <v>11889</v>
      </c>
      <c r="BK628" s="50" t="s">
        <v>127</v>
      </c>
      <c r="BL628" s="50" t="s">
        <v>14853</v>
      </c>
      <c r="BM628" s="50" t="s">
        <v>14854</v>
      </c>
      <c r="BN628" s="50" t="s">
        <v>14855</v>
      </c>
      <c r="BO628" s="50" t="s">
        <v>12820</v>
      </c>
      <c r="BP628" s="50" t="s">
        <v>180</v>
      </c>
      <c r="BQ628" s="50" t="s">
        <v>180</v>
      </c>
      <c r="BR628" s="50" t="s">
        <v>8588</v>
      </c>
      <c r="BS628" s="50" t="s">
        <v>14336</v>
      </c>
      <c r="BT628" s="50" t="s">
        <v>2593</v>
      </c>
      <c r="BU628" s="50" t="s">
        <v>4765</v>
      </c>
      <c r="BV628" s="50" t="s">
        <v>14856</v>
      </c>
      <c r="BW628" s="50" t="s">
        <v>14338</v>
      </c>
      <c r="BX628" s="50" t="s">
        <v>598</v>
      </c>
      <c r="BY628" s="50" t="s">
        <v>14339</v>
      </c>
      <c r="BZ628" s="50" t="s">
        <v>14340</v>
      </c>
      <c r="CA628" s="50" t="s">
        <v>14857</v>
      </c>
      <c r="CB628" s="50" t="s">
        <v>14342</v>
      </c>
      <c r="CC628" s="50" t="s">
        <v>8588</v>
      </c>
      <c r="CD628" s="50" t="s">
        <v>14343</v>
      </c>
      <c r="CE628" s="50" t="s">
        <v>14342</v>
      </c>
      <c r="CF628" s="50" t="s">
        <v>8588</v>
      </c>
      <c r="CG628" s="50" t="s">
        <v>14343</v>
      </c>
      <c r="CH628" s="50" t="s">
        <v>907</v>
      </c>
      <c r="CI628" s="50" t="s">
        <v>7718</v>
      </c>
      <c r="CK628" s="50" t="s">
        <v>8919</v>
      </c>
      <c r="CL628" s="50" t="s">
        <v>14858</v>
      </c>
      <c r="CM628" s="50" t="s">
        <v>920</v>
      </c>
      <c r="CN628" s="50" t="s">
        <v>211</v>
      </c>
      <c r="CO628" s="50" t="s">
        <v>8919</v>
      </c>
      <c r="CQ628" s="50" t="s">
        <v>14858</v>
      </c>
      <c r="CR628" s="50" t="s">
        <v>14858</v>
      </c>
    </row>
    <row r="629" spans="1:97" hidden="1">
      <c r="A629" s="50" t="s">
        <v>337</v>
      </c>
      <c r="B629" s="50">
        <v>3149549</v>
      </c>
      <c r="C629" s="50" t="e">
        <f>VLOOKUP(B629,'Drop schools 2026'!B:C,2,0)</f>
        <v>#N/A</v>
      </c>
      <c r="D629" s="50" t="s">
        <v>622</v>
      </c>
      <c r="E629" s="50" t="s">
        <v>13158</v>
      </c>
      <c r="F629" s="50" t="s">
        <v>3879</v>
      </c>
      <c r="G629" s="50" t="e">
        <f>VLOOKUP(B629,aa!B:F,5,0)</f>
        <v>#N/A</v>
      </c>
      <c r="H629" s="50" t="e">
        <f>VLOOKUP(B629,aa!B:J,9,0)</f>
        <v>#N/A</v>
      </c>
      <c r="I629" s="50" t="e">
        <f>VLOOKUP(B629,aa!B:L,11,0)</f>
        <v>#N/A</v>
      </c>
      <c r="J629" s="50" t="e">
        <f>VLOOKUP(B629,aa!B:O,14,0)</f>
        <v>#N/A</v>
      </c>
      <c r="K629" s="50" t="e">
        <f>VLOOKUP(B629,aa!B:R,17,0)</f>
        <v>#N/A</v>
      </c>
      <c r="L629" s="50" t="s">
        <v>97</v>
      </c>
      <c r="M629" s="50">
        <v>0</v>
      </c>
      <c r="N629" s="50">
        <v>0</v>
      </c>
      <c r="O629" s="50">
        <v>0</v>
      </c>
      <c r="P629" s="50">
        <v>2079</v>
      </c>
      <c r="Q629" s="50" t="s">
        <v>102</v>
      </c>
      <c r="R629" s="50">
        <v>0</v>
      </c>
      <c r="S629" s="50">
        <v>0</v>
      </c>
      <c r="U629" s="50">
        <v>0</v>
      </c>
      <c r="V629" s="50">
        <v>0</v>
      </c>
      <c r="X629" s="50" t="s">
        <v>102</v>
      </c>
      <c r="Y629" s="50" t="s">
        <v>275</v>
      </c>
      <c r="AA629" s="50" t="s">
        <v>12820</v>
      </c>
      <c r="AB629" s="50" t="s">
        <v>109</v>
      </c>
      <c r="AC629" s="50" t="s">
        <v>102</v>
      </c>
      <c r="AD629" s="50" t="s">
        <v>109</v>
      </c>
      <c r="AE629" s="50" t="s">
        <v>102</v>
      </c>
      <c r="AF629" s="50" t="s">
        <v>109</v>
      </c>
      <c r="AG629" s="50" t="s">
        <v>102</v>
      </c>
      <c r="AH629" s="50" t="s">
        <v>109</v>
      </c>
      <c r="AI629" s="50" t="s">
        <v>102</v>
      </c>
      <c r="AJ629" s="50" t="s">
        <v>102</v>
      </c>
      <c r="AM629" s="50" t="s">
        <v>102</v>
      </c>
      <c r="AN629" s="50" t="s">
        <v>102</v>
      </c>
      <c r="AO629" s="50" t="s">
        <v>102</v>
      </c>
      <c r="AP629" s="50" t="s">
        <v>115</v>
      </c>
      <c r="AQ629" s="50" t="s">
        <v>115</v>
      </c>
      <c r="AV629" s="50" t="s">
        <v>117</v>
      </c>
      <c r="AW629" s="50" t="s">
        <v>118</v>
      </c>
      <c r="AX629" s="50" t="s">
        <v>102</v>
      </c>
      <c r="AY629" s="50" t="s">
        <v>119</v>
      </c>
      <c r="BC629" s="50" t="s">
        <v>120</v>
      </c>
      <c r="BD629" s="50" t="s">
        <v>2327</v>
      </c>
      <c r="BE629" s="50" t="s">
        <v>730</v>
      </c>
      <c r="BF629" s="50" t="s">
        <v>622</v>
      </c>
      <c r="BG629" s="50" t="s">
        <v>730</v>
      </c>
      <c r="BH629" s="50" t="s">
        <v>124</v>
      </c>
      <c r="BI629" s="50" t="s">
        <v>12084</v>
      </c>
      <c r="BJ629" s="50" t="s">
        <v>11889</v>
      </c>
      <c r="BK629" s="50" t="s">
        <v>127</v>
      </c>
      <c r="BL629" s="50" t="s">
        <v>15004</v>
      </c>
      <c r="BM629" s="50" t="s">
        <v>15005</v>
      </c>
      <c r="BN629" s="50" t="s">
        <v>15006</v>
      </c>
      <c r="BO629" s="50" t="s">
        <v>12820</v>
      </c>
      <c r="BP629" s="50" t="s">
        <v>180</v>
      </c>
      <c r="BQ629" s="50" t="s">
        <v>505</v>
      </c>
      <c r="BR629" s="50" t="s">
        <v>8588</v>
      </c>
      <c r="BS629" s="50" t="s">
        <v>14336</v>
      </c>
      <c r="BT629" s="50" t="s">
        <v>2593</v>
      </c>
      <c r="BU629" s="50" t="s">
        <v>4765</v>
      </c>
      <c r="BV629" s="50" t="s">
        <v>15007</v>
      </c>
      <c r="BW629" s="50" t="s">
        <v>14338</v>
      </c>
      <c r="BX629" s="50" t="s">
        <v>598</v>
      </c>
      <c r="BY629" s="50" t="s">
        <v>14339</v>
      </c>
      <c r="BZ629" s="50" t="s">
        <v>14340</v>
      </c>
      <c r="CA629" s="50" t="s">
        <v>15008</v>
      </c>
      <c r="CB629" s="50" t="s">
        <v>14342</v>
      </c>
      <c r="CC629" s="50" t="s">
        <v>8588</v>
      </c>
      <c r="CD629" s="50" t="s">
        <v>14343</v>
      </c>
      <c r="CE629" s="50" t="s">
        <v>14342</v>
      </c>
      <c r="CF629" s="50" t="s">
        <v>8588</v>
      </c>
      <c r="CG629" s="50" t="s">
        <v>14343</v>
      </c>
      <c r="CH629" s="50" t="s">
        <v>102</v>
      </c>
      <c r="CI629" s="50" t="s">
        <v>2327</v>
      </c>
      <c r="CK629" s="50" t="s">
        <v>9694</v>
      </c>
      <c r="CM629" s="50" t="s">
        <v>2327</v>
      </c>
      <c r="CN629" s="50" t="s">
        <v>730</v>
      </c>
      <c r="CO629" s="50" t="s">
        <v>9694</v>
      </c>
      <c r="CQ629" s="50" t="s">
        <v>15009</v>
      </c>
      <c r="CR629" s="50" t="s">
        <v>15009</v>
      </c>
    </row>
    <row r="630" spans="1:97" hidden="1">
      <c r="A630" s="50" t="s">
        <v>337</v>
      </c>
      <c r="B630" s="50">
        <v>3409378</v>
      </c>
      <c r="C630" s="50" t="e">
        <f>VLOOKUP(B630,'Drop schools 2026'!B:C,2,0)</f>
        <v>#N/A</v>
      </c>
      <c r="D630" s="50" t="s">
        <v>212</v>
      </c>
      <c r="E630" s="50" t="s">
        <v>418</v>
      </c>
      <c r="F630" s="50" t="s">
        <v>15907</v>
      </c>
      <c r="G630" s="50" t="str">
        <f>VLOOKUP(B630,aa!B:F,5,0)</f>
        <v>Ei CARES</v>
      </c>
      <c r="H630" s="50">
        <f>VLOOKUP(B630,aa!B:J,9,0)</f>
        <v>564127</v>
      </c>
      <c r="I630" s="50">
        <f>VLOOKUP(B630,aa!B:L,11,0)</f>
        <v>0</v>
      </c>
      <c r="J630" s="50">
        <f>VLOOKUP(B630,aa!B:O,14,0)</f>
        <v>564127</v>
      </c>
      <c r="K630" s="50">
        <f>VLOOKUP(B630,aa!B:R,17,0)</f>
        <v>0</v>
      </c>
      <c r="L630" s="50" t="s">
        <v>152</v>
      </c>
      <c r="M630" s="50">
        <v>0</v>
      </c>
      <c r="N630" s="50">
        <v>0</v>
      </c>
      <c r="O630" s="50">
        <v>0</v>
      </c>
      <c r="P630" s="50">
        <v>0</v>
      </c>
      <c r="R630" s="50">
        <v>0</v>
      </c>
      <c r="S630" s="50">
        <v>97</v>
      </c>
      <c r="T630" s="50" t="s">
        <v>102</v>
      </c>
      <c r="U630" s="50">
        <v>0</v>
      </c>
      <c r="V630" s="50">
        <v>0</v>
      </c>
      <c r="X630" s="50" t="s">
        <v>102</v>
      </c>
      <c r="Y630" s="50" t="s">
        <v>275</v>
      </c>
      <c r="AA630" s="50" t="s">
        <v>11886</v>
      </c>
      <c r="AB630" s="50" t="s">
        <v>109</v>
      </c>
      <c r="AC630" s="50" t="s">
        <v>102</v>
      </c>
      <c r="AD630" s="50" t="s">
        <v>109</v>
      </c>
      <c r="AE630" s="50" t="s">
        <v>102</v>
      </c>
      <c r="AF630" s="50" t="s">
        <v>109</v>
      </c>
      <c r="AG630" s="50" t="s">
        <v>102</v>
      </c>
      <c r="AH630" s="50" t="s">
        <v>109</v>
      </c>
      <c r="AI630" s="50" t="s">
        <v>102</v>
      </c>
      <c r="AJ630" s="50" t="s">
        <v>102</v>
      </c>
      <c r="AM630" s="50" t="s">
        <v>102</v>
      </c>
      <c r="AN630" s="50" t="s">
        <v>102</v>
      </c>
      <c r="AO630" s="50" t="s">
        <v>102</v>
      </c>
      <c r="AP630" s="50" t="s">
        <v>115</v>
      </c>
      <c r="AQ630" s="50" t="s">
        <v>115</v>
      </c>
      <c r="AV630" s="50" t="s">
        <v>102</v>
      </c>
      <c r="AX630" s="50" t="s">
        <v>102</v>
      </c>
      <c r="AY630" s="50" t="s">
        <v>447</v>
      </c>
      <c r="AZ630" s="50" t="s">
        <v>170</v>
      </c>
      <c r="BA630" s="50" t="s">
        <v>118</v>
      </c>
      <c r="BC630" s="50" t="s">
        <v>120</v>
      </c>
      <c r="BD630" s="50" t="s">
        <v>409</v>
      </c>
      <c r="BE630" s="50" t="s">
        <v>410</v>
      </c>
      <c r="BF630" s="50" t="s">
        <v>212</v>
      </c>
      <c r="BG630" s="50" t="s">
        <v>410</v>
      </c>
      <c r="BH630" s="50" t="s">
        <v>124</v>
      </c>
      <c r="BI630" s="50" t="s">
        <v>12084</v>
      </c>
      <c r="BJ630" s="50" t="s">
        <v>11889</v>
      </c>
      <c r="BK630" s="50" t="s">
        <v>127</v>
      </c>
      <c r="BL630" s="50" t="s">
        <v>15908</v>
      </c>
      <c r="BM630" s="50" t="s">
        <v>15909</v>
      </c>
      <c r="BN630" s="50" t="s">
        <v>15910</v>
      </c>
      <c r="BO630" s="50" t="s">
        <v>12820</v>
      </c>
      <c r="BP630" s="50" t="s">
        <v>15911</v>
      </c>
      <c r="BQ630" s="50" t="s">
        <v>505</v>
      </c>
      <c r="BR630" s="50" t="s">
        <v>15912</v>
      </c>
      <c r="BS630" s="50" t="s">
        <v>15913</v>
      </c>
      <c r="BT630" s="50" t="s">
        <v>9337</v>
      </c>
      <c r="BV630" s="50" t="s">
        <v>15914</v>
      </c>
      <c r="BW630" s="50" t="s">
        <v>15915</v>
      </c>
      <c r="BX630" s="50" t="s">
        <v>598</v>
      </c>
      <c r="BY630" s="50" t="s">
        <v>15916</v>
      </c>
      <c r="BZ630" s="50" t="s">
        <v>15917</v>
      </c>
      <c r="CA630" s="50" t="s">
        <v>15916</v>
      </c>
      <c r="CB630" s="50" t="s">
        <v>15915</v>
      </c>
      <c r="CC630" s="50" t="s">
        <v>15916</v>
      </c>
      <c r="CD630" s="50" t="s">
        <v>15917</v>
      </c>
      <c r="CE630" s="50" t="s">
        <v>15915</v>
      </c>
      <c r="CF630" s="50" t="s">
        <v>15916</v>
      </c>
      <c r="CG630" s="50" t="s">
        <v>15917</v>
      </c>
      <c r="CH630" s="50" t="s">
        <v>573</v>
      </c>
      <c r="CI630" s="50" t="s">
        <v>15918</v>
      </c>
      <c r="CK630" s="50" t="s">
        <v>9348</v>
      </c>
      <c r="CL630" s="50" t="s">
        <v>15918</v>
      </c>
      <c r="CM630" s="50" t="s">
        <v>409</v>
      </c>
      <c r="CN630" s="50" t="s">
        <v>410</v>
      </c>
      <c r="CO630" s="50" t="s">
        <v>9348</v>
      </c>
      <c r="CQ630" s="50" t="s">
        <v>15918</v>
      </c>
      <c r="CR630" s="50" t="s">
        <v>15918</v>
      </c>
    </row>
    <row r="631" spans="1:97" hidden="1">
      <c r="A631" s="50" t="s">
        <v>149</v>
      </c>
      <c r="B631" s="50">
        <v>348782</v>
      </c>
      <c r="C631" s="50" t="e">
        <f>VLOOKUP(B631,'Drop schools 2026'!B:C,2,0)</f>
        <v>#N/A</v>
      </c>
      <c r="D631" s="50" t="s">
        <v>212</v>
      </c>
      <c r="E631" s="50" t="s">
        <v>13158</v>
      </c>
      <c r="F631" s="50" t="s">
        <v>6337</v>
      </c>
      <c r="G631" s="50" t="e">
        <f>VLOOKUP(B631,aa!B:F,5,0)</f>
        <v>#N/A</v>
      </c>
      <c r="H631" s="50" t="e">
        <f>VLOOKUP(B631,aa!B:J,9,0)</f>
        <v>#N/A</v>
      </c>
      <c r="I631" s="50" t="e">
        <f>VLOOKUP(B631,aa!B:L,11,0)</f>
        <v>#N/A</v>
      </c>
      <c r="J631" s="50" t="e">
        <f>VLOOKUP(B631,aa!B:O,14,0)</f>
        <v>#N/A</v>
      </c>
      <c r="K631" s="50" t="e">
        <f>VLOOKUP(B631,aa!B:R,17,0)</f>
        <v>#N/A</v>
      </c>
      <c r="L631" s="50" t="s">
        <v>97</v>
      </c>
      <c r="M631" s="50">
        <v>0</v>
      </c>
      <c r="N631" s="50">
        <v>0</v>
      </c>
      <c r="O631" s="50">
        <v>0</v>
      </c>
      <c r="P631" s="50">
        <v>553</v>
      </c>
      <c r="Q631" s="50" t="s">
        <v>102</v>
      </c>
      <c r="R631" s="50">
        <v>0</v>
      </c>
      <c r="S631" s="50">
        <v>0</v>
      </c>
      <c r="U631" s="50">
        <v>0</v>
      </c>
      <c r="V631" s="50">
        <v>0</v>
      </c>
      <c r="X631" s="50" t="s">
        <v>102</v>
      </c>
      <c r="Y631" s="50" t="s">
        <v>275</v>
      </c>
      <c r="AA631" s="50" t="s">
        <v>12820</v>
      </c>
      <c r="AB631" s="50" t="s">
        <v>109</v>
      </c>
      <c r="AC631" s="50" t="s">
        <v>102</v>
      </c>
      <c r="AD631" s="50" t="s">
        <v>109</v>
      </c>
      <c r="AE631" s="50" t="s">
        <v>102</v>
      </c>
      <c r="AF631" s="50" t="s">
        <v>109</v>
      </c>
      <c r="AG631" s="50" t="s">
        <v>102</v>
      </c>
      <c r="AH631" s="50" t="s">
        <v>109</v>
      </c>
      <c r="AI631" s="50" t="s">
        <v>102</v>
      </c>
      <c r="AJ631" s="50" t="s">
        <v>102</v>
      </c>
      <c r="AM631" s="50" t="s">
        <v>102</v>
      </c>
      <c r="AN631" s="50" t="s">
        <v>102</v>
      </c>
      <c r="AO631" s="50" t="s">
        <v>102</v>
      </c>
      <c r="AP631" s="50" t="s">
        <v>115</v>
      </c>
      <c r="AQ631" s="50" t="s">
        <v>115</v>
      </c>
      <c r="AV631" s="50" t="s">
        <v>117</v>
      </c>
      <c r="AW631" s="50" t="s">
        <v>118</v>
      </c>
      <c r="AX631" s="50" t="s">
        <v>102</v>
      </c>
      <c r="AY631" s="50" t="s">
        <v>119</v>
      </c>
      <c r="BC631" s="50" t="s">
        <v>120</v>
      </c>
      <c r="BD631" s="50" t="s">
        <v>284</v>
      </c>
      <c r="BE631" s="50" t="s">
        <v>285</v>
      </c>
      <c r="BF631" s="50" t="s">
        <v>212</v>
      </c>
      <c r="BG631" s="50" t="s">
        <v>286</v>
      </c>
      <c r="BH631" s="50" t="s">
        <v>124</v>
      </c>
      <c r="BI631" s="50" t="s">
        <v>12084</v>
      </c>
      <c r="BJ631" s="50" t="s">
        <v>11889</v>
      </c>
      <c r="BK631" s="50" t="s">
        <v>127</v>
      </c>
      <c r="BL631" s="50" t="s">
        <v>16231</v>
      </c>
      <c r="BM631" s="50" t="s">
        <v>6346</v>
      </c>
      <c r="BN631" s="50" t="s">
        <v>16232</v>
      </c>
      <c r="BO631" s="50" t="s">
        <v>12820</v>
      </c>
      <c r="BP631" s="50" t="s">
        <v>180</v>
      </c>
      <c r="BQ631" s="50" t="s">
        <v>180</v>
      </c>
      <c r="BR631" s="50" t="s">
        <v>8588</v>
      </c>
      <c r="BS631" s="50" t="s">
        <v>14336</v>
      </c>
      <c r="BT631" s="50" t="s">
        <v>2593</v>
      </c>
      <c r="BU631" s="50" t="s">
        <v>4765</v>
      </c>
      <c r="BV631" s="50" t="s">
        <v>16233</v>
      </c>
      <c r="BW631" s="50" t="s">
        <v>14338</v>
      </c>
      <c r="BX631" s="50" t="s">
        <v>598</v>
      </c>
      <c r="BY631" s="50" t="s">
        <v>14339</v>
      </c>
      <c r="BZ631" s="50" t="s">
        <v>14340</v>
      </c>
      <c r="CB631" s="50" t="s">
        <v>14342</v>
      </c>
      <c r="CC631" s="50" t="s">
        <v>8588</v>
      </c>
      <c r="CD631" s="50" t="s">
        <v>14343</v>
      </c>
      <c r="CE631" s="50" t="s">
        <v>14342</v>
      </c>
      <c r="CF631" s="50" t="s">
        <v>8588</v>
      </c>
      <c r="CG631" s="50" t="s">
        <v>14343</v>
      </c>
      <c r="CH631" s="50" t="s">
        <v>102</v>
      </c>
      <c r="CI631" s="50" t="s">
        <v>284</v>
      </c>
      <c r="CK631" s="50" t="s">
        <v>6355</v>
      </c>
      <c r="CM631" s="50" t="s">
        <v>284</v>
      </c>
      <c r="CN631" s="50" t="s">
        <v>285</v>
      </c>
      <c r="CO631" s="50" t="s">
        <v>6355</v>
      </c>
      <c r="CQ631" s="50" t="s">
        <v>6354</v>
      </c>
      <c r="CR631" s="50" t="s">
        <v>6354</v>
      </c>
    </row>
    <row r="632" spans="1:97" hidden="1">
      <c r="A632" s="50" t="s">
        <v>337</v>
      </c>
      <c r="B632" s="50">
        <v>3588889</v>
      </c>
      <c r="C632" s="50" t="e">
        <f>VLOOKUP(B632,'Drop schools 2026'!B:C,2,0)</f>
        <v>#N/A</v>
      </c>
      <c r="D632" s="50" t="s">
        <v>622</v>
      </c>
      <c r="E632" s="50" t="s">
        <v>13158</v>
      </c>
      <c r="F632" s="50" t="s">
        <v>6778</v>
      </c>
      <c r="G632" s="50" t="e">
        <f>VLOOKUP(B632,aa!B:F,5,0)</f>
        <v>#N/A</v>
      </c>
      <c r="H632" s="50" t="e">
        <f>VLOOKUP(B632,aa!B:J,9,0)</f>
        <v>#N/A</v>
      </c>
      <c r="I632" s="50" t="e">
        <f>VLOOKUP(B632,aa!B:L,11,0)</f>
        <v>#N/A</v>
      </c>
      <c r="J632" s="50" t="e">
        <f>VLOOKUP(B632,aa!B:O,14,0)</f>
        <v>#N/A</v>
      </c>
      <c r="K632" s="50" t="e">
        <f>VLOOKUP(B632,aa!B:R,17,0)</f>
        <v>#N/A</v>
      </c>
      <c r="L632" s="50" t="s">
        <v>97</v>
      </c>
      <c r="M632" s="50">
        <v>0</v>
      </c>
      <c r="N632" s="50">
        <v>0</v>
      </c>
      <c r="O632" s="50">
        <v>0</v>
      </c>
      <c r="P632" s="50">
        <v>862</v>
      </c>
      <c r="Q632" s="50" t="s">
        <v>102</v>
      </c>
      <c r="R632" s="50">
        <v>0</v>
      </c>
      <c r="S632" s="50">
        <v>0</v>
      </c>
      <c r="U632" s="50">
        <v>0</v>
      </c>
      <c r="V632" s="50">
        <v>0</v>
      </c>
      <c r="X632" s="50" t="s">
        <v>102</v>
      </c>
      <c r="Y632" s="50" t="s">
        <v>275</v>
      </c>
      <c r="AA632" s="50" t="s">
        <v>12820</v>
      </c>
      <c r="AB632" s="50" t="s">
        <v>109</v>
      </c>
      <c r="AC632" s="50" t="s">
        <v>102</v>
      </c>
      <c r="AD632" s="50" t="s">
        <v>109</v>
      </c>
      <c r="AE632" s="50" t="s">
        <v>102</v>
      </c>
      <c r="AF632" s="50" t="s">
        <v>109</v>
      </c>
      <c r="AG632" s="50" t="s">
        <v>102</v>
      </c>
      <c r="AH632" s="50" t="s">
        <v>109</v>
      </c>
      <c r="AI632" s="50" t="s">
        <v>102</v>
      </c>
      <c r="AJ632" s="50" t="s">
        <v>102</v>
      </c>
      <c r="AM632" s="50" t="s">
        <v>102</v>
      </c>
      <c r="AN632" s="50" t="s">
        <v>102</v>
      </c>
      <c r="AO632" s="50" t="s">
        <v>102</v>
      </c>
      <c r="AP632" s="50" t="s">
        <v>115</v>
      </c>
      <c r="AQ632" s="50" t="s">
        <v>115</v>
      </c>
      <c r="AV632" s="50" t="s">
        <v>117</v>
      </c>
      <c r="AW632" s="50" t="s">
        <v>118</v>
      </c>
      <c r="AX632" s="50" t="s">
        <v>102</v>
      </c>
      <c r="AY632" s="50" t="s">
        <v>119</v>
      </c>
      <c r="BC632" s="50" t="s">
        <v>120</v>
      </c>
      <c r="BD632" s="50" t="s">
        <v>2127</v>
      </c>
      <c r="BE632" s="50" t="s">
        <v>621</v>
      </c>
      <c r="BF632" s="50" t="s">
        <v>622</v>
      </c>
      <c r="BG632" s="50" t="s">
        <v>976</v>
      </c>
      <c r="BH632" s="50" t="s">
        <v>124</v>
      </c>
      <c r="BI632" s="50" t="s">
        <v>12084</v>
      </c>
      <c r="BJ632" s="50" t="s">
        <v>11889</v>
      </c>
      <c r="BK632" s="50" t="s">
        <v>127</v>
      </c>
      <c r="BL632" s="50" t="s">
        <v>16542</v>
      </c>
      <c r="BM632" s="50" t="s">
        <v>16543</v>
      </c>
      <c r="BN632" s="50" t="s">
        <v>16544</v>
      </c>
      <c r="BO632" s="50" t="s">
        <v>12820</v>
      </c>
      <c r="BP632" s="50" t="s">
        <v>180</v>
      </c>
      <c r="BQ632" s="50" t="s">
        <v>180</v>
      </c>
      <c r="BR632" s="50" t="s">
        <v>8588</v>
      </c>
      <c r="BS632" s="50" t="s">
        <v>14336</v>
      </c>
      <c r="BT632" s="50" t="s">
        <v>2593</v>
      </c>
      <c r="BU632" s="50" t="s">
        <v>4765</v>
      </c>
      <c r="BV632" s="50" t="s">
        <v>16545</v>
      </c>
      <c r="BW632" s="50" t="s">
        <v>14338</v>
      </c>
      <c r="BX632" s="50" t="s">
        <v>598</v>
      </c>
      <c r="BY632" s="50" t="s">
        <v>14339</v>
      </c>
      <c r="BZ632" s="50" t="s">
        <v>14340</v>
      </c>
      <c r="CA632" s="50" t="s">
        <v>16546</v>
      </c>
      <c r="CB632" s="50" t="s">
        <v>16547</v>
      </c>
      <c r="CC632" s="50" t="s">
        <v>8588</v>
      </c>
      <c r="CD632" s="50" t="s">
        <v>14343</v>
      </c>
      <c r="CE632" s="50" t="s">
        <v>16547</v>
      </c>
      <c r="CF632" s="50" t="s">
        <v>8588</v>
      </c>
      <c r="CG632" s="50" t="s">
        <v>14343</v>
      </c>
      <c r="CH632" s="50" t="s">
        <v>907</v>
      </c>
      <c r="CI632" s="50" t="s">
        <v>16548</v>
      </c>
      <c r="CK632" s="50" t="s">
        <v>6953</v>
      </c>
      <c r="CL632" s="50" t="s">
        <v>16549</v>
      </c>
      <c r="CM632" s="50" t="s">
        <v>2127</v>
      </c>
      <c r="CN632" s="50" t="s">
        <v>621</v>
      </c>
      <c r="CO632" s="50" t="s">
        <v>6953</v>
      </c>
      <c r="CQ632" s="50" t="s">
        <v>16548</v>
      </c>
      <c r="CR632" s="50" t="s">
        <v>16548</v>
      </c>
    </row>
    <row r="633" spans="1:97" hidden="1">
      <c r="A633" s="50" t="s">
        <v>337</v>
      </c>
      <c r="B633" s="50">
        <v>3638758</v>
      </c>
      <c r="C633" s="50" t="e">
        <f>VLOOKUP(B633,'Drop schools 2026'!B:C,2,0)</f>
        <v>#N/A</v>
      </c>
      <c r="D633" s="50" t="s">
        <v>212</v>
      </c>
      <c r="E633" s="50" t="s">
        <v>418</v>
      </c>
      <c r="F633" s="50" t="s">
        <v>16676</v>
      </c>
      <c r="G633" s="50" t="e">
        <f>VLOOKUP(B633,aa!B:F,5,0)</f>
        <v>#N/A</v>
      </c>
      <c r="H633" s="50" t="e">
        <f>VLOOKUP(B633,aa!B:J,9,0)</f>
        <v>#N/A</v>
      </c>
      <c r="I633" s="50" t="e">
        <f>VLOOKUP(B633,aa!B:L,11,0)</f>
        <v>#N/A</v>
      </c>
      <c r="J633" s="50" t="e">
        <f>VLOOKUP(B633,aa!B:O,14,0)</f>
        <v>#N/A</v>
      </c>
      <c r="K633" s="50" t="e">
        <f>VLOOKUP(B633,aa!B:R,17,0)</f>
        <v>#N/A</v>
      </c>
      <c r="L633" s="50" t="s">
        <v>152</v>
      </c>
      <c r="M633" s="50">
        <v>0</v>
      </c>
      <c r="N633" s="50">
        <v>0</v>
      </c>
      <c r="O633" s="50">
        <v>0</v>
      </c>
      <c r="P633" s="50">
        <v>0</v>
      </c>
      <c r="R633" s="50">
        <v>0</v>
      </c>
      <c r="S633" s="50">
        <v>86</v>
      </c>
      <c r="T633" s="50" t="s">
        <v>102</v>
      </c>
      <c r="U633" s="50">
        <v>0</v>
      </c>
      <c r="V633" s="50">
        <v>0</v>
      </c>
      <c r="X633" s="50" t="s">
        <v>102</v>
      </c>
      <c r="Y633" s="50" t="s">
        <v>275</v>
      </c>
      <c r="AA633" s="50" t="s">
        <v>11886</v>
      </c>
      <c r="AB633" s="50" t="s">
        <v>109</v>
      </c>
      <c r="AC633" s="50" t="s">
        <v>102</v>
      </c>
      <c r="AD633" s="50" t="s">
        <v>109</v>
      </c>
      <c r="AE633" s="50" t="s">
        <v>102</v>
      </c>
      <c r="AF633" s="50" t="s">
        <v>109</v>
      </c>
      <c r="AG633" s="50" t="s">
        <v>102</v>
      </c>
      <c r="AH633" s="50" t="s">
        <v>109</v>
      </c>
      <c r="AI633" s="50" t="s">
        <v>102</v>
      </c>
      <c r="AJ633" s="50" t="s">
        <v>102</v>
      </c>
      <c r="AM633" s="50" t="s">
        <v>102</v>
      </c>
      <c r="AN633" s="50" t="s">
        <v>102</v>
      </c>
      <c r="AO633" s="50" t="s">
        <v>102</v>
      </c>
      <c r="AP633" s="50" t="s">
        <v>115</v>
      </c>
      <c r="AQ633" s="50" t="s">
        <v>115</v>
      </c>
      <c r="AV633" s="50" t="s">
        <v>102</v>
      </c>
      <c r="AX633" s="50" t="s">
        <v>104</v>
      </c>
      <c r="AY633" s="50" t="s">
        <v>447</v>
      </c>
      <c r="AZ633" s="50" t="s">
        <v>170</v>
      </c>
      <c r="BA633" s="50" t="s">
        <v>118</v>
      </c>
      <c r="BC633" s="50" t="s">
        <v>120</v>
      </c>
      <c r="BD633" s="50" t="s">
        <v>9329</v>
      </c>
      <c r="BE633" s="50" t="s">
        <v>410</v>
      </c>
      <c r="BF633" s="50" t="s">
        <v>212</v>
      </c>
      <c r="BG633" s="50" t="s">
        <v>410</v>
      </c>
      <c r="BH633" s="50" t="s">
        <v>124</v>
      </c>
      <c r="BI633" s="50" t="s">
        <v>12084</v>
      </c>
      <c r="BJ633" s="50" t="s">
        <v>11889</v>
      </c>
      <c r="BK633" s="50" t="s">
        <v>127</v>
      </c>
      <c r="BL633" s="50" t="s">
        <v>16677</v>
      </c>
      <c r="BM633" s="50" t="s">
        <v>16678</v>
      </c>
      <c r="BN633" s="50" t="s">
        <v>16679</v>
      </c>
      <c r="BO633" s="50" t="s">
        <v>12820</v>
      </c>
      <c r="BP633" s="50" t="s">
        <v>15911</v>
      </c>
      <c r="BQ633" s="50" t="s">
        <v>505</v>
      </c>
      <c r="BR633" s="50" t="s">
        <v>15912</v>
      </c>
      <c r="BS633" s="50" t="s">
        <v>15913</v>
      </c>
      <c r="BT633" s="50" t="s">
        <v>9337</v>
      </c>
      <c r="BU633" s="50" t="s">
        <v>15159</v>
      </c>
      <c r="BV633" s="50" t="s">
        <v>16680</v>
      </c>
      <c r="BW633" s="50" t="s">
        <v>16681</v>
      </c>
      <c r="BX633" s="50" t="s">
        <v>138</v>
      </c>
      <c r="BY633" s="50" t="s">
        <v>16682</v>
      </c>
      <c r="BZ633" s="50" t="s">
        <v>16683</v>
      </c>
      <c r="CA633" s="50" t="s">
        <v>16684</v>
      </c>
      <c r="CB633" s="50" t="s">
        <v>16681</v>
      </c>
      <c r="CC633" s="50" t="s">
        <v>16682</v>
      </c>
      <c r="CD633" s="50" t="s">
        <v>16683</v>
      </c>
      <c r="CE633" s="50" t="s">
        <v>16681</v>
      </c>
      <c r="CF633" s="50" t="s">
        <v>16682</v>
      </c>
      <c r="CG633" s="50" t="s">
        <v>16683</v>
      </c>
      <c r="CH633" s="50" t="s">
        <v>4937</v>
      </c>
      <c r="CI633" s="50" t="s">
        <v>16685</v>
      </c>
      <c r="CK633" s="50" t="s">
        <v>16686</v>
      </c>
      <c r="CL633" s="50" t="s">
        <v>16685</v>
      </c>
      <c r="CM633" s="50" t="s">
        <v>9329</v>
      </c>
      <c r="CN633" s="50" t="s">
        <v>410</v>
      </c>
      <c r="CO633" s="50" t="s">
        <v>16686</v>
      </c>
      <c r="CQ633" s="50" t="s">
        <v>16687</v>
      </c>
      <c r="CR633" s="50" t="s">
        <v>16687</v>
      </c>
      <c r="CS633" s="50" t="s">
        <v>26050</v>
      </c>
    </row>
    <row r="634" spans="1:97" hidden="1">
      <c r="A634" s="50" t="s">
        <v>337</v>
      </c>
      <c r="B634" s="50">
        <v>3889453</v>
      </c>
      <c r="C634" s="50" t="e">
        <f>VLOOKUP(B634,'Drop schools 2026'!B:C,2,0)</f>
        <v>#N/A</v>
      </c>
      <c r="D634" s="50" t="s">
        <v>622</v>
      </c>
      <c r="E634" s="50" t="s">
        <v>13158</v>
      </c>
      <c r="F634" s="50" t="s">
        <v>17275</v>
      </c>
      <c r="G634" s="50" t="e">
        <f>VLOOKUP(B634,aa!B:F,5,0)</f>
        <v>#N/A</v>
      </c>
      <c r="H634" s="50" t="e">
        <f>VLOOKUP(B634,aa!B:J,9,0)</f>
        <v>#N/A</v>
      </c>
      <c r="I634" s="50" t="e">
        <f>VLOOKUP(B634,aa!B:L,11,0)</f>
        <v>#N/A</v>
      </c>
      <c r="J634" s="50" t="e">
        <f>VLOOKUP(B634,aa!B:O,14,0)</f>
        <v>#N/A</v>
      </c>
      <c r="K634" s="50" t="e">
        <f>VLOOKUP(B634,aa!B:R,17,0)</f>
        <v>#N/A</v>
      </c>
      <c r="L634" s="50" t="s">
        <v>97</v>
      </c>
      <c r="M634" s="50">
        <v>0</v>
      </c>
      <c r="N634" s="50">
        <v>0</v>
      </c>
      <c r="O634" s="50">
        <v>0</v>
      </c>
      <c r="P634" s="50">
        <v>677</v>
      </c>
      <c r="Q634" s="50" t="s">
        <v>102</v>
      </c>
      <c r="R634" s="50">
        <v>0</v>
      </c>
      <c r="S634" s="50">
        <v>0</v>
      </c>
      <c r="U634" s="50">
        <v>0</v>
      </c>
      <c r="V634" s="50">
        <v>0</v>
      </c>
      <c r="X634" s="50" t="s">
        <v>102</v>
      </c>
      <c r="Y634" s="50" t="s">
        <v>275</v>
      </c>
      <c r="AA634" s="50" t="s">
        <v>12820</v>
      </c>
      <c r="AB634" s="50" t="s">
        <v>109</v>
      </c>
      <c r="AC634" s="50" t="s">
        <v>102</v>
      </c>
      <c r="AD634" s="50" t="s">
        <v>109</v>
      </c>
      <c r="AE634" s="50" t="s">
        <v>102</v>
      </c>
      <c r="AF634" s="50" t="s">
        <v>109</v>
      </c>
      <c r="AG634" s="50" t="s">
        <v>102</v>
      </c>
      <c r="AH634" s="50" t="s">
        <v>109</v>
      </c>
      <c r="AI634" s="50" t="s">
        <v>102</v>
      </c>
      <c r="AJ634" s="50" t="s">
        <v>102</v>
      </c>
      <c r="AM634" s="50" t="s">
        <v>102</v>
      </c>
      <c r="AN634" s="50" t="s">
        <v>102</v>
      </c>
      <c r="AO634" s="50" t="s">
        <v>102</v>
      </c>
      <c r="AP634" s="50" t="s">
        <v>115</v>
      </c>
      <c r="AQ634" s="50" t="s">
        <v>115</v>
      </c>
      <c r="AV634" s="50" t="s">
        <v>117</v>
      </c>
      <c r="AW634" s="50" t="s">
        <v>118</v>
      </c>
      <c r="AX634" s="50" t="s">
        <v>102</v>
      </c>
      <c r="AY634" s="50" t="s">
        <v>119</v>
      </c>
      <c r="BC634" s="50" t="s">
        <v>120</v>
      </c>
      <c r="BD634" s="50" t="s">
        <v>2127</v>
      </c>
      <c r="BE634" s="50" t="s">
        <v>621</v>
      </c>
      <c r="BF634" s="50" t="s">
        <v>622</v>
      </c>
      <c r="BG634" s="50" t="s">
        <v>976</v>
      </c>
      <c r="BH634" s="50" t="s">
        <v>124</v>
      </c>
      <c r="BI634" s="50" t="s">
        <v>12084</v>
      </c>
      <c r="BJ634" s="50" t="s">
        <v>11889</v>
      </c>
      <c r="BK634" s="50" t="s">
        <v>127</v>
      </c>
      <c r="BL634" s="50" t="s">
        <v>17276</v>
      </c>
      <c r="BM634" s="50" t="s">
        <v>17277</v>
      </c>
      <c r="BN634" s="50" t="s">
        <v>17278</v>
      </c>
      <c r="BO634" s="50" t="s">
        <v>12820</v>
      </c>
      <c r="BP634" s="50" t="s">
        <v>180</v>
      </c>
      <c r="BQ634" s="50" t="s">
        <v>180</v>
      </c>
      <c r="BR634" s="50" t="s">
        <v>8588</v>
      </c>
      <c r="BS634" s="50" t="s">
        <v>14336</v>
      </c>
      <c r="BT634" s="50" t="s">
        <v>2593</v>
      </c>
      <c r="BU634" s="50" t="s">
        <v>4765</v>
      </c>
      <c r="BV634" s="50" t="s">
        <v>17279</v>
      </c>
      <c r="BW634" s="50" t="s">
        <v>14338</v>
      </c>
      <c r="BX634" s="50" t="s">
        <v>598</v>
      </c>
      <c r="BY634" s="50" t="s">
        <v>14339</v>
      </c>
      <c r="BZ634" s="50" t="s">
        <v>14340</v>
      </c>
      <c r="CA634" s="50" t="s">
        <v>17280</v>
      </c>
      <c r="CB634" s="50" t="s">
        <v>14342</v>
      </c>
      <c r="CC634" s="50" t="s">
        <v>8588</v>
      </c>
      <c r="CD634" s="50" t="s">
        <v>14343</v>
      </c>
      <c r="CE634" s="50" t="s">
        <v>14342</v>
      </c>
      <c r="CF634" s="50" t="s">
        <v>8588</v>
      </c>
      <c r="CG634" s="50" t="s">
        <v>14343</v>
      </c>
      <c r="CH634" s="50" t="s">
        <v>907</v>
      </c>
      <c r="CI634" s="50" t="s">
        <v>2127</v>
      </c>
      <c r="CK634" s="50" t="s">
        <v>6540</v>
      </c>
      <c r="CL634" s="50" t="s">
        <v>17281</v>
      </c>
      <c r="CM634" s="50" t="s">
        <v>2127</v>
      </c>
      <c r="CN634" s="50" t="s">
        <v>621</v>
      </c>
      <c r="CO634" s="50" t="s">
        <v>6540</v>
      </c>
      <c r="CQ634" s="50" t="s">
        <v>17282</v>
      </c>
      <c r="CR634" s="50" t="s">
        <v>17282</v>
      </c>
    </row>
    <row r="635" spans="1:97">
      <c r="A635" s="50" t="s">
        <v>337</v>
      </c>
      <c r="B635" s="50">
        <v>4000118</v>
      </c>
      <c r="C635" s="50" t="e">
        <f>VLOOKUP(B635,'Drop schools 2026'!B:C,2,0)</f>
        <v>#N/A</v>
      </c>
      <c r="D635" s="50" t="s">
        <v>122</v>
      </c>
      <c r="E635" s="50" t="s">
        <v>13158</v>
      </c>
      <c r="F635" s="50" t="s">
        <v>8523</v>
      </c>
      <c r="G635" s="50" t="e">
        <f>VLOOKUP(B635,aa!B:F,5,0)</f>
        <v>#N/A</v>
      </c>
      <c r="H635" s="50" t="e">
        <f>VLOOKUP(B635,aa!B:J,9,0)</f>
        <v>#N/A</v>
      </c>
      <c r="I635" s="50" t="e">
        <f>VLOOKUP(B635,aa!B:L,11,0)</f>
        <v>#N/A</v>
      </c>
      <c r="J635" s="50" t="e">
        <f>VLOOKUP(B635,aa!B:O,14,0)</f>
        <v>#N/A</v>
      </c>
      <c r="K635" s="50" t="e">
        <f>VLOOKUP(B635,aa!B:R,17,0)</f>
        <v>#N/A</v>
      </c>
      <c r="L635" s="50" t="s">
        <v>97</v>
      </c>
      <c r="M635" s="50">
        <v>0</v>
      </c>
      <c r="N635" s="50">
        <v>0</v>
      </c>
      <c r="O635" s="50">
        <v>0</v>
      </c>
      <c r="P635" s="50">
        <v>603</v>
      </c>
      <c r="Q635" s="50" t="s">
        <v>102</v>
      </c>
      <c r="R635" s="50">
        <v>0</v>
      </c>
      <c r="S635" s="50">
        <v>0</v>
      </c>
      <c r="U635" s="50">
        <v>0</v>
      </c>
      <c r="V635" s="50">
        <v>0</v>
      </c>
      <c r="X635" s="50" t="s">
        <v>102</v>
      </c>
      <c r="Y635" s="50" t="s">
        <v>275</v>
      </c>
      <c r="AA635" s="50" t="s">
        <v>12820</v>
      </c>
      <c r="AB635" s="50" t="s">
        <v>109</v>
      </c>
      <c r="AC635" s="50" t="s">
        <v>102</v>
      </c>
      <c r="AD635" s="50" t="s">
        <v>109</v>
      </c>
      <c r="AE635" s="50" t="s">
        <v>102</v>
      </c>
      <c r="AF635" s="50" t="s">
        <v>109</v>
      </c>
      <c r="AG635" s="50" t="s">
        <v>102</v>
      </c>
      <c r="AH635" s="50" t="s">
        <v>109</v>
      </c>
      <c r="AI635" s="50" t="s">
        <v>102</v>
      </c>
      <c r="AJ635" s="50" t="s">
        <v>102</v>
      </c>
      <c r="AM635" s="50" t="s">
        <v>102</v>
      </c>
      <c r="AN635" s="50" t="s">
        <v>102</v>
      </c>
      <c r="AO635" s="50" t="s">
        <v>102</v>
      </c>
      <c r="AP635" s="50" t="s">
        <v>115</v>
      </c>
      <c r="AQ635" s="50" t="s">
        <v>115</v>
      </c>
      <c r="AV635" s="50" t="s">
        <v>117</v>
      </c>
      <c r="AW635" s="50" t="s">
        <v>118</v>
      </c>
      <c r="AX635" s="50" t="s">
        <v>102</v>
      </c>
      <c r="AY635" s="50" t="s">
        <v>119</v>
      </c>
      <c r="BC635" s="50" t="s">
        <v>120</v>
      </c>
      <c r="BD635" s="50" t="s">
        <v>8524</v>
      </c>
      <c r="BE635" s="50" t="s">
        <v>1244</v>
      </c>
      <c r="BF635" s="50" t="s">
        <v>122</v>
      </c>
      <c r="BG635" s="50" t="s">
        <v>1244</v>
      </c>
      <c r="BH635" s="50" t="s">
        <v>124</v>
      </c>
      <c r="BI635" s="50" t="s">
        <v>12084</v>
      </c>
      <c r="BJ635" s="50" t="s">
        <v>11889</v>
      </c>
      <c r="BK635" s="50" t="s">
        <v>127</v>
      </c>
      <c r="BL635" s="50" t="s">
        <v>17903</v>
      </c>
      <c r="BM635" s="50" t="s">
        <v>17904</v>
      </c>
      <c r="BN635" s="50" t="s">
        <v>17905</v>
      </c>
      <c r="BO635" s="50" t="s">
        <v>12820</v>
      </c>
      <c r="BP635" s="50" t="s">
        <v>180</v>
      </c>
      <c r="BQ635" s="50" t="s">
        <v>505</v>
      </c>
      <c r="BR635" s="50" t="s">
        <v>8588</v>
      </c>
      <c r="BS635" s="50" t="s">
        <v>14336</v>
      </c>
      <c r="BT635" s="50" t="s">
        <v>2593</v>
      </c>
      <c r="BU635" s="50" t="s">
        <v>4765</v>
      </c>
      <c r="BV635" s="50" t="s">
        <v>17906</v>
      </c>
      <c r="BW635" s="50" t="s">
        <v>14338</v>
      </c>
      <c r="BX635" s="50" t="s">
        <v>598</v>
      </c>
      <c r="BY635" s="50" t="s">
        <v>14339</v>
      </c>
      <c r="BZ635" s="50" t="s">
        <v>14340</v>
      </c>
      <c r="CA635" s="50" t="s">
        <v>17907</v>
      </c>
      <c r="CB635" s="50" t="s">
        <v>14342</v>
      </c>
      <c r="CC635" s="50" t="s">
        <v>8588</v>
      </c>
      <c r="CD635" s="50" t="s">
        <v>14343</v>
      </c>
      <c r="CE635" s="50" t="s">
        <v>14342</v>
      </c>
      <c r="CF635" s="50" t="s">
        <v>8588</v>
      </c>
      <c r="CG635" s="50" t="s">
        <v>14343</v>
      </c>
      <c r="CH635" s="50" t="s">
        <v>102</v>
      </c>
      <c r="CI635" s="50" t="s">
        <v>8524</v>
      </c>
      <c r="CK635" s="50" t="s">
        <v>17908</v>
      </c>
      <c r="CM635" s="50" t="s">
        <v>8524</v>
      </c>
      <c r="CN635" s="50" t="s">
        <v>1244</v>
      </c>
      <c r="CO635" s="50" t="s">
        <v>17908</v>
      </c>
      <c r="CQ635" s="50" t="s">
        <v>17909</v>
      </c>
      <c r="CR635" s="50" t="s">
        <v>17909</v>
      </c>
    </row>
    <row r="636" spans="1:97">
      <c r="A636" s="50" t="s">
        <v>337</v>
      </c>
      <c r="B636" s="50">
        <v>4000123</v>
      </c>
      <c r="C636" s="50" t="e">
        <f>VLOOKUP(B636,'Drop schools 2026'!B:C,2,0)</f>
        <v>#N/A</v>
      </c>
      <c r="D636" s="50" t="s">
        <v>122</v>
      </c>
      <c r="E636" s="50" t="s">
        <v>13158</v>
      </c>
      <c r="F636" s="50" t="s">
        <v>8525</v>
      </c>
      <c r="G636" s="50" t="e">
        <f>VLOOKUP(B636,aa!B:F,5,0)</f>
        <v>#N/A</v>
      </c>
      <c r="H636" s="50" t="e">
        <f>VLOOKUP(B636,aa!B:J,9,0)</f>
        <v>#N/A</v>
      </c>
      <c r="I636" s="50" t="e">
        <f>VLOOKUP(B636,aa!B:L,11,0)</f>
        <v>#N/A</v>
      </c>
      <c r="J636" s="50" t="e">
        <f>VLOOKUP(B636,aa!B:O,14,0)</f>
        <v>#N/A</v>
      </c>
      <c r="K636" s="50" t="e">
        <f>VLOOKUP(B636,aa!B:R,17,0)</f>
        <v>#N/A</v>
      </c>
      <c r="L636" s="50" t="s">
        <v>97</v>
      </c>
      <c r="M636" s="50">
        <v>0</v>
      </c>
      <c r="N636" s="50">
        <v>0</v>
      </c>
      <c r="O636" s="50">
        <v>0</v>
      </c>
      <c r="P636" s="50">
        <v>361</v>
      </c>
      <c r="Q636" s="50" t="s">
        <v>102</v>
      </c>
      <c r="R636" s="50">
        <v>0</v>
      </c>
      <c r="S636" s="50">
        <v>0</v>
      </c>
      <c r="U636" s="50">
        <v>0</v>
      </c>
      <c r="V636" s="50">
        <v>0</v>
      </c>
      <c r="X636" s="50" t="s">
        <v>102</v>
      </c>
      <c r="Y636" s="50" t="s">
        <v>275</v>
      </c>
      <c r="AA636" s="50" t="s">
        <v>12820</v>
      </c>
      <c r="AB636" s="50" t="s">
        <v>109</v>
      </c>
      <c r="AC636" s="50" t="s">
        <v>102</v>
      </c>
      <c r="AD636" s="50" t="s">
        <v>109</v>
      </c>
      <c r="AE636" s="50" t="s">
        <v>102</v>
      </c>
      <c r="AF636" s="50" t="s">
        <v>109</v>
      </c>
      <c r="AG636" s="50" t="s">
        <v>102</v>
      </c>
      <c r="AH636" s="50" t="s">
        <v>109</v>
      </c>
      <c r="AI636" s="50" t="s">
        <v>102</v>
      </c>
      <c r="AJ636" s="50" t="s">
        <v>102</v>
      </c>
      <c r="AM636" s="50" t="s">
        <v>102</v>
      </c>
      <c r="AN636" s="50" t="s">
        <v>102</v>
      </c>
      <c r="AO636" s="50" t="s">
        <v>102</v>
      </c>
      <c r="AP636" s="50" t="s">
        <v>115</v>
      </c>
      <c r="AQ636" s="50" t="s">
        <v>115</v>
      </c>
      <c r="AV636" s="50" t="s">
        <v>117</v>
      </c>
      <c r="AW636" s="50" t="s">
        <v>118</v>
      </c>
      <c r="AX636" s="50" t="s">
        <v>102</v>
      </c>
      <c r="AY636" s="50" t="s">
        <v>119</v>
      </c>
      <c r="BC636" s="50" t="s">
        <v>120</v>
      </c>
      <c r="BD636" s="50" t="s">
        <v>8527</v>
      </c>
      <c r="BE636" s="50" t="s">
        <v>1244</v>
      </c>
      <c r="BF636" s="50" t="s">
        <v>122</v>
      </c>
      <c r="BG636" s="50" t="s">
        <v>1244</v>
      </c>
      <c r="BH636" s="50" t="s">
        <v>124</v>
      </c>
      <c r="BI636" s="50" t="s">
        <v>12084</v>
      </c>
      <c r="BJ636" s="50" t="s">
        <v>11889</v>
      </c>
      <c r="BK636" s="50" t="s">
        <v>127</v>
      </c>
      <c r="BL636" s="50" t="s">
        <v>17910</v>
      </c>
      <c r="BM636" s="50" t="s">
        <v>17911</v>
      </c>
      <c r="BN636" s="50" t="s">
        <v>17912</v>
      </c>
      <c r="BO636" s="50" t="s">
        <v>12820</v>
      </c>
      <c r="BP636" s="50" t="s">
        <v>180</v>
      </c>
      <c r="BQ636" s="50" t="s">
        <v>180</v>
      </c>
      <c r="BR636" s="50" t="s">
        <v>8588</v>
      </c>
      <c r="BS636" s="50" t="s">
        <v>14336</v>
      </c>
      <c r="BT636" s="50" t="s">
        <v>2593</v>
      </c>
      <c r="BU636" s="50" t="s">
        <v>4765</v>
      </c>
      <c r="BV636" s="50" t="s">
        <v>17913</v>
      </c>
      <c r="BW636" s="50" t="s">
        <v>14338</v>
      </c>
      <c r="BX636" s="50" t="s">
        <v>598</v>
      </c>
      <c r="BY636" s="50" t="s">
        <v>14339</v>
      </c>
      <c r="BZ636" s="50" t="s">
        <v>14340</v>
      </c>
      <c r="CB636" s="50" t="s">
        <v>14342</v>
      </c>
      <c r="CC636" s="50" t="s">
        <v>8588</v>
      </c>
      <c r="CD636" s="50" t="s">
        <v>14343</v>
      </c>
      <c r="CE636" s="50" t="s">
        <v>14342</v>
      </c>
      <c r="CF636" s="50" t="s">
        <v>8588</v>
      </c>
      <c r="CG636" s="50" t="s">
        <v>14343</v>
      </c>
      <c r="CH636" s="50" t="s">
        <v>102</v>
      </c>
      <c r="CI636" s="50" t="s">
        <v>8527</v>
      </c>
      <c r="CK636" s="50" t="s">
        <v>17914</v>
      </c>
      <c r="CM636" s="50" t="s">
        <v>8527</v>
      </c>
      <c r="CN636" s="50" t="s">
        <v>1244</v>
      </c>
      <c r="CO636" s="50" t="s">
        <v>17914</v>
      </c>
      <c r="CQ636" s="50" t="s">
        <v>17915</v>
      </c>
      <c r="CR636" s="50" t="s">
        <v>17915</v>
      </c>
    </row>
    <row r="637" spans="1:97" hidden="1">
      <c r="A637" s="50" t="s">
        <v>495</v>
      </c>
      <c r="B637" s="50">
        <v>4000126</v>
      </c>
      <c r="C637" s="50" t="e">
        <f>VLOOKUP(B637,'Drop schools 2026'!B:C,2,0)</f>
        <v>#N/A</v>
      </c>
      <c r="D637" s="50" t="s">
        <v>622</v>
      </c>
      <c r="E637" s="50" t="s">
        <v>13158</v>
      </c>
      <c r="F637" s="50" t="s">
        <v>8528</v>
      </c>
      <c r="G637" s="50" t="e">
        <f>VLOOKUP(B637,aa!B:F,5,0)</f>
        <v>#N/A</v>
      </c>
      <c r="H637" s="50" t="e">
        <f>VLOOKUP(B637,aa!B:J,9,0)</f>
        <v>#N/A</v>
      </c>
      <c r="I637" s="50" t="e">
        <f>VLOOKUP(B637,aa!B:L,11,0)</f>
        <v>#N/A</v>
      </c>
      <c r="J637" s="50" t="e">
        <f>VLOOKUP(B637,aa!B:O,14,0)</f>
        <v>#N/A</v>
      </c>
      <c r="K637" s="50" t="e">
        <f>VLOOKUP(B637,aa!B:R,17,0)</f>
        <v>#N/A</v>
      </c>
      <c r="L637" s="50" t="s">
        <v>97</v>
      </c>
      <c r="M637" s="50">
        <v>0</v>
      </c>
      <c r="N637" s="50">
        <v>0</v>
      </c>
      <c r="O637" s="50">
        <v>0</v>
      </c>
      <c r="P637" s="50">
        <v>914</v>
      </c>
      <c r="Q637" s="50" t="s">
        <v>102</v>
      </c>
      <c r="R637" s="50">
        <v>0</v>
      </c>
      <c r="S637" s="50">
        <v>0</v>
      </c>
      <c r="U637" s="50">
        <v>0</v>
      </c>
      <c r="V637" s="50">
        <v>0</v>
      </c>
      <c r="X637" s="50" t="s">
        <v>102</v>
      </c>
      <c r="Y637" s="50" t="s">
        <v>275</v>
      </c>
      <c r="AA637" s="50" t="s">
        <v>12820</v>
      </c>
      <c r="AB637" s="50" t="s">
        <v>109</v>
      </c>
      <c r="AC637" s="50" t="s">
        <v>102</v>
      </c>
      <c r="AD637" s="50" t="s">
        <v>109</v>
      </c>
      <c r="AE637" s="50" t="s">
        <v>102</v>
      </c>
      <c r="AF637" s="50" t="s">
        <v>109</v>
      </c>
      <c r="AG637" s="50" t="s">
        <v>102</v>
      </c>
      <c r="AH637" s="50" t="s">
        <v>109</v>
      </c>
      <c r="AI637" s="50" t="s">
        <v>102</v>
      </c>
      <c r="AJ637" s="50" t="s">
        <v>102</v>
      </c>
      <c r="AM637" s="50" t="s">
        <v>102</v>
      </c>
      <c r="AN637" s="50" t="s">
        <v>102</v>
      </c>
      <c r="AO637" s="50" t="s">
        <v>102</v>
      </c>
      <c r="AP637" s="50" t="s">
        <v>115</v>
      </c>
      <c r="AQ637" s="50" t="s">
        <v>115</v>
      </c>
      <c r="AV637" s="50" t="s">
        <v>117</v>
      </c>
      <c r="AW637" s="50" t="s">
        <v>118</v>
      </c>
      <c r="AX637" s="50" t="s">
        <v>102</v>
      </c>
      <c r="AY637" s="50" t="s">
        <v>119</v>
      </c>
      <c r="BC637" s="50" t="s">
        <v>171</v>
      </c>
      <c r="BD637" s="50" t="s">
        <v>623</v>
      </c>
      <c r="BE637" s="50" t="s">
        <v>621</v>
      </c>
      <c r="BF637" s="50" t="s">
        <v>622</v>
      </c>
      <c r="BG637" s="50" t="s">
        <v>623</v>
      </c>
      <c r="BH637" s="50" t="s">
        <v>124</v>
      </c>
      <c r="BI637" s="50" t="s">
        <v>12084</v>
      </c>
      <c r="BJ637" s="50" t="s">
        <v>11889</v>
      </c>
      <c r="BK637" s="50" t="s">
        <v>127</v>
      </c>
      <c r="BL637" s="50" t="s">
        <v>17916</v>
      </c>
      <c r="BM637" s="50" t="s">
        <v>17917</v>
      </c>
      <c r="BN637" s="50" t="s">
        <v>17918</v>
      </c>
      <c r="BO637" s="50" t="s">
        <v>12820</v>
      </c>
      <c r="BP637" s="50" t="s">
        <v>180</v>
      </c>
      <c r="BQ637" s="50" t="s">
        <v>505</v>
      </c>
      <c r="BR637" s="50" t="s">
        <v>8588</v>
      </c>
      <c r="BS637" s="50" t="s">
        <v>14336</v>
      </c>
      <c r="BT637" s="50" t="s">
        <v>2593</v>
      </c>
      <c r="BU637" s="50" t="s">
        <v>4765</v>
      </c>
      <c r="BV637" s="50" t="s">
        <v>17919</v>
      </c>
      <c r="BW637" s="50" t="s">
        <v>14338</v>
      </c>
      <c r="BX637" s="50" t="s">
        <v>598</v>
      </c>
      <c r="BY637" s="50" t="s">
        <v>14339</v>
      </c>
      <c r="BZ637" s="50" t="s">
        <v>14340</v>
      </c>
      <c r="CA637" s="50" t="s">
        <v>17920</v>
      </c>
      <c r="CB637" s="50" t="s">
        <v>17921</v>
      </c>
      <c r="CC637" s="50" t="s">
        <v>8588</v>
      </c>
      <c r="CD637" s="50" t="s">
        <v>14343</v>
      </c>
      <c r="CE637" s="50" t="s">
        <v>17921</v>
      </c>
      <c r="CF637" s="50" t="s">
        <v>8588</v>
      </c>
      <c r="CG637" s="50" t="s">
        <v>14343</v>
      </c>
      <c r="CH637" s="50" t="s">
        <v>102</v>
      </c>
      <c r="CI637" s="50" t="s">
        <v>623</v>
      </c>
      <c r="CK637" s="50" t="s">
        <v>17922</v>
      </c>
      <c r="CM637" s="50" t="s">
        <v>623</v>
      </c>
      <c r="CN637" s="50" t="s">
        <v>621</v>
      </c>
      <c r="CO637" s="50" t="s">
        <v>17922</v>
      </c>
      <c r="CQ637" s="50" t="s">
        <v>17923</v>
      </c>
      <c r="CR637" s="50" t="s">
        <v>17923</v>
      </c>
    </row>
    <row r="638" spans="1:97" hidden="1">
      <c r="A638" s="50" t="s">
        <v>337</v>
      </c>
      <c r="B638" s="50">
        <v>4062318</v>
      </c>
      <c r="C638" s="50" t="e">
        <f>VLOOKUP(B638,'Drop schools 2026'!B:C,2,0)</f>
        <v>#N/A</v>
      </c>
      <c r="D638" s="50" t="s">
        <v>212</v>
      </c>
      <c r="E638" s="50" t="s">
        <v>13158</v>
      </c>
      <c r="F638" s="50" t="s">
        <v>8657</v>
      </c>
      <c r="G638" s="50" t="e">
        <f>VLOOKUP(B638,aa!B:F,5,0)</f>
        <v>#N/A</v>
      </c>
      <c r="H638" s="50" t="e">
        <f>VLOOKUP(B638,aa!B:J,9,0)</f>
        <v>#N/A</v>
      </c>
      <c r="I638" s="50" t="e">
        <f>VLOOKUP(B638,aa!B:L,11,0)</f>
        <v>#N/A</v>
      </c>
      <c r="J638" s="50" t="e">
        <f>VLOOKUP(B638,aa!B:O,14,0)</f>
        <v>#N/A</v>
      </c>
      <c r="K638" s="50" t="e">
        <f>VLOOKUP(B638,aa!B:R,17,0)</f>
        <v>#N/A</v>
      </c>
      <c r="L638" s="50" t="s">
        <v>97</v>
      </c>
      <c r="M638" s="50">
        <v>0</v>
      </c>
      <c r="N638" s="50">
        <v>0</v>
      </c>
      <c r="O638" s="50">
        <v>0</v>
      </c>
      <c r="P638" s="50">
        <v>270</v>
      </c>
      <c r="Q638" s="50" t="s">
        <v>102</v>
      </c>
      <c r="R638" s="50">
        <v>0</v>
      </c>
      <c r="S638" s="50">
        <v>0</v>
      </c>
      <c r="U638" s="50">
        <v>0</v>
      </c>
      <c r="V638" s="50">
        <v>0</v>
      </c>
      <c r="X638" s="50" t="s">
        <v>102</v>
      </c>
      <c r="Y638" s="50" t="s">
        <v>275</v>
      </c>
      <c r="AA638" s="50" t="s">
        <v>12820</v>
      </c>
      <c r="AB638" s="50" t="s">
        <v>109</v>
      </c>
      <c r="AC638" s="50" t="s">
        <v>102</v>
      </c>
      <c r="AD638" s="50" t="s">
        <v>109</v>
      </c>
      <c r="AE638" s="50" t="s">
        <v>102</v>
      </c>
      <c r="AF638" s="50" t="s">
        <v>109</v>
      </c>
      <c r="AG638" s="50" t="s">
        <v>102</v>
      </c>
      <c r="AH638" s="50" t="s">
        <v>109</v>
      </c>
      <c r="AI638" s="50" t="s">
        <v>102</v>
      </c>
      <c r="AJ638" s="50" t="s">
        <v>102</v>
      </c>
      <c r="AM638" s="50" t="s">
        <v>102</v>
      </c>
      <c r="AN638" s="50" t="s">
        <v>102</v>
      </c>
      <c r="AO638" s="50" t="s">
        <v>102</v>
      </c>
      <c r="AP638" s="50" t="s">
        <v>115</v>
      </c>
      <c r="AQ638" s="50" t="s">
        <v>115</v>
      </c>
      <c r="AV638" s="50" t="s">
        <v>117</v>
      </c>
      <c r="AW638" s="50" t="s">
        <v>118</v>
      </c>
      <c r="AX638" s="50" t="s">
        <v>102</v>
      </c>
      <c r="AY638" s="50" t="s">
        <v>119</v>
      </c>
      <c r="BC638" s="50" t="s">
        <v>120</v>
      </c>
      <c r="BD638" s="50" t="s">
        <v>7718</v>
      </c>
      <c r="BE638" s="50" t="s">
        <v>211</v>
      </c>
      <c r="BF638" s="50" t="s">
        <v>212</v>
      </c>
      <c r="BG638" s="50" t="s">
        <v>213</v>
      </c>
      <c r="BH638" s="50" t="s">
        <v>124</v>
      </c>
      <c r="BI638" s="50" t="s">
        <v>12084</v>
      </c>
      <c r="BJ638" s="50" t="s">
        <v>11889</v>
      </c>
      <c r="BK638" s="50" t="s">
        <v>127</v>
      </c>
      <c r="BL638" s="50" t="s">
        <v>18025</v>
      </c>
      <c r="BM638" s="50" t="s">
        <v>18026</v>
      </c>
      <c r="BN638" s="50" t="s">
        <v>18027</v>
      </c>
      <c r="BO638" s="50" t="s">
        <v>12820</v>
      </c>
      <c r="BP638" s="50" t="s">
        <v>180</v>
      </c>
      <c r="BQ638" s="50" t="s">
        <v>180</v>
      </c>
      <c r="BR638" s="50" t="s">
        <v>8588</v>
      </c>
      <c r="BS638" s="50" t="s">
        <v>14336</v>
      </c>
      <c r="BT638" s="50" t="s">
        <v>2593</v>
      </c>
      <c r="BU638" s="50" t="s">
        <v>4765</v>
      </c>
      <c r="BV638" s="50" t="s">
        <v>18028</v>
      </c>
      <c r="BW638" s="50" t="s">
        <v>14338</v>
      </c>
      <c r="BX638" s="50" t="s">
        <v>598</v>
      </c>
      <c r="BY638" s="50" t="s">
        <v>14339</v>
      </c>
      <c r="BZ638" s="50" t="s">
        <v>14340</v>
      </c>
      <c r="CA638" s="50" t="s">
        <v>18029</v>
      </c>
      <c r="CB638" s="50" t="s">
        <v>14342</v>
      </c>
      <c r="CC638" s="50" t="s">
        <v>8588</v>
      </c>
      <c r="CD638" s="50" t="s">
        <v>14343</v>
      </c>
      <c r="CE638" s="50" t="s">
        <v>14342</v>
      </c>
      <c r="CF638" s="50" t="s">
        <v>8588</v>
      </c>
      <c r="CG638" s="50" t="s">
        <v>14343</v>
      </c>
      <c r="CH638" s="50" t="s">
        <v>907</v>
      </c>
      <c r="CI638" s="50" t="s">
        <v>920</v>
      </c>
      <c r="CK638" s="50" t="s">
        <v>5844</v>
      </c>
      <c r="CL638" s="50" t="s">
        <v>18030</v>
      </c>
      <c r="CM638" s="50" t="s">
        <v>7718</v>
      </c>
      <c r="CN638" s="50" t="s">
        <v>211</v>
      </c>
      <c r="CO638" s="50" t="s">
        <v>5844</v>
      </c>
      <c r="CQ638" s="50" t="s">
        <v>18030</v>
      </c>
      <c r="CR638" s="50" t="s">
        <v>18030</v>
      </c>
    </row>
    <row r="639" spans="1:97" hidden="1">
      <c r="A639" s="50" t="s">
        <v>495</v>
      </c>
      <c r="B639" s="50">
        <v>434619</v>
      </c>
      <c r="C639" s="50" t="e">
        <f>VLOOKUP(B639,'Drop schools 2026'!B:C,2,0)</f>
        <v>#N/A</v>
      </c>
      <c r="D639" s="50" t="s">
        <v>622</v>
      </c>
      <c r="E639" s="50" t="s">
        <v>13158</v>
      </c>
      <c r="F639" s="50" t="s">
        <v>8942</v>
      </c>
      <c r="G639" s="50" t="e">
        <f>VLOOKUP(B639,aa!B:F,5,0)</f>
        <v>#N/A</v>
      </c>
      <c r="H639" s="50" t="e">
        <f>VLOOKUP(B639,aa!B:J,9,0)</f>
        <v>#N/A</v>
      </c>
      <c r="I639" s="50" t="e">
        <f>VLOOKUP(B639,aa!B:L,11,0)</f>
        <v>#N/A</v>
      </c>
      <c r="J639" s="50" t="e">
        <f>VLOOKUP(B639,aa!B:O,14,0)</f>
        <v>#N/A</v>
      </c>
      <c r="K639" s="50" t="e">
        <f>VLOOKUP(B639,aa!B:R,17,0)</f>
        <v>#N/A</v>
      </c>
      <c r="L639" s="50" t="s">
        <v>97</v>
      </c>
      <c r="M639" s="50">
        <v>0</v>
      </c>
      <c r="N639" s="50">
        <v>0</v>
      </c>
      <c r="O639" s="50">
        <v>0</v>
      </c>
      <c r="P639" s="50">
        <v>518</v>
      </c>
      <c r="Q639" s="50" t="s">
        <v>102</v>
      </c>
      <c r="R639" s="50">
        <v>0</v>
      </c>
      <c r="S639" s="50">
        <v>0</v>
      </c>
      <c r="U639" s="50">
        <v>0</v>
      </c>
      <c r="V639" s="50">
        <v>0</v>
      </c>
      <c r="X639" s="50" t="s">
        <v>102</v>
      </c>
      <c r="Y639" s="50" t="s">
        <v>275</v>
      </c>
      <c r="AA639" s="50" t="s">
        <v>12820</v>
      </c>
      <c r="AB639" s="50" t="s">
        <v>109</v>
      </c>
      <c r="AC639" s="50" t="s">
        <v>102</v>
      </c>
      <c r="AD639" s="50" t="s">
        <v>109</v>
      </c>
      <c r="AE639" s="50" t="s">
        <v>102</v>
      </c>
      <c r="AF639" s="50" t="s">
        <v>109</v>
      </c>
      <c r="AG639" s="50" t="s">
        <v>102</v>
      </c>
      <c r="AH639" s="50" t="s">
        <v>109</v>
      </c>
      <c r="AI639" s="50" t="s">
        <v>102</v>
      </c>
      <c r="AJ639" s="50" t="s">
        <v>102</v>
      </c>
      <c r="AM639" s="50" t="s">
        <v>102</v>
      </c>
      <c r="AN639" s="50" t="s">
        <v>102</v>
      </c>
      <c r="AO639" s="50" t="s">
        <v>102</v>
      </c>
      <c r="AP639" s="50" t="s">
        <v>115</v>
      </c>
      <c r="AQ639" s="50" t="s">
        <v>115</v>
      </c>
      <c r="AV639" s="50" t="s">
        <v>117</v>
      </c>
      <c r="AW639" s="50" t="s">
        <v>118</v>
      </c>
      <c r="AX639" s="50" t="s">
        <v>102</v>
      </c>
      <c r="AY639" s="50" t="s">
        <v>119</v>
      </c>
      <c r="BC639" s="50" t="s">
        <v>171</v>
      </c>
      <c r="BD639" s="50" t="s">
        <v>623</v>
      </c>
      <c r="BE639" s="50" t="s">
        <v>621</v>
      </c>
      <c r="BF639" s="50" t="s">
        <v>622</v>
      </c>
      <c r="BG639" s="50" t="s">
        <v>623</v>
      </c>
      <c r="BH639" s="50" t="s">
        <v>124</v>
      </c>
      <c r="BI639" s="50" t="s">
        <v>12084</v>
      </c>
      <c r="BJ639" s="50" t="s">
        <v>11889</v>
      </c>
      <c r="BK639" s="50" t="s">
        <v>127</v>
      </c>
      <c r="BL639" s="50" t="s">
        <v>18317</v>
      </c>
      <c r="BM639" s="50" t="s">
        <v>18318</v>
      </c>
      <c r="BN639" s="50" t="s">
        <v>18319</v>
      </c>
      <c r="BO639" s="50" t="s">
        <v>12820</v>
      </c>
      <c r="BP639" s="50" t="s">
        <v>180</v>
      </c>
      <c r="BQ639" s="50" t="s">
        <v>180</v>
      </c>
      <c r="BR639" s="50" t="s">
        <v>8588</v>
      </c>
      <c r="BS639" s="50" t="s">
        <v>14336</v>
      </c>
      <c r="BT639" s="50" t="s">
        <v>2593</v>
      </c>
      <c r="BU639" s="50" t="s">
        <v>4765</v>
      </c>
      <c r="BV639" s="50" t="s">
        <v>18320</v>
      </c>
      <c r="BW639" s="50" t="s">
        <v>14338</v>
      </c>
      <c r="BX639" s="50" t="s">
        <v>598</v>
      </c>
      <c r="BY639" s="50" t="s">
        <v>14339</v>
      </c>
      <c r="BZ639" s="50" t="s">
        <v>14340</v>
      </c>
      <c r="CA639" s="50" t="s">
        <v>18321</v>
      </c>
      <c r="CB639" s="50" t="s">
        <v>14342</v>
      </c>
      <c r="CC639" s="50" t="s">
        <v>8588</v>
      </c>
      <c r="CD639" s="50" t="s">
        <v>14343</v>
      </c>
      <c r="CE639" s="50" t="s">
        <v>14342</v>
      </c>
      <c r="CF639" s="50" t="s">
        <v>8588</v>
      </c>
      <c r="CG639" s="50" t="s">
        <v>14343</v>
      </c>
      <c r="CH639" s="50" t="s">
        <v>102</v>
      </c>
      <c r="CI639" s="50" t="s">
        <v>623</v>
      </c>
      <c r="CK639" s="50" t="s">
        <v>18322</v>
      </c>
      <c r="CM639" s="50" t="s">
        <v>623</v>
      </c>
      <c r="CN639" s="50" t="s">
        <v>621</v>
      </c>
      <c r="CO639" s="50" t="s">
        <v>18322</v>
      </c>
      <c r="CQ639" s="50" t="s">
        <v>18323</v>
      </c>
      <c r="CR639" s="50" t="s">
        <v>18323</v>
      </c>
    </row>
    <row r="640" spans="1:97" hidden="1">
      <c r="A640" s="50" t="s">
        <v>337</v>
      </c>
      <c r="B640" s="50">
        <v>5017050</v>
      </c>
      <c r="C640" s="50" t="e">
        <f>VLOOKUP(B640,'Drop schools 2026'!B:C,2,0)</f>
        <v>#N/A</v>
      </c>
      <c r="D640" s="50" t="s">
        <v>622</v>
      </c>
      <c r="E640" s="50" t="s">
        <v>985</v>
      </c>
      <c r="F640" s="50" t="s">
        <v>3879</v>
      </c>
      <c r="G640" s="50" t="e">
        <f>VLOOKUP(B640,aa!B:F,5,0)</f>
        <v>#N/A</v>
      </c>
      <c r="H640" s="50" t="e">
        <f>VLOOKUP(B640,aa!B:J,9,0)</f>
        <v>#N/A</v>
      </c>
      <c r="I640" s="50" t="e">
        <f>VLOOKUP(B640,aa!B:L,11,0)</f>
        <v>#N/A</v>
      </c>
      <c r="J640" s="50" t="e">
        <f>VLOOKUP(B640,aa!B:O,14,0)</f>
        <v>#N/A</v>
      </c>
      <c r="K640" s="50" t="e">
        <f>VLOOKUP(B640,aa!B:R,17,0)</f>
        <v>#N/A</v>
      </c>
      <c r="L640" s="50" t="s">
        <v>97</v>
      </c>
      <c r="M640" s="50">
        <v>0</v>
      </c>
      <c r="N640" s="50">
        <v>0</v>
      </c>
      <c r="O640" s="50">
        <v>0</v>
      </c>
      <c r="P640" s="50">
        <v>200</v>
      </c>
      <c r="Q640" s="50" t="s">
        <v>102</v>
      </c>
      <c r="R640" s="50">
        <v>0</v>
      </c>
      <c r="S640" s="50">
        <v>0</v>
      </c>
      <c r="U640" s="50">
        <v>0</v>
      </c>
      <c r="V640" s="50">
        <v>0</v>
      </c>
      <c r="X640" s="50" t="s">
        <v>102</v>
      </c>
      <c r="Y640" s="50" t="s">
        <v>275</v>
      </c>
      <c r="AA640" s="50" t="s">
        <v>18984</v>
      </c>
      <c r="AB640" s="50" t="s">
        <v>109</v>
      </c>
      <c r="AC640" s="50" t="s">
        <v>102</v>
      </c>
      <c r="AD640" s="50" t="s">
        <v>109</v>
      </c>
      <c r="AE640" s="50" t="s">
        <v>102</v>
      </c>
      <c r="AF640" s="50" t="s">
        <v>109</v>
      </c>
      <c r="AG640" s="50" t="s">
        <v>102</v>
      </c>
      <c r="AH640" s="50" t="s">
        <v>109</v>
      </c>
      <c r="AI640" s="50" t="s">
        <v>102</v>
      </c>
      <c r="AJ640" s="50" t="s">
        <v>102</v>
      </c>
      <c r="AM640" s="50" t="s">
        <v>102</v>
      </c>
      <c r="AN640" s="50" t="s">
        <v>102</v>
      </c>
      <c r="AO640" s="50" t="s">
        <v>102</v>
      </c>
      <c r="AP640" s="50" t="s">
        <v>115</v>
      </c>
      <c r="AQ640" s="50" t="s">
        <v>115</v>
      </c>
      <c r="AV640" s="50" t="s">
        <v>117</v>
      </c>
      <c r="AW640" s="50" t="s">
        <v>118</v>
      </c>
      <c r="AX640" s="50" t="s">
        <v>102</v>
      </c>
      <c r="AY640" s="50" t="s">
        <v>119</v>
      </c>
      <c r="BC640" s="50" t="s">
        <v>120</v>
      </c>
      <c r="BD640" s="50" t="s">
        <v>8152</v>
      </c>
      <c r="BE640" s="50" t="s">
        <v>621</v>
      </c>
      <c r="BF640" s="50" t="s">
        <v>622</v>
      </c>
      <c r="BG640" s="50" t="s">
        <v>976</v>
      </c>
      <c r="BH640" s="50" t="s">
        <v>124</v>
      </c>
      <c r="BI640" s="50" t="s">
        <v>12084</v>
      </c>
      <c r="BJ640" s="50" t="s">
        <v>11889</v>
      </c>
      <c r="BK640" s="50" t="s">
        <v>127</v>
      </c>
      <c r="BL640" s="50" t="s">
        <v>18985</v>
      </c>
      <c r="BM640" s="50" t="s">
        <v>18986</v>
      </c>
      <c r="BN640" s="50" t="s">
        <v>18987</v>
      </c>
      <c r="BO640" s="50" t="s">
        <v>12820</v>
      </c>
      <c r="BP640" s="50" t="s">
        <v>505</v>
      </c>
      <c r="BQ640" s="50" t="s">
        <v>505</v>
      </c>
      <c r="BR640" s="50" t="s">
        <v>225</v>
      </c>
      <c r="BS640" s="50" t="s">
        <v>506</v>
      </c>
      <c r="BT640" s="50" t="s">
        <v>2593</v>
      </c>
      <c r="BU640" s="50" t="s">
        <v>4765</v>
      </c>
      <c r="BV640" s="50" t="s">
        <v>18988</v>
      </c>
      <c r="BW640" s="50" t="s">
        <v>14338</v>
      </c>
      <c r="BX640" s="50" t="s">
        <v>598</v>
      </c>
      <c r="BY640" s="50" t="s">
        <v>14339</v>
      </c>
      <c r="BZ640" s="50" t="s">
        <v>14340</v>
      </c>
      <c r="CA640" s="50" t="s">
        <v>18989</v>
      </c>
      <c r="CB640" s="50" t="s">
        <v>14338</v>
      </c>
      <c r="CC640" s="50" t="s">
        <v>14339</v>
      </c>
      <c r="CD640" s="50" t="s">
        <v>14340</v>
      </c>
      <c r="CE640" s="50" t="s">
        <v>14338</v>
      </c>
      <c r="CF640" s="50" t="s">
        <v>14339</v>
      </c>
      <c r="CG640" s="50" t="s">
        <v>14340</v>
      </c>
      <c r="CH640" s="50" t="s">
        <v>18990</v>
      </c>
      <c r="CI640" s="50" t="s">
        <v>8152</v>
      </c>
      <c r="CK640" s="50" t="s">
        <v>10909</v>
      </c>
      <c r="CL640" s="50" t="s">
        <v>18991</v>
      </c>
      <c r="CM640" s="50" t="s">
        <v>8152</v>
      </c>
      <c r="CN640" s="50" t="s">
        <v>621</v>
      </c>
      <c r="CO640" s="50" t="s">
        <v>10909</v>
      </c>
      <c r="CQ640" s="50" t="s">
        <v>18992</v>
      </c>
      <c r="CR640" s="50" t="s">
        <v>18992</v>
      </c>
    </row>
    <row r="641" spans="1:97" hidden="1">
      <c r="A641" s="50" t="s">
        <v>337</v>
      </c>
      <c r="B641" s="50">
        <v>5108173</v>
      </c>
      <c r="C641" s="50" t="e">
        <f>VLOOKUP(B641,'Drop schools 2026'!B:C,2,0)</f>
        <v>#N/A</v>
      </c>
      <c r="D641" s="50" t="s">
        <v>212</v>
      </c>
      <c r="E641" s="50" t="s">
        <v>13158</v>
      </c>
      <c r="F641" s="50" t="s">
        <v>20939</v>
      </c>
      <c r="G641" s="50" t="e">
        <f>VLOOKUP(B641,aa!B:F,5,0)</f>
        <v>#N/A</v>
      </c>
      <c r="H641" s="50" t="e">
        <f>VLOOKUP(B641,aa!B:J,9,0)</f>
        <v>#N/A</v>
      </c>
      <c r="I641" s="50" t="e">
        <f>VLOOKUP(B641,aa!B:L,11,0)</f>
        <v>#N/A</v>
      </c>
      <c r="J641" s="50" t="e">
        <f>VLOOKUP(B641,aa!B:O,14,0)</f>
        <v>#N/A</v>
      </c>
      <c r="K641" s="50" t="e">
        <f>VLOOKUP(B641,aa!B:R,17,0)</f>
        <v>#N/A</v>
      </c>
      <c r="L641" s="50" t="s">
        <v>97</v>
      </c>
      <c r="M641" s="50">
        <v>0</v>
      </c>
      <c r="N641" s="50">
        <v>0</v>
      </c>
      <c r="O641" s="50">
        <v>0</v>
      </c>
      <c r="P641" s="50">
        <v>248</v>
      </c>
      <c r="Q641" s="50" t="s">
        <v>102</v>
      </c>
      <c r="R641" s="50">
        <v>0</v>
      </c>
      <c r="S641" s="50">
        <v>0</v>
      </c>
      <c r="U641" s="50">
        <v>0</v>
      </c>
      <c r="V641" s="50">
        <v>0</v>
      </c>
      <c r="X641" s="50" t="s">
        <v>102</v>
      </c>
      <c r="Y641" s="50" t="s">
        <v>275</v>
      </c>
      <c r="AA641" s="50" t="s">
        <v>18984</v>
      </c>
      <c r="AB641" s="50" t="s">
        <v>109</v>
      </c>
      <c r="AC641" s="50" t="s">
        <v>102</v>
      </c>
      <c r="AD641" s="50" t="s">
        <v>109</v>
      </c>
      <c r="AE641" s="50" t="s">
        <v>102</v>
      </c>
      <c r="AF641" s="50" t="s">
        <v>109</v>
      </c>
      <c r="AG641" s="50" t="s">
        <v>102</v>
      </c>
      <c r="AH641" s="50" t="s">
        <v>109</v>
      </c>
      <c r="AI641" s="50" t="s">
        <v>102</v>
      </c>
      <c r="AJ641" s="50" t="s">
        <v>102</v>
      </c>
      <c r="AM641" s="50" t="s">
        <v>102</v>
      </c>
      <c r="AN641" s="50" t="s">
        <v>102</v>
      </c>
      <c r="AO641" s="50" t="s">
        <v>102</v>
      </c>
      <c r="AP641" s="50" t="s">
        <v>115</v>
      </c>
      <c r="AQ641" s="50" t="s">
        <v>115</v>
      </c>
      <c r="AV641" s="50" t="s">
        <v>117</v>
      </c>
      <c r="AW641" s="50" t="s">
        <v>118</v>
      </c>
      <c r="AX641" s="50" t="s">
        <v>102</v>
      </c>
      <c r="AY641" s="50" t="s">
        <v>119</v>
      </c>
      <c r="BC641" s="50" t="s">
        <v>1964</v>
      </c>
      <c r="BD641" s="50" t="s">
        <v>1759</v>
      </c>
      <c r="BE641" s="50" t="s">
        <v>410</v>
      </c>
      <c r="BF641" s="50" t="s">
        <v>212</v>
      </c>
      <c r="BG641" s="50" t="s">
        <v>410</v>
      </c>
      <c r="BH641" s="50" t="s">
        <v>124</v>
      </c>
      <c r="BI641" s="50" t="s">
        <v>12084</v>
      </c>
      <c r="BJ641" s="50" t="s">
        <v>11889</v>
      </c>
      <c r="BK641" s="50" t="s">
        <v>127</v>
      </c>
      <c r="BL641" s="50" t="s">
        <v>20940</v>
      </c>
      <c r="BM641" s="50" t="s">
        <v>20941</v>
      </c>
      <c r="BN641" s="50" t="s">
        <v>20942</v>
      </c>
      <c r="BO641" s="50" t="s">
        <v>12820</v>
      </c>
      <c r="BP641" s="50" t="s">
        <v>505</v>
      </c>
      <c r="BQ641" s="50" t="s">
        <v>505</v>
      </c>
      <c r="BR641" s="50" t="s">
        <v>225</v>
      </c>
      <c r="BS641" s="50" t="s">
        <v>506</v>
      </c>
      <c r="BT641" s="50" t="s">
        <v>2593</v>
      </c>
      <c r="BU641" s="50" t="s">
        <v>4765</v>
      </c>
      <c r="BV641" s="50" t="s">
        <v>20943</v>
      </c>
      <c r="BW641" s="50" t="s">
        <v>14338</v>
      </c>
      <c r="BX641" s="50" t="s">
        <v>598</v>
      </c>
      <c r="BY641" s="50" t="s">
        <v>14339</v>
      </c>
      <c r="BZ641" s="50" t="s">
        <v>14340</v>
      </c>
      <c r="CB641" s="50" t="s">
        <v>14338</v>
      </c>
      <c r="CC641" s="50" t="s">
        <v>14339</v>
      </c>
      <c r="CD641" s="50" t="s">
        <v>14340</v>
      </c>
      <c r="CE641" s="50" t="s">
        <v>14338</v>
      </c>
      <c r="CF641" s="50" t="s">
        <v>14339</v>
      </c>
      <c r="CG641" s="50" t="s">
        <v>14340</v>
      </c>
      <c r="CH641" s="50" t="s">
        <v>102</v>
      </c>
      <c r="CI641" s="50" t="s">
        <v>20944</v>
      </c>
      <c r="CK641" s="50" t="s">
        <v>3654</v>
      </c>
      <c r="CM641" s="50" t="s">
        <v>1759</v>
      </c>
      <c r="CN641" s="50" t="s">
        <v>410</v>
      </c>
      <c r="CO641" s="50" t="s">
        <v>3654</v>
      </c>
      <c r="CQ641" s="50" t="s">
        <v>20944</v>
      </c>
      <c r="CR641" s="50" t="s">
        <v>20944</v>
      </c>
    </row>
    <row r="642" spans="1:97" hidden="1">
      <c r="A642" s="50" t="s">
        <v>337</v>
      </c>
      <c r="B642" s="50">
        <v>5108240</v>
      </c>
      <c r="C642" s="50" t="e">
        <f>VLOOKUP(B642,'Drop schools 2026'!B:C,2,0)</f>
        <v>#N/A</v>
      </c>
      <c r="D642" s="50" t="s">
        <v>212</v>
      </c>
      <c r="E642" s="50" t="s">
        <v>13158</v>
      </c>
      <c r="F642" s="50" t="s">
        <v>20945</v>
      </c>
      <c r="G642" s="50" t="e">
        <f>VLOOKUP(B642,aa!B:F,5,0)</f>
        <v>#N/A</v>
      </c>
      <c r="H642" s="50" t="e">
        <f>VLOOKUP(B642,aa!B:J,9,0)</f>
        <v>#N/A</v>
      </c>
      <c r="I642" s="50" t="e">
        <f>VLOOKUP(B642,aa!B:L,11,0)</f>
        <v>#N/A</v>
      </c>
      <c r="J642" s="50" t="e">
        <f>VLOOKUP(B642,aa!B:O,14,0)</f>
        <v>#N/A</v>
      </c>
      <c r="K642" s="50" t="e">
        <f>VLOOKUP(B642,aa!B:R,17,0)</f>
        <v>#N/A</v>
      </c>
      <c r="L642" s="50" t="s">
        <v>97</v>
      </c>
      <c r="M642" s="50">
        <v>0</v>
      </c>
      <c r="N642" s="50">
        <v>0</v>
      </c>
      <c r="O642" s="50">
        <v>0</v>
      </c>
      <c r="P642" s="50">
        <v>298</v>
      </c>
      <c r="Q642" s="50" t="s">
        <v>102</v>
      </c>
      <c r="R642" s="50">
        <v>0</v>
      </c>
      <c r="S642" s="50">
        <v>0</v>
      </c>
      <c r="U642" s="50">
        <v>0</v>
      </c>
      <c r="V642" s="50">
        <v>0</v>
      </c>
      <c r="X642" s="50" t="s">
        <v>102</v>
      </c>
      <c r="Y642" s="50" t="s">
        <v>275</v>
      </c>
      <c r="AA642" s="50" t="s">
        <v>18984</v>
      </c>
      <c r="AB642" s="50" t="s">
        <v>109</v>
      </c>
      <c r="AC642" s="50" t="s">
        <v>102</v>
      </c>
      <c r="AD642" s="50" t="s">
        <v>109</v>
      </c>
      <c r="AE642" s="50" t="s">
        <v>102</v>
      </c>
      <c r="AF642" s="50" t="s">
        <v>109</v>
      </c>
      <c r="AG642" s="50" t="s">
        <v>102</v>
      </c>
      <c r="AH642" s="50" t="s">
        <v>109</v>
      </c>
      <c r="AI642" s="50" t="s">
        <v>102</v>
      </c>
      <c r="AJ642" s="50" t="s">
        <v>102</v>
      </c>
      <c r="AM642" s="50" t="s">
        <v>102</v>
      </c>
      <c r="AN642" s="50" t="s">
        <v>102</v>
      </c>
      <c r="AO642" s="50" t="s">
        <v>102</v>
      </c>
      <c r="AP642" s="50" t="s">
        <v>115</v>
      </c>
      <c r="AQ642" s="50" t="s">
        <v>115</v>
      </c>
      <c r="AV642" s="50" t="s">
        <v>117</v>
      </c>
      <c r="AW642" s="50" t="s">
        <v>118</v>
      </c>
      <c r="AX642" s="50" t="s">
        <v>102</v>
      </c>
      <c r="AY642" s="50" t="s">
        <v>119</v>
      </c>
      <c r="BC642" s="50" t="s">
        <v>1964</v>
      </c>
      <c r="BD642" s="50" t="s">
        <v>1759</v>
      </c>
      <c r="BE642" s="50" t="s">
        <v>410</v>
      </c>
      <c r="BF642" s="50" t="s">
        <v>212</v>
      </c>
      <c r="BG642" s="50" t="s">
        <v>410</v>
      </c>
      <c r="BH642" s="50" t="s">
        <v>124</v>
      </c>
      <c r="BI642" s="50" t="s">
        <v>12084</v>
      </c>
      <c r="BJ642" s="50" t="s">
        <v>11889</v>
      </c>
      <c r="BK642" s="50" t="s">
        <v>127</v>
      </c>
      <c r="BL642" s="50" t="s">
        <v>20946</v>
      </c>
      <c r="BM642" s="50" t="s">
        <v>20947</v>
      </c>
      <c r="BN642" s="50" t="s">
        <v>20948</v>
      </c>
      <c r="BO642" s="50" t="s">
        <v>12820</v>
      </c>
      <c r="BP642" s="50" t="s">
        <v>505</v>
      </c>
      <c r="BQ642" s="50" t="s">
        <v>505</v>
      </c>
      <c r="BR642" s="50" t="s">
        <v>225</v>
      </c>
      <c r="BS642" s="50" t="s">
        <v>506</v>
      </c>
      <c r="BT642" s="50" t="s">
        <v>2593</v>
      </c>
      <c r="BU642" s="50" t="s">
        <v>4765</v>
      </c>
      <c r="BV642" s="50" t="s">
        <v>20949</v>
      </c>
      <c r="BW642" s="50" t="s">
        <v>14338</v>
      </c>
      <c r="BX642" s="50" t="s">
        <v>598</v>
      </c>
      <c r="BY642" s="50" t="s">
        <v>14339</v>
      </c>
      <c r="BZ642" s="50" t="s">
        <v>14340</v>
      </c>
      <c r="CB642" s="50" t="s">
        <v>14338</v>
      </c>
      <c r="CC642" s="50" t="s">
        <v>14339</v>
      </c>
      <c r="CD642" s="50" t="s">
        <v>14340</v>
      </c>
      <c r="CE642" s="50" t="s">
        <v>14338</v>
      </c>
      <c r="CF642" s="50" t="s">
        <v>14339</v>
      </c>
      <c r="CG642" s="50" t="s">
        <v>14340</v>
      </c>
      <c r="CH642" s="50" t="s">
        <v>102</v>
      </c>
      <c r="CI642" s="50" t="s">
        <v>20950</v>
      </c>
      <c r="CK642" s="50" t="s">
        <v>6272</v>
      </c>
      <c r="CM642" s="50" t="s">
        <v>1759</v>
      </c>
      <c r="CN642" s="50" t="s">
        <v>410</v>
      </c>
      <c r="CO642" s="50" t="s">
        <v>6272</v>
      </c>
      <c r="CQ642" s="50" t="s">
        <v>20950</v>
      </c>
      <c r="CR642" s="50" t="s">
        <v>20950</v>
      </c>
    </row>
    <row r="643" spans="1:97" hidden="1">
      <c r="A643" s="50" t="s">
        <v>337</v>
      </c>
      <c r="B643" s="50">
        <v>5108368</v>
      </c>
      <c r="C643" s="50" t="e">
        <f>VLOOKUP(B643,'Drop schools 2026'!B:C,2,0)</f>
        <v>#N/A</v>
      </c>
      <c r="D643" s="50" t="s">
        <v>212</v>
      </c>
      <c r="E643" s="50" t="s">
        <v>13158</v>
      </c>
      <c r="F643" s="50" t="s">
        <v>20951</v>
      </c>
      <c r="G643" s="50" t="e">
        <f>VLOOKUP(B643,aa!B:F,5,0)</f>
        <v>#N/A</v>
      </c>
      <c r="H643" s="50" t="e">
        <f>VLOOKUP(B643,aa!B:J,9,0)</f>
        <v>#N/A</v>
      </c>
      <c r="I643" s="50" t="e">
        <f>VLOOKUP(B643,aa!B:L,11,0)</f>
        <v>#N/A</v>
      </c>
      <c r="J643" s="50" t="e">
        <f>VLOOKUP(B643,aa!B:O,14,0)</f>
        <v>#N/A</v>
      </c>
      <c r="K643" s="50" t="e">
        <f>VLOOKUP(B643,aa!B:R,17,0)</f>
        <v>#N/A</v>
      </c>
      <c r="L643" s="50" t="s">
        <v>97</v>
      </c>
      <c r="M643" s="50">
        <v>0</v>
      </c>
      <c r="N643" s="50">
        <v>0</v>
      </c>
      <c r="O643" s="50">
        <v>0</v>
      </c>
      <c r="P643" s="50">
        <v>503</v>
      </c>
      <c r="Q643" s="50" t="s">
        <v>102</v>
      </c>
      <c r="R643" s="50">
        <v>0</v>
      </c>
      <c r="S643" s="50">
        <v>0</v>
      </c>
      <c r="U643" s="50">
        <v>0</v>
      </c>
      <c r="V643" s="50">
        <v>0</v>
      </c>
      <c r="X643" s="50" t="s">
        <v>102</v>
      </c>
      <c r="Y643" s="50" t="s">
        <v>275</v>
      </c>
      <c r="AA643" s="50" t="s">
        <v>18984</v>
      </c>
      <c r="AB643" s="50" t="s">
        <v>109</v>
      </c>
      <c r="AC643" s="50" t="s">
        <v>102</v>
      </c>
      <c r="AD643" s="50" t="s">
        <v>109</v>
      </c>
      <c r="AE643" s="50" t="s">
        <v>102</v>
      </c>
      <c r="AF643" s="50" t="s">
        <v>109</v>
      </c>
      <c r="AG643" s="50" t="s">
        <v>102</v>
      </c>
      <c r="AH643" s="50" t="s">
        <v>109</v>
      </c>
      <c r="AI643" s="50" t="s">
        <v>102</v>
      </c>
      <c r="AJ643" s="50" t="s">
        <v>102</v>
      </c>
      <c r="AM643" s="50" t="s">
        <v>102</v>
      </c>
      <c r="AN643" s="50" t="s">
        <v>102</v>
      </c>
      <c r="AO643" s="50" t="s">
        <v>102</v>
      </c>
      <c r="AP643" s="50" t="s">
        <v>115</v>
      </c>
      <c r="AQ643" s="50" t="s">
        <v>115</v>
      </c>
      <c r="AV643" s="50" t="s">
        <v>117</v>
      </c>
      <c r="AW643" s="50" t="s">
        <v>118</v>
      </c>
      <c r="AX643" s="50" t="s">
        <v>102</v>
      </c>
      <c r="AY643" s="50" t="s">
        <v>119</v>
      </c>
      <c r="BC643" s="50" t="s">
        <v>1964</v>
      </c>
      <c r="BD643" s="50" t="s">
        <v>1759</v>
      </c>
      <c r="BE643" s="50" t="s">
        <v>410</v>
      </c>
      <c r="BF643" s="50" t="s">
        <v>212</v>
      </c>
      <c r="BG643" s="50" t="s">
        <v>410</v>
      </c>
      <c r="BH643" s="50" t="s">
        <v>124</v>
      </c>
      <c r="BI643" s="50" t="s">
        <v>12084</v>
      </c>
      <c r="BJ643" s="50" t="s">
        <v>11889</v>
      </c>
      <c r="BK643" s="50" t="s">
        <v>127</v>
      </c>
      <c r="BL643" s="50" t="s">
        <v>20952</v>
      </c>
      <c r="BM643" s="50" t="s">
        <v>20953</v>
      </c>
      <c r="BN643" s="50" t="s">
        <v>20954</v>
      </c>
      <c r="BO643" s="50" t="s">
        <v>12820</v>
      </c>
      <c r="BP643" s="50" t="s">
        <v>505</v>
      </c>
      <c r="BQ643" s="50" t="s">
        <v>505</v>
      </c>
      <c r="BR643" s="50" t="s">
        <v>225</v>
      </c>
      <c r="BS643" s="50" t="s">
        <v>506</v>
      </c>
      <c r="BT643" s="50" t="s">
        <v>2593</v>
      </c>
      <c r="BU643" s="50" t="s">
        <v>4765</v>
      </c>
      <c r="BV643" s="50" t="s">
        <v>20955</v>
      </c>
      <c r="BW643" s="50" t="s">
        <v>14338</v>
      </c>
      <c r="BX643" s="50" t="s">
        <v>598</v>
      </c>
      <c r="BY643" s="50" t="s">
        <v>14339</v>
      </c>
      <c r="BZ643" s="50" t="s">
        <v>14340</v>
      </c>
      <c r="CB643" s="50" t="s">
        <v>14338</v>
      </c>
      <c r="CC643" s="50" t="s">
        <v>14339</v>
      </c>
      <c r="CD643" s="50" t="s">
        <v>14340</v>
      </c>
      <c r="CE643" s="50" t="s">
        <v>14338</v>
      </c>
      <c r="CF643" s="50" t="s">
        <v>14339</v>
      </c>
      <c r="CG643" s="50" t="s">
        <v>14340</v>
      </c>
      <c r="CH643" s="50" t="s">
        <v>102</v>
      </c>
      <c r="CI643" s="50" t="s">
        <v>20956</v>
      </c>
      <c r="CK643" s="50" t="s">
        <v>3350</v>
      </c>
      <c r="CM643" s="50" t="s">
        <v>1759</v>
      </c>
      <c r="CN643" s="50" t="s">
        <v>410</v>
      </c>
      <c r="CO643" s="50" t="s">
        <v>3350</v>
      </c>
      <c r="CQ643" s="50" t="s">
        <v>20956</v>
      </c>
      <c r="CR643" s="50" t="s">
        <v>20956</v>
      </c>
    </row>
    <row r="644" spans="1:97" hidden="1">
      <c r="A644" s="50" t="s">
        <v>337</v>
      </c>
      <c r="B644" s="50">
        <v>5108463</v>
      </c>
      <c r="C644" s="50" t="e">
        <f>VLOOKUP(B644,'Drop schools 2026'!B:C,2,0)</f>
        <v>#N/A</v>
      </c>
      <c r="D644" s="50" t="s">
        <v>212</v>
      </c>
      <c r="E644" s="50" t="s">
        <v>13158</v>
      </c>
      <c r="F644" s="50" t="s">
        <v>20957</v>
      </c>
      <c r="G644" s="50" t="e">
        <f>VLOOKUP(B644,aa!B:F,5,0)</f>
        <v>#N/A</v>
      </c>
      <c r="H644" s="50" t="e">
        <f>VLOOKUP(B644,aa!B:J,9,0)</f>
        <v>#N/A</v>
      </c>
      <c r="I644" s="50" t="e">
        <f>VLOOKUP(B644,aa!B:L,11,0)</f>
        <v>#N/A</v>
      </c>
      <c r="J644" s="50" t="e">
        <f>VLOOKUP(B644,aa!B:O,14,0)</f>
        <v>#N/A</v>
      </c>
      <c r="K644" s="50" t="e">
        <f>VLOOKUP(B644,aa!B:R,17,0)</f>
        <v>#N/A</v>
      </c>
      <c r="L644" s="50" t="s">
        <v>97</v>
      </c>
      <c r="M644" s="50">
        <v>0</v>
      </c>
      <c r="N644" s="50">
        <v>0</v>
      </c>
      <c r="O644" s="50">
        <v>0</v>
      </c>
      <c r="P644" s="50">
        <v>465</v>
      </c>
      <c r="Q644" s="50" t="s">
        <v>102</v>
      </c>
      <c r="R644" s="50">
        <v>0</v>
      </c>
      <c r="S644" s="50">
        <v>0</v>
      </c>
      <c r="U644" s="50">
        <v>0</v>
      </c>
      <c r="V644" s="50">
        <v>0</v>
      </c>
      <c r="X644" s="50" t="s">
        <v>102</v>
      </c>
      <c r="Y644" s="50" t="s">
        <v>275</v>
      </c>
      <c r="AA644" s="50" t="s">
        <v>18984</v>
      </c>
      <c r="AB644" s="50" t="s">
        <v>109</v>
      </c>
      <c r="AC644" s="50" t="s">
        <v>102</v>
      </c>
      <c r="AD644" s="50" t="s">
        <v>109</v>
      </c>
      <c r="AE644" s="50" t="s">
        <v>102</v>
      </c>
      <c r="AF644" s="50" t="s">
        <v>109</v>
      </c>
      <c r="AG644" s="50" t="s">
        <v>102</v>
      </c>
      <c r="AH644" s="50" t="s">
        <v>109</v>
      </c>
      <c r="AI644" s="50" t="s">
        <v>102</v>
      </c>
      <c r="AJ644" s="50" t="s">
        <v>102</v>
      </c>
      <c r="AM644" s="50" t="s">
        <v>102</v>
      </c>
      <c r="AN644" s="50" t="s">
        <v>102</v>
      </c>
      <c r="AO644" s="50" t="s">
        <v>102</v>
      </c>
      <c r="AP644" s="50" t="s">
        <v>115</v>
      </c>
      <c r="AQ644" s="50" t="s">
        <v>115</v>
      </c>
      <c r="AV644" s="50" t="s">
        <v>117</v>
      </c>
      <c r="AW644" s="50" t="s">
        <v>118</v>
      </c>
      <c r="AX644" s="50" t="s">
        <v>102</v>
      </c>
      <c r="AY644" s="50" t="s">
        <v>119</v>
      </c>
      <c r="BC644" s="50" t="s">
        <v>1964</v>
      </c>
      <c r="BD644" s="50" t="s">
        <v>1759</v>
      </c>
      <c r="BE644" s="50" t="s">
        <v>410</v>
      </c>
      <c r="BF644" s="50" t="s">
        <v>212</v>
      </c>
      <c r="BG644" s="50" t="s">
        <v>410</v>
      </c>
      <c r="BH644" s="50" t="s">
        <v>124</v>
      </c>
      <c r="BI644" s="50" t="s">
        <v>12084</v>
      </c>
      <c r="BJ644" s="50" t="s">
        <v>11889</v>
      </c>
      <c r="BK644" s="50" t="s">
        <v>127</v>
      </c>
      <c r="BL644" s="50" t="s">
        <v>20958</v>
      </c>
      <c r="BM644" s="50" t="s">
        <v>20959</v>
      </c>
      <c r="BN644" s="50" t="s">
        <v>20960</v>
      </c>
      <c r="BO644" s="50" t="s">
        <v>12820</v>
      </c>
      <c r="BP644" s="50" t="s">
        <v>505</v>
      </c>
      <c r="BQ644" s="50" t="s">
        <v>505</v>
      </c>
      <c r="BR644" s="50" t="s">
        <v>225</v>
      </c>
      <c r="BS644" s="50" t="s">
        <v>506</v>
      </c>
      <c r="BT644" s="50" t="s">
        <v>2593</v>
      </c>
      <c r="BU644" s="50" t="s">
        <v>4765</v>
      </c>
      <c r="BV644" s="50" t="s">
        <v>20961</v>
      </c>
      <c r="BW644" s="50" t="s">
        <v>14338</v>
      </c>
      <c r="BX644" s="50" t="s">
        <v>598</v>
      </c>
      <c r="BY644" s="50" t="s">
        <v>14339</v>
      </c>
      <c r="BZ644" s="50" t="s">
        <v>14340</v>
      </c>
      <c r="CB644" s="50" t="s">
        <v>14338</v>
      </c>
      <c r="CC644" s="50" t="s">
        <v>14339</v>
      </c>
      <c r="CD644" s="50" t="s">
        <v>14340</v>
      </c>
      <c r="CE644" s="50" t="s">
        <v>14338</v>
      </c>
      <c r="CF644" s="50" t="s">
        <v>14339</v>
      </c>
      <c r="CG644" s="50" t="s">
        <v>14340</v>
      </c>
      <c r="CH644" s="50" t="s">
        <v>102</v>
      </c>
      <c r="CI644" s="50" t="s">
        <v>20962</v>
      </c>
      <c r="CK644" s="50" t="s">
        <v>2740</v>
      </c>
      <c r="CM644" s="50" t="s">
        <v>1759</v>
      </c>
      <c r="CN644" s="50" t="s">
        <v>410</v>
      </c>
      <c r="CO644" s="50" t="s">
        <v>2740</v>
      </c>
      <c r="CQ644" s="50" t="s">
        <v>20962</v>
      </c>
      <c r="CR644" s="50" t="s">
        <v>20962</v>
      </c>
    </row>
    <row r="645" spans="1:97" hidden="1">
      <c r="A645" s="50" t="s">
        <v>337</v>
      </c>
      <c r="B645" s="50">
        <v>5070237</v>
      </c>
      <c r="C645" s="50" t="e">
        <f>VLOOKUP(B645,'Drop schools 2026'!B:C,2,0)</f>
        <v>#N/A</v>
      </c>
      <c r="D645" s="50" t="s">
        <v>212</v>
      </c>
      <c r="E645" s="50" t="s">
        <v>293</v>
      </c>
      <c r="F645" s="50" t="s">
        <v>20760</v>
      </c>
      <c r="G645" s="50" t="e">
        <f>VLOOKUP(B645,aa!B:F,5,0)</f>
        <v>#N/A</v>
      </c>
      <c r="H645" s="50" t="e">
        <f>VLOOKUP(B645,aa!B:J,9,0)</f>
        <v>#N/A</v>
      </c>
      <c r="I645" s="50" t="e">
        <f>VLOOKUP(B645,aa!B:L,11,0)</f>
        <v>#N/A</v>
      </c>
      <c r="J645" s="50" t="e">
        <f>VLOOKUP(B645,aa!B:O,14,0)</f>
        <v>#N/A</v>
      </c>
      <c r="K645" s="50" t="e">
        <f>VLOOKUP(B645,aa!B:R,17,0)</f>
        <v>#N/A</v>
      </c>
      <c r="L645" s="50" t="s">
        <v>97</v>
      </c>
      <c r="M645" s="50">
        <v>0</v>
      </c>
      <c r="N645" s="50">
        <v>0</v>
      </c>
      <c r="O645" s="50">
        <v>0</v>
      </c>
      <c r="P645" s="50">
        <v>250</v>
      </c>
      <c r="Q645" s="50" t="s">
        <v>102</v>
      </c>
      <c r="R645" s="50">
        <v>0</v>
      </c>
      <c r="S645" s="50">
        <v>0</v>
      </c>
      <c r="U645" s="50">
        <v>0</v>
      </c>
      <c r="V645" s="50">
        <v>0</v>
      </c>
      <c r="X645" s="50" t="s">
        <v>102</v>
      </c>
      <c r="Y645" s="50" t="s">
        <v>275</v>
      </c>
      <c r="AA645" s="50" t="s">
        <v>13964</v>
      </c>
      <c r="AB645" s="50" t="s">
        <v>109</v>
      </c>
      <c r="AC645" s="50" t="s">
        <v>102</v>
      </c>
      <c r="AD645" s="50" t="s">
        <v>109</v>
      </c>
      <c r="AE645" s="50" t="s">
        <v>102</v>
      </c>
      <c r="AF645" s="50" t="s">
        <v>109</v>
      </c>
      <c r="AG645" s="50" t="s">
        <v>102</v>
      </c>
      <c r="AH645" s="50" t="s">
        <v>109</v>
      </c>
      <c r="AI645" s="50" t="s">
        <v>102</v>
      </c>
      <c r="AJ645" s="50" t="s">
        <v>102</v>
      </c>
      <c r="AM645" s="50" t="s">
        <v>102</v>
      </c>
      <c r="AN645" s="50" t="s">
        <v>102</v>
      </c>
      <c r="AO645" s="50" t="s">
        <v>102</v>
      </c>
      <c r="AP645" s="50" t="s">
        <v>115</v>
      </c>
      <c r="AQ645" s="50" t="s">
        <v>115</v>
      </c>
      <c r="AV645" s="50" t="s">
        <v>117</v>
      </c>
      <c r="AW645" s="50" t="s">
        <v>118</v>
      </c>
      <c r="AX645" s="50" t="s">
        <v>102</v>
      </c>
      <c r="AY645" s="50" t="s">
        <v>119</v>
      </c>
      <c r="BC645" s="50" t="s">
        <v>120</v>
      </c>
      <c r="BD645" s="50" t="s">
        <v>7718</v>
      </c>
      <c r="BE645" s="50" t="s">
        <v>211</v>
      </c>
      <c r="BF645" s="50" t="s">
        <v>212</v>
      </c>
      <c r="BG645" s="50" t="s">
        <v>213</v>
      </c>
      <c r="BH645" s="50" t="s">
        <v>124</v>
      </c>
      <c r="BI645" s="50" t="s">
        <v>11959</v>
      </c>
      <c r="BJ645" s="50" t="s">
        <v>11889</v>
      </c>
      <c r="BK645" s="50" t="s">
        <v>127</v>
      </c>
      <c r="BL645" s="50" t="s">
        <v>20761</v>
      </c>
      <c r="BM645" s="50" t="s">
        <v>20762</v>
      </c>
      <c r="BN645" s="50" t="s">
        <v>20763</v>
      </c>
      <c r="BO645" s="50" t="s">
        <v>13964</v>
      </c>
      <c r="BP645" s="50" t="s">
        <v>290</v>
      </c>
      <c r="BQ645" s="50" t="s">
        <v>505</v>
      </c>
      <c r="BR645" s="50" t="s">
        <v>291</v>
      </c>
      <c r="BS645" s="50" t="s">
        <v>292</v>
      </c>
      <c r="BT645" s="50" t="s">
        <v>4765</v>
      </c>
      <c r="BV645" s="50" t="s">
        <v>20764</v>
      </c>
      <c r="BW645" s="50" t="s">
        <v>3585</v>
      </c>
      <c r="BX645" s="50" t="s">
        <v>598</v>
      </c>
      <c r="BY645" s="50" t="s">
        <v>225</v>
      </c>
      <c r="BZ645" s="50" t="s">
        <v>8332</v>
      </c>
      <c r="CB645" s="50" t="s">
        <v>20765</v>
      </c>
      <c r="CC645" s="50" t="s">
        <v>20766</v>
      </c>
      <c r="CD645" s="50" t="s">
        <v>20767</v>
      </c>
      <c r="CE645" s="50" t="s">
        <v>20765</v>
      </c>
      <c r="CF645" s="50" t="s">
        <v>20766</v>
      </c>
      <c r="CG645" s="50" t="s">
        <v>20767</v>
      </c>
      <c r="CH645" s="50" t="s">
        <v>102</v>
      </c>
      <c r="CI645" s="50" t="s">
        <v>20768</v>
      </c>
      <c r="CK645" s="50" t="s">
        <v>10157</v>
      </c>
      <c r="CM645" s="50" t="s">
        <v>7718</v>
      </c>
      <c r="CN645" s="50" t="s">
        <v>211</v>
      </c>
      <c r="CO645" s="50" t="s">
        <v>10157</v>
      </c>
      <c r="CQ645" s="50" t="s">
        <v>20769</v>
      </c>
      <c r="CR645" s="50" t="s">
        <v>20769</v>
      </c>
      <c r="CS645" s="50" t="s">
        <v>26048</v>
      </c>
    </row>
    <row r="646" spans="1:97" hidden="1">
      <c r="A646" s="50" t="s">
        <v>337</v>
      </c>
      <c r="B646" s="50">
        <v>5070551</v>
      </c>
      <c r="C646" s="50" t="e">
        <f>VLOOKUP(B646,'Drop schools 2026'!B:C,2,0)</f>
        <v>#N/A</v>
      </c>
      <c r="D646" s="50" t="s">
        <v>212</v>
      </c>
      <c r="E646" s="50" t="s">
        <v>293</v>
      </c>
      <c r="F646" s="50" t="s">
        <v>20786</v>
      </c>
      <c r="G646" s="50" t="e">
        <f>VLOOKUP(B646,aa!B:F,5,0)</f>
        <v>#N/A</v>
      </c>
      <c r="H646" s="50" t="e">
        <f>VLOOKUP(B646,aa!B:J,9,0)</f>
        <v>#N/A</v>
      </c>
      <c r="I646" s="50" t="e">
        <f>VLOOKUP(B646,aa!B:L,11,0)</f>
        <v>#N/A</v>
      </c>
      <c r="J646" s="50" t="e">
        <f>VLOOKUP(B646,aa!B:O,14,0)</f>
        <v>#N/A</v>
      </c>
      <c r="K646" s="50" t="e">
        <f>VLOOKUP(B646,aa!B:R,17,0)</f>
        <v>#N/A</v>
      </c>
      <c r="L646" s="50" t="s">
        <v>97</v>
      </c>
      <c r="M646" s="50">
        <v>0</v>
      </c>
      <c r="N646" s="50">
        <v>0</v>
      </c>
      <c r="O646" s="50">
        <v>0</v>
      </c>
      <c r="P646" s="50">
        <v>250</v>
      </c>
      <c r="Q646" s="50" t="s">
        <v>102</v>
      </c>
      <c r="R646" s="50">
        <v>0</v>
      </c>
      <c r="S646" s="50">
        <v>0</v>
      </c>
      <c r="U646" s="50">
        <v>0</v>
      </c>
      <c r="V646" s="50">
        <v>0</v>
      </c>
      <c r="X646" s="50" t="s">
        <v>102</v>
      </c>
      <c r="Y646" s="50" t="s">
        <v>275</v>
      </c>
      <c r="AA646" s="50" t="s">
        <v>13964</v>
      </c>
      <c r="AB646" s="50" t="s">
        <v>109</v>
      </c>
      <c r="AC646" s="50" t="s">
        <v>102</v>
      </c>
      <c r="AD646" s="50" t="s">
        <v>109</v>
      </c>
      <c r="AE646" s="50" t="s">
        <v>102</v>
      </c>
      <c r="AF646" s="50" t="s">
        <v>109</v>
      </c>
      <c r="AG646" s="50" t="s">
        <v>102</v>
      </c>
      <c r="AH646" s="50" t="s">
        <v>109</v>
      </c>
      <c r="AI646" s="50" t="s">
        <v>102</v>
      </c>
      <c r="AJ646" s="50" t="s">
        <v>102</v>
      </c>
      <c r="AM646" s="50" t="s">
        <v>102</v>
      </c>
      <c r="AN646" s="50" t="s">
        <v>102</v>
      </c>
      <c r="AO646" s="50" t="s">
        <v>102</v>
      </c>
      <c r="AP646" s="50" t="s">
        <v>115</v>
      </c>
      <c r="AQ646" s="50" t="s">
        <v>115</v>
      </c>
      <c r="AV646" s="50" t="s">
        <v>117</v>
      </c>
      <c r="AW646" s="50" t="s">
        <v>118</v>
      </c>
      <c r="AX646" s="50" t="s">
        <v>102</v>
      </c>
      <c r="AY646" s="50" t="s">
        <v>119</v>
      </c>
      <c r="BC646" s="50" t="s">
        <v>120</v>
      </c>
      <c r="BD646" s="50" t="s">
        <v>7718</v>
      </c>
      <c r="BE646" s="50" t="s">
        <v>211</v>
      </c>
      <c r="BF646" s="50" t="s">
        <v>212</v>
      </c>
      <c r="BG646" s="50" t="s">
        <v>213</v>
      </c>
      <c r="BH646" s="50" t="s">
        <v>124</v>
      </c>
      <c r="BI646" s="50" t="s">
        <v>11959</v>
      </c>
      <c r="BJ646" s="50" t="s">
        <v>11889</v>
      </c>
      <c r="BK646" s="50" t="s">
        <v>127</v>
      </c>
      <c r="BL646" s="50" t="s">
        <v>20787</v>
      </c>
      <c r="BM646" s="50" t="s">
        <v>20788</v>
      </c>
      <c r="BN646" s="50" t="s">
        <v>20789</v>
      </c>
      <c r="BO646" s="50" t="s">
        <v>13964</v>
      </c>
      <c r="BP646" s="50" t="s">
        <v>290</v>
      </c>
      <c r="BQ646" s="50" t="s">
        <v>505</v>
      </c>
      <c r="BR646" s="50" t="s">
        <v>291</v>
      </c>
      <c r="BS646" s="50" t="s">
        <v>292</v>
      </c>
      <c r="BT646" s="50" t="s">
        <v>4765</v>
      </c>
      <c r="BV646" s="50" t="s">
        <v>20790</v>
      </c>
      <c r="BW646" s="50" t="s">
        <v>3585</v>
      </c>
      <c r="BX646" s="50" t="s">
        <v>598</v>
      </c>
      <c r="BY646" s="50" t="s">
        <v>225</v>
      </c>
      <c r="BZ646" s="50" t="s">
        <v>226</v>
      </c>
      <c r="CB646" s="50" t="s">
        <v>20791</v>
      </c>
      <c r="CC646" s="50" t="s">
        <v>20792</v>
      </c>
      <c r="CD646" s="50" t="s">
        <v>20793</v>
      </c>
      <c r="CE646" s="50" t="s">
        <v>20791</v>
      </c>
      <c r="CF646" s="50" t="s">
        <v>20792</v>
      </c>
      <c r="CG646" s="50" t="s">
        <v>20793</v>
      </c>
      <c r="CH646" s="50" t="s">
        <v>102</v>
      </c>
      <c r="CI646" s="50" t="s">
        <v>20794</v>
      </c>
      <c r="CK646" s="50" t="s">
        <v>20795</v>
      </c>
      <c r="CM646" s="50" t="s">
        <v>7718</v>
      </c>
      <c r="CN646" s="50" t="s">
        <v>211</v>
      </c>
      <c r="CO646" s="50" t="s">
        <v>20795</v>
      </c>
      <c r="CQ646" s="50" t="s">
        <v>20796</v>
      </c>
      <c r="CR646" s="50" t="s">
        <v>20796</v>
      </c>
      <c r="CS646" s="50" t="s">
        <v>26048</v>
      </c>
    </row>
  </sheetData>
  <autoFilter ref="A1:CS646" xr:uid="{F31E60F2-5B3C-2249-BC58-FB11E6601133}">
    <filterColumn colId="0">
      <filters>
        <filter val="New School"/>
      </filters>
    </filterColumn>
    <filterColumn colId="7">
      <filters>
        <filter val="#N/A"/>
      </filters>
    </filterColumn>
    <filterColumn colId="57">
      <filters>
        <filter val="North"/>
      </filters>
    </filterColumn>
  </autoFilter>
  <sortState xmlns:xlrd2="http://schemas.microsoft.com/office/spreadsheetml/2017/richdata2" ref="A2:CS646">
    <sortCondition descending="1" ref="M2:M646"/>
  </sortState>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0E2E-18B6-D842-A8A1-7335147AA774}">
  <dimension ref="A1:CR686"/>
  <sheetViews>
    <sheetView tabSelected="1" workbookViewId="0">
      <selection activeCell="D1" sqref="D1"/>
    </sheetView>
  </sheetViews>
  <sheetFormatPr baseColWidth="10" defaultRowHeight="16"/>
  <cols>
    <col min="1" max="1" width="10.83203125" style="50"/>
    <col min="2" max="2" width="13.6640625" style="50" bestFit="1" customWidth="1"/>
    <col min="3" max="3" width="10.83203125" style="50"/>
    <col min="4" max="4" width="65.83203125" style="50" bestFit="1" customWidth="1"/>
    <col min="5" max="5" width="26.5" style="50" customWidth="1"/>
    <col min="6" max="6" width="20" style="50" customWidth="1"/>
    <col min="7" max="9" width="12" style="50" bestFit="1" customWidth="1"/>
    <col min="10" max="10" width="10.6640625" style="51" customWidth="1"/>
    <col min="11" max="11" width="19.5" style="50" customWidth="1"/>
    <col min="12" max="13" width="14.83203125" style="50" bestFit="1" customWidth="1"/>
    <col min="14" max="14" width="13.33203125" style="50" bestFit="1" customWidth="1"/>
    <col min="15" max="15" width="12" style="50" bestFit="1" customWidth="1"/>
    <col min="16" max="16" width="10.83203125" style="50"/>
    <col min="17" max="17" width="13.5" style="50" bestFit="1" customWidth="1"/>
    <col min="18" max="18" width="12" style="50" bestFit="1" customWidth="1"/>
    <col min="19" max="19" width="10.83203125" style="50"/>
    <col min="20" max="20" width="13.5" style="50" bestFit="1" customWidth="1"/>
    <col min="21" max="21" width="12" style="50" bestFit="1" customWidth="1"/>
    <col min="22" max="93" width="10.83203125" style="50"/>
    <col min="94" max="94" width="38" style="50" hidden="1" customWidth="1"/>
    <col min="95" max="95" width="0" style="50" hidden="1" customWidth="1"/>
    <col min="96" max="96" width="42.83203125" style="50" customWidth="1"/>
    <col min="97" max="16384" width="10.83203125" style="50"/>
  </cols>
  <sheetData>
    <row r="1" spans="1:96">
      <c r="A1" s="48" t="s">
        <v>0</v>
      </c>
      <c r="B1" s="48" t="s">
        <v>1</v>
      </c>
      <c r="C1" s="48" t="s">
        <v>11881</v>
      </c>
      <c r="D1" s="48" t="s">
        <v>2</v>
      </c>
      <c r="E1" s="48" t="s">
        <v>24032</v>
      </c>
      <c r="F1" s="48" t="s">
        <v>24033</v>
      </c>
      <c r="G1" s="48" t="s">
        <v>24034</v>
      </c>
      <c r="H1" s="48" t="s">
        <v>24035</v>
      </c>
      <c r="I1" s="48" t="s">
        <v>24036</v>
      </c>
      <c r="J1" s="49"/>
      <c r="K1" s="48" t="s">
        <v>24031</v>
      </c>
      <c r="L1" s="48" t="s">
        <v>9</v>
      </c>
      <c r="M1" s="48" t="s">
        <v>10</v>
      </c>
      <c r="N1" s="48" t="s">
        <v>11</v>
      </c>
      <c r="O1" s="48" t="s">
        <v>12</v>
      </c>
      <c r="P1" s="48" t="s">
        <v>13</v>
      </c>
      <c r="Q1" s="48" t="s">
        <v>14</v>
      </c>
      <c r="R1" s="48" t="s">
        <v>15</v>
      </c>
      <c r="S1" s="48" t="s">
        <v>16</v>
      </c>
      <c r="T1" s="48" t="s">
        <v>17</v>
      </c>
      <c r="U1" s="48" t="s">
        <v>18</v>
      </c>
      <c r="V1" s="48" t="s">
        <v>19</v>
      </c>
      <c r="W1" s="48" t="s">
        <v>20</v>
      </c>
      <c r="X1" s="48" t="s">
        <v>21</v>
      </c>
      <c r="Y1" s="48" t="s">
        <v>22</v>
      </c>
      <c r="Z1" s="48" t="s">
        <v>23</v>
      </c>
      <c r="AA1" s="48" t="s">
        <v>24</v>
      </c>
      <c r="AB1" s="48" t="s">
        <v>25</v>
      </c>
      <c r="AC1" s="48" t="s">
        <v>26</v>
      </c>
      <c r="AD1" s="48" t="s">
        <v>27</v>
      </c>
      <c r="AE1" s="48" t="s">
        <v>28</v>
      </c>
      <c r="AF1" s="48" t="s">
        <v>29</v>
      </c>
      <c r="AG1" s="48" t="s">
        <v>30</v>
      </c>
      <c r="AH1" s="48" t="s">
        <v>31</v>
      </c>
      <c r="AI1" s="48" t="s">
        <v>32</v>
      </c>
      <c r="AJ1" s="48" t="s">
        <v>33</v>
      </c>
      <c r="AK1" s="48" t="s">
        <v>34</v>
      </c>
      <c r="AL1" s="48" t="s">
        <v>35</v>
      </c>
      <c r="AM1" s="48" t="s">
        <v>36</v>
      </c>
      <c r="AN1" s="48" t="s">
        <v>37</v>
      </c>
      <c r="AO1" s="48" t="s">
        <v>38</v>
      </c>
      <c r="AP1" s="48" t="s">
        <v>39</v>
      </c>
      <c r="AQ1" s="48" t="s">
        <v>40</v>
      </c>
      <c r="AR1" s="48" t="s">
        <v>41</v>
      </c>
      <c r="AS1" s="48" t="s">
        <v>42</v>
      </c>
      <c r="AT1" s="48" t="s">
        <v>43</v>
      </c>
      <c r="AU1" s="48" t="s">
        <v>44</v>
      </c>
      <c r="AV1" s="48" t="s">
        <v>45</v>
      </c>
      <c r="AW1" s="48" t="s">
        <v>46</v>
      </c>
      <c r="AX1" s="48" t="s">
        <v>47</v>
      </c>
      <c r="AY1" s="48" t="s">
        <v>48</v>
      </c>
      <c r="AZ1" s="48" t="s">
        <v>49</v>
      </c>
      <c r="BA1" s="48" t="s">
        <v>50</v>
      </c>
      <c r="BB1" s="48" t="s">
        <v>51</v>
      </c>
      <c r="BC1" s="48" t="s">
        <v>52</v>
      </c>
      <c r="BD1" s="48" t="s">
        <v>53</v>
      </c>
      <c r="BE1" s="48" t="s">
        <v>54</v>
      </c>
      <c r="BF1" s="48" t="s">
        <v>55</v>
      </c>
      <c r="BG1" s="48" t="s">
        <v>56</v>
      </c>
      <c r="BH1" s="48" t="s">
        <v>57</v>
      </c>
      <c r="BI1" s="48" t="s">
        <v>58</v>
      </c>
      <c r="BJ1" s="48" t="s">
        <v>59</v>
      </c>
      <c r="BK1" s="48" t="s">
        <v>60</v>
      </c>
      <c r="BL1" s="48" t="s">
        <v>61</v>
      </c>
      <c r="BM1" s="48" t="s">
        <v>62</v>
      </c>
      <c r="BN1" s="48" t="s">
        <v>63</v>
      </c>
      <c r="BO1" s="48" t="s">
        <v>64</v>
      </c>
      <c r="BP1" s="48" t="s">
        <v>65</v>
      </c>
      <c r="BQ1" s="48" t="s">
        <v>66</v>
      </c>
      <c r="BR1" s="48" t="s">
        <v>67</v>
      </c>
      <c r="BS1" s="48" t="s">
        <v>68</v>
      </c>
      <c r="BT1" s="48" t="s">
        <v>69</v>
      </c>
      <c r="BU1" s="48" t="s">
        <v>70</v>
      </c>
      <c r="BV1" s="48" t="s">
        <v>71</v>
      </c>
      <c r="BW1" s="48" t="s">
        <v>72</v>
      </c>
      <c r="BX1" s="48" t="s">
        <v>73</v>
      </c>
      <c r="BY1" s="48" t="s">
        <v>74</v>
      </c>
      <c r="BZ1" s="48" t="s">
        <v>75</v>
      </c>
      <c r="CA1" s="48" t="s">
        <v>76</v>
      </c>
      <c r="CB1" s="48" t="s">
        <v>77</v>
      </c>
      <c r="CC1" s="48" t="s">
        <v>78</v>
      </c>
      <c r="CD1" s="48" t="s">
        <v>79</v>
      </c>
      <c r="CE1" s="48" t="s">
        <v>80</v>
      </c>
      <c r="CF1" s="48" t="s">
        <v>81</v>
      </c>
      <c r="CG1" s="48" t="s">
        <v>82</v>
      </c>
      <c r="CH1" s="48" t="s">
        <v>83</v>
      </c>
      <c r="CI1" s="48" t="s">
        <v>84</v>
      </c>
      <c r="CJ1" s="48" t="s">
        <v>85</v>
      </c>
      <c r="CK1" s="48" t="s">
        <v>86</v>
      </c>
      <c r="CL1" s="48" t="s">
        <v>87</v>
      </c>
      <c r="CM1" s="48" t="s">
        <v>88</v>
      </c>
      <c r="CN1" s="48" t="s">
        <v>89</v>
      </c>
      <c r="CO1" s="48" t="s">
        <v>90</v>
      </c>
      <c r="CP1" s="48" t="s">
        <v>91</v>
      </c>
      <c r="CQ1" s="48" t="s">
        <v>92</v>
      </c>
      <c r="CR1" s="50" t="s">
        <v>26041</v>
      </c>
    </row>
    <row r="2" spans="1:96">
      <c r="A2" s="50" t="s">
        <v>93</v>
      </c>
      <c r="B2" s="50">
        <v>5018241</v>
      </c>
      <c r="C2" s="50" t="s">
        <v>12096</v>
      </c>
      <c r="D2" s="50" t="s">
        <v>19572</v>
      </c>
      <c r="E2" s="50" t="str">
        <f>VLOOKUP(B2,aa!B:F,5,0)</f>
        <v>Ei Mindspark</v>
      </c>
      <c r="F2" s="50">
        <f>VLOOKUP(B2,aa!B:J,9,0)</f>
        <v>534389</v>
      </c>
      <c r="G2" s="50">
        <f>VLOOKUP(B2,aa!B:L,11,0)</f>
        <v>0</v>
      </c>
      <c r="H2" s="50">
        <f>VLOOKUP(B2,aa!B:O,14,0)</f>
        <v>0</v>
      </c>
      <c r="I2" s="50">
        <f>VLOOKUP(B2,aa!B:R,17,0)</f>
        <v>534389</v>
      </c>
      <c r="K2" s="50" t="s">
        <v>97</v>
      </c>
      <c r="L2" s="50">
        <v>399750</v>
      </c>
      <c r="M2" s="50">
        <v>399750</v>
      </c>
      <c r="N2" s="50">
        <v>399750</v>
      </c>
      <c r="O2" s="50">
        <v>533</v>
      </c>
      <c r="P2" s="50" t="s">
        <v>101</v>
      </c>
      <c r="Q2" s="50">
        <v>0</v>
      </c>
      <c r="R2" s="50">
        <v>0</v>
      </c>
      <c r="T2" s="50">
        <v>0</v>
      </c>
      <c r="U2" s="50">
        <v>0</v>
      </c>
      <c r="W2" s="50" t="s">
        <v>102</v>
      </c>
      <c r="X2" s="50" t="s">
        <v>103</v>
      </c>
      <c r="Y2" s="50" t="s">
        <v>398</v>
      </c>
      <c r="AA2" s="50" t="s">
        <v>1200</v>
      </c>
      <c r="AB2" s="50" t="s">
        <v>19573</v>
      </c>
      <c r="AC2" s="50" t="s">
        <v>16918</v>
      </c>
      <c r="AD2" s="50" t="s">
        <v>19574</v>
      </c>
      <c r="AE2" s="50" t="s">
        <v>11927</v>
      </c>
      <c r="AF2" s="50" t="s">
        <v>19574</v>
      </c>
      <c r="AG2" s="50" t="s">
        <v>109</v>
      </c>
      <c r="AH2" s="50" t="s">
        <v>102</v>
      </c>
      <c r="AI2" s="50" t="s">
        <v>102</v>
      </c>
      <c r="AJ2" s="50" t="s">
        <v>2911</v>
      </c>
      <c r="AK2" s="50" t="s">
        <v>2911</v>
      </c>
      <c r="AL2" s="50" t="s">
        <v>19575</v>
      </c>
      <c r="AM2" s="50" t="s">
        <v>1538</v>
      </c>
      <c r="AN2" s="50" t="s">
        <v>19576</v>
      </c>
      <c r="AO2" s="50" t="s">
        <v>116</v>
      </c>
      <c r="AP2" s="50" t="s">
        <v>116</v>
      </c>
      <c r="AU2" s="50" t="s">
        <v>117</v>
      </c>
      <c r="AV2" s="50" t="s">
        <v>118</v>
      </c>
      <c r="AW2" s="50" t="s">
        <v>102</v>
      </c>
      <c r="AX2" s="50" t="s">
        <v>119</v>
      </c>
      <c r="BB2" s="50" t="s">
        <v>120</v>
      </c>
      <c r="BC2" s="50" t="s">
        <v>19577</v>
      </c>
      <c r="BD2" s="50" t="s">
        <v>376</v>
      </c>
      <c r="BE2" s="50" t="s">
        <v>174</v>
      </c>
      <c r="BF2" s="50" t="s">
        <v>376</v>
      </c>
      <c r="BG2" s="50" t="s">
        <v>124</v>
      </c>
      <c r="BH2" s="50" t="s">
        <v>13496</v>
      </c>
      <c r="BI2" s="50" t="s">
        <v>11886</v>
      </c>
      <c r="BJ2" s="50" t="s">
        <v>127</v>
      </c>
      <c r="BK2" s="50" t="s">
        <v>19578</v>
      </c>
      <c r="BL2" s="50" t="s">
        <v>19579</v>
      </c>
      <c r="BM2" s="50" t="s">
        <v>19580</v>
      </c>
      <c r="BN2" s="50" t="s">
        <v>972</v>
      </c>
      <c r="BO2" s="50" t="s">
        <v>13780</v>
      </c>
      <c r="BP2" s="50" t="s">
        <v>258</v>
      </c>
      <c r="BQ2" s="50" t="s">
        <v>13781</v>
      </c>
      <c r="BR2" s="50" t="s">
        <v>13782</v>
      </c>
      <c r="BS2" s="50" t="s">
        <v>13783</v>
      </c>
      <c r="BU2" s="50" t="s">
        <v>19581</v>
      </c>
      <c r="BV2" s="50" t="s">
        <v>19582</v>
      </c>
      <c r="BW2" s="50" t="s">
        <v>354</v>
      </c>
      <c r="BX2" s="50" t="s">
        <v>19583</v>
      </c>
      <c r="BZ2" s="50" t="s">
        <v>19583</v>
      </c>
      <c r="CA2" s="50" t="s">
        <v>19584</v>
      </c>
      <c r="CB2" s="50" t="s">
        <v>19585</v>
      </c>
      <c r="CC2" s="50" t="s">
        <v>19586</v>
      </c>
      <c r="CD2" s="50" t="s">
        <v>19587</v>
      </c>
      <c r="CE2" s="50" t="s">
        <v>19585</v>
      </c>
      <c r="CF2" s="50" t="s">
        <v>19588</v>
      </c>
      <c r="CG2" s="50" t="s">
        <v>2555</v>
      </c>
      <c r="CH2" s="50" t="s">
        <v>19589</v>
      </c>
      <c r="CJ2" s="50" t="s">
        <v>19590</v>
      </c>
      <c r="CK2" s="50" t="s">
        <v>19589</v>
      </c>
      <c r="CL2" s="50" t="s">
        <v>19577</v>
      </c>
      <c r="CM2" s="50" t="s">
        <v>376</v>
      </c>
      <c r="CN2" s="50" t="s">
        <v>19590</v>
      </c>
      <c r="CP2" s="50" t="s">
        <v>19589</v>
      </c>
      <c r="CQ2" s="50" t="s">
        <v>19589</v>
      </c>
    </row>
    <row r="3" spans="1:96">
      <c r="A3" s="50" t="s">
        <v>93</v>
      </c>
      <c r="B3" s="50">
        <v>1035646</v>
      </c>
      <c r="C3" s="50" t="s">
        <v>1279</v>
      </c>
      <c r="D3" s="50" t="s">
        <v>12038</v>
      </c>
      <c r="E3" s="50" t="str">
        <f>VLOOKUP(B3,aa!B:F,5,0)</f>
        <v>Ei CARES</v>
      </c>
      <c r="F3" s="50">
        <f>VLOOKUP(B3,aa!B:J,9,0)</f>
        <v>927112</v>
      </c>
      <c r="G3" s="50">
        <f>VLOOKUP(B3,aa!B:L,11,0)</f>
        <v>0</v>
      </c>
      <c r="H3" s="50">
        <f>VLOOKUP(B3,aa!B:O,14,0)</f>
        <v>927112</v>
      </c>
      <c r="I3" s="50">
        <f>VLOOKUP(B3,aa!B:R,17,0)</f>
        <v>0</v>
      </c>
      <c r="K3" s="50" t="s">
        <v>152</v>
      </c>
      <c r="L3" s="50">
        <v>961962</v>
      </c>
      <c r="M3" s="50">
        <v>961962</v>
      </c>
      <c r="N3" s="50">
        <v>0</v>
      </c>
      <c r="O3" s="50">
        <v>0</v>
      </c>
      <c r="Q3" s="50">
        <v>961962</v>
      </c>
      <c r="R3" s="50">
        <v>481</v>
      </c>
      <c r="S3" s="50" t="s">
        <v>7192</v>
      </c>
      <c r="T3" s="50">
        <v>0</v>
      </c>
      <c r="U3" s="50">
        <v>0</v>
      </c>
      <c r="W3" s="50" t="s">
        <v>102</v>
      </c>
      <c r="X3" s="50" t="s">
        <v>103</v>
      </c>
      <c r="Y3" s="50" t="s">
        <v>155</v>
      </c>
      <c r="AA3" s="50" t="s">
        <v>10771</v>
      </c>
      <c r="AB3" s="50" t="s">
        <v>12039</v>
      </c>
      <c r="AC3" s="50" t="s">
        <v>1331</v>
      </c>
      <c r="AD3" s="50" t="s">
        <v>12039</v>
      </c>
      <c r="AE3" s="50" t="s">
        <v>12040</v>
      </c>
      <c r="AF3" s="50" t="s">
        <v>12039</v>
      </c>
      <c r="AG3" s="50" t="s">
        <v>12041</v>
      </c>
      <c r="AH3" s="50" t="s">
        <v>12039</v>
      </c>
      <c r="AI3" s="50" t="s">
        <v>12042</v>
      </c>
      <c r="AJ3" s="50" t="s">
        <v>313</v>
      </c>
      <c r="AK3" s="50" t="s">
        <v>12043</v>
      </c>
      <c r="AL3" s="50" t="s">
        <v>12044</v>
      </c>
      <c r="AM3" s="50" t="s">
        <v>12045</v>
      </c>
      <c r="AN3" s="50" t="s">
        <v>12046</v>
      </c>
      <c r="AO3" s="50" t="s">
        <v>2922</v>
      </c>
      <c r="AP3" s="50" t="s">
        <v>2922</v>
      </c>
      <c r="AU3" s="50" t="s">
        <v>102</v>
      </c>
      <c r="AW3" s="50" t="s">
        <v>155</v>
      </c>
      <c r="AX3" s="50" t="s">
        <v>119</v>
      </c>
      <c r="AY3" s="50" t="s">
        <v>170</v>
      </c>
      <c r="AZ3" s="50" t="s">
        <v>118</v>
      </c>
      <c r="BB3" s="50" t="s">
        <v>171</v>
      </c>
      <c r="BC3" s="50" t="s">
        <v>623</v>
      </c>
      <c r="BD3" s="50" t="s">
        <v>621</v>
      </c>
      <c r="BE3" s="50" t="s">
        <v>622</v>
      </c>
      <c r="BF3" s="50" t="s">
        <v>623</v>
      </c>
      <c r="BG3" s="50" t="s">
        <v>124</v>
      </c>
      <c r="BH3" s="50" t="s">
        <v>11959</v>
      </c>
      <c r="BI3" s="50" t="s">
        <v>12047</v>
      </c>
      <c r="BJ3" s="50" t="s">
        <v>127</v>
      </c>
      <c r="BK3" s="50" t="s">
        <v>12048</v>
      </c>
      <c r="BL3" s="50" t="s">
        <v>12049</v>
      </c>
      <c r="BM3" s="50" t="s">
        <v>12050</v>
      </c>
      <c r="BN3" s="50" t="s">
        <v>1603</v>
      </c>
      <c r="BO3" s="50" t="s">
        <v>1670</v>
      </c>
      <c r="BP3" s="50" t="s">
        <v>132</v>
      </c>
      <c r="BQ3" s="50" t="s">
        <v>1671</v>
      </c>
      <c r="BR3" s="50" t="s">
        <v>1672</v>
      </c>
      <c r="BS3" s="50" t="s">
        <v>8262</v>
      </c>
      <c r="BT3" s="50" t="s">
        <v>1279</v>
      </c>
      <c r="BU3" s="50" t="s">
        <v>12051</v>
      </c>
      <c r="BV3" s="50" t="s">
        <v>12052</v>
      </c>
      <c r="BW3" s="50" t="s">
        <v>354</v>
      </c>
      <c r="BX3" s="50" t="s">
        <v>12053</v>
      </c>
      <c r="BY3" s="50" t="s">
        <v>12054</v>
      </c>
      <c r="BZ3" s="50" t="s">
        <v>12055</v>
      </c>
      <c r="CG3" s="50" t="s">
        <v>3223</v>
      </c>
      <c r="CH3" s="50" t="s">
        <v>12056</v>
      </c>
      <c r="CJ3" s="50" t="s">
        <v>11862</v>
      </c>
      <c r="CK3" s="50" t="s">
        <v>12056</v>
      </c>
      <c r="CL3" s="50" t="s">
        <v>623</v>
      </c>
      <c r="CM3" s="50" t="s">
        <v>621</v>
      </c>
      <c r="CN3" s="50" t="s">
        <v>11862</v>
      </c>
      <c r="CO3" s="50" t="s">
        <v>12057</v>
      </c>
      <c r="CP3" s="50" t="s">
        <v>12056</v>
      </c>
      <c r="CQ3" s="50" t="s">
        <v>12056</v>
      </c>
    </row>
    <row r="4" spans="1:96">
      <c r="A4" s="50" t="s">
        <v>93</v>
      </c>
      <c r="B4" s="50">
        <v>3777013</v>
      </c>
      <c r="C4" s="50" t="s">
        <v>12121</v>
      </c>
      <c r="D4" s="50" t="s">
        <v>7417</v>
      </c>
      <c r="E4" s="50" t="e">
        <f>VLOOKUP(B4,aa!B:F,5,0)</f>
        <v>#N/A</v>
      </c>
      <c r="F4" s="50" t="e">
        <f>VLOOKUP(B4,aa!B:J,9,0)</f>
        <v>#N/A</v>
      </c>
      <c r="G4" s="50" t="e">
        <f>VLOOKUP(B4,aa!B:L,11,0)</f>
        <v>#N/A</v>
      </c>
      <c r="H4" s="50" t="e">
        <f>VLOOKUP(B4,aa!B:O,14,0)</f>
        <v>#N/A</v>
      </c>
      <c r="I4" s="50" t="e">
        <f>VLOOKUP(B4,aa!B:R,17,0)</f>
        <v>#N/A</v>
      </c>
      <c r="K4" s="50" t="s">
        <v>152</v>
      </c>
      <c r="L4" s="50">
        <v>502071</v>
      </c>
      <c r="M4" s="50">
        <v>502071</v>
      </c>
      <c r="N4" s="50">
        <v>0</v>
      </c>
      <c r="O4" s="50">
        <v>0</v>
      </c>
      <c r="Q4" s="50">
        <v>502071</v>
      </c>
      <c r="R4" s="50">
        <v>268</v>
      </c>
      <c r="S4" s="50" t="s">
        <v>1158</v>
      </c>
      <c r="T4" s="50">
        <v>0</v>
      </c>
      <c r="U4" s="50">
        <v>0</v>
      </c>
      <c r="W4" s="50" t="s">
        <v>102</v>
      </c>
      <c r="X4" s="50" t="s">
        <v>103</v>
      </c>
      <c r="Y4" s="50" t="s">
        <v>398</v>
      </c>
      <c r="AA4" s="50" t="s">
        <v>442</v>
      </c>
      <c r="AB4" s="50" t="s">
        <v>16932</v>
      </c>
      <c r="AC4" s="50" t="s">
        <v>13340</v>
      </c>
      <c r="AD4" s="50" t="s">
        <v>16933</v>
      </c>
      <c r="AE4" s="50" t="s">
        <v>6895</v>
      </c>
      <c r="AF4" s="50" t="s">
        <v>16933</v>
      </c>
      <c r="AG4" s="50" t="s">
        <v>109</v>
      </c>
      <c r="AH4" s="50" t="s">
        <v>102</v>
      </c>
      <c r="AI4" s="50" t="s">
        <v>16934</v>
      </c>
      <c r="AJ4" s="50" t="s">
        <v>3280</v>
      </c>
      <c r="AK4" s="50" t="s">
        <v>13867</v>
      </c>
      <c r="AL4" s="50" t="s">
        <v>16935</v>
      </c>
      <c r="AM4" s="50" t="s">
        <v>16936</v>
      </c>
      <c r="AN4" s="50" t="s">
        <v>16937</v>
      </c>
      <c r="AO4" s="50" t="s">
        <v>16938</v>
      </c>
      <c r="AP4" s="50" t="s">
        <v>16938</v>
      </c>
      <c r="AU4" s="50" t="s">
        <v>102</v>
      </c>
      <c r="AW4" s="50" t="s">
        <v>1758</v>
      </c>
      <c r="AX4" s="50" t="s">
        <v>119</v>
      </c>
      <c r="AY4" s="50" t="s">
        <v>170</v>
      </c>
      <c r="AZ4" s="50" t="s">
        <v>118</v>
      </c>
      <c r="BB4" s="50" t="s">
        <v>120</v>
      </c>
      <c r="BC4" s="50" t="s">
        <v>7420</v>
      </c>
      <c r="BD4" s="50" t="s">
        <v>556</v>
      </c>
      <c r="BE4" s="50" t="s">
        <v>122</v>
      </c>
      <c r="BF4" s="50" t="s">
        <v>557</v>
      </c>
      <c r="BG4" s="50" t="s">
        <v>124</v>
      </c>
      <c r="BH4" s="50" t="s">
        <v>12023</v>
      </c>
      <c r="BI4" s="50" t="s">
        <v>11889</v>
      </c>
      <c r="BJ4" s="50" t="s">
        <v>127</v>
      </c>
      <c r="BK4" s="50" t="s">
        <v>16939</v>
      </c>
      <c r="BL4" s="50" t="s">
        <v>7421</v>
      </c>
      <c r="BM4" s="50" t="s">
        <v>16940</v>
      </c>
      <c r="BN4" s="50" t="s">
        <v>648</v>
      </c>
      <c r="BO4" s="50" t="s">
        <v>563</v>
      </c>
      <c r="BP4" s="50" t="s">
        <v>350</v>
      </c>
      <c r="BQ4" s="50" t="s">
        <v>564</v>
      </c>
      <c r="BR4" s="50" t="s">
        <v>565</v>
      </c>
      <c r="BS4" s="50" t="s">
        <v>563</v>
      </c>
      <c r="BT4" s="50" t="s">
        <v>566</v>
      </c>
      <c r="BU4" s="50" t="s">
        <v>16941</v>
      </c>
      <c r="BV4" s="50" t="s">
        <v>7422</v>
      </c>
      <c r="BW4" s="50" t="s">
        <v>354</v>
      </c>
      <c r="BX4" s="50" t="s">
        <v>7423</v>
      </c>
      <c r="BY4" s="50" t="s">
        <v>16942</v>
      </c>
      <c r="BZ4" s="50" t="s">
        <v>7424</v>
      </c>
      <c r="CA4" s="50" t="s">
        <v>7425</v>
      </c>
      <c r="CB4" s="50" t="s">
        <v>7424</v>
      </c>
      <c r="CC4" s="50" t="s">
        <v>16943</v>
      </c>
      <c r="CD4" s="50" t="s">
        <v>7425</v>
      </c>
      <c r="CE4" s="50" t="s">
        <v>7424</v>
      </c>
      <c r="CF4" s="50" t="s">
        <v>16943</v>
      </c>
      <c r="CG4" s="50" t="s">
        <v>6457</v>
      </c>
      <c r="CH4" s="50" t="s">
        <v>7426</v>
      </c>
      <c r="CJ4" s="50" t="s">
        <v>7427</v>
      </c>
      <c r="CK4" s="50" t="s">
        <v>7426</v>
      </c>
      <c r="CL4" s="50" t="s">
        <v>7420</v>
      </c>
      <c r="CM4" s="50" t="s">
        <v>556</v>
      </c>
      <c r="CN4" s="50" t="s">
        <v>7427</v>
      </c>
      <c r="CO4" s="50" t="s">
        <v>7428</v>
      </c>
      <c r="CP4" s="50" t="s">
        <v>7426</v>
      </c>
      <c r="CQ4" s="50" t="s">
        <v>7426</v>
      </c>
    </row>
    <row r="5" spans="1:96">
      <c r="A5" s="50" t="s">
        <v>93</v>
      </c>
      <c r="B5" s="50">
        <v>5017813</v>
      </c>
      <c r="C5" s="50" t="s">
        <v>11947</v>
      </c>
      <c r="D5" s="50" t="s">
        <v>19185</v>
      </c>
      <c r="E5" s="50" t="e">
        <f>VLOOKUP(B5,aa!B:F,5,0)</f>
        <v>#N/A</v>
      </c>
      <c r="F5" s="50" t="e">
        <f>VLOOKUP(B5,aa!B:J,9,0)</f>
        <v>#N/A</v>
      </c>
      <c r="G5" s="50" t="e">
        <f>VLOOKUP(B5,aa!B:L,11,0)</f>
        <v>#N/A</v>
      </c>
      <c r="H5" s="50" t="e">
        <f>VLOOKUP(B5,aa!B:O,14,0)</f>
        <v>#N/A</v>
      </c>
      <c r="I5" s="50" t="e">
        <f>VLOOKUP(B5,aa!B:R,17,0)</f>
        <v>#N/A</v>
      </c>
      <c r="K5" s="50" t="s">
        <v>2044</v>
      </c>
      <c r="L5" s="50">
        <v>732042</v>
      </c>
      <c r="M5" s="50">
        <v>732042</v>
      </c>
      <c r="N5" s="50">
        <v>267820</v>
      </c>
      <c r="O5" s="50">
        <v>305</v>
      </c>
      <c r="P5" s="50" t="s">
        <v>19186</v>
      </c>
      <c r="Q5" s="50">
        <v>464222</v>
      </c>
      <c r="R5" s="50">
        <v>305</v>
      </c>
      <c r="S5" s="50" t="s">
        <v>19187</v>
      </c>
      <c r="T5" s="50">
        <v>0</v>
      </c>
      <c r="U5" s="50">
        <v>0</v>
      </c>
      <c r="W5" s="50" t="s">
        <v>102</v>
      </c>
      <c r="X5" s="50" t="s">
        <v>103</v>
      </c>
      <c r="Y5" s="50" t="s">
        <v>155</v>
      </c>
      <c r="AA5" s="50" t="s">
        <v>2080</v>
      </c>
      <c r="AB5" s="50" t="s">
        <v>19188</v>
      </c>
      <c r="AC5" s="50" t="s">
        <v>11948</v>
      </c>
      <c r="AD5" s="50" t="s">
        <v>19189</v>
      </c>
      <c r="AE5" s="50" t="s">
        <v>15295</v>
      </c>
      <c r="AF5" s="50" t="s">
        <v>19190</v>
      </c>
      <c r="AG5" s="50" t="s">
        <v>11886</v>
      </c>
      <c r="AH5" s="50" t="s">
        <v>19190</v>
      </c>
      <c r="AI5" s="50" t="s">
        <v>102</v>
      </c>
      <c r="AJ5" s="50" t="s">
        <v>14689</v>
      </c>
      <c r="AK5" s="50" t="s">
        <v>16553</v>
      </c>
      <c r="AL5" s="50" t="s">
        <v>19191</v>
      </c>
      <c r="AM5" s="50" t="s">
        <v>19192</v>
      </c>
      <c r="AN5" s="50" t="s">
        <v>19193</v>
      </c>
      <c r="AO5" s="50" t="s">
        <v>19194</v>
      </c>
      <c r="AP5" s="50" t="s">
        <v>19195</v>
      </c>
      <c r="AS5" s="50" t="s">
        <v>169</v>
      </c>
      <c r="AU5" s="50" t="s">
        <v>318</v>
      </c>
      <c r="AV5" s="50" t="s">
        <v>250</v>
      </c>
      <c r="AW5" s="50" t="s">
        <v>155</v>
      </c>
      <c r="AX5" s="50" t="s">
        <v>447</v>
      </c>
      <c r="AY5" s="50" t="s">
        <v>1138</v>
      </c>
      <c r="AZ5" s="50" t="s">
        <v>118</v>
      </c>
      <c r="BB5" s="50" t="s">
        <v>120</v>
      </c>
      <c r="BC5" s="50" t="s">
        <v>920</v>
      </c>
      <c r="BD5" s="50" t="s">
        <v>211</v>
      </c>
      <c r="BE5" s="50" t="s">
        <v>212</v>
      </c>
      <c r="BF5" s="50" t="s">
        <v>213</v>
      </c>
      <c r="BG5" s="50" t="s">
        <v>124</v>
      </c>
      <c r="BH5" s="50" t="s">
        <v>12128</v>
      </c>
      <c r="BI5" s="50" t="s">
        <v>12435</v>
      </c>
      <c r="BJ5" s="50" t="s">
        <v>127</v>
      </c>
      <c r="BK5" s="50" t="s">
        <v>19196</v>
      </c>
      <c r="BL5" s="50" t="s">
        <v>19197</v>
      </c>
      <c r="BM5" s="50" t="s">
        <v>19198</v>
      </c>
      <c r="BN5" s="50" t="s">
        <v>2080</v>
      </c>
      <c r="BO5" s="50" t="s">
        <v>1309</v>
      </c>
      <c r="BP5" s="50" t="s">
        <v>180</v>
      </c>
      <c r="BQ5" s="50" t="s">
        <v>1310</v>
      </c>
      <c r="BR5" s="50" t="s">
        <v>1311</v>
      </c>
      <c r="BS5" s="50" t="s">
        <v>2463</v>
      </c>
      <c r="BU5" s="50" t="s">
        <v>19199</v>
      </c>
      <c r="BV5" s="50" t="s">
        <v>19200</v>
      </c>
      <c r="BW5" s="50" t="s">
        <v>598</v>
      </c>
      <c r="BX5" s="50" t="s">
        <v>19201</v>
      </c>
      <c r="BY5" s="50" t="s">
        <v>19202</v>
      </c>
      <c r="BZ5" s="50" t="s">
        <v>19203</v>
      </c>
      <c r="CA5" s="50" t="s">
        <v>19204</v>
      </c>
      <c r="CB5" s="50" t="s">
        <v>19205</v>
      </c>
      <c r="CC5" s="50" t="s">
        <v>19206</v>
      </c>
      <c r="CD5" s="50" t="s">
        <v>19204</v>
      </c>
      <c r="CE5" s="50" t="s">
        <v>19205</v>
      </c>
      <c r="CF5" s="50" t="s">
        <v>19206</v>
      </c>
      <c r="CG5" s="50" t="s">
        <v>18990</v>
      </c>
      <c r="CH5" s="50" t="s">
        <v>19207</v>
      </c>
      <c r="CJ5" s="50" t="s">
        <v>2473</v>
      </c>
      <c r="CK5" s="50" t="s">
        <v>19207</v>
      </c>
      <c r="CL5" s="50" t="s">
        <v>920</v>
      </c>
      <c r="CM5" s="50" t="s">
        <v>211</v>
      </c>
      <c r="CN5" s="50" t="s">
        <v>2473</v>
      </c>
      <c r="CO5" s="50" t="s">
        <v>102</v>
      </c>
      <c r="CP5" s="50" t="s">
        <v>19207</v>
      </c>
      <c r="CQ5" s="50" t="s">
        <v>19207</v>
      </c>
      <c r="CR5" s="50" t="s">
        <v>26040</v>
      </c>
    </row>
    <row r="6" spans="1:96">
      <c r="A6" s="50" t="s">
        <v>93</v>
      </c>
      <c r="B6" s="50">
        <v>5018349</v>
      </c>
      <c r="C6" s="50" t="s">
        <v>632</v>
      </c>
      <c r="D6" s="50" t="s">
        <v>19650</v>
      </c>
      <c r="E6" s="50" t="str">
        <f>VLOOKUP(B6,aa!B:F,5,0)</f>
        <v>Ei ASSET</v>
      </c>
      <c r="F6" s="50">
        <f>VLOOKUP(B6,aa!B:J,9,0)</f>
        <v>1203888</v>
      </c>
      <c r="G6" s="50">
        <f>VLOOKUP(B6,aa!B:L,11,0)</f>
        <v>1203888</v>
      </c>
      <c r="H6" s="50">
        <f>VLOOKUP(B6,aa!B:O,14,0)</f>
        <v>0</v>
      </c>
      <c r="I6" s="50">
        <f>VLOOKUP(B6,aa!B:R,17,0)</f>
        <v>0</v>
      </c>
      <c r="K6" s="50" t="s">
        <v>97</v>
      </c>
      <c r="L6" s="50">
        <v>1119888</v>
      </c>
      <c r="M6" s="50">
        <v>1119888</v>
      </c>
      <c r="N6" s="50">
        <v>1119888</v>
      </c>
      <c r="O6" s="50">
        <v>1400</v>
      </c>
      <c r="P6" s="50" t="s">
        <v>1297</v>
      </c>
      <c r="Q6" s="50">
        <v>0</v>
      </c>
      <c r="R6" s="50">
        <v>0</v>
      </c>
      <c r="T6" s="50">
        <v>0</v>
      </c>
      <c r="U6" s="50">
        <v>0</v>
      </c>
      <c r="W6" s="50" t="s">
        <v>102</v>
      </c>
      <c r="X6" s="50" t="s">
        <v>103</v>
      </c>
      <c r="Y6" s="50" t="s">
        <v>104</v>
      </c>
      <c r="AA6" s="50" t="s">
        <v>14689</v>
      </c>
      <c r="AB6" s="50" t="s">
        <v>19651</v>
      </c>
      <c r="AC6" s="50" t="s">
        <v>11976</v>
      </c>
      <c r="AD6" s="50" t="s">
        <v>19651</v>
      </c>
      <c r="AE6" s="50" t="s">
        <v>109</v>
      </c>
      <c r="AF6" s="50" t="s">
        <v>102</v>
      </c>
      <c r="AG6" s="50" t="s">
        <v>109</v>
      </c>
      <c r="AH6" s="50" t="s">
        <v>102</v>
      </c>
      <c r="AI6" s="50" t="s">
        <v>102</v>
      </c>
      <c r="AJ6" s="50" t="s">
        <v>499</v>
      </c>
      <c r="AK6" s="50" t="s">
        <v>12430</v>
      </c>
      <c r="AL6" s="50" t="s">
        <v>19652</v>
      </c>
      <c r="AM6" s="50" t="s">
        <v>19653</v>
      </c>
      <c r="AN6" s="50" t="s">
        <v>19654</v>
      </c>
      <c r="AO6" s="50" t="s">
        <v>13989</v>
      </c>
      <c r="AP6" s="50" t="s">
        <v>13989</v>
      </c>
      <c r="AU6" s="50" t="s">
        <v>318</v>
      </c>
      <c r="AV6" s="50" t="s">
        <v>250</v>
      </c>
      <c r="AW6" s="50" t="s">
        <v>102</v>
      </c>
      <c r="AX6" s="50" t="s">
        <v>119</v>
      </c>
      <c r="BB6" s="50" t="s">
        <v>1964</v>
      </c>
      <c r="BC6" s="50" t="s">
        <v>623</v>
      </c>
      <c r="BD6" s="50" t="s">
        <v>621</v>
      </c>
      <c r="BE6" s="50" t="s">
        <v>622</v>
      </c>
      <c r="BF6" s="50" t="s">
        <v>623</v>
      </c>
      <c r="BG6" s="50" t="s">
        <v>124</v>
      </c>
      <c r="BH6" s="50" t="s">
        <v>11959</v>
      </c>
      <c r="BI6" s="50" t="s">
        <v>11889</v>
      </c>
      <c r="BJ6" s="50" t="s">
        <v>127</v>
      </c>
      <c r="BK6" s="50" t="s">
        <v>19655</v>
      </c>
      <c r="BL6" s="50" t="s">
        <v>19656</v>
      </c>
      <c r="BM6" s="50" t="s">
        <v>19657</v>
      </c>
      <c r="BN6" s="50" t="s">
        <v>14689</v>
      </c>
      <c r="BO6" s="50" t="s">
        <v>1670</v>
      </c>
      <c r="BP6" s="50" t="s">
        <v>132</v>
      </c>
      <c r="BQ6" s="50" t="s">
        <v>1671</v>
      </c>
      <c r="BR6" s="50" t="s">
        <v>1672</v>
      </c>
      <c r="BS6" s="50" t="s">
        <v>507</v>
      </c>
      <c r="BU6" s="50" t="s">
        <v>19658</v>
      </c>
      <c r="BV6" s="50" t="s">
        <v>14694</v>
      </c>
      <c r="BW6" s="50" t="s">
        <v>569</v>
      </c>
      <c r="BX6" s="50" t="s">
        <v>14698</v>
      </c>
      <c r="BY6" s="50" t="s">
        <v>14695</v>
      </c>
      <c r="BZ6" s="50" t="s">
        <v>14698</v>
      </c>
      <c r="CA6" s="50" t="s">
        <v>19659</v>
      </c>
      <c r="CB6" s="50" t="s">
        <v>19660</v>
      </c>
      <c r="CC6" s="50" t="s">
        <v>19661</v>
      </c>
      <c r="CD6" s="50" t="s">
        <v>19662</v>
      </c>
      <c r="CE6" s="50" t="s">
        <v>14698</v>
      </c>
      <c r="CF6" s="50" t="s">
        <v>14695</v>
      </c>
      <c r="CG6" s="50" t="s">
        <v>19663</v>
      </c>
      <c r="CH6" s="50" t="s">
        <v>19664</v>
      </c>
      <c r="CJ6" s="50" t="s">
        <v>14703</v>
      </c>
      <c r="CK6" s="50" t="s">
        <v>19664</v>
      </c>
      <c r="CL6" s="50" t="s">
        <v>623</v>
      </c>
      <c r="CM6" s="50" t="s">
        <v>621</v>
      </c>
      <c r="CN6" s="50" t="s">
        <v>14703</v>
      </c>
      <c r="CO6" s="50" t="s">
        <v>19665</v>
      </c>
      <c r="CP6" s="50" t="s">
        <v>19664</v>
      </c>
      <c r="CQ6" s="50" t="s">
        <v>19664</v>
      </c>
    </row>
    <row r="7" spans="1:96">
      <c r="A7" s="50" t="s">
        <v>93</v>
      </c>
      <c r="B7" s="50">
        <v>3078372</v>
      </c>
      <c r="C7" s="50" t="s">
        <v>12423</v>
      </c>
      <c r="D7" s="50" t="s">
        <v>14893</v>
      </c>
      <c r="E7" s="50" t="str">
        <f>VLOOKUP(B7,aa!B:F,5,0)</f>
        <v>Ei CARES</v>
      </c>
      <c r="F7" s="50">
        <f>VLOOKUP(B7,aa!B:J,9,0)</f>
        <v>739115</v>
      </c>
      <c r="G7" s="50">
        <f>VLOOKUP(B7,aa!B:L,11,0)</f>
        <v>0</v>
      </c>
      <c r="H7" s="50">
        <f>VLOOKUP(B7,aa!B:O,14,0)</f>
        <v>739115</v>
      </c>
      <c r="I7" s="50">
        <f>VLOOKUP(B7,aa!B:R,17,0)</f>
        <v>0</v>
      </c>
      <c r="K7" s="50" t="s">
        <v>152</v>
      </c>
      <c r="L7" s="50">
        <v>744510</v>
      </c>
      <c r="M7" s="50">
        <v>744510</v>
      </c>
      <c r="N7" s="50">
        <v>0</v>
      </c>
      <c r="O7" s="50">
        <v>0</v>
      </c>
      <c r="Q7" s="50">
        <v>744510</v>
      </c>
      <c r="R7" s="50">
        <v>690</v>
      </c>
      <c r="S7" s="50" t="s">
        <v>14894</v>
      </c>
      <c r="T7" s="50">
        <v>0</v>
      </c>
      <c r="U7" s="50">
        <v>0</v>
      </c>
      <c r="W7" s="50" t="s">
        <v>102</v>
      </c>
      <c r="X7" s="50" t="s">
        <v>103</v>
      </c>
      <c r="Y7" s="50" t="s">
        <v>155</v>
      </c>
      <c r="AA7" s="50" t="s">
        <v>4497</v>
      </c>
      <c r="AB7" s="50" t="s">
        <v>14895</v>
      </c>
      <c r="AC7" s="50" t="s">
        <v>12425</v>
      </c>
      <c r="AD7" s="50" t="s">
        <v>14895</v>
      </c>
      <c r="AE7" s="50" t="s">
        <v>946</v>
      </c>
      <c r="AF7" s="50" t="s">
        <v>14895</v>
      </c>
      <c r="AG7" s="50" t="s">
        <v>1719</v>
      </c>
      <c r="AH7" s="50" t="s">
        <v>14895</v>
      </c>
      <c r="AI7" s="50" t="s">
        <v>102</v>
      </c>
      <c r="AJ7" s="50" t="s">
        <v>1523</v>
      </c>
      <c r="AK7" s="50" t="s">
        <v>12729</v>
      </c>
      <c r="AL7" s="50" t="s">
        <v>14896</v>
      </c>
      <c r="AM7" s="50" t="s">
        <v>14897</v>
      </c>
      <c r="AN7" s="50" t="s">
        <v>14898</v>
      </c>
      <c r="AO7" s="50" t="s">
        <v>14899</v>
      </c>
      <c r="AP7" s="50" t="s">
        <v>14899</v>
      </c>
      <c r="AU7" s="50" t="s">
        <v>102</v>
      </c>
      <c r="AW7" s="50" t="s">
        <v>155</v>
      </c>
      <c r="AX7" s="50" t="s">
        <v>119</v>
      </c>
      <c r="AY7" s="50" t="s">
        <v>170</v>
      </c>
      <c r="AZ7" s="50" t="s">
        <v>118</v>
      </c>
      <c r="BB7" s="50" t="s">
        <v>120</v>
      </c>
      <c r="BC7" s="50" t="s">
        <v>3214</v>
      </c>
      <c r="BD7" s="50" t="s">
        <v>410</v>
      </c>
      <c r="BE7" s="50" t="s">
        <v>212</v>
      </c>
      <c r="BF7" s="50" t="s">
        <v>410</v>
      </c>
      <c r="BG7" s="50" t="s">
        <v>124</v>
      </c>
      <c r="BH7" s="50" t="s">
        <v>12023</v>
      </c>
      <c r="BI7" s="50" t="s">
        <v>11889</v>
      </c>
      <c r="BJ7" s="50" t="s">
        <v>127</v>
      </c>
      <c r="BK7" s="50" t="s">
        <v>14900</v>
      </c>
      <c r="BL7" s="50" t="s">
        <v>14901</v>
      </c>
      <c r="BM7" s="50" t="s">
        <v>14902</v>
      </c>
      <c r="BN7" s="50" t="s">
        <v>4556</v>
      </c>
      <c r="BO7" s="50" t="s">
        <v>4053</v>
      </c>
      <c r="BP7" s="50" t="s">
        <v>132</v>
      </c>
      <c r="BQ7" s="50" t="s">
        <v>4054</v>
      </c>
      <c r="BR7" s="50" t="s">
        <v>4055</v>
      </c>
      <c r="BS7" s="50" t="s">
        <v>4056</v>
      </c>
      <c r="BU7" s="50" t="s">
        <v>14903</v>
      </c>
      <c r="BV7" s="50" t="s">
        <v>14904</v>
      </c>
      <c r="BW7" s="50" t="s">
        <v>354</v>
      </c>
      <c r="BX7" s="50" t="s">
        <v>14905</v>
      </c>
      <c r="BY7" s="50" t="s">
        <v>14906</v>
      </c>
      <c r="BZ7" s="50" t="s">
        <v>14907</v>
      </c>
      <c r="CA7" s="50" t="s">
        <v>11526</v>
      </c>
      <c r="CB7" s="50" t="s">
        <v>14908</v>
      </c>
      <c r="CC7" s="50" t="s">
        <v>14909</v>
      </c>
      <c r="CD7" s="50" t="s">
        <v>11526</v>
      </c>
      <c r="CE7" s="50" t="s">
        <v>14908</v>
      </c>
      <c r="CF7" s="50" t="s">
        <v>14909</v>
      </c>
      <c r="CG7" s="50" t="s">
        <v>573</v>
      </c>
      <c r="CH7" s="50" t="s">
        <v>14910</v>
      </c>
      <c r="CJ7" s="50" t="s">
        <v>14911</v>
      </c>
      <c r="CK7" s="50" t="s">
        <v>14910</v>
      </c>
      <c r="CL7" s="50" t="s">
        <v>3214</v>
      </c>
      <c r="CM7" s="50" t="s">
        <v>410</v>
      </c>
      <c r="CN7" s="50" t="s">
        <v>14911</v>
      </c>
      <c r="CP7" s="50" t="s">
        <v>14910</v>
      </c>
      <c r="CQ7" s="50" t="s">
        <v>14910</v>
      </c>
    </row>
    <row r="8" spans="1:96">
      <c r="A8" s="50" t="s">
        <v>93</v>
      </c>
      <c r="B8" s="50">
        <v>2557342</v>
      </c>
      <c r="C8" s="50" t="s">
        <v>11898</v>
      </c>
      <c r="D8" s="50" t="s">
        <v>14505</v>
      </c>
      <c r="E8" s="50" t="e">
        <f>VLOOKUP(B8,aa!B:F,5,0)</f>
        <v>#N/A</v>
      </c>
      <c r="F8" s="50" t="e">
        <f>VLOOKUP(B8,aa!B:J,9,0)</f>
        <v>#N/A</v>
      </c>
      <c r="G8" s="50" t="e">
        <f>VLOOKUP(B8,aa!B:L,11,0)</f>
        <v>#N/A</v>
      </c>
      <c r="H8" s="50" t="e">
        <f>VLOOKUP(B8,aa!B:O,14,0)</f>
        <v>#N/A</v>
      </c>
      <c r="I8" s="50" t="e">
        <f>VLOOKUP(B8,aa!B:R,17,0)</f>
        <v>#N/A</v>
      </c>
      <c r="K8" s="50" t="s">
        <v>152</v>
      </c>
      <c r="L8" s="50">
        <v>420685</v>
      </c>
      <c r="M8" s="50">
        <v>420685</v>
      </c>
      <c r="N8" s="50">
        <v>0</v>
      </c>
      <c r="O8" s="50">
        <v>0</v>
      </c>
      <c r="Q8" s="50">
        <v>420685</v>
      </c>
      <c r="R8" s="50">
        <v>267</v>
      </c>
      <c r="S8" s="50" t="s">
        <v>14506</v>
      </c>
      <c r="T8" s="50">
        <v>0</v>
      </c>
      <c r="U8" s="50">
        <v>0</v>
      </c>
      <c r="W8" s="50" t="s">
        <v>102</v>
      </c>
      <c r="X8" s="50" t="s">
        <v>103</v>
      </c>
      <c r="Y8" s="50" t="s">
        <v>155</v>
      </c>
      <c r="AA8" s="50" t="s">
        <v>1957</v>
      </c>
      <c r="AB8" s="50" t="s">
        <v>14507</v>
      </c>
      <c r="AC8" s="50" t="s">
        <v>625</v>
      </c>
      <c r="AD8" s="50" t="s">
        <v>14507</v>
      </c>
      <c r="AE8" s="50" t="s">
        <v>12888</v>
      </c>
      <c r="AF8" s="50" t="s">
        <v>14507</v>
      </c>
      <c r="AG8" s="50" t="s">
        <v>11886</v>
      </c>
      <c r="AH8" s="50" t="s">
        <v>14507</v>
      </c>
      <c r="AI8" s="50" t="s">
        <v>102</v>
      </c>
      <c r="AJ8" s="50" t="s">
        <v>2323</v>
      </c>
      <c r="AK8" s="50" t="s">
        <v>2323</v>
      </c>
      <c r="AL8" s="50" t="s">
        <v>14508</v>
      </c>
      <c r="AM8" s="50" t="s">
        <v>14509</v>
      </c>
      <c r="AN8" s="50" t="s">
        <v>14510</v>
      </c>
      <c r="AO8" s="50" t="s">
        <v>14511</v>
      </c>
      <c r="AP8" s="50" t="s">
        <v>14511</v>
      </c>
      <c r="AU8" s="50" t="s">
        <v>102</v>
      </c>
      <c r="AW8" s="50" t="s">
        <v>155</v>
      </c>
      <c r="AX8" s="50" t="s">
        <v>447</v>
      </c>
      <c r="AY8" s="50" t="s">
        <v>1138</v>
      </c>
      <c r="AZ8" s="50" t="s">
        <v>118</v>
      </c>
      <c r="BB8" s="50" t="s">
        <v>120</v>
      </c>
      <c r="BC8" s="50" t="s">
        <v>9082</v>
      </c>
      <c r="BD8" s="50" t="s">
        <v>1244</v>
      </c>
      <c r="BE8" s="50" t="s">
        <v>122</v>
      </c>
      <c r="BF8" s="50" t="s">
        <v>1244</v>
      </c>
      <c r="BG8" s="50" t="s">
        <v>124</v>
      </c>
      <c r="BH8" s="50" t="s">
        <v>3258</v>
      </c>
      <c r="BI8" s="50" t="s">
        <v>11889</v>
      </c>
      <c r="BJ8" s="50" t="s">
        <v>127</v>
      </c>
      <c r="BK8" s="50" t="s">
        <v>14512</v>
      </c>
      <c r="BL8" s="50" t="s">
        <v>14513</v>
      </c>
      <c r="BM8" s="50" t="s">
        <v>14514</v>
      </c>
      <c r="BN8" s="50" t="s">
        <v>1957</v>
      </c>
      <c r="BO8" s="50" t="s">
        <v>9627</v>
      </c>
      <c r="BP8" s="50" t="s">
        <v>180</v>
      </c>
      <c r="BQ8" s="50" t="s">
        <v>9628</v>
      </c>
      <c r="BR8" s="50" t="s">
        <v>9629</v>
      </c>
      <c r="BS8" s="50" t="s">
        <v>10231</v>
      </c>
      <c r="BU8" s="50" t="s">
        <v>14515</v>
      </c>
      <c r="BV8" s="50" t="s">
        <v>14516</v>
      </c>
      <c r="BW8" s="50" t="s">
        <v>138</v>
      </c>
      <c r="BX8" s="50" t="s">
        <v>14517</v>
      </c>
      <c r="BY8" s="50" t="s">
        <v>14518</v>
      </c>
      <c r="BZ8" s="50" t="s">
        <v>14519</v>
      </c>
      <c r="CA8" s="50" t="s">
        <v>14520</v>
      </c>
      <c r="CB8" s="50" t="s">
        <v>14517</v>
      </c>
      <c r="CC8" s="50" t="s">
        <v>14518</v>
      </c>
      <c r="CD8" s="50" t="s">
        <v>14520</v>
      </c>
      <c r="CE8" s="50" t="s">
        <v>14517</v>
      </c>
      <c r="CF8" s="50" t="s">
        <v>14518</v>
      </c>
      <c r="CG8" s="50" t="s">
        <v>2405</v>
      </c>
      <c r="CH8" s="50" t="s">
        <v>14521</v>
      </c>
      <c r="CJ8" s="50" t="s">
        <v>14522</v>
      </c>
      <c r="CK8" s="50" t="s">
        <v>14521</v>
      </c>
      <c r="CL8" s="50" t="s">
        <v>9082</v>
      </c>
      <c r="CM8" s="50" t="s">
        <v>1244</v>
      </c>
      <c r="CN8" s="50" t="s">
        <v>14522</v>
      </c>
      <c r="CP8" s="50" t="s">
        <v>14521</v>
      </c>
      <c r="CQ8" s="50" t="s">
        <v>14521</v>
      </c>
    </row>
    <row r="9" spans="1:96">
      <c r="A9" s="50" t="s">
        <v>93</v>
      </c>
      <c r="B9" s="50">
        <v>5018319</v>
      </c>
      <c r="C9" s="50" t="s">
        <v>12030</v>
      </c>
      <c r="D9" s="50" t="s">
        <v>19610</v>
      </c>
      <c r="E9" s="50" t="e">
        <f>VLOOKUP(B9,aa!B:F,5,0)</f>
        <v>#N/A</v>
      </c>
      <c r="F9" s="50" t="e">
        <f>VLOOKUP(B9,aa!B:J,9,0)</f>
        <v>#N/A</v>
      </c>
      <c r="G9" s="50" t="e">
        <f>VLOOKUP(B9,aa!B:L,11,0)</f>
        <v>#N/A</v>
      </c>
      <c r="H9" s="50" t="e">
        <f>VLOOKUP(B9,aa!B:O,14,0)</f>
        <v>#N/A</v>
      </c>
      <c r="I9" s="50" t="e">
        <f>VLOOKUP(B9,aa!B:R,17,0)</f>
        <v>#N/A</v>
      </c>
      <c r="K9" s="50" t="s">
        <v>152</v>
      </c>
      <c r="L9" s="50">
        <v>384051</v>
      </c>
      <c r="M9" s="50">
        <v>384051</v>
      </c>
      <c r="N9" s="50">
        <v>0</v>
      </c>
      <c r="O9" s="50">
        <v>0</v>
      </c>
      <c r="Q9" s="50">
        <v>384051</v>
      </c>
      <c r="R9" s="50">
        <v>256</v>
      </c>
      <c r="S9" s="50" t="s">
        <v>6441</v>
      </c>
      <c r="T9" s="50">
        <v>0</v>
      </c>
      <c r="U9" s="50">
        <v>0</v>
      </c>
      <c r="W9" s="50" t="s">
        <v>102</v>
      </c>
      <c r="X9" s="50" t="s">
        <v>103</v>
      </c>
      <c r="Y9" s="50" t="s">
        <v>155</v>
      </c>
      <c r="AA9" s="50" t="s">
        <v>648</v>
      </c>
      <c r="AB9" s="50" t="s">
        <v>19612</v>
      </c>
      <c r="AC9" s="50" t="s">
        <v>1827</v>
      </c>
      <c r="AD9" s="50" t="s">
        <v>19613</v>
      </c>
      <c r="AE9" s="50" t="s">
        <v>3485</v>
      </c>
      <c r="AF9" s="50" t="s">
        <v>19614</v>
      </c>
      <c r="AG9" s="50" t="s">
        <v>1305</v>
      </c>
      <c r="AH9" s="50" t="s">
        <v>19614</v>
      </c>
      <c r="AI9" s="50" t="s">
        <v>102</v>
      </c>
      <c r="AJ9" s="50" t="s">
        <v>437</v>
      </c>
      <c r="AK9" s="50" t="s">
        <v>437</v>
      </c>
      <c r="AL9" s="50" t="s">
        <v>19615</v>
      </c>
      <c r="AM9" s="50" t="s">
        <v>573</v>
      </c>
      <c r="AN9" s="50" t="s">
        <v>19616</v>
      </c>
      <c r="AO9" s="50" t="s">
        <v>6447</v>
      </c>
      <c r="AP9" s="50" t="s">
        <v>6447</v>
      </c>
      <c r="AU9" s="50" t="s">
        <v>102</v>
      </c>
      <c r="AW9" s="50" t="s">
        <v>155</v>
      </c>
      <c r="AX9" s="50" t="s">
        <v>119</v>
      </c>
      <c r="AY9" s="50" t="s">
        <v>170</v>
      </c>
      <c r="AZ9" s="50" t="s">
        <v>118</v>
      </c>
      <c r="BB9" s="50" t="s">
        <v>598</v>
      </c>
      <c r="BC9" s="50" t="s">
        <v>17740</v>
      </c>
      <c r="BD9" s="50" t="s">
        <v>345</v>
      </c>
      <c r="BE9" s="50" t="s">
        <v>122</v>
      </c>
      <c r="BF9" s="50" t="s">
        <v>346</v>
      </c>
      <c r="BG9" s="50" t="s">
        <v>124</v>
      </c>
      <c r="BH9" s="50" t="s">
        <v>12023</v>
      </c>
      <c r="BI9" s="50" t="s">
        <v>11889</v>
      </c>
      <c r="BJ9" s="50" t="s">
        <v>127</v>
      </c>
      <c r="BK9" s="50" t="s">
        <v>19617</v>
      </c>
      <c r="BL9" s="50" t="s">
        <v>19618</v>
      </c>
      <c r="BM9" s="50" t="s">
        <v>19619</v>
      </c>
      <c r="BN9" s="50" t="s">
        <v>19611</v>
      </c>
      <c r="BO9" s="50" t="s">
        <v>12226</v>
      </c>
      <c r="BP9" s="50" t="s">
        <v>505</v>
      </c>
      <c r="BQ9" s="50" t="s">
        <v>12228</v>
      </c>
      <c r="BR9" s="50" t="s">
        <v>12229</v>
      </c>
      <c r="BS9" s="50" t="s">
        <v>328</v>
      </c>
      <c r="BU9" s="50" t="s">
        <v>19620</v>
      </c>
      <c r="BV9" s="50" t="s">
        <v>19621</v>
      </c>
      <c r="BW9" s="50" t="s">
        <v>354</v>
      </c>
      <c r="BX9" s="50" t="s">
        <v>19622</v>
      </c>
      <c r="BY9" s="50" t="s">
        <v>19623</v>
      </c>
      <c r="BZ9" s="50" t="s">
        <v>19622</v>
      </c>
      <c r="CA9" s="50" t="s">
        <v>19624</v>
      </c>
      <c r="CB9" s="50" t="s">
        <v>19622</v>
      </c>
      <c r="CC9" s="50" t="s">
        <v>19623</v>
      </c>
      <c r="CD9" s="50" t="s">
        <v>19624</v>
      </c>
      <c r="CE9" s="50" t="s">
        <v>19622</v>
      </c>
      <c r="CF9" s="50" t="s">
        <v>19623</v>
      </c>
      <c r="CG9" s="50" t="s">
        <v>19625</v>
      </c>
      <c r="CH9" s="50" t="s">
        <v>12241</v>
      </c>
      <c r="CJ9" s="50" t="s">
        <v>17597</v>
      </c>
      <c r="CK9" s="50" t="s">
        <v>12241</v>
      </c>
      <c r="CL9" s="50" t="s">
        <v>17740</v>
      </c>
      <c r="CM9" s="50" t="s">
        <v>345</v>
      </c>
      <c r="CN9" s="50" t="s">
        <v>17597</v>
      </c>
      <c r="CP9" s="50" t="s">
        <v>12241</v>
      </c>
      <c r="CQ9" s="50" t="s">
        <v>12241</v>
      </c>
    </row>
    <row r="10" spans="1:96">
      <c r="A10" s="50" t="s">
        <v>93</v>
      </c>
      <c r="B10" s="50">
        <v>2755127</v>
      </c>
      <c r="C10" s="50" t="s">
        <v>632</v>
      </c>
      <c r="D10" s="50" t="s">
        <v>14688</v>
      </c>
      <c r="E10" s="50" t="e">
        <f>VLOOKUP(B10,aa!B:F,5,0)</f>
        <v>#N/A</v>
      </c>
      <c r="F10" s="50" t="e">
        <f>VLOOKUP(B10,aa!B:J,9,0)</f>
        <v>#N/A</v>
      </c>
      <c r="G10" s="50" t="e">
        <f>VLOOKUP(B10,aa!B:L,11,0)</f>
        <v>#N/A</v>
      </c>
      <c r="H10" s="50" t="e">
        <f>VLOOKUP(B10,aa!B:O,14,0)</f>
        <v>#N/A</v>
      </c>
      <c r="I10" s="50" t="e">
        <f>VLOOKUP(B10,aa!B:R,17,0)</f>
        <v>#N/A</v>
      </c>
      <c r="K10" s="50" t="s">
        <v>97</v>
      </c>
      <c r="L10" s="50">
        <v>0</v>
      </c>
      <c r="M10" s="50">
        <v>0</v>
      </c>
      <c r="N10" s="50">
        <v>0</v>
      </c>
      <c r="O10" s="50">
        <v>920</v>
      </c>
      <c r="P10" s="50" t="s">
        <v>102</v>
      </c>
      <c r="Q10" s="50">
        <v>0</v>
      </c>
      <c r="R10" s="50">
        <v>0</v>
      </c>
      <c r="T10" s="50">
        <v>0</v>
      </c>
      <c r="U10" s="50">
        <v>0</v>
      </c>
      <c r="W10" s="50" t="s">
        <v>102</v>
      </c>
      <c r="X10" s="50" t="s">
        <v>103</v>
      </c>
      <c r="Y10" s="50" t="s">
        <v>104</v>
      </c>
      <c r="AA10" s="50" t="s">
        <v>14689</v>
      </c>
      <c r="AB10" s="50" t="s">
        <v>102</v>
      </c>
      <c r="AC10" s="50" t="s">
        <v>11976</v>
      </c>
      <c r="AD10" s="50" t="s">
        <v>102</v>
      </c>
      <c r="AE10" s="50" t="s">
        <v>109</v>
      </c>
      <c r="AF10" s="50" t="s">
        <v>102</v>
      </c>
      <c r="AG10" s="50" t="s">
        <v>109</v>
      </c>
      <c r="AH10" s="50" t="s">
        <v>102</v>
      </c>
      <c r="AI10" s="50" t="s">
        <v>102</v>
      </c>
      <c r="AL10" s="50" t="s">
        <v>102</v>
      </c>
      <c r="AM10" s="50" t="s">
        <v>102</v>
      </c>
      <c r="AN10" s="50" t="s">
        <v>102</v>
      </c>
      <c r="AO10" s="50" t="s">
        <v>115</v>
      </c>
      <c r="AP10" s="50" t="s">
        <v>115</v>
      </c>
      <c r="AU10" s="50" t="s">
        <v>318</v>
      </c>
      <c r="AV10" s="50" t="s">
        <v>250</v>
      </c>
      <c r="AW10" s="50" t="s">
        <v>102</v>
      </c>
      <c r="AX10" s="50" t="s">
        <v>119</v>
      </c>
      <c r="BB10" s="50" t="s">
        <v>171</v>
      </c>
      <c r="BC10" s="50" t="s">
        <v>623</v>
      </c>
      <c r="BD10" s="50" t="s">
        <v>621</v>
      </c>
      <c r="BE10" s="50" t="s">
        <v>622</v>
      </c>
      <c r="BF10" s="50" t="s">
        <v>623</v>
      </c>
      <c r="BG10" s="50" t="s">
        <v>124</v>
      </c>
      <c r="BH10" s="50" t="s">
        <v>12023</v>
      </c>
      <c r="BI10" s="50" t="s">
        <v>11889</v>
      </c>
      <c r="BJ10" s="50" t="s">
        <v>127</v>
      </c>
      <c r="BK10" s="50" t="s">
        <v>14690</v>
      </c>
      <c r="BL10" s="50" t="s">
        <v>14691</v>
      </c>
      <c r="BM10" s="50" t="s">
        <v>14692</v>
      </c>
      <c r="BN10" s="50" t="s">
        <v>1523</v>
      </c>
      <c r="BO10" s="50" t="s">
        <v>1670</v>
      </c>
      <c r="BP10" s="50" t="s">
        <v>505</v>
      </c>
      <c r="BQ10" s="50" t="s">
        <v>1671</v>
      </c>
      <c r="BR10" s="50" t="s">
        <v>1672</v>
      </c>
      <c r="BS10" s="50" t="s">
        <v>507</v>
      </c>
      <c r="BU10" s="50" t="s">
        <v>14693</v>
      </c>
      <c r="BV10" s="50" t="s">
        <v>14694</v>
      </c>
      <c r="BW10" s="50" t="s">
        <v>569</v>
      </c>
      <c r="BX10" s="50" t="s">
        <v>225</v>
      </c>
      <c r="BY10" s="50" t="s">
        <v>14695</v>
      </c>
      <c r="BZ10" s="50" t="s">
        <v>14696</v>
      </c>
      <c r="CA10" s="50" t="s">
        <v>14697</v>
      </c>
      <c r="CB10" s="50" t="s">
        <v>14698</v>
      </c>
      <c r="CC10" s="50" t="s">
        <v>14695</v>
      </c>
      <c r="CD10" s="50" t="s">
        <v>14699</v>
      </c>
      <c r="CE10" s="50" t="s">
        <v>14696</v>
      </c>
      <c r="CF10" s="50" t="s">
        <v>14700</v>
      </c>
      <c r="CG10" s="50" t="s">
        <v>14701</v>
      </c>
      <c r="CH10" s="50" t="s">
        <v>14702</v>
      </c>
      <c r="CJ10" s="50" t="s">
        <v>14703</v>
      </c>
      <c r="CK10" s="50" t="s">
        <v>14702</v>
      </c>
      <c r="CL10" s="50" t="s">
        <v>623</v>
      </c>
      <c r="CM10" s="50" t="s">
        <v>621</v>
      </c>
      <c r="CN10" s="50" t="s">
        <v>14703</v>
      </c>
      <c r="CP10" s="50" t="s">
        <v>14702</v>
      </c>
      <c r="CQ10" s="50" t="s">
        <v>14702</v>
      </c>
      <c r="CR10" s="50" t="s">
        <v>26045</v>
      </c>
    </row>
    <row r="11" spans="1:96">
      <c r="A11" s="50" t="s">
        <v>93</v>
      </c>
      <c r="B11" s="50">
        <v>3838227</v>
      </c>
      <c r="C11" s="50" t="s">
        <v>632</v>
      </c>
      <c r="D11" s="50" t="s">
        <v>17110</v>
      </c>
      <c r="E11" s="50" t="e">
        <f>VLOOKUP(B11,aa!B:F,5,0)</f>
        <v>#N/A</v>
      </c>
      <c r="F11" s="50" t="e">
        <f>VLOOKUP(B11,aa!B:J,9,0)</f>
        <v>#N/A</v>
      </c>
      <c r="G11" s="50" t="e">
        <f>VLOOKUP(B11,aa!B:L,11,0)</f>
        <v>#N/A</v>
      </c>
      <c r="H11" s="50" t="e">
        <f>VLOOKUP(B11,aa!B:O,14,0)</f>
        <v>#N/A</v>
      </c>
      <c r="I11" s="50" t="e">
        <f>VLOOKUP(B11,aa!B:R,17,0)</f>
        <v>#N/A</v>
      </c>
      <c r="K11" s="50" t="s">
        <v>97</v>
      </c>
      <c r="L11" s="50">
        <v>0</v>
      </c>
      <c r="M11" s="50">
        <v>0</v>
      </c>
      <c r="N11" s="50">
        <v>0</v>
      </c>
      <c r="O11" s="50">
        <v>355</v>
      </c>
      <c r="P11" s="50" t="s">
        <v>102</v>
      </c>
      <c r="Q11" s="50">
        <v>0</v>
      </c>
      <c r="R11" s="50">
        <v>0</v>
      </c>
      <c r="T11" s="50">
        <v>0</v>
      </c>
      <c r="U11" s="50">
        <v>0</v>
      </c>
      <c r="W11" s="50" t="s">
        <v>102</v>
      </c>
      <c r="X11" s="50" t="s">
        <v>103</v>
      </c>
      <c r="Y11" s="50" t="s">
        <v>104</v>
      </c>
      <c r="AA11" s="50" t="s">
        <v>14689</v>
      </c>
      <c r="AB11" s="50" t="s">
        <v>102</v>
      </c>
      <c r="AC11" s="50" t="s">
        <v>11976</v>
      </c>
      <c r="AD11" s="50" t="s">
        <v>102</v>
      </c>
      <c r="AE11" s="50" t="s">
        <v>109</v>
      </c>
      <c r="AF11" s="50" t="s">
        <v>102</v>
      </c>
      <c r="AG11" s="50" t="s">
        <v>109</v>
      </c>
      <c r="AH11" s="50" t="s">
        <v>102</v>
      </c>
      <c r="AI11" s="50" t="s">
        <v>102</v>
      </c>
      <c r="AL11" s="50" t="s">
        <v>102</v>
      </c>
      <c r="AM11" s="50" t="s">
        <v>102</v>
      </c>
      <c r="AN11" s="50" t="s">
        <v>102</v>
      </c>
      <c r="AO11" s="50" t="s">
        <v>115</v>
      </c>
      <c r="AP11" s="50" t="s">
        <v>115</v>
      </c>
      <c r="AU11" s="50" t="s">
        <v>318</v>
      </c>
      <c r="AV11" s="50" t="s">
        <v>250</v>
      </c>
      <c r="AW11" s="50" t="s">
        <v>102</v>
      </c>
      <c r="AX11" s="50" t="s">
        <v>119</v>
      </c>
      <c r="BB11" s="50" t="s">
        <v>171</v>
      </c>
      <c r="BC11" s="50" t="s">
        <v>623</v>
      </c>
      <c r="BD11" s="50" t="s">
        <v>621</v>
      </c>
      <c r="BE11" s="50" t="s">
        <v>622</v>
      </c>
      <c r="BF11" s="50" t="s">
        <v>623</v>
      </c>
      <c r="BG11" s="50" t="s">
        <v>124</v>
      </c>
      <c r="BH11" s="50" t="s">
        <v>12023</v>
      </c>
      <c r="BI11" s="50" t="s">
        <v>11889</v>
      </c>
      <c r="BJ11" s="50" t="s">
        <v>127</v>
      </c>
      <c r="BK11" s="50" t="s">
        <v>17111</v>
      </c>
      <c r="BL11" s="50" t="s">
        <v>17112</v>
      </c>
      <c r="BM11" s="50" t="s">
        <v>17113</v>
      </c>
      <c r="BN11" s="50" t="s">
        <v>1523</v>
      </c>
      <c r="BO11" s="50" t="s">
        <v>1670</v>
      </c>
      <c r="BP11" s="50" t="s">
        <v>505</v>
      </c>
      <c r="BQ11" s="50" t="s">
        <v>1671</v>
      </c>
      <c r="BR11" s="50" t="s">
        <v>1672</v>
      </c>
      <c r="BS11" s="50" t="s">
        <v>507</v>
      </c>
      <c r="BU11" s="50" t="s">
        <v>17114</v>
      </c>
      <c r="BV11" s="50" t="s">
        <v>17115</v>
      </c>
      <c r="BX11" s="50" t="s">
        <v>225</v>
      </c>
      <c r="BY11" s="50" t="s">
        <v>17116</v>
      </c>
      <c r="BZ11" s="50" t="s">
        <v>17117</v>
      </c>
      <c r="CA11" s="50" t="s">
        <v>14697</v>
      </c>
      <c r="CB11" s="50" t="s">
        <v>14698</v>
      </c>
      <c r="CC11" s="50" t="s">
        <v>14695</v>
      </c>
      <c r="CD11" s="50" t="s">
        <v>17118</v>
      </c>
      <c r="CE11" s="50" t="s">
        <v>17117</v>
      </c>
      <c r="CF11" s="50" t="s">
        <v>17119</v>
      </c>
      <c r="CG11" s="50" t="s">
        <v>17120</v>
      </c>
      <c r="CH11" s="50" t="s">
        <v>17121</v>
      </c>
      <c r="CJ11" s="50" t="s">
        <v>17122</v>
      </c>
      <c r="CK11" s="50" t="s">
        <v>17121</v>
      </c>
      <c r="CL11" s="50" t="s">
        <v>623</v>
      </c>
      <c r="CM11" s="50" t="s">
        <v>621</v>
      </c>
      <c r="CN11" s="50" t="s">
        <v>17122</v>
      </c>
      <c r="CP11" s="50" t="s">
        <v>17121</v>
      </c>
      <c r="CQ11" s="50" t="s">
        <v>17121</v>
      </c>
      <c r="CR11" s="50" t="s">
        <v>26045</v>
      </c>
    </row>
    <row r="12" spans="1:96">
      <c r="A12" s="50" t="s">
        <v>93</v>
      </c>
      <c r="B12" s="50">
        <v>4164567</v>
      </c>
      <c r="C12" s="50" t="s">
        <v>11995</v>
      </c>
      <c r="D12" s="50" t="s">
        <v>18227</v>
      </c>
      <c r="E12" s="50" t="e">
        <f>VLOOKUP(B12,aa!B:F,5,0)</f>
        <v>#N/A</v>
      </c>
      <c r="F12" s="50" t="e">
        <f>VLOOKUP(B12,aa!B:J,9,0)</f>
        <v>#N/A</v>
      </c>
      <c r="G12" s="50" t="e">
        <f>VLOOKUP(B12,aa!B:L,11,0)</f>
        <v>#N/A</v>
      </c>
      <c r="H12" s="50" t="e">
        <f>VLOOKUP(B12,aa!B:O,14,0)</f>
        <v>#N/A</v>
      </c>
      <c r="I12" s="50" t="e">
        <f>VLOOKUP(B12,aa!B:R,17,0)</f>
        <v>#N/A</v>
      </c>
      <c r="K12" s="50" t="s">
        <v>848</v>
      </c>
      <c r="L12" s="50">
        <v>501444</v>
      </c>
      <c r="M12" s="50">
        <v>591704</v>
      </c>
      <c r="N12" s="50">
        <v>0</v>
      </c>
      <c r="O12" s="50">
        <v>0</v>
      </c>
      <c r="Q12" s="50">
        <v>0</v>
      </c>
      <c r="R12" s="50">
        <v>0</v>
      </c>
      <c r="T12" s="50">
        <v>501444</v>
      </c>
      <c r="U12" s="50">
        <v>370</v>
      </c>
      <c r="V12" s="50" t="s">
        <v>18228</v>
      </c>
      <c r="W12" s="50" t="s">
        <v>102</v>
      </c>
      <c r="X12" s="50" t="s">
        <v>103</v>
      </c>
      <c r="Y12" s="50" t="s">
        <v>104</v>
      </c>
      <c r="AA12" s="50" t="s">
        <v>648</v>
      </c>
      <c r="AB12" s="50" t="s">
        <v>18229</v>
      </c>
      <c r="AC12" s="50" t="s">
        <v>411</v>
      </c>
      <c r="AD12" s="50" t="s">
        <v>18229</v>
      </c>
      <c r="AE12" s="50" t="s">
        <v>109</v>
      </c>
      <c r="AF12" s="50" t="s">
        <v>102</v>
      </c>
      <c r="AG12" s="50" t="s">
        <v>109</v>
      </c>
      <c r="AH12" s="50" t="s">
        <v>102</v>
      </c>
      <c r="AI12" s="50" t="s">
        <v>102</v>
      </c>
      <c r="AJ12" s="50" t="s">
        <v>648</v>
      </c>
      <c r="AK12" s="50" t="s">
        <v>12912</v>
      </c>
      <c r="AL12" s="50" t="s">
        <v>18230</v>
      </c>
      <c r="AM12" s="50" t="s">
        <v>18231</v>
      </c>
      <c r="AN12" s="50" t="s">
        <v>18232</v>
      </c>
      <c r="AO12" s="50" t="s">
        <v>18233</v>
      </c>
      <c r="AP12" s="50" t="s">
        <v>18233</v>
      </c>
      <c r="AU12" s="50" t="s">
        <v>102</v>
      </c>
      <c r="AW12" s="50" t="s">
        <v>102</v>
      </c>
      <c r="AX12" s="50" t="s">
        <v>119</v>
      </c>
      <c r="BA12" s="50" t="s">
        <v>250</v>
      </c>
      <c r="BB12" s="50" t="s">
        <v>120</v>
      </c>
      <c r="BC12" s="50" t="s">
        <v>18234</v>
      </c>
      <c r="BD12" s="50" t="s">
        <v>6390</v>
      </c>
      <c r="BE12" s="50" t="s">
        <v>212</v>
      </c>
      <c r="BF12" s="50" t="s">
        <v>286</v>
      </c>
      <c r="BG12" s="50" t="s">
        <v>124</v>
      </c>
      <c r="BH12" s="50" t="s">
        <v>12023</v>
      </c>
      <c r="BI12" s="50" t="s">
        <v>11889</v>
      </c>
      <c r="BJ12" s="50" t="s">
        <v>127</v>
      </c>
      <c r="BK12" s="50" t="s">
        <v>18235</v>
      </c>
      <c r="BL12" s="50" t="s">
        <v>18236</v>
      </c>
      <c r="BM12" s="50" t="s">
        <v>18237</v>
      </c>
      <c r="BN12" s="50" t="s">
        <v>1523</v>
      </c>
      <c r="BO12" s="50" t="s">
        <v>17884</v>
      </c>
      <c r="BP12" s="50" t="s">
        <v>132</v>
      </c>
      <c r="BQ12" s="50" t="s">
        <v>17885</v>
      </c>
      <c r="BR12" s="50" t="s">
        <v>17886</v>
      </c>
      <c r="BS12" s="50" t="s">
        <v>17887</v>
      </c>
      <c r="BT12" s="50" t="s">
        <v>17559</v>
      </c>
      <c r="BU12" s="50" t="s">
        <v>18238</v>
      </c>
      <c r="BV12" s="50" t="s">
        <v>18239</v>
      </c>
      <c r="BW12" s="50" t="s">
        <v>138</v>
      </c>
      <c r="BX12" s="50" t="s">
        <v>18240</v>
      </c>
      <c r="BY12" s="50" t="s">
        <v>18241</v>
      </c>
      <c r="BZ12" s="50" t="s">
        <v>18242</v>
      </c>
      <c r="CA12" s="50" t="s">
        <v>18243</v>
      </c>
      <c r="CB12" s="50" t="s">
        <v>18240</v>
      </c>
      <c r="CC12" s="50" t="s">
        <v>18241</v>
      </c>
      <c r="CD12" s="50" t="s">
        <v>18243</v>
      </c>
      <c r="CE12" s="50" t="s">
        <v>18240</v>
      </c>
      <c r="CF12" s="50" t="s">
        <v>18241</v>
      </c>
      <c r="CG12" s="50" t="s">
        <v>907</v>
      </c>
      <c r="CH12" s="50" t="s">
        <v>18244</v>
      </c>
      <c r="CJ12" s="50" t="s">
        <v>18245</v>
      </c>
      <c r="CK12" s="50" t="s">
        <v>18244</v>
      </c>
      <c r="CL12" s="50" t="s">
        <v>18234</v>
      </c>
      <c r="CM12" s="50" t="s">
        <v>6390</v>
      </c>
      <c r="CN12" s="50" t="s">
        <v>18245</v>
      </c>
      <c r="CP12" s="50" t="s">
        <v>18244</v>
      </c>
      <c r="CQ12" s="50" t="s">
        <v>18244</v>
      </c>
      <c r="CR12" s="50" t="s">
        <v>26042</v>
      </c>
    </row>
    <row r="13" spans="1:96">
      <c r="A13" s="50" t="s">
        <v>93</v>
      </c>
      <c r="B13" s="50">
        <v>5018396</v>
      </c>
      <c r="C13" s="50" t="s">
        <v>632</v>
      </c>
      <c r="D13" s="50" t="s">
        <v>19707</v>
      </c>
      <c r="E13" s="50" t="e">
        <f>VLOOKUP(B13,aa!B:F,5,0)</f>
        <v>#N/A</v>
      </c>
      <c r="F13" s="50" t="e">
        <f>VLOOKUP(B13,aa!B:J,9,0)</f>
        <v>#N/A</v>
      </c>
      <c r="G13" s="50" t="e">
        <f>VLOOKUP(B13,aa!B:L,11,0)</f>
        <v>#N/A</v>
      </c>
      <c r="H13" s="50" t="e">
        <f>VLOOKUP(B13,aa!B:O,14,0)</f>
        <v>#N/A</v>
      </c>
      <c r="I13" s="50" t="e">
        <f>VLOOKUP(B13,aa!B:R,17,0)</f>
        <v>#N/A</v>
      </c>
      <c r="K13" s="50" t="s">
        <v>97</v>
      </c>
      <c r="L13" s="50">
        <v>0</v>
      </c>
      <c r="M13" s="50">
        <v>0</v>
      </c>
      <c r="N13" s="50">
        <v>0</v>
      </c>
      <c r="O13" s="50">
        <v>125</v>
      </c>
      <c r="P13" s="50" t="s">
        <v>102</v>
      </c>
      <c r="Q13" s="50">
        <v>0</v>
      </c>
      <c r="R13" s="50">
        <v>0</v>
      </c>
      <c r="T13" s="50">
        <v>0</v>
      </c>
      <c r="U13" s="50">
        <v>0</v>
      </c>
      <c r="W13" s="50" t="s">
        <v>102</v>
      </c>
      <c r="X13" s="50" t="s">
        <v>103</v>
      </c>
      <c r="Y13" s="50" t="s">
        <v>104</v>
      </c>
      <c r="AA13" s="50" t="s">
        <v>14689</v>
      </c>
      <c r="AB13" s="50" t="s">
        <v>102</v>
      </c>
      <c r="AC13" s="50" t="s">
        <v>11976</v>
      </c>
      <c r="AD13" s="50" t="s">
        <v>102</v>
      </c>
      <c r="AE13" s="50" t="s">
        <v>109</v>
      </c>
      <c r="AF13" s="50" t="s">
        <v>102</v>
      </c>
      <c r="AG13" s="50" t="s">
        <v>109</v>
      </c>
      <c r="AH13" s="50" t="s">
        <v>102</v>
      </c>
      <c r="AI13" s="50" t="s">
        <v>102</v>
      </c>
      <c r="AL13" s="50" t="s">
        <v>102</v>
      </c>
      <c r="AM13" s="50" t="s">
        <v>102</v>
      </c>
      <c r="AN13" s="50" t="s">
        <v>102</v>
      </c>
      <c r="AO13" s="50" t="s">
        <v>115</v>
      </c>
      <c r="AP13" s="50" t="s">
        <v>115</v>
      </c>
      <c r="AU13" s="50" t="s">
        <v>318</v>
      </c>
      <c r="AV13" s="50" t="s">
        <v>250</v>
      </c>
      <c r="AW13" s="50" t="s">
        <v>102</v>
      </c>
      <c r="AX13" s="50" t="s">
        <v>119</v>
      </c>
      <c r="BB13" s="50" t="s">
        <v>1964</v>
      </c>
      <c r="BC13" s="50" t="s">
        <v>620</v>
      </c>
      <c r="BD13" s="50" t="s">
        <v>621</v>
      </c>
      <c r="BE13" s="50" t="s">
        <v>622</v>
      </c>
      <c r="BF13" s="50" t="s">
        <v>623</v>
      </c>
      <c r="BG13" s="50" t="s">
        <v>124</v>
      </c>
      <c r="BH13" s="50" t="s">
        <v>12023</v>
      </c>
      <c r="BI13" s="50" t="s">
        <v>11889</v>
      </c>
      <c r="BJ13" s="50" t="s">
        <v>127</v>
      </c>
      <c r="BK13" s="50" t="s">
        <v>19708</v>
      </c>
      <c r="BL13" s="50" t="s">
        <v>19709</v>
      </c>
      <c r="BM13" s="50" t="s">
        <v>19710</v>
      </c>
      <c r="BN13" s="50" t="s">
        <v>1523</v>
      </c>
      <c r="BO13" s="50" t="s">
        <v>1670</v>
      </c>
      <c r="BP13" s="50" t="s">
        <v>258</v>
      </c>
      <c r="BQ13" s="50" t="s">
        <v>1671</v>
      </c>
      <c r="BR13" s="50" t="s">
        <v>1672</v>
      </c>
      <c r="BS13" s="50" t="s">
        <v>8262</v>
      </c>
      <c r="BU13" s="50" t="s">
        <v>19711</v>
      </c>
      <c r="BV13" s="50" t="s">
        <v>19712</v>
      </c>
      <c r="BW13" s="50" t="s">
        <v>138</v>
      </c>
      <c r="BX13" s="50" t="s">
        <v>225</v>
      </c>
      <c r="BY13" s="50" t="s">
        <v>19713</v>
      </c>
      <c r="BZ13" s="50" t="s">
        <v>19714</v>
      </c>
      <c r="CA13" s="50" t="s">
        <v>14697</v>
      </c>
      <c r="CB13" s="50" t="s">
        <v>14698</v>
      </c>
      <c r="CC13" s="50" t="s">
        <v>14695</v>
      </c>
      <c r="CD13" s="50" t="s">
        <v>19715</v>
      </c>
      <c r="CE13" s="50" t="s">
        <v>19714</v>
      </c>
      <c r="CF13" s="50" t="s">
        <v>19716</v>
      </c>
      <c r="CG13" s="50" t="s">
        <v>19717</v>
      </c>
      <c r="CH13" s="50" t="s">
        <v>19718</v>
      </c>
      <c r="CJ13" s="50" t="s">
        <v>19719</v>
      </c>
      <c r="CK13" s="50" t="s">
        <v>19718</v>
      </c>
      <c r="CL13" s="50" t="s">
        <v>620</v>
      </c>
      <c r="CM13" s="50" t="s">
        <v>621</v>
      </c>
      <c r="CN13" s="50" t="s">
        <v>19719</v>
      </c>
      <c r="CP13" s="50" t="s">
        <v>19718</v>
      </c>
      <c r="CQ13" s="50" t="s">
        <v>19718</v>
      </c>
      <c r="CR13" s="50" t="s">
        <v>26045</v>
      </c>
    </row>
    <row r="14" spans="1:96">
      <c r="A14" s="50" t="s">
        <v>93</v>
      </c>
      <c r="B14" s="50">
        <v>3327620</v>
      </c>
      <c r="C14" s="50" t="s">
        <v>12121</v>
      </c>
      <c r="D14" s="50" t="s">
        <v>15588</v>
      </c>
      <c r="E14" s="50" t="str">
        <f>VLOOKUP(B14,aa!B:F,5,0)</f>
        <v>Ei CARES</v>
      </c>
      <c r="F14" s="50">
        <f>VLOOKUP(B14,aa!B:J,9,0)</f>
        <v>2272400</v>
      </c>
      <c r="G14" s="50">
        <f>VLOOKUP(B14,aa!B:L,11,0)</f>
        <v>0</v>
      </c>
      <c r="H14" s="50">
        <f>VLOOKUP(B14,aa!B:O,14,0)</f>
        <v>2272400</v>
      </c>
      <c r="I14" s="50">
        <f>VLOOKUP(B14,aa!B:R,17,0)</f>
        <v>0</v>
      </c>
      <c r="K14" s="50" t="s">
        <v>152</v>
      </c>
      <c r="L14" s="50">
        <v>2188800</v>
      </c>
      <c r="M14" s="50">
        <v>2188800</v>
      </c>
      <c r="N14" s="50">
        <v>0</v>
      </c>
      <c r="O14" s="50">
        <v>0</v>
      </c>
      <c r="Q14" s="50">
        <v>2188800</v>
      </c>
      <c r="R14" s="50">
        <v>1152</v>
      </c>
      <c r="S14" s="50" t="s">
        <v>13436</v>
      </c>
      <c r="T14" s="50">
        <v>0</v>
      </c>
      <c r="U14" s="50">
        <v>0</v>
      </c>
      <c r="W14" s="50" t="s">
        <v>102</v>
      </c>
      <c r="X14" s="50" t="s">
        <v>103</v>
      </c>
      <c r="Y14" s="50" t="s">
        <v>155</v>
      </c>
      <c r="AA14" s="50" t="s">
        <v>107</v>
      </c>
      <c r="AB14" s="50" t="s">
        <v>15589</v>
      </c>
      <c r="AC14" s="50" t="s">
        <v>6918</v>
      </c>
      <c r="AD14" s="50" t="s">
        <v>15590</v>
      </c>
      <c r="AE14" s="50" t="s">
        <v>13583</v>
      </c>
      <c r="AF14" s="50" t="s">
        <v>15591</v>
      </c>
      <c r="AG14" s="50" t="s">
        <v>12728</v>
      </c>
      <c r="AH14" s="50" t="s">
        <v>15592</v>
      </c>
      <c r="AI14" s="50" t="s">
        <v>15593</v>
      </c>
      <c r="AJ14" s="50" t="s">
        <v>2816</v>
      </c>
      <c r="AK14" s="50" t="s">
        <v>15054</v>
      </c>
      <c r="AL14" s="50" t="s">
        <v>15594</v>
      </c>
      <c r="AM14" s="50" t="s">
        <v>15595</v>
      </c>
      <c r="AN14" s="50" t="s">
        <v>15596</v>
      </c>
      <c r="AO14" s="50" t="s">
        <v>116</v>
      </c>
      <c r="AP14" s="50" t="s">
        <v>116</v>
      </c>
      <c r="AU14" s="50" t="s">
        <v>102</v>
      </c>
      <c r="AW14" s="50" t="s">
        <v>1758</v>
      </c>
      <c r="AX14" s="50" t="s">
        <v>119</v>
      </c>
      <c r="AY14" s="50" t="s">
        <v>170</v>
      </c>
      <c r="AZ14" s="50" t="s">
        <v>118</v>
      </c>
      <c r="BB14" s="50" t="s">
        <v>120</v>
      </c>
      <c r="BC14" s="50" t="s">
        <v>555</v>
      </c>
      <c r="BD14" s="50" t="s">
        <v>556</v>
      </c>
      <c r="BE14" s="50" t="s">
        <v>122</v>
      </c>
      <c r="BF14" s="50" t="s">
        <v>557</v>
      </c>
      <c r="BG14" s="50" t="s">
        <v>124</v>
      </c>
      <c r="BH14" s="50" t="s">
        <v>12023</v>
      </c>
      <c r="BI14" s="50" t="s">
        <v>11889</v>
      </c>
      <c r="BJ14" s="50" t="s">
        <v>127</v>
      </c>
      <c r="BK14" s="50" t="s">
        <v>15597</v>
      </c>
      <c r="BL14" s="50" t="s">
        <v>15598</v>
      </c>
      <c r="BM14" s="50" t="s">
        <v>15599</v>
      </c>
      <c r="BN14" s="50" t="s">
        <v>107</v>
      </c>
      <c r="BO14" s="50" t="s">
        <v>563</v>
      </c>
      <c r="BP14" s="50" t="s">
        <v>132</v>
      </c>
      <c r="BQ14" s="50" t="s">
        <v>564</v>
      </c>
      <c r="BR14" s="50" t="s">
        <v>565</v>
      </c>
      <c r="BS14" s="50" t="s">
        <v>563</v>
      </c>
      <c r="BU14" s="50" t="s">
        <v>15600</v>
      </c>
      <c r="BV14" s="50" t="s">
        <v>15601</v>
      </c>
      <c r="BW14" s="50" t="s">
        <v>354</v>
      </c>
      <c r="BX14" s="50" t="s">
        <v>15602</v>
      </c>
      <c r="BY14" s="50" t="s">
        <v>15603</v>
      </c>
      <c r="BZ14" s="50" t="s">
        <v>15602</v>
      </c>
      <c r="CA14" s="50" t="s">
        <v>15604</v>
      </c>
      <c r="CB14" s="50" t="s">
        <v>15602</v>
      </c>
      <c r="CC14" s="50" t="s">
        <v>15605</v>
      </c>
      <c r="CD14" s="50" t="s">
        <v>15606</v>
      </c>
      <c r="CE14" s="50" t="s">
        <v>15607</v>
      </c>
      <c r="CF14" s="50" t="s">
        <v>15605</v>
      </c>
      <c r="CG14" s="50" t="s">
        <v>3841</v>
      </c>
      <c r="CH14" s="50" t="s">
        <v>15608</v>
      </c>
      <c r="CJ14" s="50" t="s">
        <v>15609</v>
      </c>
      <c r="CK14" s="50" t="s">
        <v>15608</v>
      </c>
      <c r="CL14" s="50" t="s">
        <v>555</v>
      </c>
      <c r="CM14" s="50" t="s">
        <v>556</v>
      </c>
      <c r="CN14" s="50" t="s">
        <v>15609</v>
      </c>
      <c r="CO14" s="50" t="s">
        <v>15610</v>
      </c>
      <c r="CP14" s="50" t="s">
        <v>15608</v>
      </c>
      <c r="CQ14" s="50" t="s">
        <v>15608</v>
      </c>
    </row>
    <row r="15" spans="1:96">
      <c r="A15" s="50" t="s">
        <v>93</v>
      </c>
      <c r="B15" s="50">
        <v>4091040</v>
      </c>
      <c r="C15" s="50" t="s">
        <v>12155</v>
      </c>
      <c r="D15" s="50" t="s">
        <v>18069</v>
      </c>
      <c r="E15" s="50" t="str">
        <f>VLOOKUP(B15,aa!B:F,5,0)</f>
        <v>Ei CARES</v>
      </c>
      <c r="F15" s="50">
        <f>VLOOKUP(B15,aa!B:J,9,0)</f>
        <v>436451</v>
      </c>
      <c r="G15" s="50">
        <f>VLOOKUP(B15,aa!B:L,11,0)</f>
        <v>0</v>
      </c>
      <c r="H15" s="50">
        <f>VLOOKUP(B15,aa!B:O,14,0)</f>
        <v>436451</v>
      </c>
      <c r="I15" s="50">
        <f>VLOOKUP(B15,aa!B:R,17,0)</f>
        <v>0</v>
      </c>
      <c r="K15" s="50" t="s">
        <v>152</v>
      </c>
      <c r="L15" s="50">
        <v>447065</v>
      </c>
      <c r="M15" s="50">
        <v>447065</v>
      </c>
      <c r="N15" s="50">
        <v>0</v>
      </c>
      <c r="O15" s="50">
        <v>0</v>
      </c>
      <c r="Q15" s="50">
        <v>447065</v>
      </c>
      <c r="R15" s="50">
        <v>552</v>
      </c>
      <c r="S15" s="50" t="s">
        <v>6750</v>
      </c>
      <c r="T15" s="50">
        <v>0</v>
      </c>
      <c r="U15" s="50">
        <v>0</v>
      </c>
      <c r="W15" s="50" t="s">
        <v>102</v>
      </c>
      <c r="X15" s="50" t="s">
        <v>103</v>
      </c>
      <c r="Y15" s="50" t="s">
        <v>155</v>
      </c>
      <c r="AA15" s="50" t="s">
        <v>1305</v>
      </c>
      <c r="AB15" s="50" t="s">
        <v>18070</v>
      </c>
      <c r="AC15" s="50" t="s">
        <v>13033</v>
      </c>
      <c r="AD15" s="50" t="s">
        <v>18070</v>
      </c>
      <c r="AE15" s="50" t="s">
        <v>13034</v>
      </c>
      <c r="AF15" s="50" t="s">
        <v>18070</v>
      </c>
      <c r="AG15" s="50" t="s">
        <v>12713</v>
      </c>
      <c r="AH15" s="50" t="s">
        <v>18070</v>
      </c>
      <c r="AI15" s="50" t="s">
        <v>102</v>
      </c>
      <c r="AJ15" s="50" t="s">
        <v>8996</v>
      </c>
      <c r="AK15" s="50" t="s">
        <v>13000</v>
      </c>
      <c r="AL15" s="50" t="s">
        <v>18071</v>
      </c>
      <c r="AM15" s="50" t="s">
        <v>18072</v>
      </c>
      <c r="AN15" s="50" t="s">
        <v>18073</v>
      </c>
      <c r="AO15" s="50" t="s">
        <v>18074</v>
      </c>
      <c r="AP15" s="50" t="s">
        <v>18074</v>
      </c>
      <c r="AU15" s="50" t="s">
        <v>102</v>
      </c>
      <c r="AW15" s="50" t="s">
        <v>155</v>
      </c>
      <c r="AX15" s="50" t="s">
        <v>447</v>
      </c>
      <c r="AY15" s="50" t="s">
        <v>170</v>
      </c>
      <c r="AZ15" s="50" t="s">
        <v>118</v>
      </c>
      <c r="BB15" s="50" t="s">
        <v>120</v>
      </c>
      <c r="BC15" s="50" t="s">
        <v>18075</v>
      </c>
      <c r="BD15" s="50" t="s">
        <v>173</v>
      </c>
      <c r="BE15" s="50" t="s">
        <v>174</v>
      </c>
      <c r="BF15" s="50" t="s">
        <v>173</v>
      </c>
      <c r="BG15" s="50" t="s">
        <v>124</v>
      </c>
      <c r="BH15" s="50" t="s">
        <v>12023</v>
      </c>
      <c r="BI15" s="50" t="s">
        <v>11889</v>
      </c>
      <c r="BJ15" s="50" t="s">
        <v>127</v>
      </c>
      <c r="BK15" s="50" t="s">
        <v>18076</v>
      </c>
      <c r="BL15" s="50" t="s">
        <v>18077</v>
      </c>
      <c r="BM15" s="50" t="s">
        <v>18078</v>
      </c>
      <c r="BN15" s="50" t="s">
        <v>107</v>
      </c>
      <c r="BO15" s="50" t="s">
        <v>9823</v>
      </c>
      <c r="BP15" s="50" t="s">
        <v>180</v>
      </c>
      <c r="BQ15" s="50" t="s">
        <v>9824</v>
      </c>
      <c r="BR15" s="50" t="s">
        <v>9825</v>
      </c>
      <c r="BS15" s="50" t="s">
        <v>1176</v>
      </c>
      <c r="BU15" s="50" t="s">
        <v>18079</v>
      </c>
      <c r="BV15" s="50" t="s">
        <v>18080</v>
      </c>
      <c r="BW15" s="50" t="s">
        <v>138</v>
      </c>
      <c r="BX15" s="50" t="s">
        <v>18081</v>
      </c>
      <c r="BY15" s="50" t="s">
        <v>18082</v>
      </c>
      <c r="BZ15" s="50" t="s">
        <v>18083</v>
      </c>
      <c r="CA15" s="50" t="s">
        <v>18084</v>
      </c>
      <c r="CB15" s="50" t="s">
        <v>18081</v>
      </c>
      <c r="CC15" s="50" t="s">
        <v>18082</v>
      </c>
      <c r="CD15" s="50" t="s">
        <v>18085</v>
      </c>
      <c r="CE15" s="50" t="s">
        <v>18086</v>
      </c>
      <c r="CF15" s="50" t="s">
        <v>18087</v>
      </c>
      <c r="CG15" s="50" t="s">
        <v>18088</v>
      </c>
      <c r="CH15" s="50" t="s">
        <v>18089</v>
      </c>
      <c r="CJ15" s="50" t="s">
        <v>18090</v>
      </c>
      <c r="CK15" s="50" t="s">
        <v>18089</v>
      </c>
      <c r="CL15" s="50" t="s">
        <v>18075</v>
      </c>
      <c r="CM15" s="50" t="s">
        <v>173</v>
      </c>
      <c r="CN15" s="50" t="s">
        <v>18090</v>
      </c>
      <c r="CP15" s="50" t="s">
        <v>18089</v>
      </c>
      <c r="CQ15" s="50" t="s">
        <v>18089</v>
      </c>
    </row>
    <row r="16" spans="1:96">
      <c r="A16" s="50" t="s">
        <v>93</v>
      </c>
      <c r="B16" s="50">
        <v>4050265</v>
      </c>
      <c r="C16" s="50" t="s">
        <v>3562</v>
      </c>
      <c r="D16" s="50" t="s">
        <v>8635</v>
      </c>
      <c r="E16" s="50" t="str">
        <f>VLOOKUP(B16,aa!B:F,5,0)</f>
        <v>Ei CARES</v>
      </c>
      <c r="F16" s="50">
        <f>VLOOKUP(B16,aa!B:J,9,0)</f>
        <v>413965</v>
      </c>
      <c r="G16" s="50">
        <f>VLOOKUP(B16,aa!B:L,11,0)</f>
        <v>0</v>
      </c>
      <c r="H16" s="50">
        <f>VLOOKUP(B16,aa!B:O,14,0)</f>
        <v>413965</v>
      </c>
      <c r="I16" s="50">
        <f>VLOOKUP(B16,aa!B:R,17,0)</f>
        <v>0</v>
      </c>
      <c r="K16" s="50" t="s">
        <v>152</v>
      </c>
      <c r="L16" s="50">
        <v>244400</v>
      </c>
      <c r="M16" s="50">
        <v>244400</v>
      </c>
      <c r="N16" s="50">
        <v>0</v>
      </c>
      <c r="O16" s="50">
        <v>0</v>
      </c>
      <c r="Q16" s="50">
        <v>244400</v>
      </c>
      <c r="R16" s="50">
        <v>376</v>
      </c>
      <c r="S16" s="50" t="s">
        <v>1122</v>
      </c>
      <c r="T16" s="50">
        <v>0</v>
      </c>
      <c r="U16" s="50">
        <v>0</v>
      </c>
      <c r="W16" s="50" t="s">
        <v>102</v>
      </c>
      <c r="X16" s="50" t="s">
        <v>275</v>
      </c>
      <c r="Z16" s="50" t="s">
        <v>411</v>
      </c>
      <c r="AA16" s="50" t="s">
        <v>109</v>
      </c>
      <c r="AB16" s="50" t="s">
        <v>102</v>
      </c>
      <c r="AC16" s="50" t="s">
        <v>109</v>
      </c>
      <c r="AD16" s="50" t="s">
        <v>102</v>
      </c>
      <c r="AE16" s="50" t="s">
        <v>109</v>
      </c>
      <c r="AF16" s="50" t="s">
        <v>102</v>
      </c>
      <c r="AG16" s="50" t="s">
        <v>109</v>
      </c>
      <c r="AH16" s="50" t="s">
        <v>102</v>
      </c>
      <c r="AI16" s="50" t="s">
        <v>102</v>
      </c>
      <c r="AJ16" s="50" t="s">
        <v>10729</v>
      </c>
      <c r="AK16" s="50" t="s">
        <v>10729</v>
      </c>
      <c r="AL16" s="50" t="s">
        <v>18011</v>
      </c>
      <c r="AM16" s="50" t="s">
        <v>18012</v>
      </c>
      <c r="AN16" s="50" t="s">
        <v>18013</v>
      </c>
      <c r="AO16" s="50" t="s">
        <v>116</v>
      </c>
      <c r="AP16" s="50" t="s">
        <v>116</v>
      </c>
      <c r="AU16" s="50" t="s">
        <v>102</v>
      </c>
      <c r="AW16" s="50" t="s">
        <v>155</v>
      </c>
      <c r="AX16" s="50" t="s">
        <v>447</v>
      </c>
      <c r="AY16" s="50" t="s">
        <v>170</v>
      </c>
      <c r="AZ16" s="50" t="s">
        <v>118</v>
      </c>
      <c r="BB16" s="50" t="s">
        <v>8636</v>
      </c>
      <c r="BC16" s="50" t="s">
        <v>8637</v>
      </c>
      <c r="BD16" s="50" t="s">
        <v>730</v>
      </c>
      <c r="BE16" s="50" t="s">
        <v>622</v>
      </c>
      <c r="BF16" s="50" t="s">
        <v>730</v>
      </c>
      <c r="BG16" s="50" t="s">
        <v>124</v>
      </c>
      <c r="BH16" s="50" t="s">
        <v>12023</v>
      </c>
      <c r="BI16" s="50" t="s">
        <v>11889</v>
      </c>
      <c r="BJ16" s="50" t="s">
        <v>127</v>
      </c>
      <c r="BK16" s="50" t="s">
        <v>18014</v>
      </c>
      <c r="BL16" s="50" t="s">
        <v>8638</v>
      </c>
      <c r="BM16" s="50" t="s">
        <v>18015</v>
      </c>
      <c r="BN16" s="50" t="s">
        <v>685</v>
      </c>
      <c r="BO16" s="50" t="s">
        <v>2262</v>
      </c>
      <c r="BP16" s="50" t="s">
        <v>505</v>
      </c>
      <c r="BQ16" s="50" t="s">
        <v>2263</v>
      </c>
      <c r="BR16" s="50" t="s">
        <v>2264</v>
      </c>
      <c r="BS16" s="50" t="s">
        <v>2331</v>
      </c>
      <c r="BU16" s="50" t="s">
        <v>18016</v>
      </c>
      <c r="BV16" s="50" t="s">
        <v>8639</v>
      </c>
      <c r="BW16" s="50" t="s">
        <v>354</v>
      </c>
      <c r="BX16" s="50" t="s">
        <v>8640</v>
      </c>
      <c r="BY16" s="50" t="s">
        <v>8641</v>
      </c>
      <c r="BZ16" s="50" t="s">
        <v>8642</v>
      </c>
      <c r="CA16" s="50" t="s">
        <v>8643</v>
      </c>
      <c r="CB16" s="50" t="s">
        <v>8644</v>
      </c>
      <c r="CC16" s="50" t="s">
        <v>8645</v>
      </c>
      <c r="CD16" s="50" t="s">
        <v>8643</v>
      </c>
      <c r="CE16" s="50" t="s">
        <v>8644</v>
      </c>
      <c r="CF16" s="50" t="s">
        <v>8645</v>
      </c>
      <c r="CG16" s="50" t="s">
        <v>8646</v>
      </c>
      <c r="CH16" s="50" t="s">
        <v>8647</v>
      </c>
      <c r="CJ16" s="50" t="s">
        <v>8648</v>
      </c>
      <c r="CK16" s="50" t="s">
        <v>8647</v>
      </c>
      <c r="CL16" s="50" t="s">
        <v>8637</v>
      </c>
      <c r="CM16" s="50" t="s">
        <v>730</v>
      </c>
      <c r="CN16" s="50" t="s">
        <v>8648</v>
      </c>
      <c r="CP16" s="50" t="s">
        <v>8647</v>
      </c>
      <c r="CQ16" s="50" t="s">
        <v>8647</v>
      </c>
      <c r="CR16" s="50" t="s">
        <v>26048</v>
      </c>
    </row>
    <row r="17" spans="1:96">
      <c r="A17" s="50" t="s">
        <v>93</v>
      </c>
      <c r="B17" s="50">
        <v>5018453</v>
      </c>
      <c r="C17" s="50" t="s">
        <v>12423</v>
      </c>
      <c r="D17" s="50" t="s">
        <v>19809</v>
      </c>
      <c r="E17" s="50" t="e">
        <f>VLOOKUP(B17,aa!B:F,5,0)</f>
        <v>#N/A</v>
      </c>
      <c r="F17" s="50" t="e">
        <f>VLOOKUP(B17,aa!B:J,9,0)</f>
        <v>#N/A</v>
      </c>
      <c r="G17" s="50" t="e">
        <f>VLOOKUP(B17,aa!B:L,11,0)</f>
        <v>#N/A</v>
      </c>
      <c r="H17" s="50" t="e">
        <f>VLOOKUP(B17,aa!B:O,14,0)</f>
        <v>#N/A</v>
      </c>
      <c r="I17" s="50" t="e">
        <f>VLOOKUP(B17,aa!B:R,17,0)</f>
        <v>#N/A</v>
      </c>
      <c r="K17" s="50" t="s">
        <v>8024</v>
      </c>
      <c r="L17" s="50">
        <v>2420925</v>
      </c>
      <c r="M17" s="50">
        <v>2664830</v>
      </c>
      <c r="N17" s="50">
        <v>0</v>
      </c>
      <c r="O17" s="50">
        <v>0</v>
      </c>
      <c r="Q17" s="50">
        <v>1065900</v>
      </c>
      <c r="R17" s="50">
        <v>1615</v>
      </c>
      <c r="S17" s="50" t="s">
        <v>4273</v>
      </c>
      <c r="T17" s="50">
        <v>1355025</v>
      </c>
      <c r="U17" s="50">
        <v>1615</v>
      </c>
      <c r="V17" s="50" t="s">
        <v>19810</v>
      </c>
      <c r="W17" s="50" t="s">
        <v>102</v>
      </c>
      <c r="X17" s="50" t="s">
        <v>103</v>
      </c>
      <c r="Y17" s="50" t="s">
        <v>398</v>
      </c>
      <c r="AA17" s="50" t="s">
        <v>1721</v>
      </c>
      <c r="AB17" s="50" t="s">
        <v>19811</v>
      </c>
      <c r="AC17" s="50" t="s">
        <v>1941</v>
      </c>
      <c r="AD17" s="50" t="s">
        <v>19812</v>
      </c>
      <c r="AE17" s="50" t="s">
        <v>13395</v>
      </c>
      <c r="AF17" s="50" t="s">
        <v>19813</v>
      </c>
      <c r="AG17" s="50" t="s">
        <v>109</v>
      </c>
      <c r="AH17" s="50" t="s">
        <v>102</v>
      </c>
      <c r="AI17" s="50" t="s">
        <v>102</v>
      </c>
      <c r="AJ17" s="50" t="s">
        <v>2324</v>
      </c>
      <c r="AK17" s="50" t="s">
        <v>12429</v>
      </c>
      <c r="AL17" s="50" t="s">
        <v>19814</v>
      </c>
      <c r="AM17" s="50" t="s">
        <v>19815</v>
      </c>
      <c r="AN17" s="50" t="s">
        <v>19816</v>
      </c>
      <c r="AO17" s="50" t="s">
        <v>19817</v>
      </c>
      <c r="AP17" s="50" t="s">
        <v>15155</v>
      </c>
      <c r="AR17" s="50" t="s">
        <v>169</v>
      </c>
      <c r="AS17" s="50" t="s">
        <v>169</v>
      </c>
      <c r="AU17" s="50" t="s">
        <v>102</v>
      </c>
      <c r="AW17" s="50" t="s">
        <v>155</v>
      </c>
      <c r="AX17" s="50" t="s">
        <v>119</v>
      </c>
      <c r="AZ17" s="50" t="s">
        <v>250</v>
      </c>
      <c r="BA17" s="50" t="s">
        <v>250</v>
      </c>
      <c r="BB17" s="50" t="s">
        <v>598</v>
      </c>
      <c r="BC17" s="50" t="s">
        <v>4049</v>
      </c>
      <c r="BD17" s="50" t="s">
        <v>410</v>
      </c>
      <c r="BE17" s="50" t="s">
        <v>212</v>
      </c>
      <c r="BF17" s="50" t="s">
        <v>410</v>
      </c>
      <c r="BG17" s="50" t="s">
        <v>124</v>
      </c>
      <c r="BH17" s="50" t="s">
        <v>11959</v>
      </c>
      <c r="BI17" s="50" t="s">
        <v>11960</v>
      </c>
      <c r="BJ17" s="50" t="s">
        <v>127</v>
      </c>
      <c r="BK17" s="50" t="s">
        <v>19818</v>
      </c>
      <c r="BL17" s="50" t="s">
        <v>19819</v>
      </c>
      <c r="BM17" s="50" t="s">
        <v>19820</v>
      </c>
      <c r="BN17" s="50" t="s">
        <v>1721</v>
      </c>
      <c r="BO17" s="50" t="s">
        <v>4053</v>
      </c>
      <c r="BP17" s="50" t="s">
        <v>505</v>
      </c>
      <c r="BQ17" s="50" t="s">
        <v>4054</v>
      </c>
      <c r="BR17" s="50" t="s">
        <v>4055</v>
      </c>
      <c r="BS17" s="50" t="s">
        <v>4056</v>
      </c>
      <c r="BU17" s="50" t="s">
        <v>19821</v>
      </c>
      <c r="BV17" s="50" t="s">
        <v>19822</v>
      </c>
      <c r="BW17" s="50" t="s">
        <v>354</v>
      </c>
      <c r="BX17" s="50" t="s">
        <v>19823</v>
      </c>
      <c r="BY17" s="50" t="s">
        <v>1559</v>
      </c>
      <c r="BZ17" s="50" t="s">
        <v>19823</v>
      </c>
      <c r="CA17" s="50" t="s">
        <v>19824</v>
      </c>
      <c r="CB17" s="50" t="s">
        <v>19105</v>
      </c>
      <c r="CC17" s="50" t="s">
        <v>19825</v>
      </c>
      <c r="CD17" s="50" t="s">
        <v>19824</v>
      </c>
      <c r="CE17" s="50" t="s">
        <v>19105</v>
      </c>
      <c r="CF17" s="50" t="s">
        <v>19825</v>
      </c>
      <c r="CG17" s="50" t="s">
        <v>492</v>
      </c>
      <c r="CH17" s="50" t="s">
        <v>19826</v>
      </c>
      <c r="CJ17" s="50" t="s">
        <v>19827</v>
      </c>
      <c r="CK17" s="50" t="s">
        <v>19828</v>
      </c>
      <c r="CL17" s="50" t="s">
        <v>4049</v>
      </c>
      <c r="CM17" s="50" t="s">
        <v>1711</v>
      </c>
      <c r="CN17" s="50" t="s">
        <v>19827</v>
      </c>
      <c r="CP17" s="50" t="s">
        <v>19826</v>
      </c>
      <c r="CQ17" s="50" t="s">
        <v>19828</v>
      </c>
      <c r="CR17" s="50" t="s">
        <v>26040</v>
      </c>
    </row>
    <row r="18" spans="1:96">
      <c r="A18" s="95" t="s">
        <v>149</v>
      </c>
      <c r="B18" s="50">
        <v>5017447</v>
      </c>
      <c r="C18" s="50" t="s">
        <v>384</v>
      </c>
      <c r="D18" s="50" t="s">
        <v>9972</v>
      </c>
      <c r="E18" s="50" t="str">
        <f>VLOOKUP(B18,aa!B:F,5,0)</f>
        <v>Ei Mindspark</v>
      </c>
      <c r="F18" s="50">
        <f>VLOOKUP(B18,aa!B:J,9,0)</f>
        <v>772843</v>
      </c>
      <c r="G18" s="50">
        <f>VLOOKUP(B18,aa!B:L,11,0)</f>
        <v>0</v>
      </c>
      <c r="H18" s="50">
        <f>VLOOKUP(B18,aa!B:O,14,0)</f>
        <v>0</v>
      </c>
      <c r="I18" s="50">
        <f>VLOOKUP(B18,aa!B:R,17,0)</f>
        <v>772843</v>
      </c>
      <c r="K18" s="50" t="s">
        <v>848</v>
      </c>
      <c r="L18" s="50">
        <v>694255</v>
      </c>
      <c r="M18" s="50">
        <v>819221</v>
      </c>
      <c r="N18" s="50">
        <v>0</v>
      </c>
      <c r="O18" s="50">
        <v>0</v>
      </c>
      <c r="Q18" s="50">
        <v>0</v>
      </c>
      <c r="R18" s="50">
        <v>0</v>
      </c>
      <c r="T18" s="50">
        <v>694255</v>
      </c>
      <c r="U18" s="50">
        <v>300</v>
      </c>
      <c r="V18" s="50" t="s">
        <v>19036</v>
      </c>
      <c r="W18" s="50" t="s">
        <v>102</v>
      </c>
      <c r="X18" s="50" t="s">
        <v>103</v>
      </c>
      <c r="Y18" s="50" t="s">
        <v>155</v>
      </c>
      <c r="AA18" s="50" t="s">
        <v>19037</v>
      </c>
      <c r="AB18" s="50" t="s">
        <v>19038</v>
      </c>
      <c r="AC18" s="50" t="s">
        <v>11925</v>
      </c>
      <c r="AD18" s="50" t="s">
        <v>19038</v>
      </c>
      <c r="AE18" s="50" t="s">
        <v>12427</v>
      </c>
      <c r="AF18" s="50" t="s">
        <v>19038</v>
      </c>
      <c r="AG18" s="50" t="s">
        <v>16007</v>
      </c>
      <c r="AH18" s="50" t="s">
        <v>19038</v>
      </c>
      <c r="AI18" s="50" t="s">
        <v>19039</v>
      </c>
      <c r="AJ18" s="50" t="s">
        <v>13186</v>
      </c>
      <c r="AK18" s="50" t="s">
        <v>12696</v>
      </c>
      <c r="AL18" s="50" t="s">
        <v>19040</v>
      </c>
      <c r="AM18" s="50" t="s">
        <v>19041</v>
      </c>
      <c r="AN18" s="50" t="s">
        <v>19042</v>
      </c>
      <c r="AO18" s="50" t="s">
        <v>19043</v>
      </c>
      <c r="AP18" s="50" t="s">
        <v>19043</v>
      </c>
      <c r="AU18" s="50" t="s">
        <v>102</v>
      </c>
      <c r="AW18" s="50" t="s">
        <v>102</v>
      </c>
      <c r="AX18" s="50" t="s">
        <v>119</v>
      </c>
      <c r="BA18" s="50" t="s">
        <v>250</v>
      </c>
      <c r="BB18" s="50" t="s">
        <v>120</v>
      </c>
      <c r="BC18" s="50" t="s">
        <v>375</v>
      </c>
      <c r="BD18" s="50" t="s">
        <v>376</v>
      </c>
      <c r="BE18" s="50" t="s">
        <v>174</v>
      </c>
      <c r="BF18" s="50" t="s">
        <v>376</v>
      </c>
      <c r="BG18" s="50" t="s">
        <v>124</v>
      </c>
      <c r="BH18" s="50" t="s">
        <v>12023</v>
      </c>
      <c r="BI18" s="50" t="s">
        <v>11889</v>
      </c>
      <c r="BJ18" s="50" t="s">
        <v>127</v>
      </c>
      <c r="BK18" s="50" t="s">
        <v>19044</v>
      </c>
      <c r="BL18" s="50" t="s">
        <v>9981</v>
      </c>
      <c r="BM18" s="50" t="s">
        <v>19045</v>
      </c>
      <c r="BN18" s="50" t="s">
        <v>7236</v>
      </c>
      <c r="BO18" s="50" t="s">
        <v>12934</v>
      </c>
      <c r="BP18" s="50" t="s">
        <v>180</v>
      </c>
      <c r="BQ18" s="50" t="s">
        <v>12935</v>
      </c>
      <c r="BR18" s="50" t="s">
        <v>12936</v>
      </c>
      <c r="BS18" s="50" t="s">
        <v>1858</v>
      </c>
      <c r="BU18" s="50" t="s">
        <v>19046</v>
      </c>
      <c r="BV18" s="50" t="s">
        <v>12777</v>
      </c>
      <c r="BW18" s="50" t="s">
        <v>354</v>
      </c>
      <c r="BX18" s="50" t="s">
        <v>1511</v>
      </c>
      <c r="BY18" s="50" t="s">
        <v>1512</v>
      </c>
      <c r="BZ18" s="50" t="s">
        <v>1511</v>
      </c>
      <c r="CA18" s="50" t="s">
        <v>12777</v>
      </c>
      <c r="CB18" s="50" t="s">
        <v>1511</v>
      </c>
      <c r="CC18" s="50" t="s">
        <v>1512</v>
      </c>
      <c r="CD18" s="50" t="s">
        <v>12777</v>
      </c>
      <c r="CE18" s="50" t="s">
        <v>1511</v>
      </c>
      <c r="CF18" s="50" t="s">
        <v>1512</v>
      </c>
      <c r="CG18" s="50" t="s">
        <v>3968</v>
      </c>
      <c r="CH18" s="50" t="s">
        <v>9987</v>
      </c>
      <c r="CJ18" s="50" t="s">
        <v>9988</v>
      </c>
      <c r="CK18" s="50" t="s">
        <v>9989</v>
      </c>
      <c r="CL18" s="50" t="s">
        <v>375</v>
      </c>
      <c r="CM18" s="50" t="s">
        <v>376</v>
      </c>
      <c r="CN18" s="50" t="s">
        <v>9988</v>
      </c>
      <c r="CO18" s="50" t="s">
        <v>1516</v>
      </c>
      <c r="CP18" s="50" t="s">
        <v>9987</v>
      </c>
      <c r="CQ18" s="50" t="s">
        <v>9989</v>
      </c>
    </row>
    <row r="19" spans="1:96">
      <c r="A19" s="95" t="s">
        <v>149</v>
      </c>
      <c r="B19" s="50">
        <v>623030</v>
      </c>
      <c r="C19" s="50" t="s">
        <v>12096</v>
      </c>
      <c r="D19" s="50" t="s">
        <v>11380</v>
      </c>
      <c r="E19" s="50" t="e">
        <f>VLOOKUP(B19,aa!B:F,5,0)</f>
        <v>#N/A</v>
      </c>
      <c r="F19" s="50" t="e">
        <f>VLOOKUP(B19,aa!B:J,9,0)</f>
        <v>#N/A</v>
      </c>
      <c r="G19" s="50" t="e">
        <f>VLOOKUP(B19,aa!B:L,11,0)</f>
        <v>#N/A</v>
      </c>
      <c r="H19" s="50" t="e">
        <f>VLOOKUP(B19,aa!B:O,14,0)</f>
        <v>#N/A</v>
      </c>
      <c r="I19" s="50" t="e">
        <f>VLOOKUP(B19,aa!B:R,17,0)</f>
        <v>#N/A</v>
      </c>
      <c r="K19" s="50" t="s">
        <v>97</v>
      </c>
      <c r="L19" s="50">
        <v>291963</v>
      </c>
      <c r="M19" s="50">
        <v>291963</v>
      </c>
      <c r="N19" s="50">
        <v>291963</v>
      </c>
      <c r="O19" s="50">
        <v>365</v>
      </c>
      <c r="P19" s="50" t="s">
        <v>1297</v>
      </c>
      <c r="Q19" s="50">
        <v>0</v>
      </c>
      <c r="R19" s="50">
        <v>0</v>
      </c>
      <c r="T19" s="50">
        <v>0</v>
      </c>
      <c r="U19" s="50">
        <v>0</v>
      </c>
      <c r="W19" s="50" t="s">
        <v>102</v>
      </c>
      <c r="X19" s="50" t="s">
        <v>103</v>
      </c>
      <c r="Y19" s="50" t="s">
        <v>398</v>
      </c>
      <c r="AA19" s="50" t="s">
        <v>439</v>
      </c>
      <c r="AB19" s="50" t="s">
        <v>21302</v>
      </c>
      <c r="AC19" s="50" t="s">
        <v>4084</v>
      </c>
      <c r="AD19" s="50" t="s">
        <v>21303</v>
      </c>
      <c r="AE19" s="50" t="s">
        <v>12289</v>
      </c>
      <c r="AF19" s="50" t="s">
        <v>21304</v>
      </c>
      <c r="AG19" s="50" t="s">
        <v>109</v>
      </c>
      <c r="AH19" s="50" t="s">
        <v>102</v>
      </c>
      <c r="AI19" s="50" t="s">
        <v>102</v>
      </c>
      <c r="AJ19" s="50" t="s">
        <v>7236</v>
      </c>
      <c r="AK19" s="50" t="s">
        <v>16553</v>
      </c>
      <c r="AL19" s="50" t="s">
        <v>21305</v>
      </c>
      <c r="AM19" s="50" t="s">
        <v>21306</v>
      </c>
      <c r="AN19" s="50" t="s">
        <v>21307</v>
      </c>
      <c r="AO19" s="50" t="s">
        <v>6139</v>
      </c>
      <c r="AP19" s="50" t="s">
        <v>6139</v>
      </c>
      <c r="AU19" s="50" t="s">
        <v>117</v>
      </c>
      <c r="AV19" s="50" t="s">
        <v>118</v>
      </c>
      <c r="AW19" s="50" t="s">
        <v>102</v>
      </c>
      <c r="AX19" s="50" t="s">
        <v>119</v>
      </c>
      <c r="BB19" s="50" t="s">
        <v>209</v>
      </c>
      <c r="BC19" s="50" t="s">
        <v>2820</v>
      </c>
      <c r="BD19" s="50" t="s">
        <v>376</v>
      </c>
      <c r="BE19" s="50" t="s">
        <v>174</v>
      </c>
      <c r="BF19" s="50" t="s">
        <v>376</v>
      </c>
      <c r="BG19" s="50" t="s">
        <v>124</v>
      </c>
      <c r="BH19" s="50" t="s">
        <v>12128</v>
      </c>
      <c r="BI19" s="50" t="s">
        <v>11886</v>
      </c>
      <c r="BJ19" s="50" t="s">
        <v>127</v>
      </c>
      <c r="BK19" s="50" t="s">
        <v>21308</v>
      </c>
      <c r="BL19" s="50" t="s">
        <v>11387</v>
      </c>
      <c r="BM19" s="50" t="s">
        <v>21309</v>
      </c>
      <c r="BN19" s="50" t="s">
        <v>7236</v>
      </c>
      <c r="BO19" s="50" t="s">
        <v>12934</v>
      </c>
      <c r="BP19" s="50" t="s">
        <v>180</v>
      </c>
      <c r="BQ19" s="50" t="s">
        <v>12935</v>
      </c>
      <c r="BR19" s="50" t="s">
        <v>12936</v>
      </c>
      <c r="BS19" s="50" t="s">
        <v>1834</v>
      </c>
      <c r="BT19" s="50" t="s">
        <v>5534</v>
      </c>
      <c r="BU19" s="50" t="s">
        <v>21310</v>
      </c>
      <c r="BV19" s="50" t="s">
        <v>11390</v>
      </c>
      <c r="BW19" s="50" t="s">
        <v>138</v>
      </c>
      <c r="BX19" s="50" t="s">
        <v>11394</v>
      </c>
      <c r="BY19" s="50" t="s">
        <v>11392</v>
      </c>
      <c r="BZ19" s="50" t="s">
        <v>11393</v>
      </c>
      <c r="CA19" s="50" t="s">
        <v>11390</v>
      </c>
      <c r="CB19" s="50" t="s">
        <v>11394</v>
      </c>
      <c r="CC19" s="50" t="s">
        <v>11392</v>
      </c>
      <c r="CD19" s="50" t="s">
        <v>11390</v>
      </c>
      <c r="CE19" s="50" t="s">
        <v>11394</v>
      </c>
      <c r="CF19" s="50" t="s">
        <v>11392</v>
      </c>
      <c r="CG19" s="50" t="s">
        <v>1538</v>
      </c>
      <c r="CH19" s="50" t="s">
        <v>11397</v>
      </c>
      <c r="CJ19" s="50" t="s">
        <v>11398</v>
      </c>
      <c r="CK19" s="50" t="s">
        <v>11397</v>
      </c>
      <c r="CL19" s="50" t="s">
        <v>2820</v>
      </c>
      <c r="CM19" s="50" t="s">
        <v>376</v>
      </c>
      <c r="CN19" s="50" t="s">
        <v>11398</v>
      </c>
      <c r="CP19" s="50" t="s">
        <v>11397</v>
      </c>
      <c r="CQ19" s="50" t="s">
        <v>11397</v>
      </c>
      <c r="CR19" s="50" t="s">
        <v>26044</v>
      </c>
    </row>
    <row r="20" spans="1:96">
      <c r="A20" s="95" t="s">
        <v>149</v>
      </c>
      <c r="B20" s="50">
        <v>3626747</v>
      </c>
      <c r="C20" s="50" t="s">
        <v>16075</v>
      </c>
      <c r="D20" s="50" t="s">
        <v>16647</v>
      </c>
      <c r="E20" s="50" t="str">
        <f>VLOOKUP(B20,aa!B:F,5,0)</f>
        <v>Ei ASSET, Ei Mindspark</v>
      </c>
      <c r="F20" s="50">
        <f>VLOOKUP(B20,aa!B:J,9,0)</f>
        <v>339699</v>
      </c>
      <c r="G20" s="50">
        <f>VLOOKUP(B20,aa!B:L,11,0)</f>
        <v>98781</v>
      </c>
      <c r="H20" s="50">
        <f>VLOOKUP(B20,aa!B:O,14,0)</f>
        <v>0</v>
      </c>
      <c r="I20" s="50">
        <f>VLOOKUP(B20,aa!B:R,17,0)</f>
        <v>240918</v>
      </c>
      <c r="K20" s="50" t="s">
        <v>3549</v>
      </c>
      <c r="L20" s="50">
        <v>288492</v>
      </c>
      <c r="M20" s="50">
        <v>325478</v>
      </c>
      <c r="N20" s="50">
        <v>83017</v>
      </c>
      <c r="O20" s="50">
        <v>166</v>
      </c>
      <c r="P20" s="50" t="s">
        <v>364</v>
      </c>
      <c r="Q20" s="50">
        <v>0</v>
      </c>
      <c r="R20" s="50">
        <v>0</v>
      </c>
      <c r="T20" s="50">
        <v>205475</v>
      </c>
      <c r="U20" s="50">
        <v>202</v>
      </c>
      <c r="V20" s="50" t="s">
        <v>3924</v>
      </c>
      <c r="W20" s="50" t="s">
        <v>102</v>
      </c>
      <c r="X20" s="50" t="s">
        <v>103</v>
      </c>
      <c r="Y20" s="50" t="s">
        <v>398</v>
      </c>
      <c r="AA20" s="50" t="s">
        <v>1719</v>
      </c>
      <c r="AB20" s="50" t="s">
        <v>16648</v>
      </c>
      <c r="AC20" s="50" t="s">
        <v>12023</v>
      </c>
      <c r="AD20" s="50" t="s">
        <v>16649</v>
      </c>
      <c r="AE20" s="50" t="s">
        <v>12040</v>
      </c>
      <c r="AF20" s="50" t="s">
        <v>16650</v>
      </c>
      <c r="AG20" s="50" t="s">
        <v>109</v>
      </c>
      <c r="AH20" s="50" t="s">
        <v>102</v>
      </c>
      <c r="AI20" s="50" t="s">
        <v>102</v>
      </c>
      <c r="AJ20" s="50" t="s">
        <v>14000</v>
      </c>
      <c r="AK20" s="50" t="s">
        <v>12397</v>
      </c>
      <c r="AL20" s="50" t="s">
        <v>16651</v>
      </c>
      <c r="AM20" s="50" t="s">
        <v>1538</v>
      </c>
      <c r="AN20" s="50" t="s">
        <v>16652</v>
      </c>
      <c r="AO20" s="50" t="s">
        <v>2353</v>
      </c>
      <c r="AP20" s="50" t="s">
        <v>2353</v>
      </c>
      <c r="AU20" s="50" t="s">
        <v>117</v>
      </c>
      <c r="AV20" s="50" t="s">
        <v>118</v>
      </c>
      <c r="AW20" s="50" t="s">
        <v>102</v>
      </c>
      <c r="AX20" s="50" t="s">
        <v>119</v>
      </c>
      <c r="BA20" s="50" t="s">
        <v>250</v>
      </c>
      <c r="BB20" s="50" t="s">
        <v>120</v>
      </c>
      <c r="BC20" s="50" t="s">
        <v>6922</v>
      </c>
      <c r="BD20" s="50" t="s">
        <v>376</v>
      </c>
      <c r="BE20" s="50" t="s">
        <v>174</v>
      </c>
      <c r="BF20" s="50" t="s">
        <v>376</v>
      </c>
      <c r="BG20" s="50" t="s">
        <v>124</v>
      </c>
      <c r="BH20" s="50" t="s">
        <v>5755</v>
      </c>
      <c r="BI20" s="50" t="s">
        <v>13208</v>
      </c>
      <c r="BJ20" s="50" t="s">
        <v>127</v>
      </c>
      <c r="BK20" s="50" t="s">
        <v>16653</v>
      </c>
      <c r="BL20" s="50" t="s">
        <v>6924</v>
      </c>
      <c r="BM20" s="50" t="s">
        <v>16654</v>
      </c>
      <c r="BN20" s="50" t="s">
        <v>2324</v>
      </c>
      <c r="BO20" s="50" t="s">
        <v>6926</v>
      </c>
      <c r="BP20" s="50" t="s">
        <v>180</v>
      </c>
      <c r="BQ20" s="50" t="s">
        <v>6927</v>
      </c>
      <c r="BR20" s="50" t="s">
        <v>6928</v>
      </c>
      <c r="BS20" s="50" t="s">
        <v>1858</v>
      </c>
      <c r="BU20" s="50" t="s">
        <v>16655</v>
      </c>
      <c r="BV20" s="50" t="s">
        <v>16656</v>
      </c>
      <c r="BW20" s="50" t="s">
        <v>138</v>
      </c>
      <c r="BX20" s="50" t="s">
        <v>6931</v>
      </c>
      <c r="BY20" s="50" t="s">
        <v>6932</v>
      </c>
      <c r="BZ20" s="50" t="s">
        <v>6931</v>
      </c>
      <c r="CA20" s="50" t="s">
        <v>16656</v>
      </c>
      <c r="CB20" s="50" t="s">
        <v>6931</v>
      </c>
      <c r="CC20" s="50" t="s">
        <v>6932</v>
      </c>
      <c r="CD20" s="50" t="s">
        <v>16656</v>
      </c>
      <c r="CE20" s="50" t="s">
        <v>6931</v>
      </c>
      <c r="CF20" s="50" t="s">
        <v>6932</v>
      </c>
      <c r="CG20" s="50" t="s">
        <v>6933</v>
      </c>
      <c r="CH20" s="50" t="s">
        <v>6934</v>
      </c>
      <c r="CJ20" s="50" t="s">
        <v>6935</v>
      </c>
      <c r="CK20" s="50" t="s">
        <v>6934</v>
      </c>
      <c r="CL20" s="50" t="s">
        <v>6922</v>
      </c>
      <c r="CM20" s="50" t="s">
        <v>376</v>
      </c>
      <c r="CN20" s="50" t="s">
        <v>6935</v>
      </c>
      <c r="CP20" s="50" t="s">
        <v>6934</v>
      </c>
      <c r="CQ20" s="50" t="s">
        <v>6934</v>
      </c>
    </row>
    <row r="21" spans="1:96">
      <c r="A21" s="95" t="s">
        <v>149</v>
      </c>
      <c r="B21" s="50">
        <v>2473458</v>
      </c>
      <c r="C21" s="50" t="s">
        <v>12423</v>
      </c>
      <c r="D21" s="50" t="s">
        <v>3639</v>
      </c>
      <c r="E21" s="50" t="e">
        <f>VLOOKUP(B21,aa!B:F,5,0)</f>
        <v>#N/A</v>
      </c>
      <c r="F21" s="50" t="e">
        <f>VLOOKUP(B21,aa!B:J,9,0)</f>
        <v>#N/A</v>
      </c>
      <c r="G21" s="50" t="e">
        <f>VLOOKUP(B21,aa!B:L,11,0)</f>
        <v>#N/A</v>
      </c>
      <c r="H21" s="50" t="e">
        <f>VLOOKUP(B21,aa!B:O,14,0)</f>
        <v>#N/A</v>
      </c>
      <c r="I21" s="50" t="e">
        <f>VLOOKUP(B21,aa!B:R,17,0)</f>
        <v>#N/A</v>
      </c>
      <c r="K21" s="50" t="s">
        <v>97</v>
      </c>
      <c r="L21" s="50">
        <v>491261</v>
      </c>
      <c r="M21" s="50">
        <v>491261</v>
      </c>
      <c r="N21" s="50">
        <v>491261</v>
      </c>
      <c r="O21" s="50">
        <v>614</v>
      </c>
      <c r="P21" s="50" t="s">
        <v>1297</v>
      </c>
      <c r="Q21" s="50">
        <v>0</v>
      </c>
      <c r="R21" s="50">
        <v>0</v>
      </c>
      <c r="T21" s="50">
        <v>0</v>
      </c>
      <c r="U21" s="50">
        <v>0</v>
      </c>
      <c r="W21" s="50" t="s">
        <v>102</v>
      </c>
      <c r="X21" s="50" t="s">
        <v>275</v>
      </c>
      <c r="Z21" s="50" t="s">
        <v>11932</v>
      </c>
      <c r="AA21" s="50" t="s">
        <v>109</v>
      </c>
      <c r="AB21" s="50" t="s">
        <v>102</v>
      </c>
      <c r="AC21" s="50" t="s">
        <v>109</v>
      </c>
      <c r="AD21" s="50" t="s">
        <v>102</v>
      </c>
      <c r="AE21" s="50" t="s">
        <v>109</v>
      </c>
      <c r="AF21" s="50" t="s">
        <v>102</v>
      </c>
      <c r="AG21" s="50" t="s">
        <v>109</v>
      </c>
      <c r="AH21" s="50" t="s">
        <v>102</v>
      </c>
      <c r="AI21" s="50" t="s">
        <v>102</v>
      </c>
      <c r="AJ21" s="50" t="s">
        <v>12715</v>
      </c>
      <c r="AK21" s="50" t="s">
        <v>12289</v>
      </c>
      <c r="AL21" s="50" t="s">
        <v>14183</v>
      </c>
      <c r="AM21" s="50" t="s">
        <v>14184</v>
      </c>
      <c r="AN21" s="50" t="s">
        <v>14185</v>
      </c>
      <c r="AO21" s="50" t="s">
        <v>168</v>
      </c>
      <c r="AP21" s="50" t="s">
        <v>168</v>
      </c>
      <c r="AU21" s="50" t="s">
        <v>318</v>
      </c>
      <c r="AV21" s="50" t="s">
        <v>118</v>
      </c>
      <c r="AW21" s="50" t="s">
        <v>102</v>
      </c>
      <c r="AX21" s="50" t="s">
        <v>119</v>
      </c>
      <c r="BB21" s="50" t="s">
        <v>120</v>
      </c>
      <c r="BC21" s="50" t="s">
        <v>1759</v>
      </c>
      <c r="BD21" s="50" t="s">
        <v>410</v>
      </c>
      <c r="BE21" s="50" t="s">
        <v>212</v>
      </c>
      <c r="BF21" s="50" t="s">
        <v>410</v>
      </c>
      <c r="BG21" s="50" t="s">
        <v>124</v>
      </c>
      <c r="BH21" s="50" t="s">
        <v>12023</v>
      </c>
      <c r="BI21" s="50" t="s">
        <v>11889</v>
      </c>
      <c r="BJ21" s="50" t="s">
        <v>127</v>
      </c>
      <c r="BK21" s="50" t="s">
        <v>14186</v>
      </c>
      <c r="BL21" s="50" t="s">
        <v>3647</v>
      </c>
      <c r="BM21" s="50" t="s">
        <v>14187</v>
      </c>
      <c r="BN21" s="50" t="s">
        <v>3033</v>
      </c>
      <c r="BO21" s="50" t="s">
        <v>1582</v>
      </c>
      <c r="BP21" s="50" t="s">
        <v>132</v>
      </c>
      <c r="BQ21" s="50" t="s">
        <v>1583</v>
      </c>
      <c r="BR21" s="50" t="s">
        <v>1584</v>
      </c>
      <c r="BS21" s="50" t="s">
        <v>1585</v>
      </c>
      <c r="BU21" s="50" t="s">
        <v>14188</v>
      </c>
      <c r="BV21" s="50" t="s">
        <v>14189</v>
      </c>
      <c r="BW21" s="50" t="s">
        <v>138</v>
      </c>
      <c r="BX21" s="50" t="s">
        <v>3651</v>
      </c>
      <c r="BY21" s="50" t="s">
        <v>3652</v>
      </c>
      <c r="BZ21" s="50" t="s">
        <v>3651</v>
      </c>
      <c r="CA21" s="50" t="s">
        <v>14190</v>
      </c>
      <c r="CB21" s="50" t="s">
        <v>3651</v>
      </c>
      <c r="CC21" s="50" t="s">
        <v>14191</v>
      </c>
      <c r="CD21" s="50" t="s">
        <v>7073</v>
      </c>
      <c r="CE21" s="50" t="s">
        <v>3651</v>
      </c>
      <c r="CF21" s="50" t="s">
        <v>14191</v>
      </c>
      <c r="CG21" s="50" t="s">
        <v>573</v>
      </c>
      <c r="CH21" s="50" t="s">
        <v>3653</v>
      </c>
      <c r="CJ21" s="50" t="s">
        <v>3654</v>
      </c>
      <c r="CK21" s="50" t="s">
        <v>3653</v>
      </c>
      <c r="CL21" s="50" t="s">
        <v>1759</v>
      </c>
      <c r="CM21" s="50" t="s">
        <v>410</v>
      </c>
      <c r="CN21" s="50" t="s">
        <v>3654</v>
      </c>
      <c r="CP21" s="50" t="s">
        <v>3653</v>
      </c>
      <c r="CQ21" s="50" t="s">
        <v>3653</v>
      </c>
      <c r="CR21" s="50" t="s">
        <v>26040</v>
      </c>
    </row>
    <row r="22" spans="1:96">
      <c r="A22" s="50" t="s">
        <v>93</v>
      </c>
      <c r="B22" s="50">
        <v>5018417</v>
      </c>
      <c r="C22" s="50" t="s">
        <v>12121</v>
      </c>
      <c r="D22" s="50" t="s">
        <v>19720</v>
      </c>
      <c r="E22" s="50" t="e">
        <f>VLOOKUP(B22,aa!B:F,5,0)</f>
        <v>#N/A</v>
      </c>
      <c r="F22" s="50" t="e">
        <f>VLOOKUP(B22,aa!B:J,9,0)</f>
        <v>#N/A</v>
      </c>
      <c r="G22" s="50" t="e">
        <f>VLOOKUP(B22,aa!B:L,11,0)</f>
        <v>#N/A</v>
      </c>
      <c r="H22" s="50" t="e">
        <f>VLOOKUP(B22,aa!B:O,14,0)</f>
        <v>#N/A</v>
      </c>
      <c r="I22" s="50" t="e">
        <f>VLOOKUP(B22,aa!B:R,17,0)</f>
        <v>#N/A</v>
      </c>
      <c r="K22" s="50" t="s">
        <v>152</v>
      </c>
      <c r="L22" s="50">
        <v>1082400</v>
      </c>
      <c r="M22" s="50">
        <v>1082400</v>
      </c>
      <c r="N22" s="50">
        <v>0</v>
      </c>
      <c r="O22" s="50">
        <v>0</v>
      </c>
      <c r="Q22" s="50">
        <v>1082400</v>
      </c>
      <c r="R22" s="50">
        <v>492</v>
      </c>
      <c r="S22" s="50" t="s">
        <v>10371</v>
      </c>
      <c r="T22" s="50">
        <v>0</v>
      </c>
      <c r="U22" s="50">
        <v>0</v>
      </c>
      <c r="W22" s="50" t="s">
        <v>102</v>
      </c>
      <c r="X22" s="50" t="s">
        <v>103</v>
      </c>
      <c r="Y22" s="50" t="s">
        <v>155</v>
      </c>
      <c r="AA22" s="50" t="s">
        <v>3207</v>
      </c>
      <c r="AB22" s="50" t="s">
        <v>19721</v>
      </c>
      <c r="AC22" s="50" t="s">
        <v>4665</v>
      </c>
      <c r="AD22" s="50" t="s">
        <v>19721</v>
      </c>
      <c r="AE22" s="50" t="s">
        <v>1547</v>
      </c>
      <c r="AF22" s="50" t="s">
        <v>19721</v>
      </c>
      <c r="AG22" s="50" t="s">
        <v>13110</v>
      </c>
      <c r="AH22" s="50" t="s">
        <v>19721</v>
      </c>
      <c r="AI22" s="50" t="s">
        <v>19722</v>
      </c>
      <c r="AJ22" s="50" t="s">
        <v>1719</v>
      </c>
      <c r="AK22" s="50" t="s">
        <v>19723</v>
      </c>
      <c r="AL22" s="50" t="s">
        <v>19724</v>
      </c>
      <c r="AM22" s="50" t="s">
        <v>19725</v>
      </c>
      <c r="AN22" s="50" t="s">
        <v>19726</v>
      </c>
      <c r="AO22" s="50" t="s">
        <v>116</v>
      </c>
      <c r="AP22" s="50" t="s">
        <v>116</v>
      </c>
      <c r="AU22" s="50" t="s">
        <v>102</v>
      </c>
      <c r="AW22" s="50" t="s">
        <v>155</v>
      </c>
      <c r="AX22" s="50" t="s">
        <v>447</v>
      </c>
      <c r="AY22" s="50" t="s">
        <v>170</v>
      </c>
      <c r="AZ22" s="50" t="s">
        <v>118</v>
      </c>
      <c r="BB22" s="50" t="s">
        <v>120</v>
      </c>
      <c r="BC22" s="50" t="s">
        <v>19727</v>
      </c>
      <c r="BD22" s="50" t="s">
        <v>449</v>
      </c>
      <c r="BE22" s="50" t="s">
        <v>122</v>
      </c>
      <c r="BF22" s="50" t="s">
        <v>253</v>
      </c>
      <c r="BG22" s="50" t="s">
        <v>124</v>
      </c>
      <c r="BH22" s="50" t="s">
        <v>12023</v>
      </c>
      <c r="BI22" s="50" t="s">
        <v>11889</v>
      </c>
      <c r="BJ22" s="50" t="s">
        <v>127</v>
      </c>
      <c r="BK22" s="50" t="s">
        <v>19728</v>
      </c>
      <c r="BL22" s="50" t="s">
        <v>19729</v>
      </c>
      <c r="BM22" s="50" t="s">
        <v>19730</v>
      </c>
      <c r="BN22" s="50" t="s">
        <v>9129</v>
      </c>
      <c r="BO22" s="50" t="s">
        <v>10675</v>
      </c>
      <c r="BP22" s="50" t="s">
        <v>350</v>
      </c>
      <c r="BQ22" s="50" t="s">
        <v>10676</v>
      </c>
      <c r="BR22" s="50" t="s">
        <v>10677</v>
      </c>
      <c r="BS22" s="50" t="s">
        <v>10678</v>
      </c>
      <c r="BU22" s="50" t="s">
        <v>19731</v>
      </c>
      <c r="BV22" s="50" t="s">
        <v>19732</v>
      </c>
      <c r="BW22" s="50" t="s">
        <v>569</v>
      </c>
      <c r="BX22" s="50" t="s">
        <v>19733</v>
      </c>
      <c r="BY22" s="50" t="s">
        <v>19734</v>
      </c>
      <c r="BZ22" s="50" t="s">
        <v>19733</v>
      </c>
      <c r="CA22" s="50" t="s">
        <v>19732</v>
      </c>
      <c r="CB22" s="50" t="s">
        <v>19733</v>
      </c>
      <c r="CC22" s="50" t="s">
        <v>19734</v>
      </c>
      <c r="CD22" s="50" t="s">
        <v>19732</v>
      </c>
      <c r="CE22" s="50" t="s">
        <v>19733</v>
      </c>
      <c r="CF22" s="50" t="s">
        <v>19734</v>
      </c>
      <c r="CG22" s="50" t="s">
        <v>19735</v>
      </c>
      <c r="CH22" s="50" t="s">
        <v>19736</v>
      </c>
      <c r="CJ22" s="50" t="s">
        <v>19737</v>
      </c>
      <c r="CK22" s="50" t="s">
        <v>19738</v>
      </c>
      <c r="CL22" s="50" t="s">
        <v>19727</v>
      </c>
      <c r="CM22" s="50" t="s">
        <v>449</v>
      </c>
      <c r="CN22" s="50" t="s">
        <v>19737</v>
      </c>
      <c r="CO22" s="50" t="s">
        <v>19739</v>
      </c>
      <c r="CP22" s="50" t="s">
        <v>19736</v>
      </c>
      <c r="CQ22" s="50" t="s">
        <v>19738</v>
      </c>
    </row>
    <row r="23" spans="1:96">
      <c r="A23" s="50" t="s">
        <v>93</v>
      </c>
      <c r="B23" s="50">
        <v>5018445</v>
      </c>
      <c r="C23" s="50" t="s">
        <v>12491</v>
      </c>
      <c r="D23" s="50" t="s">
        <v>19785</v>
      </c>
      <c r="E23" s="50" t="str">
        <f>VLOOKUP(B23,aa!B:F,5,0)</f>
        <v>Ei CARES</v>
      </c>
      <c r="F23" s="50">
        <f>VLOOKUP(B23,aa!B:J,9,0)</f>
        <v>310182</v>
      </c>
      <c r="G23" s="50">
        <f>VLOOKUP(B23,aa!B:L,11,0)</f>
        <v>0</v>
      </c>
      <c r="H23" s="50">
        <f>VLOOKUP(B23,aa!B:O,14,0)</f>
        <v>310182</v>
      </c>
      <c r="I23" s="50">
        <f>VLOOKUP(B23,aa!B:R,17,0)</f>
        <v>0</v>
      </c>
      <c r="K23" s="50" t="s">
        <v>152</v>
      </c>
      <c r="L23" s="50">
        <v>329235</v>
      </c>
      <c r="M23" s="50">
        <v>329235</v>
      </c>
      <c r="N23" s="50">
        <v>0</v>
      </c>
      <c r="O23" s="50">
        <v>0</v>
      </c>
      <c r="Q23" s="50">
        <v>329235</v>
      </c>
      <c r="R23" s="50">
        <v>461</v>
      </c>
      <c r="S23" s="50" t="s">
        <v>19787</v>
      </c>
      <c r="T23" s="50">
        <v>0</v>
      </c>
      <c r="U23" s="50">
        <v>0</v>
      </c>
      <c r="W23" s="50" t="s">
        <v>102</v>
      </c>
      <c r="X23" s="50" t="s">
        <v>103</v>
      </c>
      <c r="Y23" s="50" t="s">
        <v>104</v>
      </c>
      <c r="AA23" s="50" t="s">
        <v>19788</v>
      </c>
      <c r="AB23" s="50" t="s">
        <v>19789</v>
      </c>
      <c r="AC23" s="50" t="s">
        <v>12467</v>
      </c>
      <c r="AD23" s="50" t="s">
        <v>19789</v>
      </c>
      <c r="AE23" s="50" t="s">
        <v>109</v>
      </c>
      <c r="AF23" s="50" t="s">
        <v>102</v>
      </c>
      <c r="AG23" s="50" t="s">
        <v>109</v>
      </c>
      <c r="AH23" s="50" t="s">
        <v>102</v>
      </c>
      <c r="AI23" s="50" t="s">
        <v>19790</v>
      </c>
      <c r="AJ23" s="50" t="s">
        <v>680</v>
      </c>
      <c r="AK23" s="50" t="s">
        <v>1202</v>
      </c>
      <c r="AL23" s="50" t="s">
        <v>19791</v>
      </c>
      <c r="AM23" s="50" t="s">
        <v>19792</v>
      </c>
      <c r="AN23" s="50" t="s">
        <v>19793</v>
      </c>
      <c r="AO23" s="50" t="s">
        <v>19794</v>
      </c>
      <c r="AP23" s="50" t="s">
        <v>19794</v>
      </c>
      <c r="AU23" s="50" t="s">
        <v>102</v>
      </c>
      <c r="AW23" s="50" t="s">
        <v>104</v>
      </c>
      <c r="AX23" s="50" t="s">
        <v>447</v>
      </c>
      <c r="AY23" s="50" t="s">
        <v>170</v>
      </c>
      <c r="AZ23" s="50" t="s">
        <v>118</v>
      </c>
      <c r="BB23" s="50" t="s">
        <v>1964</v>
      </c>
      <c r="BC23" s="50" t="s">
        <v>448</v>
      </c>
      <c r="BD23" s="50" t="s">
        <v>449</v>
      </c>
      <c r="BE23" s="50" t="s">
        <v>122</v>
      </c>
      <c r="BF23" s="50" t="s">
        <v>450</v>
      </c>
      <c r="BG23" s="50" t="s">
        <v>124</v>
      </c>
      <c r="BH23" s="50" t="s">
        <v>19795</v>
      </c>
      <c r="BI23" s="50" t="s">
        <v>11889</v>
      </c>
      <c r="BJ23" s="50" t="s">
        <v>127</v>
      </c>
      <c r="BK23" s="50" t="s">
        <v>19796</v>
      </c>
      <c r="BL23" s="50" t="s">
        <v>19797</v>
      </c>
      <c r="BM23" s="50" t="s">
        <v>19798</v>
      </c>
      <c r="BN23" s="50" t="s">
        <v>19786</v>
      </c>
      <c r="BO23" s="50" t="s">
        <v>131</v>
      </c>
      <c r="BP23" s="50" t="s">
        <v>350</v>
      </c>
      <c r="BQ23" s="50" t="s">
        <v>133</v>
      </c>
      <c r="BR23" s="50" t="s">
        <v>134</v>
      </c>
      <c r="BS23" s="50" t="s">
        <v>455</v>
      </c>
      <c r="BU23" s="50" t="s">
        <v>19799</v>
      </c>
      <c r="BV23" s="50" t="s">
        <v>19800</v>
      </c>
      <c r="BW23" s="50" t="s">
        <v>138</v>
      </c>
      <c r="BX23" s="50" t="s">
        <v>19801</v>
      </c>
      <c r="BY23" s="50" t="s">
        <v>19802</v>
      </c>
      <c r="BZ23" s="50" t="s">
        <v>19801</v>
      </c>
      <c r="CA23" s="50" t="s">
        <v>19803</v>
      </c>
      <c r="CB23" s="50" t="s">
        <v>19804</v>
      </c>
      <c r="CC23" s="50" t="s">
        <v>19805</v>
      </c>
      <c r="CD23" s="50" t="s">
        <v>19803</v>
      </c>
      <c r="CE23" s="50" t="s">
        <v>19804</v>
      </c>
      <c r="CF23" s="50" t="s">
        <v>19805</v>
      </c>
      <c r="CG23" s="50" t="s">
        <v>3805</v>
      </c>
      <c r="CH23" s="50" t="s">
        <v>19806</v>
      </c>
      <c r="CJ23" s="50" t="s">
        <v>8000</v>
      </c>
      <c r="CK23" s="50" t="s">
        <v>19807</v>
      </c>
      <c r="CL23" s="50" t="s">
        <v>448</v>
      </c>
      <c r="CM23" s="50" t="s">
        <v>449</v>
      </c>
      <c r="CN23" s="50" t="s">
        <v>8000</v>
      </c>
      <c r="CP23" s="50" t="s">
        <v>19806</v>
      </c>
      <c r="CQ23" s="50" t="s">
        <v>19808</v>
      </c>
    </row>
    <row r="24" spans="1:96">
      <c r="A24" s="95" t="s">
        <v>149</v>
      </c>
      <c r="B24" s="50">
        <v>3216662</v>
      </c>
      <c r="C24" s="50" t="s">
        <v>384</v>
      </c>
      <c r="D24" s="50" t="s">
        <v>5010</v>
      </c>
      <c r="E24" s="50" t="str">
        <f>VLOOKUP(B24,aa!B:F,5,0)</f>
        <v>Ei CARES</v>
      </c>
      <c r="F24" s="50">
        <f>VLOOKUP(B24,aa!B:J,9,0)</f>
        <v>175318</v>
      </c>
      <c r="G24" s="50">
        <f>VLOOKUP(B24,aa!B:L,11,0)</f>
        <v>0</v>
      </c>
      <c r="H24" s="50">
        <f>VLOOKUP(B24,aa!B:O,14,0)</f>
        <v>175318</v>
      </c>
      <c r="I24" s="50">
        <f>VLOOKUP(B24,aa!B:R,17,0)</f>
        <v>0</v>
      </c>
      <c r="K24" s="50" t="s">
        <v>152</v>
      </c>
      <c r="L24" s="50">
        <v>242550</v>
      </c>
      <c r="M24" s="50">
        <v>242550</v>
      </c>
      <c r="N24" s="50">
        <v>0</v>
      </c>
      <c r="O24" s="50">
        <v>0</v>
      </c>
      <c r="Q24" s="50">
        <v>242550</v>
      </c>
      <c r="R24" s="50">
        <v>175</v>
      </c>
      <c r="S24" s="50" t="s">
        <v>7830</v>
      </c>
      <c r="T24" s="50">
        <v>0</v>
      </c>
      <c r="U24" s="50">
        <v>0</v>
      </c>
      <c r="W24" s="50" t="s">
        <v>102</v>
      </c>
      <c r="X24" s="50" t="s">
        <v>103</v>
      </c>
      <c r="Y24" s="50" t="s">
        <v>104</v>
      </c>
      <c r="AA24" s="50" t="s">
        <v>2586</v>
      </c>
      <c r="AB24" s="50" t="s">
        <v>15205</v>
      </c>
      <c r="AC24" s="50" t="s">
        <v>2392</v>
      </c>
      <c r="AD24" s="50" t="s">
        <v>15205</v>
      </c>
      <c r="AE24" s="50" t="s">
        <v>109</v>
      </c>
      <c r="AF24" s="50" t="s">
        <v>102</v>
      </c>
      <c r="AG24" s="50" t="s">
        <v>109</v>
      </c>
      <c r="AH24" s="50" t="s">
        <v>102</v>
      </c>
      <c r="AI24" s="50" t="s">
        <v>15206</v>
      </c>
      <c r="AJ24" s="50" t="s">
        <v>5015</v>
      </c>
      <c r="AK24" s="50" t="s">
        <v>12781</v>
      </c>
      <c r="AL24" s="50" t="s">
        <v>15207</v>
      </c>
      <c r="AM24" s="50" t="s">
        <v>15208</v>
      </c>
      <c r="AN24" s="50" t="s">
        <v>15209</v>
      </c>
      <c r="AO24" s="50" t="s">
        <v>15210</v>
      </c>
      <c r="AP24" s="50" t="s">
        <v>4275</v>
      </c>
      <c r="AQ24" s="50" t="s">
        <v>343</v>
      </c>
      <c r="AU24" s="50" t="s">
        <v>102</v>
      </c>
      <c r="AW24" s="50" t="s">
        <v>104</v>
      </c>
      <c r="AX24" s="50" t="s">
        <v>447</v>
      </c>
      <c r="AY24" s="50" t="s">
        <v>170</v>
      </c>
      <c r="AZ24" s="50" t="s">
        <v>118</v>
      </c>
      <c r="BB24" s="50" t="s">
        <v>171</v>
      </c>
      <c r="BC24" s="50" t="s">
        <v>5020</v>
      </c>
      <c r="BD24" s="50" t="s">
        <v>376</v>
      </c>
      <c r="BE24" s="50" t="s">
        <v>174</v>
      </c>
      <c r="BF24" s="50" t="s">
        <v>376</v>
      </c>
      <c r="BG24" s="50" t="s">
        <v>124</v>
      </c>
      <c r="BH24" s="50" t="s">
        <v>5694</v>
      </c>
      <c r="BI24" s="50" t="s">
        <v>14455</v>
      </c>
      <c r="BJ24" s="50" t="s">
        <v>127</v>
      </c>
      <c r="BK24" s="50" t="s">
        <v>15211</v>
      </c>
      <c r="BL24" s="50" t="s">
        <v>5024</v>
      </c>
      <c r="BM24" s="50" t="s">
        <v>15212</v>
      </c>
      <c r="BN24" s="50" t="s">
        <v>854</v>
      </c>
      <c r="BO24" s="50" t="s">
        <v>5026</v>
      </c>
      <c r="BP24" s="50" t="s">
        <v>505</v>
      </c>
      <c r="BQ24" s="50" t="s">
        <v>5027</v>
      </c>
      <c r="BR24" s="50" t="s">
        <v>5028</v>
      </c>
      <c r="BS24" s="50" t="s">
        <v>5029</v>
      </c>
      <c r="BU24" s="50" t="s">
        <v>15213</v>
      </c>
      <c r="BV24" s="50" t="s">
        <v>5031</v>
      </c>
      <c r="BW24" s="50" t="s">
        <v>138</v>
      </c>
      <c r="BX24" s="50" t="s">
        <v>5032</v>
      </c>
      <c r="BY24" s="50" t="s">
        <v>5033</v>
      </c>
      <c r="BZ24" s="50" t="s">
        <v>5032</v>
      </c>
      <c r="CA24" s="50" t="s">
        <v>5031</v>
      </c>
      <c r="CB24" s="50" t="s">
        <v>5032</v>
      </c>
      <c r="CC24" s="50" t="s">
        <v>5033</v>
      </c>
      <c r="CD24" s="50" t="s">
        <v>5031</v>
      </c>
      <c r="CE24" s="50" t="s">
        <v>5032</v>
      </c>
      <c r="CF24" s="50" t="s">
        <v>5033</v>
      </c>
      <c r="CG24" s="50" t="s">
        <v>358</v>
      </c>
      <c r="CH24" s="50" t="s">
        <v>5037</v>
      </c>
      <c r="CJ24" s="50" t="s">
        <v>5038</v>
      </c>
      <c r="CK24" s="50" t="s">
        <v>5037</v>
      </c>
      <c r="CL24" s="50" t="s">
        <v>5020</v>
      </c>
      <c r="CM24" s="50" t="s">
        <v>376</v>
      </c>
      <c r="CN24" s="50" t="s">
        <v>5038</v>
      </c>
      <c r="CO24" s="50" t="s">
        <v>5039</v>
      </c>
      <c r="CP24" s="50" t="s">
        <v>5037</v>
      </c>
      <c r="CQ24" s="50" t="s">
        <v>5037</v>
      </c>
    </row>
    <row r="25" spans="1:96">
      <c r="A25" s="50" t="s">
        <v>93</v>
      </c>
      <c r="B25" s="50">
        <v>1940242</v>
      </c>
      <c r="C25" s="50" t="s">
        <v>384</v>
      </c>
      <c r="D25" s="50" t="s">
        <v>1492</v>
      </c>
      <c r="E25" s="50" t="str">
        <f>VLOOKUP(B25,aa!B:F,5,0)</f>
        <v>Ei Mindspark</v>
      </c>
      <c r="F25" s="50">
        <f>VLOOKUP(B25,aa!B:J,9,0)</f>
        <v>254250</v>
      </c>
      <c r="G25" s="50">
        <f>VLOOKUP(B25,aa!B:L,11,0)</f>
        <v>0</v>
      </c>
      <c r="H25" s="50">
        <f>VLOOKUP(B25,aa!B:O,14,0)</f>
        <v>0</v>
      </c>
      <c r="I25" s="50">
        <f>VLOOKUP(B25,aa!B:R,17,0)</f>
        <v>254250</v>
      </c>
      <c r="K25" s="50" t="s">
        <v>848</v>
      </c>
      <c r="L25" s="50">
        <v>250436</v>
      </c>
      <c r="M25" s="50">
        <v>295514</v>
      </c>
      <c r="N25" s="50">
        <v>0</v>
      </c>
      <c r="O25" s="50">
        <v>0</v>
      </c>
      <c r="Q25" s="50">
        <v>0</v>
      </c>
      <c r="R25" s="50">
        <v>0</v>
      </c>
      <c r="T25" s="50">
        <v>250436</v>
      </c>
      <c r="U25" s="50">
        <v>197</v>
      </c>
      <c r="V25" s="50" t="s">
        <v>850</v>
      </c>
      <c r="W25" s="50" t="s">
        <v>102</v>
      </c>
      <c r="X25" s="50" t="s">
        <v>103</v>
      </c>
      <c r="Y25" s="50" t="s">
        <v>155</v>
      </c>
      <c r="AA25" s="50" t="s">
        <v>3880</v>
      </c>
      <c r="AB25" s="50" t="s">
        <v>13201</v>
      </c>
      <c r="AC25" s="50" t="s">
        <v>13202</v>
      </c>
      <c r="AD25" s="50" t="s">
        <v>13201</v>
      </c>
      <c r="AE25" s="50" t="s">
        <v>12019</v>
      </c>
      <c r="AF25" s="50" t="s">
        <v>13201</v>
      </c>
      <c r="AG25" s="50" t="s">
        <v>12292</v>
      </c>
      <c r="AH25" s="50" t="s">
        <v>13201</v>
      </c>
      <c r="AI25" s="50" t="s">
        <v>102</v>
      </c>
      <c r="AJ25" s="50" t="s">
        <v>1305</v>
      </c>
      <c r="AK25" s="50" t="s">
        <v>11888</v>
      </c>
      <c r="AL25" s="50" t="s">
        <v>13203</v>
      </c>
      <c r="AM25" s="50" t="s">
        <v>13204</v>
      </c>
      <c r="AN25" s="50" t="s">
        <v>13205</v>
      </c>
      <c r="AO25" s="50" t="s">
        <v>13206</v>
      </c>
      <c r="AP25" s="50" t="s">
        <v>13206</v>
      </c>
      <c r="AU25" s="50" t="s">
        <v>102</v>
      </c>
      <c r="AW25" s="50" t="s">
        <v>102</v>
      </c>
      <c r="AX25" s="50" t="s">
        <v>119</v>
      </c>
      <c r="BA25" s="50" t="s">
        <v>250</v>
      </c>
      <c r="BB25" s="50" t="s">
        <v>171</v>
      </c>
      <c r="BC25" s="50" t="s">
        <v>13207</v>
      </c>
      <c r="BD25" s="50" t="s">
        <v>376</v>
      </c>
      <c r="BE25" s="50" t="s">
        <v>174</v>
      </c>
      <c r="BF25" s="50" t="s">
        <v>376</v>
      </c>
      <c r="BG25" s="50" t="s">
        <v>124</v>
      </c>
      <c r="BH25" s="50" t="s">
        <v>6177</v>
      </c>
      <c r="BI25" s="50" t="s">
        <v>13208</v>
      </c>
      <c r="BJ25" s="50" t="s">
        <v>127</v>
      </c>
      <c r="BK25" s="50" t="s">
        <v>13209</v>
      </c>
      <c r="BL25" s="50" t="s">
        <v>13210</v>
      </c>
      <c r="BM25" s="50" t="s">
        <v>13211</v>
      </c>
      <c r="BN25" s="50" t="s">
        <v>1781</v>
      </c>
      <c r="BO25" s="50" t="s">
        <v>6926</v>
      </c>
      <c r="BP25" s="50" t="s">
        <v>180</v>
      </c>
      <c r="BQ25" s="50" t="s">
        <v>6927</v>
      </c>
      <c r="BR25" s="50" t="s">
        <v>6928</v>
      </c>
      <c r="BS25" s="50" t="s">
        <v>1858</v>
      </c>
      <c r="BU25" s="50" t="s">
        <v>13212</v>
      </c>
      <c r="BV25" s="50" t="s">
        <v>1510</v>
      </c>
      <c r="BW25" s="50" t="s">
        <v>354</v>
      </c>
      <c r="BX25" s="50" t="s">
        <v>1511</v>
      </c>
      <c r="BY25" s="50" t="s">
        <v>1512</v>
      </c>
      <c r="BZ25" s="50" t="s">
        <v>1513</v>
      </c>
      <c r="CA25" s="50" t="s">
        <v>1510</v>
      </c>
      <c r="CB25" s="50" t="s">
        <v>1511</v>
      </c>
      <c r="CC25" s="50" t="s">
        <v>1512</v>
      </c>
      <c r="CD25" s="50" t="s">
        <v>1510</v>
      </c>
      <c r="CE25" s="50" t="s">
        <v>1511</v>
      </c>
      <c r="CF25" s="50" t="s">
        <v>1512</v>
      </c>
      <c r="CG25" s="50" t="s">
        <v>13213</v>
      </c>
      <c r="CH25" s="50" t="s">
        <v>13214</v>
      </c>
      <c r="CJ25" s="50" t="s">
        <v>13215</v>
      </c>
      <c r="CK25" s="50" t="s">
        <v>13214</v>
      </c>
      <c r="CL25" s="50" t="s">
        <v>13207</v>
      </c>
      <c r="CM25" s="50" t="s">
        <v>376</v>
      </c>
      <c r="CN25" s="50" t="s">
        <v>13215</v>
      </c>
      <c r="CP25" s="50" t="s">
        <v>13214</v>
      </c>
      <c r="CQ25" s="50" t="s">
        <v>13214</v>
      </c>
    </row>
    <row r="26" spans="1:96">
      <c r="A26" s="50" t="s">
        <v>93</v>
      </c>
      <c r="B26" s="50">
        <v>2530317</v>
      </c>
      <c r="C26" s="50" t="s">
        <v>293</v>
      </c>
      <c r="D26" s="50" t="s">
        <v>3972</v>
      </c>
      <c r="E26" s="50" t="str">
        <f>VLOOKUP(B26,aa!B:F,5,0)</f>
        <v>Ei CARES</v>
      </c>
      <c r="F26" s="50">
        <f>VLOOKUP(B26,aa!B:J,9,0)</f>
        <v>412983</v>
      </c>
      <c r="G26" s="50">
        <f>VLOOKUP(B26,aa!B:L,11,0)</f>
        <v>0</v>
      </c>
      <c r="H26" s="50">
        <f>VLOOKUP(B26,aa!B:O,14,0)</f>
        <v>412983</v>
      </c>
      <c r="I26" s="50">
        <f>VLOOKUP(B26,aa!B:R,17,0)</f>
        <v>0</v>
      </c>
      <c r="K26" s="50" t="s">
        <v>152</v>
      </c>
      <c r="L26" s="50">
        <v>378068</v>
      </c>
      <c r="M26" s="50">
        <v>378068</v>
      </c>
      <c r="N26" s="50">
        <v>0</v>
      </c>
      <c r="O26" s="50">
        <v>0</v>
      </c>
      <c r="Q26" s="50">
        <v>378068</v>
      </c>
      <c r="R26" s="50">
        <v>398</v>
      </c>
      <c r="S26" s="50" t="s">
        <v>936</v>
      </c>
      <c r="T26" s="50">
        <v>0</v>
      </c>
      <c r="U26" s="50">
        <v>0</v>
      </c>
      <c r="W26" s="50" t="s">
        <v>102</v>
      </c>
      <c r="X26" s="50" t="s">
        <v>103</v>
      </c>
      <c r="Y26" s="50" t="s">
        <v>398</v>
      </c>
      <c r="AA26" s="50" t="s">
        <v>3974</v>
      </c>
      <c r="AB26" s="50" t="s">
        <v>14412</v>
      </c>
      <c r="AC26" s="50" t="s">
        <v>7484</v>
      </c>
      <c r="AD26" s="50" t="s">
        <v>14413</v>
      </c>
      <c r="AE26" s="50" t="s">
        <v>14059</v>
      </c>
      <c r="AF26" s="50" t="s">
        <v>14413</v>
      </c>
      <c r="AG26" s="50" t="s">
        <v>109</v>
      </c>
      <c r="AH26" s="50" t="s">
        <v>102</v>
      </c>
      <c r="AI26" s="50" t="s">
        <v>14414</v>
      </c>
      <c r="AJ26" s="50" t="s">
        <v>1719</v>
      </c>
      <c r="AK26" s="50" t="s">
        <v>14415</v>
      </c>
      <c r="AL26" s="50" t="s">
        <v>14416</v>
      </c>
      <c r="AM26" s="50" t="s">
        <v>14417</v>
      </c>
      <c r="AN26" s="50" t="s">
        <v>14418</v>
      </c>
      <c r="AO26" s="50" t="s">
        <v>14419</v>
      </c>
      <c r="AP26" s="50" t="s">
        <v>14419</v>
      </c>
      <c r="AU26" s="50" t="s">
        <v>102</v>
      </c>
      <c r="AW26" s="50" t="s">
        <v>155</v>
      </c>
      <c r="AX26" s="50" t="s">
        <v>119</v>
      </c>
      <c r="AY26" s="50" t="s">
        <v>1138</v>
      </c>
      <c r="AZ26" s="50" t="s">
        <v>118</v>
      </c>
      <c r="BB26" s="50" t="s">
        <v>171</v>
      </c>
      <c r="BC26" s="50" t="s">
        <v>920</v>
      </c>
      <c r="BD26" s="50" t="s">
        <v>211</v>
      </c>
      <c r="BE26" s="50" t="s">
        <v>212</v>
      </c>
      <c r="BF26" s="50" t="s">
        <v>213</v>
      </c>
      <c r="BG26" s="50" t="s">
        <v>124</v>
      </c>
      <c r="BH26" s="50" t="s">
        <v>11959</v>
      </c>
      <c r="BI26" s="50" t="s">
        <v>11960</v>
      </c>
      <c r="BJ26" s="50" t="s">
        <v>127</v>
      </c>
      <c r="BK26" s="50" t="s">
        <v>14420</v>
      </c>
      <c r="BL26" s="50" t="s">
        <v>3975</v>
      </c>
      <c r="BM26" s="50" t="s">
        <v>3976</v>
      </c>
      <c r="BN26" s="50" t="s">
        <v>3974</v>
      </c>
      <c r="BO26" s="50" t="s">
        <v>3443</v>
      </c>
      <c r="BP26" s="50" t="s">
        <v>180</v>
      </c>
      <c r="BQ26" s="50" t="s">
        <v>3444</v>
      </c>
      <c r="BR26" s="50" t="s">
        <v>3445</v>
      </c>
      <c r="BS26" s="50" t="s">
        <v>2463</v>
      </c>
      <c r="BU26" s="50" t="s">
        <v>14421</v>
      </c>
      <c r="BV26" s="50" t="s">
        <v>3977</v>
      </c>
      <c r="BW26" s="50" t="s">
        <v>138</v>
      </c>
      <c r="BX26" s="50" t="s">
        <v>3978</v>
      </c>
      <c r="BY26" s="50" t="s">
        <v>3979</v>
      </c>
      <c r="BZ26" s="50" t="s">
        <v>3980</v>
      </c>
      <c r="CA26" s="50" t="s">
        <v>3977</v>
      </c>
      <c r="CB26" s="50" t="s">
        <v>3978</v>
      </c>
      <c r="CC26" s="50" t="s">
        <v>3979</v>
      </c>
      <c r="CD26" s="50" t="s">
        <v>3977</v>
      </c>
      <c r="CE26" s="50" t="s">
        <v>3978</v>
      </c>
      <c r="CF26" s="50" t="s">
        <v>3979</v>
      </c>
      <c r="CG26" s="50" t="s">
        <v>102</v>
      </c>
      <c r="CH26" s="50" t="s">
        <v>3981</v>
      </c>
      <c r="CJ26" s="50" t="s">
        <v>3982</v>
      </c>
      <c r="CL26" s="50" t="s">
        <v>920</v>
      </c>
      <c r="CM26" s="50" t="s">
        <v>2474</v>
      </c>
      <c r="CN26" s="50" t="s">
        <v>3982</v>
      </c>
      <c r="CO26" s="50" t="s">
        <v>3983</v>
      </c>
      <c r="CP26" s="50" t="s">
        <v>3981</v>
      </c>
      <c r="CQ26" s="50" t="s">
        <v>3981</v>
      </c>
    </row>
    <row r="27" spans="1:96">
      <c r="A27" s="50" t="s">
        <v>93</v>
      </c>
      <c r="B27" s="50">
        <v>5018247</v>
      </c>
      <c r="C27" s="50" t="s">
        <v>384</v>
      </c>
      <c r="D27" s="50" t="s">
        <v>19591</v>
      </c>
      <c r="E27" s="50" t="str">
        <f>VLOOKUP(B27,aa!B:F,5,0)</f>
        <v>Ei CARES</v>
      </c>
      <c r="F27" s="50">
        <f>VLOOKUP(B27,aa!B:J,9,0)</f>
        <v>918527</v>
      </c>
      <c r="G27" s="50">
        <f>VLOOKUP(B27,aa!B:L,11,0)</f>
        <v>0</v>
      </c>
      <c r="H27" s="50">
        <f>VLOOKUP(B27,aa!B:O,14,0)</f>
        <v>918527</v>
      </c>
      <c r="I27" s="50">
        <f>VLOOKUP(B27,aa!B:R,17,0)</f>
        <v>0</v>
      </c>
      <c r="K27" s="50" t="s">
        <v>152</v>
      </c>
      <c r="L27" s="50">
        <v>866195</v>
      </c>
      <c r="M27" s="50">
        <v>866195</v>
      </c>
      <c r="N27" s="50">
        <v>0</v>
      </c>
      <c r="O27" s="50">
        <v>0</v>
      </c>
      <c r="Q27" s="50">
        <v>866195</v>
      </c>
      <c r="R27" s="50">
        <v>602</v>
      </c>
      <c r="S27" s="50" t="s">
        <v>19592</v>
      </c>
      <c r="T27" s="50">
        <v>0</v>
      </c>
      <c r="U27" s="50">
        <v>0</v>
      </c>
      <c r="W27" s="50" t="s">
        <v>102</v>
      </c>
      <c r="X27" s="50" t="s">
        <v>103</v>
      </c>
      <c r="Y27" s="50" t="s">
        <v>155</v>
      </c>
      <c r="AA27" s="50" t="s">
        <v>6341</v>
      </c>
      <c r="AB27" s="50" t="s">
        <v>19593</v>
      </c>
      <c r="AC27" s="50" t="s">
        <v>12923</v>
      </c>
      <c r="AD27" s="50" t="s">
        <v>19593</v>
      </c>
      <c r="AE27" s="50" t="s">
        <v>12020</v>
      </c>
      <c r="AF27" s="50" t="s">
        <v>19593</v>
      </c>
      <c r="AG27" s="50" t="s">
        <v>3849</v>
      </c>
      <c r="AH27" s="50" t="s">
        <v>19593</v>
      </c>
      <c r="AI27" s="50" t="s">
        <v>102</v>
      </c>
      <c r="AJ27" s="50" t="s">
        <v>3880</v>
      </c>
      <c r="AK27" s="50" t="s">
        <v>15755</v>
      </c>
      <c r="AL27" s="50" t="s">
        <v>19594</v>
      </c>
      <c r="AM27" s="50" t="s">
        <v>19595</v>
      </c>
      <c r="AN27" s="50" t="s">
        <v>19596</v>
      </c>
      <c r="AO27" s="50" t="s">
        <v>1826</v>
      </c>
      <c r="AP27" s="50" t="s">
        <v>1826</v>
      </c>
      <c r="AU27" s="50" t="s">
        <v>102</v>
      </c>
      <c r="AW27" s="50" t="s">
        <v>104</v>
      </c>
      <c r="AX27" s="50" t="s">
        <v>447</v>
      </c>
      <c r="AY27" s="50" t="s">
        <v>170</v>
      </c>
      <c r="AZ27" s="50" t="s">
        <v>118</v>
      </c>
      <c r="BB27" s="50" t="s">
        <v>1964</v>
      </c>
      <c r="BC27" s="50" t="s">
        <v>19597</v>
      </c>
      <c r="BD27" s="50" t="s">
        <v>19598</v>
      </c>
      <c r="BE27" s="50" t="s">
        <v>174</v>
      </c>
      <c r="BF27" s="50" t="s">
        <v>376</v>
      </c>
      <c r="BG27" s="50" t="s">
        <v>124</v>
      </c>
      <c r="BH27" s="50" t="s">
        <v>4045</v>
      </c>
      <c r="BI27" s="50" t="s">
        <v>11889</v>
      </c>
      <c r="BJ27" s="50" t="s">
        <v>127</v>
      </c>
      <c r="BK27" s="50" t="s">
        <v>19599</v>
      </c>
      <c r="BL27" s="50" t="s">
        <v>19600</v>
      </c>
      <c r="BM27" s="50" t="s">
        <v>19601</v>
      </c>
      <c r="BN27" s="50" t="s">
        <v>3974</v>
      </c>
      <c r="BO27" s="50" t="s">
        <v>13780</v>
      </c>
      <c r="BP27" s="50" t="s">
        <v>180</v>
      </c>
      <c r="BQ27" s="50" t="s">
        <v>13781</v>
      </c>
      <c r="BR27" s="50" t="s">
        <v>13782</v>
      </c>
      <c r="BS27" s="50" t="s">
        <v>13783</v>
      </c>
      <c r="BU27" s="50" t="s">
        <v>19602</v>
      </c>
      <c r="BV27" s="50" t="s">
        <v>19603</v>
      </c>
      <c r="BW27" s="50" t="s">
        <v>138</v>
      </c>
      <c r="BX27" s="50" t="s">
        <v>19604</v>
      </c>
      <c r="BY27" s="50" t="s">
        <v>19605</v>
      </c>
      <c r="BZ27" s="50" t="s">
        <v>19606</v>
      </c>
      <c r="CA27" s="50" t="s">
        <v>19603</v>
      </c>
      <c r="CB27" s="50" t="s">
        <v>19604</v>
      </c>
      <c r="CC27" s="50" t="s">
        <v>19605</v>
      </c>
      <c r="CD27" s="50" t="s">
        <v>19603</v>
      </c>
      <c r="CE27" s="50" t="s">
        <v>19604</v>
      </c>
      <c r="CF27" s="50" t="s">
        <v>19605</v>
      </c>
      <c r="CG27" s="50" t="s">
        <v>2555</v>
      </c>
      <c r="CH27" s="50" t="s">
        <v>19607</v>
      </c>
      <c r="CJ27" s="50" t="s">
        <v>19608</v>
      </c>
      <c r="CK27" s="50" t="s">
        <v>19609</v>
      </c>
      <c r="CL27" s="50" t="s">
        <v>19597</v>
      </c>
      <c r="CM27" s="50" t="s">
        <v>19598</v>
      </c>
      <c r="CN27" s="50" t="s">
        <v>19608</v>
      </c>
      <c r="CP27" s="50" t="s">
        <v>19607</v>
      </c>
      <c r="CQ27" s="50" t="s">
        <v>19607</v>
      </c>
    </row>
    <row r="28" spans="1:96">
      <c r="A28" s="50" t="s">
        <v>93</v>
      </c>
      <c r="B28" s="50">
        <v>5018487</v>
      </c>
      <c r="C28" s="50" t="s">
        <v>293</v>
      </c>
      <c r="D28" s="50" t="s">
        <v>10750</v>
      </c>
      <c r="E28" s="50" t="str">
        <f>VLOOKUP(B28,aa!B:F,5,0)</f>
        <v>Ei CARES</v>
      </c>
      <c r="F28" s="50">
        <f>VLOOKUP(B28,aa!B:J,9,0)</f>
        <v>498193</v>
      </c>
      <c r="G28" s="50">
        <f>VLOOKUP(B28,aa!B:L,11,0)</f>
        <v>0</v>
      </c>
      <c r="H28" s="50">
        <f>VLOOKUP(B28,aa!B:O,14,0)</f>
        <v>498193</v>
      </c>
      <c r="I28" s="50">
        <f>VLOOKUP(B28,aa!B:R,17,0)</f>
        <v>0</v>
      </c>
      <c r="K28" s="50" t="s">
        <v>152</v>
      </c>
      <c r="L28" s="50">
        <v>463561</v>
      </c>
      <c r="M28" s="50">
        <v>463561</v>
      </c>
      <c r="N28" s="50">
        <v>0</v>
      </c>
      <c r="O28" s="50">
        <v>0</v>
      </c>
      <c r="Q28" s="50">
        <v>463561</v>
      </c>
      <c r="R28" s="50">
        <v>488</v>
      </c>
      <c r="S28" s="50" t="s">
        <v>936</v>
      </c>
      <c r="T28" s="50">
        <v>0</v>
      </c>
      <c r="U28" s="50">
        <v>0</v>
      </c>
      <c r="W28" s="50" t="s">
        <v>102</v>
      </c>
      <c r="X28" s="50" t="s">
        <v>103</v>
      </c>
      <c r="Y28" s="50" t="s">
        <v>398</v>
      </c>
      <c r="AA28" s="50" t="s">
        <v>3974</v>
      </c>
      <c r="AB28" s="50" t="s">
        <v>19884</v>
      </c>
      <c r="AC28" s="50" t="s">
        <v>625</v>
      </c>
      <c r="AD28" s="50" t="s">
        <v>16650</v>
      </c>
      <c r="AE28" s="50" t="s">
        <v>14059</v>
      </c>
      <c r="AF28" s="50" t="s">
        <v>16650</v>
      </c>
      <c r="AG28" s="50" t="s">
        <v>109</v>
      </c>
      <c r="AH28" s="50" t="s">
        <v>102</v>
      </c>
      <c r="AI28" s="50" t="s">
        <v>13421</v>
      </c>
      <c r="AJ28" s="50" t="s">
        <v>1719</v>
      </c>
      <c r="AK28" s="50" t="s">
        <v>14415</v>
      </c>
      <c r="AL28" s="50" t="s">
        <v>19885</v>
      </c>
      <c r="AM28" s="50" t="s">
        <v>19886</v>
      </c>
      <c r="AN28" s="50" t="s">
        <v>19887</v>
      </c>
      <c r="AO28" s="50" t="s">
        <v>14419</v>
      </c>
      <c r="AP28" s="50" t="s">
        <v>14419</v>
      </c>
      <c r="AU28" s="50" t="s">
        <v>102</v>
      </c>
      <c r="AW28" s="50" t="s">
        <v>155</v>
      </c>
      <c r="AX28" s="50" t="s">
        <v>447</v>
      </c>
      <c r="AY28" s="50" t="s">
        <v>1138</v>
      </c>
      <c r="AZ28" s="50" t="s">
        <v>118</v>
      </c>
      <c r="BB28" s="50" t="s">
        <v>120</v>
      </c>
      <c r="BC28" s="50" t="s">
        <v>920</v>
      </c>
      <c r="BD28" s="50" t="s">
        <v>211</v>
      </c>
      <c r="BE28" s="50" t="s">
        <v>212</v>
      </c>
      <c r="BF28" s="50" t="s">
        <v>213</v>
      </c>
      <c r="BG28" s="50" t="s">
        <v>124</v>
      </c>
      <c r="BH28" s="50" t="s">
        <v>11959</v>
      </c>
      <c r="BI28" s="50" t="s">
        <v>11960</v>
      </c>
      <c r="BJ28" s="50" t="s">
        <v>127</v>
      </c>
      <c r="BK28" s="50" t="s">
        <v>19888</v>
      </c>
      <c r="BL28" s="50" t="s">
        <v>10751</v>
      </c>
      <c r="BM28" s="50" t="s">
        <v>10752</v>
      </c>
      <c r="BN28" s="50" t="s">
        <v>3974</v>
      </c>
      <c r="BO28" s="50" t="s">
        <v>3443</v>
      </c>
      <c r="BP28" s="50" t="s">
        <v>180</v>
      </c>
      <c r="BQ28" s="50" t="s">
        <v>3444</v>
      </c>
      <c r="BR28" s="50" t="s">
        <v>3445</v>
      </c>
      <c r="BS28" s="50" t="s">
        <v>2463</v>
      </c>
      <c r="BU28" s="50" t="s">
        <v>19889</v>
      </c>
      <c r="BV28" s="50" t="s">
        <v>3977</v>
      </c>
      <c r="BW28" s="50" t="s">
        <v>138</v>
      </c>
      <c r="BX28" s="50" t="s">
        <v>10753</v>
      </c>
      <c r="BY28" s="50" t="s">
        <v>10754</v>
      </c>
      <c r="BZ28" s="50" t="s">
        <v>10753</v>
      </c>
      <c r="CA28" s="50" t="s">
        <v>19890</v>
      </c>
      <c r="CB28" s="50" t="s">
        <v>3978</v>
      </c>
      <c r="CC28" s="50" t="s">
        <v>10754</v>
      </c>
      <c r="CD28" s="50" t="s">
        <v>19890</v>
      </c>
      <c r="CE28" s="50" t="s">
        <v>3978</v>
      </c>
      <c r="CF28" s="50" t="s">
        <v>10754</v>
      </c>
      <c r="CG28" s="50" t="s">
        <v>1709</v>
      </c>
      <c r="CH28" s="50" t="s">
        <v>10755</v>
      </c>
      <c r="CJ28" s="50" t="s">
        <v>3982</v>
      </c>
      <c r="CL28" s="50" t="s">
        <v>920</v>
      </c>
      <c r="CM28" s="50" t="s">
        <v>211</v>
      </c>
      <c r="CN28" s="50" t="s">
        <v>3982</v>
      </c>
      <c r="CO28" s="50" t="s">
        <v>3983</v>
      </c>
      <c r="CP28" s="50" t="s">
        <v>10756</v>
      </c>
      <c r="CQ28" s="50" t="s">
        <v>10756</v>
      </c>
    </row>
    <row r="29" spans="1:96">
      <c r="A29" s="50" t="s">
        <v>93</v>
      </c>
      <c r="B29" s="50">
        <v>3856532</v>
      </c>
      <c r="C29" s="50" t="s">
        <v>12423</v>
      </c>
      <c r="D29" s="50" t="s">
        <v>17151</v>
      </c>
      <c r="E29" s="50" t="e">
        <f>VLOOKUP(B29,aa!B:F,5,0)</f>
        <v>#N/A</v>
      </c>
      <c r="F29" s="50" t="e">
        <f>VLOOKUP(B29,aa!B:J,9,0)</f>
        <v>#N/A</v>
      </c>
      <c r="G29" s="50" t="e">
        <f>VLOOKUP(B29,aa!B:L,11,0)</f>
        <v>#N/A</v>
      </c>
      <c r="H29" s="50" t="e">
        <f>VLOOKUP(B29,aa!B:O,14,0)</f>
        <v>#N/A</v>
      </c>
      <c r="I29" s="50" t="e">
        <f>VLOOKUP(B29,aa!B:R,17,0)</f>
        <v>#N/A</v>
      </c>
      <c r="K29" s="50" t="s">
        <v>848</v>
      </c>
      <c r="L29" s="50">
        <v>359073</v>
      </c>
      <c r="M29" s="50">
        <v>423706</v>
      </c>
      <c r="N29" s="50">
        <v>0</v>
      </c>
      <c r="O29" s="50">
        <v>0</v>
      </c>
      <c r="Q29" s="50">
        <v>0</v>
      </c>
      <c r="R29" s="50">
        <v>0</v>
      </c>
      <c r="T29" s="50">
        <v>359073</v>
      </c>
      <c r="U29" s="50">
        <v>353</v>
      </c>
      <c r="V29" s="50" t="s">
        <v>3924</v>
      </c>
      <c r="W29" s="50" t="s">
        <v>102</v>
      </c>
      <c r="X29" s="50" t="s">
        <v>103</v>
      </c>
      <c r="Y29" s="50" t="s">
        <v>155</v>
      </c>
      <c r="AA29" s="50" t="s">
        <v>2911</v>
      </c>
      <c r="AB29" s="50" t="s">
        <v>17152</v>
      </c>
      <c r="AC29" s="50" t="s">
        <v>11932</v>
      </c>
      <c r="AD29" s="50" t="s">
        <v>17153</v>
      </c>
      <c r="AE29" s="50" t="s">
        <v>12467</v>
      </c>
      <c r="AF29" s="50" t="s">
        <v>17153</v>
      </c>
      <c r="AG29" s="50" t="s">
        <v>11952</v>
      </c>
      <c r="AH29" s="50" t="s">
        <v>17153</v>
      </c>
      <c r="AI29" s="50" t="s">
        <v>102</v>
      </c>
      <c r="AJ29" s="50" t="s">
        <v>404</v>
      </c>
      <c r="AK29" s="50" t="s">
        <v>10221</v>
      </c>
      <c r="AL29" s="50" t="s">
        <v>17154</v>
      </c>
      <c r="AM29" s="50" t="s">
        <v>17155</v>
      </c>
      <c r="AN29" s="50" t="s">
        <v>17156</v>
      </c>
      <c r="AO29" s="50" t="s">
        <v>2353</v>
      </c>
      <c r="AP29" s="50" t="s">
        <v>2353</v>
      </c>
      <c r="AU29" s="50" t="s">
        <v>102</v>
      </c>
      <c r="AW29" s="50" t="s">
        <v>102</v>
      </c>
      <c r="AX29" s="50" t="s">
        <v>119</v>
      </c>
      <c r="BA29" s="50" t="s">
        <v>250</v>
      </c>
      <c r="BB29" s="50" t="s">
        <v>120</v>
      </c>
      <c r="BC29" s="50" t="s">
        <v>17157</v>
      </c>
      <c r="BD29" s="50" t="s">
        <v>410</v>
      </c>
      <c r="BE29" s="50" t="s">
        <v>212</v>
      </c>
      <c r="BF29" s="50" t="s">
        <v>410</v>
      </c>
      <c r="BG29" s="50" t="s">
        <v>124</v>
      </c>
      <c r="BH29" s="50" t="s">
        <v>12128</v>
      </c>
      <c r="BI29" s="50" t="s">
        <v>17158</v>
      </c>
      <c r="BJ29" s="50" t="s">
        <v>127</v>
      </c>
      <c r="BK29" s="50" t="s">
        <v>17159</v>
      </c>
      <c r="BL29" s="50" t="s">
        <v>17160</v>
      </c>
      <c r="BM29" s="50" t="s">
        <v>17161</v>
      </c>
      <c r="BN29" s="50" t="s">
        <v>1719</v>
      </c>
      <c r="BO29" s="50" t="s">
        <v>896</v>
      </c>
      <c r="BP29" s="50" t="s">
        <v>132</v>
      </c>
      <c r="BQ29" s="50" t="s">
        <v>897</v>
      </c>
      <c r="BR29" s="50" t="s">
        <v>898</v>
      </c>
      <c r="BS29" s="50" t="s">
        <v>899</v>
      </c>
      <c r="BU29" s="50" t="s">
        <v>17162</v>
      </c>
      <c r="BV29" s="50" t="s">
        <v>17163</v>
      </c>
      <c r="BW29" s="50" t="s">
        <v>354</v>
      </c>
      <c r="BX29" s="50" t="s">
        <v>17164</v>
      </c>
      <c r="BY29" s="50" t="s">
        <v>17165</v>
      </c>
      <c r="BZ29" s="50" t="s">
        <v>17166</v>
      </c>
      <c r="CA29" s="50" t="s">
        <v>17167</v>
      </c>
      <c r="CB29" s="50" t="s">
        <v>17166</v>
      </c>
      <c r="CC29" s="50" t="s">
        <v>17165</v>
      </c>
      <c r="CD29" s="50" t="s">
        <v>17168</v>
      </c>
      <c r="CE29" s="50" t="s">
        <v>17166</v>
      </c>
      <c r="CF29" s="50" t="s">
        <v>17165</v>
      </c>
      <c r="CG29" s="50" t="s">
        <v>2270</v>
      </c>
      <c r="CH29" s="50" t="s">
        <v>17169</v>
      </c>
      <c r="CJ29" s="50" t="s">
        <v>17170</v>
      </c>
      <c r="CK29" s="50" t="s">
        <v>17171</v>
      </c>
      <c r="CL29" s="50" t="s">
        <v>17157</v>
      </c>
      <c r="CM29" s="50" t="s">
        <v>410</v>
      </c>
      <c r="CN29" s="50" t="s">
        <v>17170</v>
      </c>
      <c r="CP29" s="50" t="s">
        <v>17172</v>
      </c>
      <c r="CQ29" s="50" t="s">
        <v>17172</v>
      </c>
    </row>
    <row r="30" spans="1:96">
      <c r="A30" s="50" t="s">
        <v>93</v>
      </c>
      <c r="B30" s="50">
        <v>5018473</v>
      </c>
      <c r="C30" s="50" t="s">
        <v>19847</v>
      </c>
      <c r="D30" s="50" t="s">
        <v>19846</v>
      </c>
      <c r="E30" s="50" t="str">
        <f>VLOOKUP(B30,aa!B:F,5,0)</f>
        <v>Ei ASSET, Ei CARES, Ei Mindspark</v>
      </c>
      <c r="F30" s="50">
        <f>VLOOKUP(B30,aa!B:J,9,0)</f>
        <v>1622333</v>
      </c>
      <c r="G30" s="50">
        <f>VLOOKUP(B30,aa!B:L,11,0)</f>
        <v>135000</v>
      </c>
      <c r="H30" s="50">
        <f>VLOOKUP(B30,aa!B:O,14,0)</f>
        <v>841538</v>
      </c>
      <c r="I30" s="50">
        <f>VLOOKUP(B30,aa!B:R,17,0)</f>
        <v>645795</v>
      </c>
      <c r="K30" s="50" t="s">
        <v>643</v>
      </c>
      <c r="L30" s="50">
        <v>997128</v>
      </c>
      <c r="M30" s="50">
        <v>1045456</v>
      </c>
      <c r="N30" s="50">
        <v>0</v>
      </c>
      <c r="O30" s="50">
        <v>0</v>
      </c>
      <c r="Q30" s="50">
        <v>728640</v>
      </c>
      <c r="R30" s="50">
        <v>1137</v>
      </c>
      <c r="S30" s="50" t="s">
        <v>19849</v>
      </c>
      <c r="T30" s="50">
        <v>268488</v>
      </c>
      <c r="U30" s="50">
        <v>220</v>
      </c>
      <c r="V30" s="50" t="s">
        <v>19850</v>
      </c>
      <c r="W30" s="50" t="s">
        <v>102</v>
      </c>
      <c r="X30" s="50" t="s">
        <v>679</v>
      </c>
      <c r="Y30" s="50" t="s">
        <v>938</v>
      </c>
      <c r="Z30" s="50" t="s">
        <v>19851</v>
      </c>
      <c r="AA30" s="50" t="s">
        <v>19852</v>
      </c>
      <c r="AB30" s="50" t="s">
        <v>19853</v>
      </c>
      <c r="AC30" s="50" t="s">
        <v>19854</v>
      </c>
      <c r="AD30" s="50" t="s">
        <v>19855</v>
      </c>
      <c r="AE30" s="50" t="s">
        <v>19856</v>
      </c>
      <c r="AF30" s="50" t="s">
        <v>19855</v>
      </c>
      <c r="AG30" s="50" t="s">
        <v>19857</v>
      </c>
      <c r="AH30" s="50" t="s">
        <v>19858</v>
      </c>
      <c r="AI30" s="50" t="s">
        <v>102</v>
      </c>
      <c r="AJ30" s="50" t="s">
        <v>19859</v>
      </c>
      <c r="AK30" s="50" t="s">
        <v>19860</v>
      </c>
      <c r="AL30" s="50" t="s">
        <v>19861</v>
      </c>
      <c r="AM30" s="50" t="s">
        <v>19862</v>
      </c>
      <c r="AN30" s="50" t="s">
        <v>19863</v>
      </c>
      <c r="AO30" s="50" t="s">
        <v>19864</v>
      </c>
      <c r="AP30" s="50" t="s">
        <v>19864</v>
      </c>
      <c r="AU30" s="50" t="s">
        <v>102</v>
      </c>
      <c r="AW30" s="50" t="s">
        <v>1103</v>
      </c>
      <c r="AX30" s="50" t="s">
        <v>249</v>
      </c>
      <c r="AY30" s="50" t="s">
        <v>170</v>
      </c>
      <c r="AZ30" s="50" t="s">
        <v>118</v>
      </c>
      <c r="BA30" s="50" t="s">
        <v>250</v>
      </c>
      <c r="BB30" s="50" t="s">
        <v>120</v>
      </c>
      <c r="BC30" s="50" t="s">
        <v>19865</v>
      </c>
      <c r="BD30" s="50" t="s">
        <v>376</v>
      </c>
      <c r="BE30" s="50" t="s">
        <v>174</v>
      </c>
      <c r="BF30" s="50" t="s">
        <v>376</v>
      </c>
      <c r="BG30" s="50" t="s">
        <v>124</v>
      </c>
      <c r="BH30" s="50" t="s">
        <v>19866</v>
      </c>
      <c r="BI30" s="50" t="s">
        <v>11889</v>
      </c>
      <c r="BJ30" s="50" t="s">
        <v>127</v>
      </c>
      <c r="BK30" s="50" t="s">
        <v>19867</v>
      </c>
      <c r="BL30" s="50" t="s">
        <v>19868</v>
      </c>
      <c r="BM30" s="50" t="s">
        <v>19869</v>
      </c>
      <c r="BN30" s="50" t="s">
        <v>19848</v>
      </c>
      <c r="BO30" s="50" t="s">
        <v>19870</v>
      </c>
      <c r="BP30" s="50" t="s">
        <v>7992</v>
      </c>
      <c r="BQ30" s="50" t="s">
        <v>19871</v>
      </c>
      <c r="BR30" s="50" t="s">
        <v>19872</v>
      </c>
      <c r="BS30" s="50" t="s">
        <v>13783</v>
      </c>
      <c r="BU30" s="50" t="s">
        <v>19873</v>
      </c>
      <c r="BV30" s="50" t="s">
        <v>19874</v>
      </c>
      <c r="BW30" s="50" t="s">
        <v>354</v>
      </c>
      <c r="BX30" s="50" t="s">
        <v>19875</v>
      </c>
      <c r="BY30" s="50" t="s">
        <v>19876</v>
      </c>
      <c r="BZ30" s="50" t="s">
        <v>19877</v>
      </c>
      <c r="CA30" s="50" t="s">
        <v>19878</v>
      </c>
      <c r="CB30" s="50" t="s">
        <v>19879</v>
      </c>
      <c r="CC30" s="50" t="s">
        <v>19880</v>
      </c>
      <c r="CD30" s="50" t="s">
        <v>19878</v>
      </c>
      <c r="CE30" s="50" t="s">
        <v>19879</v>
      </c>
      <c r="CF30" s="50" t="s">
        <v>19880</v>
      </c>
      <c r="CG30" s="50" t="s">
        <v>6370</v>
      </c>
      <c r="CH30" s="50" t="s">
        <v>19881</v>
      </c>
      <c r="CJ30" s="50" t="s">
        <v>19882</v>
      </c>
      <c r="CK30" s="50" t="s">
        <v>19883</v>
      </c>
      <c r="CL30" s="50" t="s">
        <v>19865</v>
      </c>
      <c r="CM30" s="50" t="s">
        <v>376</v>
      </c>
      <c r="CN30" s="50" t="s">
        <v>19882</v>
      </c>
      <c r="CP30" s="50" t="s">
        <v>19881</v>
      </c>
      <c r="CQ30" s="50" t="s">
        <v>19881</v>
      </c>
    </row>
    <row r="31" spans="1:96">
      <c r="A31" s="50" t="s">
        <v>93</v>
      </c>
      <c r="B31" s="50">
        <v>414020</v>
      </c>
      <c r="C31" s="50" t="s">
        <v>384</v>
      </c>
      <c r="D31" s="50" t="s">
        <v>18168</v>
      </c>
      <c r="E31" s="50" t="str">
        <f>VLOOKUP(B31,aa!B:F,5,0)</f>
        <v>Ei CARES</v>
      </c>
      <c r="F31" s="50">
        <f>VLOOKUP(B31,aa!B:J,9,0)</f>
        <v>1440285</v>
      </c>
      <c r="G31" s="50">
        <f>VLOOKUP(B31,aa!B:L,11,0)</f>
        <v>0</v>
      </c>
      <c r="H31" s="50">
        <f>VLOOKUP(B31,aa!B:O,14,0)</f>
        <v>1440285</v>
      </c>
      <c r="I31" s="50">
        <f>VLOOKUP(B31,aa!B:R,17,0)</f>
        <v>0</v>
      </c>
      <c r="K31" s="50" t="s">
        <v>152</v>
      </c>
      <c r="L31" s="50">
        <v>1125540</v>
      </c>
      <c r="M31" s="50">
        <v>1125540</v>
      </c>
      <c r="N31" s="50">
        <v>0</v>
      </c>
      <c r="O31" s="50">
        <v>0</v>
      </c>
      <c r="Q31" s="50">
        <v>1125540</v>
      </c>
      <c r="R31" s="50">
        <v>750</v>
      </c>
      <c r="S31" s="50" t="s">
        <v>15175</v>
      </c>
      <c r="T31" s="50">
        <v>0</v>
      </c>
      <c r="U31" s="50">
        <v>0</v>
      </c>
      <c r="W31" s="50" t="s">
        <v>102</v>
      </c>
      <c r="X31" s="50" t="s">
        <v>103</v>
      </c>
      <c r="Y31" s="50" t="s">
        <v>155</v>
      </c>
      <c r="AA31" s="50" t="s">
        <v>12023</v>
      </c>
      <c r="AB31" s="50" t="s">
        <v>18169</v>
      </c>
      <c r="AC31" s="50" t="s">
        <v>11976</v>
      </c>
      <c r="AD31" s="50" t="s">
        <v>18169</v>
      </c>
      <c r="AE31" s="50" t="s">
        <v>5651</v>
      </c>
      <c r="AF31" s="50" t="s">
        <v>18169</v>
      </c>
      <c r="AG31" s="50" t="s">
        <v>12084</v>
      </c>
      <c r="AH31" s="50" t="s">
        <v>18169</v>
      </c>
      <c r="AI31" s="50" t="s">
        <v>18170</v>
      </c>
      <c r="AJ31" s="50" t="s">
        <v>12494</v>
      </c>
      <c r="AK31" s="50" t="s">
        <v>13245</v>
      </c>
      <c r="AL31" s="50" t="s">
        <v>18171</v>
      </c>
      <c r="AM31" s="50" t="s">
        <v>18172</v>
      </c>
      <c r="AN31" s="50" t="s">
        <v>18173</v>
      </c>
      <c r="AO31" s="50" t="s">
        <v>18174</v>
      </c>
      <c r="AP31" s="50" t="s">
        <v>18174</v>
      </c>
      <c r="AU31" s="50" t="s">
        <v>102</v>
      </c>
      <c r="AW31" s="50" t="s">
        <v>104</v>
      </c>
      <c r="AX31" s="50" t="s">
        <v>119</v>
      </c>
      <c r="AZ31" s="50" t="s">
        <v>118</v>
      </c>
      <c r="BB31" s="50" t="s">
        <v>171</v>
      </c>
      <c r="BC31" s="50" t="s">
        <v>18175</v>
      </c>
      <c r="BD31" s="50" t="s">
        <v>376</v>
      </c>
      <c r="BE31" s="50" t="s">
        <v>174</v>
      </c>
      <c r="BF31" s="50" t="s">
        <v>376</v>
      </c>
      <c r="BG31" s="50" t="s">
        <v>124</v>
      </c>
      <c r="BH31" s="50" t="s">
        <v>8186</v>
      </c>
      <c r="BI31" s="50" t="s">
        <v>11889</v>
      </c>
      <c r="BJ31" s="50" t="s">
        <v>127</v>
      </c>
      <c r="BK31" s="50" t="s">
        <v>18176</v>
      </c>
      <c r="BL31" s="50" t="s">
        <v>18177</v>
      </c>
      <c r="BM31" s="50" t="s">
        <v>18178</v>
      </c>
      <c r="BN31" s="50" t="s">
        <v>404</v>
      </c>
      <c r="BO31" s="50" t="s">
        <v>6926</v>
      </c>
      <c r="BP31" s="50" t="s">
        <v>350</v>
      </c>
      <c r="BQ31" s="50" t="s">
        <v>6927</v>
      </c>
      <c r="BR31" s="50" t="s">
        <v>6928</v>
      </c>
      <c r="BS31" s="50" t="s">
        <v>1858</v>
      </c>
      <c r="BU31" s="50" t="s">
        <v>18179</v>
      </c>
      <c r="BV31" s="50" t="s">
        <v>18180</v>
      </c>
      <c r="BW31" s="50" t="s">
        <v>138</v>
      </c>
      <c r="BX31" s="50" t="s">
        <v>18181</v>
      </c>
      <c r="BY31" s="50" t="s">
        <v>18182</v>
      </c>
      <c r="BZ31" s="50" t="s">
        <v>18181</v>
      </c>
      <c r="CA31" s="50" t="s">
        <v>18180</v>
      </c>
      <c r="CB31" s="50" t="s">
        <v>18181</v>
      </c>
      <c r="CC31" s="50" t="s">
        <v>18182</v>
      </c>
      <c r="CD31" s="50" t="s">
        <v>18180</v>
      </c>
      <c r="CE31" s="50" t="s">
        <v>18181</v>
      </c>
      <c r="CF31" s="50" t="s">
        <v>18182</v>
      </c>
      <c r="CG31" s="50" t="s">
        <v>18183</v>
      </c>
      <c r="CH31" s="50" t="s">
        <v>18184</v>
      </c>
      <c r="CJ31" s="50" t="s">
        <v>18185</v>
      </c>
      <c r="CK31" s="50" t="s">
        <v>18184</v>
      </c>
      <c r="CL31" s="50" t="s">
        <v>18175</v>
      </c>
      <c r="CM31" s="50" t="s">
        <v>376</v>
      </c>
      <c r="CN31" s="50" t="s">
        <v>18185</v>
      </c>
      <c r="CO31" s="50" t="s">
        <v>18186</v>
      </c>
      <c r="CP31" s="50" t="s">
        <v>18184</v>
      </c>
      <c r="CQ31" s="50" t="s">
        <v>18184</v>
      </c>
    </row>
    <row r="32" spans="1:96">
      <c r="A32" s="50" t="s">
        <v>93</v>
      </c>
      <c r="B32" s="50">
        <v>5018435</v>
      </c>
      <c r="C32" s="50" t="s">
        <v>293</v>
      </c>
      <c r="D32" s="50" t="s">
        <v>19761</v>
      </c>
      <c r="E32" s="50" t="e">
        <f>VLOOKUP(B32,aa!B:F,5,0)</f>
        <v>#N/A</v>
      </c>
      <c r="F32" s="50" t="e">
        <f>VLOOKUP(B32,aa!B:J,9,0)</f>
        <v>#N/A</v>
      </c>
      <c r="G32" s="50" t="e">
        <f>VLOOKUP(B32,aa!B:L,11,0)</f>
        <v>#N/A</v>
      </c>
      <c r="H32" s="50" t="e">
        <f>VLOOKUP(B32,aa!B:O,14,0)</f>
        <v>#N/A</v>
      </c>
      <c r="I32" s="50" t="e">
        <f>VLOOKUP(B32,aa!B:R,17,0)</f>
        <v>#N/A</v>
      </c>
      <c r="K32" s="50" t="s">
        <v>152</v>
      </c>
      <c r="L32" s="50">
        <v>907025</v>
      </c>
      <c r="M32" s="50">
        <v>907025</v>
      </c>
      <c r="N32" s="50">
        <v>0</v>
      </c>
      <c r="O32" s="50">
        <v>0</v>
      </c>
      <c r="Q32" s="50">
        <v>907025</v>
      </c>
      <c r="R32" s="50">
        <v>880</v>
      </c>
      <c r="S32" s="50" t="s">
        <v>19762</v>
      </c>
      <c r="T32" s="50">
        <v>0</v>
      </c>
      <c r="U32" s="50">
        <v>0</v>
      </c>
      <c r="W32" s="50" t="s">
        <v>102</v>
      </c>
      <c r="X32" s="50" t="s">
        <v>103</v>
      </c>
      <c r="Y32" s="50" t="s">
        <v>155</v>
      </c>
      <c r="AA32" s="50" t="s">
        <v>404</v>
      </c>
      <c r="AB32" s="50" t="s">
        <v>19763</v>
      </c>
      <c r="AC32" s="50" t="s">
        <v>13680</v>
      </c>
      <c r="AD32" s="50" t="s">
        <v>19764</v>
      </c>
      <c r="AE32" s="50" t="s">
        <v>5651</v>
      </c>
      <c r="AF32" s="50" t="s">
        <v>19765</v>
      </c>
      <c r="AG32" s="50" t="s">
        <v>471</v>
      </c>
      <c r="AH32" s="50" t="s">
        <v>19766</v>
      </c>
      <c r="AI32" s="50" t="s">
        <v>102</v>
      </c>
      <c r="AJ32" s="50" t="s">
        <v>19767</v>
      </c>
      <c r="AK32" s="50" t="s">
        <v>15363</v>
      </c>
      <c r="AL32" s="50" t="s">
        <v>19768</v>
      </c>
      <c r="AM32" s="50" t="s">
        <v>19769</v>
      </c>
      <c r="AN32" s="50" t="s">
        <v>19770</v>
      </c>
      <c r="AO32" s="50" t="s">
        <v>19771</v>
      </c>
      <c r="AP32" s="50" t="s">
        <v>19771</v>
      </c>
      <c r="AU32" s="50" t="s">
        <v>102</v>
      </c>
      <c r="AW32" s="50" t="s">
        <v>1758</v>
      </c>
      <c r="AX32" s="50" t="s">
        <v>119</v>
      </c>
      <c r="AY32" s="50" t="s">
        <v>170</v>
      </c>
      <c r="AZ32" s="50" t="s">
        <v>118</v>
      </c>
      <c r="BB32" s="50" t="s">
        <v>120</v>
      </c>
      <c r="BC32" s="50" t="s">
        <v>19772</v>
      </c>
      <c r="BD32" s="50" t="s">
        <v>211</v>
      </c>
      <c r="BE32" s="50" t="s">
        <v>212</v>
      </c>
      <c r="BF32" s="50" t="s">
        <v>213</v>
      </c>
      <c r="BG32" s="50" t="s">
        <v>124</v>
      </c>
      <c r="BH32" s="50" t="s">
        <v>13680</v>
      </c>
      <c r="BI32" s="50" t="s">
        <v>12602</v>
      </c>
      <c r="BJ32" s="50" t="s">
        <v>127</v>
      </c>
      <c r="BK32" s="50" t="s">
        <v>19773</v>
      </c>
      <c r="BL32" s="50" t="s">
        <v>19774</v>
      </c>
      <c r="BM32" s="50" t="s">
        <v>19775</v>
      </c>
      <c r="BN32" s="50" t="s">
        <v>404</v>
      </c>
      <c r="BO32" s="50" t="s">
        <v>14067</v>
      </c>
      <c r="BP32" s="50" t="s">
        <v>180</v>
      </c>
      <c r="BQ32" s="50" t="s">
        <v>14068</v>
      </c>
      <c r="BR32" s="50" t="s">
        <v>14069</v>
      </c>
      <c r="BS32" s="50" t="s">
        <v>2463</v>
      </c>
      <c r="BU32" s="50" t="s">
        <v>19776</v>
      </c>
      <c r="BV32" s="50" t="s">
        <v>19777</v>
      </c>
      <c r="BW32" s="50" t="s">
        <v>138</v>
      </c>
      <c r="BX32" s="50" t="s">
        <v>19778</v>
      </c>
      <c r="BY32" s="50" t="s">
        <v>19779</v>
      </c>
      <c r="BZ32" s="50" t="s">
        <v>19780</v>
      </c>
      <c r="CA32" s="50" t="s">
        <v>19777</v>
      </c>
      <c r="CB32" s="50" t="s">
        <v>19778</v>
      </c>
      <c r="CC32" s="50" t="s">
        <v>19779</v>
      </c>
      <c r="CD32" s="50" t="s">
        <v>19777</v>
      </c>
      <c r="CE32" s="50" t="s">
        <v>19778</v>
      </c>
      <c r="CF32" s="50" t="s">
        <v>19779</v>
      </c>
      <c r="CG32" s="50" t="s">
        <v>2424</v>
      </c>
      <c r="CH32" s="50" t="s">
        <v>19781</v>
      </c>
      <c r="CJ32" s="50" t="s">
        <v>19782</v>
      </c>
      <c r="CK32" s="50" t="s">
        <v>19781</v>
      </c>
      <c r="CL32" s="50" t="s">
        <v>19783</v>
      </c>
      <c r="CM32" s="50" t="s">
        <v>211</v>
      </c>
      <c r="CN32" s="50" t="s">
        <v>19782</v>
      </c>
      <c r="CP32" s="50" t="s">
        <v>19784</v>
      </c>
      <c r="CQ32" s="50" t="s">
        <v>19784</v>
      </c>
      <c r="CR32" s="50" t="s">
        <v>26044</v>
      </c>
    </row>
    <row r="33" spans="1:96">
      <c r="A33" s="95" t="s">
        <v>149</v>
      </c>
      <c r="B33" s="50">
        <v>354838</v>
      </c>
      <c r="C33" s="50" t="s">
        <v>1111</v>
      </c>
      <c r="D33" s="50" t="s">
        <v>16418</v>
      </c>
      <c r="E33" s="50" t="str">
        <f>VLOOKUP(B33,aa!B:F,5,0)</f>
        <v>Ei CARES</v>
      </c>
      <c r="F33" s="50">
        <f>VLOOKUP(B33,aa!B:J,9,0)</f>
        <v>1333168</v>
      </c>
      <c r="G33" s="50">
        <f>VLOOKUP(B33,aa!B:L,11,0)</f>
        <v>0</v>
      </c>
      <c r="H33" s="50">
        <f>VLOOKUP(B33,aa!B:O,14,0)</f>
        <v>1333168</v>
      </c>
      <c r="I33" s="50">
        <f>VLOOKUP(B33,aa!B:R,17,0)</f>
        <v>0</v>
      </c>
      <c r="K33" s="50" t="s">
        <v>152</v>
      </c>
      <c r="L33" s="50">
        <v>1325870</v>
      </c>
      <c r="M33" s="50">
        <v>1325870</v>
      </c>
      <c r="N33" s="50">
        <v>0</v>
      </c>
      <c r="O33" s="50">
        <v>0</v>
      </c>
      <c r="Q33" s="50">
        <v>1325870</v>
      </c>
      <c r="R33" s="50">
        <v>806</v>
      </c>
      <c r="S33" s="50" t="s">
        <v>16419</v>
      </c>
      <c r="T33" s="50">
        <v>0</v>
      </c>
      <c r="U33" s="50">
        <v>0</v>
      </c>
      <c r="W33" s="50" t="s">
        <v>102</v>
      </c>
      <c r="X33" s="50" t="s">
        <v>103</v>
      </c>
      <c r="Y33" s="50" t="s">
        <v>155</v>
      </c>
      <c r="AA33" s="50" t="s">
        <v>13435</v>
      </c>
      <c r="AB33" s="50" t="s">
        <v>16420</v>
      </c>
      <c r="AC33" s="50" t="s">
        <v>12887</v>
      </c>
      <c r="AD33" s="50" t="s">
        <v>16420</v>
      </c>
      <c r="AE33" s="50" t="s">
        <v>16421</v>
      </c>
      <c r="AF33" s="50" t="s">
        <v>16420</v>
      </c>
      <c r="AG33" s="50" t="s">
        <v>11902</v>
      </c>
      <c r="AH33" s="50" t="s">
        <v>16420</v>
      </c>
      <c r="AI33" s="50" t="s">
        <v>102</v>
      </c>
      <c r="AJ33" s="50" t="s">
        <v>12100</v>
      </c>
      <c r="AK33" s="50" t="s">
        <v>11952</v>
      </c>
      <c r="AL33" s="50" t="s">
        <v>16422</v>
      </c>
      <c r="AM33" s="50" t="s">
        <v>16423</v>
      </c>
      <c r="AN33" s="50" t="s">
        <v>16424</v>
      </c>
      <c r="AO33" s="50" t="s">
        <v>5019</v>
      </c>
      <c r="AP33" s="50" t="s">
        <v>5019</v>
      </c>
      <c r="AU33" s="50" t="s">
        <v>102</v>
      </c>
      <c r="AW33" s="50" t="s">
        <v>155</v>
      </c>
      <c r="AX33" s="50" t="s">
        <v>119</v>
      </c>
      <c r="AY33" s="50" t="s">
        <v>170</v>
      </c>
      <c r="AZ33" s="50" t="s">
        <v>118</v>
      </c>
      <c r="BB33" s="50" t="s">
        <v>209</v>
      </c>
      <c r="BC33" s="50" t="s">
        <v>6594</v>
      </c>
      <c r="BD33" s="50" t="s">
        <v>6595</v>
      </c>
      <c r="BE33" s="50" t="s">
        <v>174</v>
      </c>
      <c r="BF33" s="50" t="s">
        <v>4405</v>
      </c>
      <c r="BG33" s="50" t="s">
        <v>124</v>
      </c>
      <c r="BH33" s="50" t="s">
        <v>16425</v>
      </c>
      <c r="BI33" s="50" t="s">
        <v>11886</v>
      </c>
      <c r="BJ33" s="50" t="s">
        <v>127</v>
      </c>
      <c r="BK33" s="50" t="s">
        <v>16426</v>
      </c>
      <c r="BL33" s="50" t="s">
        <v>6597</v>
      </c>
      <c r="BM33" s="50" t="s">
        <v>16427</v>
      </c>
      <c r="BN33" s="50" t="s">
        <v>1201</v>
      </c>
      <c r="BO33" s="50" t="s">
        <v>5531</v>
      </c>
      <c r="BP33" s="50" t="s">
        <v>180</v>
      </c>
      <c r="BQ33" s="50" t="s">
        <v>5532</v>
      </c>
      <c r="BR33" s="50" t="s">
        <v>5533</v>
      </c>
      <c r="BS33" s="50" t="s">
        <v>4413</v>
      </c>
      <c r="BU33" s="50" t="s">
        <v>16428</v>
      </c>
      <c r="BV33" s="50" t="s">
        <v>16429</v>
      </c>
      <c r="BW33" s="50" t="s">
        <v>138</v>
      </c>
      <c r="BX33" s="50" t="s">
        <v>6601</v>
      </c>
      <c r="BY33" s="50" t="s">
        <v>6602</v>
      </c>
      <c r="BZ33" s="50" t="s">
        <v>6601</v>
      </c>
      <c r="CA33" s="50" t="s">
        <v>16429</v>
      </c>
      <c r="CB33" s="50" t="s">
        <v>6601</v>
      </c>
      <c r="CC33" s="50" t="s">
        <v>6602</v>
      </c>
      <c r="CD33" s="50" t="s">
        <v>16429</v>
      </c>
      <c r="CE33" s="50" t="s">
        <v>6601</v>
      </c>
      <c r="CF33" s="50" t="s">
        <v>6602</v>
      </c>
      <c r="CG33" s="50" t="s">
        <v>6604</v>
      </c>
      <c r="CH33" s="50" t="s">
        <v>16430</v>
      </c>
      <c r="CJ33" s="50" t="s">
        <v>6606</v>
      </c>
      <c r="CK33" s="50" t="s">
        <v>16431</v>
      </c>
      <c r="CL33" s="50" t="s">
        <v>6594</v>
      </c>
      <c r="CM33" s="50" t="s">
        <v>6595</v>
      </c>
      <c r="CN33" s="50" t="s">
        <v>6606</v>
      </c>
      <c r="CP33" s="50" t="s">
        <v>6608</v>
      </c>
      <c r="CQ33" s="50" t="s">
        <v>6608</v>
      </c>
    </row>
    <row r="34" spans="1:96">
      <c r="A34" s="50" t="s">
        <v>93</v>
      </c>
      <c r="B34" s="50">
        <v>5018430</v>
      </c>
      <c r="C34" s="50" t="s">
        <v>12423</v>
      </c>
      <c r="D34" s="50" t="s">
        <v>19740</v>
      </c>
      <c r="E34" s="50" t="str">
        <f>VLOOKUP(B34,aa!B:F,5,0)</f>
        <v>Ei Mindspark</v>
      </c>
      <c r="F34" s="50">
        <f>VLOOKUP(B34,aa!B:J,9,0)</f>
        <v>450053</v>
      </c>
      <c r="G34" s="50">
        <f>VLOOKUP(B34,aa!B:L,11,0)</f>
        <v>0</v>
      </c>
      <c r="H34" s="50">
        <f>VLOOKUP(B34,aa!B:O,14,0)</f>
        <v>0</v>
      </c>
      <c r="I34" s="50">
        <f>VLOOKUP(B34,aa!B:R,17,0)</f>
        <v>450053</v>
      </c>
      <c r="K34" s="50" t="s">
        <v>848</v>
      </c>
      <c r="L34" s="50">
        <v>522545</v>
      </c>
      <c r="M34" s="50">
        <v>616603</v>
      </c>
      <c r="N34" s="50">
        <v>0</v>
      </c>
      <c r="O34" s="50">
        <v>0</v>
      </c>
      <c r="Q34" s="50">
        <v>0</v>
      </c>
      <c r="R34" s="50">
        <v>0</v>
      </c>
      <c r="T34" s="50">
        <v>522545</v>
      </c>
      <c r="U34" s="50">
        <v>519</v>
      </c>
      <c r="V34" s="50" t="s">
        <v>19742</v>
      </c>
      <c r="W34" s="50" t="s">
        <v>102</v>
      </c>
      <c r="X34" s="50" t="s">
        <v>103</v>
      </c>
      <c r="Y34" s="50" t="s">
        <v>155</v>
      </c>
      <c r="AA34" s="50" t="s">
        <v>1941</v>
      </c>
      <c r="AB34" s="50" t="s">
        <v>19743</v>
      </c>
      <c r="AC34" s="50" t="s">
        <v>12040</v>
      </c>
      <c r="AD34" s="50" t="s">
        <v>19743</v>
      </c>
      <c r="AE34" s="50" t="s">
        <v>12427</v>
      </c>
      <c r="AF34" s="50" t="s">
        <v>19743</v>
      </c>
      <c r="AG34" s="50" t="s">
        <v>13395</v>
      </c>
      <c r="AH34" s="50" t="s">
        <v>19743</v>
      </c>
      <c r="AI34" s="50" t="s">
        <v>19744</v>
      </c>
      <c r="AJ34" s="50" t="s">
        <v>1941</v>
      </c>
      <c r="AK34" s="50" t="s">
        <v>14351</v>
      </c>
      <c r="AL34" s="50" t="s">
        <v>19745</v>
      </c>
      <c r="AM34" s="50" t="s">
        <v>19746</v>
      </c>
      <c r="AN34" s="50" t="s">
        <v>19747</v>
      </c>
      <c r="AO34" s="50" t="s">
        <v>19748</v>
      </c>
      <c r="AP34" s="50" t="s">
        <v>19748</v>
      </c>
      <c r="AU34" s="50" t="s">
        <v>102</v>
      </c>
      <c r="AW34" s="50" t="s">
        <v>102</v>
      </c>
      <c r="AX34" s="50" t="s">
        <v>119</v>
      </c>
      <c r="BA34" s="50" t="s">
        <v>250</v>
      </c>
      <c r="BB34" s="50" t="s">
        <v>120</v>
      </c>
      <c r="BC34" s="50" t="s">
        <v>1759</v>
      </c>
      <c r="BD34" s="50" t="s">
        <v>410</v>
      </c>
      <c r="BE34" s="50" t="s">
        <v>212</v>
      </c>
      <c r="BF34" s="50" t="s">
        <v>410</v>
      </c>
      <c r="BG34" s="50" t="s">
        <v>124</v>
      </c>
      <c r="BH34" s="50" t="s">
        <v>12023</v>
      </c>
      <c r="BI34" s="50" t="s">
        <v>11889</v>
      </c>
      <c r="BJ34" s="50" t="s">
        <v>127</v>
      </c>
      <c r="BK34" s="50" t="s">
        <v>19749</v>
      </c>
      <c r="BL34" s="50" t="s">
        <v>19750</v>
      </c>
      <c r="BM34" s="50" t="s">
        <v>19751</v>
      </c>
      <c r="BN34" s="50" t="s">
        <v>19741</v>
      </c>
      <c r="BO34" s="50" t="s">
        <v>1582</v>
      </c>
      <c r="BP34" s="50" t="s">
        <v>132</v>
      </c>
      <c r="BQ34" s="50" t="s">
        <v>1583</v>
      </c>
      <c r="BR34" s="50" t="s">
        <v>1584</v>
      </c>
      <c r="BS34" s="50" t="s">
        <v>899</v>
      </c>
      <c r="BU34" s="50" t="s">
        <v>19752</v>
      </c>
      <c r="BV34" s="50" t="s">
        <v>19753</v>
      </c>
      <c r="BW34" s="50" t="s">
        <v>138</v>
      </c>
      <c r="BX34" s="50" t="s">
        <v>19754</v>
      </c>
      <c r="BY34" s="50" t="s">
        <v>19755</v>
      </c>
      <c r="BZ34" s="50" t="s">
        <v>19754</v>
      </c>
      <c r="CA34" s="50" t="s">
        <v>19756</v>
      </c>
      <c r="CB34" s="50" t="s">
        <v>19754</v>
      </c>
      <c r="CC34" s="50" t="s">
        <v>19757</v>
      </c>
      <c r="CD34" s="50" t="s">
        <v>19756</v>
      </c>
      <c r="CE34" s="50" t="s">
        <v>19754</v>
      </c>
      <c r="CF34" s="50" t="s">
        <v>19757</v>
      </c>
      <c r="CG34" s="50" t="s">
        <v>5007</v>
      </c>
      <c r="CH34" s="50" t="s">
        <v>19758</v>
      </c>
      <c r="CJ34" s="50" t="s">
        <v>19759</v>
      </c>
      <c r="CK34" s="50" t="s">
        <v>19758</v>
      </c>
      <c r="CL34" s="50" t="s">
        <v>1759</v>
      </c>
      <c r="CM34" s="50" t="s">
        <v>10076</v>
      </c>
      <c r="CN34" s="50" t="s">
        <v>19759</v>
      </c>
      <c r="CP34" s="50" t="s">
        <v>19760</v>
      </c>
      <c r="CQ34" s="50" t="s">
        <v>19760</v>
      </c>
    </row>
    <row r="35" spans="1:96">
      <c r="A35" s="95" t="s">
        <v>149</v>
      </c>
      <c r="B35" s="50">
        <v>3451055</v>
      </c>
      <c r="C35" s="50" t="s">
        <v>12423</v>
      </c>
      <c r="D35" s="50" t="s">
        <v>6098</v>
      </c>
      <c r="E35" s="50" t="e">
        <f>VLOOKUP(B35,aa!B:F,5,0)</f>
        <v>#N/A</v>
      </c>
      <c r="F35" s="50" t="e">
        <f>VLOOKUP(B35,aa!B:J,9,0)</f>
        <v>#N/A</v>
      </c>
      <c r="G35" s="50" t="e">
        <f>VLOOKUP(B35,aa!B:L,11,0)</f>
        <v>#N/A</v>
      </c>
      <c r="H35" s="50" t="e">
        <f>VLOOKUP(B35,aa!B:O,14,0)</f>
        <v>#N/A</v>
      </c>
      <c r="I35" s="50" t="e">
        <f>VLOOKUP(B35,aa!B:R,17,0)</f>
        <v>#N/A</v>
      </c>
      <c r="K35" s="50" t="s">
        <v>675</v>
      </c>
      <c r="L35" s="50">
        <v>260384</v>
      </c>
      <c r="M35" s="50">
        <v>260384</v>
      </c>
      <c r="N35" s="50">
        <v>165315</v>
      </c>
      <c r="O35" s="50">
        <v>206</v>
      </c>
      <c r="P35" s="50" t="s">
        <v>16036</v>
      </c>
      <c r="Q35" s="50">
        <v>95069</v>
      </c>
      <c r="R35" s="50">
        <v>103</v>
      </c>
      <c r="S35" s="50" t="s">
        <v>4609</v>
      </c>
      <c r="T35" s="50">
        <v>0</v>
      </c>
      <c r="U35" s="50">
        <v>0</v>
      </c>
      <c r="W35" s="50" t="s">
        <v>102</v>
      </c>
      <c r="X35" s="50" t="s">
        <v>679</v>
      </c>
      <c r="Y35" s="50" t="s">
        <v>104</v>
      </c>
      <c r="Z35" s="50" t="s">
        <v>11932</v>
      </c>
      <c r="AA35" s="50" t="s">
        <v>16037</v>
      </c>
      <c r="AB35" s="50" t="s">
        <v>16038</v>
      </c>
      <c r="AC35" s="50" t="s">
        <v>15486</v>
      </c>
      <c r="AD35" s="50" t="s">
        <v>16038</v>
      </c>
      <c r="AE35" s="50" t="s">
        <v>109</v>
      </c>
      <c r="AF35" s="50" t="s">
        <v>102</v>
      </c>
      <c r="AG35" s="50" t="s">
        <v>109</v>
      </c>
      <c r="AH35" s="50" t="s">
        <v>102</v>
      </c>
      <c r="AI35" s="50" t="s">
        <v>102</v>
      </c>
      <c r="AJ35" s="50" t="s">
        <v>12289</v>
      </c>
      <c r="AK35" s="50" t="s">
        <v>12289</v>
      </c>
      <c r="AL35" s="50" t="s">
        <v>16039</v>
      </c>
      <c r="AM35" s="50" t="s">
        <v>16040</v>
      </c>
      <c r="AN35" s="50" t="s">
        <v>16041</v>
      </c>
      <c r="AO35" s="50" t="s">
        <v>16042</v>
      </c>
      <c r="AP35" s="50" t="s">
        <v>16042</v>
      </c>
      <c r="AU35" s="50" t="s">
        <v>247</v>
      </c>
      <c r="AV35" s="50" t="s">
        <v>118</v>
      </c>
      <c r="AW35" s="50" t="s">
        <v>1103</v>
      </c>
      <c r="AX35" s="50" t="s">
        <v>119</v>
      </c>
      <c r="AY35" s="50" t="s">
        <v>170</v>
      </c>
      <c r="AZ35" s="50" t="s">
        <v>118</v>
      </c>
      <c r="BB35" s="50" t="s">
        <v>120</v>
      </c>
      <c r="BC35" s="50" t="s">
        <v>1759</v>
      </c>
      <c r="BD35" s="50" t="s">
        <v>410</v>
      </c>
      <c r="BE35" s="50" t="s">
        <v>212</v>
      </c>
      <c r="BF35" s="50" t="s">
        <v>410</v>
      </c>
      <c r="BG35" s="50" t="s">
        <v>124</v>
      </c>
      <c r="BH35" s="50" t="s">
        <v>6177</v>
      </c>
      <c r="BI35" s="50" t="s">
        <v>11889</v>
      </c>
      <c r="BJ35" s="50" t="s">
        <v>127</v>
      </c>
      <c r="BK35" s="50" t="s">
        <v>16043</v>
      </c>
      <c r="BL35" s="50" t="s">
        <v>6104</v>
      </c>
      <c r="BM35" s="50" t="s">
        <v>16044</v>
      </c>
      <c r="BN35" s="50" t="s">
        <v>471</v>
      </c>
      <c r="BO35" s="50" t="s">
        <v>1582</v>
      </c>
      <c r="BP35" s="50" t="s">
        <v>132</v>
      </c>
      <c r="BQ35" s="50" t="s">
        <v>1583</v>
      </c>
      <c r="BR35" s="50" t="s">
        <v>1584</v>
      </c>
      <c r="BS35" s="50" t="s">
        <v>1585</v>
      </c>
      <c r="BU35" s="50" t="s">
        <v>16045</v>
      </c>
      <c r="BV35" s="50" t="s">
        <v>16046</v>
      </c>
      <c r="BW35" s="50" t="s">
        <v>138</v>
      </c>
      <c r="BX35" s="50" t="s">
        <v>16047</v>
      </c>
      <c r="BY35" s="50" t="s">
        <v>16048</v>
      </c>
      <c r="BZ35" s="50" t="s">
        <v>3651</v>
      </c>
      <c r="CA35" s="50" t="s">
        <v>16049</v>
      </c>
      <c r="CB35" s="50" t="s">
        <v>16050</v>
      </c>
      <c r="CC35" s="50" t="s">
        <v>16048</v>
      </c>
      <c r="CD35" s="50" t="s">
        <v>16049</v>
      </c>
      <c r="CE35" s="50" t="s">
        <v>16050</v>
      </c>
      <c r="CF35" s="50" t="s">
        <v>16048</v>
      </c>
      <c r="CG35" s="50" t="s">
        <v>573</v>
      </c>
      <c r="CH35" s="50" t="s">
        <v>16051</v>
      </c>
      <c r="CJ35" s="50" t="s">
        <v>2740</v>
      </c>
      <c r="CK35" s="50" t="s">
        <v>6108</v>
      </c>
      <c r="CL35" s="50" t="s">
        <v>1759</v>
      </c>
      <c r="CM35" s="50" t="s">
        <v>410</v>
      </c>
      <c r="CN35" s="50" t="s">
        <v>2740</v>
      </c>
      <c r="CP35" s="50" t="s">
        <v>6108</v>
      </c>
      <c r="CQ35" s="50" t="s">
        <v>6108</v>
      </c>
      <c r="CR35" s="50" t="s">
        <v>26040</v>
      </c>
    </row>
    <row r="36" spans="1:96">
      <c r="A36" s="50" t="s">
        <v>93</v>
      </c>
      <c r="B36" s="50">
        <v>3970895</v>
      </c>
      <c r="C36" s="50" t="s">
        <v>12507</v>
      </c>
      <c r="D36" s="50" t="s">
        <v>17416</v>
      </c>
      <c r="E36" s="50" t="str">
        <f>VLOOKUP(B36,aa!B:F,5,0)</f>
        <v>Ei Mindspark</v>
      </c>
      <c r="F36" s="50">
        <f>VLOOKUP(B36,aa!B:J,9,0)</f>
        <v>855348</v>
      </c>
      <c r="G36" s="50">
        <f>VLOOKUP(B36,aa!B:L,11,0)</f>
        <v>0</v>
      </c>
      <c r="H36" s="50">
        <f>VLOOKUP(B36,aa!B:O,14,0)</f>
        <v>0</v>
      </c>
      <c r="I36" s="50">
        <f>VLOOKUP(B36,aa!B:R,17,0)</f>
        <v>855348</v>
      </c>
      <c r="K36" s="50" t="s">
        <v>848</v>
      </c>
      <c r="L36" s="50">
        <v>998011</v>
      </c>
      <c r="M36" s="50">
        <v>1177653</v>
      </c>
      <c r="N36" s="50">
        <v>0</v>
      </c>
      <c r="O36" s="50">
        <v>0</v>
      </c>
      <c r="Q36" s="50">
        <v>0</v>
      </c>
      <c r="R36" s="50">
        <v>0</v>
      </c>
      <c r="T36" s="50">
        <v>998011</v>
      </c>
      <c r="U36" s="50">
        <v>785</v>
      </c>
      <c r="V36" s="50" t="s">
        <v>850</v>
      </c>
      <c r="W36" s="50" t="s">
        <v>102</v>
      </c>
      <c r="X36" s="50" t="s">
        <v>103</v>
      </c>
      <c r="Y36" s="50" t="s">
        <v>104</v>
      </c>
      <c r="AA36" s="50" t="s">
        <v>11655</v>
      </c>
      <c r="AB36" s="50" t="s">
        <v>17417</v>
      </c>
      <c r="AC36" s="50" t="s">
        <v>9840</v>
      </c>
      <c r="AD36" s="50" t="s">
        <v>17417</v>
      </c>
      <c r="AE36" s="50" t="s">
        <v>109</v>
      </c>
      <c r="AF36" s="50" t="s">
        <v>102</v>
      </c>
      <c r="AG36" s="50" t="s">
        <v>109</v>
      </c>
      <c r="AH36" s="50" t="s">
        <v>102</v>
      </c>
      <c r="AI36" s="50" t="s">
        <v>17418</v>
      </c>
      <c r="AJ36" s="50" t="s">
        <v>160</v>
      </c>
      <c r="AK36" s="50" t="s">
        <v>15733</v>
      </c>
      <c r="AL36" s="50" t="s">
        <v>17419</v>
      </c>
      <c r="AM36" s="50" t="s">
        <v>17420</v>
      </c>
      <c r="AN36" s="50" t="s">
        <v>17421</v>
      </c>
      <c r="AO36" s="50" t="s">
        <v>1785</v>
      </c>
      <c r="AP36" s="50" t="s">
        <v>1785</v>
      </c>
      <c r="AU36" s="50" t="s">
        <v>102</v>
      </c>
      <c r="AW36" s="50" t="s">
        <v>102</v>
      </c>
      <c r="AX36" s="50" t="s">
        <v>119</v>
      </c>
      <c r="BA36" s="50" t="s">
        <v>250</v>
      </c>
      <c r="BB36" s="50" t="s">
        <v>120</v>
      </c>
      <c r="BC36" s="50" t="s">
        <v>17422</v>
      </c>
      <c r="BD36" s="50" t="s">
        <v>2543</v>
      </c>
      <c r="BE36" s="50" t="s">
        <v>122</v>
      </c>
      <c r="BF36" s="50" t="s">
        <v>557</v>
      </c>
      <c r="BG36" s="50" t="s">
        <v>124</v>
      </c>
      <c r="BH36" s="50" t="s">
        <v>5694</v>
      </c>
      <c r="BI36" s="50" t="s">
        <v>11889</v>
      </c>
      <c r="BJ36" s="50" t="s">
        <v>127</v>
      </c>
      <c r="BK36" s="50" t="s">
        <v>17423</v>
      </c>
      <c r="BL36" s="50" t="s">
        <v>17424</v>
      </c>
      <c r="BM36" s="50" t="s">
        <v>17425</v>
      </c>
      <c r="BN36" s="50" t="s">
        <v>1328</v>
      </c>
      <c r="BO36" s="50" t="s">
        <v>13402</v>
      </c>
      <c r="BP36" s="50" t="s">
        <v>350</v>
      </c>
      <c r="BQ36" s="50" t="s">
        <v>13403</v>
      </c>
      <c r="BR36" s="50" t="s">
        <v>13404</v>
      </c>
      <c r="BS36" s="50" t="s">
        <v>13405</v>
      </c>
      <c r="BT36" s="50" t="s">
        <v>1075</v>
      </c>
      <c r="BU36" s="50" t="s">
        <v>17426</v>
      </c>
      <c r="BV36" s="50" t="s">
        <v>17427</v>
      </c>
      <c r="BW36" s="50" t="s">
        <v>354</v>
      </c>
      <c r="BX36" s="50" t="s">
        <v>17428</v>
      </c>
      <c r="BY36" s="50" t="s">
        <v>17429</v>
      </c>
      <c r="BZ36" s="50" t="s">
        <v>17430</v>
      </c>
      <c r="CA36" s="50" t="s">
        <v>17431</v>
      </c>
      <c r="CB36" s="50" t="s">
        <v>17432</v>
      </c>
      <c r="CC36" s="50" t="s">
        <v>17433</v>
      </c>
      <c r="CD36" s="50" t="s">
        <v>17434</v>
      </c>
      <c r="CE36" s="50" t="s">
        <v>17435</v>
      </c>
      <c r="CF36" s="50" t="s">
        <v>17436</v>
      </c>
      <c r="CG36" s="50" t="s">
        <v>102</v>
      </c>
      <c r="CH36" s="50" t="s">
        <v>17437</v>
      </c>
      <c r="CJ36" s="50" t="s">
        <v>17438</v>
      </c>
      <c r="CL36" s="50" t="s">
        <v>17422</v>
      </c>
      <c r="CM36" s="50" t="s">
        <v>2543</v>
      </c>
      <c r="CN36" s="50" t="s">
        <v>17438</v>
      </c>
      <c r="CO36" s="50" t="s">
        <v>17439</v>
      </c>
      <c r="CP36" s="50" t="s">
        <v>17437</v>
      </c>
      <c r="CQ36" s="50" t="s">
        <v>17437</v>
      </c>
    </row>
    <row r="37" spans="1:96">
      <c r="A37" s="50" t="s">
        <v>337</v>
      </c>
      <c r="B37" s="50">
        <v>5018537</v>
      </c>
      <c r="C37" s="50" t="s">
        <v>11882</v>
      </c>
      <c r="D37" s="50" t="s">
        <v>19997</v>
      </c>
      <c r="E37" s="50" t="e">
        <f>VLOOKUP(B37,aa!B:F,5,0)</f>
        <v>#N/A</v>
      </c>
      <c r="F37" s="50" t="e">
        <f>VLOOKUP(B37,aa!B:J,9,0)</f>
        <v>#N/A</v>
      </c>
      <c r="G37" s="50" t="e">
        <f>VLOOKUP(B37,aa!B:L,11,0)</f>
        <v>#N/A</v>
      </c>
      <c r="H37" s="50" t="e">
        <f>VLOOKUP(B37,aa!B:O,14,0)</f>
        <v>#N/A</v>
      </c>
      <c r="I37" s="50" t="e">
        <f>VLOOKUP(B37,aa!B:R,17,0)</f>
        <v>#N/A</v>
      </c>
      <c r="K37" s="50" t="s">
        <v>152</v>
      </c>
      <c r="L37" s="50">
        <v>402500</v>
      </c>
      <c r="M37" s="50">
        <v>402500</v>
      </c>
      <c r="N37" s="50">
        <v>0</v>
      </c>
      <c r="O37" s="50">
        <v>0</v>
      </c>
      <c r="Q37" s="50">
        <v>402500</v>
      </c>
      <c r="R37" s="50">
        <v>250</v>
      </c>
      <c r="S37" s="50" t="s">
        <v>6839</v>
      </c>
      <c r="T37" s="50">
        <v>0</v>
      </c>
      <c r="U37" s="50">
        <v>0</v>
      </c>
      <c r="W37" s="50" t="s">
        <v>102</v>
      </c>
      <c r="X37" s="50" t="s">
        <v>103</v>
      </c>
      <c r="Y37" s="50" t="s">
        <v>155</v>
      </c>
      <c r="AA37" s="50" t="s">
        <v>3880</v>
      </c>
      <c r="AB37" s="50" t="s">
        <v>19998</v>
      </c>
      <c r="AC37" s="50" t="s">
        <v>1408</v>
      </c>
      <c r="AD37" s="50" t="s">
        <v>19998</v>
      </c>
      <c r="AE37" s="50" t="s">
        <v>12289</v>
      </c>
      <c r="AF37" s="50" t="s">
        <v>19998</v>
      </c>
      <c r="AG37" s="50" t="s">
        <v>6895</v>
      </c>
      <c r="AH37" s="50" t="s">
        <v>19998</v>
      </c>
      <c r="AI37" s="50" t="s">
        <v>102</v>
      </c>
      <c r="AJ37" s="50" t="s">
        <v>4757</v>
      </c>
      <c r="AK37" s="50" t="s">
        <v>12086</v>
      </c>
      <c r="AL37" s="50" t="s">
        <v>19999</v>
      </c>
      <c r="AM37" s="50" t="s">
        <v>20000</v>
      </c>
      <c r="AN37" s="50" t="s">
        <v>20001</v>
      </c>
      <c r="AO37" s="50" t="s">
        <v>20002</v>
      </c>
      <c r="AP37" s="50" t="s">
        <v>20002</v>
      </c>
      <c r="AU37" s="50" t="s">
        <v>102</v>
      </c>
      <c r="AW37" s="50" t="s">
        <v>155</v>
      </c>
      <c r="AX37" s="50" t="s">
        <v>119</v>
      </c>
      <c r="AY37" s="50" t="s">
        <v>170</v>
      </c>
      <c r="AZ37" s="50" t="s">
        <v>118</v>
      </c>
      <c r="BB37" s="50" t="s">
        <v>120</v>
      </c>
      <c r="BC37" s="50" t="s">
        <v>20003</v>
      </c>
      <c r="BD37" s="50" t="s">
        <v>252</v>
      </c>
      <c r="BE37" s="50" t="s">
        <v>122</v>
      </c>
      <c r="BF37" s="50" t="s">
        <v>253</v>
      </c>
      <c r="BG37" s="50" t="s">
        <v>124</v>
      </c>
      <c r="BH37" s="50" t="s">
        <v>12023</v>
      </c>
      <c r="BI37" s="50" t="s">
        <v>11889</v>
      </c>
      <c r="BJ37" s="50" t="s">
        <v>127</v>
      </c>
      <c r="BK37" s="50" t="s">
        <v>20004</v>
      </c>
      <c r="BL37" s="50" t="s">
        <v>20005</v>
      </c>
      <c r="BM37" s="50" t="s">
        <v>20006</v>
      </c>
      <c r="BN37" s="50" t="s">
        <v>680</v>
      </c>
      <c r="BO37" s="50" t="s">
        <v>12453</v>
      </c>
      <c r="BP37" s="50" t="s">
        <v>258</v>
      </c>
      <c r="BQ37" s="50" t="s">
        <v>12454</v>
      </c>
      <c r="BR37" s="50" t="s">
        <v>12455</v>
      </c>
      <c r="BS37" s="50" t="s">
        <v>1995</v>
      </c>
      <c r="BU37" s="50" t="s">
        <v>20007</v>
      </c>
      <c r="BV37" s="50" t="s">
        <v>20008</v>
      </c>
      <c r="BW37" s="50" t="s">
        <v>354</v>
      </c>
      <c r="BX37" s="50" t="s">
        <v>20009</v>
      </c>
      <c r="BY37" s="50" t="s">
        <v>20010</v>
      </c>
      <c r="BZ37" s="50" t="s">
        <v>20009</v>
      </c>
      <c r="CA37" s="50" t="s">
        <v>20011</v>
      </c>
      <c r="CB37" s="50" t="s">
        <v>20012</v>
      </c>
      <c r="CC37" s="50" t="s">
        <v>20013</v>
      </c>
      <c r="CD37" s="50" t="s">
        <v>20011</v>
      </c>
      <c r="CE37" s="50" t="s">
        <v>20012</v>
      </c>
      <c r="CF37" s="50" t="s">
        <v>20013</v>
      </c>
      <c r="CG37" s="50" t="s">
        <v>3968</v>
      </c>
      <c r="CH37" s="50" t="s">
        <v>20014</v>
      </c>
      <c r="CJ37" s="50" t="s">
        <v>20015</v>
      </c>
      <c r="CK37" s="50" t="s">
        <v>20014</v>
      </c>
      <c r="CL37" s="50" t="s">
        <v>20003</v>
      </c>
      <c r="CM37" s="50" t="s">
        <v>252</v>
      </c>
      <c r="CN37" s="50" t="s">
        <v>20015</v>
      </c>
      <c r="CP37" s="50" t="s">
        <v>20014</v>
      </c>
      <c r="CQ37" s="50" t="s">
        <v>20016</v>
      </c>
    </row>
    <row r="38" spans="1:96">
      <c r="A38" s="95" t="s">
        <v>149</v>
      </c>
      <c r="B38" s="50">
        <v>628551</v>
      </c>
      <c r="C38" s="50" t="s">
        <v>384</v>
      </c>
      <c r="D38" s="50" t="s">
        <v>21311</v>
      </c>
      <c r="E38" s="50" t="str">
        <f>VLOOKUP(B38,aa!B:F,5,0)</f>
        <v>Ei ASSET, Ei CARES, Ei Mindspark</v>
      </c>
      <c r="F38" s="50">
        <f>VLOOKUP(B38,aa!B:J,9,0)</f>
        <v>915788</v>
      </c>
      <c r="G38" s="50">
        <f>VLOOKUP(B38,aa!B:L,11,0)</f>
        <v>72800</v>
      </c>
      <c r="H38" s="50">
        <f>VLOOKUP(B38,aa!B:O,14,0)</f>
        <v>324461</v>
      </c>
      <c r="I38" s="50">
        <f>VLOOKUP(B38,aa!B:R,17,0)</f>
        <v>518527</v>
      </c>
      <c r="K38" s="50" t="s">
        <v>193</v>
      </c>
      <c r="L38" s="50">
        <v>951688</v>
      </c>
      <c r="M38" s="50">
        <v>1111760</v>
      </c>
      <c r="N38" s="50">
        <v>62400</v>
      </c>
      <c r="O38" s="50">
        <v>156</v>
      </c>
      <c r="P38" s="50" t="s">
        <v>6051</v>
      </c>
      <c r="Q38" s="50">
        <v>0</v>
      </c>
      <c r="R38" s="50">
        <v>0</v>
      </c>
      <c r="T38" s="50">
        <v>889288</v>
      </c>
      <c r="U38" s="50">
        <v>434</v>
      </c>
      <c r="V38" s="50" t="s">
        <v>21313</v>
      </c>
      <c r="W38" s="50" t="s">
        <v>102</v>
      </c>
      <c r="X38" s="50" t="s">
        <v>103</v>
      </c>
      <c r="Y38" s="50" t="s">
        <v>801</v>
      </c>
      <c r="AA38" s="50" t="s">
        <v>21314</v>
      </c>
      <c r="AB38" s="50" t="s">
        <v>21315</v>
      </c>
      <c r="AC38" s="50" t="s">
        <v>21316</v>
      </c>
      <c r="AD38" s="50" t="s">
        <v>21315</v>
      </c>
      <c r="AE38" s="50" t="s">
        <v>21317</v>
      </c>
      <c r="AF38" s="50" t="s">
        <v>21318</v>
      </c>
      <c r="AG38" s="50" t="s">
        <v>12216</v>
      </c>
      <c r="AH38" s="50" t="s">
        <v>21318</v>
      </c>
      <c r="AI38" s="50" t="s">
        <v>21319</v>
      </c>
      <c r="AJ38" s="50" t="s">
        <v>21320</v>
      </c>
      <c r="AK38" s="50" t="s">
        <v>21321</v>
      </c>
      <c r="AL38" s="50" t="s">
        <v>21322</v>
      </c>
      <c r="AM38" s="50" t="s">
        <v>21323</v>
      </c>
      <c r="AN38" s="50" t="s">
        <v>21324</v>
      </c>
      <c r="AO38" s="50" t="s">
        <v>21325</v>
      </c>
      <c r="AP38" s="50" t="s">
        <v>21326</v>
      </c>
      <c r="AU38" s="50" t="s">
        <v>247</v>
      </c>
      <c r="AV38" s="50" t="s">
        <v>118</v>
      </c>
      <c r="AW38" s="50" t="s">
        <v>102</v>
      </c>
      <c r="AX38" s="50" t="s">
        <v>119</v>
      </c>
      <c r="BA38" s="50" t="s">
        <v>250</v>
      </c>
      <c r="BB38" s="50" t="s">
        <v>171</v>
      </c>
      <c r="BC38" s="50" t="s">
        <v>1913</v>
      </c>
      <c r="BD38" s="50" t="s">
        <v>376</v>
      </c>
      <c r="BE38" s="50" t="s">
        <v>174</v>
      </c>
      <c r="BF38" s="50" t="s">
        <v>376</v>
      </c>
      <c r="BG38" s="50" t="s">
        <v>124</v>
      </c>
      <c r="BH38" s="50" t="s">
        <v>12023</v>
      </c>
      <c r="BI38" s="50" t="s">
        <v>11889</v>
      </c>
      <c r="BJ38" s="50" t="s">
        <v>127</v>
      </c>
      <c r="BK38" s="50" t="s">
        <v>21327</v>
      </c>
      <c r="BL38" s="50" t="s">
        <v>11418</v>
      </c>
      <c r="BM38" s="50" t="s">
        <v>21328</v>
      </c>
      <c r="BN38" s="50" t="s">
        <v>21312</v>
      </c>
      <c r="BO38" s="50" t="s">
        <v>1917</v>
      </c>
      <c r="BP38" s="50" t="s">
        <v>180</v>
      </c>
      <c r="BQ38" s="50" t="s">
        <v>1918</v>
      </c>
      <c r="BR38" s="50" t="s">
        <v>1919</v>
      </c>
      <c r="BS38" s="50" t="s">
        <v>384</v>
      </c>
      <c r="BU38" s="50" t="s">
        <v>21329</v>
      </c>
      <c r="BV38" s="50" t="s">
        <v>21330</v>
      </c>
      <c r="BW38" s="50" t="s">
        <v>138</v>
      </c>
      <c r="BX38" s="50" t="s">
        <v>11427</v>
      </c>
      <c r="BY38" s="50" t="s">
        <v>11426</v>
      </c>
      <c r="BZ38" s="50" t="s">
        <v>11427</v>
      </c>
      <c r="CA38" s="50" t="s">
        <v>21330</v>
      </c>
      <c r="CB38" s="50" t="s">
        <v>21331</v>
      </c>
      <c r="CC38" s="50" t="s">
        <v>11426</v>
      </c>
      <c r="CD38" s="50" t="s">
        <v>21330</v>
      </c>
      <c r="CE38" s="50" t="s">
        <v>21331</v>
      </c>
      <c r="CF38" s="50" t="s">
        <v>11426</v>
      </c>
      <c r="CG38" s="50" t="s">
        <v>102</v>
      </c>
      <c r="CH38" s="50" t="s">
        <v>21332</v>
      </c>
      <c r="CJ38" s="50" t="s">
        <v>11432</v>
      </c>
      <c r="CL38" s="50" t="s">
        <v>1913</v>
      </c>
      <c r="CM38" s="50" t="s">
        <v>376</v>
      </c>
      <c r="CN38" s="50" t="s">
        <v>11432</v>
      </c>
      <c r="CO38" s="50" t="s">
        <v>11433</v>
      </c>
      <c r="CP38" s="50" t="s">
        <v>11431</v>
      </c>
      <c r="CQ38" s="50" t="s">
        <v>11431</v>
      </c>
    </row>
    <row r="39" spans="1:96">
      <c r="A39" s="95" t="s">
        <v>149</v>
      </c>
      <c r="B39" s="50">
        <v>3284326</v>
      </c>
      <c r="C39" s="50" t="s">
        <v>384</v>
      </c>
      <c r="D39" s="50" t="s">
        <v>5237</v>
      </c>
      <c r="E39" s="50" t="str">
        <f>VLOOKUP(B39,aa!B:F,5,0)</f>
        <v>Ei ASSET, Ei CARES, Ei Mindspark</v>
      </c>
      <c r="F39" s="50">
        <f>VLOOKUP(B39,aa!B:J,9,0)</f>
        <v>1251138</v>
      </c>
      <c r="G39" s="50">
        <f>VLOOKUP(B39,aa!B:L,11,0)</f>
        <v>151308</v>
      </c>
      <c r="H39" s="50">
        <f>VLOOKUP(B39,aa!B:O,14,0)</f>
        <v>281227</v>
      </c>
      <c r="I39" s="50">
        <f>VLOOKUP(B39,aa!B:R,17,0)</f>
        <v>818603</v>
      </c>
      <c r="K39" s="50" t="s">
        <v>2163</v>
      </c>
      <c r="L39" s="50">
        <v>1031051</v>
      </c>
      <c r="M39" s="50">
        <v>1163046</v>
      </c>
      <c r="N39" s="50">
        <v>121626</v>
      </c>
      <c r="O39" s="50">
        <v>174</v>
      </c>
      <c r="P39" s="50" t="s">
        <v>15347</v>
      </c>
      <c r="Q39" s="50">
        <v>176117</v>
      </c>
      <c r="R39" s="50">
        <v>267</v>
      </c>
      <c r="S39" s="50" t="s">
        <v>4273</v>
      </c>
      <c r="T39" s="50">
        <v>733308</v>
      </c>
      <c r="U39" s="50">
        <v>437</v>
      </c>
      <c r="V39" s="50" t="s">
        <v>15348</v>
      </c>
      <c r="W39" s="50" t="s">
        <v>102</v>
      </c>
      <c r="X39" s="50" t="s">
        <v>275</v>
      </c>
      <c r="Z39" s="50" t="s">
        <v>15349</v>
      </c>
      <c r="AA39" s="50" t="s">
        <v>109</v>
      </c>
      <c r="AB39" s="50" t="s">
        <v>102</v>
      </c>
      <c r="AC39" s="50" t="s">
        <v>109</v>
      </c>
      <c r="AD39" s="50" t="s">
        <v>102</v>
      </c>
      <c r="AE39" s="50" t="s">
        <v>109</v>
      </c>
      <c r="AF39" s="50" t="s">
        <v>102</v>
      </c>
      <c r="AG39" s="50" t="s">
        <v>109</v>
      </c>
      <c r="AH39" s="50" t="s">
        <v>102</v>
      </c>
      <c r="AI39" s="50" t="s">
        <v>102</v>
      </c>
      <c r="AJ39" s="50" t="s">
        <v>15350</v>
      </c>
      <c r="AK39" s="50" t="s">
        <v>15351</v>
      </c>
      <c r="AL39" s="50" t="s">
        <v>15352</v>
      </c>
      <c r="AM39" s="50" t="s">
        <v>15353</v>
      </c>
      <c r="AN39" s="50" t="s">
        <v>15354</v>
      </c>
      <c r="AO39" s="50" t="s">
        <v>15355</v>
      </c>
      <c r="AP39" s="50" t="s">
        <v>15355</v>
      </c>
      <c r="AU39" s="50" t="s">
        <v>207</v>
      </c>
      <c r="AV39" s="50" t="s">
        <v>118</v>
      </c>
      <c r="AW39" s="50" t="s">
        <v>3536</v>
      </c>
      <c r="AX39" s="50" t="s">
        <v>249</v>
      </c>
      <c r="AY39" s="50" t="s">
        <v>1138</v>
      </c>
      <c r="AZ39" s="50" t="s">
        <v>250</v>
      </c>
      <c r="BA39" s="50" t="s">
        <v>250</v>
      </c>
      <c r="BB39" s="50" t="s">
        <v>171</v>
      </c>
      <c r="BC39" s="50" t="s">
        <v>5248</v>
      </c>
      <c r="BD39" s="50" t="s">
        <v>1208</v>
      </c>
      <c r="BE39" s="50" t="s">
        <v>174</v>
      </c>
      <c r="BF39" s="50" t="s">
        <v>1172</v>
      </c>
      <c r="BG39" s="50" t="s">
        <v>124</v>
      </c>
      <c r="BH39" s="50" t="s">
        <v>15356</v>
      </c>
      <c r="BI39" s="50" t="s">
        <v>11889</v>
      </c>
      <c r="BJ39" s="50" t="s">
        <v>127</v>
      </c>
      <c r="BK39" s="50" t="s">
        <v>15357</v>
      </c>
      <c r="BL39" s="50" t="s">
        <v>5250</v>
      </c>
      <c r="BM39" s="50" t="s">
        <v>15358</v>
      </c>
      <c r="BN39" s="50" t="s">
        <v>15346</v>
      </c>
      <c r="BO39" s="50" t="s">
        <v>1917</v>
      </c>
      <c r="BP39" s="50" t="s">
        <v>180</v>
      </c>
      <c r="BQ39" s="50" t="s">
        <v>1918</v>
      </c>
      <c r="BR39" s="50" t="s">
        <v>1919</v>
      </c>
      <c r="BS39" s="50" t="s">
        <v>384</v>
      </c>
      <c r="BU39" s="50" t="s">
        <v>15359</v>
      </c>
      <c r="BV39" s="50" t="s">
        <v>5253</v>
      </c>
      <c r="BW39" s="50" t="s">
        <v>138</v>
      </c>
      <c r="BX39" s="50" t="s">
        <v>5254</v>
      </c>
      <c r="BY39" s="50" t="s">
        <v>5255</v>
      </c>
      <c r="BZ39" s="50" t="s">
        <v>5256</v>
      </c>
      <c r="CA39" s="50" t="s">
        <v>5253</v>
      </c>
      <c r="CB39" s="50" t="s">
        <v>5254</v>
      </c>
      <c r="CC39" s="50" t="s">
        <v>5255</v>
      </c>
      <c r="CD39" s="50" t="s">
        <v>5253</v>
      </c>
      <c r="CE39" s="50" t="s">
        <v>5254</v>
      </c>
      <c r="CF39" s="50" t="s">
        <v>5255</v>
      </c>
      <c r="CG39" s="50" t="s">
        <v>102</v>
      </c>
      <c r="CH39" s="50" t="s">
        <v>15360</v>
      </c>
      <c r="CJ39" s="50" t="s">
        <v>5262</v>
      </c>
      <c r="CL39" s="50" t="s">
        <v>5248</v>
      </c>
      <c r="CM39" s="50" t="s">
        <v>1208</v>
      </c>
      <c r="CN39" s="50" t="s">
        <v>5262</v>
      </c>
      <c r="CP39" s="50" t="s">
        <v>5263</v>
      </c>
      <c r="CQ39" s="50" t="s">
        <v>5261</v>
      </c>
    </row>
    <row r="40" spans="1:96">
      <c r="A40" s="95" t="s">
        <v>149</v>
      </c>
      <c r="B40" s="50">
        <v>343881</v>
      </c>
      <c r="C40" s="50" t="s">
        <v>12018</v>
      </c>
      <c r="D40" s="50" t="s">
        <v>6049</v>
      </c>
      <c r="E40" s="50" t="str">
        <f>VLOOKUP(B40,aa!B:F,5,0)</f>
        <v>Ei ASSET, Ei CARES, Ei Mindspark</v>
      </c>
      <c r="F40" s="50">
        <f>VLOOKUP(B40,aa!B:J,9,0)</f>
        <v>2591474</v>
      </c>
      <c r="G40" s="50">
        <f>VLOOKUP(B40,aa!B:L,11,0)</f>
        <v>558070</v>
      </c>
      <c r="H40" s="50">
        <f>VLOOKUP(B40,aa!B:O,14,0)</f>
        <v>636300</v>
      </c>
      <c r="I40" s="50">
        <f>VLOOKUP(B40,aa!B:R,17,0)</f>
        <v>1397104</v>
      </c>
      <c r="K40" s="50" t="s">
        <v>2163</v>
      </c>
      <c r="L40" s="50">
        <v>2609869</v>
      </c>
      <c r="M40" s="50">
        <v>2866153</v>
      </c>
      <c r="N40" s="50">
        <v>556069</v>
      </c>
      <c r="O40" s="50">
        <v>1390</v>
      </c>
      <c r="P40" s="50" t="s">
        <v>6051</v>
      </c>
      <c r="Q40" s="50">
        <v>630000</v>
      </c>
      <c r="R40" s="50">
        <v>600</v>
      </c>
      <c r="S40" s="50" t="s">
        <v>433</v>
      </c>
      <c r="T40" s="50">
        <v>1423800</v>
      </c>
      <c r="U40" s="50">
        <v>800</v>
      </c>
      <c r="V40" s="50" t="s">
        <v>4042</v>
      </c>
      <c r="W40" s="50" t="s">
        <v>102</v>
      </c>
      <c r="X40" s="50" t="s">
        <v>103</v>
      </c>
      <c r="Y40" s="50" t="s">
        <v>801</v>
      </c>
      <c r="AA40" s="50" t="s">
        <v>15987</v>
      </c>
      <c r="AB40" s="50" t="s">
        <v>15988</v>
      </c>
      <c r="AC40" s="50" t="s">
        <v>10729</v>
      </c>
      <c r="AD40" s="50" t="s">
        <v>15989</v>
      </c>
      <c r="AE40" s="50" t="s">
        <v>15990</v>
      </c>
      <c r="AF40" s="50" t="s">
        <v>15991</v>
      </c>
      <c r="AG40" s="50" t="s">
        <v>15992</v>
      </c>
      <c r="AH40" s="50" t="s">
        <v>15991</v>
      </c>
      <c r="AI40" s="50" t="s">
        <v>15993</v>
      </c>
      <c r="AJ40" s="50" t="s">
        <v>12425</v>
      </c>
      <c r="AK40" s="50" t="s">
        <v>15994</v>
      </c>
      <c r="AL40" s="50" t="s">
        <v>15995</v>
      </c>
      <c r="AM40" s="50" t="s">
        <v>15996</v>
      </c>
      <c r="AN40" s="50" t="s">
        <v>15997</v>
      </c>
      <c r="AO40" s="50" t="s">
        <v>6062</v>
      </c>
      <c r="AP40" s="50" t="s">
        <v>6062</v>
      </c>
      <c r="AU40" s="50" t="s">
        <v>247</v>
      </c>
      <c r="AV40" s="50" t="s">
        <v>118</v>
      </c>
      <c r="AW40" s="50" t="s">
        <v>655</v>
      </c>
      <c r="AX40" s="50" t="s">
        <v>119</v>
      </c>
      <c r="AZ40" s="50" t="s">
        <v>250</v>
      </c>
      <c r="BA40" s="50" t="s">
        <v>250</v>
      </c>
      <c r="BB40" s="50" t="s">
        <v>120</v>
      </c>
      <c r="BC40" s="50" t="s">
        <v>4644</v>
      </c>
      <c r="BD40" s="50" t="s">
        <v>320</v>
      </c>
      <c r="BE40" s="50" t="s">
        <v>122</v>
      </c>
      <c r="BF40" s="50" t="s">
        <v>123</v>
      </c>
      <c r="BG40" s="50" t="s">
        <v>124</v>
      </c>
      <c r="BH40" s="50" t="s">
        <v>12023</v>
      </c>
      <c r="BI40" s="50" t="s">
        <v>11889</v>
      </c>
      <c r="BJ40" s="50" t="s">
        <v>127</v>
      </c>
      <c r="BK40" s="50" t="s">
        <v>15998</v>
      </c>
      <c r="BL40" s="50" t="s">
        <v>6064</v>
      </c>
      <c r="BM40" s="50" t="s">
        <v>15999</v>
      </c>
      <c r="BN40" s="50" t="s">
        <v>550</v>
      </c>
      <c r="BO40" s="50" t="s">
        <v>593</v>
      </c>
      <c r="BP40" s="50" t="s">
        <v>350</v>
      </c>
      <c r="BQ40" s="50" t="s">
        <v>594</v>
      </c>
      <c r="BR40" s="50" t="s">
        <v>595</v>
      </c>
      <c r="BS40" s="50" t="s">
        <v>328</v>
      </c>
      <c r="BT40" s="50" t="s">
        <v>5743</v>
      </c>
      <c r="BU40" s="50" t="s">
        <v>16000</v>
      </c>
      <c r="BV40" s="50" t="s">
        <v>16001</v>
      </c>
      <c r="BW40" s="50" t="s">
        <v>138</v>
      </c>
      <c r="BX40" s="50" t="s">
        <v>6068</v>
      </c>
      <c r="BY40" s="50" t="s">
        <v>6069</v>
      </c>
      <c r="BZ40" s="50" t="s">
        <v>6068</v>
      </c>
      <c r="CA40" s="50" t="s">
        <v>16001</v>
      </c>
      <c r="CB40" s="50" t="s">
        <v>6068</v>
      </c>
      <c r="CC40" s="50" t="s">
        <v>6069</v>
      </c>
      <c r="CD40" s="50" t="s">
        <v>16002</v>
      </c>
      <c r="CE40" s="50" t="s">
        <v>16003</v>
      </c>
      <c r="CF40" s="50" t="s">
        <v>6071</v>
      </c>
      <c r="CG40" s="50" t="s">
        <v>102</v>
      </c>
      <c r="CH40" s="50" t="s">
        <v>16004</v>
      </c>
      <c r="CJ40" s="50" t="s">
        <v>6073</v>
      </c>
      <c r="CL40" s="50" t="s">
        <v>4644</v>
      </c>
      <c r="CM40" s="50" t="s">
        <v>320</v>
      </c>
      <c r="CN40" s="50" t="s">
        <v>6073</v>
      </c>
      <c r="CO40" s="50" t="s">
        <v>6074</v>
      </c>
      <c r="CP40" s="50" t="s">
        <v>6072</v>
      </c>
      <c r="CQ40" s="50" t="s">
        <v>6072</v>
      </c>
    </row>
    <row r="41" spans="1:96">
      <c r="A41" s="50" t="s">
        <v>93</v>
      </c>
      <c r="B41" s="50">
        <v>3328193</v>
      </c>
      <c r="C41" s="50" t="s">
        <v>12096</v>
      </c>
      <c r="D41" s="50" t="s">
        <v>15611</v>
      </c>
      <c r="E41" s="50" t="str">
        <f>VLOOKUP(B41,aa!B:F,5,0)</f>
        <v>Ei CARES, Ei Mindspark</v>
      </c>
      <c r="F41" s="50">
        <f>VLOOKUP(B41,aa!B:J,9,0)</f>
        <v>498171</v>
      </c>
      <c r="G41" s="50">
        <f>VLOOKUP(B41,aa!B:L,11,0)</f>
        <v>0</v>
      </c>
      <c r="H41" s="50">
        <f>VLOOKUP(B41,aa!B:O,14,0)</f>
        <v>185983</v>
      </c>
      <c r="I41" s="50">
        <f>VLOOKUP(B41,aa!B:R,17,0)</f>
        <v>312188</v>
      </c>
      <c r="K41" s="50" t="s">
        <v>8024</v>
      </c>
      <c r="L41" s="50">
        <v>605318</v>
      </c>
      <c r="M41" s="50">
        <v>698400</v>
      </c>
      <c r="N41" s="50">
        <v>610200</v>
      </c>
      <c r="O41" s="50">
        <v>0</v>
      </c>
      <c r="P41" s="50" t="s">
        <v>102</v>
      </c>
      <c r="Q41" s="50">
        <v>88200</v>
      </c>
      <c r="R41" s="50">
        <v>147</v>
      </c>
      <c r="S41" s="50" t="s">
        <v>102</v>
      </c>
      <c r="T41" s="50">
        <v>0</v>
      </c>
      <c r="U41" s="50">
        <v>339</v>
      </c>
      <c r="V41" s="50" t="s">
        <v>102</v>
      </c>
      <c r="W41" s="50" t="s">
        <v>102</v>
      </c>
      <c r="X41" s="50" t="s">
        <v>103</v>
      </c>
      <c r="Y41" s="50" t="s">
        <v>2196</v>
      </c>
      <c r="Z41" s="50" t="s">
        <v>3993</v>
      </c>
      <c r="AA41" s="50" t="s">
        <v>15613</v>
      </c>
      <c r="AB41" s="50" t="s">
        <v>102</v>
      </c>
      <c r="AC41" s="50" t="s">
        <v>15614</v>
      </c>
      <c r="AD41" s="50" t="s">
        <v>102</v>
      </c>
      <c r="AE41" s="50" t="s">
        <v>15615</v>
      </c>
      <c r="AF41" s="50" t="s">
        <v>102</v>
      </c>
      <c r="AG41" s="50" t="s">
        <v>15616</v>
      </c>
      <c r="AH41" s="50" t="s">
        <v>102</v>
      </c>
      <c r="AI41" s="50" t="s">
        <v>102</v>
      </c>
      <c r="AJ41" s="50" t="s">
        <v>15617</v>
      </c>
      <c r="AK41" s="50" t="s">
        <v>15618</v>
      </c>
      <c r="AL41" s="50" t="s">
        <v>15619</v>
      </c>
      <c r="AM41" s="50" t="s">
        <v>15620</v>
      </c>
      <c r="AN41" s="50" t="s">
        <v>15621</v>
      </c>
      <c r="AO41" s="50" t="s">
        <v>2202</v>
      </c>
      <c r="AP41" s="50" t="s">
        <v>2202</v>
      </c>
      <c r="AQ41" s="50" t="s">
        <v>102</v>
      </c>
      <c r="AR41" s="50" t="s">
        <v>102</v>
      </c>
      <c r="AS41" s="50" t="s">
        <v>102</v>
      </c>
      <c r="AT41" s="50" t="s">
        <v>102</v>
      </c>
      <c r="AU41" s="50" t="s">
        <v>247</v>
      </c>
      <c r="AV41" s="50" t="s">
        <v>118</v>
      </c>
      <c r="AW41" s="50" t="s">
        <v>1103</v>
      </c>
      <c r="AX41" s="50" t="s">
        <v>119</v>
      </c>
      <c r="AY41" s="50" t="s">
        <v>170</v>
      </c>
      <c r="AZ41" s="50" t="s">
        <v>118</v>
      </c>
      <c r="BA41" s="50" t="s">
        <v>250</v>
      </c>
      <c r="BB41" s="50" t="s">
        <v>120</v>
      </c>
      <c r="BC41" s="50" t="s">
        <v>5553</v>
      </c>
      <c r="BD41" s="50" t="s">
        <v>1171</v>
      </c>
      <c r="BE41" s="50" t="s">
        <v>174</v>
      </c>
      <c r="BF41" s="50" t="s">
        <v>1172</v>
      </c>
      <c r="BG41" s="50" t="s">
        <v>124</v>
      </c>
      <c r="BH41" s="50" t="s">
        <v>15622</v>
      </c>
      <c r="BI41" s="50" t="s">
        <v>15623</v>
      </c>
      <c r="BJ41" s="50" t="s">
        <v>15624</v>
      </c>
      <c r="BK41" s="50" t="s">
        <v>15625</v>
      </c>
      <c r="BL41" s="50" t="s">
        <v>15626</v>
      </c>
      <c r="BM41" s="50" t="s">
        <v>15627</v>
      </c>
      <c r="BN41" s="50" t="s">
        <v>15612</v>
      </c>
      <c r="BO41" s="50" t="s">
        <v>15628</v>
      </c>
      <c r="BP41" s="50" t="s">
        <v>15629</v>
      </c>
      <c r="BQ41" s="50" t="s">
        <v>15630</v>
      </c>
      <c r="BR41" s="50" t="s">
        <v>15631</v>
      </c>
      <c r="BS41" s="50" t="s">
        <v>5560</v>
      </c>
      <c r="BT41" s="50" t="s">
        <v>5560</v>
      </c>
      <c r="BU41" s="50" t="s">
        <v>15632</v>
      </c>
      <c r="BV41" s="50" t="s">
        <v>15633</v>
      </c>
      <c r="BW41" s="50" t="s">
        <v>354</v>
      </c>
      <c r="BX41" s="50" t="s">
        <v>15634</v>
      </c>
      <c r="BY41" s="50" t="s">
        <v>15635</v>
      </c>
      <c r="BZ41" s="50" t="s">
        <v>15636</v>
      </c>
      <c r="CA41" s="50" t="s">
        <v>15637</v>
      </c>
      <c r="CB41" s="50" t="s">
        <v>15634</v>
      </c>
      <c r="CC41" s="50" t="s">
        <v>15635</v>
      </c>
      <c r="CD41" s="50" t="s">
        <v>15637</v>
      </c>
      <c r="CE41" s="50" t="s">
        <v>15634</v>
      </c>
      <c r="CF41" s="50" t="s">
        <v>15635</v>
      </c>
      <c r="CG41" s="50" t="s">
        <v>15638</v>
      </c>
      <c r="CH41" s="50" t="s">
        <v>15639</v>
      </c>
      <c r="CJ41" s="50" t="s">
        <v>15640</v>
      </c>
      <c r="CK41" s="50" t="s">
        <v>15639</v>
      </c>
      <c r="CL41" s="50" t="s">
        <v>5553</v>
      </c>
      <c r="CM41" s="50" t="s">
        <v>1171</v>
      </c>
      <c r="CN41" s="50" t="s">
        <v>15640</v>
      </c>
      <c r="CP41" s="50" t="s">
        <v>15641</v>
      </c>
      <c r="CQ41" s="50" t="s">
        <v>15641</v>
      </c>
    </row>
    <row r="42" spans="1:96">
      <c r="A42" s="95" t="s">
        <v>26356</v>
      </c>
      <c r="B42" s="50">
        <v>3139</v>
      </c>
      <c r="C42" s="50" t="s">
        <v>12491</v>
      </c>
      <c r="D42" s="50" t="s">
        <v>4714</v>
      </c>
      <c r="E42" s="50" t="str">
        <f>VLOOKUP(B42,aa!B:F,5,0)</f>
        <v>Ei ASSET, Ei Mindspark</v>
      </c>
      <c r="F42" s="50">
        <f>VLOOKUP(B42,aa!B:J,9,0)</f>
        <v>1898508</v>
      </c>
      <c r="G42" s="50">
        <f>VLOOKUP(B42,aa!B:L,11,0)</f>
        <v>512160</v>
      </c>
      <c r="H42" s="50">
        <f>VLOOKUP(B42,aa!B:O,14,0)</f>
        <v>0</v>
      </c>
      <c r="I42" s="50">
        <f>VLOOKUP(B42,aa!B:R,17,0)</f>
        <v>1642428</v>
      </c>
      <c r="K42" s="50" t="s">
        <v>193</v>
      </c>
      <c r="L42" s="50">
        <v>1659933</v>
      </c>
      <c r="M42" s="50">
        <v>1927833</v>
      </c>
      <c r="N42" s="50">
        <v>171600</v>
      </c>
      <c r="O42" s="50">
        <v>418</v>
      </c>
      <c r="P42" s="50" t="s">
        <v>14947</v>
      </c>
      <c r="Q42" s="50">
        <v>0</v>
      </c>
      <c r="R42" s="50">
        <v>0</v>
      </c>
      <c r="T42" s="50">
        <v>1488333</v>
      </c>
      <c r="U42" s="50">
        <v>630</v>
      </c>
      <c r="V42" s="50" t="s">
        <v>14948</v>
      </c>
      <c r="W42" s="50" t="s">
        <v>102</v>
      </c>
      <c r="X42" s="50" t="s">
        <v>679</v>
      </c>
      <c r="Y42" s="50" t="s">
        <v>155</v>
      </c>
      <c r="Z42" s="50" t="s">
        <v>14949</v>
      </c>
      <c r="AA42" s="50" t="s">
        <v>12764</v>
      </c>
      <c r="AB42" s="50" t="s">
        <v>14950</v>
      </c>
      <c r="AC42" s="50" t="s">
        <v>12570</v>
      </c>
      <c r="AD42" s="50" t="s">
        <v>14950</v>
      </c>
      <c r="AE42" s="50" t="s">
        <v>12571</v>
      </c>
      <c r="AF42" s="50" t="s">
        <v>14950</v>
      </c>
      <c r="AG42" s="50" t="s">
        <v>12595</v>
      </c>
      <c r="AH42" s="50" t="s">
        <v>14950</v>
      </c>
      <c r="AI42" s="50" t="s">
        <v>14951</v>
      </c>
      <c r="AJ42" s="50" t="s">
        <v>14080</v>
      </c>
      <c r="AK42" s="50" t="s">
        <v>14952</v>
      </c>
      <c r="AL42" s="50" t="s">
        <v>14953</v>
      </c>
      <c r="AM42" s="50" t="s">
        <v>14954</v>
      </c>
      <c r="AN42" s="50" t="s">
        <v>14955</v>
      </c>
      <c r="AO42" s="50" t="s">
        <v>14956</v>
      </c>
      <c r="AP42" s="50" t="s">
        <v>14956</v>
      </c>
      <c r="AU42" s="50" t="s">
        <v>207</v>
      </c>
      <c r="AV42" s="50" t="s">
        <v>118</v>
      </c>
      <c r="AW42" s="50" t="s">
        <v>102</v>
      </c>
      <c r="AX42" s="50" t="s">
        <v>119</v>
      </c>
      <c r="BA42" s="50" t="s">
        <v>14957</v>
      </c>
      <c r="BB42" s="50" t="s">
        <v>120</v>
      </c>
      <c r="BC42" s="50" t="s">
        <v>2204</v>
      </c>
      <c r="BD42" s="50" t="s">
        <v>121</v>
      </c>
      <c r="BE42" s="50" t="s">
        <v>122</v>
      </c>
      <c r="BF42" s="50" t="s">
        <v>123</v>
      </c>
      <c r="BG42" s="50" t="s">
        <v>124</v>
      </c>
      <c r="BH42" s="50" t="s">
        <v>14958</v>
      </c>
      <c r="BI42" s="50" t="s">
        <v>14959</v>
      </c>
      <c r="BJ42" s="50" t="s">
        <v>127</v>
      </c>
      <c r="BK42" s="50" t="s">
        <v>14960</v>
      </c>
      <c r="BL42" s="50" t="s">
        <v>4725</v>
      </c>
      <c r="BM42" s="50" t="s">
        <v>14961</v>
      </c>
      <c r="BN42" s="50" t="s">
        <v>14946</v>
      </c>
      <c r="BO42" s="50" t="s">
        <v>1142</v>
      </c>
      <c r="BP42" s="50" t="s">
        <v>350</v>
      </c>
      <c r="BQ42" s="50" t="s">
        <v>1143</v>
      </c>
      <c r="BR42" s="50" t="s">
        <v>1144</v>
      </c>
      <c r="BS42" s="50" t="s">
        <v>566</v>
      </c>
      <c r="BU42" s="50" t="s">
        <v>14962</v>
      </c>
      <c r="BV42" s="50" t="s">
        <v>14963</v>
      </c>
      <c r="BW42" s="50" t="s">
        <v>9092</v>
      </c>
      <c r="BX42" s="50" t="s">
        <v>4729</v>
      </c>
      <c r="BY42" s="50" t="s">
        <v>14964</v>
      </c>
      <c r="BZ42" s="50" t="s">
        <v>4731</v>
      </c>
      <c r="CA42" s="50" t="s">
        <v>14963</v>
      </c>
      <c r="CB42" s="50" t="s">
        <v>4729</v>
      </c>
      <c r="CC42" s="50" t="s">
        <v>14965</v>
      </c>
      <c r="CD42" s="50" t="s">
        <v>14963</v>
      </c>
      <c r="CE42" s="50" t="s">
        <v>4729</v>
      </c>
      <c r="CF42" s="50" t="s">
        <v>14965</v>
      </c>
      <c r="CG42" s="50" t="s">
        <v>102</v>
      </c>
      <c r="CH42" s="50" t="s">
        <v>14966</v>
      </c>
      <c r="CJ42" s="50" t="s">
        <v>4735</v>
      </c>
      <c r="CL42" s="50" t="s">
        <v>2204</v>
      </c>
      <c r="CM42" s="50" t="s">
        <v>121</v>
      </c>
      <c r="CN42" s="50" t="s">
        <v>4735</v>
      </c>
      <c r="CO42" s="50" t="s">
        <v>4736</v>
      </c>
      <c r="CP42" s="50" t="s">
        <v>4734</v>
      </c>
      <c r="CQ42" s="50" t="s">
        <v>4734</v>
      </c>
    </row>
    <row r="43" spans="1:96">
      <c r="A43" s="95" t="s">
        <v>149</v>
      </c>
      <c r="B43" s="50">
        <v>529319</v>
      </c>
      <c r="C43" s="50" t="s">
        <v>12018</v>
      </c>
      <c r="D43" s="50" t="s">
        <v>21029</v>
      </c>
      <c r="E43" s="50" t="e">
        <f>VLOOKUP(B43,aa!B:F,5,0)</f>
        <v>#N/A</v>
      </c>
      <c r="F43" s="50" t="e">
        <f>VLOOKUP(B43,aa!B:J,9,0)</f>
        <v>#N/A</v>
      </c>
      <c r="G43" s="50" t="e">
        <f>VLOOKUP(B43,aa!B:L,11,0)</f>
        <v>#N/A</v>
      </c>
      <c r="H43" s="50" t="e">
        <f>VLOOKUP(B43,aa!B:O,14,0)</f>
        <v>#N/A</v>
      </c>
      <c r="I43" s="50" t="e">
        <f>VLOOKUP(B43,aa!B:R,17,0)</f>
        <v>#N/A</v>
      </c>
      <c r="K43" s="50" t="s">
        <v>97</v>
      </c>
      <c r="L43" s="50">
        <v>1124134</v>
      </c>
      <c r="M43" s="50">
        <v>1124134</v>
      </c>
      <c r="N43" s="50">
        <v>1124134</v>
      </c>
      <c r="O43" s="50">
        <v>868</v>
      </c>
      <c r="P43" s="50" t="s">
        <v>21031</v>
      </c>
      <c r="Q43" s="50">
        <v>0</v>
      </c>
      <c r="R43" s="50">
        <v>0</v>
      </c>
      <c r="T43" s="50">
        <v>0</v>
      </c>
      <c r="U43" s="50">
        <v>0</v>
      </c>
      <c r="W43" s="50" t="s">
        <v>102</v>
      </c>
      <c r="X43" s="50" t="s">
        <v>103</v>
      </c>
      <c r="Y43" s="50" t="s">
        <v>104</v>
      </c>
      <c r="AA43" s="50" t="s">
        <v>1305</v>
      </c>
      <c r="AB43" s="50" t="s">
        <v>21032</v>
      </c>
      <c r="AC43" s="50" t="s">
        <v>13033</v>
      </c>
      <c r="AD43" s="50" t="s">
        <v>21033</v>
      </c>
      <c r="AE43" s="50" t="s">
        <v>109</v>
      </c>
      <c r="AF43" s="50" t="s">
        <v>102</v>
      </c>
      <c r="AG43" s="50" t="s">
        <v>109</v>
      </c>
      <c r="AH43" s="50" t="s">
        <v>102</v>
      </c>
      <c r="AI43" s="50" t="s">
        <v>21034</v>
      </c>
      <c r="AJ43" s="50" t="s">
        <v>13036</v>
      </c>
      <c r="AK43" s="50" t="s">
        <v>11933</v>
      </c>
      <c r="AL43" s="50" t="s">
        <v>21035</v>
      </c>
      <c r="AM43" s="50" t="s">
        <v>21036</v>
      </c>
      <c r="AN43" s="50" t="s">
        <v>14295</v>
      </c>
      <c r="AO43" s="50" t="s">
        <v>21037</v>
      </c>
      <c r="AP43" s="50" t="s">
        <v>21037</v>
      </c>
      <c r="AU43" s="50" t="s">
        <v>318</v>
      </c>
      <c r="AV43" s="50" t="s">
        <v>118</v>
      </c>
      <c r="AW43" s="50" t="s">
        <v>102</v>
      </c>
      <c r="AX43" s="50" t="s">
        <v>119</v>
      </c>
      <c r="BB43" s="50" t="s">
        <v>120</v>
      </c>
      <c r="BC43" s="50" t="s">
        <v>8930</v>
      </c>
      <c r="BD43" s="50" t="s">
        <v>8930</v>
      </c>
      <c r="BE43" s="50" t="s">
        <v>122</v>
      </c>
      <c r="BF43" s="50" t="s">
        <v>346</v>
      </c>
      <c r="BG43" s="50" t="s">
        <v>124</v>
      </c>
      <c r="BH43" s="50" t="s">
        <v>12023</v>
      </c>
      <c r="BI43" s="50" t="s">
        <v>11889</v>
      </c>
      <c r="BJ43" s="50" t="s">
        <v>127</v>
      </c>
      <c r="BK43" s="50" t="s">
        <v>21038</v>
      </c>
      <c r="BL43" s="50" t="s">
        <v>10961</v>
      </c>
      <c r="BM43" s="50" t="s">
        <v>21039</v>
      </c>
      <c r="BN43" s="50" t="s">
        <v>21030</v>
      </c>
      <c r="BO43" s="50" t="s">
        <v>593</v>
      </c>
      <c r="BP43" s="50" t="s">
        <v>350</v>
      </c>
      <c r="BQ43" s="50" t="s">
        <v>594</v>
      </c>
      <c r="BR43" s="50" t="s">
        <v>595</v>
      </c>
      <c r="BS43" s="50" t="s">
        <v>328</v>
      </c>
      <c r="BU43" s="50" t="s">
        <v>21040</v>
      </c>
      <c r="BV43" s="50" t="s">
        <v>21041</v>
      </c>
      <c r="BW43" s="50" t="s">
        <v>598</v>
      </c>
      <c r="BX43" s="50" t="s">
        <v>21042</v>
      </c>
      <c r="BY43" s="50" t="s">
        <v>21043</v>
      </c>
      <c r="BZ43" s="50" t="s">
        <v>10965</v>
      </c>
      <c r="CA43" s="50" t="s">
        <v>21044</v>
      </c>
      <c r="CB43" s="50" t="s">
        <v>10965</v>
      </c>
      <c r="CC43" s="50" t="s">
        <v>21043</v>
      </c>
      <c r="CD43" s="50" t="s">
        <v>21041</v>
      </c>
      <c r="CE43" s="50" t="s">
        <v>21042</v>
      </c>
      <c r="CF43" s="50" t="s">
        <v>21043</v>
      </c>
      <c r="CG43" s="50" t="s">
        <v>102</v>
      </c>
      <c r="CH43" s="50" t="s">
        <v>21045</v>
      </c>
      <c r="CJ43" s="50" t="s">
        <v>10968</v>
      </c>
      <c r="CL43" s="50" t="s">
        <v>8930</v>
      </c>
      <c r="CM43" s="50" t="s">
        <v>8930</v>
      </c>
      <c r="CN43" s="50" t="s">
        <v>10968</v>
      </c>
      <c r="CO43" s="50" t="s">
        <v>10969</v>
      </c>
      <c r="CP43" s="50" t="s">
        <v>10967</v>
      </c>
      <c r="CQ43" s="50" t="s">
        <v>10967</v>
      </c>
    </row>
    <row r="44" spans="1:96">
      <c r="A44" s="95" t="s">
        <v>149</v>
      </c>
      <c r="B44" s="50">
        <v>581062</v>
      </c>
      <c r="C44" s="50" t="s">
        <v>12018</v>
      </c>
      <c r="D44" s="50" t="s">
        <v>21029</v>
      </c>
      <c r="E44" s="50" t="e">
        <f>VLOOKUP(B44,aa!B:F,5,0)</f>
        <v>#N/A</v>
      </c>
      <c r="F44" s="50" t="e">
        <f>VLOOKUP(B44,aa!B:J,9,0)</f>
        <v>#N/A</v>
      </c>
      <c r="G44" s="50" t="e">
        <f>VLOOKUP(B44,aa!B:L,11,0)</f>
        <v>#N/A</v>
      </c>
      <c r="H44" s="50" t="e">
        <f>VLOOKUP(B44,aa!B:O,14,0)</f>
        <v>#N/A</v>
      </c>
      <c r="I44" s="50" t="e">
        <f>VLOOKUP(B44,aa!B:R,17,0)</f>
        <v>#N/A</v>
      </c>
      <c r="K44" s="50" t="s">
        <v>97</v>
      </c>
      <c r="L44" s="50">
        <v>322744</v>
      </c>
      <c r="M44" s="50">
        <v>322744</v>
      </c>
      <c r="N44" s="50">
        <v>322744</v>
      </c>
      <c r="O44" s="50">
        <v>259</v>
      </c>
      <c r="P44" s="50" t="s">
        <v>5316</v>
      </c>
      <c r="Q44" s="50">
        <v>0</v>
      </c>
      <c r="R44" s="50">
        <v>0</v>
      </c>
      <c r="T44" s="50">
        <v>0</v>
      </c>
      <c r="U44" s="50">
        <v>0</v>
      </c>
      <c r="W44" s="50" t="s">
        <v>102</v>
      </c>
      <c r="X44" s="50" t="s">
        <v>103</v>
      </c>
      <c r="Y44" s="50" t="s">
        <v>104</v>
      </c>
      <c r="AA44" s="50" t="s">
        <v>1305</v>
      </c>
      <c r="AB44" s="50" t="s">
        <v>21181</v>
      </c>
      <c r="AC44" s="50" t="s">
        <v>13033</v>
      </c>
      <c r="AD44" s="50" t="s">
        <v>21182</v>
      </c>
      <c r="AE44" s="50" t="s">
        <v>109</v>
      </c>
      <c r="AF44" s="50" t="s">
        <v>102</v>
      </c>
      <c r="AG44" s="50" t="s">
        <v>109</v>
      </c>
      <c r="AH44" s="50" t="s">
        <v>102</v>
      </c>
      <c r="AI44" s="50" t="s">
        <v>21183</v>
      </c>
      <c r="AJ44" s="50" t="s">
        <v>14272</v>
      </c>
      <c r="AK44" s="50" t="s">
        <v>14272</v>
      </c>
      <c r="AL44" s="50" t="s">
        <v>21184</v>
      </c>
      <c r="AM44" s="50" t="s">
        <v>21185</v>
      </c>
      <c r="AN44" s="50" t="s">
        <v>21186</v>
      </c>
      <c r="AO44" s="50" t="s">
        <v>21187</v>
      </c>
      <c r="AP44" s="50" t="s">
        <v>21187</v>
      </c>
      <c r="AU44" s="50" t="s">
        <v>318</v>
      </c>
      <c r="AV44" s="50" t="s">
        <v>118</v>
      </c>
      <c r="AW44" s="50" t="s">
        <v>102</v>
      </c>
      <c r="AX44" s="50" t="s">
        <v>119</v>
      </c>
      <c r="BB44" s="50" t="s">
        <v>120</v>
      </c>
      <c r="BC44" s="50" t="s">
        <v>2799</v>
      </c>
      <c r="BD44" s="50" t="s">
        <v>2800</v>
      </c>
      <c r="BE44" s="50" t="s">
        <v>122</v>
      </c>
      <c r="BF44" s="50" t="s">
        <v>346</v>
      </c>
      <c r="BG44" s="50" t="s">
        <v>124</v>
      </c>
      <c r="BH44" s="50" t="s">
        <v>12023</v>
      </c>
      <c r="BI44" s="50" t="s">
        <v>11889</v>
      </c>
      <c r="BJ44" s="50" t="s">
        <v>127</v>
      </c>
      <c r="BK44" s="50" t="s">
        <v>21188</v>
      </c>
      <c r="BL44" s="50" t="s">
        <v>11214</v>
      </c>
      <c r="BM44" s="50" t="s">
        <v>21189</v>
      </c>
      <c r="BN44" s="50" t="s">
        <v>21030</v>
      </c>
      <c r="BO44" s="50" t="s">
        <v>593</v>
      </c>
      <c r="BP44" s="50" t="s">
        <v>350</v>
      </c>
      <c r="BQ44" s="50" t="s">
        <v>594</v>
      </c>
      <c r="BR44" s="50" t="s">
        <v>595</v>
      </c>
      <c r="BS44" s="50" t="s">
        <v>328</v>
      </c>
      <c r="BU44" s="50" t="s">
        <v>21190</v>
      </c>
      <c r="BV44" s="50" t="s">
        <v>21041</v>
      </c>
      <c r="BW44" s="50" t="s">
        <v>598</v>
      </c>
      <c r="BX44" s="50" t="s">
        <v>21042</v>
      </c>
      <c r="BY44" s="50" t="s">
        <v>21043</v>
      </c>
      <c r="BZ44" s="50" t="s">
        <v>11217</v>
      </c>
      <c r="CA44" s="50" t="s">
        <v>21191</v>
      </c>
      <c r="CB44" s="50" t="s">
        <v>10965</v>
      </c>
      <c r="CC44" s="50" t="s">
        <v>21192</v>
      </c>
      <c r="CD44" s="50" t="s">
        <v>21041</v>
      </c>
      <c r="CE44" s="50" t="s">
        <v>21042</v>
      </c>
      <c r="CF44" s="50" t="s">
        <v>21043</v>
      </c>
      <c r="CG44" s="50" t="s">
        <v>102</v>
      </c>
      <c r="CH44" s="50" t="s">
        <v>21193</v>
      </c>
      <c r="CJ44" s="50" t="s">
        <v>11219</v>
      </c>
      <c r="CL44" s="50" t="s">
        <v>2799</v>
      </c>
      <c r="CM44" s="50" t="s">
        <v>2800</v>
      </c>
      <c r="CN44" s="50" t="s">
        <v>11219</v>
      </c>
      <c r="CP44" s="50" t="s">
        <v>11218</v>
      </c>
      <c r="CQ44" s="50" t="s">
        <v>11218</v>
      </c>
    </row>
    <row r="45" spans="1:96">
      <c r="A45" s="95" t="s">
        <v>149</v>
      </c>
      <c r="B45" s="50">
        <v>159527</v>
      </c>
      <c r="C45" s="50" t="s">
        <v>632</v>
      </c>
      <c r="D45" s="50" t="s">
        <v>12672</v>
      </c>
      <c r="E45" s="50" t="str">
        <f>VLOOKUP(B45,aa!B:F,5,0)</f>
        <v>Ei CARES, Ei Mindspark</v>
      </c>
      <c r="F45" s="50">
        <f>VLOOKUP(B45,aa!B:J,9,0)</f>
        <v>2193236</v>
      </c>
      <c r="G45" s="50">
        <f>VLOOKUP(B45,aa!B:L,11,0)</f>
        <v>0</v>
      </c>
      <c r="H45" s="50">
        <f>VLOOKUP(B45,aa!B:O,14,0)</f>
        <v>1568800</v>
      </c>
      <c r="I45" s="50">
        <f>VLOOKUP(B45,aa!B:R,17,0)</f>
        <v>624436</v>
      </c>
      <c r="K45" s="50" t="s">
        <v>643</v>
      </c>
      <c r="L45" s="50">
        <v>2134579</v>
      </c>
      <c r="M45" s="50">
        <v>2243097</v>
      </c>
      <c r="N45" s="50">
        <v>0</v>
      </c>
      <c r="O45" s="50">
        <v>0</v>
      </c>
      <c r="Q45" s="50">
        <v>1531700</v>
      </c>
      <c r="R45" s="50">
        <v>578</v>
      </c>
      <c r="S45" s="50" t="s">
        <v>12673</v>
      </c>
      <c r="T45" s="50">
        <v>602879</v>
      </c>
      <c r="U45" s="50">
        <v>223</v>
      </c>
      <c r="V45" s="50" t="s">
        <v>12674</v>
      </c>
      <c r="W45" s="50" t="s">
        <v>102</v>
      </c>
      <c r="X45" s="50" t="s">
        <v>103</v>
      </c>
      <c r="Y45" s="50" t="s">
        <v>155</v>
      </c>
      <c r="AA45" s="50" t="s">
        <v>12675</v>
      </c>
      <c r="AB45" s="50" t="s">
        <v>12676</v>
      </c>
      <c r="AC45" s="50" t="s">
        <v>12677</v>
      </c>
      <c r="AD45" s="50" t="s">
        <v>12676</v>
      </c>
      <c r="AE45" s="50" t="s">
        <v>1427</v>
      </c>
      <c r="AF45" s="50" t="s">
        <v>12676</v>
      </c>
      <c r="AG45" s="50" t="s">
        <v>11886</v>
      </c>
      <c r="AH45" s="50" t="s">
        <v>12676</v>
      </c>
      <c r="AI45" s="50" t="s">
        <v>12678</v>
      </c>
      <c r="AJ45" s="50" t="s">
        <v>12679</v>
      </c>
      <c r="AK45" s="50" t="s">
        <v>12680</v>
      </c>
      <c r="AL45" s="50" t="s">
        <v>12681</v>
      </c>
      <c r="AM45" s="50" t="s">
        <v>12682</v>
      </c>
      <c r="AN45" s="50" t="s">
        <v>12683</v>
      </c>
      <c r="AO45" s="50" t="s">
        <v>12684</v>
      </c>
      <c r="AP45" s="50" t="s">
        <v>12684</v>
      </c>
      <c r="AU45" s="50" t="s">
        <v>102</v>
      </c>
      <c r="AW45" s="50" t="s">
        <v>248</v>
      </c>
      <c r="AX45" s="50" t="s">
        <v>119</v>
      </c>
      <c r="AY45" s="50" t="s">
        <v>170</v>
      </c>
      <c r="AZ45" s="50" t="s">
        <v>118</v>
      </c>
      <c r="BA45" s="50" t="s">
        <v>250</v>
      </c>
      <c r="BB45" s="50" t="s">
        <v>171</v>
      </c>
      <c r="BC45" s="50" t="s">
        <v>623</v>
      </c>
      <c r="BD45" s="50" t="s">
        <v>621</v>
      </c>
      <c r="BE45" s="50" t="s">
        <v>622</v>
      </c>
      <c r="BF45" s="50" t="s">
        <v>623</v>
      </c>
      <c r="BG45" s="50" t="s">
        <v>124</v>
      </c>
      <c r="BH45" s="50" t="s">
        <v>12023</v>
      </c>
      <c r="BI45" s="50" t="s">
        <v>11889</v>
      </c>
      <c r="BJ45" s="50" t="s">
        <v>127</v>
      </c>
      <c r="BK45" s="50" t="s">
        <v>12685</v>
      </c>
      <c r="BL45" s="50" t="s">
        <v>1337</v>
      </c>
      <c r="BM45" s="50" t="s">
        <v>12686</v>
      </c>
      <c r="BN45" s="50" t="s">
        <v>4374</v>
      </c>
      <c r="BO45" s="50" t="s">
        <v>1339</v>
      </c>
      <c r="BP45" s="50" t="s">
        <v>132</v>
      </c>
      <c r="BQ45" s="50" t="s">
        <v>1340</v>
      </c>
      <c r="BR45" s="50" t="s">
        <v>1341</v>
      </c>
      <c r="BS45" s="50" t="s">
        <v>1342</v>
      </c>
      <c r="BU45" s="50" t="s">
        <v>12687</v>
      </c>
      <c r="BV45" s="50" t="s">
        <v>12688</v>
      </c>
      <c r="BX45" s="50" t="s">
        <v>12689</v>
      </c>
      <c r="BY45" s="50" t="s">
        <v>12690</v>
      </c>
      <c r="BZ45" s="50" t="s">
        <v>1347</v>
      </c>
      <c r="CA45" s="50" t="s">
        <v>12691</v>
      </c>
      <c r="CB45" s="50" t="s">
        <v>12689</v>
      </c>
      <c r="CC45" s="50" t="s">
        <v>12690</v>
      </c>
      <c r="CD45" s="50" t="s">
        <v>12691</v>
      </c>
      <c r="CE45" s="50" t="s">
        <v>12689</v>
      </c>
      <c r="CF45" s="50" t="s">
        <v>12690</v>
      </c>
      <c r="CG45" s="50" t="s">
        <v>102</v>
      </c>
      <c r="CH45" s="50" t="s">
        <v>1350</v>
      </c>
      <c r="CJ45" s="50" t="s">
        <v>1351</v>
      </c>
      <c r="CL45" s="50" t="s">
        <v>623</v>
      </c>
      <c r="CM45" s="50" t="s">
        <v>621</v>
      </c>
      <c r="CN45" s="50" t="s">
        <v>1351</v>
      </c>
      <c r="CO45" s="50" t="s">
        <v>1352</v>
      </c>
      <c r="CP45" s="50" t="s">
        <v>1350</v>
      </c>
      <c r="CQ45" s="50" t="s">
        <v>1350</v>
      </c>
    </row>
    <row r="46" spans="1:96">
      <c r="A46" s="95" t="s">
        <v>149</v>
      </c>
      <c r="B46" s="50">
        <v>3106413</v>
      </c>
      <c r="C46" s="50" t="s">
        <v>2525</v>
      </c>
      <c r="D46" s="50" t="s">
        <v>4681</v>
      </c>
      <c r="E46" s="50" t="str">
        <f>VLOOKUP(B46,aa!B:F,5,0)</f>
        <v>Ei ASSET, Ei Mindspark</v>
      </c>
      <c r="F46" s="50">
        <f>VLOOKUP(B46,aa!B:J,9,0)</f>
        <v>1779428</v>
      </c>
      <c r="G46" s="50">
        <f>VLOOKUP(B46,aa!B:L,11,0)</f>
        <v>567629</v>
      </c>
      <c r="H46" s="50">
        <f>VLOOKUP(B46,aa!B:O,14,0)</f>
        <v>0</v>
      </c>
      <c r="I46" s="50">
        <f>VLOOKUP(B46,aa!B:R,17,0)</f>
        <v>1211799</v>
      </c>
      <c r="K46" s="50" t="s">
        <v>193</v>
      </c>
      <c r="L46" s="50">
        <v>1691164</v>
      </c>
      <c r="M46" s="50">
        <v>1930950</v>
      </c>
      <c r="N46" s="50">
        <v>359021</v>
      </c>
      <c r="O46" s="50">
        <v>475</v>
      </c>
      <c r="P46" s="50" t="s">
        <v>12493</v>
      </c>
      <c r="Q46" s="50">
        <v>0</v>
      </c>
      <c r="R46" s="50">
        <v>0</v>
      </c>
      <c r="T46" s="50">
        <v>1332143</v>
      </c>
      <c r="U46" s="50">
        <v>499</v>
      </c>
      <c r="V46" s="50" t="s">
        <v>14931</v>
      </c>
      <c r="W46" s="50" t="s">
        <v>102</v>
      </c>
      <c r="X46" s="50" t="s">
        <v>679</v>
      </c>
      <c r="Y46" s="50" t="s">
        <v>155</v>
      </c>
      <c r="Z46" s="50" t="s">
        <v>5022</v>
      </c>
      <c r="AA46" s="50" t="s">
        <v>14932</v>
      </c>
      <c r="AB46" s="50" t="s">
        <v>14933</v>
      </c>
      <c r="AC46" s="50" t="s">
        <v>12766</v>
      </c>
      <c r="AD46" s="50" t="s">
        <v>14933</v>
      </c>
      <c r="AE46" s="50" t="s">
        <v>12215</v>
      </c>
      <c r="AF46" s="50" t="s">
        <v>14933</v>
      </c>
      <c r="AG46" s="50" t="s">
        <v>13730</v>
      </c>
      <c r="AH46" s="50" t="s">
        <v>14933</v>
      </c>
      <c r="AI46" s="50" t="s">
        <v>14934</v>
      </c>
      <c r="AJ46" s="50" t="s">
        <v>7020</v>
      </c>
      <c r="AK46" s="50" t="s">
        <v>14935</v>
      </c>
      <c r="AL46" s="50" t="s">
        <v>14936</v>
      </c>
      <c r="AM46" s="50" t="s">
        <v>14937</v>
      </c>
      <c r="AN46" s="50" t="s">
        <v>14938</v>
      </c>
      <c r="AO46" s="50" t="s">
        <v>14939</v>
      </c>
      <c r="AP46" s="50" t="s">
        <v>14940</v>
      </c>
      <c r="AQ46" s="50" t="s">
        <v>343</v>
      </c>
      <c r="AT46" s="50" t="s">
        <v>169</v>
      </c>
      <c r="AU46" s="50" t="s">
        <v>247</v>
      </c>
      <c r="AV46" s="50" t="s">
        <v>118</v>
      </c>
      <c r="AW46" s="50" t="s">
        <v>102</v>
      </c>
      <c r="AX46" s="50" t="s">
        <v>119</v>
      </c>
      <c r="BA46" s="50" t="s">
        <v>250</v>
      </c>
      <c r="BB46" s="50" t="s">
        <v>120</v>
      </c>
      <c r="BC46" s="50" t="s">
        <v>2327</v>
      </c>
      <c r="BD46" s="50" t="s">
        <v>730</v>
      </c>
      <c r="BE46" s="50" t="s">
        <v>622</v>
      </c>
      <c r="BF46" s="50" t="s">
        <v>730</v>
      </c>
      <c r="BG46" s="50" t="s">
        <v>124</v>
      </c>
      <c r="BH46" s="50" t="s">
        <v>12023</v>
      </c>
      <c r="BI46" s="50" t="s">
        <v>11889</v>
      </c>
      <c r="BJ46" s="50" t="s">
        <v>127</v>
      </c>
      <c r="BK46" s="50" t="s">
        <v>14941</v>
      </c>
      <c r="BL46" s="50" t="s">
        <v>4698</v>
      </c>
      <c r="BM46" s="50" t="s">
        <v>14942</v>
      </c>
      <c r="BN46" s="50" t="s">
        <v>4374</v>
      </c>
      <c r="BO46" s="50" t="s">
        <v>3606</v>
      </c>
      <c r="BP46" s="50" t="s">
        <v>132</v>
      </c>
      <c r="BQ46" s="50" t="s">
        <v>3607</v>
      </c>
      <c r="BR46" s="50" t="s">
        <v>3608</v>
      </c>
      <c r="BS46" s="50" t="s">
        <v>2525</v>
      </c>
      <c r="BU46" s="50" t="s">
        <v>14943</v>
      </c>
      <c r="BV46" s="50" t="s">
        <v>4705</v>
      </c>
      <c r="BW46" s="50" t="s">
        <v>138</v>
      </c>
      <c r="BX46" s="50" t="s">
        <v>4706</v>
      </c>
      <c r="BY46" s="50" t="s">
        <v>4707</v>
      </c>
      <c r="BZ46" s="50" t="s">
        <v>4704</v>
      </c>
      <c r="CA46" s="50" t="s">
        <v>4705</v>
      </c>
      <c r="CB46" s="50" t="s">
        <v>4706</v>
      </c>
      <c r="CC46" s="50" t="s">
        <v>4707</v>
      </c>
      <c r="CD46" s="50" t="s">
        <v>14944</v>
      </c>
      <c r="CE46" s="50" t="s">
        <v>14945</v>
      </c>
      <c r="CF46" s="50" t="s">
        <v>4710</v>
      </c>
      <c r="CG46" s="50" t="s">
        <v>102</v>
      </c>
      <c r="CH46" s="50" t="s">
        <v>4711</v>
      </c>
      <c r="CJ46" s="50" t="s">
        <v>4712</v>
      </c>
      <c r="CL46" s="50" t="s">
        <v>2327</v>
      </c>
      <c r="CM46" s="50" t="s">
        <v>730</v>
      </c>
      <c r="CN46" s="50" t="s">
        <v>4712</v>
      </c>
      <c r="CO46" s="50" t="s">
        <v>4713</v>
      </c>
      <c r="CP46" s="50" t="s">
        <v>4711</v>
      </c>
      <c r="CQ46" s="50" t="s">
        <v>4711</v>
      </c>
    </row>
    <row r="47" spans="1:96">
      <c r="A47" s="95" t="s">
        <v>149</v>
      </c>
      <c r="B47" s="50">
        <v>3769775</v>
      </c>
      <c r="C47" s="50" t="s">
        <v>1111</v>
      </c>
      <c r="D47" s="50" t="s">
        <v>7391</v>
      </c>
      <c r="E47" s="50" t="str">
        <f>VLOOKUP(B47,aa!B:F,5,0)</f>
        <v>Ei ASSET,Ei CARES,Ei Mindspark, Ei Mindspark</v>
      </c>
      <c r="F47" s="50">
        <f>VLOOKUP(B47,aa!B:J,9,0)</f>
        <v>915922</v>
      </c>
      <c r="G47" s="50">
        <f>VLOOKUP(B47,aa!B:L,11,0)</f>
        <v>98501</v>
      </c>
      <c r="H47" s="50">
        <f>VLOOKUP(B47,aa!B:O,14,0)</f>
        <v>232567</v>
      </c>
      <c r="I47" s="50">
        <f>VLOOKUP(B47,aa!B:R,17,0)</f>
        <v>584854</v>
      </c>
      <c r="K47" s="50" t="s">
        <v>1086</v>
      </c>
      <c r="L47" s="50">
        <v>792787</v>
      </c>
      <c r="M47" s="50">
        <v>892087</v>
      </c>
      <c r="N47" s="50">
        <v>72192</v>
      </c>
      <c r="O47" s="50">
        <v>173</v>
      </c>
      <c r="P47" s="50" t="s">
        <v>16915</v>
      </c>
      <c r="Q47" s="50">
        <v>168929</v>
      </c>
      <c r="R47" s="50">
        <v>173</v>
      </c>
      <c r="S47" s="50" t="s">
        <v>16916</v>
      </c>
      <c r="T47" s="50">
        <v>551666</v>
      </c>
      <c r="U47" s="50">
        <v>258</v>
      </c>
      <c r="V47" s="50" t="s">
        <v>16917</v>
      </c>
      <c r="W47" s="50" t="s">
        <v>102</v>
      </c>
      <c r="X47" s="50" t="s">
        <v>103</v>
      </c>
      <c r="Y47" s="50" t="s">
        <v>155</v>
      </c>
      <c r="AA47" s="50" t="s">
        <v>16918</v>
      </c>
      <c r="AB47" s="50" t="s">
        <v>16919</v>
      </c>
      <c r="AC47" s="50" t="s">
        <v>14023</v>
      </c>
      <c r="AD47" s="50" t="s">
        <v>16919</v>
      </c>
      <c r="AE47" s="50" t="s">
        <v>11930</v>
      </c>
      <c r="AF47" s="50" t="s">
        <v>16919</v>
      </c>
      <c r="AG47" s="50" t="s">
        <v>11886</v>
      </c>
      <c r="AH47" s="50" t="s">
        <v>16919</v>
      </c>
      <c r="AI47" s="50" t="s">
        <v>102</v>
      </c>
      <c r="AJ47" s="50" t="s">
        <v>13602</v>
      </c>
      <c r="AK47" s="50" t="s">
        <v>16920</v>
      </c>
      <c r="AL47" s="50" t="s">
        <v>16921</v>
      </c>
      <c r="AM47" s="50" t="s">
        <v>16922</v>
      </c>
      <c r="AN47" s="50" t="s">
        <v>16923</v>
      </c>
      <c r="AO47" s="50" t="s">
        <v>16924</v>
      </c>
      <c r="AP47" s="50" t="s">
        <v>16924</v>
      </c>
      <c r="AU47" s="50" t="s">
        <v>207</v>
      </c>
      <c r="AV47" s="50" t="s">
        <v>250</v>
      </c>
      <c r="AW47" s="50" t="s">
        <v>655</v>
      </c>
      <c r="AX47" s="50" t="s">
        <v>249</v>
      </c>
      <c r="AZ47" s="50" t="s">
        <v>250</v>
      </c>
      <c r="BA47" s="50" t="s">
        <v>250</v>
      </c>
      <c r="BB47" s="50" t="s">
        <v>120</v>
      </c>
      <c r="BC47" s="50" t="s">
        <v>7403</v>
      </c>
      <c r="BD47" s="50" t="s">
        <v>4404</v>
      </c>
      <c r="BE47" s="50" t="s">
        <v>174</v>
      </c>
      <c r="BF47" s="50" t="s">
        <v>4405</v>
      </c>
      <c r="BG47" s="50" t="s">
        <v>124</v>
      </c>
      <c r="BH47" s="50" t="s">
        <v>12023</v>
      </c>
      <c r="BI47" s="50" t="s">
        <v>11889</v>
      </c>
      <c r="BJ47" s="50" t="s">
        <v>127</v>
      </c>
      <c r="BK47" s="50" t="s">
        <v>16925</v>
      </c>
      <c r="BL47" s="50" t="s">
        <v>7405</v>
      </c>
      <c r="BM47" s="50" t="s">
        <v>16926</v>
      </c>
      <c r="BN47" s="50" t="s">
        <v>16914</v>
      </c>
      <c r="BO47" s="50" t="s">
        <v>1108</v>
      </c>
      <c r="BP47" s="50" t="s">
        <v>180</v>
      </c>
      <c r="BQ47" s="50" t="s">
        <v>1109</v>
      </c>
      <c r="BR47" s="50" t="s">
        <v>1110</v>
      </c>
      <c r="BS47" s="50" t="s">
        <v>4413</v>
      </c>
      <c r="BU47" s="50" t="s">
        <v>16927</v>
      </c>
      <c r="BV47" s="50" t="s">
        <v>7408</v>
      </c>
      <c r="BW47" s="50" t="s">
        <v>138</v>
      </c>
      <c r="BX47" s="50" t="s">
        <v>7409</v>
      </c>
      <c r="BY47" s="50" t="s">
        <v>7410</v>
      </c>
      <c r="BZ47" s="50" t="s">
        <v>7409</v>
      </c>
      <c r="CA47" s="50" t="s">
        <v>16928</v>
      </c>
      <c r="CB47" s="50" t="s">
        <v>7409</v>
      </c>
      <c r="CC47" s="50" t="s">
        <v>7410</v>
      </c>
      <c r="CD47" s="50" t="s">
        <v>16929</v>
      </c>
      <c r="CE47" s="50" t="s">
        <v>7412</v>
      </c>
      <c r="CF47" s="50" t="s">
        <v>16930</v>
      </c>
      <c r="CG47" s="50" t="s">
        <v>102</v>
      </c>
      <c r="CH47" s="50" t="s">
        <v>16931</v>
      </c>
      <c r="CJ47" s="50" t="s">
        <v>7415</v>
      </c>
      <c r="CL47" s="50" t="s">
        <v>7403</v>
      </c>
      <c r="CM47" s="50" t="s">
        <v>4404</v>
      </c>
      <c r="CN47" s="50" t="s">
        <v>7415</v>
      </c>
      <c r="CP47" s="50" t="s">
        <v>7416</v>
      </c>
      <c r="CQ47" s="50" t="s">
        <v>7414</v>
      </c>
    </row>
    <row r="48" spans="1:96">
      <c r="A48" s="95" t="s">
        <v>149</v>
      </c>
      <c r="B48" s="50">
        <v>598546</v>
      </c>
      <c r="C48" s="50" t="s">
        <v>1111</v>
      </c>
      <c r="D48" s="50" t="s">
        <v>11241</v>
      </c>
      <c r="E48" s="50" t="str">
        <f>VLOOKUP(B48,aa!B:F,5,0)</f>
        <v>Ei ASSET, Ei CARES, Ei Mindspark</v>
      </c>
      <c r="F48" s="50">
        <f>VLOOKUP(B48,aa!B:J,9,0)</f>
        <v>1516939</v>
      </c>
      <c r="G48" s="50">
        <f>VLOOKUP(B48,aa!B:L,11,0)</f>
        <v>385092</v>
      </c>
      <c r="H48" s="50">
        <f>VLOOKUP(B48,aa!B:O,14,0)</f>
        <v>154691</v>
      </c>
      <c r="I48" s="50">
        <f>VLOOKUP(B48,aa!B:R,17,0)</f>
        <v>977156</v>
      </c>
      <c r="K48" s="50" t="s">
        <v>2163</v>
      </c>
      <c r="L48" s="50">
        <v>1534460</v>
      </c>
      <c r="M48" s="50">
        <v>1716862</v>
      </c>
      <c r="N48" s="50">
        <v>359947</v>
      </c>
      <c r="O48" s="50">
        <v>409</v>
      </c>
      <c r="P48" s="50" t="s">
        <v>12942</v>
      </c>
      <c r="Q48" s="50">
        <v>161166</v>
      </c>
      <c r="R48" s="50">
        <v>124</v>
      </c>
      <c r="S48" s="50" t="s">
        <v>8534</v>
      </c>
      <c r="T48" s="50">
        <v>1013347</v>
      </c>
      <c r="U48" s="50">
        <v>280</v>
      </c>
      <c r="V48" s="50" t="s">
        <v>21195</v>
      </c>
      <c r="W48" s="50" t="s">
        <v>102</v>
      </c>
      <c r="X48" s="50" t="s">
        <v>275</v>
      </c>
      <c r="Z48" s="50" t="s">
        <v>8054</v>
      </c>
      <c r="AA48" s="50" t="s">
        <v>109</v>
      </c>
      <c r="AB48" s="50" t="s">
        <v>102</v>
      </c>
      <c r="AC48" s="50" t="s">
        <v>109</v>
      </c>
      <c r="AD48" s="50" t="s">
        <v>102</v>
      </c>
      <c r="AE48" s="50" t="s">
        <v>109</v>
      </c>
      <c r="AF48" s="50" t="s">
        <v>102</v>
      </c>
      <c r="AG48" s="50" t="s">
        <v>109</v>
      </c>
      <c r="AH48" s="50" t="s">
        <v>102</v>
      </c>
      <c r="AI48" s="50" t="s">
        <v>102</v>
      </c>
      <c r="AJ48" s="50" t="s">
        <v>945</v>
      </c>
      <c r="AK48" s="50" t="s">
        <v>945</v>
      </c>
      <c r="AL48" s="50" t="s">
        <v>21196</v>
      </c>
      <c r="AM48" s="50" t="s">
        <v>21197</v>
      </c>
      <c r="AN48" s="50" t="s">
        <v>21198</v>
      </c>
      <c r="AO48" s="50" t="s">
        <v>21199</v>
      </c>
      <c r="AP48" s="50" t="s">
        <v>21200</v>
      </c>
      <c r="AQ48" s="50" t="s">
        <v>343</v>
      </c>
      <c r="AU48" s="50" t="s">
        <v>247</v>
      </c>
      <c r="AV48" s="50" t="s">
        <v>118</v>
      </c>
      <c r="AW48" s="50" t="s">
        <v>655</v>
      </c>
      <c r="AX48" s="50" t="s">
        <v>119</v>
      </c>
      <c r="AY48" s="50" t="s">
        <v>170</v>
      </c>
      <c r="AZ48" s="50" t="s">
        <v>118</v>
      </c>
      <c r="BA48" s="50" t="s">
        <v>250</v>
      </c>
      <c r="BB48" s="50" t="s">
        <v>209</v>
      </c>
      <c r="BC48" s="50" t="s">
        <v>5878</v>
      </c>
      <c r="BD48" s="50" t="s">
        <v>5879</v>
      </c>
      <c r="BE48" s="50" t="s">
        <v>174</v>
      </c>
      <c r="BF48" s="50" t="s">
        <v>4405</v>
      </c>
      <c r="BG48" s="50" t="s">
        <v>124</v>
      </c>
      <c r="BH48" s="50" t="s">
        <v>21201</v>
      </c>
      <c r="BI48" s="50" t="s">
        <v>21202</v>
      </c>
      <c r="BJ48" s="50" t="s">
        <v>127</v>
      </c>
      <c r="BK48" s="50" t="s">
        <v>21203</v>
      </c>
      <c r="BL48" s="50" t="s">
        <v>11254</v>
      </c>
      <c r="BM48" s="50" t="s">
        <v>21204</v>
      </c>
      <c r="BN48" s="50" t="s">
        <v>21194</v>
      </c>
      <c r="BO48" s="50" t="s">
        <v>1108</v>
      </c>
      <c r="BP48" s="50" t="s">
        <v>5833</v>
      </c>
      <c r="BQ48" s="50" t="s">
        <v>1109</v>
      </c>
      <c r="BR48" s="50" t="s">
        <v>1110</v>
      </c>
      <c r="BS48" s="50" t="s">
        <v>4413</v>
      </c>
      <c r="BU48" s="50" t="s">
        <v>21205</v>
      </c>
      <c r="BV48" s="50" t="s">
        <v>21206</v>
      </c>
      <c r="BW48" s="50" t="s">
        <v>138</v>
      </c>
      <c r="BX48" s="50" t="s">
        <v>11261</v>
      </c>
      <c r="BY48" s="50" t="s">
        <v>11259</v>
      </c>
      <c r="BZ48" s="50" t="s">
        <v>11258</v>
      </c>
      <c r="CA48" s="50" t="s">
        <v>21207</v>
      </c>
      <c r="CB48" s="50" t="s">
        <v>11261</v>
      </c>
      <c r="CC48" s="50" t="s">
        <v>11259</v>
      </c>
      <c r="CD48" s="50" t="s">
        <v>21208</v>
      </c>
      <c r="CE48" s="50" t="s">
        <v>11261</v>
      </c>
      <c r="CF48" s="50" t="s">
        <v>21209</v>
      </c>
      <c r="CG48" s="50" t="s">
        <v>102</v>
      </c>
      <c r="CH48" s="50" t="s">
        <v>21210</v>
      </c>
      <c r="CJ48" s="50" t="s">
        <v>5889</v>
      </c>
      <c r="CL48" s="50" t="s">
        <v>5878</v>
      </c>
      <c r="CM48" s="50" t="s">
        <v>5879</v>
      </c>
      <c r="CN48" s="50" t="s">
        <v>5889</v>
      </c>
      <c r="CP48" s="50" t="s">
        <v>11265</v>
      </c>
      <c r="CQ48" s="50" t="s">
        <v>11264</v>
      </c>
    </row>
    <row r="49" spans="1:96">
      <c r="A49" s="95" t="s">
        <v>149</v>
      </c>
      <c r="B49" s="50">
        <v>12539</v>
      </c>
      <c r="C49" s="50" t="s">
        <v>183</v>
      </c>
      <c r="D49" s="50" t="s">
        <v>641</v>
      </c>
      <c r="E49" s="50" t="str">
        <f>VLOOKUP(B49,aa!B:F,5,0)</f>
        <v>Ei CARES, Ei Mindspark</v>
      </c>
      <c r="F49" s="50">
        <f>VLOOKUP(B49,aa!B:J,9,0)</f>
        <v>2597897</v>
      </c>
      <c r="G49" s="50">
        <f>VLOOKUP(B49,aa!B:L,11,0)</f>
        <v>0</v>
      </c>
      <c r="H49" s="50">
        <f>VLOOKUP(B49,aa!B:O,14,0)</f>
        <v>863800</v>
      </c>
      <c r="I49" s="50">
        <f>VLOOKUP(B49,aa!B:R,17,0)</f>
        <v>1734097</v>
      </c>
      <c r="K49" s="50" t="s">
        <v>643</v>
      </c>
      <c r="L49" s="50">
        <v>3276427</v>
      </c>
      <c r="M49" s="50">
        <v>3710386</v>
      </c>
      <c r="N49" s="50">
        <v>0</v>
      </c>
      <c r="O49" s="50">
        <v>0</v>
      </c>
      <c r="Q49" s="50">
        <v>865542</v>
      </c>
      <c r="R49" s="50">
        <v>641</v>
      </c>
      <c r="S49" s="50" t="s">
        <v>397</v>
      </c>
      <c r="T49" s="50">
        <v>2410885</v>
      </c>
      <c r="U49" s="50">
        <v>1205</v>
      </c>
      <c r="V49" s="50" t="s">
        <v>12287</v>
      </c>
      <c r="W49" s="50" t="s">
        <v>102</v>
      </c>
      <c r="X49" s="50" t="s">
        <v>103</v>
      </c>
      <c r="Y49" s="50" t="s">
        <v>104</v>
      </c>
      <c r="AA49" s="50" t="s">
        <v>126</v>
      </c>
      <c r="AB49" s="50" t="s">
        <v>12288</v>
      </c>
      <c r="AC49" s="50" t="s">
        <v>12289</v>
      </c>
      <c r="AD49" s="50" t="s">
        <v>12288</v>
      </c>
      <c r="AE49" s="50" t="s">
        <v>109</v>
      </c>
      <c r="AF49" s="50" t="s">
        <v>102</v>
      </c>
      <c r="AG49" s="50" t="s">
        <v>109</v>
      </c>
      <c r="AH49" s="50" t="s">
        <v>102</v>
      </c>
      <c r="AI49" s="50" t="s">
        <v>12290</v>
      </c>
      <c r="AJ49" s="50" t="s">
        <v>12291</v>
      </c>
      <c r="AK49" s="50" t="s">
        <v>12292</v>
      </c>
      <c r="AL49" s="50" t="s">
        <v>12293</v>
      </c>
      <c r="AM49" s="50" t="s">
        <v>12294</v>
      </c>
      <c r="AN49" s="50" t="s">
        <v>12295</v>
      </c>
      <c r="AO49" s="50" t="s">
        <v>12296</v>
      </c>
      <c r="AP49" s="50" t="s">
        <v>12296</v>
      </c>
      <c r="AU49" s="50" t="s">
        <v>102</v>
      </c>
      <c r="AW49" s="50" t="s">
        <v>655</v>
      </c>
      <c r="AX49" s="50" t="s">
        <v>119</v>
      </c>
      <c r="AY49" s="50" t="s">
        <v>170</v>
      </c>
      <c r="AZ49" s="50" t="s">
        <v>118</v>
      </c>
      <c r="BA49" s="50" t="s">
        <v>250</v>
      </c>
      <c r="BB49" s="50" t="s">
        <v>120</v>
      </c>
      <c r="BC49" s="50" t="s">
        <v>375</v>
      </c>
      <c r="BD49" s="50" t="s">
        <v>376</v>
      </c>
      <c r="BE49" s="50" t="s">
        <v>174</v>
      </c>
      <c r="BF49" s="50" t="s">
        <v>376</v>
      </c>
      <c r="BG49" s="50" t="s">
        <v>124</v>
      </c>
      <c r="BH49" s="50" t="s">
        <v>6341</v>
      </c>
      <c r="BI49" s="50" t="s">
        <v>11889</v>
      </c>
      <c r="BJ49" s="50" t="s">
        <v>127</v>
      </c>
      <c r="BK49" s="50" t="s">
        <v>12297</v>
      </c>
      <c r="BL49" s="50" t="s">
        <v>659</v>
      </c>
      <c r="BM49" s="50" t="s">
        <v>12298</v>
      </c>
      <c r="BN49" s="50" t="s">
        <v>1827</v>
      </c>
      <c r="BO49" s="50" t="s">
        <v>179</v>
      </c>
      <c r="BP49" s="50" t="s">
        <v>180</v>
      </c>
      <c r="BQ49" s="50" t="s">
        <v>181</v>
      </c>
      <c r="BR49" s="50" t="s">
        <v>182</v>
      </c>
      <c r="BS49" s="50" t="s">
        <v>183</v>
      </c>
      <c r="BU49" s="50" t="s">
        <v>12299</v>
      </c>
      <c r="BV49" s="50" t="s">
        <v>12300</v>
      </c>
      <c r="BW49" s="50" t="s">
        <v>138</v>
      </c>
      <c r="BX49" s="50" t="s">
        <v>665</v>
      </c>
      <c r="BY49" s="50" t="s">
        <v>12301</v>
      </c>
      <c r="BZ49" s="50" t="s">
        <v>665</v>
      </c>
      <c r="CA49" s="50" t="s">
        <v>12302</v>
      </c>
      <c r="CB49" s="50" t="s">
        <v>665</v>
      </c>
      <c r="CC49" s="50" t="s">
        <v>12303</v>
      </c>
      <c r="CD49" s="50" t="s">
        <v>12304</v>
      </c>
      <c r="CE49" s="50" t="s">
        <v>12305</v>
      </c>
      <c r="CF49" s="50" t="s">
        <v>12306</v>
      </c>
      <c r="CG49" s="50" t="s">
        <v>102</v>
      </c>
      <c r="CH49" s="50" t="s">
        <v>12307</v>
      </c>
      <c r="CJ49" s="50" t="s">
        <v>671</v>
      </c>
      <c r="CL49" s="50" t="s">
        <v>375</v>
      </c>
      <c r="CM49" s="50" t="s">
        <v>376</v>
      </c>
      <c r="CN49" s="50" t="s">
        <v>671</v>
      </c>
      <c r="CO49" s="50" t="s">
        <v>672</v>
      </c>
      <c r="CP49" s="50" t="s">
        <v>670</v>
      </c>
      <c r="CQ49" s="50" t="s">
        <v>670</v>
      </c>
    </row>
    <row r="50" spans="1:96">
      <c r="A50" s="50" t="s">
        <v>93</v>
      </c>
      <c r="B50" s="50">
        <v>207818</v>
      </c>
      <c r="C50" s="50" t="s">
        <v>12423</v>
      </c>
      <c r="D50" s="50" t="s">
        <v>13508</v>
      </c>
      <c r="E50" s="50" t="str">
        <f>VLOOKUP(B50,aa!B:F,5,0)</f>
        <v>Ei ASSET</v>
      </c>
      <c r="F50" s="50">
        <f>VLOOKUP(B50,aa!B:J,9,0)</f>
        <v>297750</v>
      </c>
      <c r="G50" s="50">
        <f>VLOOKUP(B50,aa!B:L,11,0)</f>
        <v>297750</v>
      </c>
      <c r="H50" s="50">
        <f>VLOOKUP(B50,aa!B:O,14,0)</f>
        <v>0</v>
      </c>
      <c r="I50" s="50">
        <f>VLOOKUP(B50,aa!B:R,17,0)</f>
        <v>0</v>
      </c>
      <c r="K50" s="50" t="s">
        <v>97</v>
      </c>
      <c r="L50" s="50">
        <v>324750</v>
      </c>
      <c r="M50" s="50">
        <v>324750</v>
      </c>
      <c r="N50" s="50">
        <v>324750</v>
      </c>
      <c r="O50" s="50">
        <v>433</v>
      </c>
      <c r="P50" s="50" t="s">
        <v>101</v>
      </c>
      <c r="Q50" s="50">
        <v>0</v>
      </c>
      <c r="R50" s="50">
        <v>0</v>
      </c>
      <c r="T50" s="50">
        <v>0</v>
      </c>
      <c r="U50" s="50">
        <v>0</v>
      </c>
      <c r="W50" s="50" t="s">
        <v>102</v>
      </c>
      <c r="X50" s="50" t="s">
        <v>103</v>
      </c>
      <c r="Y50" s="50" t="s">
        <v>398</v>
      </c>
      <c r="AA50" s="50" t="s">
        <v>11976</v>
      </c>
      <c r="AB50" s="50" t="s">
        <v>13509</v>
      </c>
      <c r="AC50" s="50" t="s">
        <v>11884</v>
      </c>
      <c r="AD50" s="50" t="s">
        <v>13510</v>
      </c>
      <c r="AE50" s="50" t="s">
        <v>6895</v>
      </c>
      <c r="AF50" s="50" t="s">
        <v>13510</v>
      </c>
      <c r="AG50" s="50" t="s">
        <v>109</v>
      </c>
      <c r="AH50" s="50" t="s">
        <v>102</v>
      </c>
      <c r="AI50" s="50" t="s">
        <v>102</v>
      </c>
      <c r="AJ50" s="50" t="s">
        <v>13511</v>
      </c>
      <c r="AK50" s="50" t="s">
        <v>13511</v>
      </c>
      <c r="AL50" s="50" t="s">
        <v>13512</v>
      </c>
      <c r="AM50" s="50" t="s">
        <v>13513</v>
      </c>
      <c r="AN50" s="50" t="s">
        <v>13514</v>
      </c>
      <c r="AO50" s="50" t="s">
        <v>116</v>
      </c>
      <c r="AP50" s="50" t="s">
        <v>116</v>
      </c>
      <c r="AU50" s="50" t="s">
        <v>117</v>
      </c>
      <c r="AV50" s="50" t="s">
        <v>118</v>
      </c>
      <c r="AW50" s="50" t="s">
        <v>102</v>
      </c>
      <c r="AX50" s="50" t="s">
        <v>119</v>
      </c>
      <c r="BB50" s="50" t="s">
        <v>120</v>
      </c>
      <c r="BC50" s="50" t="s">
        <v>13515</v>
      </c>
      <c r="BD50" s="50" t="s">
        <v>410</v>
      </c>
      <c r="BE50" s="50" t="s">
        <v>212</v>
      </c>
      <c r="BF50" s="50" t="s">
        <v>410</v>
      </c>
      <c r="BG50" s="50" t="s">
        <v>124</v>
      </c>
      <c r="BH50" s="50" t="s">
        <v>12084</v>
      </c>
      <c r="BI50" s="50" t="s">
        <v>11886</v>
      </c>
      <c r="BJ50" s="50" t="s">
        <v>127</v>
      </c>
      <c r="BK50" s="50" t="s">
        <v>13516</v>
      </c>
      <c r="BL50" s="50" t="s">
        <v>13517</v>
      </c>
      <c r="BM50" s="50" t="s">
        <v>13518</v>
      </c>
      <c r="BN50" s="50" t="s">
        <v>1827</v>
      </c>
      <c r="BO50" s="50" t="s">
        <v>896</v>
      </c>
      <c r="BP50" s="50" t="s">
        <v>132</v>
      </c>
      <c r="BQ50" s="50" t="s">
        <v>897</v>
      </c>
      <c r="BR50" s="50" t="s">
        <v>898</v>
      </c>
      <c r="BS50" s="50" t="s">
        <v>899</v>
      </c>
      <c r="BU50" s="50" t="s">
        <v>13519</v>
      </c>
      <c r="BV50" s="50" t="s">
        <v>13520</v>
      </c>
      <c r="BW50" s="50" t="s">
        <v>138</v>
      </c>
      <c r="BX50" s="50" t="s">
        <v>13521</v>
      </c>
      <c r="BY50" s="50" t="s">
        <v>13522</v>
      </c>
      <c r="BZ50" s="50" t="s">
        <v>13521</v>
      </c>
      <c r="CA50" s="50" t="s">
        <v>13523</v>
      </c>
      <c r="CB50" s="50" t="s">
        <v>13521</v>
      </c>
      <c r="CC50" s="50" t="s">
        <v>13522</v>
      </c>
      <c r="CD50" s="50" t="s">
        <v>13523</v>
      </c>
      <c r="CE50" s="50" t="s">
        <v>13521</v>
      </c>
      <c r="CF50" s="50" t="s">
        <v>13522</v>
      </c>
      <c r="CG50" s="50" t="s">
        <v>2270</v>
      </c>
      <c r="CH50" s="50" t="s">
        <v>13524</v>
      </c>
      <c r="CJ50" s="50" t="s">
        <v>13525</v>
      </c>
      <c r="CK50" s="50" t="s">
        <v>13524</v>
      </c>
      <c r="CL50" s="50" t="s">
        <v>13515</v>
      </c>
      <c r="CM50" s="50" t="s">
        <v>410</v>
      </c>
      <c r="CN50" s="50" t="s">
        <v>13525</v>
      </c>
      <c r="CP50" s="50" t="s">
        <v>13526</v>
      </c>
      <c r="CQ50" s="50" t="s">
        <v>13526</v>
      </c>
    </row>
    <row r="51" spans="1:96">
      <c r="A51" s="50" t="s">
        <v>93</v>
      </c>
      <c r="B51" s="50">
        <v>3565966</v>
      </c>
      <c r="C51" s="50" t="s">
        <v>12155</v>
      </c>
      <c r="D51" s="50" t="s">
        <v>16462</v>
      </c>
      <c r="E51" s="50" t="str">
        <f>VLOOKUP(B51,aa!B:F,5,0)</f>
        <v>Ei ASSET</v>
      </c>
      <c r="F51" s="50">
        <f>VLOOKUP(B51,aa!B:J,9,0)</f>
        <v>930427</v>
      </c>
      <c r="G51" s="50">
        <f>VLOOKUP(B51,aa!B:L,11,0)</f>
        <v>930427</v>
      </c>
      <c r="H51" s="50">
        <f>VLOOKUP(B51,aa!B:O,14,0)</f>
        <v>0</v>
      </c>
      <c r="I51" s="50">
        <f>VLOOKUP(B51,aa!B:R,17,0)</f>
        <v>0</v>
      </c>
      <c r="K51" s="50" t="s">
        <v>2044</v>
      </c>
      <c r="L51" s="50">
        <v>938950</v>
      </c>
      <c r="M51" s="50">
        <v>938950</v>
      </c>
      <c r="N51" s="50">
        <v>775593</v>
      </c>
      <c r="O51" s="50">
        <v>1092</v>
      </c>
      <c r="P51" s="50" t="s">
        <v>16463</v>
      </c>
      <c r="Q51" s="50">
        <v>163357</v>
      </c>
      <c r="R51" s="50">
        <v>150</v>
      </c>
      <c r="S51" s="50" t="s">
        <v>16464</v>
      </c>
      <c r="T51" s="50">
        <v>0</v>
      </c>
      <c r="U51" s="50">
        <v>0</v>
      </c>
      <c r="W51" s="50" t="s">
        <v>102</v>
      </c>
      <c r="X51" s="50" t="s">
        <v>103</v>
      </c>
      <c r="Y51" s="50" t="s">
        <v>155</v>
      </c>
      <c r="AA51" s="50" t="s">
        <v>13435</v>
      </c>
      <c r="AB51" s="50" t="s">
        <v>16465</v>
      </c>
      <c r="AC51" s="50" t="s">
        <v>13455</v>
      </c>
      <c r="AD51" s="50" t="s">
        <v>16465</v>
      </c>
      <c r="AE51" s="50" t="s">
        <v>16421</v>
      </c>
      <c r="AF51" s="50" t="s">
        <v>16465</v>
      </c>
      <c r="AG51" s="50" t="s">
        <v>11902</v>
      </c>
      <c r="AH51" s="50" t="s">
        <v>16465</v>
      </c>
      <c r="AI51" s="50" t="s">
        <v>102</v>
      </c>
      <c r="AJ51" s="50" t="s">
        <v>16466</v>
      </c>
      <c r="AK51" s="50" t="s">
        <v>13302</v>
      </c>
      <c r="AL51" s="50" t="s">
        <v>16467</v>
      </c>
      <c r="AM51" s="50" t="s">
        <v>16468</v>
      </c>
      <c r="AN51" s="50" t="s">
        <v>16469</v>
      </c>
      <c r="AO51" s="50" t="s">
        <v>16470</v>
      </c>
      <c r="AP51" s="50" t="s">
        <v>16470</v>
      </c>
      <c r="AU51" s="50" t="s">
        <v>318</v>
      </c>
      <c r="AV51" s="50" t="s">
        <v>118</v>
      </c>
      <c r="AW51" s="50" t="s">
        <v>104</v>
      </c>
      <c r="AX51" s="50" t="s">
        <v>447</v>
      </c>
      <c r="AY51" s="50" t="s">
        <v>170</v>
      </c>
      <c r="AZ51" s="50" t="s">
        <v>118</v>
      </c>
      <c r="BB51" s="50" t="s">
        <v>120</v>
      </c>
      <c r="BC51" s="50" t="s">
        <v>16471</v>
      </c>
      <c r="BD51" s="50" t="s">
        <v>376</v>
      </c>
      <c r="BE51" s="50" t="s">
        <v>174</v>
      </c>
      <c r="BF51" s="50" t="s">
        <v>376</v>
      </c>
      <c r="BG51" s="50" t="s">
        <v>124</v>
      </c>
      <c r="BH51" s="50" t="s">
        <v>4836</v>
      </c>
      <c r="BI51" s="50" t="s">
        <v>13208</v>
      </c>
      <c r="BJ51" s="50" t="s">
        <v>127</v>
      </c>
      <c r="BK51" s="50" t="s">
        <v>16472</v>
      </c>
      <c r="BL51" s="50" t="s">
        <v>16473</v>
      </c>
      <c r="BM51" s="50" t="s">
        <v>16474</v>
      </c>
      <c r="BN51" s="50" t="s">
        <v>1827</v>
      </c>
      <c r="BO51" s="50" t="s">
        <v>6926</v>
      </c>
      <c r="BP51" s="50" t="s">
        <v>180</v>
      </c>
      <c r="BQ51" s="50" t="s">
        <v>6927</v>
      </c>
      <c r="BR51" s="50" t="s">
        <v>6928</v>
      </c>
      <c r="BS51" s="50" t="s">
        <v>1858</v>
      </c>
      <c r="BU51" s="50" t="s">
        <v>16475</v>
      </c>
      <c r="BV51" s="50" t="s">
        <v>16476</v>
      </c>
      <c r="BW51" s="50" t="s">
        <v>354</v>
      </c>
      <c r="BX51" s="50" t="s">
        <v>16477</v>
      </c>
      <c r="BY51" s="50" t="s">
        <v>16478</v>
      </c>
      <c r="BZ51" s="50" t="s">
        <v>16479</v>
      </c>
      <c r="CA51" s="50" t="s">
        <v>16476</v>
      </c>
      <c r="CB51" s="50" t="s">
        <v>16477</v>
      </c>
      <c r="CC51" s="50" t="s">
        <v>16478</v>
      </c>
      <c r="CD51" s="50" t="s">
        <v>16476</v>
      </c>
      <c r="CE51" s="50" t="s">
        <v>16477</v>
      </c>
      <c r="CF51" s="50" t="s">
        <v>16478</v>
      </c>
      <c r="CG51" s="50" t="s">
        <v>4372</v>
      </c>
      <c r="CH51" s="50" t="s">
        <v>16480</v>
      </c>
      <c r="CJ51" s="50" t="s">
        <v>16481</v>
      </c>
      <c r="CK51" s="50" t="s">
        <v>16480</v>
      </c>
      <c r="CL51" s="50" t="s">
        <v>16471</v>
      </c>
      <c r="CM51" s="50" t="s">
        <v>376</v>
      </c>
      <c r="CN51" s="50" t="s">
        <v>16481</v>
      </c>
      <c r="CO51" s="50" t="s">
        <v>16482</v>
      </c>
      <c r="CP51" s="50" t="s">
        <v>16480</v>
      </c>
      <c r="CQ51" s="50" t="s">
        <v>16480</v>
      </c>
    </row>
    <row r="52" spans="1:96">
      <c r="A52" s="95" t="s">
        <v>149</v>
      </c>
      <c r="B52" s="50">
        <v>1823562</v>
      </c>
      <c r="C52" s="50" t="s">
        <v>12507</v>
      </c>
      <c r="D52" s="50" t="s">
        <v>2004</v>
      </c>
      <c r="E52" s="50" t="str">
        <f>VLOOKUP(B52,aa!B:F,5,0)</f>
        <v>Ei Mindspark</v>
      </c>
      <c r="F52" s="50">
        <f>VLOOKUP(B52,aa!B:J,9,0)</f>
        <v>764644</v>
      </c>
      <c r="G52" s="50">
        <f>VLOOKUP(B52,aa!B:L,11,0)</f>
        <v>0</v>
      </c>
      <c r="H52" s="50">
        <f>VLOOKUP(B52,aa!B:O,14,0)</f>
        <v>0</v>
      </c>
      <c r="I52" s="50">
        <f>VLOOKUP(B52,aa!B:R,17,0)</f>
        <v>764644</v>
      </c>
      <c r="K52" s="50" t="s">
        <v>848</v>
      </c>
      <c r="L52" s="50">
        <v>729040</v>
      </c>
      <c r="M52" s="50">
        <v>860267</v>
      </c>
      <c r="N52" s="50">
        <v>0</v>
      </c>
      <c r="O52" s="50">
        <v>0</v>
      </c>
      <c r="Q52" s="50">
        <v>0</v>
      </c>
      <c r="R52" s="50">
        <v>0</v>
      </c>
      <c r="T52" s="50">
        <v>729040</v>
      </c>
      <c r="U52" s="50">
        <v>430</v>
      </c>
      <c r="V52" s="50" t="s">
        <v>2007</v>
      </c>
      <c r="W52" s="50" t="s">
        <v>102</v>
      </c>
      <c r="X52" s="50" t="s">
        <v>103</v>
      </c>
      <c r="Y52" s="50" t="s">
        <v>155</v>
      </c>
      <c r="AA52" s="50" t="s">
        <v>411</v>
      </c>
      <c r="AB52" s="50" t="s">
        <v>12998</v>
      </c>
      <c r="AC52" s="50" t="s">
        <v>12480</v>
      </c>
      <c r="AD52" s="50" t="s">
        <v>12998</v>
      </c>
      <c r="AE52" s="50" t="s">
        <v>12041</v>
      </c>
      <c r="AF52" s="50" t="s">
        <v>12998</v>
      </c>
      <c r="AG52" s="50" t="s">
        <v>6895</v>
      </c>
      <c r="AH52" s="50" t="s">
        <v>12998</v>
      </c>
      <c r="AI52" s="50" t="s">
        <v>12999</v>
      </c>
      <c r="AJ52" s="50" t="s">
        <v>12041</v>
      </c>
      <c r="AK52" s="50" t="s">
        <v>13000</v>
      </c>
      <c r="AL52" s="50" t="s">
        <v>13001</v>
      </c>
      <c r="AM52" s="50" t="s">
        <v>13002</v>
      </c>
      <c r="AN52" s="50" t="s">
        <v>13003</v>
      </c>
      <c r="AO52" s="50" t="s">
        <v>13004</v>
      </c>
      <c r="AP52" s="50" t="s">
        <v>13005</v>
      </c>
      <c r="AT52" s="50" t="s">
        <v>169</v>
      </c>
      <c r="AU52" s="50" t="s">
        <v>102</v>
      </c>
      <c r="AW52" s="50" t="s">
        <v>102</v>
      </c>
      <c r="AX52" s="50" t="s">
        <v>119</v>
      </c>
      <c r="BA52" s="50" t="s">
        <v>250</v>
      </c>
      <c r="BB52" s="50" t="s">
        <v>120</v>
      </c>
      <c r="BC52" s="50" t="s">
        <v>2022</v>
      </c>
      <c r="BD52" s="50" t="s">
        <v>1244</v>
      </c>
      <c r="BE52" s="50" t="s">
        <v>122</v>
      </c>
      <c r="BF52" s="50" t="s">
        <v>1244</v>
      </c>
      <c r="BG52" s="50" t="s">
        <v>124</v>
      </c>
      <c r="BH52" s="50" t="s">
        <v>12023</v>
      </c>
      <c r="BI52" s="50" t="s">
        <v>11889</v>
      </c>
      <c r="BJ52" s="50" t="s">
        <v>127</v>
      </c>
      <c r="BK52" s="50" t="s">
        <v>13006</v>
      </c>
      <c r="BL52" s="50" t="s">
        <v>2025</v>
      </c>
      <c r="BM52" s="50" t="s">
        <v>13007</v>
      </c>
      <c r="BN52" s="50" t="s">
        <v>1850</v>
      </c>
      <c r="BO52" s="50" t="s">
        <v>12743</v>
      </c>
      <c r="BP52" s="50" t="s">
        <v>350</v>
      </c>
      <c r="BQ52" s="50" t="s">
        <v>12744</v>
      </c>
      <c r="BR52" s="50" t="s">
        <v>12745</v>
      </c>
      <c r="BS52" s="50" t="s">
        <v>1075</v>
      </c>
      <c r="BU52" s="50" t="s">
        <v>13008</v>
      </c>
      <c r="BV52" s="50" t="s">
        <v>13009</v>
      </c>
      <c r="BW52" s="50" t="s">
        <v>569</v>
      </c>
      <c r="BX52" s="50" t="s">
        <v>13010</v>
      </c>
      <c r="BY52" s="50" t="s">
        <v>2038</v>
      </c>
      <c r="BZ52" s="50" t="s">
        <v>2035</v>
      </c>
      <c r="CA52" s="50" t="s">
        <v>13011</v>
      </c>
      <c r="CB52" s="50" t="s">
        <v>2037</v>
      </c>
      <c r="CC52" s="50" t="s">
        <v>13012</v>
      </c>
      <c r="CD52" s="50" t="s">
        <v>13013</v>
      </c>
      <c r="CE52" s="50" t="s">
        <v>13014</v>
      </c>
      <c r="CF52" s="50" t="s">
        <v>2038</v>
      </c>
      <c r="CG52" s="50" t="s">
        <v>102</v>
      </c>
      <c r="CH52" s="50" t="s">
        <v>2039</v>
      </c>
      <c r="CJ52" s="50" t="s">
        <v>2040</v>
      </c>
      <c r="CL52" s="50" t="s">
        <v>2022</v>
      </c>
      <c r="CM52" s="50" t="s">
        <v>1244</v>
      </c>
      <c r="CN52" s="50" t="s">
        <v>2040</v>
      </c>
      <c r="CO52" s="50" t="s">
        <v>2041</v>
      </c>
      <c r="CP52" s="50" t="s">
        <v>2039</v>
      </c>
      <c r="CQ52" s="50" t="s">
        <v>2039</v>
      </c>
    </row>
    <row r="53" spans="1:96">
      <c r="A53" s="95" t="s">
        <v>149</v>
      </c>
      <c r="B53" s="50">
        <v>2562124</v>
      </c>
      <c r="C53" s="50" t="s">
        <v>1279</v>
      </c>
      <c r="D53" s="50" t="s">
        <v>4105</v>
      </c>
      <c r="E53" s="50" t="str">
        <f>VLOOKUP(B53,aa!B:F,5,0)</f>
        <v>Ei ASSET, Ei Mindspark</v>
      </c>
      <c r="F53" s="50">
        <f>VLOOKUP(B53,aa!B:J,9,0)</f>
        <v>1624340</v>
      </c>
      <c r="G53" s="50">
        <f>VLOOKUP(B53,aa!B:L,11,0)</f>
        <v>286102</v>
      </c>
      <c r="H53" s="50">
        <f>VLOOKUP(B53,aa!B:O,14,0)</f>
        <v>0</v>
      </c>
      <c r="I53" s="50">
        <f>VLOOKUP(B53,aa!B:R,17,0)</f>
        <v>1338238</v>
      </c>
      <c r="K53" s="50" t="s">
        <v>193</v>
      </c>
      <c r="L53" s="50">
        <v>1503878</v>
      </c>
      <c r="M53" s="50">
        <v>1731977</v>
      </c>
      <c r="N53" s="50">
        <v>236660</v>
      </c>
      <c r="O53" s="50">
        <v>408</v>
      </c>
      <c r="P53" s="50" t="s">
        <v>14554</v>
      </c>
      <c r="Q53" s="50">
        <v>0</v>
      </c>
      <c r="R53" s="50">
        <v>0</v>
      </c>
      <c r="T53" s="50">
        <v>1267218</v>
      </c>
      <c r="U53" s="50">
        <v>534</v>
      </c>
      <c r="V53" s="50" t="s">
        <v>11158</v>
      </c>
      <c r="W53" s="50" t="s">
        <v>102</v>
      </c>
      <c r="X53" s="50" t="s">
        <v>103</v>
      </c>
      <c r="Y53" s="50" t="s">
        <v>104</v>
      </c>
      <c r="AA53" s="50" t="s">
        <v>126</v>
      </c>
      <c r="AB53" s="50" t="s">
        <v>14555</v>
      </c>
      <c r="AC53" s="50" t="s">
        <v>12888</v>
      </c>
      <c r="AD53" s="50" t="s">
        <v>14556</v>
      </c>
      <c r="AE53" s="50" t="s">
        <v>109</v>
      </c>
      <c r="AF53" s="50" t="s">
        <v>102</v>
      </c>
      <c r="AG53" s="50" t="s">
        <v>109</v>
      </c>
      <c r="AH53" s="50" t="s">
        <v>102</v>
      </c>
      <c r="AI53" s="50" t="s">
        <v>14557</v>
      </c>
      <c r="AJ53" s="50" t="s">
        <v>1722</v>
      </c>
      <c r="AK53" s="50" t="s">
        <v>14558</v>
      </c>
      <c r="AL53" s="50" t="s">
        <v>14559</v>
      </c>
      <c r="AM53" s="50" t="s">
        <v>14560</v>
      </c>
      <c r="AN53" s="50" t="s">
        <v>14561</v>
      </c>
      <c r="AO53" s="50" t="s">
        <v>14562</v>
      </c>
      <c r="AP53" s="50" t="s">
        <v>14562</v>
      </c>
      <c r="AU53" s="50" t="s">
        <v>247</v>
      </c>
      <c r="AV53" s="50" t="s">
        <v>118</v>
      </c>
      <c r="AW53" s="50" t="s">
        <v>102</v>
      </c>
      <c r="AX53" s="50" t="s">
        <v>119</v>
      </c>
      <c r="BA53" s="50" t="s">
        <v>250</v>
      </c>
      <c r="BB53" s="50" t="s">
        <v>171</v>
      </c>
      <c r="BC53" s="50" t="s">
        <v>623</v>
      </c>
      <c r="BD53" s="50" t="s">
        <v>621</v>
      </c>
      <c r="BE53" s="50" t="s">
        <v>622</v>
      </c>
      <c r="BF53" s="50" t="s">
        <v>623</v>
      </c>
      <c r="BG53" s="50" t="s">
        <v>124</v>
      </c>
      <c r="BH53" s="50" t="s">
        <v>12023</v>
      </c>
      <c r="BI53" s="50" t="s">
        <v>11889</v>
      </c>
      <c r="BJ53" s="50" t="s">
        <v>127</v>
      </c>
      <c r="BK53" s="50" t="s">
        <v>14563</v>
      </c>
      <c r="BL53" s="50" t="s">
        <v>4116</v>
      </c>
      <c r="BM53" s="50" t="s">
        <v>14564</v>
      </c>
      <c r="BN53" s="50" t="s">
        <v>1850</v>
      </c>
      <c r="BO53" s="50" t="s">
        <v>629</v>
      </c>
      <c r="BP53" s="50" t="s">
        <v>132</v>
      </c>
      <c r="BQ53" s="50" t="s">
        <v>630</v>
      </c>
      <c r="BR53" s="50" t="s">
        <v>631</v>
      </c>
      <c r="BS53" s="50" t="s">
        <v>1342</v>
      </c>
      <c r="BU53" s="50" t="s">
        <v>14565</v>
      </c>
      <c r="BV53" s="50" t="s">
        <v>14566</v>
      </c>
      <c r="BW53" s="50" t="s">
        <v>138</v>
      </c>
      <c r="BX53" s="50" t="s">
        <v>4120</v>
      </c>
      <c r="BY53" s="50" t="s">
        <v>14567</v>
      </c>
      <c r="BZ53" s="50" t="s">
        <v>4122</v>
      </c>
      <c r="CA53" s="50" t="s">
        <v>14568</v>
      </c>
      <c r="CB53" s="50" t="s">
        <v>4120</v>
      </c>
      <c r="CC53" s="50" t="s">
        <v>14567</v>
      </c>
      <c r="CD53" s="50" t="s">
        <v>14569</v>
      </c>
      <c r="CE53" s="50" t="s">
        <v>14570</v>
      </c>
      <c r="CF53" s="50" t="s">
        <v>14571</v>
      </c>
      <c r="CG53" s="50" t="s">
        <v>102</v>
      </c>
      <c r="CH53" s="50" t="s">
        <v>4125</v>
      </c>
      <c r="CJ53" s="50" t="s">
        <v>4126</v>
      </c>
      <c r="CL53" s="50" t="s">
        <v>623</v>
      </c>
      <c r="CM53" s="50" t="s">
        <v>621</v>
      </c>
      <c r="CN53" s="50" t="s">
        <v>4126</v>
      </c>
      <c r="CO53" s="50" t="s">
        <v>4127</v>
      </c>
      <c r="CP53" s="50" t="s">
        <v>4125</v>
      </c>
      <c r="CQ53" s="50" t="s">
        <v>4125</v>
      </c>
    </row>
    <row r="54" spans="1:96">
      <c r="A54" s="95" t="s">
        <v>149</v>
      </c>
      <c r="B54" s="50">
        <v>2389545</v>
      </c>
      <c r="C54" s="50" t="s">
        <v>222</v>
      </c>
      <c r="D54" s="50" t="s">
        <v>3179</v>
      </c>
      <c r="E54" s="50" t="str">
        <f>VLOOKUP(B54,aa!B:F,5,0)</f>
        <v>Ei ASSET,Ei Mindspark</v>
      </c>
      <c r="F54" s="50">
        <f>VLOOKUP(B54,aa!B:J,9,0)</f>
        <v>2347103</v>
      </c>
      <c r="G54" s="50">
        <f>VLOOKUP(B54,aa!B:L,11,0)</f>
        <v>808136</v>
      </c>
      <c r="H54" s="50">
        <f>VLOOKUP(B54,aa!B:O,14,0)</f>
        <v>0</v>
      </c>
      <c r="I54" s="50">
        <f>VLOOKUP(B54,aa!B:R,17,0)</f>
        <v>1538967</v>
      </c>
      <c r="K54" s="50" t="s">
        <v>2713</v>
      </c>
      <c r="L54" s="50">
        <v>1916427</v>
      </c>
      <c r="M54" s="50">
        <v>2115340</v>
      </c>
      <c r="N54" s="50">
        <v>811356</v>
      </c>
      <c r="O54" s="50">
        <v>1063</v>
      </c>
      <c r="P54" s="50" t="s">
        <v>13862</v>
      </c>
      <c r="Q54" s="50">
        <v>0</v>
      </c>
      <c r="R54" s="50">
        <v>0</v>
      </c>
      <c r="T54" s="50">
        <v>1105071</v>
      </c>
      <c r="U54" s="50">
        <v>756</v>
      </c>
      <c r="V54" s="50" t="s">
        <v>12424</v>
      </c>
      <c r="W54" s="50" t="s">
        <v>102</v>
      </c>
      <c r="X54" s="50" t="s">
        <v>679</v>
      </c>
      <c r="Y54" s="50" t="s">
        <v>104</v>
      </c>
      <c r="Z54" s="50" t="s">
        <v>13863</v>
      </c>
      <c r="AA54" s="50" t="s">
        <v>13864</v>
      </c>
      <c r="AB54" s="50" t="s">
        <v>13865</v>
      </c>
      <c r="AC54" s="50" t="s">
        <v>12593</v>
      </c>
      <c r="AD54" s="50" t="s">
        <v>13865</v>
      </c>
      <c r="AE54" s="50" t="s">
        <v>109</v>
      </c>
      <c r="AF54" s="50" t="s">
        <v>102</v>
      </c>
      <c r="AG54" s="50" t="s">
        <v>109</v>
      </c>
      <c r="AH54" s="50" t="s">
        <v>102</v>
      </c>
      <c r="AI54" s="50" t="s">
        <v>13866</v>
      </c>
      <c r="AJ54" s="50" t="s">
        <v>13075</v>
      </c>
      <c r="AK54" s="50" t="s">
        <v>13867</v>
      </c>
      <c r="AL54" s="50" t="s">
        <v>13868</v>
      </c>
      <c r="AM54" s="50" t="s">
        <v>13869</v>
      </c>
      <c r="AN54" s="50" t="s">
        <v>13870</v>
      </c>
      <c r="AO54" s="50" t="s">
        <v>13871</v>
      </c>
      <c r="AP54" s="50" t="s">
        <v>13871</v>
      </c>
      <c r="AU54" s="50" t="s">
        <v>117</v>
      </c>
      <c r="AV54" s="50" t="s">
        <v>118</v>
      </c>
      <c r="AW54" s="50" t="s">
        <v>102</v>
      </c>
      <c r="AX54" s="50" t="s">
        <v>119</v>
      </c>
      <c r="BA54" s="50" t="s">
        <v>250</v>
      </c>
      <c r="BB54" s="50" t="s">
        <v>120</v>
      </c>
      <c r="BC54" s="50" t="s">
        <v>409</v>
      </c>
      <c r="BD54" s="50" t="s">
        <v>410</v>
      </c>
      <c r="BE54" s="50" t="s">
        <v>212</v>
      </c>
      <c r="BF54" s="50" t="s">
        <v>410</v>
      </c>
      <c r="BG54" s="50" t="s">
        <v>124</v>
      </c>
      <c r="BH54" s="50" t="s">
        <v>13308</v>
      </c>
      <c r="BI54" s="50" t="s">
        <v>12963</v>
      </c>
      <c r="BJ54" s="50" t="s">
        <v>127</v>
      </c>
      <c r="BK54" s="50" t="s">
        <v>13872</v>
      </c>
      <c r="BL54" s="50" t="s">
        <v>3190</v>
      </c>
      <c r="BM54" s="50" t="s">
        <v>13873</v>
      </c>
      <c r="BN54" s="50" t="s">
        <v>13861</v>
      </c>
      <c r="BO54" s="50" t="s">
        <v>13874</v>
      </c>
      <c r="BP54" s="50" t="s">
        <v>13875</v>
      </c>
      <c r="BQ54" s="50" t="s">
        <v>13876</v>
      </c>
      <c r="BR54" s="50" t="s">
        <v>13877</v>
      </c>
      <c r="BS54" s="50" t="s">
        <v>293</v>
      </c>
      <c r="BU54" s="50" t="s">
        <v>13878</v>
      </c>
      <c r="BV54" s="50" t="s">
        <v>13879</v>
      </c>
      <c r="BW54" s="50" t="s">
        <v>1282</v>
      </c>
      <c r="BX54" s="50" t="s">
        <v>13880</v>
      </c>
      <c r="BY54" s="50" t="s">
        <v>13881</v>
      </c>
      <c r="BZ54" s="50" t="s">
        <v>3196</v>
      </c>
      <c r="CA54" s="50" t="s">
        <v>13879</v>
      </c>
      <c r="CB54" s="50" t="s">
        <v>13880</v>
      </c>
      <c r="CC54" s="50" t="s">
        <v>13881</v>
      </c>
      <c r="CD54" s="50" t="s">
        <v>13882</v>
      </c>
      <c r="CE54" s="50" t="s">
        <v>13883</v>
      </c>
      <c r="CF54" s="50" t="s">
        <v>13884</v>
      </c>
      <c r="CG54" s="50" t="s">
        <v>102</v>
      </c>
      <c r="CH54" s="50" t="s">
        <v>13885</v>
      </c>
      <c r="CJ54" s="50" t="s">
        <v>3201</v>
      </c>
      <c r="CL54" s="50" t="s">
        <v>409</v>
      </c>
      <c r="CM54" s="50" t="s">
        <v>410</v>
      </c>
      <c r="CN54" s="50" t="s">
        <v>3201</v>
      </c>
      <c r="CO54" s="50" t="s">
        <v>3202</v>
      </c>
      <c r="CP54" s="50" t="s">
        <v>3200</v>
      </c>
      <c r="CQ54" s="50" t="s">
        <v>3200</v>
      </c>
    </row>
    <row r="55" spans="1:96">
      <c r="A55" s="50" t="s">
        <v>93</v>
      </c>
      <c r="B55" s="50">
        <v>3395953</v>
      </c>
      <c r="C55" s="50" t="s">
        <v>11882</v>
      </c>
      <c r="D55" s="50" t="s">
        <v>15823</v>
      </c>
      <c r="E55" s="50" t="str">
        <f>VLOOKUP(B55,aa!B:F,5,0)</f>
        <v>Ei CARES</v>
      </c>
      <c r="F55" s="50">
        <f>VLOOKUP(B55,aa!B:J,9,0)</f>
        <v>336960</v>
      </c>
      <c r="G55" s="50">
        <f>VLOOKUP(B55,aa!B:L,11,0)</f>
        <v>0</v>
      </c>
      <c r="H55" s="50">
        <f>VLOOKUP(B55,aa!B:O,14,0)</f>
        <v>336960</v>
      </c>
      <c r="I55" s="50">
        <f>VLOOKUP(B55,aa!B:R,17,0)</f>
        <v>0</v>
      </c>
      <c r="K55" s="50" t="s">
        <v>152</v>
      </c>
      <c r="L55" s="50">
        <v>193440</v>
      </c>
      <c r="M55" s="50">
        <v>193440</v>
      </c>
      <c r="N55" s="50">
        <v>0</v>
      </c>
      <c r="O55" s="50">
        <v>0</v>
      </c>
      <c r="Q55" s="50">
        <v>193440</v>
      </c>
      <c r="R55" s="50">
        <v>120</v>
      </c>
      <c r="S55" s="50" t="s">
        <v>15824</v>
      </c>
      <c r="T55" s="50">
        <v>0</v>
      </c>
      <c r="U55" s="50">
        <v>0</v>
      </c>
      <c r="W55" s="50" t="s">
        <v>102</v>
      </c>
      <c r="X55" s="50" t="s">
        <v>103</v>
      </c>
      <c r="Y55" s="50" t="s">
        <v>155</v>
      </c>
      <c r="AA55" s="50" t="s">
        <v>3880</v>
      </c>
      <c r="AB55" s="50" t="s">
        <v>15825</v>
      </c>
      <c r="AC55" s="50" t="s">
        <v>1408</v>
      </c>
      <c r="AD55" s="50" t="s">
        <v>15825</v>
      </c>
      <c r="AE55" s="50" t="s">
        <v>12289</v>
      </c>
      <c r="AF55" s="50" t="s">
        <v>15825</v>
      </c>
      <c r="AG55" s="50" t="s">
        <v>11886</v>
      </c>
      <c r="AH55" s="50" t="s">
        <v>15825</v>
      </c>
      <c r="AI55" s="50" t="s">
        <v>102</v>
      </c>
      <c r="AJ55" s="50" t="s">
        <v>4084</v>
      </c>
      <c r="AK55" s="50" t="s">
        <v>12573</v>
      </c>
      <c r="AL55" s="50" t="s">
        <v>15826</v>
      </c>
      <c r="AM55" s="50" t="s">
        <v>15827</v>
      </c>
      <c r="AN55" s="50" t="s">
        <v>15828</v>
      </c>
      <c r="AO55" s="50" t="s">
        <v>15829</v>
      </c>
      <c r="AP55" s="50" t="s">
        <v>15829</v>
      </c>
      <c r="AU55" s="50" t="s">
        <v>102</v>
      </c>
      <c r="AW55" s="50" t="s">
        <v>155</v>
      </c>
      <c r="AX55" s="50" t="s">
        <v>119</v>
      </c>
      <c r="AY55" s="50" t="s">
        <v>170</v>
      </c>
      <c r="AZ55" s="50" t="s">
        <v>118</v>
      </c>
      <c r="BB55" s="50" t="s">
        <v>120</v>
      </c>
      <c r="BC55" s="50" t="s">
        <v>15830</v>
      </c>
      <c r="BD55" s="50" t="s">
        <v>252</v>
      </c>
      <c r="BE55" s="50" t="s">
        <v>122</v>
      </c>
      <c r="BF55" s="50" t="s">
        <v>253</v>
      </c>
      <c r="BG55" s="50" t="s">
        <v>124</v>
      </c>
      <c r="BH55" s="50" t="s">
        <v>12023</v>
      </c>
      <c r="BI55" s="50" t="s">
        <v>11889</v>
      </c>
      <c r="BJ55" s="50" t="s">
        <v>127</v>
      </c>
      <c r="BK55" s="50" t="s">
        <v>15831</v>
      </c>
      <c r="BL55" s="50" t="s">
        <v>15832</v>
      </c>
      <c r="BM55" s="50" t="s">
        <v>15833</v>
      </c>
      <c r="BN55" s="50" t="s">
        <v>3880</v>
      </c>
      <c r="BO55" s="50" t="s">
        <v>12453</v>
      </c>
      <c r="BP55" s="50" t="s">
        <v>350</v>
      </c>
      <c r="BQ55" s="50" t="s">
        <v>12454</v>
      </c>
      <c r="BR55" s="50" t="s">
        <v>12455</v>
      </c>
      <c r="BS55" s="50" t="s">
        <v>1995</v>
      </c>
      <c r="BT55" s="50" t="s">
        <v>1111</v>
      </c>
      <c r="BU55" s="50" t="s">
        <v>15834</v>
      </c>
      <c r="BV55" s="50" t="s">
        <v>15835</v>
      </c>
      <c r="BW55" s="50" t="s">
        <v>354</v>
      </c>
      <c r="BX55" s="50" t="s">
        <v>15836</v>
      </c>
      <c r="BY55" s="50" t="s">
        <v>15837</v>
      </c>
      <c r="BZ55" s="50" t="s">
        <v>15838</v>
      </c>
      <c r="CA55" s="50" t="s">
        <v>15839</v>
      </c>
      <c r="CB55" s="50" t="s">
        <v>15836</v>
      </c>
      <c r="CC55" s="50" t="s">
        <v>15837</v>
      </c>
      <c r="CD55" s="50" t="s">
        <v>15839</v>
      </c>
      <c r="CE55" s="50" t="s">
        <v>15836</v>
      </c>
      <c r="CF55" s="50" t="s">
        <v>15837</v>
      </c>
      <c r="CG55" s="50" t="s">
        <v>102</v>
      </c>
      <c r="CH55" s="50" t="s">
        <v>15840</v>
      </c>
      <c r="CJ55" s="50" t="s">
        <v>12463</v>
      </c>
      <c r="CL55" s="50" t="s">
        <v>15830</v>
      </c>
      <c r="CM55" s="50" t="s">
        <v>252</v>
      </c>
      <c r="CN55" s="50" t="s">
        <v>12463</v>
      </c>
      <c r="CP55" s="50" t="s">
        <v>15841</v>
      </c>
      <c r="CQ55" s="50" t="s">
        <v>15841</v>
      </c>
    </row>
    <row r="56" spans="1:96">
      <c r="A56" s="95" t="s">
        <v>149</v>
      </c>
      <c r="B56" s="50">
        <v>2388998</v>
      </c>
      <c r="C56" s="50" t="s">
        <v>1279</v>
      </c>
      <c r="D56" s="50" t="s">
        <v>3154</v>
      </c>
      <c r="E56" s="50" t="str">
        <f>VLOOKUP(B56,aa!B:F,5,0)</f>
        <v>Ei ASSET, Ei Mindspark</v>
      </c>
      <c r="F56" s="50">
        <f>VLOOKUP(B56,aa!B:J,9,0)</f>
        <v>1687499</v>
      </c>
      <c r="G56" s="50">
        <f>VLOOKUP(B56,aa!B:L,11,0)</f>
        <v>180000</v>
      </c>
      <c r="H56" s="50">
        <f>VLOOKUP(B56,aa!B:O,14,0)</f>
        <v>0</v>
      </c>
      <c r="I56" s="50">
        <f>VLOOKUP(B56,aa!B:R,17,0)</f>
        <v>1507499</v>
      </c>
      <c r="K56" s="50" t="s">
        <v>193</v>
      </c>
      <c r="L56" s="50">
        <v>1687499</v>
      </c>
      <c r="M56" s="50">
        <v>1958849</v>
      </c>
      <c r="N56" s="50">
        <v>180000</v>
      </c>
      <c r="O56" s="50">
        <v>240</v>
      </c>
      <c r="P56" s="50" t="s">
        <v>101</v>
      </c>
      <c r="Q56" s="50">
        <v>0</v>
      </c>
      <c r="R56" s="50">
        <v>0</v>
      </c>
      <c r="T56" s="50">
        <v>1507499</v>
      </c>
      <c r="U56" s="50">
        <v>360</v>
      </c>
      <c r="V56" s="50" t="s">
        <v>13845</v>
      </c>
      <c r="W56" s="50" t="s">
        <v>102</v>
      </c>
      <c r="X56" s="50" t="s">
        <v>103</v>
      </c>
      <c r="Y56" s="50" t="s">
        <v>104</v>
      </c>
      <c r="AA56" s="50" t="s">
        <v>1305</v>
      </c>
      <c r="AB56" s="50" t="s">
        <v>13846</v>
      </c>
      <c r="AC56" s="50" t="s">
        <v>11952</v>
      </c>
      <c r="AD56" s="50" t="s">
        <v>13846</v>
      </c>
      <c r="AE56" s="50" t="s">
        <v>109</v>
      </c>
      <c r="AF56" s="50" t="s">
        <v>102</v>
      </c>
      <c r="AG56" s="50" t="s">
        <v>109</v>
      </c>
      <c r="AH56" s="50" t="s">
        <v>102</v>
      </c>
      <c r="AI56" s="50" t="s">
        <v>13847</v>
      </c>
      <c r="AJ56" s="50" t="s">
        <v>4813</v>
      </c>
      <c r="AK56" s="50" t="s">
        <v>13848</v>
      </c>
      <c r="AL56" s="50" t="s">
        <v>13849</v>
      </c>
      <c r="AM56" s="50" t="s">
        <v>13850</v>
      </c>
      <c r="AN56" s="50" t="s">
        <v>13851</v>
      </c>
      <c r="AO56" s="50" t="s">
        <v>13852</v>
      </c>
      <c r="AP56" s="50" t="s">
        <v>13852</v>
      </c>
      <c r="AU56" s="50" t="s">
        <v>207</v>
      </c>
      <c r="AV56" s="50" t="s">
        <v>118</v>
      </c>
      <c r="AW56" s="50" t="s">
        <v>102</v>
      </c>
      <c r="AX56" s="50" t="s">
        <v>119</v>
      </c>
      <c r="BA56" s="50" t="s">
        <v>250</v>
      </c>
      <c r="BB56" s="50" t="s">
        <v>171</v>
      </c>
      <c r="BC56" s="50" t="s">
        <v>623</v>
      </c>
      <c r="BD56" s="50" t="s">
        <v>621</v>
      </c>
      <c r="BE56" s="50" t="s">
        <v>622</v>
      </c>
      <c r="BF56" s="50" t="s">
        <v>623</v>
      </c>
      <c r="BG56" s="50" t="s">
        <v>124</v>
      </c>
      <c r="BH56" s="50" t="s">
        <v>5694</v>
      </c>
      <c r="BI56" s="50" t="s">
        <v>11889</v>
      </c>
      <c r="BJ56" s="50" t="s">
        <v>127</v>
      </c>
      <c r="BK56" s="50" t="s">
        <v>13853</v>
      </c>
      <c r="BL56" s="50" t="s">
        <v>3169</v>
      </c>
      <c r="BM56" s="50" t="s">
        <v>13854</v>
      </c>
      <c r="BN56" s="50" t="s">
        <v>1631</v>
      </c>
      <c r="BO56" s="50" t="s">
        <v>629</v>
      </c>
      <c r="BP56" s="50" t="s">
        <v>132</v>
      </c>
      <c r="BQ56" s="50" t="s">
        <v>630</v>
      </c>
      <c r="BR56" s="50" t="s">
        <v>631</v>
      </c>
      <c r="BS56" s="50" t="s">
        <v>1342</v>
      </c>
      <c r="BU56" s="50" t="s">
        <v>13855</v>
      </c>
      <c r="BV56" s="50" t="s">
        <v>13856</v>
      </c>
      <c r="BW56" s="50" t="s">
        <v>138</v>
      </c>
      <c r="BX56" s="50" t="s">
        <v>13857</v>
      </c>
      <c r="BY56" s="50" t="s">
        <v>13858</v>
      </c>
      <c r="BZ56" s="50" t="s">
        <v>3175</v>
      </c>
      <c r="CA56" s="50" t="s">
        <v>13859</v>
      </c>
      <c r="CB56" s="50" t="s">
        <v>13857</v>
      </c>
      <c r="CC56" s="50" t="s">
        <v>13858</v>
      </c>
      <c r="CD56" s="50" t="s">
        <v>13859</v>
      </c>
      <c r="CE56" s="50" t="s">
        <v>13857</v>
      </c>
      <c r="CF56" s="50" t="s">
        <v>13858</v>
      </c>
      <c r="CG56" s="50" t="s">
        <v>102</v>
      </c>
      <c r="CH56" s="50" t="s">
        <v>13860</v>
      </c>
      <c r="CJ56" s="50" t="s">
        <v>3177</v>
      </c>
      <c r="CL56" s="50" t="s">
        <v>623</v>
      </c>
      <c r="CM56" s="50" t="s">
        <v>621</v>
      </c>
      <c r="CN56" s="50" t="s">
        <v>3177</v>
      </c>
      <c r="CO56" s="50" t="s">
        <v>3178</v>
      </c>
      <c r="CP56" s="50" t="s">
        <v>3176</v>
      </c>
      <c r="CQ56" s="50" t="s">
        <v>3176</v>
      </c>
    </row>
    <row r="57" spans="1:96">
      <c r="A57" s="95" t="s">
        <v>149</v>
      </c>
      <c r="B57" s="50">
        <v>346484</v>
      </c>
      <c r="C57" s="50" t="s">
        <v>384</v>
      </c>
      <c r="D57" s="50" t="s">
        <v>6188</v>
      </c>
      <c r="E57" s="50" t="str">
        <f>VLOOKUP(B57,aa!B:F,5,0)</f>
        <v>Ei CARES</v>
      </c>
      <c r="F57" s="50">
        <f>VLOOKUP(B57,aa!B:J,9,0)</f>
        <v>2829096</v>
      </c>
      <c r="G57" s="50">
        <f>VLOOKUP(B57,aa!B:L,11,0)</f>
        <v>0</v>
      </c>
      <c r="H57" s="50">
        <f>VLOOKUP(B57,aa!B:O,14,0)</f>
        <v>2829096</v>
      </c>
      <c r="I57" s="50">
        <f>VLOOKUP(B57,aa!B:R,17,0)</f>
        <v>0</v>
      </c>
      <c r="K57" s="50" t="s">
        <v>152</v>
      </c>
      <c r="L57" s="50">
        <v>2832771</v>
      </c>
      <c r="M57" s="50">
        <v>2832771</v>
      </c>
      <c r="N57" s="50">
        <v>0</v>
      </c>
      <c r="O57" s="50">
        <v>0</v>
      </c>
      <c r="Q57" s="50">
        <v>2832771</v>
      </c>
      <c r="R57" s="50">
        <v>1099</v>
      </c>
      <c r="S57" s="50" t="s">
        <v>16100</v>
      </c>
      <c r="T57" s="50">
        <v>0</v>
      </c>
      <c r="U57" s="50">
        <v>0</v>
      </c>
      <c r="W57" s="50" t="s">
        <v>102</v>
      </c>
      <c r="X57" s="50" t="s">
        <v>275</v>
      </c>
      <c r="Z57" s="50" t="s">
        <v>16101</v>
      </c>
      <c r="AA57" s="50" t="s">
        <v>109</v>
      </c>
      <c r="AB57" s="50" t="s">
        <v>102</v>
      </c>
      <c r="AC57" s="50" t="s">
        <v>109</v>
      </c>
      <c r="AD57" s="50" t="s">
        <v>102</v>
      </c>
      <c r="AE57" s="50" t="s">
        <v>109</v>
      </c>
      <c r="AF57" s="50" t="s">
        <v>102</v>
      </c>
      <c r="AG57" s="50" t="s">
        <v>109</v>
      </c>
      <c r="AH57" s="50" t="s">
        <v>102</v>
      </c>
      <c r="AI57" s="50" t="s">
        <v>102</v>
      </c>
      <c r="AJ57" s="50" t="s">
        <v>16102</v>
      </c>
      <c r="AK57" s="50" t="s">
        <v>16102</v>
      </c>
      <c r="AL57" s="50" t="s">
        <v>16103</v>
      </c>
      <c r="AM57" s="50" t="s">
        <v>16104</v>
      </c>
      <c r="AN57" s="50" t="s">
        <v>16105</v>
      </c>
      <c r="AO57" s="50" t="s">
        <v>16106</v>
      </c>
      <c r="AP57" s="50" t="s">
        <v>16106</v>
      </c>
      <c r="AU57" s="50" t="s">
        <v>102</v>
      </c>
      <c r="AW57" s="50" t="s">
        <v>155</v>
      </c>
      <c r="AX57" s="50" t="s">
        <v>249</v>
      </c>
      <c r="AY57" s="50" t="s">
        <v>170</v>
      </c>
      <c r="AZ57" s="50" t="s">
        <v>118</v>
      </c>
      <c r="BB57" s="50" t="s">
        <v>171</v>
      </c>
      <c r="BC57" s="50" t="s">
        <v>6194</v>
      </c>
      <c r="BD57" s="50" t="s">
        <v>376</v>
      </c>
      <c r="BE57" s="50" t="s">
        <v>174</v>
      </c>
      <c r="BF57" s="50" t="s">
        <v>376</v>
      </c>
      <c r="BG57" s="50" t="s">
        <v>124</v>
      </c>
      <c r="BH57" s="50" t="s">
        <v>4909</v>
      </c>
      <c r="BI57" s="50" t="s">
        <v>11889</v>
      </c>
      <c r="BJ57" s="50" t="s">
        <v>127</v>
      </c>
      <c r="BK57" s="50" t="s">
        <v>16107</v>
      </c>
      <c r="BL57" s="50" t="s">
        <v>6196</v>
      </c>
      <c r="BM57" s="50" t="s">
        <v>16108</v>
      </c>
      <c r="BN57" s="50" t="s">
        <v>16099</v>
      </c>
      <c r="BO57" s="50" t="s">
        <v>1917</v>
      </c>
      <c r="BP57" s="50" t="s">
        <v>180</v>
      </c>
      <c r="BQ57" s="50" t="s">
        <v>1918</v>
      </c>
      <c r="BR57" s="50" t="s">
        <v>1919</v>
      </c>
      <c r="BS57" s="50" t="s">
        <v>5029</v>
      </c>
      <c r="BU57" s="50" t="s">
        <v>16109</v>
      </c>
      <c r="BV57" s="50" t="s">
        <v>16110</v>
      </c>
      <c r="BW57" s="50" t="s">
        <v>138</v>
      </c>
      <c r="BX57" s="50" t="s">
        <v>6200</v>
      </c>
      <c r="BY57" s="50" t="s">
        <v>6201</v>
      </c>
      <c r="BZ57" s="50" t="s">
        <v>6200</v>
      </c>
      <c r="CA57" s="50" t="s">
        <v>16110</v>
      </c>
      <c r="CB57" s="50" t="s">
        <v>6200</v>
      </c>
      <c r="CC57" s="50" t="s">
        <v>6201</v>
      </c>
      <c r="CD57" s="50" t="s">
        <v>16110</v>
      </c>
      <c r="CE57" s="50" t="s">
        <v>6200</v>
      </c>
      <c r="CF57" s="50" t="s">
        <v>6201</v>
      </c>
      <c r="CG57" s="50" t="s">
        <v>6205</v>
      </c>
      <c r="CH57" s="50" t="s">
        <v>6188</v>
      </c>
      <c r="CJ57" s="50" t="s">
        <v>6207</v>
      </c>
      <c r="CK57" s="50" t="s">
        <v>16111</v>
      </c>
      <c r="CL57" s="50" t="s">
        <v>6194</v>
      </c>
      <c r="CM57" s="50" t="s">
        <v>376</v>
      </c>
      <c r="CN57" s="50" t="s">
        <v>6207</v>
      </c>
      <c r="CO57" s="50" t="s">
        <v>6208</v>
      </c>
      <c r="CP57" s="50" t="s">
        <v>6206</v>
      </c>
      <c r="CQ57" s="50" t="s">
        <v>6206</v>
      </c>
    </row>
    <row r="58" spans="1:96">
      <c r="A58" s="50" t="s">
        <v>93</v>
      </c>
      <c r="B58" s="50">
        <v>4000011</v>
      </c>
      <c r="C58" s="50" t="s">
        <v>11995</v>
      </c>
      <c r="D58" s="50" t="s">
        <v>17871</v>
      </c>
      <c r="E58" s="50" t="e">
        <f>VLOOKUP(B58,aa!B:F,5,0)</f>
        <v>#N/A</v>
      </c>
      <c r="F58" s="50" t="e">
        <f>VLOOKUP(B58,aa!B:J,9,0)</f>
        <v>#N/A</v>
      </c>
      <c r="G58" s="50" t="e">
        <f>VLOOKUP(B58,aa!B:L,11,0)</f>
        <v>#N/A</v>
      </c>
      <c r="H58" s="50" t="e">
        <f>VLOOKUP(B58,aa!B:O,14,0)</f>
        <v>#N/A</v>
      </c>
      <c r="I58" s="50" t="e">
        <f>VLOOKUP(B58,aa!B:R,17,0)</f>
        <v>#N/A</v>
      </c>
      <c r="K58" s="50" t="s">
        <v>152</v>
      </c>
      <c r="L58" s="50">
        <v>1115100</v>
      </c>
      <c r="M58" s="50">
        <v>1115100</v>
      </c>
      <c r="N58" s="50">
        <v>0</v>
      </c>
      <c r="O58" s="50">
        <v>0</v>
      </c>
      <c r="Q58" s="50">
        <v>1115100</v>
      </c>
      <c r="R58" s="50">
        <v>1062</v>
      </c>
      <c r="S58" s="50" t="s">
        <v>433</v>
      </c>
      <c r="T58" s="50">
        <v>0</v>
      </c>
      <c r="U58" s="50">
        <v>0</v>
      </c>
      <c r="W58" s="50" t="s">
        <v>102</v>
      </c>
      <c r="X58" s="50" t="s">
        <v>103</v>
      </c>
      <c r="Y58" s="50" t="s">
        <v>398</v>
      </c>
      <c r="AA58" s="50" t="s">
        <v>1827</v>
      </c>
      <c r="AB58" s="50" t="s">
        <v>17873</v>
      </c>
      <c r="AC58" s="50" t="s">
        <v>17874</v>
      </c>
      <c r="AD58" s="50" t="s">
        <v>17873</v>
      </c>
      <c r="AE58" s="50" t="s">
        <v>16007</v>
      </c>
      <c r="AF58" s="50" t="s">
        <v>17875</v>
      </c>
      <c r="AG58" s="50" t="s">
        <v>109</v>
      </c>
      <c r="AH58" s="50" t="s">
        <v>102</v>
      </c>
      <c r="AI58" s="50" t="s">
        <v>102</v>
      </c>
      <c r="AJ58" s="50" t="s">
        <v>1827</v>
      </c>
      <c r="AK58" s="50" t="s">
        <v>1827</v>
      </c>
      <c r="AL58" s="50" t="s">
        <v>17876</v>
      </c>
      <c r="AM58" s="50" t="s">
        <v>17877</v>
      </c>
      <c r="AN58" s="50" t="s">
        <v>17878</v>
      </c>
      <c r="AO58" s="50" t="s">
        <v>17879</v>
      </c>
      <c r="AP58" s="50" t="s">
        <v>17879</v>
      </c>
      <c r="AU58" s="50" t="s">
        <v>102</v>
      </c>
      <c r="AW58" s="50" t="s">
        <v>155</v>
      </c>
      <c r="AX58" s="50" t="s">
        <v>119</v>
      </c>
      <c r="AY58" s="50" t="s">
        <v>170</v>
      </c>
      <c r="AZ58" s="50" t="s">
        <v>118</v>
      </c>
      <c r="BB58" s="50" t="s">
        <v>120</v>
      </c>
      <c r="BC58" s="50" t="s">
        <v>17880</v>
      </c>
      <c r="BD58" s="50" t="s">
        <v>6390</v>
      </c>
      <c r="BE58" s="50" t="s">
        <v>212</v>
      </c>
      <c r="BF58" s="50" t="s">
        <v>286</v>
      </c>
      <c r="BG58" s="50" t="s">
        <v>124</v>
      </c>
      <c r="BH58" s="50" t="s">
        <v>12023</v>
      </c>
      <c r="BI58" s="50" t="s">
        <v>11889</v>
      </c>
      <c r="BJ58" s="50" t="s">
        <v>127</v>
      </c>
      <c r="BK58" s="50" t="s">
        <v>17881</v>
      </c>
      <c r="BL58" s="50" t="s">
        <v>17882</v>
      </c>
      <c r="BM58" s="50" t="s">
        <v>17883</v>
      </c>
      <c r="BN58" s="50" t="s">
        <v>17872</v>
      </c>
      <c r="BO58" s="50" t="s">
        <v>17884</v>
      </c>
      <c r="BP58" s="50" t="s">
        <v>505</v>
      </c>
      <c r="BQ58" s="50" t="s">
        <v>17885</v>
      </c>
      <c r="BR58" s="50" t="s">
        <v>17886</v>
      </c>
      <c r="BS58" s="50" t="s">
        <v>17887</v>
      </c>
      <c r="BU58" s="50" t="s">
        <v>17888</v>
      </c>
      <c r="BV58" s="50" t="s">
        <v>17889</v>
      </c>
      <c r="BW58" s="50" t="s">
        <v>138</v>
      </c>
      <c r="BX58" s="50" t="s">
        <v>17890</v>
      </c>
      <c r="BY58" s="50" t="s">
        <v>17891</v>
      </c>
      <c r="BZ58" s="50" t="s">
        <v>17892</v>
      </c>
      <c r="CA58" s="50" t="s">
        <v>17893</v>
      </c>
      <c r="CB58" s="50" t="s">
        <v>17894</v>
      </c>
      <c r="CC58" s="50" t="s">
        <v>17895</v>
      </c>
      <c r="CD58" s="50" t="s">
        <v>17896</v>
      </c>
      <c r="CE58" s="50" t="s">
        <v>17892</v>
      </c>
      <c r="CF58" s="50" t="s">
        <v>17897</v>
      </c>
      <c r="CG58" s="50" t="s">
        <v>907</v>
      </c>
      <c r="CH58" s="50" t="s">
        <v>17898</v>
      </c>
      <c r="CJ58" s="50" t="s">
        <v>17899</v>
      </c>
      <c r="CK58" s="50" t="s">
        <v>17900</v>
      </c>
      <c r="CL58" s="50" t="s">
        <v>17901</v>
      </c>
      <c r="CM58" s="50" t="s">
        <v>6390</v>
      </c>
      <c r="CN58" s="50" t="s">
        <v>17899</v>
      </c>
      <c r="CP58" s="50" t="s">
        <v>17902</v>
      </c>
      <c r="CQ58" s="50" t="s">
        <v>17902</v>
      </c>
      <c r="CR58" s="50" t="s">
        <v>26042</v>
      </c>
    </row>
    <row r="59" spans="1:96">
      <c r="A59" s="95" t="s">
        <v>149</v>
      </c>
      <c r="B59" s="50">
        <v>3833865</v>
      </c>
      <c r="C59" s="50" t="s">
        <v>12507</v>
      </c>
      <c r="D59" s="50" t="s">
        <v>7592</v>
      </c>
      <c r="E59" s="50" t="str">
        <f>VLOOKUP(B59,aa!B:F,5,0)</f>
        <v>Ei ASSET</v>
      </c>
      <c r="F59" s="50">
        <f>VLOOKUP(B59,aa!B:J,9,0)</f>
        <v>396652</v>
      </c>
      <c r="G59" s="50">
        <f>VLOOKUP(B59,aa!B:L,11,0)</f>
        <v>396652</v>
      </c>
      <c r="H59" s="50">
        <f>VLOOKUP(B59,aa!B:O,14,0)</f>
        <v>0</v>
      </c>
      <c r="I59" s="50">
        <f>VLOOKUP(B59,aa!B:R,17,0)</f>
        <v>0</v>
      </c>
      <c r="K59" s="50" t="s">
        <v>97</v>
      </c>
      <c r="L59" s="50">
        <v>393075</v>
      </c>
      <c r="M59" s="50">
        <v>393075</v>
      </c>
      <c r="N59" s="50">
        <v>393075</v>
      </c>
      <c r="O59" s="50">
        <v>490</v>
      </c>
      <c r="P59" s="50" t="s">
        <v>16036</v>
      </c>
      <c r="Q59" s="50">
        <v>0</v>
      </c>
      <c r="R59" s="50">
        <v>0</v>
      </c>
      <c r="T59" s="50">
        <v>0</v>
      </c>
      <c r="U59" s="50">
        <v>0</v>
      </c>
      <c r="W59" s="50" t="s">
        <v>102</v>
      </c>
      <c r="X59" s="50" t="s">
        <v>275</v>
      </c>
      <c r="Z59" s="50" t="s">
        <v>5022</v>
      </c>
      <c r="AA59" s="50" t="s">
        <v>109</v>
      </c>
      <c r="AB59" s="50" t="s">
        <v>102</v>
      </c>
      <c r="AC59" s="50" t="s">
        <v>109</v>
      </c>
      <c r="AD59" s="50" t="s">
        <v>102</v>
      </c>
      <c r="AE59" s="50" t="s">
        <v>109</v>
      </c>
      <c r="AF59" s="50" t="s">
        <v>102</v>
      </c>
      <c r="AG59" s="50" t="s">
        <v>109</v>
      </c>
      <c r="AH59" s="50" t="s">
        <v>102</v>
      </c>
      <c r="AI59" s="50" t="s">
        <v>17084</v>
      </c>
      <c r="AJ59" s="50" t="s">
        <v>5015</v>
      </c>
      <c r="AK59" s="50" t="s">
        <v>5015</v>
      </c>
      <c r="AL59" s="50" t="s">
        <v>17085</v>
      </c>
      <c r="AM59" s="50" t="s">
        <v>17086</v>
      </c>
      <c r="AN59" s="50" t="s">
        <v>102</v>
      </c>
      <c r="AO59" s="50" t="s">
        <v>7600</v>
      </c>
      <c r="AP59" s="50" t="s">
        <v>17087</v>
      </c>
      <c r="AT59" s="50" t="s">
        <v>169</v>
      </c>
      <c r="AU59" s="50" t="s">
        <v>117</v>
      </c>
      <c r="AV59" s="50" t="s">
        <v>250</v>
      </c>
      <c r="AW59" s="50" t="s">
        <v>102</v>
      </c>
      <c r="AX59" s="50" t="s">
        <v>119</v>
      </c>
      <c r="BB59" s="50" t="s">
        <v>209</v>
      </c>
      <c r="BC59" s="50" t="s">
        <v>2542</v>
      </c>
      <c r="BD59" s="50" t="s">
        <v>2543</v>
      </c>
      <c r="BE59" s="50" t="s">
        <v>122</v>
      </c>
      <c r="BF59" s="50" t="s">
        <v>557</v>
      </c>
      <c r="BG59" s="50" t="s">
        <v>124</v>
      </c>
      <c r="BH59" s="50" t="s">
        <v>12023</v>
      </c>
      <c r="BI59" s="50" t="s">
        <v>11889</v>
      </c>
      <c r="BJ59" s="50" t="s">
        <v>127</v>
      </c>
      <c r="BK59" s="50" t="s">
        <v>17088</v>
      </c>
      <c r="BL59" s="50" t="s">
        <v>7602</v>
      </c>
      <c r="BM59" s="50" t="s">
        <v>17089</v>
      </c>
      <c r="BN59" s="50" t="s">
        <v>4084</v>
      </c>
      <c r="BO59" s="50" t="s">
        <v>12743</v>
      </c>
      <c r="BP59" s="50" t="s">
        <v>350</v>
      </c>
      <c r="BQ59" s="50" t="s">
        <v>12744</v>
      </c>
      <c r="BR59" s="50" t="s">
        <v>12745</v>
      </c>
      <c r="BS59" s="50" t="s">
        <v>1075</v>
      </c>
      <c r="BU59" s="50" t="s">
        <v>17090</v>
      </c>
      <c r="BV59" s="50" t="s">
        <v>17091</v>
      </c>
      <c r="BW59" s="50" t="s">
        <v>598</v>
      </c>
      <c r="BX59" s="50" t="s">
        <v>7606</v>
      </c>
      <c r="BY59" s="50" t="s">
        <v>7607</v>
      </c>
      <c r="BZ59" s="50" t="s">
        <v>7608</v>
      </c>
      <c r="CA59" s="50" t="s">
        <v>17092</v>
      </c>
      <c r="CB59" s="50" t="s">
        <v>17093</v>
      </c>
      <c r="CC59" s="50" t="s">
        <v>17094</v>
      </c>
      <c r="CD59" s="50" t="s">
        <v>17095</v>
      </c>
      <c r="CE59" s="50" t="s">
        <v>17096</v>
      </c>
      <c r="CF59" s="50" t="s">
        <v>17097</v>
      </c>
      <c r="CG59" s="50" t="s">
        <v>709</v>
      </c>
      <c r="CH59" s="50" t="s">
        <v>7609</v>
      </c>
      <c r="CJ59" s="50" t="s">
        <v>7610</v>
      </c>
      <c r="CK59" s="50" t="s">
        <v>7609</v>
      </c>
      <c r="CL59" s="50" t="s">
        <v>2542</v>
      </c>
      <c r="CM59" s="50" t="s">
        <v>2543</v>
      </c>
      <c r="CN59" s="50" t="s">
        <v>7610</v>
      </c>
      <c r="CP59" s="50" t="s">
        <v>7609</v>
      </c>
      <c r="CQ59" s="50" t="s">
        <v>7609</v>
      </c>
    </row>
    <row r="60" spans="1:96">
      <c r="A60" s="95" t="s">
        <v>149</v>
      </c>
      <c r="B60" s="50">
        <v>168210</v>
      </c>
      <c r="C60" s="50" t="s">
        <v>384</v>
      </c>
      <c r="D60" s="50" t="s">
        <v>1492</v>
      </c>
      <c r="E60" s="50" t="str">
        <f>VLOOKUP(B60,aa!B:F,5,0)</f>
        <v>Ei ASSET, Ei Mindspark</v>
      </c>
      <c r="F60" s="50">
        <f>VLOOKUP(B60,aa!B:J,9,0)</f>
        <v>3220416</v>
      </c>
      <c r="G60" s="50">
        <f>VLOOKUP(B60,aa!B:L,11,0)</f>
        <v>278365</v>
      </c>
      <c r="H60" s="50">
        <f>VLOOKUP(B60,aa!B:O,14,0)</f>
        <v>0</v>
      </c>
      <c r="I60" s="50">
        <f>VLOOKUP(B60,aa!B:R,17,0)</f>
        <v>2942051</v>
      </c>
      <c r="K60" s="50" t="s">
        <v>2163</v>
      </c>
      <c r="L60" s="50">
        <v>4322252</v>
      </c>
      <c r="M60" s="50">
        <v>4571580</v>
      </c>
      <c r="N60" s="50">
        <v>231000</v>
      </c>
      <c r="O60" s="50">
        <v>329</v>
      </c>
      <c r="P60" s="50" t="s">
        <v>12762</v>
      </c>
      <c r="Q60" s="50">
        <v>2706098</v>
      </c>
      <c r="R60" s="50">
        <v>1961</v>
      </c>
      <c r="S60" s="50" t="s">
        <v>12763</v>
      </c>
      <c r="T60" s="50">
        <v>1385154</v>
      </c>
      <c r="U60" s="50">
        <v>908</v>
      </c>
      <c r="V60" s="50" t="s">
        <v>1907</v>
      </c>
      <c r="W60" s="50" t="s">
        <v>102</v>
      </c>
      <c r="X60" s="50" t="s">
        <v>679</v>
      </c>
      <c r="Y60" s="50" t="s">
        <v>155</v>
      </c>
      <c r="Z60" s="50" t="s">
        <v>1408</v>
      </c>
      <c r="AA60" s="50" t="s">
        <v>12764</v>
      </c>
      <c r="AB60" s="50" t="s">
        <v>12765</v>
      </c>
      <c r="AC60" s="50" t="s">
        <v>12766</v>
      </c>
      <c r="AD60" s="50" t="s">
        <v>12765</v>
      </c>
      <c r="AE60" s="50" t="s">
        <v>12767</v>
      </c>
      <c r="AF60" s="50" t="s">
        <v>12765</v>
      </c>
      <c r="AG60" s="50" t="s">
        <v>12216</v>
      </c>
      <c r="AH60" s="50" t="s">
        <v>12765</v>
      </c>
      <c r="AI60" s="50" t="s">
        <v>12768</v>
      </c>
      <c r="AJ60" s="50" t="s">
        <v>5755</v>
      </c>
      <c r="AK60" s="50" t="s">
        <v>12769</v>
      </c>
      <c r="AL60" s="50" t="s">
        <v>12770</v>
      </c>
      <c r="AM60" s="50" t="s">
        <v>12771</v>
      </c>
      <c r="AN60" s="50" t="s">
        <v>12772</v>
      </c>
      <c r="AO60" s="50" t="s">
        <v>12773</v>
      </c>
      <c r="AP60" s="50" t="s">
        <v>12773</v>
      </c>
      <c r="AU60" s="50" t="s">
        <v>247</v>
      </c>
      <c r="AV60" s="50" t="s">
        <v>118</v>
      </c>
      <c r="AW60" s="50" t="s">
        <v>655</v>
      </c>
      <c r="AX60" s="50" t="s">
        <v>119</v>
      </c>
      <c r="AY60" s="50" t="s">
        <v>170</v>
      </c>
      <c r="AZ60" s="50" t="s">
        <v>118</v>
      </c>
      <c r="BA60" s="50" t="s">
        <v>250</v>
      </c>
      <c r="BB60" s="50" t="s">
        <v>171</v>
      </c>
      <c r="BC60" s="50" t="s">
        <v>375</v>
      </c>
      <c r="BD60" s="50" t="s">
        <v>376</v>
      </c>
      <c r="BE60" s="50" t="s">
        <v>174</v>
      </c>
      <c r="BF60" s="50" t="s">
        <v>376</v>
      </c>
      <c r="BG60" s="50" t="s">
        <v>124</v>
      </c>
      <c r="BH60" s="50" t="s">
        <v>12023</v>
      </c>
      <c r="BI60" s="50" t="s">
        <v>11889</v>
      </c>
      <c r="BJ60" s="50" t="s">
        <v>127</v>
      </c>
      <c r="BK60" s="50" t="s">
        <v>12774</v>
      </c>
      <c r="BL60" s="50" t="s">
        <v>1507</v>
      </c>
      <c r="BM60" s="50" t="s">
        <v>12775</v>
      </c>
      <c r="BN60" s="50" t="s">
        <v>12761</v>
      </c>
      <c r="BO60" s="50" t="s">
        <v>1917</v>
      </c>
      <c r="BP60" s="50" t="s">
        <v>180</v>
      </c>
      <c r="BQ60" s="50" t="s">
        <v>1918</v>
      </c>
      <c r="BR60" s="50" t="s">
        <v>1919</v>
      </c>
      <c r="BS60" s="50" t="s">
        <v>183</v>
      </c>
      <c r="BU60" s="50" t="s">
        <v>12776</v>
      </c>
      <c r="BV60" s="50" t="s">
        <v>12777</v>
      </c>
      <c r="BW60" s="50" t="s">
        <v>354</v>
      </c>
      <c r="BX60" s="50" t="s">
        <v>1511</v>
      </c>
      <c r="BY60" s="50" t="s">
        <v>1512</v>
      </c>
      <c r="BZ60" s="50" t="s">
        <v>1513</v>
      </c>
      <c r="CA60" s="50" t="s">
        <v>12777</v>
      </c>
      <c r="CB60" s="50" t="s">
        <v>1511</v>
      </c>
      <c r="CC60" s="50" t="s">
        <v>1512</v>
      </c>
      <c r="CD60" s="50" t="s">
        <v>12777</v>
      </c>
      <c r="CE60" s="50" t="s">
        <v>1511</v>
      </c>
      <c r="CF60" s="50" t="s">
        <v>1512</v>
      </c>
      <c r="CG60" s="50" t="s">
        <v>102</v>
      </c>
      <c r="CH60" s="50" t="s">
        <v>12778</v>
      </c>
      <c r="CJ60" s="50" t="s">
        <v>1515</v>
      </c>
      <c r="CL60" s="50" t="s">
        <v>375</v>
      </c>
      <c r="CM60" s="50" t="s">
        <v>376</v>
      </c>
      <c r="CN60" s="50" t="s">
        <v>1515</v>
      </c>
      <c r="CO60" s="50" t="s">
        <v>1516</v>
      </c>
      <c r="CP60" s="50" t="s">
        <v>1514</v>
      </c>
      <c r="CQ60" s="50" t="s">
        <v>1514</v>
      </c>
    </row>
    <row r="61" spans="1:96">
      <c r="A61" s="95" t="s">
        <v>149</v>
      </c>
      <c r="B61" s="50">
        <v>3994892</v>
      </c>
      <c r="C61" s="50" t="s">
        <v>12155</v>
      </c>
      <c r="D61" s="50" t="s">
        <v>17661</v>
      </c>
      <c r="E61" s="50" t="str">
        <f>VLOOKUP(B61,aa!B:F,5,0)</f>
        <v>Ei Mindspark</v>
      </c>
      <c r="F61" s="50">
        <f>VLOOKUP(B61,aa!B:J,9,0)</f>
        <v>545923</v>
      </c>
      <c r="G61" s="50">
        <f>VLOOKUP(B61,aa!B:L,11,0)</f>
        <v>0</v>
      </c>
      <c r="H61" s="50">
        <f>VLOOKUP(B61,aa!B:O,14,0)</f>
        <v>0</v>
      </c>
      <c r="I61" s="50">
        <f>VLOOKUP(B61,aa!B:R,17,0)</f>
        <v>545923</v>
      </c>
      <c r="K61" s="50" t="s">
        <v>3549</v>
      </c>
      <c r="L61" s="50">
        <v>648652</v>
      </c>
      <c r="M61" s="50">
        <v>742371</v>
      </c>
      <c r="N61" s="50">
        <v>127990</v>
      </c>
      <c r="O61" s="50">
        <v>272</v>
      </c>
      <c r="P61" s="50" t="s">
        <v>17662</v>
      </c>
      <c r="Q61" s="50">
        <v>0</v>
      </c>
      <c r="R61" s="50">
        <v>0</v>
      </c>
      <c r="T61" s="50">
        <v>520662</v>
      </c>
      <c r="U61" s="50">
        <v>272</v>
      </c>
      <c r="V61" s="50" t="s">
        <v>17663</v>
      </c>
      <c r="W61" s="50" t="s">
        <v>102</v>
      </c>
      <c r="X61" s="50" t="s">
        <v>103</v>
      </c>
      <c r="Y61" s="50" t="s">
        <v>155</v>
      </c>
      <c r="AA61" s="50" t="s">
        <v>5694</v>
      </c>
      <c r="AB61" s="50" t="s">
        <v>17664</v>
      </c>
      <c r="AC61" s="50" t="s">
        <v>411</v>
      </c>
      <c r="AD61" s="50" t="s">
        <v>17664</v>
      </c>
      <c r="AE61" s="50" t="s">
        <v>1408</v>
      </c>
      <c r="AF61" s="50" t="s">
        <v>17664</v>
      </c>
      <c r="AG61" s="50" t="s">
        <v>12289</v>
      </c>
      <c r="AH61" s="50" t="s">
        <v>17664</v>
      </c>
      <c r="AI61" s="50" t="s">
        <v>17665</v>
      </c>
      <c r="AJ61" s="50" t="s">
        <v>1941</v>
      </c>
      <c r="AK61" s="50" t="s">
        <v>15489</v>
      </c>
      <c r="AL61" s="50" t="s">
        <v>17666</v>
      </c>
      <c r="AM61" s="50" t="s">
        <v>17667</v>
      </c>
      <c r="AN61" s="50" t="s">
        <v>17668</v>
      </c>
      <c r="AO61" s="50" t="s">
        <v>17669</v>
      </c>
      <c r="AP61" s="50" t="s">
        <v>17669</v>
      </c>
      <c r="AU61" s="50" t="s">
        <v>318</v>
      </c>
      <c r="AV61" s="50" t="s">
        <v>118</v>
      </c>
      <c r="AW61" s="50" t="s">
        <v>102</v>
      </c>
      <c r="AX61" s="50" t="s">
        <v>119</v>
      </c>
      <c r="BA61" s="50" t="s">
        <v>250</v>
      </c>
      <c r="BB61" s="50" t="s">
        <v>120</v>
      </c>
      <c r="BC61" s="50" t="s">
        <v>8307</v>
      </c>
      <c r="BD61" s="50" t="s">
        <v>1171</v>
      </c>
      <c r="BE61" s="50" t="s">
        <v>174</v>
      </c>
      <c r="BF61" s="50" t="s">
        <v>1172</v>
      </c>
      <c r="BG61" s="50" t="s">
        <v>124</v>
      </c>
      <c r="BH61" s="50" t="s">
        <v>12023</v>
      </c>
      <c r="BI61" s="50" t="s">
        <v>11889</v>
      </c>
      <c r="BJ61" s="50" t="s">
        <v>127</v>
      </c>
      <c r="BK61" s="50" t="s">
        <v>17670</v>
      </c>
      <c r="BL61" s="50" t="s">
        <v>8309</v>
      </c>
      <c r="BM61" s="50" t="s">
        <v>17671</v>
      </c>
      <c r="BN61" s="50" t="s">
        <v>1300</v>
      </c>
      <c r="BO61" s="50" t="s">
        <v>5557</v>
      </c>
      <c r="BP61" s="50" t="s">
        <v>180</v>
      </c>
      <c r="BQ61" s="50" t="s">
        <v>5558</v>
      </c>
      <c r="BR61" s="50" t="s">
        <v>5559</v>
      </c>
      <c r="BS61" s="50" t="s">
        <v>5560</v>
      </c>
      <c r="BU61" s="50" t="s">
        <v>17672</v>
      </c>
      <c r="BV61" s="50" t="s">
        <v>17673</v>
      </c>
      <c r="BW61" s="50" t="s">
        <v>354</v>
      </c>
      <c r="BX61" s="50" t="s">
        <v>17674</v>
      </c>
      <c r="BY61" s="50" t="s">
        <v>8314</v>
      </c>
      <c r="BZ61" s="50" t="s">
        <v>8315</v>
      </c>
      <c r="CA61" s="50" t="s">
        <v>8316</v>
      </c>
      <c r="CB61" s="50" t="s">
        <v>17674</v>
      </c>
      <c r="CC61" s="50" t="s">
        <v>8314</v>
      </c>
      <c r="CD61" s="50" t="s">
        <v>8316</v>
      </c>
      <c r="CE61" s="50" t="s">
        <v>17674</v>
      </c>
      <c r="CF61" s="50" t="s">
        <v>8314</v>
      </c>
      <c r="CG61" s="50" t="s">
        <v>8318</v>
      </c>
      <c r="CH61" s="50" t="s">
        <v>17675</v>
      </c>
      <c r="CJ61" s="50" t="s">
        <v>8320</v>
      </c>
      <c r="CK61" s="50" t="s">
        <v>17676</v>
      </c>
      <c r="CL61" s="50" t="s">
        <v>8307</v>
      </c>
      <c r="CM61" s="50" t="s">
        <v>1171</v>
      </c>
      <c r="CN61" s="50" t="s">
        <v>8320</v>
      </c>
      <c r="CO61" s="50" t="s">
        <v>8321</v>
      </c>
      <c r="CP61" s="50" t="s">
        <v>8322</v>
      </c>
      <c r="CQ61" s="50" t="s">
        <v>8322</v>
      </c>
    </row>
    <row r="62" spans="1:96">
      <c r="A62" s="50" t="s">
        <v>93</v>
      </c>
      <c r="B62" s="50">
        <v>3303311</v>
      </c>
      <c r="C62" s="50" t="s">
        <v>12507</v>
      </c>
      <c r="D62" s="50" t="s">
        <v>15497</v>
      </c>
      <c r="E62" s="50" t="str">
        <f>VLOOKUP(B62,aa!B:F,5,0)</f>
        <v>Ei ASSET</v>
      </c>
      <c r="F62" s="50">
        <f>VLOOKUP(B62,aa!B:J,9,0)</f>
        <v>185576</v>
      </c>
      <c r="G62" s="50">
        <f>VLOOKUP(B62,aa!B:L,11,0)</f>
        <v>185576</v>
      </c>
      <c r="H62" s="50">
        <f>VLOOKUP(B62,aa!B:O,14,0)</f>
        <v>0</v>
      </c>
      <c r="I62" s="50">
        <f>VLOOKUP(B62,aa!B:R,17,0)</f>
        <v>0</v>
      </c>
      <c r="K62" s="50" t="s">
        <v>97</v>
      </c>
      <c r="L62" s="50">
        <v>225011</v>
      </c>
      <c r="M62" s="50">
        <v>225011</v>
      </c>
      <c r="N62" s="50">
        <v>225011</v>
      </c>
      <c r="O62" s="50">
        <v>225</v>
      </c>
      <c r="P62" s="50" t="s">
        <v>5042</v>
      </c>
      <c r="Q62" s="50">
        <v>0</v>
      </c>
      <c r="R62" s="50">
        <v>0</v>
      </c>
      <c r="T62" s="50">
        <v>0</v>
      </c>
      <c r="U62" s="50">
        <v>0</v>
      </c>
      <c r="W62" s="50" t="s">
        <v>102</v>
      </c>
      <c r="X62" s="50" t="s">
        <v>275</v>
      </c>
      <c r="Z62" s="50" t="s">
        <v>5015</v>
      </c>
      <c r="AA62" s="50" t="s">
        <v>109</v>
      </c>
      <c r="AB62" s="50" t="s">
        <v>102</v>
      </c>
      <c r="AC62" s="50" t="s">
        <v>109</v>
      </c>
      <c r="AD62" s="50" t="s">
        <v>102</v>
      </c>
      <c r="AE62" s="50" t="s">
        <v>109</v>
      </c>
      <c r="AF62" s="50" t="s">
        <v>102</v>
      </c>
      <c r="AG62" s="50" t="s">
        <v>109</v>
      </c>
      <c r="AH62" s="50" t="s">
        <v>102</v>
      </c>
      <c r="AI62" s="50" t="s">
        <v>102</v>
      </c>
      <c r="AJ62" s="50" t="s">
        <v>13216</v>
      </c>
      <c r="AK62" s="50" t="s">
        <v>12816</v>
      </c>
      <c r="AL62" s="50" t="s">
        <v>15498</v>
      </c>
      <c r="AM62" s="50" t="s">
        <v>15499</v>
      </c>
      <c r="AN62" s="50" t="s">
        <v>15500</v>
      </c>
      <c r="AO62" s="50" t="s">
        <v>3677</v>
      </c>
      <c r="AP62" s="50" t="s">
        <v>3677</v>
      </c>
      <c r="AU62" s="50" t="s">
        <v>318</v>
      </c>
      <c r="AV62" s="50" t="s">
        <v>118</v>
      </c>
      <c r="AW62" s="50" t="s">
        <v>102</v>
      </c>
      <c r="AX62" s="50" t="s">
        <v>119</v>
      </c>
      <c r="BB62" s="50" t="s">
        <v>120</v>
      </c>
      <c r="BC62" s="50" t="s">
        <v>15501</v>
      </c>
      <c r="BD62" s="50" t="s">
        <v>2543</v>
      </c>
      <c r="BE62" s="50" t="s">
        <v>122</v>
      </c>
      <c r="BF62" s="50" t="s">
        <v>557</v>
      </c>
      <c r="BG62" s="50" t="s">
        <v>124</v>
      </c>
      <c r="BH62" s="50" t="s">
        <v>12023</v>
      </c>
      <c r="BI62" s="50" t="s">
        <v>11889</v>
      </c>
      <c r="BJ62" s="50" t="s">
        <v>127</v>
      </c>
      <c r="BK62" s="50" t="s">
        <v>15502</v>
      </c>
      <c r="BL62" s="50" t="s">
        <v>15503</v>
      </c>
      <c r="BM62" s="50" t="s">
        <v>15504</v>
      </c>
      <c r="BN62" s="50" t="s">
        <v>370</v>
      </c>
      <c r="BO62" s="50" t="s">
        <v>13402</v>
      </c>
      <c r="BP62" s="50" t="s">
        <v>505</v>
      </c>
      <c r="BQ62" s="50" t="s">
        <v>13403</v>
      </c>
      <c r="BR62" s="50" t="s">
        <v>13404</v>
      </c>
      <c r="BS62" s="50" t="s">
        <v>13405</v>
      </c>
      <c r="BU62" s="50" t="s">
        <v>15505</v>
      </c>
      <c r="BV62" s="50" t="s">
        <v>15506</v>
      </c>
      <c r="BW62" s="50" t="s">
        <v>138</v>
      </c>
      <c r="BX62" s="50" t="s">
        <v>15507</v>
      </c>
      <c r="BY62" s="50" t="s">
        <v>15508</v>
      </c>
      <c r="BZ62" s="50" t="s">
        <v>15509</v>
      </c>
      <c r="CA62" s="50" t="s">
        <v>15510</v>
      </c>
      <c r="CB62" s="50" t="s">
        <v>15507</v>
      </c>
      <c r="CC62" s="50" t="s">
        <v>15508</v>
      </c>
      <c r="CD62" s="50" t="s">
        <v>15510</v>
      </c>
      <c r="CE62" s="50" t="s">
        <v>15507</v>
      </c>
      <c r="CF62" s="50" t="s">
        <v>15508</v>
      </c>
      <c r="CG62" s="50" t="s">
        <v>15511</v>
      </c>
      <c r="CH62" s="50" t="s">
        <v>15512</v>
      </c>
      <c r="CJ62" s="50" t="s">
        <v>15513</v>
      </c>
      <c r="CL62" s="50" t="s">
        <v>15501</v>
      </c>
      <c r="CM62" s="50" t="s">
        <v>2543</v>
      </c>
      <c r="CN62" s="50" t="s">
        <v>15513</v>
      </c>
      <c r="CP62" s="50" t="s">
        <v>15512</v>
      </c>
      <c r="CQ62" s="50" t="s">
        <v>15512</v>
      </c>
    </row>
    <row r="63" spans="1:96">
      <c r="A63" s="50" t="s">
        <v>93</v>
      </c>
      <c r="B63" s="50">
        <v>3460346</v>
      </c>
      <c r="C63" s="50" t="s">
        <v>16075</v>
      </c>
      <c r="D63" s="50" t="s">
        <v>16074</v>
      </c>
      <c r="E63" s="50" t="str">
        <f>VLOOKUP(B63,aa!B:F,5,0)</f>
        <v>Ei CARES</v>
      </c>
      <c r="F63" s="50">
        <f>VLOOKUP(B63,aa!B:J,9,0)</f>
        <v>288514</v>
      </c>
      <c r="G63" s="50">
        <f>VLOOKUP(B63,aa!B:L,11,0)</f>
        <v>0</v>
      </c>
      <c r="H63" s="50">
        <f>VLOOKUP(B63,aa!B:O,14,0)</f>
        <v>288514</v>
      </c>
      <c r="I63" s="50">
        <f>VLOOKUP(B63,aa!B:R,17,0)</f>
        <v>0</v>
      </c>
      <c r="K63" s="50" t="s">
        <v>848</v>
      </c>
      <c r="L63" s="50">
        <v>456379</v>
      </c>
      <c r="M63" s="50">
        <v>538527</v>
      </c>
      <c r="N63" s="50">
        <v>0</v>
      </c>
      <c r="O63" s="50">
        <v>0</v>
      </c>
      <c r="Q63" s="50">
        <v>0</v>
      </c>
      <c r="R63" s="50">
        <v>0</v>
      </c>
      <c r="T63" s="50">
        <v>456379</v>
      </c>
      <c r="U63" s="50">
        <v>359</v>
      </c>
      <c r="V63" s="50" t="s">
        <v>850</v>
      </c>
      <c r="W63" s="50" t="s">
        <v>102</v>
      </c>
      <c r="X63" s="50" t="s">
        <v>103</v>
      </c>
      <c r="Y63" s="50" t="s">
        <v>155</v>
      </c>
      <c r="AA63" s="50" t="s">
        <v>12023</v>
      </c>
      <c r="AB63" s="50" t="s">
        <v>16076</v>
      </c>
      <c r="AC63" s="50" t="s">
        <v>11976</v>
      </c>
      <c r="AD63" s="50" t="s">
        <v>16076</v>
      </c>
      <c r="AE63" s="50" t="s">
        <v>11888</v>
      </c>
      <c r="AF63" s="50" t="s">
        <v>16076</v>
      </c>
      <c r="AG63" s="50" t="s">
        <v>12084</v>
      </c>
      <c r="AH63" s="50" t="s">
        <v>16076</v>
      </c>
      <c r="AI63" s="50" t="s">
        <v>102</v>
      </c>
      <c r="AJ63" s="50" t="s">
        <v>8186</v>
      </c>
      <c r="AK63" s="50" t="s">
        <v>13863</v>
      </c>
      <c r="AL63" s="50" t="s">
        <v>16077</v>
      </c>
      <c r="AM63" s="50" t="s">
        <v>16078</v>
      </c>
      <c r="AN63" s="50" t="s">
        <v>16079</v>
      </c>
      <c r="AO63" s="50" t="s">
        <v>13206</v>
      </c>
      <c r="AP63" s="50" t="s">
        <v>13206</v>
      </c>
      <c r="AU63" s="50" t="s">
        <v>102</v>
      </c>
      <c r="AW63" s="50" t="s">
        <v>102</v>
      </c>
      <c r="AX63" s="50" t="s">
        <v>119</v>
      </c>
      <c r="BA63" s="50" t="s">
        <v>250</v>
      </c>
      <c r="BB63" s="50" t="s">
        <v>120</v>
      </c>
      <c r="BC63" s="50" t="s">
        <v>375</v>
      </c>
      <c r="BD63" s="50" t="s">
        <v>376</v>
      </c>
      <c r="BE63" s="50" t="s">
        <v>174</v>
      </c>
      <c r="BF63" s="50" t="s">
        <v>376</v>
      </c>
      <c r="BG63" s="50" t="s">
        <v>124</v>
      </c>
      <c r="BH63" s="50" t="s">
        <v>12023</v>
      </c>
      <c r="BI63" s="50" t="s">
        <v>11889</v>
      </c>
      <c r="BJ63" s="50" t="s">
        <v>127</v>
      </c>
      <c r="BK63" s="50" t="s">
        <v>16080</v>
      </c>
      <c r="BL63" s="50" t="s">
        <v>16081</v>
      </c>
      <c r="BM63" s="50" t="s">
        <v>16082</v>
      </c>
      <c r="BN63" s="50" t="s">
        <v>370</v>
      </c>
      <c r="BO63" s="50" t="s">
        <v>6926</v>
      </c>
      <c r="BP63" s="50" t="s">
        <v>180</v>
      </c>
      <c r="BQ63" s="50" t="s">
        <v>6927</v>
      </c>
      <c r="BR63" s="50" t="s">
        <v>6928</v>
      </c>
      <c r="BS63" s="50" t="s">
        <v>1858</v>
      </c>
      <c r="BU63" s="50" t="s">
        <v>16083</v>
      </c>
      <c r="BV63" s="50" t="s">
        <v>16084</v>
      </c>
      <c r="BW63" s="50" t="s">
        <v>354</v>
      </c>
      <c r="BX63" s="50" t="s">
        <v>16085</v>
      </c>
      <c r="BY63" s="50" t="s">
        <v>16086</v>
      </c>
      <c r="BZ63" s="50" t="s">
        <v>16085</v>
      </c>
      <c r="CA63" s="50" t="s">
        <v>16084</v>
      </c>
      <c r="CB63" s="50" t="s">
        <v>16085</v>
      </c>
      <c r="CC63" s="50" t="s">
        <v>16086</v>
      </c>
      <c r="CD63" s="50" t="s">
        <v>16084</v>
      </c>
      <c r="CE63" s="50" t="s">
        <v>16085</v>
      </c>
      <c r="CF63" s="50" t="s">
        <v>16086</v>
      </c>
      <c r="CG63" s="50" t="s">
        <v>16087</v>
      </c>
      <c r="CH63" s="50" t="s">
        <v>16088</v>
      </c>
      <c r="CJ63" s="50" t="s">
        <v>1866</v>
      </c>
      <c r="CL63" s="50" t="s">
        <v>375</v>
      </c>
      <c r="CM63" s="50" t="s">
        <v>376</v>
      </c>
      <c r="CN63" s="50" t="s">
        <v>1866</v>
      </c>
      <c r="CP63" s="50" t="s">
        <v>16088</v>
      </c>
      <c r="CQ63" s="50" t="s">
        <v>16088</v>
      </c>
    </row>
    <row r="64" spans="1:96">
      <c r="A64" s="50" t="s">
        <v>93</v>
      </c>
      <c r="B64" s="50">
        <v>4082390</v>
      </c>
      <c r="C64" s="50" t="s">
        <v>12507</v>
      </c>
      <c r="D64" s="50" t="s">
        <v>18043</v>
      </c>
      <c r="E64" s="50" t="str">
        <f>VLOOKUP(B64,aa!B:F,5,0)</f>
        <v>Ei ASSET,Ei CARES</v>
      </c>
      <c r="F64" s="50">
        <f>VLOOKUP(B64,aa!B:J,9,0)</f>
        <v>1156995</v>
      </c>
      <c r="G64" s="50">
        <f>VLOOKUP(B64,aa!B:L,11,0)</f>
        <v>321124</v>
      </c>
      <c r="H64" s="50">
        <f>VLOOKUP(B64,aa!B:O,14,0)</f>
        <v>835871</v>
      </c>
      <c r="I64" s="50">
        <f>VLOOKUP(B64,aa!B:R,17,0)</f>
        <v>0</v>
      </c>
      <c r="K64" s="50" t="s">
        <v>2044</v>
      </c>
      <c r="L64" s="50">
        <v>1093650</v>
      </c>
      <c r="M64" s="50">
        <v>1093650</v>
      </c>
      <c r="N64" s="50">
        <v>253244</v>
      </c>
      <c r="O64" s="50">
        <v>327</v>
      </c>
      <c r="P64" s="50" t="s">
        <v>18044</v>
      </c>
      <c r="Q64" s="50">
        <v>840406</v>
      </c>
      <c r="R64" s="50">
        <v>487</v>
      </c>
      <c r="S64" s="50" t="s">
        <v>18045</v>
      </c>
      <c r="T64" s="50">
        <v>0</v>
      </c>
      <c r="U64" s="50">
        <v>0</v>
      </c>
      <c r="W64" s="50" t="s">
        <v>102</v>
      </c>
      <c r="X64" s="50" t="s">
        <v>103</v>
      </c>
      <c r="Y64" s="50" t="s">
        <v>155</v>
      </c>
      <c r="AA64" s="50" t="s">
        <v>7695</v>
      </c>
      <c r="AB64" s="50" t="s">
        <v>18046</v>
      </c>
      <c r="AC64" s="50" t="s">
        <v>1547</v>
      </c>
      <c r="AD64" s="50" t="s">
        <v>18046</v>
      </c>
      <c r="AE64" s="50" t="s">
        <v>12427</v>
      </c>
      <c r="AF64" s="50" t="s">
        <v>18046</v>
      </c>
      <c r="AG64" s="50" t="s">
        <v>16007</v>
      </c>
      <c r="AH64" s="50" t="s">
        <v>18046</v>
      </c>
      <c r="AI64" s="50" t="s">
        <v>18047</v>
      </c>
      <c r="AJ64" s="50" t="s">
        <v>3988</v>
      </c>
      <c r="AK64" s="50" t="s">
        <v>15755</v>
      </c>
      <c r="AL64" s="50" t="s">
        <v>18048</v>
      </c>
      <c r="AM64" s="50" t="s">
        <v>18049</v>
      </c>
      <c r="AN64" s="50" t="s">
        <v>18050</v>
      </c>
      <c r="AO64" s="50" t="s">
        <v>18051</v>
      </c>
      <c r="AP64" s="50" t="s">
        <v>18052</v>
      </c>
      <c r="AS64" s="50" t="s">
        <v>169</v>
      </c>
      <c r="AU64" s="50" t="s">
        <v>117</v>
      </c>
      <c r="AV64" s="50" t="s">
        <v>118</v>
      </c>
      <c r="AW64" s="50" t="s">
        <v>1758</v>
      </c>
      <c r="AX64" s="50" t="s">
        <v>447</v>
      </c>
      <c r="AY64" s="50" t="s">
        <v>170</v>
      </c>
      <c r="AZ64" s="50" t="s">
        <v>118</v>
      </c>
      <c r="BB64" s="50" t="s">
        <v>120</v>
      </c>
      <c r="BC64" s="50" t="s">
        <v>4216</v>
      </c>
      <c r="BD64" s="50" t="s">
        <v>556</v>
      </c>
      <c r="BE64" s="50" t="s">
        <v>122</v>
      </c>
      <c r="BF64" s="50" t="s">
        <v>557</v>
      </c>
      <c r="BG64" s="50" t="s">
        <v>124</v>
      </c>
      <c r="BH64" s="50" t="s">
        <v>4665</v>
      </c>
      <c r="BI64" s="50" t="s">
        <v>17605</v>
      </c>
      <c r="BJ64" s="50" t="s">
        <v>127</v>
      </c>
      <c r="BK64" s="50" t="s">
        <v>18053</v>
      </c>
      <c r="BL64" s="50" t="s">
        <v>18054</v>
      </c>
      <c r="BM64" s="50" t="s">
        <v>18055</v>
      </c>
      <c r="BN64" s="50" t="s">
        <v>370</v>
      </c>
      <c r="BO64" s="50" t="s">
        <v>1071</v>
      </c>
      <c r="BP64" s="50" t="s">
        <v>350</v>
      </c>
      <c r="BQ64" s="50" t="s">
        <v>1072</v>
      </c>
      <c r="BR64" s="50" t="s">
        <v>1073</v>
      </c>
      <c r="BS64" s="50" t="s">
        <v>1074</v>
      </c>
      <c r="BU64" s="50" t="s">
        <v>18056</v>
      </c>
      <c r="BV64" s="50" t="s">
        <v>18057</v>
      </c>
      <c r="BX64" s="50" t="s">
        <v>18058</v>
      </c>
      <c r="BY64" s="50" t="s">
        <v>18059</v>
      </c>
      <c r="BZ64" s="50" t="s">
        <v>18060</v>
      </c>
      <c r="CA64" s="50" t="s">
        <v>18061</v>
      </c>
      <c r="CB64" s="50" t="s">
        <v>18062</v>
      </c>
      <c r="CC64" s="50" t="s">
        <v>18059</v>
      </c>
      <c r="CD64" s="50" t="s">
        <v>18061</v>
      </c>
      <c r="CE64" s="50" t="s">
        <v>18058</v>
      </c>
      <c r="CF64" s="50" t="s">
        <v>18059</v>
      </c>
      <c r="CG64" s="50" t="s">
        <v>18063</v>
      </c>
      <c r="CH64" s="50" t="s">
        <v>18064</v>
      </c>
      <c r="CJ64" s="50" t="s">
        <v>18065</v>
      </c>
      <c r="CK64" s="50" t="s">
        <v>18066</v>
      </c>
      <c r="CL64" s="50" t="s">
        <v>4216</v>
      </c>
      <c r="CM64" s="50" t="s">
        <v>556</v>
      </c>
      <c r="CN64" s="50" t="s">
        <v>18065</v>
      </c>
      <c r="CO64" s="50" t="s">
        <v>18067</v>
      </c>
      <c r="CP64" s="50" t="s">
        <v>18068</v>
      </c>
      <c r="CQ64" s="50" t="s">
        <v>18068</v>
      </c>
    </row>
    <row r="65" spans="1:96">
      <c r="A65" s="50" t="s">
        <v>93</v>
      </c>
      <c r="B65" s="50">
        <v>516721</v>
      </c>
      <c r="C65" s="50" t="s">
        <v>14664</v>
      </c>
      <c r="D65" s="50" t="s">
        <v>20963</v>
      </c>
      <c r="E65" s="50" t="str">
        <f>VLOOKUP(B65,aa!B:F,5,0)</f>
        <v>Ei ASSET</v>
      </c>
      <c r="F65" s="50">
        <f>VLOOKUP(B65,aa!B:J,9,0)</f>
        <v>340137</v>
      </c>
      <c r="G65" s="50">
        <f>VLOOKUP(B65,aa!B:L,11,0)</f>
        <v>340137</v>
      </c>
      <c r="H65" s="50">
        <f>VLOOKUP(B65,aa!B:O,14,0)</f>
        <v>0</v>
      </c>
      <c r="I65" s="50">
        <f>VLOOKUP(B65,aa!B:R,17,0)</f>
        <v>0</v>
      </c>
      <c r="K65" s="50" t="s">
        <v>97</v>
      </c>
      <c r="L65" s="50">
        <v>294910</v>
      </c>
      <c r="M65" s="50">
        <v>294910</v>
      </c>
      <c r="N65" s="50">
        <v>294910</v>
      </c>
      <c r="O65" s="50">
        <v>421</v>
      </c>
      <c r="P65" s="50" t="s">
        <v>799</v>
      </c>
      <c r="Q65" s="50">
        <v>0</v>
      </c>
      <c r="R65" s="50">
        <v>0</v>
      </c>
      <c r="T65" s="50">
        <v>0</v>
      </c>
      <c r="U65" s="50">
        <v>0</v>
      </c>
      <c r="W65" s="50" t="s">
        <v>102</v>
      </c>
      <c r="X65" s="50" t="s">
        <v>103</v>
      </c>
      <c r="Y65" s="50" t="s">
        <v>398</v>
      </c>
      <c r="AA65" s="50" t="s">
        <v>370</v>
      </c>
      <c r="AB65" s="50" t="s">
        <v>20964</v>
      </c>
      <c r="AC65" s="50" t="s">
        <v>1408</v>
      </c>
      <c r="AD65" s="50" t="s">
        <v>20964</v>
      </c>
      <c r="AE65" s="50" t="s">
        <v>3679</v>
      </c>
      <c r="AF65" s="50" t="s">
        <v>20965</v>
      </c>
      <c r="AG65" s="50" t="s">
        <v>109</v>
      </c>
      <c r="AH65" s="50" t="s">
        <v>102</v>
      </c>
      <c r="AI65" s="50" t="s">
        <v>20966</v>
      </c>
      <c r="AJ65" s="50" t="s">
        <v>7695</v>
      </c>
      <c r="AK65" s="50" t="s">
        <v>13245</v>
      </c>
      <c r="AL65" s="50" t="s">
        <v>20967</v>
      </c>
      <c r="AM65" s="50" t="s">
        <v>20968</v>
      </c>
      <c r="AN65" s="50" t="s">
        <v>20969</v>
      </c>
      <c r="AO65" s="50" t="s">
        <v>3992</v>
      </c>
      <c r="AP65" s="50" t="s">
        <v>3992</v>
      </c>
      <c r="AU65" s="50" t="s">
        <v>318</v>
      </c>
      <c r="AV65" s="50" t="s">
        <v>118</v>
      </c>
      <c r="AW65" s="50" t="s">
        <v>102</v>
      </c>
      <c r="AX65" s="50" t="s">
        <v>119</v>
      </c>
      <c r="BB65" s="50" t="s">
        <v>1242</v>
      </c>
      <c r="BC65" s="50" t="s">
        <v>6280</v>
      </c>
      <c r="BD65" s="50" t="s">
        <v>621</v>
      </c>
      <c r="BE65" s="50" t="s">
        <v>622</v>
      </c>
      <c r="BF65" s="50" t="s">
        <v>976</v>
      </c>
      <c r="BG65" s="50" t="s">
        <v>124</v>
      </c>
      <c r="BH65" s="50" t="s">
        <v>8258</v>
      </c>
      <c r="BI65" s="50" t="s">
        <v>14059</v>
      </c>
      <c r="BJ65" s="50" t="s">
        <v>127</v>
      </c>
      <c r="BK65" s="50" t="s">
        <v>20970</v>
      </c>
      <c r="BL65" s="50" t="s">
        <v>20971</v>
      </c>
      <c r="BM65" s="50" t="s">
        <v>20972</v>
      </c>
      <c r="BN65" s="50" t="s">
        <v>370</v>
      </c>
      <c r="BO65" s="50" t="s">
        <v>2284</v>
      </c>
      <c r="BP65" s="50" t="s">
        <v>132</v>
      </c>
      <c r="BQ65" s="50" t="s">
        <v>2285</v>
      </c>
      <c r="BR65" s="50" t="s">
        <v>2286</v>
      </c>
      <c r="BS65" s="50" t="s">
        <v>1342</v>
      </c>
      <c r="BU65" s="50" t="s">
        <v>20973</v>
      </c>
      <c r="BV65" s="50" t="s">
        <v>20974</v>
      </c>
      <c r="BW65" s="50" t="s">
        <v>598</v>
      </c>
      <c r="BX65" s="50" t="s">
        <v>20975</v>
      </c>
      <c r="BY65" s="50" t="s">
        <v>20976</v>
      </c>
      <c r="BZ65" s="50" t="s">
        <v>20977</v>
      </c>
      <c r="CA65" s="50" t="s">
        <v>20978</v>
      </c>
      <c r="CB65" s="50" t="s">
        <v>20977</v>
      </c>
      <c r="CC65" s="50" t="s">
        <v>20976</v>
      </c>
      <c r="CD65" s="50" t="s">
        <v>20979</v>
      </c>
      <c r="CE65" s="50" t="s">
        <v>20975</v>
      </c>
      <c r="CF65" s="50" t="s">
        <v>20976</v>
      </c>
      <c r="CG65" s="50" t="s">
        <v>8793</v>
      </c>
      <c r="CH65" s="50" t="s">
        <v>20980</v>
      </c>
      <c r="CJ65" s="50" t="s">
        <v>20981</v>
      </c>
      <c r="CL65" s="50" t="s">
        <v>6280</v>
      </c>
      <c r="CM65" s="50" t="s">
        <v>621</v>
      </c>
      <c r="CN65" s="50" t="s">
        <v>20981</v>
      </c>
      <c r="CO65" s="50" t="s">
        <v>20982</v>
      </c>
      <c r="CP65" s="50" t="s">
        <v>20983</v>
      </c>
      <c r="CQ65" s="50" t="s">
        <v>20983</v>
      </c>
    </row>
    <row r="66" spans="1:96">
      <c r="A66" s="95" t="s">
        <v>149</v>
      </c>
      <c r="B66" s="50">
        <v>3634161</v>
      </c>
      <c r="C66" s="50" t="s">
        <v>985</v>
      </c>
      <c r="D66" s="50" t="s">
        <v>6936</v>
      </c>
      <c r="E66" s="50" t="str">
        <f>VLOOKUP(B66,aa!B:F,5,0)</f>
        <v>Ei CARES</v>
      </c>
      <c r="F66" s="50">
        <f>VLOOKUP(B66,aa!B:J,9,0)</f>
        <v>1806963</v>
      </c>
      <c r="G66" s="50">
        <f>VLOOKUP(B66,aa!B:L,11,0)</f>
        <v>0</v>
      </c>
      <c r="H66" s="50">
        <f>VLOOKUP(B66,aa!B:O,14,0)</f>
        <v>1806963</v>
      </c>
      <c r="I66" s="50">
        <f>VLOOKUP(B66,aa!B:R,17,0)</f>
        <v>0</v>
      </c>
      <c r="K66" s="50" t="s">
        <v>152</v>
      </c>
      <c r="L66" s="50">
        <v>1132779</v>
      </c>
      <c r="M66" s="50">
        <v>1132779</v>
      </c>
      <c r="N66" s="50">
        <v>0</v>
      </c>
      <c r="O66" s="50">
        <v>0</v>
      </c>
      <c r="Q66" s="50">
        <v>1132779</v>
      </c>
      <c r="R66" s="50">
        <v>468</v>
      </c>
      <c r="S66" s="50" t="s">
        <v>16658</v>
      </c>
      <c r="T66" s="50">
        <v>0</v>
      </c>
      <c r="U66" s="50">
        <v>0</v>
      </c>
      <c r="W66" s="50" t="s">
        <v>102</v>
      </c>
      <c r="X66" s="50" t="s">
        <v>679</v>
      </c>
      <c r="Y66" s="50" t="s">
        <v>155</v>
      </c>
      <c r="Z66" s="50" t="s">
        <v>14267</v>
      </c>
      <c r="AA66" s="50" t="s">
        <v>16659</v>
      </c>
      <c r="AB66" s="50" t="s">
        <v>16660</v>
      </c>
      <c r="AC66" s="50" t="s">
        <v>15486</v>
      </c>
      <c r="AD66" s="50" t="s">
        <v>16660</v>
      </c>
      <c r="AE66" s="50" t="s">
        <v>14349</v>
      </c>
      <c r="AF66" s="50" t="s">
        <v>16660</v>
      </c>
      <c r="AG66" s="50" t="s">
        <v>13263</v>
      </c>
      <c r="AH66" s="50" t="s">
        <v>16660</v>
      </c>
      <c r="AI66" s="50" t="s">
        <v>16661</v>
      </c>
      <c r="AJ66" s="50" t="s">
        <v>5755</v>
      </c>
      <c r="AK66" s="50" t="s">
        <v>15011</v>
      </c>
      <c r="AL66" s="50" t="s">
        <v>16662</v>
      </c>
      <c r="AM66" s="50" t="s">
        <v>16663</v>
      </c>
      <c r="AN66" s="50" t="s">
        <v>16664</v>
      </c>
      <c r="AO66" s="50" t="s">
        <v>16665</v>
      </c>
      <c r="AP66" s="50" t="s">
        <v>16665</v>
      </c>
      <c r="AU66" s="50" t="s">
        <v>102</v>
      </c>
      <c r="AW66" s="50" t="s">
        <v>16666</v>
      </c>
      <c r="AX66" s="50" t="s">
        <v>447</v>
      </c>
      <c r="AY66" s="50" t="s">
        <v>170</v>
      </c>
      <c r="AZ66" s="50" t="s">
        <v>118</v>
      </c>
      <c r="BB66" s="50" t="s">
        <v>120</v>
      </c>
      <c r="BC66" s="50" t="s">
        <v>2127</v>
      </c>
      <c r="BD66" s="50" t="s">
        <v>621</v>
      </c>
      <c r="BE66" s="50" t="s">
        <v>622</v>
      </c>
      <c r="BF66" s="50" t="s">
        <v>976</v>
      </c>
      <c r="BG66" s="50" t="s">
        <v>124</v>
      </c>
      <c r="BH66" s="50" t="s">
        <v>12023</v>
      </c>
      <c r="BI66" s="50" t="s">
        <v>11889</v>
      </c>
      <c r="BJ66" s="50" t="s">
        <v>127</v>
      </c>
      <c r="BK66" s="50" t="s">
        <v>16667</v>
      </c>
      <c r="BL66" s="50" t="s">
        <v>6945</v>
      </c>
      <c r="BM66" s="50" t="s">
        <v>16668</v>
      </c>
      <c r="BN66" s="50" t="s">
        <v>16657</v>
      </c>
      <c r="BO66" s="50" t="s">
        <v>981</v>
      </c>
      <c r="BP66" s="50" t="s">
        <v>132</v>
      </c>
      <c r="BQ66" s="50" t="s">
        <v>982</v>
      </c>
      <c r="BR66" s="50" t="s">
        <v>983</v>
      </c>
      <c r="BS66" s="50" t="s">
        <v>984</v>
      </c>
      <c r="BU66" s="50" t="s">
        <v>16669</v>
      </c>
      <c r="BV66" s="50" t="s">
        <v>16670</v>
      </c>
      <c r="BX66" s="50" t="s">
        <v>6949</v>
      </c>
      <c r="BY66" s="50" t="s">
        <v>6950</v>
      </c>
      <c r="BZ66" s="50" t="s">
        <v>6949</v>
      </c>
      <c r="CA66" s="50" t="s">
        <v>16671</v>
      </c>
      <c r="CB66" s="50" t="s">
        <v>16672</v>
      </c>
      <c r="CC66" s="50" t="s">
        <v>16673</v>
      </c>
      <c r="CD66" s="50" t="s">
        <v>16671</v>
      </c>
      <c r="CE66" s="50" t="s">
        <v>16672</v>
      </c>
      <c r="CF66" s="50" t="s">
        <v>16673</v>
      </c>
      <c r="CG66" s="50" t="s">
        <v>6951</v>
      </c>
      <c r="CH66" s="50" t="s">
        <v>16674</v>
      </c>
      <c r="CJ66" s="50" t="s">
        <v>6953</v>
      </c>
      <c r="CK66" s="50" t="s">
        <v>16675</v>
      </c>
      <c r="CL66" s="50" t="s">
        <v>2127</v>
      </c>
      <c r="CM66" s="50" t="s">
        <v>621</v>
      </c>
      <c r="CN66" s="50" t="s">
        <v>6953</v>
      </c>
      <c r="CO66" s="50" t="s">
        <v>6954</v>
      </c>
      <c r="CP66" s="50" t="s">
        <v>6952</v>
      </c>
      <c r="CQ66" s="50" t="s">
        <v>6952</v>
      </c>
    </row>
    <row r="67" spans="1:96">
      <c r="A67" s="50" t="s">
        <v>93</v>
      </c>
      <c r="B67" s="50">
        <v>3997080</v>
      </c>
      <c r="C67" s="50" t="s">
        <v>12018</v>
      </c>
      <c r="D67" s="50" t="s">
        <v>17736</v>
      </c>
      <c r="E67" s="50" t="str">
        <f>VLOOKUP(B67,aa!B:F,5,0)</f>
        <v>Ei CARES</v>
      </c>
      <c r="F67" s="50">
        <f>VLOOKUP(B67,aa!B:J,9,0)</f>
        <v>589297</v>
      </c>
      <c r="G67" s="50">
        <f>VLOOKUP(B67,aa!B:L,11,0)</f>
        <v>0</v>
      </c>
      <c r="H67" s="50">
        <f>VLOOKUP(B67,aa!B:O,14,0)</f>
        <v>589297</v>
      </c>
      <c r="I67" s="50">
        <f>VLOOKUP(B67,aa!B:R,17,0)</f>
        <v>0</v>
      </c>
      <c r="K67" s="50" t="s">
        <v>152</v>
      </c>
      <c r="L67" s="50">
        <v>506089</v>
      </c>
      <c r="M67" s="50">
        <v>506089</v>
      </c>
      <c r="N67" s="50">
        <v>0</v>
      </c>
      <c r="O67" s="50">
        <v>0</v>
      </c>
      <c r="Q67" s="50">
        <v>506089</v>
      </c>
      <c r="R67" s="50">
        <v>444</v>
      </c>
      <c r="S67" s="50" t="s">
        <v>1495</v>
      </c>
      <c r="T67" s="50">
        <v>0</v>
      </c>
      <c r="U67" s="50">
        <v>0</v>
      </c>
      <c r="W67" s="50" t="s">
        <v>102</v>
      </c>
      <c r="X67" s="50" t="s">
        <v>103</v>
      </c>
      <c r="Y67" s="50" t="s">
        <v>155</v>
      </c>
      <c r="AA67" s="50" t="s">
        <v>6177</v>
      </c>
      <c r="AB67" s="50" t="s">
        <v>17737</v>
      </c>
      <c r="AC67" s="50" t="s">
        <v>7439</v>
      </c>
      <c r="AD67" s="50" t="s">
        <v>17737</v>
      </c>
      <c r="AE67" s="50" t="s">
        <v>13583</v>
      </c>
      <c r="AF67" s="50" t="s">
        <v>17737</v>
      </c>
      <c r="AG67" s="50" t="s">
        <v>12728</v>
      </c>
      <c r="AH67" s="50" t="s">
        <v>17737</v>
      </c>
      <c r="AI67" s="50" t="s">
        <v>102</v>
      </c>
      <c r="AJ67" s="50" t="s">
        <v>8054</v>
      </c>
      <c r="AK67" s="50" t="s">
        <v>12931</v>
      </c>
      <c r="AL67" s="50" t="s">
        <v>17738</v>
      </c>
      <c r="AM67" s="50" t="s">
        <v>14971</v>
      </c>
      <c r="AN67" s="50" t="s">
        <v>17739</v>
      </c>
      <c r="AO67" s="50" t="s">
        <v>5460</v>
      </c>
      <c r="AP67" s="50" t="s">
        <v>5460</v>
      </c>
      <c r="AU67" s="50" t="s">
        <v>102</v>
      </c>
      <c r="AW67" s="50" t="s">
        <v>155</v>
      </c>
      <c r="AX67" s="50" t="s">
        <v>447</v>
      </c>
      <c r="AY67" s="50" t="s">
        <v>1138</v>
      </c>
      <c r="AZ67" s="50" t="s">
        <v>118</v>
      </c>
      <c r="BB67" s="50" t="s">
        <v>120</v>
      </c>
      <c r="BC67" s="50" t="s">
        <v>17740</v>
      </c>
      <c r="BD67" s="50" t="s">
        <v>345</v>
      </c>
      <c r="BE67" s="50" t="s">
        <v>122</v>
      </c>
      <c r="BF67" s="50" t="s">
        <v>346</v>
      </c>
      <c r="BG67" s="50" t="s">
        <v>124</v>
      </c>
      <c r="BH67" s="50" t="s">
        <v>5694</v>
      </c>
      <c r="BI67" s="50" t="s">
        <v>11889</v>
      </c>
      <c r="BJ67" s="50" t="s">
        <v>127</v>
      </c>
      <c r="BK67" s="50" t="s">
        <v>17741</v>
      </c>
      <c r="BL67" s="50" t="s">
        <v>17742</v>
      </c>
      <c r="BM67" s="50" t="s">
        <v>17743</v>
      </c>
      <c r="BN67" s="50" t="s">
        <v>7479</v>
      </c>
      <c r="BO67" s="50" t="s">
        <v>12226</v>
      </c>
      <c r="BP67" s="50" t="s">
        <v>350</v>
      </c>
      <c r="BQ67" s="50" t="s">
        <v>12228</v>
      </c>
      <c r="BR67" s="50" t="s">
        <v>12229</v>
      </c>
      <c r="BS67" s="50" t="s">
        <v>8623</v>
      </c>
      <c r="BU67" s="50" t="s">
        <v>17744</v>
      </c>
      <c r="BV67" s="50" t="s">
        <v>17745</v>
      </c>
      <c r="BW67" s="50" t="s">
        <v>138</v>
      </c>
      <c r="BX67" s="50" t="s">
        <v>17746</v>
      </c>
      <c r="BY67" s="50" t="s">
        <v>17747</v>
      </c>
      <c r="BZ67" s="50" t="s">
        <v>17746</v>
      </c>
      <c r="CA67" s="50" t="s">
        <v>17748</v>
      </c>
      <c r="CB67" s="50" t="s">
        <v>17746</v>
      </c>
      <c r="CC67" s="50" t="s">
        <v>17747</v>
      </c>
      <c r="CD67" s="50" t="s">
        <v>17749</v>
      </c>
      <c r="CE67" s="50" t="s">
        <v>17750</v>
      </c>
      <c r="CF67" s="50" t="s">
        <v>17751</v>
      </c>
      <c r="CG67" s="50" t="s">
        <v>1016</v>
      </c>
      <c r="CH67" s="50" t="s">
        <v>17752</v>
      </c>
      <c r="CJ67" s="50" t="s">
        <v>17753</v>
      </c>
      <c r="CK67" s="50" t="s">
        <v>17754</v>
      </c>
      <c r="CL67" s="50" t="s">
        <v>17740</v>
      </c>
      <c r="CM67" s="50" t="s">
        <v>345</v>
      </c>
      <c r="CN67" s="50" t="s">
        <v>17753</v>
      </c>
      <c r="CP67" s="50" t="s">
        <v>17755</v>
      </c>
      <c r="CQ67" s="50" t="s">
        <v>17755</v>
      </c>
    </row>
    <row r="68" spans="1:96">
      <c r="A68" s="95" t="s">
        <v>149</v>
      </c>
      <c r="B68" s="50">
        <v>347614</v>
      </c>
      <c r="C68" s="50" t="s">
        <v>3562</v>
      </c>
      <c r="D68" s="50" t="s">
        <v>6296</v>
      </c>
      <c r="E68" s="50" t="str">
        <f>VLOOKUP(B68,aa!B:F,5,0)</f>
        <v>Ei ASSET</v>
      </c>
      <c r="F68" s="50">
        <f>VLOOKUP(B68,aa!B:J,9,0)</f>
        <v>378405</v>
      </c>
      <c r="G68" s="50">
        <f>VLOOKUP(B68,aa!B:L,11,0)</f>
        <v>378405</v>
      </c>
      <c r="H68" s="50">
        <f>VLOOKUP(B68,aa!B:O,14,0)</f>
        <v>0</v>
      </c>
      <c r="I68" s="50">
        <f>VLOOKUP(B68,aa!B:R,17,0)</f>
        <v>0</v>
      </c>
      <c r="K68" s="50" t="s">
        <v>643</v>
      </c>
      <c r="L68" s="50">
        <v>1457489</v>
      </c>
      <c r="M68" s="50">
        <v>1630084</v>
      </c>
      <c r="N68" s="50">
        <v>0</v>
      </c>
      <c r="O68" s="50">
        <v>0</v>
      </c>
      <c r="Q68" s="50">
        <v>498628</v>
      </c>
      <c r="R68" s="50">
        <v>454</v>
      </c>
      <c r="S68" s="50" t="s">
        <v>16205</v>
      </c>
      <c r="T68" s="50">
        <v>958861</v>
      </c>
      <c r="U68" s="50">
        <v>728</v>
      </c>
      <c r="V68" s="50" t="s">
        <v>5240</v>
      </c>
      <c r="W68" s="50" t="s">
        <v>102</v>
      </c>
      <c r="X68" s="50" t="s">
        <v>103</v>
      </c>
      <c r="Y68" s="50" t="s">
        <v>801</v>
      </c>
      <c r="AA68" s="50" t="s">
        <v>16206</v>
      </c>
      <c r="AB68" s="50" t="s">
        <v>16207</v>
      </c>
      <c r="AC68" s="50" t="s">
        <v>15091</v>
      </c>
      <c r="AD68" s="50" t="s">
        <v>16207</v>
      </c>
      <c r="AE68" s="50" t="s">
        <v>12571</v>
      </c>
      <c r="AF68" s="50" t="s">
        <v>16208</v>
      </c>
      <c r="AG68" s="50" t="s">
        <v>13263</v>
      </c>
      <c r="AH68" s="50" t="s">
        <v>16208</v>
      </c>
      <c r="AI68" s="50" t="s">
        <v>16209</v>
      </c>
      <c r="AJ68" s="50" t="s">
        <v>16210</v>
      </c>
      <c r="AK68" s="50" t="s">
        <v>16162</v>
      </c>
      <c r="AL68" s="50" t="s">
        <v>16211</v>
      </c>
      <c r="AM68" s="50" t="s">
        <v>16212</v>
      </c>
      <c r="AN68" s="50" t="s">
        <v>16213</v>
      </c>
      <c r="AO68" s="50" t="s">
        <v>16214</v>
      </c>
      <c r="AP68" s="50" t="s">
        <v>16214</v>
      </c>
      <c r="AU68" s="50" t="s">
        <v>102</v>
      </c>
      <c r="AW68" s="50" t="s">
        <v>655</v>
      </c>
      <c r="AX68" s="50" t="s">
        <v>119</v>
      </c>
      <c r="AY68" s="50" t="s">
        <v>170</v>
      </c>
      <c r="AZ68" s="50" t="s">
        <v>118</v>
      </c>
      <c r="BA68" s="50" t="s">
        <v>250</v>
      </c>
      <c r="BB68" s="50" t="s">
        <v>120</v>
      </c>
      <c r="BC68" s="50" t="s">
        <v>6305</v>
      </c>
      <c r="BD68" s="50" t="s">
        <v>730</v>
      </c>
      <c r="BE68" s="50" t="s">
        <v>622</v>
      </c>
      <c r="BF68" s="50" t="s">
        <v>730</v>
      </c>
      <c r="BG68" s="50" t="s">
        <v>124</v>
      </c>
      <c r="BH68" s="50" t="s">
        <v>12023</v>
      </c>
      <c r="BI68" s="50" t="s">
        <v>11889</v>
      </c>
      <c r="BJ68" s="50" t="s">
        <v>127</v>
      </c>
      <c r="BK68" s="50" t="s">
        <v>16215</v>
      </c>
      <c r="BL68" s="50" t="s">
        <v>6307</v>
      </c>
      <c r="BM68" s="50" t="s">
        <v>16216</v>
      </c>
      <c r="BN68" s="50" t="s">
        <v>16204</v>
      </c>
      <c r="BO68" s="50" t="s">
        <v>2262</v>
      </c>
      <c r="BP68" s="50" t="s">
        <v>350</v>
      </c>
      <c r="BQ68" s="50" t="s">
        <v>2263</v>
      </c>
      <c r="BR68" s="50" t="s">
        <v>2264</v>
      </c>
      <c r="BS68" s="50" t="s">
        <v>2569</v>
      </c>
      <c r="BU68" s="50" t="s">
        <v>16217</v>
      </c>
      <c r="BV68" s="50" t="s">
        <v>6310</v>
      </c>
      <c r="BW68" s="50" t="s">
        <v>138</v>
      </c>
      <c r="BX68" s="50" t="s">
        <v>16218</v>
      </c>
      <c r="BY68" s="50" t="s">
        <v>16219</v>
      </c>
      <c r="BZ68" s="50" t="s">
        <v>6313</v>
      </c>
      <c r="CA68" s="50" t="s">
        <v>16220</v>
      </c>
      <c r="CB68" s="50" t="s">
        <v>6311</v>
      </c>
      <c r="CC68" s="50" t="s">
        <v>16219</v>
      </c>
      <c r="CD68" s="50" t="s">
        <v>16220</v>
      </c>
      <c r="CE68" s="50" t="s">
        <v>6311</v>
      </c>
      <c r="CF68" s="50" t="s">
        <v>16219</v>
      </c>
      <c r="CG68" s="50" t="s">
        <v>907</v>
      </c>
      <c r="CH68" s="50" t="s">
        <v>16221</v>
      </c>
      <c r="CJ68" s="50" t="s">
        <v>6315</v>
      </c>
      <c r="CK68" s="50" t="s">
        <v>16222</v>
      </c>
      <c r="CL68" s="50" t="s">
        <v>6305</v>
      </c>
      <c r="CM68" s="50" t="s">
        <v>730</v>
      </c>
      <c r="CN68" s="50" t="s">
        <v>6315</v>
      </c>
      <c r="CO68" s="50" t="s">
        <v>6316</v>
      </c>
      <c r="CP68" s="50" t="s">
        <v>6314</v>
      </c>
      <c r="CQ68" s="50" t="s">
        <v>6314</v>
      </c>
    </row>
    <row r="69" spans="1:96">
      <c r="A69" s="50" t="s">
        <v>93</v>
      </c>
      <c r="B69" s="50">
        <v>5018471</v>
      </c>
      <c r="C69" s="50" t="s">
        <v>12423</v>
      </c>
      <c r="D69" s="50" t="s">
        <v>19829</v>
      </c>
      <c r="E69" s="50" t="e">
        <f>VLOOKUP(B69,aa!B:F,5,0)</f>
        <v>#N/A</v>
      </c>
      <c r="F69" s="50" t="e">
        <f>VLOOKUP(B69,aa!B:J,9,0)</f>
        <v>#N/A</v>
      </c>
      <c r="G69" s="50" t="e">
        <f>VLOOKUP(B69,aa!B:L,11,0)</f>
        <v>#N/A</v>
      </c>
      <c r="H69" s="50" t="e">
        <f>VLOOKUP(B69,aa!B:O,14,0)</f>
        <v>#N/A</v>
      </c>
      <c r="I69" s="50" t="e">
        <f>VLOOKUP(B69,aa!B:R,17,0)</f>
        <v>#N/A</v>
      </c>
      <c r="K69" s="50" t="s">
        <v>848</v>
      </c>
      <c r="L69" s="50">
        <v>97644</v>
      </c>
      <c r="M69" s="50">
        <v>115220</v>
      </c>
      <c r="N69" s="50">
        <v>0</v>
      </c>
      <c r="O69" s="50">
        <v>0</v>
      </c>
      <c r="Q69" s="50">
        <v>0</v>
      </c>
      <c r="R69" s="50">
        <v>0</v>
      </c>
      <c r="T69" s="50">
        <v>97644</v>
      </c>
      <c r="U69" s="50">
        <v>36</v>
      </c>
      <c r="V69" s="50" t="s">
        <v>6544</v>
      </c>
      <c r="W69" s="50" t="s">
        <v>102</v>
      </c>
      <c r="X69" s="50" t="s">
        <v>103</v>
      </c>
      <c r="Y69" s="50" t="s">
        <v>104</v>
      </c>
      <c r="AA69" s="50" t="s">
        <v>5755</v>
      </c>
      <c r="AB69" s="50" t="s">
        <v>19830</v>
      </c>
      <c r="AC69" s="50" t="s">
        <v>1408</v>
      </c>
      <c r="AD69" s="50" t="s">
        <v>19830</v>
      </c>
      <c r="AE69" s="50" t="s">
        <v>109</v>
      </c>
      <c r="AF69" s="50" t="s">
        <v>102</v>
      </c>
      <c r="AG69" s="50" t="s">
        <v>109</v>
      </c>
      <c r="AH69" s="50" t="s">
        <v>102</v>
      </c>
      <c r="AI69" s="50" t="s">
        <v>102</v>
      </c>
      <c r="AJ69" s="50" t="s">
        <v>13075</v>
      </c>
      <c r="AK69" s="50" t="s">
        <v>13075</v>
      </c>
      <c r="AL69" s="50" t="s">
        <v>19831</v>
      </c>
      <c r="AM69" s="50" t="s">
        <v>19832</v>
      </c>
      <c r="AN69" s="50" t="s">
        <v>19833</v>
      </c>
      <c r="AO69" s="50" t="s">
        <v>13347</v>
      </c>
      <c r="AP69" s="50" t="s">
        <v>13347</v>
      </c>
      <c r="AU69" s="50" t="s">
        <v>102</v>
      </c>
      <c r="AW69" s="50" t="s">
        <v>102</v>
      </c>
      <c r="AX69" s="50" t="s">
        <v>119</v>
      </c>
      <c r="BA69" s="50" t="s">
        <v>250</v>
      </c>
      <c r="BB69" s="50" t="s">
        <v>1242</v>
      </c>
      <c r="BC69" s="50" t="s">
        <v>1759</v>
      </c>
      <c r="BD69" s="50" t="s">
        <v>410</v>
      </c>
      <c r="BE69" s="50" t="s">
        <v>212</v>
      </c>
      <c r="BF69" s="50" t="s">
        <v>410</v>
      </c>
      <c r="BG69" s="50" t="s">
        <v>124</v>
      </c>
      <c r="BH69" s="50" t="s">
        <v>5755</v>
      </c>
      <c r="BI69" s="50" t="s">
        <v>11889</v>
      </c>
      <c r="BJ69" s="50" t="s">
        <v>127</v>
      </c>
      <c r="BK69" s="50" t="s">
        <v>19834</v>
      </c>
      <c r="BL69" s="50" t="s">
        <v>19835</v>
      </c>
      <c r="BM69" s="50" t="s">
        <v>19836</v>
      </c>
      <c r="BN69" s="50" t="s">
        <v>5015</v>
      </c>
      <c r="BO69" s="50" t="s">
        <v>1582</v>
      </c>
      <c r="BP69" s="50" t="s">
        <v>132</v>
      </c>
      <c r="BQ69" s="50" t="s">
        <v>1583</v>
      </c>
      <c r="BR69" s="50" t="s">
        <v>1584</v>
      </c>
      <c r="BS69" s="50" t="s">
        <v>4056</v>
      </c>
      <c r="BU69" s="50" t="s">
        <v>19837</v>
      </c>
      <c r="BV69" s="50" t="s">
        <v>19838</v>
      </c>
      <c r="BW69" s="50" t="s">
        <v>138</v>
      </c>
      <c r="BX69" s="50" t="s">
        <v>19839</v>
      </c>
      <c r="BY69" s="50" t="s">
        <v>19840</v>
      </c>
      <c r="BZ69" s="50" t="s">
        <v>19839</v>
      </c>
      <c r="CA69" s="50" t="s">
        <v>19841</v>
      </c>
      <c r="CB69" s="50" t="s">
        <v>19839</v>
      </c>
      <c r="CC69" s="50" t="s">
        <v>19842</v>
      </c>
      <c r="CD69" s="50" t="s">
        <v>19843</v>
      </c>
      <c r="CE69" s="50" t="s">
        <v>19839</v>
      </c>
      <c r="CF69" s="50" t="s">
        <v>19844</v>
      </c>
      <c r="CG69" s="50" t="s">
        <v>13597</v>
      </c>
      <c r="CH69" s="50" t="s">
        <v>19845</v>
      </c>
      <c r="CJ69" s="50" t="s">
        <v>2740</v>
      </c>
      <c r="CK69" s="50" t="s">
        <v>19845</v>
      </c>
      <c r="CL69" s="50" t="s">
        <v>1759</v>
      </c>
      <c r="CM69" s="50" t="s">
        <v>9715</v>
      </c>
      <c r="CN69" s="50" t="s">
        <v>2740</v>
      </c>
      <c r="CP69" s="50" t="s">
        <v>16051</v>
      </c>
      <c r="CQ69" s="50" t="s">
        <v>16051</v>
      </c>
      <c r="CR69" s="50" t="s">
        <v>26042</v>
      </c>
    </row>
    <row r="70" spans="1:96">
      <c r="A70" s="50" t="s">
        <v>93</v>
      </c>
      <c r="B70" s="50">
        <v>3218539</v>
      </c>
      <c r="C70" s="50" t="s">
        <v>12155</v>
      </c>
      <c r="D70" s="50" t="s">
        <v>15214</v>
      </c>
      <c r="E70" s="50" t="str">
        <f>VLOOKUP(B70,aa!B:F,5,0)</f>
        <v>Ei CARES</v>
      </c>
      <c r="F70" s="50">
        <f>VLOOKUP(B70,aa!B:J,9,0)</f>
        <v>879043</v>
      </c>
      <c r="G70" s="50">
        <f>VLOOKUP(B70,aa!B:L,11,0)</f>
        <v>0</v>
      </c>
      <c r="H70" s="50">
        <f>VLOOKUP(B70,aa!B:O,14,0)</f>
        <v>879043</v>
      </c>
      <c r="I70" s="50">
        <f>VLOOKUP(B70,aa!B:R,17,0)</f>
        <v>0</v>
      </c>
      <c r="K70" s="50" t="s">
        <v>152</v>
      </c>
      <c r="L70" s="50">
        <v>859394</v>
      </c>
      <c r="M70" s="50">
        <v>859394</v>
      </c>
      <c r="N70" s="50">
        <v>0</v>
      </c>
      <c r="O70" s="50">
        <v>0</v>
      </c>
      <c r="Q70" s="50">
        <v>859394</v>
      </c>
      <c r="R70" s="50">
        <v>1532</v>
      </c>
      <c r="S70" s="50" t="s">
        <v>15216</v>
      </c>
      <c r="T70" s="50">
        <v>0</v>
      </c>
      <c r="U70" s="50">
        <v>0</v>
      </c>
      <c r="W70" s="50" t="s">
        <v>102</v>
      </c>
      <c r="X70" s="50" t="s">
        <v>103</v>
      </c>
      <c r="Y70" s="50" t="s">
        <v>801</v>
      </c>
      <c r="AA70" s="50" t="s">
        <v>15217</v>
      </c>
      <c r="AB70" s="50" t="s">
        <v>15218</v>
      </c>
      <c r="AC70" s="50" t="s">
        <v>15219</v>
      </c>
      <c r="AD70" s="50" t="s">
        <v>15218</v>
      </c>
      <c r="AE70" s="50" t="s">
        <v>15220</v>
      </c>
      <c r="AF70" s="50" t="s">
        <v>15218</v>
      </c>
      <c r="AG70" s="50" t="s">
        <v>12516</v>
      </c>
      <c r="AH70" s="50" t="s">
        <v>15218</v>
      </c>
      <c r="AI70" s="50" t="s">
        <v>102</v>
      </c>
      <c r="AJ70" s="50" t="s">
        <v>442</v>
      </c>
      <c r="AK70" s="50" t="s">
        <v>15221</v>
      </c>
      <c r="AL70" s="50" t="s">
        <v>15222</v>
      </c>
      <c r="AM70" s="50" t="s">
        <v>15223</v>
      </c>
      <c r="AN70" s="50" t="s">
        <v>15224</v>
      </c>
      <c r="AO70" s="50" t="s">
        <v>15225</v>
      </c>
      <c r="AP70" s="50" t="s">
        <v>15225</v>
      </c>
      <c r="AU70" s="50" t="s">
        <v>102</v>
      </c>
      <c r="AW70" s="50" t="s">
        <v>155</v>
      </c>
      <c r="AX70" s="50" t="s">
        <v>447</v>
      </c>
      <c r="AY70" s="50" t="s">
        <v>170</v>
      </c>
      <c r="AZ70" s="50" t="s">
        <v>118</v>
      </c>
      <c r="BB70" s="50" t="s">
        <v>120</v>
      </c>
      <c r="BC70" s="50" t="s">
        <v>3754</v>
      </c>
      <c r="BD70" s="50" t="s">
        <v>173</v>
      </c>
      <c r="BE70" s="50" t="s">
        <v>174</v>
      </c>
      <c r="BF70" s="50" t="s">
        <v>173</v>
      </c>
      <c r="BG70" s="50" t="s">
        <v>124</v>
      </c>
      <c r="BH70" s="50" t="s">
        <v>4909</v>
      </c>
      <c r="BI70" s="50" t="s">
        <v>14455</v>
      </c>
      <c r="BJ70" s="50" t="s">
        <v>127</v>
      </c>
      <c r="BK70" s="50" t="s">
        <v>15226</v>
      </c>
      <c r="BL70" s="50" t="s">
        <v>15227</v>
      </c>
      <c r="BM70" s="50" t="s">
        <v>15228</v>
      </c>
      <c r="BN70" s="50" t="s">
        <v>15215</v>
      </c>
      <c r="BO70" s="50" t="s">
        <v>8447</v>
      </c>
      <c r="BP70" s="50" t="s">
        <v>7992</v>
      </c>
      <c r="BQ70" s="50" t="s">
        <v>8448</v>
      </c>
      <c r="BR70" s="50" t="s">
        <v>8449</v>
      </c>
      <c r="BS70" s="50" t="s">
        <v>8450</v>
      </c>
      <c r="BU70" s="50" t="s">
        <v>15229</v>
      </c>
      <c r="BV70" s="50" t="s">
        <v>15230</v>
      </c>
      <c r="BW70" s="50" t="s">
        <v>354</v>
      </c>
      <c r="BX70" s="50" t="s">
        <v>15231</v>
      </c>
      <c r="BY70" s="50" t="s">
        <v>15232</v>
      </c>
      <c r="BZ70" s="50" t="s">
        <v>15233</v>
      </c>
      <c r="CA70" s="50" t="s">
        <v>15234</v>
      </c>
      <c r="CB70" s="50" t="s">
        <v>15235</v>
      </c>
      <c r="CC70" s="50" t="s">
        <v>15236</v>
      </c>
      <c r="CD70" s="50" t="s">
        <v>15237</v>
      </c>
      <c r="CE70" s="50" t="s">
        <v>15238</v>
      </c>
      <c r="CF70" s="50" t="s">
        <v>15239</v>
      </c>
      <c r="CG70" s="50" t="s">
        <v>14754</v>
      </c>
      <c r="CH70" s="50" t="s">
        <v>15240</v>
      </c>
      <c r="CJ70" s="50" t="s">
        <v>15241</v>
      </c>
      <c r="CK70" s="50" t="s">
        <v>15242</v>
      </c>
      <c r="CL70" s="50" t="s">
        <v>3754</v>
      </c>
      <c r="CM70" s="50" t="s">
        <v>173</v>
      </c>
      <c r="CN70" s="50" t="s">
        <v>15241</v>
      </c>
      <c r="CP70" s="50" t="s">
        <v>15243</v>
      </c>
      <c r="CQ70" s="50" t="s">
        <v>15243</v>
      </c>
    </row>
    <row r="71" spans="1:96">
      <c r="A71" s="50" t="s">
        <v>93</v>
      </c>
      <c r="B71" s="50">
        <v>119874</v>
      </c>
      <c r="C71" s="50" t="s">
        <v>12096</v>
      </c>
      <c r="D71" s="50" t="s">
        <v>12243</v>
      </c>
      <c r="E71" s="50" t="str">
        <f>VLOOKUP(B71,aa!B:F,5,0)</f>
        <v>Ei Mindspark</v>
      </c>
      <c r="F71" s="50">
        <f>VLOOKUP(B71,aa!B:J,9,0)</f>
        <v>602572</v>
      </c>
      <c r="G71" s="50">
        <f>VLOOKUP(B71,aa!B:L,11,0)</f>
        <v>0</v>
      </c>
      <c r="H71" s="50">
        <f>VLOOKUP(B71,aa!B:O,14,0)</f>
        <v>0</v>
      </c>
      <c r="I71" s="50">
        <f>VLOOKUP(B71,aa!B:R,17,0)</f>
        <v>602572</v>
      </c>
      <c r="K71" s="50" t="s">
        <v>848</v>
      </c>
      <c r="L71" s="50">
        <v>360272</v>
      </c>
      <c r="M71" s="50">
        <v>425121</v>
      </c>
      <c r="N71" s="50">
        <v>0</v>
      </c>
      <c r="O71" s="50">
        <v>0</v>
      </c>
      <c r="Q71" s="50">
        <v>0</v>
      </c>
      <c r="R71" s="50">
        <v>0</v>
      </c>
      <c r="T71" s="50">
        <v>360272</v>
      </c>
      <c r="U71" s="50">
        <v>250</v>
      </c>
      <c r="V71" s="50" t="s">
        <v>4082</v>
      </c>
      <c r="W71" s="50" t="s">
        <v>102</v>
      </c>
      <c r="X71" s="50" t="s">
        <v>103</v>
      </c>
      <c r="Y71" s="50" t="s">
        <v>155</v>
      </c>
      <c r="AA71" s="50" t="s">
        <v>12023</v>
      </c>
      <c r="AB71" s="50" t="s">
        <v>12244</v>
      </c>
      <c r="AC71" s="50" t="s">
        <v>11976</v>
      </c>
      <c r="AD71" s="50" t="s">
        <v>12244</v>
      </c>
      <c r="AE71" s="50" t="s">
        <v>5651</v>
      </c>
      <c r="AF71" s="50" t="s">
        <v>12244</v>
      </c>
      <c r="AG71" s="50" t="s">
        <v>12084</v>
      </c>
      <c r="AH71" s="50" t="s">
        <v>12244</v>
      </c>
      <c r="AI71" s="50" t="s">
        <v>12245</v>
      </c>
      <c r="AJ71" s="50" t="s">
        <v>8186</v>
      </c>
      <c r="AK71" s="50" t="s">
        <v>12086</v>
      </c>
      <c r="AL71" s="50" t="s">
        <v>12246</v>
      </c>
      <c r="AM71" s="50" t="s">
        <v>12247</v>
      </c>
      <c r="AN71" s="50" t="s">
        <v>12248</v>
      </c>
      <c r="AO71" s="50" t="s">
        <v>12249</v>
      </c>
      <c r="AP71" s="50" t="s">
        <v>12249</v>
      </c>
      <c r="AU71" s="50" t="s">
        <v>102</v>
      </c>
      <c r="AW71" s="50" t="s">
        <v>102</v>
      </c>
      <c r="AX71" s="50" t="s">
        <v>119</v>
      </c>
      <c r="BA71" s="50" t="s">
        <v>250</v>
      </c>
      <c r="BB71" s="50" t="s">
        <v>171</v>
      </c>
      <c r="BC71" s="50" t="s">
        <v>375</v>
      </c>
      <c r="BD71" s="50" t="s">
        <v>376</v>
      </c>
      <c r="BE71" s="50" t="s">
        <v>174</v>
      </c>
      <c r="BF71" s="50" t="s">
        <v>376</v>
      </c>
      <c r="BG71" s="50" t="s">
        <v>124</v>
      </c>
      <c r="BH71" s="50" t="s">
        <v>6341</v>
      </c>
      <c r="BI71" s="50" t="s">
        <v>12250</v>
      </c>
      <c r="BJ71" s="50" t="s">
        <v>127</v>
      </c>
      <c r="BK71" s="50" t="s">
        <v>12251</v>
      </c>
      <c r="BL71" s="50" t="s">
        <v>12252</v>
      </c>
      <c r="BM71" s="50" t="s">
        <v>12253</v>
      </c>
      <c r="BN71" s="50" t="s">
        <v>3988</v>
      </c>
      <c r="BO71" s="50" t="s">
        <v>6926</v>
      </c>
      <c r="BP71" s="50" t="s">
        <v>180</v>
      </c>
      <c r="BQ71" s="50" t="s">
        <v>6927</v>
      </c>
      <c r="BR71" s="50" t="s">
        <v>6928</v>
      </c>
      <c r="BS71" s="50" t="s">
        <v>1858</v>
      </c>
      <c r="BU71" s="50" t="s">
        <v>12254</v>
      </c>
      <c r="BV71" s="50" t="s">
        <v>12255</v>
      </c>
      <c r="BW71" s="50" t="s">
        <v>598</v>
      </c>
      <c r="BX71" s="50" t="s">
        <v>12256</v>
      </c>
      <c r="BY71" s="50" t="s">
        <v>12257</v>
      </c>
      <c r="BZ71" s="50" t="s">
        <v>12258</v>
      </c>
      <c r="CA71" s="50" t="s">
        <v>12259</v>
      </c>
      <c r="CB71" s="50" t="s">
        <v>12260</v>
      </c>
      <c r="CC71" s="50" t="s">
        <v>12261</v>
      </c>
      <c r="CD71" s="50" t="s">
        <v>12259</v>
      </c>
      <c r="CE71" s="50" t="s">
        <v>12260</v>
      </c>
      <c r="CF71" s="50" t="s">
        <v>12261</v>
      </c>
      <c r="CG71" s="50" t="s">
        <v>12262</v>
      </c>
      <c r="CH71" s="50" t="s">
        <v>12263</v>
      </c>
      <c r="CJ71" s="50" t="s">
        <v>12264</v>
      </c>
      <c r="CK71" s="50" t="s">
        <v>12263</v>
      </c>
      <c r="CL71" s="50" t="s">
        <v>375</v>
      </c>
      <c r="CM71" s="50" t="s">
        <v>376</v>
      </c>
      <c r="CN71" s="50" t="s">
        <v>12264</v>
      </c>
      <c r="CO71" s="50" t="s">
        <v>12265</v>
      </c>
      <c r="CP71" s="50" t="s">
        <v>12263</v>
      </c>
      <c r="CQ71" s="50" t="s">
        <v>12263</v>
      </c>
    </row>
    <row r="72" spans="1:96">
      <c r="A72" s="95" t="s">
        <v>149</v>
      </c>
      <c r="B72" s="50">
        <v>1722766</v>
      </c>
      <c r="C72" s="50" t="s">
        <v>11995</v>
      </c>
      <c r="D72" s="50" t="s">
        <v>1597</v>
      </c>
      <c r="E72" s="50" t="str">
        <f>VLOOKUP(B72,aa!B:F,5,0)</f>
        <v>Ei CARES</v>
      </c>
      <c r="F72" s="50">
        <f>VLOOKUP(B72,aa!B:J,9,0)</f>
        <v>1164481</v>
      </c>
      <c r="G72" s="50">
        <f>VLOOKUP(B72,aa!B:L,11,0)</f>
        <v>0</v>
      </c>
      <c r="H72" s="50">
        <f>VLOOKUP(B72,aa!B:O,14,0)</f>
        <v>1164481</v>
      </c>
      <c r="I72" s="50">
        <f>VLOOKUP(B72,aa!B:R,17,0)</f>
        <v>0</v>
      </c>
      <c r="K72" s="50" t="s">
        <v>152</v>
      </c>
      <c r="L72" s="50">
        <v>989996</v>
      </c>
      <c r="M72" s="50">
        <v>989996</v>
      </c>
      <c r="N72" s="50">
        <v>0</v>
      </c>
      <c r="O72" s="50">
        <v>0</v>
      </c>
      <c r="Q72" s="50">
        <v>989996</v>
      </c>
      <c r="R72" s="50">
        <v>630</v>
      </c>
      <c r="S72" s="50" t="s">
        <v>12856</v>
      </c>
      <c r="T72" s="50">
        <v>0</v>
      </c>
      <c r="U72" s="50">
        <v>0</v>
      </c>
      <c r="W72" s="50" t="s">
        <v>102</v>
      </c>
      <c r="X72" s="50" t="s">
        <v>103</v>
      </c>
      <c r="Y72" s="50" t="s">
        <v>155</v>
      </c>
      <c r="AA72" s="50" t="s">
        <v>12492</v>
      </c>
      <c r="AB72" s="50" t="s">
        <v>12857</v>
      </c>
      <c r="AC72" s="50" t="s">
        <v>12800</v>
      </c>
      <c r="AD72" s="50" t="s">
        <v>12857</v>
      </c>
      <c r="AE72" s="50" t="s">
        <v>12099</v>
      </c>
      <c r="AF72" s="50" t="s">
        <v>12857</v>
      </c>
      <c r="AG72" s="50" t="s">
        <v>12713</v>
      </c>
      <c r="AH72" s="50" t="s">
        <v>12857</v>
      </c>
      <c r="AI72" s="50" t="s">
        <v>102</v>
      </c>
      <c r="AJ72" s="50" t="s">
        <v>12858</v>
      </c>
      <c r="AK72" s="50" t="s">
        <v>12859</v>
      </c>
      <c r="AL72" s="50" t="s">
        <v>12860</v>
      </c>
      <c r="AM72" s="50" t="s">
        <v>12861</v>
      </c>
      <c r="AN72" s="50" t="s">
        <v>12862</v>
      </c>
      <c r="AO72" s="50" t="s">
        <v>12863</v>
      </c>
      <c r="AP72" s="50" t="s">
        <v>12863</v>
      </c>
      <c r="AU72" s="50" t="s">
        <v>102</v>
      </c>
      <c r="AW72" s="50" t="s">
        <v>155</v>
      </c>
      <c r="AX72" s="50" t="s">
        <v>119</v>
      </c>
      <c r="AY72" s="50" t="s">
        <v>1138</v>
      </c>
      <c r="AZ72" s="50" t="s">
        <v>118</v>
      </c>
      <c r="BB72" s="50" t="s">
        <v>120</v>
      </c>
      <c r="BC72" s="50" t="s">
        <v>1609</v>
      </c>
      <c r="BD72" s="50" t="s">
        <v>285</v>
      </c>
      <c r="BE72" s="50" t="s">
        <v>212</v>
      </c>
      <c r="BF72" s="50" t="s">
        <v>286</v>
      </c>
      <c r="BG72" s="50" t="s">
        <v>124</v>
      </c>
      <c r="BH72" s="50" t="s">
        <v>11959</v>
      </c>
      <c r="BI72" s="50" t="s">
        <v>11889</v>
      </c>
      <c r="BJ72" s="50" t="s">
        <v>127</v>
      </c>
      <c r="BK72" s="50" t="s">
        <v>12864</v>
      </c>
      <c r="BL72" s="50" t="s">
        <v>1611</v>
      </c>
      <c r="BM72" s="50" t="s">
        <v>12865</v>
      </c>
      <c r="BN72" s="50" t="s">
        <v>3988</v>
      </c>
      <c r="BO72" s="50" t="s">
        <v>956</v>
      </c>
      <c r="BP72" s="50" t="s">
        <v>132</v>
      </c>
      <c r="BQ72" s="50" t="s">
        <v>958</v>
      </c>
      <c r="BR72" s="50" t="s">
        <v>959</v>
      </c>
      <c r="BS72" s="50" t="s">
        <v>293</v>
      </c>
      <c r="BU72" s="50" t="s">
        <v>12866</v>
      </c>
      <c r="BV72" s="50" t="s">
        <v>12867</v>
      </c>
      <c r="BX72" s="50" t="s">
        <v>12868</v>
      </c>
      <c r="BY72" s="50" t="s">
        <v>1616</v>
      </c>
      <c r="BZ72" s="50" t="s">
        <v>1617</v>
      </c>
      <c r="CA72" s="50" t="s">
        <v>12869</v>
      </c>
      <c r="CB72" s="50" t="s">
        <v>1618</v>
      </c>
      <c r="CC72" s="50" t="s">
        <v>1619</v>
      </c>
      <c r="CD72" s="50" t="s">
        <v>12867</v>
      </c>
      <c r="CE72" s="50" t="s">
        <v>12868</v>
      </c>
      <c r="CF72" s="50" t="s">
        <v>1616</v>
      </c>
      <c r="CG72" s="50" t="s">
        <v>102</v>
      </c>
      <c r="CH72" s="50" t="s">
        <v>12870</v>
      </c>
      <c r="CJ72" s="50" t="s">
        <v>1622</v>
      </c>
      <c r="CL72" s="50" t="s">
        <v>1609</v>
      </c>
      <c r="CM72" s="50" t="s">
        <v>285</v>
      </c>
      <c r="CN72" s="50" t="s">
        <v>1622</v>
      </c>
      <c r="CP72" s="50" t="s">
        <v>1621</v>
      </c>
      <c r="CQ72" s="50" t="s">
        <v>1621</v>
      </c>
    </row>
    <row r="73" spans="1:96">
      <c r="A73" s="95" t="s">
        <v>149</v>
      </c>
      <c r="B73" s="50">
        <v>2382287</v>
      </c>
      <c r="C73" s="50" t="s">
        <v>12030</v>
      </c>
      <c r="D73" s="50" t="s">
        <v>3107</v>
      </c>
      <c r="E73" s="50" t="e">
        <f>VLOOKUP(B73,aa!B:F,5,0)</f>
        <v>#N/A</v>
      </c>
      <c r="F73" s="50" t="e">
        <f>VLOOKUP(B73,aa!B:J,9,0)</f>
        <v>#N/A</v>
      </c>
      <c r="G73" s="50" t="e">
        <f>VLOOKUP(B73,aa!B:L,11,0)</f>
        <v>#N/A</v>
      </c>
      <c r="H73" s="50" t="e">
        <f>VLOOKUP(B73,aa!B:O,14,0)</f>
        <v>#N/A</v>
      </c>
      <c r="I73" s="50" t="e">
        <f>VLOOKUP(B73,aa!B:R,17,0)</f>
        <v>#N/A</v>
      </c>
      <c r="K73" s="50" t="s">
        <v>97</v>
      </c>
      <c r="L73" s="50">
        <v>420012</v>
      </c>
      <c r="M73" s="50">
        <v>420012</v>
      </c>
      <c r="N73" s="50">
        <v>420012</v>
      </c>
      <c r="O73" s="50">
        <v>800</v>
      </c>
      <c r="P73" s="50" t="s">
        <v>4107</v>
      </c>
      <c r="Q73" s="50">
        <v>0</v>
      </c>
      <c r="R73" s="50">
        <v>0</v>
      </c>
      <c r="T73" s="50">
        <v>0</v>
      </c>
      <c r="U73" s="50">
        <v>0</v>
      </c>
      <c r="W73" s="50" t="s">
        <v>102</v>
      </c>
      <c r="X73" s="50" t="s">
        <v>275</v>
      </c>
      <c r="Z73" s="50" t="s">
        <v>8054</v>
      </c>
      <c r="AA73" s="50" t="s">
        <v>109</v>
      </c>
      <c r="AB73" s="50" t="s">
        <v>102</v>
      </c>
      <c r="AC73" s="50" t="s">
        <v>109</v>
      </c>
      <c r="AD73" s="50" t="s">
        <v>102</v>
      </c>
      <c r="AE73" s="50" t="s">
        <v>109</v>
      </c>
      <c r="AF73" s="50" t="s">
        <v>102</v>
      </c>
      <c r="AG73" s="50" t="s">
        <v>109</v>
      </c>
      <c r="AH73" s="50" t="s">
        <v>102</v>
      </c>
      <c r="AI73" s="50" t="s">
        <v>13821</v>
      </c>
      <c r="AJ73" s="50" t="s">
        <v>13486</v>
      </c>
      <c r="AK73" s="50" t="s">
        <v>13486</v>
      </c>
      <c r="AL73" s="50" t="s">
        <v>13822</v>
      </c>
      <c r="AM73" s="50" t="s">
        <v>13823</v>
      </c>
      <c r="AN73" s="50" t="s">
        <v>102</v>
      </c>
      <c r="AO73" s="50" t="s">
        <v>6115</v>
      </c>
      <c r="AP73" s="50" t="s">
        <v>13824</v>
      </c>
      <c r="AQ73" s="50" t="s">
        <v>343</v>
      </c>
      <c r="AT73" s="50" t="s">
        <v>169</v>
      </c>
      <c r="AU73" s="50" t="s">
        <v>117</v>
      </c>
      <c r="AV73" s="50" t="s">
        <v>118</v>
      </c>
      <c r="AW73" s="50" t="s">
        <v>102</v>
      </c>
      <c r="AX73" s="50" t="s">
        <v>119</v>
      </c>
      <c r="BB73" s="50" t="s">
        <v>120</v>
      </c>
      <c r="BC73" s="50" t="s">
        <v>2204</v>
      </c>
      <c r="BD73" s="50" t="s">
        <v>121</v>
      </c>
      <c r="BE73" s="50" t="s">
        <v>122</v>
      </c>
      <c r="BF73" s="50" t="s">
        <v>123</v>
      </c>
      <c r="BG73" s="50" t="s">
        <v>124</v>
      </c>
      <c r="BH73" s="50" t="s">
        <v>12023</v>
      </c>
      <c r="BI73" s="50" t="s">
        <v>11889</v>
      </c>
      <c r="BJ73" s="50" t="s">
        <v>127</v>
      </c>
      <c r="BK73" s="50" t="s">
        <v>13825</v>
      </c>
      <c r="BL73" s="50" t="s">
        <v>3117</v>
      </c>
      <c r="BM73" s="50" t="s">
        <v>13826</v>
      </c>
      <c r="BN73" s="50" t="s">
        <v>13527</v>
      </c>
      <c r="BO73" s="50" t="s">
        <v>1108</v>
      </c>
      <c r="BP73" s="50" t="s">
        <v>350</v>
      </c>
      <c r="BQ73" s="50" t="s">
        <v>1109</v>
      </c>
      <c r="BR73" s="50" t="s">
        <v>1110</v>
      </c>
      <c r="BS73" s="50" t="s">
        <v>328</v>
      </c>
      <c r="BU73" s="50" t="s">
        <v>13827</v>
      </c>
      <c r="BV73" s="50" t="s">
        <v>3120</v>
      </c>
      <c r="BW73" s="50" t="s">
        <v>138</v>
      </c>
      <c r="BX73" s="50" t="s">
        <v>3124</v>
      </c>
      <c r="BY73" s="50" t="s">
        <v>3123</v>
      </c>
      <c r="BZ73" s="50" t="s">
        <v>3124</v>
      </c>
      <c r="CA73" s="50" t="s">
        <v>13828</v>
      </c>
      <c r="CB73" s="50" t="s">
        <v>3122</v>
      </c>
      <c r="CC73" s="50" t="s">
        <v>3123</v>
      </c>
      <c r="CD73" s="50" t="s">
        <v>13828</v>
      </c>
      <c r="CE73" s="50" t="s">
        <v>3122</v>
      </c>
      <c r="CF73" s="50" t="s">
        <v>3123</v>
      </c>
      <c r="CG73" s="50" t="s">
        <v>102</v>
      </c>
      <c r="CH73" s="50" t="s">
        <v>13829</v>
      </c>
      <c r="CJ73" s="50" t="s">
        <v>2775</v>
      </c>
      <c r="CL73" s="50" t="s">
        <v>2204</v>
      </c>
      <c r="CM73" s="50" t="s">
        <v>121</v>
      </c>
      <c r="CN73" s="50" t="s">
        <v>2775</v>
      </c>
      <c r="CO73" s="50" t="s">
        <v>3129</v>
      </c>
      <c r="CP73" s="50" t="s">
        <v>3130</v>
      </c>
      <c r="CQ73" s="50" t="s">
        <v>3130</v>
      </c>
    </row>
    <row r="74" spans="1:96">
      <c r="A74" s="50" t="s">
        <v>93</v>
      </c>
      <c r="B74" s="50">
        <v>28486</v>
      </c>
      <c r="C74" s="50" t="s">
        <v>2525</v>
      </c>
      <c r="D74" s="50" t="s">
        <v>14789</v>
      </c>
      <c r="E74" s="50" t="str">
        <f>VLOOKUP(B74,aa!B:F,5,0)</f>
        <v>Ei CARES</v>
      </c>
      <c r="F74" s="50">
        <f>VLOOKUP(B74,aa!B:J,9,0)</f>
        <v>442859</v>
      </c>
      <c r="G74" s="50">
        <f>VLOOKUP(B74,aa!B:L,11,0)</f>
        <v>0</v>
      </c>
      <c r="H74" s="50">
        <f>VLOOKUP(B74,aa!B:O,14,0)</f>
        <v>442859</v>
      </c>
      <c r="I74" s="50">
        <f>VLOOKUP(B74,aa!B:R,17,0)</f>
        <v>0</v>
      </c>
      <c r="K74" s="50" t="s">
        <v>152</v>
      </c>
      <c r="L74" s="50">
        <v>212428</v>
      </c>
      <c r="M74" s="50">
        <v>212428</v>
      </c>
      <c r="N74" s="50">
        <v>0</v>
      </c>
      <c r="O74" s="50">
        <v>0</v>
      </c>
      <c r="Q74" s="50">
        <v>212428</v>
      </c>
      <c r="R74" s="50">
        <v>118</v>
      </c>
      <c r="S74" s="50" t="s">
        <v>3005</v>
      </c>
      <c r="T74" s="50">
        <v>0</v>
      </c>
      <c r="U74" s="50">
        <v>0</v>
      </c>
      <c r="W74" s="50" t="s">
        <v>102</v>
      </c>
      <c r="X74" s="50" t="s">
        <v>103</v>
      </c>
      <c r="Y74" s="50" t="s">
        <v>104</v>
      </c>
      <c r="AA74" s="50" t="s">
        <v>5694</v>
      </c>
      <c r="AB74" s="50" t="s">
        <v>14790</v>
      </c>
      <c r="AC74" s="50" t="s">
        <v>12327</v>
      </c>
      <c r="AD74" s="50" t="s">
        <v>14790</v>
      </c>
      <c r="AE74" s="50" t="s">
        <v>109</v>
      </c>
      <c r="AF74" s="50" t="s">
        <v>102</v>
      </c>
      <c r="AG74" s="50" t="s">
        <v>109</v>
      </c>
      <c r="AH74" s="50" t="s">
        <v>102</v>
      </c>
      <c r="AI74" s="50" t="s">
        <v>102</v>
      </c>
      <c r="AJ74" s="50" t="s">
        <v>6443</v>
      </c>
      <c r="AK74" s="50" t="s">
        <v>6443</v>
      </c>
      <c r="AL74" s="50" t="s">
        <v>14791</v>
      </c>
      <c r="AM74" s="50" t="s">
        <v>14791</v>
      </c>
      <c r="AN74" s="50" t="s">
        <v>102</v>
      </c>
      <c r="AO74" s="50" t="s">
        <v>3906</v>
      </c>
      <c r="AP74" s="50" t="s">
        <v>3906</v>
      </c>
      <c r="AU74" s="50" t="s">
        <v>102</v>
      </c>
      <c r="AW74" s="50" t="s">
        <v>155</v>
      </c>
      <c r="AX74" s="50" t="s">
        <v>119</v>
      </c>
      <c r="AY74" s="50" t="s">
        <v>170</v>
      </c>
      <c r="AZ74" s="50" t="s">
        <v>118</v>
      </c>
      <c r="BB74" s="50" t="s">
        <v>120</v>
      </c>
      <c r="BC74" s="50" t="s">
        <v>729</v>
      </c>
      <c r="BD74" s="50" t="s">
        <v>730</v>
      </c>
      <c r="BE74" s="50" t="s">
        <v>622</v>
      </c>
      <c r="BF74" s="50" t="s">
        <v>730</v>
      </c>
      <c r="BG74" s="50" t="s">
        <v>124</v>
      </c>
      <c r="BH74" s="50" t="s">
        <v>12023</v>
      </c>
      <c r="BI74" s="50" t="s">
        <v>11889</v>
      </c>
      <c r="BJ74" s="50" t="s">
        <v>127</v>
      </c>
      <c r="BK74" s="50" t="s">
        <v>14792</v>
      </c>
      <c r="BL74" s="50" t="s">
        <v>14793</v>
      </c>
      <c r="BM74" s="50" t="s">
        <v>14794</v>
      </c>
      <c r="BN74" s="50" t="s">
        <v>2586</v>
      </c>
      <c r="BO74" s="50" t="s">
        <v>2262</v>
      </c>
      <c r="BP74" s="50" t="s">
        <v>258</v>
      </c>
      <c r="BQ74" s="50" t="s">
        <v>2263</v>
      </c>
      <c r="BR74" s="50" t="s">
        <v>2264</v>
      </c>
      <c r="BS74" s="50" t="s">
        <v>2331</v>
      </c>
      <c r="BU74" s="50" t="s">
        <v>14795</v>
      </c>
      <c r="BV74" s="50" t="s">
        <v>14796</v>
      </c>
      <c r="BW74" s="50" t="s">
        <v>138</v>
      </c>
      <c r="BX74" s="50" t="s">
        <v>14797</v>
      </c>
      <c r="BY74" s="50" t="s">
        <v>14798</v>
      </c>
      <c r="BZ74" s="50" t="s">
        <v>14799</v>
      </c>
      <c r="CA74" s="50" t="s">
        <v>14796</v>
      </c>
      <c r="CB74" s="50" t="s">
        <v>14797</v>
      </c>
      <c r="CC74" s="50" t="s">
        <v>14798</v>
      </c>
      <c r="CD74" s="50" t="s">
        <v>14796</v>
      </c>
      <c r="CE74" s="50" t="s">
        <v>14797</v>
      </c>
      <c r="CF74" s="50" t="s">
        <v>14798</v>
      </c>
      <c r="CG74" s="50" t="s">
        <v>14800</v>
      </c>
      <c r="CH74" s="50" t="s">
        <v>14801</v>
      </c>
      <c r="CJ74" s="50" t="s">
        <v>14802</v>
      </c>
      <c r="CK74" s="50" t="s">
        <v>14803</v>
      </c>
      <c r="CL74" s="50" t="s">
        <v>729</v>
      </c>
      <c r="CM74" s="50" t="s">
        <v>730</v>
      </c>
      <c r="CN74" s="50" t="s">
        <v>14802</v>
      </c>
      <c r="CP74" s="50" t="s">
        <v>14801</v>
      </c>
      <c r="CQ74" s="50" t="s">
        <v>14801</v>
      </c>
    </row>
    <row r="75" spans="1:96">
      <c r="A75" s="50" t="s">
        <v>93</v>
      </c>
      <c r="B75" s="50">
        <v>5024546</v>
      </c>
      <c r="C75" s="50" t="s">
        <v>12423</v>
      </c>
      <c r="D75" s="50" t="s">
        <v>20151</v>
      </c>
      <c r="E75" s="50" t="e">
        <f>VLOOKUP(B75,aa!B:F,5,0)</f>
        <v>#N/A</v>
      </c>
      <c r="F75" s="50" t="e">
        <f>VLOOKUP(B75,aa!B:J,9,0)</f>
        <v>#N/A</v>
      </c>
      <c r="G75" s="50" t="e">
        <f>VLOOKUP(B75,aa!B:L,11,0)</f>
        <v>#N/A</v>
      </c>
      <c r="H75" s="50" t="e">
        <f>VLOOKUP(B75,aa!B:O,14,0)</f>
        <v>#N/A</v>
      </c>
      <c r="I75" s="50" t="e">
        <f>VLOOKUP(B75,aa!B:R,17,0)</f>
        <v>#N/A</v>
      </c>
      <c r="K75" s="50" t="s">
        <v>152</v>
      </c>
      <c r="L75" s="50">
        <v>842566</v>
      </c>
      <c r="M75" s="50">
        <v>842566</v>
      </c>
      <c r="N75" s="50">
        <v>0</v>
      </c>
      <c r="O75" s="50">
        <v>0</v>
      </c>
      <c r="Q75" s="50">
        <v>842566</v>
      </c>
      <c r="R75" s="50">
        <v>1040</v>
      </c>
      <c r="S75" s="50" t="s">
        <v>6750</v>
      </c>
      <c r="T75" s="50">
        <v>0</v>
      </c>
      <c r="U75" s="50">
        <v>0</v>
      </c>
      <c r="W75" s="50" t="s">
        <v>102</v>
      </c>
      <c r="X75" s="50" t="s">
        <v>103</v>
      </c>
      <c r="Y75" s="50" t="s">
        <v>155</v>
      </c>
      <c r="AA75" s="50" t="s">
        <v>6134</v>
      </c>
      <c r="AB75" s="50" t="s">
        <v>20152</v>
      </c>
      <c r="AC75" s="50" t="s">
        <v>13033</v>
      </c>
      <c r="AD75" s="50" t="s">
        <v>20152</v>
      </c>
      <c r="AE75" s="50" t="s">
        <v>12873</v>
      </c>
      <c r="AF75" s="50" t="s">
        <v>20152</v>
      </c>
      <c r="AG75" s="50" t="s">
        <v>6895</v>
      </c>
      <c r="AH75" s="50" t="s">
        <v>20152</v>
      </c>
      <c r="AI75" s="50" t="s">
        <v>102</v>
      </c>
      <c r="AJ75" s="50" t="s">
        <v>6134</v>
      </c>
      <c r="AK75" s="50" t="s">
        <v>12327</v>
      </c>
      <c r="AL75" s="50" t="s">
        <v>20153</v>
      </c>
      <c r="AM75" s="50" t="s">
        <v>20154</v>
      </c>
      <c r="AN75" s="50" t="s">
        <v>20152</v>
      </c>
      <c r="AO75" s="50" t="s">
        <v>20155</v>
      </c>
      <c r="AP75" s="50" t="s">
        <v>20155</v>
      </c>
      <c r="AU75" s="50" t="s">
        <v>102</v>
      </c>
      <c r="AW75" s="50" t="s">
        <v>155</v>
      </c>
      <c r="AX75" s="50" t="s">
        <v>119</v>
      </c>
      <c r="AY75" s="50" t="s">
        <v>170</v>
      </c>
      <c r="AZ75" s="50" t="s">
        <v>118</v>
      </c>
      <c r="BB75" s="50" t="s">
        <v>120</v>
      </c>
      <c r="BC75" s="50" t="s">
        <v>1552</v>
      </c>
      <c r="BD75" s="50" t="s">
        <v>20156</v>
      </c>
      <c r="BE75" s="50" t="s">
        <v>212</v>
      </c>
      <c r="BF75" s="50" t="s">
        <v>410</v>
      </c>
      <c r="BG75" s="50" t="s">
        <v>124</v>
      </c>
      <c r="BH75" s="50" t="s">
        <v>12023</v>
      </c>
      <c r="BI75" s="50" t="s">
        <v>11889</v>
      </c>
      <c r="BJ75" s="50" t="s">
        <v>127</v>
      </c>
      <c r="BK75" s="50" t="s">
        <v>20157</v>
      </c>
      <c r="BL75" s="50" t="s">
        <v>20158</v>
      </c>
      <c r="BM75" s="50" t="s">
        <v>20159</v>
      </c>
      <c r="BN75" s="50" t="s">
        <v>20110</v>
      </c>
      <c r="BO75" s="50" t="s">
        <v>4053</v>
      </c>
      <c r="BP75" s="50" t="s">
        <v>132</v>
      </c>
      <c r="BQ75" s="50" t="s">
        <v>4054</v>
      </c>
      <c r="BR75" s="50" t="s">
        <v>4055</v>
      </c>
      <c r="BS75" s="50" t="s">
        <v>4056</v>
      </c>
      <c r="BU75" s="50" t="s">
        <v>20160</v>
      </c>
      <c r="BV75" s="50" t="s">
        <v>20161</v>
      </c>
      <c r="BW75" s="50" t="s">
        <v>138</v>
      </c>
      <c r="BX75" s="50" t="s">
        <v>20162</v>
      </c>
      <c r="BY75" s="50" t="s">
        <v>20163</v>
      </c>
      <c r="BZ75" s="50" t="s">
        <v>20162</v>
      </c>
      <c r="CA75" s="50" t="s">
        <v>20164</v>
      </c>
      <c r="CB75" s="50" t="s">
        <v>20165</v>
      </c>
      <c r="CC75" s="50" t="s">
        <v>20163</v>
      </c>
      <c r="CD75" s="50" t="s">
        <v>20166</v>
      </c>
      <c r="CE75" s="50" t="s">
        <v>20165</v>
      </c>
      <c r="CF75" s="50" t="s">
        <v>20163</v>
      </c>
      <c r="CG75" s="50" t="s">
        <v>102</v>
      </c>
      <c r="CH75" s="50" t="s">
        <v>20167</v>
      </c>
      <c r="CJ75" s="50" t="s">
        <v>1565</v>
      </c>
      <c r="CK75" s="50" t="s">
        <v>20168</v>
      </c>
      <c r="CL75" s="50" t="s">
        <v>1552</v>
      </c>
      <c r="CM75" s="50" t="s">
        <v>20156</v>
      </c>
      <c r="CN75" s="50" t="s">
        <v>1565</v>
      </c>
      <c r="CP75" s="50" t="s">
        <v>20169</v>
      </c>
      <c r="CQ75" s="50" t="s">
        <v>20169</v>
      </c>
      <c r="CR75" s="50" t="s">
        <v>26043</v>
      </c>
    </row>
    <row r="76" spans="1:96">
      <c r="A76" s="95" t="s">
        <v>149</v>
      </c>
      <c r="B76" s="50">
        <v>5017780</v>
      </c>
      <c r="C76" s="50" t="s">
        <v>12423</v>
      </c>
      <c r="D76" s="50" t="s">
        <v>10193</v>
      </c>
      <c r="E76" s="50" t="str">
        <f>VLOOKUP(B76,aa!B:F,5,0)</f>
        <v>Ei Mindspark</v>
      </c>
      <c r="F76" s="50">
        <f>VLOOKUP(B76,aa!B:J,9,0)</f>
        <v>295422</v>
      </c>
      <c r="G76" s="50">
        <f>VLOOKUP(B76,aa!B:L,11,0)</f>
        <v>0</v>
      </c>
      <c r="H76" s="50">
        <f>VLOOKUP(B76,aa!B:O,14,0)</f>
        <v>0</v>
      </c>
      <c r="I76" s="50">
        <f>VLOOKUP(B76,aa!B:R,17,0)</f>
        <v>295422</v>
      </c>
      <c r="K76" s="50" t="s">
        <v>848</v>
      </c>
      <c r="L76" s="50">
        <v>342417</v>
      </c>
      <c r="M76" s="50">
        <v>404052</v>
      </c>
      <c r="N76" s="50">
        <v>0</v>
      </c>
      <c r="O76" s="50">
        <v>0</v>
      </c>
      <c r="Q76" s="50">
        <v>0</v>
      </c>
      <c r="R76" s="50">
        <v>0</v>
      </c>
      <c r="T76" s="50">
        <v>342417</v>
      </c>
      <c r="U76" s="50">
        <v>202</v>
      </c>
      <c r="V76" s="50" t="s">
        <v>2007</v>
      </c>
      <c r="W76" s="50" t="s">
        <v>102</v>
      </c>
      <c r="X76" s="50" t="s">
        <v>103</v>
      </c>
      <c r="Y76" s="50" t="s">
        <v>155</v>
      </c>
      <c r="AA76" s="50" t="s">
        <v>6918</v>
      </c>
      <c r="AB76" s="50" t="s">
        <v>19125</v>
      </c>
      <c r="AC76" s="50" t="s">
        <v>11932</v>
      </c>
      <c r="AD76" s="50" t="s">
        <v>19126</v>
      </c>
      <c r="AE76" s="50" t="s">
        <v>12467</v>
      </c>
      <c r="AF76" s="50" t="s">
        <v>19126</v>
      </c>
      <c r="AG76" s="50" t="s">
        <v>11952</v>
      </c>
      <c r="AH76" s="50" t="s">
        <v>19126</v>
      </c>
      <c r="AI76" s="50" t="s">
        <v>19127</v>
      </c>
      <c r="AJ76" s="50" t="s">
        <v>1941</v>
      </c>
      <c r="AK76" s="50" t="s">
        <v>15933</v>
      </c>
      <c r="AL76" s="50" t="s">
        <v>19128</v>
      </c>
      <c r="AM76" s="50" t="s">
        <v>19129</v>
      </c>
      <c r="AN76" s="50" t="s">
        <v>19130</v>
      </c>
      <c r="AO76" s="50" t="s">
        <v>9445</v>
      </c>
      <c r="AP76" s="50" t="s">
        <v>9445</v>
      </c>
      <c r="AU76" s="50" t="s">
        <v>102</v>
      </c>
      <c r="AW76" s="50" t="s">
        <v>102</v>
      </c>
      <c r="AX76" s="50" t="s">
        <v>119</v>
      </c>
      <c r="BA76" s="50" t="s">
        <v>250</v>
      </c>
      <c r="BB76" s="50" t="s">
        <v>120</v>
      </c>
      <c r="BC76" s="50" t="s">
        <v>10200</v>
      </c>
      <c r="BD76" s="50" t="s">
        <v>410</v>
      </c>
      <c r="BE76" s="50" t="s">
        <v>212</v>
      </c>
      <c r="BF76" s="50" t="s">
        <v>410</v>
      </c>
      <c r="BG76" s="50" t="s">
        <v>124</v>
      </c>
      <c r="BH76" s="50" t="s">
        <v>12023</v>
      </c>
      <c r="BI76" s="50" t="s">
        <v>11889</v>
      </c>
      <c r="BJ76" s="50" t="s">
        <v>127</v>
      </c>
      <c r="BK76" s="50" t="s">
        <v>19131</v>
      </c>
      <c r="BL76" s="50" t="s">
        <v>10202</v>
      </c>
      <c r="BM76" s="50" t="s">
        <v>19132</v>
      </c>
      <c r="BN76" s="50" t="s">
        <v>6134</v>
      </c>
      <c r="BO76" s="50" t="s">
        <v>896</v>
      </c>
      <c r="BP76" s="50" t="s">
        <v>132</v>
      </c>
      <c r="BQ76" s="50" t="s">
        <v>897</v>
      </c>
      <c r="BR76" s="50" t="s">
        <v>898</v>
      </c>
      <c r="BS76" s="50" t="s">
        <v>899</v>
      </c>
      <c r="BU76" s="50" t="s">
        <v>19133</v>
      </c>
      <c r="BV76" s="50" t="s">
        <v>10205</v>
      </c>
      <c r="BW76" s="50" t="s">
        <v>354</v>
      </c>
      <c r="BX76" s="50" t="s">
        <v>10206</v>
      </c>
      <c r="BY76" s="50" t="s">
        <v>10207</v>
      </c>
      <c r="BZ76" s="50" t="s">
        <v>10206</v>
      </c>
      <c r="CA76" s="50" t="s">
        <v>19134</v>
      </c>
      <c r="CB76" s="50" t="s">
        <v>10206</v>
      </c>
      <c r="CC76" s="50" t="s">
        <v>10207</v>
      </c>
      <c r="CD76" s="50" t="s">
        <v>19135</v>
      </c>
      <c r="CE76" s="50" t="s">
        <v>10206</v>
      </c>
      <c r="CF76" s="50" t="s">
        <v>10207</v>
      </c>
      <c r="CG76" s="50" t="s">
        <v>3968</v>
      </c>
      <c r="CH76" s="50" t="s">
        <v>10210</v>
      </c>
      <c r="CJ76" s="50" t="s">
        <v>10211</v>
      </c>
      <c r="CK76" s="50" t="s">
        <v>10210</v>
      </c>
      <c r="CL76" s="50" t="s">
        <v>10200</v>
      </c>
      <c r="CM76" s="50" t="s">
        <v>10076</v>
      </c>
      <c r="CN76" s="50" t="s">
        <v>10211</v>
      </c>
      <c r="CO76" s="50" t="s">
        <v>10212</v>
      </c>
      <c r="CP76" s="50" t="s">
        <v>10210</v>
      </c>
      <c r="CQ76" s="50" t="s">
        <v>10210</v>
      </c>
      <c r="CR76" s="50" t="s">
        <v>26043</v>
      </c>
    </row>
    <row r="77" spans="1:96">
      <c r="A77" s="50" t="s">
        <v>93</v>
      </c>
      <c r="B77" s="50">
        <v>5026233</v>
      </c>
      <c r="C77" s="50" t="s">
        <v>632</v>
      </c>
      <c r="D77" s="50" t="s">
        <v>20170</v>
      </c>
      <c r="E77" s="50" t="str">
        <f>VLOOKUP(B77,aa!B:F,5,0)</f>
        <v>Ei CARES,Ei Mindspark</v>
      </c>
      <c r="F77" s="50">
        <f>VLOOKUP(B77,aa!B:J,9,0)</f>
        <v>191304</v>
      </c>
      <c r="G77" s="50">
        <f>VLOOKUP(B77,aa!B:L,11,0)</f>
        <v>0</v>
      </c>
      <c r="H77" s="50">
        <f>VLOOKUP(B77,aa!B:O,14,0)</f>
        <v>80150</v>
      </c>
      <c r="I77" s="50">
        <f>VLOOKUP(B77,aa!B:R,17,0)</f>
        <v>111154</v>
      </c>
      <c r="K77" s="50" t="s">
        <v>848</v>
      </c>
      <c r="L77" s="50">
        <v>121657</v>
      </c>
      <c r="M77" s="50">
        <v>143555</v>
      </c>
      <c r="N77" s="50">
        <v>0</v>
      </c>
      <c r="O77" s="50">
        <v>0</v>
      </c>
      <c r="Q77" s="50">
        <v>0</v>
      </c>
      <c r="R77" s="50">
        <v>0</v>
      </c>
      <c r="T77" s="50">
        <v>121657</v>
      </c>
      <c r="U77" s="50">
        <v>45</v>
      </c>
      <c r="V77" s="50" t="s">
        <v>12674</v>
      </c>
      <c r="W77" s="50" t="s">
        <v>102</v>
      </c>
      <c r="X77" s="50" t="s">
        <v>103</v>
      </c>
      <c r="Y77" s="50" t="s">
        <v>155</v>
      </c>
      <c r="AA77" s="50" t="s">
        <v>1408</v>
      </c>
      <c r="AB77" s="50" t="s">
        <v>20171</v>
      </c>
      <c r="AC77" s="50" t="s">
        <v>12888</v>
      </c>
      <c r="AD77" s="50" t="s">
        <v>20171</v>
      </c>
      <c r="AE77" s="50" t="s">
        <v>1427</v>
      </c>
      <c r="AF77" s="50" t="s">
        <v>20171</v>
      </c>
      <c r="AG77" s="50" t="s">
        <v>11886</v>
      </c>
      <c r="AH77" s="50" t="s">
        <v>20171</v>
      </c>
      <c r="AI77" s="50" t="s">
        <v>20172</v>
      </c>
      <c r="AJ77" s="50" t="s">
        <v>13455</v>
      </c>
      <c r="AK77" s="50" t="s">
        <v>946</v>
      </c>
      <c r="AL77" s="50" t="s">
        <v>20173</v>
      </c>
      <c r="AM77" s="50" t="s">
        <v>20174</v>
      </c>
      <c r="AN77" s="50" t="s">
        <v>20175</v>
      </c>
      <c r="AO77" s="50" t="s">
        <v>20176</v>
      </c>
      <c r="AP77" s="50" t="s">
        <v>20176</v>
      </c>
      <c r="AU77" s="50" t="s">
        <v>102</v>
      </c>
      <c r="AW77" s="50" t="s">
        <v>102</v>
      </c>
      <c r="AX77" s="50" t="s">
        <v>119</v>
      </c>
      <c r="BA77" s="50" t="s">
        <v>250</v>
      </c>
      <c r="BB77" s="50" t="s">
        <v>1242</v>
      </c>
      <c r="BC77" s="50" t="s">
        <v>623</v>
      </c>
      <c r="BD77" s="50" t="s">
        <v>621</v>
      </c>
      <c r="BE77" s="50" t="s">
        <v>622</v>
      </c>
      <c r="BF77" s="50" t="s">
        <v>623</v>
      </c>
      <c r="BG77" s="50" t="s">
        <v>124</v>
      </c>
      <c r="BH77" s="50" t="s">
        <v>5548</v>
      </c>
      <c r="BI77" s="50" t="s">
        <v>14455</v>
      </c>
      <c r="BJ77" s="50" t="s">
        <v>127</v>
      </c>
      <c r="BK77" s="50" t="s">
        <v>20177</v>
      </c>
      <c r="BL77" s="50" t="s">
        <v>20178</v>
      </c>
      <c r="BM77" s="50" t="s">
        <v>20179</v>
      </c>
      <c r="BN77" s="50" t="s">
        <v>6134</v>
      </c>
      <c r="BO77" s="50" t="s">
        <v>1339</v>
      </c>
      <c r="BP77" s="50" t="s">
        <v>132</v>
      </c>
      <c r="BQ77" s="50" t="s">
        <v>1340</v>
      </c>
      <c r="BR77" s="50" t="s">
        <v>1341</v>
      </c>
      <c r="BS77" s="50" t="s">
        <v>507</v>
      </c>
      <c r="BU77" s="50" t="s">
        <v>20180</v>
      </c>
      <c r="BV77" s="50" t="s">
        <v>12688</v>
      </c>
      <c r="BW77" s="50" t="s">
        <v>598</v>
      </c>
      <c r="BX77" s="50" t="s">
        <v>12689</v>
      </c>
      <c r="BY77" s="50" t="s">
        <v>12690</v>
      </c>
      <c r="BZ77" s="50" t="s">
        <v>20181</v>
      </c>
      <c r="CA77" s="50" t="s">
        <v>12688</v>
      </c>
      <c r="CB77" s="50" t="s">
        <v>12689</v>
      </c>
      <c r="CC77" s="50" t="s">
        <v>12690</v>
      </c>
      <c r="CD77" s="50" t="s">
        <v>12688</v>
      </c>
      <c r="CE77" s="50" t="s">
        <v>12689</v>
      </c>
      <c r="CF77" s="50" t="s">
        <v>12690</v>
      </c>
      <c r="CG77" s="50" t="s">
        <v>907</v>
      </c>
      <c r="CH77" s="50" t="s">
        <v>20182</v>
      </c>
      <c r="CJ77" s="50" t="s">
        <v>1351</v>
      </c>
      <c r="CL77" s="50" t="s">
        <v>623</v>
      </c>
      <c r="CM77" s="50" t="s">
        <v>621</v>
      </c>
      <c r="CN77" s="50" t="s">
        <v>1351</v>
      </c>
      <c r="CO77" s="50" t="s">
        <v>1352</v>
      </c>
      <c r="CP77" s="50" t="s">
        <v>20183</v>
      </c>
      <c r="CQ77" s="50" t="s">
        <v>20184</v>
      </c>
    </row>
    <row r="78" spans="1:96">
      <c r="A78" s="95" t="s">
        <v>149</v>
      </c>
      <c r="B78" s="50">
        <v>202033</v>
      </c>
      <c r="C78" s="50" t="s">
        <v>2151</v>
      </c>
      <c r="D78" s="50" t="s">
        <v>2409</v>
      </c>
      <c r="E78" s="50" t="str">
        <f>VLOOKUP(B78,aa!B:F,5,0)</f>
        <v>Ei ASSET,Ei Mindspark</v>
      </c>
      <c r="F78" s="50">
        <f>VLOOKUP(B78,aa!B:J,9,0)</f>
        <v>263780</v>
      </c>
      <c r="G78" s="50">
        <f>VLOOKUP(B78,aa!B:L,11,0)</f>
        <v>62681</v>
      </c>
      <c r="H78" s="50">
        <f>VLOOKUP(B78,aa!B:O,14,0)</f>
        <v>0</v>
      </c>
      <c r="I78" s="50">
        <f>VLOOKUP(B78,aa!B:R,17,0)</f>
        <v>201099</v>
      </c>
      <c r="K78" s="50" t="s">
        <v>193</v>
      </c>
      <c r="L78" s="50">
        <v>273432</v>
      </c>
      <c r="M78" s="50">
        <v>284418</v>
      </c>
      <c r="N78" s="50">
        <v>212400</v>
      </c>
      <c r="O78" s="50">
        <v>177</v>
      </c>
      <c r="P78" s="50" t="s">
        <v>880</v>
      </c>
      <c r="Q78" s="50">
        <v>0</v>
      </c>
      <c r="R78" s="50">
        <v>0</v>
      </c>
      <c r="T78" s="50">
        <v>61032</v>
      </c>
      <c r="U78" s="50">
        <v>60</v>
      </c>
      <c r="V78" s="50" t="s">
        <v>3924</v>
      </c>
      <c r="W78" s="50" t="s">
        <v>102</v>
      </c>
      <c r="X78" s="50" t="s">
        <v>103</v>
      </c>
      <c r="Y78" s="50" t="s">
        <v>104</v>
      </c>
      <c r="AA78" s="50" t="s">
        <v>13298</v>
      </c>
      <c r="AB78" s="50" t="s">
        <v>13299</v>
      </c>
      <c r="AC78" s="50" t="s">
        <v>13300</v>
      </c>
      <c r="AD78" s="50" t="s">
        <v>13301</v>
      </c>
      <c r="AE78" s="50" t="s">
        <v>109</v>
      </c>
      <c r="AF78" s="50" t="s">
        <v>102</v>
      </c>
      <c r="AG78" s="50" t="s">
        <v>109</v>
      </c>
      <c r="AH78" s="50" t="s">
        <v>102</v>
      </c>
      <c r="AI78" s="50" t="s">
        <v>102</v>
      </c>
      <c r="AJ78" s="50" t="s">
        <v>13036</v>
      </c>
      <c r="AK78" s="50" t="s">
        <v>13302</v>
      </c>
      <c r="AL78" s="50" t="s">
        <v>13303</v>
      </c>
      <c r="AM78" s="50" t="s">
        <v>13304</v>
      </c>
      <c r="AN78" s="50" t="s">
        <v>13305</v>
      </c>
      <c r="AO78" s="50" t="s">
        <v>13306</v>
      </c>
      <c r="AP78" s="50" t="s">
        <v>13307</v>
      </c>
      <c r="AT78" s="50" t="s">
        <v>169</v>
      </c>
      <c r="AU78" s="50" t="s">
        <v>247</v>
      </c>
      <c r="AV78" s="50" t="s">
        <v>118</v>
      </c>
      <c r="AW78" s="50" t="s">
        <v>102</v>
      </c>
      <c r="AX78" s="50" t="s">
        <v>119</v>
      </c>
      <c r="BA78" s="50" t="s">
        <v>250</v>
      </c>
      <c r="BB78" s="50" t="s">
        <v>171</v>
      </c>
      <c r="BC78" s="50" t="s">
        <v>920</v>
      </c>
      <c r="BD78" s="50" t="s">
        <v>211</v>
      </c>
      <c r="BE78" s="50" t="s">
        <v>212</v>
      </c>
      <c r="BF78" s="50" t="s">
        <v>213</v>
      </c>
      <c r="BG78" s="50" t="s">
        <v>124</v>
      </c>
      <c r="BH78" s="50" t="s">
        <v>13308</v>
      </c>
      <c r="BI78" s="50" t="s">
        <v>13309</v>
      </c>
      <c r="BJ78" s="50" t="s">
        <v>127</v>
      </c>
      <c r="BK78" s="50" t="s">
        <v>13310</v>
      </c>
      <c r="BL78" s="50" t="s">
        <v>2417</v>
      </c>
      <c r="BM78" s="50" t="s">
        <v>13311</v>
      </c>
      <c r="BN78" s="50" t="s">
        <v>13297</v>
      </c>
      <c r="BO78" s="50" t="s">
        <v>1309</v>
      </c>
      <c r="BP78" s="50" t="s">
        <v>180</v>
      </c>
      <c r="BQ78" s="50" t="s">
        <v>1310</v>
      </c>
      <c r="BR78" s="50" t="s">
        <v>1311</v>
      </c>
      <c r="BS78" s="50" t="s">
        <v>1312</v>
      </c>
      <c r="BU78" s="50" t="s">
        <v>13312</v>
      </c>
      <c r="BV78" s="50" t="s">
        <v>13313</v>
      </c>
      <c r="BW78" s="50" t="s">
        <v>138</v>
      </c>
      <c r="BX78" s="50" t="s">
        <v>13314</v>
      </c>
      <c r="BY78" s="50" t="s">
        <v>13315</v>
      </c>
      <c r="BZ78" s="50" t="s">
        <v>2423</v>
      </c>
      <c r="CA78" s="50" t="s">
        <v>13313</v>
      </c>
      <c r="CB78" s="50" t="s">
        <v>13314</v>
      </c>
      <c r="CC78" s="50" t="s">
        <v>13315</v>
      </c>
      <c r="CD78" s="50" t="s">
        <v>13313</v>
      </c>
      <c r="CE78" s="50" t="s">
        <v>13314</v>
      </c>
      <c r="CF78" s="50" t="s">
        <v>13315</v>
      </c>
      <c r="CG78" s="50" t="s">
        <v>2424</v>
      </c>
      <c r="CH78" s="50" t="s">
        <v>13316</v>
      </c>
      <c r="CJ78" s="50" t="s">
        <v>2426</v>
      </c>
      <c r="CK78" s="50" t="s">
        <v>13317</v>
      </c>
      <c r="CL78" s="50" t="s">
        <v>920</v>
      </c>
      <c r="CM78" s="50" t="s">
        <v>211</v>
      </c>
      <c r="CN78" s="50" t="s">
        <v>2426</v>
      </c>
      <c r="CO78" s="50" t="s">
        <v>102</v>
      </c>
      <c r="CP78" s="50" t="s">
        <v>2425</v>
      </c>
      <c r="CQ78" s="50" t="s">
        <v>2425</v>
      </c>
      <c r="CR78" s="50" t="s">
        <v>26045</v>
      </c>
    </row>
    <row r="79" spans="1:96">
      <c r="A79" s="50" t="s">
        <v>93</v>
      </c>
      <c r="B79" s="50">
        <v>1114832</v>
      </c>
      <c r="C79" s="50" t="s">
        <v>12121</v>
      </c>
      <c r="D79" s="50" t="s">
        <v>12120</v>
      </c>
      <c r="E79" s="50" t="e">
        <f>VLOOKUP(B79,aa!B:F,5,0)</f>
        <v>#N/A</v>
      </c>
      <c r="F79" s="50" t="e">
        <f>VLOOKUP(B79,aa!B:J,9,0)</f>
        <v>#N/A</v>
      </c>
      <c r="G79" s="50" t="e">
        <f>VLOOKUP(B79,aa!B:L,11,0)</f>
        <v>#N/A</v>
      </c>
      <c r="H79" s="50" t="e">
        <f>VLOOKUP(B79,aa!B:O,14,0)</f>
        <v>#N/A</v>
      </c>
      <c r="I79" s="50" t="e">
        <f>VLOOKUP(B79,aa!B:R,17,0)</f>
        <v>#N/A</v>
      </c>
      <c r="K79" s="50" t="s">
        <v>152</v>
      </c>
      <c r="L79" s="50">
        <v>343024</v>
      </c>
      <c r="M79" s="50">
        <v>343024</v>
      </c>
      <c r="N79" s="50">
        <v>0</v>
      </c>
      <c r="O79" s="50">
        <v>0</v>
      </c>
      <c r="Q79" s="50">
        <v>343024</v>
      </c>
      <c r="R79" s="50">
        <v>245</v>
      </c>
      <c r="S79" s="50" t="s">
        <v>4289</v>
      </c>
      <c r="T79" s="50">
        <v>0</v>
      </c>
      <c r="U79" s="50">
        <v>0</v>
      </c>
      <c r="W79" s="50" t="s">
        <v>102</v>
      </c>
      <c r="X79" s="50" t="s">
        <v>103</v>
      </c>
      <c r="Y79" s="50" t="s">
        <v>104</v>
      </c>
      <c r="AA79" s="50" t="s">
        <v>5022</v>
      </c>
      <c r="AB79" s="50" t="s">
        <v>12122</v>
      </c>
      <c r="AC79" s="50" t="s">
        <v>12123</v>
      </c>
      <c r="AD79" s="50" t="s">
        <v>12124</v>
      </c>
      <c r="AE79" s="50" t="s">
        <v>109</v>
      </c>
      <c r="AF79" s="50" t="s">
        <v>102</v>
      </c>
      <c r="AG79" s="50" t="s">
        <v>109</v>
      </c>
      <c r="AH79" s="50" t="s">
        <v>102</v>
      </c>
      <c r="AI79" s="50" t="s">
        <v>102</v>
      </c>
      <c r="AJ79" s="50" t="s">
        <v>158</v>
      </c>
      <c r="AK79" s="50" t="s">
        <v>158</v>
      </c>
      <c r="AL79" s="50" t="s">
        <v>12125</v>
      </c>
      <c r="AM79" s="50" t="s">
        <v>12126</v>
      </c>
      <c r="AN79" s="50" t="s">
        <v>12127</v>
      </c>
      <c r="AO79" s="50" t="s">
        <v>4298</v>
      </c>
      <c r="AP79" s="50" t="s">
        <v>4298</v>
      </c>
      <c r="AU79" s="50" t="s">
        <v>102</v>
      </c>
      <c r="AW79" s="50" t="s">
        <v>155</v>
      </c>
      <c r="AX79" s="50" t="s">
        <v>119</v>
      </c>
      <c r="AY79" s="50" t="s">
        <v>170</v>
      </c>
      <c r="AZ79" s="50" t="s">
        <v>118</v>
      </c>
      <c r="BB79" s="50" t="s">
        <v>120</v>
      </c>
      <c r="BC79" s="50" t="s">
        <v>9564</v>
      </c>
      <c r="BD79" s="50" t="s">
        <v>556</v>
      </c>
      <c r="BE79" s="50" t="s">
        <v>122</v>
      </c>
      <c r="BF79" s="50" t="s">
        <v>557</v>
      </c>
      <c r="BG79" s="50" t="s">
        <v>124</v>
      </c>
      <c r="BH79" s="50" t="s">
        <v>12128</v>
      </c>
      <c r="BI79" s="50" t="s">
        <v>12129</v>
      </c>
      <c r="BJ79" s="50" t="s">
        <v>127</v>
      </c>
      <c r="BK79" s="50" t="s">
        <v>12130</v>
      </c>
      <c r="BL79" s="50" t="s">
        <v>12131</v>
      </c>
      <c r="BM79" s="50" t="s">
        <v>12132</v>
      </c>
      <c r="BN79" s="50" t="s">
        <v>5022</v>
      </c>
      <c r="BO79" s="50" t="s">
        <v>563</v>
      </c>
      <c r="BP79" s="50" t="s">
        <v>350</v>
      </c>
      <c r="BQ79" s="50" t="s">
        <v>564</v>
      </c>
      <c r="BR79" s="50" t="s">
        <v>565</v>
      </c>
      <c r="BS79" s="50" t="s">
        <v>563</v>
      </c>
      <c r="BU79" s="50" t="s">
        <v>12133</v>
      </c>
      <c r="BV79" s="50" t="s">
        <v>12134</v>
      </c>
      <c r="BW79" s="50" t="s">
        <v>138</v>
      </c>
      <c r="BX79" s="50" t="s">
        <v>12135</v>
      </c>
      <c r="BY79" s="50" t="s">
        <v>12136</v>
      </c>
      <c r="BZ79" s="50" t="s">
        <v>12137</v>
      </c>
      <c r="CA79" s="50" t="s">
        <v>12138</v>
      </c>
      <c r="CB79" s="50" t="s">
        <v>12139</v>
      </c>
      <c r="CC79" s="50" t="s">
        <v>12136</v>
      </c>
      <c r="CD79" s="50" t="s">
        <v>12138</v>
      </c>
      <c r="CE79" s="50" t="s">
        <v>12139</v>
      </c>
      <c r="CF79" s="50" t="s">
        <v>12136</v>
      </c>
      <c r="CG79" s="50" t="s">
        <v>10583</v>
      </c>
      <c r="CH79" s="50" t="s">
        <v>12140</v>
      </c>
      <c r="CJ79" s="50" t="s">
        <v>9563</v>
      </c>
      <c r="CK79" s="50" t="s">
        <v>12141</v>
      </c>
      <c r="CL79" s="50" t="s">
        <v>9564</v>
      </c>
      <c r="CM79" s="50" t="s">
        <v>556</v>
      </c>
      <c r="CN79" s="50" t="s">
        <v>9563</v>
      </c>
      <c r="CP79" s="50" t="s">
        <v>12142</v>
      </c>
      <c r="CQ79" s="50" t="s">
        <v>12143</v>
      </c>
    </row>
    <row r="80" spans="1:96">
      <c r="A80" s="95" t="s">
        <v>149</v>
      </c>
      <c r="B80" s="50">
        <v>2551930</v>
      </c>
      <c r="C80" s="50" t="s">
        <v>11995</v>
      </c>
      <c r="D80" s="50" t="s">
        <v>4023</v>
      </c>
      <c r="E80" s="50" t="e">
        <f>VLOOKUP(B80,aa!B:F,5,0)</f>
        <v>#N/A</v>
      </c>
      <c r="F80" s="50" t="e">
        <f>VLOOKUP(B80,aa!B:J,9,0)</f>
        <v>#N/A</v>
      </c>
      <c r="G80" s="50" t="e">
        <f>VLOOKUP(B80,aa!B:L,11,0)</f>
        <v>#N/A</v>
      </c>
      <c r="H80" s="50" t="e">
        <f>VLOOKUP(B80,aa!B:O,14,0)</f>
        <v>#N/A</v>
      </c>
      <c r="I80" s="50" t="e">
        <f>VLOOKUP(B80,aa!B:R,17,0)</f>
        <v>#N/A</v>
      </c>
      <c r="K80" s="50" t="s">
        <v>152</v>
      </c>
      <c r="L80" s="50">
        <v>582306</v>
      </c>
      <c r="M80" s="50">
        <v>582306</v>
      </c>
      <c r="N80" s="50">
        <v>0</v>
      </c>
      <c r="O80" s="50">
        <v>0</v>
      </c>
      <c r="Q80" s="50">
        <v>582306</v>
      </c>
      <c r="R80" s="50">
        <v>584</v>
      </c>
      <c r="S80" s="50" t="s">
        <v>7732</v>
      </c>
      <c r="T80" s="50">
        <v>0</v>
      </c>
      <c r="U80" s="50">
        <v>0</v>
      </c>
      <c r="W80" s="50" t="s">
        <v>102</v>
      </c>
      <c r="X80" s="50" t="s">
        <v>275</v>
      </c>
      <c r="Z80" s="50" t="s">
        <v>1408</v>
      </c>
      <c r="AA80" s="50" t="s">
        <v>109</v>
      </c>
      <c r="AB80" s="50" t="s">
        <v>102</v>
      </c>
      <c r="AC80" s="50" t="s">
        <v>109</v>
      </c>
      <c r="AD80" s="50" t="s">
        <v>102</v>
      </c>
      <c r="AE80" s="50" t="s">
        <v>109</v>
      </c>
      <c r="AF80" s="50" t="s">
        <v>102</v>
      </c>
      <c r="AG80" s="50" t="s">
        <v>109</v>
      </c>
      <c r="AH80" s="50" t="s">
        <v>102</v>
      </c>
      <c r="AI80" s="50" t="s">
        <v>102</v>
      </c>
      <c r="AJ80" s="50" t="s">
        <v>13511</v>
      </c>
      <c r="AK80" s="50" t="s">
        <v>5651</v>
      </c>
      <c r="AL80" s="50" t="s">
        <v>14478</v>
      </c>
      <c r="AM80" s="50" t="s">
        <v>14479</v>
      </c>
      <c r="AN80" s="50" t="s">
        <v>14480</v>
      </c>
      <c r="AO80" s="50" t="s">
        <v>14481</v>
      </c>
      <c r="AP80" s="50" t="s">
        <v>14481</v>
      </c>
      <c r="AU80" s="50" t="s">
        <v>102</v>
      </c>
      <c r="AW80" s="50" t="s">
        <v>155</v>
      </c>
      <c r="AX80" s="50" t="s">
        <v>119</v>
      </c>
      <c r="AY80" s="50" t="s">
        <v>1138</v>
      </c>
      <c r="AZ80" s="50" t="s">
        <v>118</v>
      </c>
      <c r="BB80" s="50" t="s">
        <v>120</v>
      </c>
      <c r="BC80" s="50" t="s">
        <v>284</v>
      </c>
      <c r="BD80" s="50" t="s">
        <v>285</v>
      </c>
      <c r="BE80" s="50" t="s">
        <v>212</v>
      </c>
      <c r="BF80" s="50" t="s">
        <v>286</v>
      </c>
      <c r="BG80" s="50" t="s">
        <v>124</v>
      </c>
      <c r="BH80" s="50" t="s">
        <v>12425</v>
      </c>
      <c r="BI80" s="50" t="s">
        <v>12047</v>
      </c>
      <c r="BJ80" s="50" t="s">
        <v>127</v>
      </c>
      <c r="BK80" s="50" t="s">
        <v>14482</v>
      </c>
      <c r="BL80" s="50" t="s">
        <v>4031</v>
      </c>
      <c r="BM80" s="50" t="s">
        <v>4032</v>
      </c>
      <c r="BN80" s="50" t="s">
        <v>5022</v>
      </c>
      <c r="BO80" s="50" t="s">
        <v>3997</v>
      </c>
      <c r="BP80" s="50" t="s">
        <v>132</v>
      </c>
      <c r="BQ80" s="50" t="s">
        <v>3998</v>
      </c>
      <c r="BR80" s="50" t="s">
        <v>3999</v>
      </c>
      <c r="BS80" s="50" t="s">
        <v>3362</v>
      </c>
      <c r="BU80" s="50" t="s">
        <v>14483</v>
      </c>
      <c r="BV80" s="50" t="s">
        <v>4034</v>
      </c>
      <c r="BW80" s="50" t="s">
        <v>354</v>
      </c>
      <c r="BX80" s="50" t="s">
        <v>4035</v>
      </c>
      <c r="BY80" s="50" t="s">
        <v>4036</v>
      </c>
      <c r="BZ80" s="50" t="s">
        <v>4037</v>
      </c>
      <c r="CA80" s="50" t="s">
        <v>14484</v>
      </c>
      <c r="CB80" s="50" t="s">
        <v>4035</v>
      </c>
      <c r="CC80" s="50" t="s">
        <v>14485</v>
      </c>
      <c r="CD80" s="50" t="s">
        <v>14486</v>
      </c>
      <c r="CE80" s="50" t="s">
        <v>4035</v>
      </c>
      <c r="CF80" s="50" t="s">
        <v>14487</v>
      </c>
      <c r="CG80" s="50" t="s">
        <v>102</v>
      </c>
      <c r="CH80" s="50" t="s">
        <v>14488</v>
      </c>
      <c r="CJ80" s="50" t="s">
        <v>4039</v>
      </c>
      <c r="CK80" s="50" t="s">
        <v>14489</v>
      </c>
      <c r="CL80" s="50" t="s">
        <v>284</v>
      </c>
      <c r="CM80" s="50" t="s">
        <v>285</v>
      </c>
      <c r="CN80" s="50" t="s">
        <v>4039</v>
      </c>
      <c r="CP80" s="50" t="s">
        <v>4038</v>
      </c>
      <c r="CQ80" s="50" t="s">
        <v>4038</v>
      </c>
      <c r="CR80" s="50" t="s">
        <v>26044</v>
      </c>
    </row>
    <row r="81" spans="1:96">
      <c r="A81" s="50" t="s">
        <v>93</v>
      </c>
      <c r="B81" s="50">
        <v>3915751</v>
      </c>
      <c r="C81" s="50" t="s">
        <v>11995</v>
      </c>
      <c r="D81" s="50" t="s">
        <v>17298</v>
      </c>
      <c r="E81" s="50" t="e">
        <f>VLOOKUP(B81,aa!B:F,5,0)</f>
        <v>#N/A</v>
      </c>
      <c r="F81" s="50" t="e">
        <f>VLOOKUP(B81,aa!B:J,9,0)</f>
        <v>#N/A</v>
      </c>
      <c r="G81" s="50" t="e">
        <f>VLOOKUP(B81,aa!B:L,11,0)</f>
        <v>#N/A</v>
      </c>
      <c r="H81" s="50" t="e">
        <f>VLOOKUP(B81,aa!B:O,14,0)</f>
        <v>#N/A</v>
      </c>
      <c r="I81" s="50" t="e">
        <f>VLOOKUP(B81,aa!B:R,17,0)</f>
        <v>#N/A</v>
      </c>
      <c r="K81" s="50" t="s">
        <v>97</v>
      </c>
      <c r="L81" s="50">
        <v>249381</v>
      </c>
      <c r="M81" s="50">
        <v>249381</v>
      </c>
      <c r="N81" s="50">
        <v>249381</v>
      </c>
      <c r="O81" s="50">
        <v>458</v>
      </c>
      <c r="P81" s="50" t="s">
        <v>16052</v>
      </c>
      <c r="Q81" s="50">
        <v>0</v>
      </c>
      <c r="R81" s="50">
        <v>0</v>
      </c>
      <c r="T81" s="50">
        <v>0</v>
      </c>
      <c r="U81" s="50">
        <v>0</v>
      </c>
      <c r="W81" s="50" t="s">
        <v>102</v>
      </c>
      <c r="X81" s="50" t="s">
        <v>103</v>
      </c>
      <c r="Y81" s="50" t="s">
        <v>398</v>
      </c>
      <c r="AA81" s="50" t="s">
        <v>4909</v>
      </c>
      <c r="AB81" s="50" t="s">
        <v>17299</v>
      </c>
      <c r="AC81" s="50" t="s">
        <v>3679</v>
      </c>
      <c r="AD81" s="50" t="s">
        <v>17300</v>
      </c>
      <c r="AE81" s="50" t="s">
        <v>1427</v>
      </c>
      <c r="AF81" s="50" t="s">
        <v>17299</v>
      </c>
      <c r="AG81" s="50" t="s">
        <v>109</v>
      </c>
      <c r="AH81" s="50" t="s">
        <v>102</v>
      </c>
      <c r="AI81" s="50" t="s">
        <v>17301</v>
      </c>
      <c r="AJ81" s="50" t="s">
        <v>16382</v>
      </c>
      <c r="AK81" s="50" t="s">
        <v>17302</v>
      </c>
      <c r="AL81" s="50" t="s">
        <v>17303</v>
      </c>
      <c r="AM81" s="50" t="s">
        <v>17304</v>
      </c>
      <c r="AN81" s="50" t="s">
        <v>398</v>
      </c>
      <c r="AO81" s="50" t="s">
        <v>16058</v>
      </c>
      <c r="AP81" s="50" t="s">
        <v>16058</v>
      </c>
      <c r="AU81" s="50" t="s">
        <v>318</v>
      </c>
      <c r="AV81" s="50" t="s">
        <v>118</v>
      </c>
      <c r="AW81" s="50" t="s">
        <v>102</v>
      </c>
      <c r="AX81" s="50" t="s">
        <v>119</v>
      </c>
      <c r="BB81" s="50" t="s">
        <v>120</v>
      </c>
      <c r="BC81" s="50" t="s">
        <v>284</v>
      </c>
      <c r="BD81" s="50" t="s">
        <v>285</v>
      </c>
      <c r="BE81" s="50" t="s">
        <v>212</v>
      </c>
      <c r="BF81" s="50" t="s">
        <v>286</v>
      </c>
      <c r="BG81" s="50" t="s">
        <v>124</v>
      </c>
      <c r="BH81" s="50" t="s">
        <v>12425</v>
      </c>
      <c r="BI81" s="50" t="s">
        <v>12047</v>
      </c>
      <c r="BJ81" s="50" t="s">
        <v>127</v>
      </c>
      <c r="BK81" s="50" t="s">
        <v>17305</v>
      </c>
      <c r="BL81" s="50" t="s">
        <v>17306</v>
      </c>
      <c r="BM81" s="50" t="s">
        <v>17307</v>
      </c>
      <c r="BN81" s="50" t="s">
        <v>5022</v>
      </c>
      <c r="BO81" s="50" t="s">
        <v>3997</v>
      </c>
      <c r="BP81" s="50" t="s">
        <v>132</v>
      </c>
      <c r="BQ81" s="50" t="s">
        <v>3998</v>
      </c>
      <c r="BR81" s="50" t="s">
        <v>3999</v>
      </c>
      <c r="BS81" s="50" t="s">
        <v>3362</v>
      </c>
      <c r="BU81" s="50" t="s">
        <v>17308</v>
      </c>
      <c r="BV81" s="50" t="s">
        <v>17309</v>
      </c>
      <c r="BW81" s="50" t="s">
        <v>138</v>
      </c>
      <c r="BX81" s="50" t="s">
        <v>17310</v>
      </c>
      <c r="BY81" s="50" t="s">
        <v>17311</v>
      </c>
      <c r="BZ81" s="50" t="s">
        <v>17312</v>
      </c>
      <c r="CA81" s="50" t="s">
        <v>17313</v>
      </c>
      <c r="CB81" s="50" t="s">
        <v>17312</v>
      </c>
      <c r="CC81" s="50" t="s">
        <v>17311</v>
      </c>
      <c r="CD81" s="50" t="s">
        <v>17313</v>
      </c>
      <c r="CE81" s="50" t="s">
        <v>17312</v>
      </c>
      <c r="CF81" s="50" t="s">
        <v>17311</v>
      </c>
      <c r="CG81" s="50" t="s">
        <v>5768</v>
      </c>
      <c r="CH81" s="50" t="s">
        <v>17314</v>
      </c>
      <c r="CJ81" s="50" t="s">
        <v>17315</v>
      </c>
      <c r="CK81" s="50" t="s">
        <v>17316</v>
      </c>
      <c r="CL81" s="50" t="s">
        <v>284</v>
      </c>
      <c r="CM81" s="50" t="s">
        <v>285</v>
      </c>
      <c r="CN81" s="50" t="s">
        <v>17315</v>
      </c>
      <c r="CO81" s="50" t="s">
        <v>17317</v>
      </c>
      <c r="CP81" s="50" t="s">
        <v>17318</v>
      </c>
      <c r="CQ81" s="50" t="s">
        <v>17318</v>
      </c>
      <c r="CR81" s="53" t="s">
        <v>26040</v>
      </c>
    </row>
    <row r="82" spans="1:96">
      <c r="A82" s="95" t="s">
        <v>149</v>
      </c>
      <c r="B82" s="50">
        <v>3896752</v>
      </c>
      <c r="C82" s="50" t="s">
        <v>3562</v>
      </c>
      <c r="D82" s="50" t="s">
        <v>7847</v>
      </c>
      <c r="E82" s="50" t="str">
        <f>VLOOKUP(B82,aa!B:F,5,0)</f>
        <v>Ei ASSET</v>
      </c>
      <c r="F82" s="50">
        <f>VLOOKUP(B82,aa!B:J,9,0)</f>
        <v>181708</v>
      </c>
      <c r="G82" s="50">
        <f>VLOOKUP(B82,aa!B:L,11,0)</f>
        <v>181708</v>
      </c>
      <c r="H82" s="50">
        <f>VLOOKUP(B82,aa!B:O,14,0)</f>
        <v>0</v>
      </c>
      <c r="I82" s="50">
        <f>VLOOKUP(B82,aa!B:R,17,0)</f>
        <v>0</v>
      </c>
      <c r="K82" s="50" t="s">
        <v>193</v>
      </c>
      <c r="L82" s="50">
        <v>481656</v>
      </c>
      <c r="M82" s="50">
        <v>547561</v>
      </c>
      <c r="N82" s="50">
        <v>115518</v>
      </c>
      <c r="O82" s="50">
        <v>165</v>
      </c>
      <c r="P82" s="50" t="s">
        <v>799</v>
      </c>
      <c r="Q82" s="50">
        <v>0</v>
      </c>
      <c r="R82" s="50">
        <v>0</v>
      </c>
      <c r="T82" s="50">
        <v>366138</v>
      </c>
      <c r="U82" s="50">
        <v>180</v>
      </c>
      <c r="V82" s="50" t="s">
        <v>1399</v>
      </c>
      <c r="W82" s="50" t="s">
        <v>102</v>
      </c>
      <c r="X82" s="50" t="s">
        <v>679</v>
      </c>
      <c r="Y82" s="50" t="s">
        <v>104</v>
      </c>
      <c r="Z82" s="50" t="s">
        <v>126</v>
      </c>
      <c r="AA82" s="50" t="s">
        <v>17284</v>
      </c>
      <c r="AB82" s="50" t="s">
        <v>17285</v>
      </c>
      <c r="AC82" s="50" t="s">
        <v>12595</v>
      </c>
      <c r="AD82" s="50" t="s">
        <v>17286</v>
      </c>
      <c r="AE82" s="50" t="s">
        <v>109</v>
      </c>
      <c r="AF82" s="50" t="s">
        <v>102</v>
      </c>
      <c r="AG82" s="50" t="s">
        <v>109</v>
      </c>
      <c r="AH82" s="50" t="s">
        <v>102</v>
      </c>
      <c r="AI82" s="50" t="s">
        <v>102</v>
      </c>
      <c r="AJ82" s="50" t="s">
        <v>17287</v>
      </c>
      <c r="AK82" s="50" t="s">
        <v>17287</v>
      </c>
      <c r="AL82" s="50" t="s">
        <v>17288</v>
      </c>
      <c r="AM82" s="50" t="s">
        <v>17289</v>
      </c>
      <c r="AN82" s="50" t="s">
        <v>17290</v>
      </c>
      <c r="AO82" s="50" t="s">
        <v>17291</v>
      </c>
      <c r="AP82" s="50" t="s">
        <v>17292</v>
      </c>
      <c r="AQ82" s="50" t="s">
        <v>343</v>
      </c>
      <c r="AT82" s="50" t="s">
        <v>169</v>
      </c>
      <c r="AU82" s="50" t="s">
        <v>207</v>
      </c>
      <c r="AV82" s="50" t="s">
        <v>118</v>
      </c>
      <c r="AW82" s="50" t="s">
        <v>102</v>
      </c>
      <c r="AX82" s="50" t="s">
        <v>119</v>
      </c>
      <c r="BA82" s="50" t="s">
        <v>250</v>
      </c>
      <c r="BB82" s="50" t="s">
        <v>209</v>
      </c>
      <c r="BC82" s="50" t="s">
        <v>1729</v>
      </c>
      <c r="BD82" s="50" t="s">
        <v>730</v>
      </c>
      <c r="BE82" s="50" t="s">
        <v>622</v>
      </c>
      <c r="BF82" s="50" t="s">
        <v>730</v>
      </c>
      <c r="BG82" s="50" t="s">
        <v>124</v>
      </c>
      <c r="BH82" s="50" t="s">
        <v>11959</v>
      </c>
      <c r="BI82" s="50" t="s">
        <v>11960</v>
      </c>
      <c r="BJ82" s="50" t="s">
        <v>127</v>
      </c>
      <c r="BK82" s="50" t="s">
        <v>17293</v>
      </c>
      <c r="BL82" s="50" t="s">
        <v>7860</v>
      </c>
      <c r="BM82" s="50" t="s">
        <v>17294</v>
      </c>
      <c r="BN82" s="50" t="s">
        <v>17283</v>
      </c>
      <c r="BO82" s="50" t="s">
        <v>7559</v>
      </c>
      <c r="BP82" s="50" t="s">
        <v>350</v>
      </c>
      <c r="BQ82" s="50" t="s">
        <v>7560</v>
      </c>
      <c r="BR82" s="50" t="s">
        <v>7561</v>
      </c>
      <c r="BS82" s="50" t="s">
        <v>7862</v>
      </c>
      <c r="BU82" s="50" t="s">
        <v>17295</v>
      </c>
      <c r="BV82" s="50" t="s">
        <v>7864</v>
      </c>
      <c r="BW82" s="50" t="s">
        <v>354</v>
      </c>
      <c r="BX82" s="50" t="s">
        <v>7865</v>
      </c>
      <c r="BY82" s="50" t="s">
        <v>17296</v>
      </c>
      <c r="BZ82" s="50" t="s">
        <v>7865</v>
      </c>
      <c r="CA82" s="50" t="s">
        <v>17297</v>
      </c>
      <c r="CB82" s="50" t="s">
        <v>7865</v>
      </c>
      <c r="CC82" s="50" t="s">
        <v>17296</v>
      </c>
      <c r="CD82" s="50" t="s">
        <v>17297</v>
      </c>
      <c r="CE82" s="50" t="s">
        <v>7865</v>
      </c>
      <c r="CF82" s="50" t="s">
        <v>17296</v>
      </c>
      <c r="CG82" s="50" t="s">
        <v>102</v>
      </c>
      <c r="CH82" s="50" t="s">
        <v>7867</v>
      </c>
      <c r="CJ82" s="50" t="s">
        <v>7868</v>
      </c>
      <c r="CL82" s="50" t="s">
        <v>1729</v>
      </c>
      <c r="CM82" s="50" t="s">
        <v>730</v>
      </c>
      <c r="CN82" s="50" t="s">
        <v>7868</v>
      </c>
      <c r="CP82" s="50" t="s">
        <v>7867</v>
      </c>
      <c r="CQ82" s="50" t="s">
        <v>7867</v>
      </c>
      <c r="CR82" s="50" t="s">
        <v>26040</v>
      </c>
    </row>
    <row r="83" spans="1:96">
      <c r="A83" s="95" t="s">
        <v>149</v>
      </c>
      <c r="B83" s="50">
        <v>3400783</v>
      </c>
      <c r="C83" s="50" t="s">
        <v>1111</v>
      </c>
      <c r="D83" s="50" t="s">
        <v>5874</v>
      </c>
      <c r="E83" s="50" t="str">
        <f>VLOOKUP(B83,aa!B:F,5,0)</f>
        <v>Ei CARES</v>
      </c>
      <c r="F83" s="50">
        <f>VLOOKUP(B83,aa!B:J,9,0)</f>
        <v>713589</v>
      </c>
      <c r="G83" s="50">
        <f>VLOOKUP(B83,aa!B:L,11,0)</f>
        <v>0</v>
      </c>
      <c r="H83" s="50">
        <f>VLOOKUP(B83,aa!B:O,14,0)</f>
        <v>713589</v>
      </c>
      <c r="I83" s="50">
        <f>VLOOKUP(B83,aa!B:R,17,0)</f>
        <v>0</v>
      </c>
      <c r="K83" s="50" t="s">
        <v>152</v>
      </c>
      <c r="L83" s="50">
        <v>611514</v>
      </c>
      <c r="M83" s="50">
        <v>611514</v>
      </c>
      <c r="N83" s="50">
        <v>0</v>
      </c>
      <c r="O83" s="50">
        <v>0</v>
      </c>
      <c r="Q83" s="50">
        <v>611514</v>
      </c>
      <c r="R83" s="50">
        <v>453</v>
      </c>
      <c r="S83" s="50" t="s">
        <v>397</v>
      </c>
      <c r="T83" s="50">
        <v>0</v>
      </c>
      <c r="U83" s="50">
        <v>0</v>
      </c>
      <c r="W83" s="50" t="s">
        <v>102</v>
      </c>
      <c r="X83" s="50" t="s">
        <v>275</v>
      </c>
      <c r="Z83" s="50" t="s">
        <v>411</v>
      </c>
      <c r="AA83" s="50" t="s">
        <v>109</v>
      </c>
      <c r="AB83" s="50" t="s">
        <v>102</v>
      </c>
      <c r="AC83" s="50" t="s">
        <v>109</v>
      </c>
      <c r="AD83" s="50" t="s">
        <v>102</v>
      </c>
      <c r="AE83" s="50" t="s">
        <v>109</v>
      </c>
      <c r="AF83" s="50" t="s">
        <v>102</v>
      </c>
      <c r="AG83" s="50" t="s">
        <v>109</v>
      </c>
      <c r="AH83" s="50" t="s">
        <v>102</v>
      </c>
      <c r="AI83" s="50" t="s">
        <v>102</v>
      </c>
      <c r="AJ83" s="50" t="s">
        <v>13769</v>
      </c>
      <c r="AK83" s="50" t="s">
        <v>13769</v>
      </c>
      <c r="AL83" s="50" t="s">
        <v>15855</v>
      </c>
      <c r="AM83" s="50" t="s">
        <v>15856</v>
      </c>
      <c r="AN83" s="50" t="s">
        <v>15857</v>
      </c>
      <c r="AO83" s="50" t="s">
        <v>408</v>
      </c>
      <c r="AP83" s="50" t="s">
        <v>408</v>
      </c>
      <c r="AU83" s="50" t="s">
        <v>102</v>
      </c>
      <c r="AW83" s="50" t="s">
        <v>155</v>
      </c>
      <c r="AX83" s="50" t="s">
        <v>119</v>
      </c>
      <c r="AY83" s="50" t="s">
        <v>170</v>
      </c>
      <c r="AZ83" s="50" t="s">
        <v>118</v>
      </c>
      <c r="BB83" s="50" t="s">
        <v>120</v>
      </c>
      <c r="BC83" s="50" t="s">
        <v>5878</v>
      </c>
      <c r="BD83" s="50" t="s">
        <v>5879</v>
      </c>
      <c r="BE83" s="50" t="s">
        <v>174</v>
      </c>
      <c r="BF83" s="50" t="s">
        <v>4405</v>
      </c>
      <c r="BG83" s="50" t="s">
        <v>124</v>
      </c>
      <c r="BH83" s="50" t="s">
        <v>1850</v>
      </c>
      <c r="BI83" s="50" t="s">
        <v>14455</v>
      </c>
      <c r="BJ83" s="50" t="s">
        <v>127</v>
      </c>
      <c r="BK83" s="50" t="s">
        <v>15858</v>
      </c>
      <c r="BL83" s="50" t="s">
        <v>5881</v>
      </c>
      <c r="BM83" s="50" t="s">
        <v>15859</v>
      </c>
      <c r="BN83" s="50" t="s">
        <v>5694</v>
      </c>
      <c r="BO83" s="50" t="s">
        <v>1108</v>
      </c>
      <c r="BP83" s="50" t="s">
        <v>180</v>
      </c>
      <c r="BQ83" s="50" t="s">
        <v>1109</v>
      </c>
      <c r="BR83" s="50" t="s">
        <v>1110</v>
      </c>
      <c r="BS83" s="50" t="s">
        <v>4413</v>
      </c>
      <c r="BU83" s="50" t="s">
        <v>15860</v>
      </c>
      <c r="BV83" s="50" t="s">
        <v>5884</v>
      </c>
      <c r="BW83" s="50" t="s">
        <v>138</v>
      </c>
      <c r="BX83" s="50" t="s">
        <v>15861</v>
      </c>
      <c r="BY83" s="50" t="s">
        <v>15862</v>
      </c>
      <c r="BZ83" s="50" t="s">
        <v>5885</v>
      </c>
      <c r="CA83" s="50" t="s">
        <v>5884</v>
      </c>
      <c r="CB83" s="50" t="s">
        <v>15861</v>
      </c>
      <c r="CC83" s="50" t="s">
        <v>15862</v>
      </c>
      <c r="CD83" s="50" t="s">
        <v>5884</v>
      </c>
      <c r="CE83" s="50" t="s">
        <v>15861</v>
      </c>
      <c r="CF83" s="50" t="s">
        <v>15862</v>
      </c>
      <c r="CG83" s="50" t="s">
        <v>102</v>
      </c>
      <c r="CH83" s="50" t="s">
        <v>15863</v>
      </c>
      <c r="CJ83" s="50" t="s">
        <v>5889</v>
      </c>
      <c r="CL83" s="50" t="s">
        <v>5878</v>
      </c>
      <c r="CM83" s="50" t="s">
        <v>5879</v>
      </c>
      <c r="CN83" s="50" t="s">
        <v>5889</v>
      </c>
      <c r="CP83" s="50" t="s">
        <v>5888</v>
      </c>
      <c r="CQ83" s="50" t="s">
        <v>5888</v>
      </c>
    </row>
    <row r="84" spans="1:96">
      <c r="A84" s="50" t="s">
        <v>93</v>
      </c>
      <c r="B84" s="50">
        <v>3589593</v>
      </c>
      <c r="C84" s="50" t="s">
        <v>632</v>
      </c>
      <c r="D84" s="50" t="s">
        <v>16550</v>
      </c>
      <c r="E84" s="50" t="e">
        <f>VLOOKUP(B84,aa!B:F,5,0)</f>
        <v>#N/A</v>
      </c>
      <c r="F84" s="50" t="e">
        <f>VLOOKUP(B84,aa!B:J,9,0)</f>
        <v>#N/A</v>
      </c>
      <c r="G84" s="50" t="e">
        <f>VLOOKUP(B84,aa!B:L,11,0)</f>
        <v>#N/A</v>
      </c>
      <c r="H84" s="50" t="e">
        <f>VLOOKUP(B84,aa!B:O,14,0)</f>
        <v>#N/A</v>
      </c>
      <c r="I84" s="50" t="e">
        <f>VLOOKUP(B84,aa!B:R,17,0)</f>
        <v>#N/A</v>
      </c>
      <c r="K84" s="50" t="s">
        <v>97</v>
      </c>
      <c r="L84" s="50">
        <v>518373</v>
      </c>
      <c r="M84" s="50">
        <v>518373</v>
      </c>
      <c r="N84" s="50">
        <v>518373</v>
      </c>
      <c r="O84" s="50">
        <v>734</v>
      </c>
      <c r="P84" s="50" t="s">
        <v>5793</v>
      </c>
      <c r="Q84" s="50">
        <v>0</v>
      </c>
      <c r="R84" s="50">
        <v>0</v>
      </c>
      <c r="T84" s="50">
        <v>0</v>
      </c>
      <c r="U84" s="50">
        <v>0</v>
      </c>
      <c r="W84" s="50" t="s">
        <v>102</v>
      </c>
      <c r="X84" s="50" t="s">
        <v>103</v>
      </c>
      <c r="Y84" s="50" t="s">
        <v>104</v>
      </c>
      <c r="AA84" s="50" t="s">
        <v>5694</v>
      </c>
      <c r="AB84" s="50" t="s">
        <v>16551</v>
      </c>
      <c r="AC84" s="50" t="s">
        <v>13033</v>
      </c>
      <c r="AD84" s="50" t="s">
        <v>16551</v>
      </c>
      <c r="AE84" s="50" t="s">
        <v>109</v>
      </c>
      <c r="AF84" s="50" t="s">
        <v>102</v>
      </c>
      <c r="AG84" s="50" t="s">
        <v>109</v>
      </c>
      <c r="AH84" s="50" t="s">
        <v>102</v>
      </c>
      <c r="AI84" s="50" t="s">
        <v>16552</v>
      </c>
      <c r="AJ84" s="50" t="s">
        <v>13435</v>
      </c>
      <c r="AK84" s="50" t="s">
        <v>16553</v>
      </c>
      <c r="AL84" s="50" t="s">
        <v>16554</v>
      </c>
      <c r="AM84" s="50" t="s">
        <v>16555</v>
      </c>
      <c r="AN84" s="50" t="s">
        <v>16556</v>
      </c>
      <c r="AO84" s="50" t="s">
        <v>16557</v>
      </c>
      <c r="AP84" s="50" t="s">
        <v>16557</v>
      </c>
      <c r="AU84" s="50" t="s">
        <v>117</v>
      </c>
      <c r="AV84" s="50" t="s">
        <v>118</v>
      </c>
      <c r="AW84" s="50" t="s">
        <v>102</v>
      </c>
      <c r="AX84" s="50" t="s">
        <v>119</v>
      </c>
      <c r="BB84" s="50" t="s">
        <v>120</v>
      </c>
      <c r="BC84" s="50" t="s">
        <v>4864</v>
      </c>
      <c r="BD84" s="50" t="s">
        <v>621</v>
      </c>
      <c r="BE84" s="50" t="s">
        <v>622</v>
      </c>
      <c r="BF84" s="50" t="s">
        <v>623</v>
      </c>
      <c r="BG84" s="50" t="s">
        <v>124</v>
      </c>
      <c r="BH84" s="50" t="s">
        <v>5548</v>
      </c>
      <c r="BI84" s="50" t="s">
        <v>16558</v>
      </c>
      <c r="BJ84" s="50" t="s">
        <v>127</v>
      </c>
      <c r="BK84" s="50" t="s">
        <v>16559</v>
      </c>
      <c r="BL84" s="50" t="s">
        <v>16560</v>
      </c>
      <c r="BM84" s="50" t="s">
        <v>16561</v>
      </c>
      <c r="BN84" s="50" t="s">
        <v>5694</v>
      </c>
      <c r="BO84" s="50" t="s">
        <v>1670</v>
      </c>
      <c r="BP84" s="50" t="s">
        <v>132</v>
      </c>
      <c r="BQ84" s="50" t="s">
        <v>1671</v>
      </c>
      <c r="BR84" s="50" t="s">
        <v>1672</v>
      </c>
      <c r="BS84" s="50" t="s">
        <v>507</v>
      </c>
      <c r="BT84" s="50" t="s">
        <v>1279</v>
      </c>
      <c r="BU84" s="50" t="s">
        <v>16562</v>
      </c>
      <c r="BV84" s="50" t="s">
        <v>16563</v>
      </c>
      <c r="BW84" s="50" t="s">
        <v>138</v>
      </c>
      <c r="BX84" s="50" t="s">
        <v>16564</v>
      </c>
      <c r="BY84" s="50" t="s">
        <v>16565</v>
      </c>
      <c r="BZ84" s="50" t="s">
        <v>16564</v>
      </c>
      <c r="CA84" s="50" t="s">
        <v>16566</v>
      </c>
      <c r="CB84" s="50" t="s">
        <v>16564</v>
      </c>
      <c r="CC84" s="50" t="s">
        <v>16565</v>
      </c>
      <c r="CD84" s="50" t="s">
        <v>16567</v>
      </c>
      <c r="CE84" s="50" t="s">
        <v>16568</v>
      </c>
      <c r="CF84" s="50" t="s">
        <v>16569</v>
      </c>
      <c r="CG84" s="50" t="s">
        <v>4937</v>
      </c>
      <c r="CH84" s="50" t="s">
        <v>16570</v>
      </c>
      <c r="CJ84" s="50" t="s">
        <v>16571</v>
      </c>
      <c r="CK84" s="50" t="s">
        <v>16572</v>
      </c>
      <c r="CL84" s="50" t="s">
        <v>4864</v>
      </c>
      <c r="CM84" s="50" t="s">
        <v>621</v>
      </c>
      <c r="CN84" s="50" t="s">
        <v>16571</v>
      </c>
      <c r="CO84" s="50" t="s">
        <v>16573</v>
      </c>
      <c r="CP84" s="50" t="s">
        <v>16574</v>
      </c>
      <c r="CQ84" s="50" t="s">
        <v>16574</v>
      </c>
    </row>
    <row r="85" spans="1:96">
      <c r="A85" s="95" t="s">
        <v>149</v>
      </c>
      <c r="B85" s="50">
        <v>2057359</v>
      </c>
      <c r="C85" s="50" t="s">
        <v>12507</v>
      </c>
      <c r="D85" s="50" t="s">
        <v>2534</v>
      </c>
      <c r="E85" s="50" t="str">
        <f>VLOOKUP(B85,aa!B:F,5,0)</f>
        <v>Ei CARES, Ei Mindspark</v>
      </c>
      <c r="F85" s="50">
        <f>VLOOKUP(B85,aa!B:J,9,0)</f>
        <v>1776018</v>
      </c>
      <c r="G85" s="50">
        <f>VLOOKUP(B85,aa!B:L,11,0)</f>
        <v>0</v>
      </c>
      <c r="H85" s="50">
        <f>VLOOKUP(B85,aa!B:O,14,0)</f>
        <v>1083017</v>
      </c>
      <c r="I85" s="50">
        <f>VLOOKUP(B85,aa!B:R,17,0)</f>
        <v>693001</v>
      </c>
      <c r="K85" s="50" t="s">
        <v>152</v>
      </c>
      <c r="L85" s="50">
        <v>1083017</v>
      </c>
      <c r="M85" s="50">
        <v>1083017</v>
      </c>
      <c r="N85" s="50">
        <v>0</v>
      </c>
      <c r="O85" s="50">
        <v>0</v>
      </c>
      <c r="Q85" s="50">
        <v>1083017</v>
      </c>
      <c r="R85" s="50">
        <v>570</v>
      </c>
      <c r="S85" s="50" t="s">
        <v>13436</v>
      </c>
      <c r="T85" s="50">
        <v>0</v>
      </c>
      <c r="U85" s="50">
        <v>0</v>
      </c>
      <c r="W85" s="50" t="s">
        <v>102</v>
      </c>
      <c r="X85" s="50" t="s">
        <v>103</v>
      </c>
      <c r="Y85" s="50" t="s">
        <v>104</v>
      </c>
      <c r="AA85" s="50" t="s">
        <v>1941</v>
      </c>
      <c r="AB85" s="50" t="s">
        <v>13437</v>
      </c>
      <c r="AC85" s="50" t="s">
        <v>13395</v>
      </c>
      <c r="AD85" s="50" t="s">
        <v>13437</v>
      </c>
      <c r="AE85" s="50" t="s">
        <v>109</v>
      </c>
      <c r="AF85" s="50" t="s">
        <v>102</v>
      </c>
      <c r="AG85" s="50" t="s">
        <v>109</v>
      </c>
      <c r="AH85" s="50" t="s">
        <v>102</v>
      </c>
      <c r="AI85" s="50" t="s">
        <v>13438</v>
      </c>
      <c r="AJ85" s="50" t="s">
        <v>10729</v>
      </c>
      <c r="AK85" s="50" t="s">
        <v>13439</v>
      </c>
      <c r="AL85" s="50" t="s">
        <v>13440</v>
      </c>
      <c r="AM85" s="50" t="s">
        <v>13441</v>
      </c>
      <c r="AN85" s="50" t="s">
        <v>13442</v>
      </c>
      <c r="AO85" s="50" t="s">
        <v>13443</v>
      </c>
      <c r="AP85" s="50" t="s">
        <v>13443</v>
      </c>
      <c r="AU85" s="50" t="s">
        <v>102</v>
      </c>
      <c r="AW85" s="50" t="s">
        <v>104</v>
      </c>
      <c r="AX85" s="50" t="s">
        <v>447</v>
      </c>
      <c r="AY85" s="50" t="s">
        <v>170</v>
      </c>
      <c r="AZ85" s="50" t="s">
        <v>118</v>
      </c>
      <c r="BB85" s="50" t="s">
        <v>120</v>
      </c>
      <c r="BC85" s="50" t="s">
        <v>2542</v>
      </c>
      <c r="BD85" s="50" t="s">
        <v>2543</v>
      </c>
      <c r="BE85" s="50" t="s">
        <v>122</v>
      </c>
      <c r="BF85" s="50" t="s">
        <v>557</v>
      </c>
      <c r="BG85" s="50" t="s">
        <v>124</v>
      </c>
      <c r="BH85" s="50" t="s">
        <v>12023</v>
      </c>
      <c r="BI85" s="50" t="s">
        <v>11889</v>
      </c>
      <c r="BJ85" s="50" t="s">
        <v>127</v>
      </c>
      <c r="BK85" s="50" t="s">
        <v>13444</v>
      </c>
      <c r="BL85" s="50" t="s">
        <v>2545</v>
      </c>
      <c r="BM85" s="50" t="s">
        <v>13445</v>
      </c>
      <c r="BN85" s="50" t="s">
        <v>13435</v>
      </c>
      <c r="BO85" s="50" t="s">
        <v>12743</v>
      </c>
      <c r="BP85" s="50" t="s">
        <v>350</v>
      </c>
      <c r="BQ85" s="50" t="s">
        <v>12744</v>
      </c>
      <c r="BR85" s="50" t="s">
        <v>12745</v>
      </c>
      <c r="BS85" s="50" t="s">
        <v>1075</v>
      </c>
      <c r="BU85" s="50" t="s">
        <v>13446</v>
      </c>
      <c r="BV85" s="50" t="s">
        <v>13447</v>
      </c>
      <c r="BW85" s="50" t="s">
        <v>569</v>
      </c>
      <c r="BX85" s="50" t="s">
        <v>13448</v>
      </c>
      <c r="BY85" s="50" t="s">
        <v>13449</v>
      </c>
      <c r="BZ85" s="50" t="s">
        <v>2554</v>
      </c>
      <c r="CA85" s="50" t="s">
        <v>13450</v>
      </c>
      <c r="CB85" s="50" t="s">
        <v>2554</v>
      </c>
      <c r="CC85" s="50" t="s">
        <v>13451</v>
      </c>
      <c r="CD85" s="50" t="s">
        <v>13452</v>
      </c>
      <c r="CE85" s="50" t="s">
        <v>13453</v>
      </c>
      <c r="CF85" s="50" t="s">
        <v>2553</v>
      </c>
      <c r="CG85" s="50" t="s">
        <v>2555</v>
      </c>
      <c r="CH85" s="50" t="s">
        <v>13454</v>
      </c>
      <c r="CJ85" s="50" t="s">
        <v>2557</v>
      </c>
      <c r="CK85" s="50" t="s">
        <v>2556</v>
      </c>
      <c r="CL85" s="50" t="s">
        <v>2542</v>
      </c>
      <c r="CM85" s="50" t="s">
        <v>2543</v>
      </c>
      <c r="CN85" s="50" t="s">
        <v>2557</v>
      </c>
      <c r="CO85" s="50" t="s">
        <v>2558</v>
      </c>
      <c r="CP85" s="50" t="s">
        <v>2556</v>
      </c>
      <c r="CQ85" s="50" t="s">
        <v>2556</v>
      </c>
    </row>
    <row r="86" spans="1:96">
      <c r="A86" s="50" t="s">
        <v>93</v>
      </c>
      <c r="B86" s="50">
        <v>201355</v>
      </c>
      <c r="C86" s="50" t="s">
        <v>11898</v>
      </c>
      <c r="D86" s="50" t="s">
        <v>13257</v>
      </c>
      <c r="E86" s="50" t="e">
        <f>VLOOKUP(B86,aa!B:F,5,0)</f>
        <v>#N/A</v>
      </c>
      <c r="F86" s="50" t="e">
        <f>VLOOKUP(B86,aa!B:J,9,0)</f>
        <v>#N/A</v>
      </c>
      <c r="G86" s="50" t="e">
        <f>VLOOKUP(B86,aa!B:L,11,0)</f>
        <v>#N/A</v>
      </c>
      <c r="H86" s="50" t="e">
        <f>VLOOKUP(B86,aa!B:O,14,0)</f>
        <v>#N/A</v>
      </c>
      <c r="I86" s="50" t="e">
        <f>VLOOKUP(B86,aa!B:R,17,0)</f>
        <v>#N/A</v>
      </c>
      <c r="K86" s="50" t="s">
        <v>193</v>
      </c>
      <c r="L86" s="50">
        <v>651133</v>
      </c>
      <c r="M86" s="50">
        <v>693163</v>
      </c>
      <c r="N86" s="50">
        <v>417633</v>
      </c>
      <c r="O86" s="50">
        <v>654</v>
      </c>
      <c r="P86" s="50" t="s">
        <v>13259</v>
      </c>
      <c r="Q86" s="50">
        <v>0</v>
      </c>
      <c r="R86" s="50">
        <v>0</v>
      </c>
      <c r="T86" s="50">
        <v>233500</v>
      </c>
      <c r="U86" s="50">
        <v>252</v>
      </c>
      <c r="V86" s="50" t="s">
        <v>13260</v>
      </c>
      <c r="W86" s="50" t="s">
        <v>102</v>
      </c>
      <c r="X86" s="50" t="s">
        <v>679</v>
      </c>
      <c r="Y86" s="50" t="s">
        <v>155</v>
      </c>
      <c r="Z86" s="50" t="s">
        <v>9814</v>
      </c>
      <c r="AA86" s="50" t="s">
        <v>13261</v>
      </c>
      <c r="AB86" s="50" t="s">
        <v>13262</v>
      </c>
      <c r="AC86" s="50" t="s">
        <v>12570</v>
      </c>
      <c r="AD86" s="50" t="s">
        <v>13262</v>
      </c>
      <c r="AE86" s="50" t="s">
        <v>12571</v>
      </c>
      <c r="AF86" s="50" t="s">
        <v>13262</v>
      </c>
      <c r="AG86" s="50" t="s">
        <v>13263</v>
      </c>
      <c r="AH86" s="50" t="s">
        <v>13262</v>
      </c>
      <c r="AI86" s="50" t="s">
        <v>13264</v>
      </c>
      <c r="AJ86" s="50" t="s">
        <v>13265</v>
      </c>
      <c r="AK86" s="50" t="s">
        <v>13266</v>
      </c>
      <c r="AL86" s="50" t="s">
        <v>13267</v>
      </c>
      <c r="AM86" s="50" t="s">
        <v>13268</v>
      </c>
      <c r="AN86" s="50" t="s">
        <v>13269</v>
      </c>
      <c r="AO86" s="50" t="s">
        <v>13270</v>
      </c>
      <c r="AP86" s="50" t="s">
        <v>13270</v>
      </c>
      <c r="AU86" s="50" t="s">
        <v>247</v>
      </c>
      <c r="AV86" s="50" t="s">
        <v>2203</v>
      </c>
      <c r="AW86" s="50" t="s">
        <v>102</v>
      </c>
      <c r="AX86" s="50" t="s">
        <v>119</v>
      </c>
      <c r="BA86" s="50" t="s">
        <v>250</v>
      </c>
      <c r="BB86" s="50" t="s">
        <v>120</v>
      </c>
      <c r="BC86" s="50" t="s">
        <v>121</v>
      </c>
      <c r="BD86" s="50" t="s">
        <v>121</v>
      </c>
      <c r="BE86" s="50" t="s">
        <v>122</v>
      </c>
      <c r="BF86" s="50" t="s">
        <v>123</v>
      </c>
      <c r="BG86" s="50" t="s">
        <v>124</v>
      </c>
      <c r="BH86" s="50" t="s">
        <v>13271</v>
      </c>
      <c r="BI86" s="50" t="s">
        <v>11889</v>
      </c>
      <c r="BJ86" s="50" t="s">
        <v>127</v>
      </c>
      <c r="BK86" s="50" t="s">
        <v>13272</v>
      </c>
      <c r="BL86" s="50" t="s">
        <v>13273</v>
      </c>
      <c r="BM86" s="50" t="s">
        <v>13274</v>
      </c>
      <c r="BN86" s="50" t="s">
        <v>13258</v>
      </c>
      <c r="BO86" s="50" t="s">
        <v>131</v>
      </c>
      <c r="BP86" s="50" t="s">
        <v>350</v>
      </c>
      <c r="BQ86" s="50" t="s">
        <v>133</v>
      </c>
      <c r="BR86" s="50" t="s">
        <v>134</v>
      </c>
      <c r="BS86" s="50" t="s">
        <v>455</v>
      </c>
      <c r="BU86" s="50" t="s">
        <v>13275</v>
      </c>
      <c r="BV86" s="50" t="s">
        <v>13276</v>
      </c>
      <c r="BW86" s="50" t="s">
        <v>138</v>
      </c>
      <c r="BX86" s="50" t="s">
        <v>13277</v>
      </c>
      <c r="BY86" s="50" t="s">
        <v>13278</v>
      </c>
      <c r="BZ86" s="50" t="s">
        <v>13277</v>
      </c>
      <c r="CA86" s="50" t="s">
        <v>13279</v>
      </c>
      <c r="CB86" s="50" t="s">
        <v>13277</v>
      </c>
      <c r="CC86" s="50" t="s">
        <v>13278</v>
      </c>
      <c r="CD86" s="50" t="s">
        <v>13280</v>
      </c>
      <c r="CE86" s="50" t="s">
        <v>13277</v>
      </c>
      <c r="CF86" s="50" t="s">
        <v>13281</v>
      </c>
      <c r="CG86" s="50" t="s">
        <v>3805</v>
      </c>
      <c r="CH86" s="50" t="s">
        <v>13282</v>
      </c>
      <c r="CJ86" s="50" t="s">
        <v>13283</v>
      </c>
      <c r="CK86" s="50" t="s">
        <v>13284</v>
      </c>
      <c r="CL86" s="50" t="s">
        <v>121</v>
      </c>
      <c r="CM86" s="50" t="s">
        <v>121</v>
      </c>
      <c r="CN86" s="50" t="s">
        <v>13283</v>
      </c>
      <c r="CO86" s="50" t="s">
        <v>13285</v>
      </c>
      <c r="CP86" s="50" t="s">
        <v>13282</v>
      </c>
      <c r="CQ86" s="50" t="s">
        <v>13282</v>
      </c>
    </row>
    <row r="87" spans="1:96">
      <c r="A87" s="95" t="s">
        <v>149</v>
      </c>
      <c r="B87" s="50">
        <v>1271232</v>
      </c>
      <c r="C87" s="50" t="s">
        <v>12030</v>
      </c>
      <c r="D87" s="50" t="s">
        <v>12308</v>
      </c>
      <c r="E87" s="50" t="str">
        <f>VLOOKUP(B87,aa!B:F,5,0)</f>
        <v>Ei CARES</v>
      </c>
      <c r="F87" s="50">
        <f>VLOOKUP(B87,aa!B:J,9,0)</f>
        <v>858600</v>
      </c>
      <c r="G87" s="50">
        <f>VLOOKUP(B87,aa!B:L,11,0)</f>
        <v>0</v>
      </c>
      <c r="H87" s="50">
        <f>VLOOKUP(B87,aa!B:O,14,0)</f>
        <v>858600</v>
      </c>
      <c r="I87" s="50">
        <f>VLOOKUP(B87,aa!B:R,17,0)</f>
        <v>0</v>
      </c>
      <c r="K87" s="50" t="s">
        <v>1746</v>
      </c>
      <c r="L87" s="50">
        <v>2151433</v>
      </c>
      <c r="M87" s="50">
        <v>2200068</v>
      </c>
      <c r="N87" s="50">
        <v>331436</v>
      </c>
      <c r="O87" s="50">
        <v>499</v>
      </c>
      <c r="P87" s="50" t="s">
        <v>12309</v>
      </c>
      <c r="Q87" s="50">
        <v>1549800</v>
      </c>
      <c r="R87" s="50">
        <v>1000</v>
      </c>
      <c r="S87" s="50" t="s">
        <v>8766</v>
      </c>
      <c r="T87" s="50">
        <v>270197</v>
      </c>
      <c r="U87" s="50">
        <v>200</v>
      </c>
      <c r="V87" s="50" t="s">
        <v>12310</v>
      </c>
      <c r="W87" s="50" t="s">
        <v>102</v>
      </c>
      <c r="X87" s="50" t="s">
        <v>103</v>
      </c>
      <c r="Y87" s="50" t="s">
        <v>155</v>
      </c>
      <c r="AA87" s="50" t="s">
        <v>4665</v>
      </c>
      <c r="AB87" s="50" t="s">
        <v>12311</v>
      </c>
      <c r="AC87" s="50" t="s">
        <v>12312</v>
      </c>
      <c r="AD87" s="50" t="s">
        <v>12311</v>
      </c>
      <c r="AE87" s="50" t="s">
        <v>12099</v>
      </c>
      <c r="AF87" s="50" t="s">
        <v>12311</v>
      </c>
      <c r="AG87" s="50" t="s">
        <v>11886</v>
      </c>
      <c r="AH87" s="50" t="s">
        <v>12311</v>
      </c>
      <c r="AI87" s="50" t="s">
        <v>1538</v>
      </c>
      <c r="AJ87" s="50" t="s">
        <v>6918</v>
      </c>
      <c r="AK87" s="50" t="s">
        <v>12313</v>
      </c>
      <c r="AL87" s="50" t="s">
        <v>12314</v>
      </c>
      <c r="AM87" s="50" t="s">
        <v>12315</v>
      </c>
      <c r="AN87" s="50" t="s">
        <v>12316</v>
      </c>
      <c r="AO87" s="50" t="s">
        <v>12317</v>
      </c>
      <c r="AP87" s="50" t="s">
        <v>12318</v>
      </c>
      <c r="AR87" s="50" t="s">
        <v>169</v>
      </c>
      <c r="AU87" s="50" t="s">
        <v>318</v>
      </c>
      <c r="AV87" s="50" t="s">
        <v>118</v>
      </c>
      <c r="AW87" s="50" t="s">
        <v>155</v>
      </c>
      <c r="AX87" s="50" t="s">
        <v>447</v>
      </c>
      <c r="AY87" s="50" t="s">
        <v>170</v>
      </c>
      <c r="AZ87" s="50" t="s">
        <v>118</v>
      </c>
      <c r="BA87" s="50" t="s">
        <v>250</v>
      </c>
      <c r="BB87" s="50" t="s">
        <v>120</v>
      </c>
      <c r="BC87" s="50" t="s">
        <v>691</v>
      </c>
      <c r="BD87" s="50" t="s">
        <v>320</v>
      </c>
      <c r="BE87" s="50" t="s">
        <v>122</v>
      </c>
      <c r="BF87" s="50" t="s">
        <v>123</v>
      </c>
      <c r="BG87" s="50" t="s">
        <v>124</v>
      </c>
      <c r="BH87" s="50" t="s">
        <v>12023</v>
      </c>
      <c r="BI87" s="50" t="s">
        <v>11889</v>
      </c>
      <c r="BJ87" s="50" t="s">
        <v>127</v>
      </c>
      <c r="BK87" s="50" t="s">
        <v>12319</v>
      </c>
      <c r="BL87" s="50" t="s">
        <v>693</v>
      </c>
      <c r="BM87" s="50" t="s">
        <v>12320</v>
      </c>
      <c r="BN87" s="50" t="s">
        <v>5928</v>
      </c>
      <c r="BO87" s="50" t="s">
        <v>695</v>
      </c>
      <c r="BP87" s="50" t="s">
        <v>350</v>
      </c>
      <c r="BQ87" s="50" t="s">
        <v>697</v>
      </c>
      <c r="BR87" s="50" t="s">
        <v>698</v>
      </c>
      <c r="BS87" s="50" t="s">
        <v>699</v>
      </c>
      <c r="BU87" s="50" t="s">
        <v>12321</v>
      </c>
      <c r="BV87" s="50" t="s">
        <v>12322</v>
      </c>
      <c r="BW87" s="50" t="s">
        <v>354</v>
      </c>
      <c r="BX87" s="50" t="s">
        <v>704</v>
      </c>
      <c r="BY87" s="50" t="s">
        <v>703</v>
      </c>
      <c r="BZ87" s="50" t="s">
        <v>704</v>
      </c>
      <c r="CA87" s="50" t="s">
        <v>701</v>
      </c>
      <c r="CB87" s="50" t="s">
        <v>704</v>
      </c>
      <c r="CC87" s="50" t="s">
        <v>703</v>
      </c>
      <c r="CD87" s="50" t="s">
        <v>701</v>
      </c>
      <c r="CE87" s="50" t="s">
        <v>704</v>
      </c>
      <c r="CF87" s="50" t="s">
        <v>703</v>
      </c>
      <c r="CG87" s="50" t="s">
        <v>709</v>
      </c>
      <c r="CH87" s="50" t="s">
        <v>12323</v>
      </c>
      <c r="CJ87" s="50" t="s">
        <v>711</v>
      </c>
      <c r="CK87" s="50" t="s">
        <v>713</v>
      </c>
      <c r="CL87" s="50" t="s">
        <v>691</v>
      </c>
      <c r="CM87" s="50" t="s">
        <v>320</v>
      </c>
      <c r="CN87" s="50" t="s">
        <v>711</v>
      </c>
      <c r="CP87" s="50" t="s">
        <v>713</v>
      </c>
      <c r="CQ87" s="50" t="s">
        <v>714</v>
      </c>
    </row>
    <row r="88" spans="1:96">
      <c r="A88" s="95" t="s">
        <v>149</v>
      </c>
      <c r="B88" s="50">
        <v>1324480</v>
      </c>
      <c r="C88" s="50" t="s">
        <v>11898</v>
      </c>
      <c r="D88" s="50" t="s">
        <v>796</v>
      </c>
      <c r="E88" s="50" t="str">
        <f>VLOOKUP(B88,aa!B:F,5,0)</f>
        <v>Ei ASSET,Ei Mindspark</v>
      </c>
      <c r="F88" s="50">
        <f>VLOOKUP(B88,aa!B:J,9,0)</f>
        <v>747960</v>
      </c>
      <c r="G88" s="50">
        <f>VLOOKUP(B88,aa!B:L,11,0)</f>
        <v>170378</v>
      </c>
      <c r="H88" s="50">
        <f>VLOOKUP(B88,aa!B:O,14,0)</f>
        <v>0</v>
      </c>
      <c r="I88" s="50">
        <f>VLOOKUP(B88,aa!B:R,17,0)</f>
        <v>577582</v>
      </c>
      <c r="K88" s="50" t="s">
        <v>3549</v>
      </c>
      <c r="L88" s="50">
        <v>1251424</v>
      </c>
      <c r="M88" s="50">
        <v>1407583</v>
      </c>
      <c r="N88" s="50">
        <v>383872</v>
      </c>
      <c r="O88" s="50">
        <v>450</v>
      </c>
      <c r="P88" s="50" t="s">
        <v>12381</v>
      </c>
      <c r="Q88" s="50">
        <v>0</v>
      </c>
      <c r="R88" s="50">
        <v>0</v>
      </c>
      <c r="T88" s="50">
        <v>867552</v>
      </c>
      <c r="U88" s="50">
        <v>500</v>
      </c>
      <c r="V88" s="50" t="s">
        <v>7476</v>
      </c>
      <c r="W88" s="50" t="s">
        <v>102</v>
      </c>
      <c r="X88" s="50" t="s">
        <v>103</v>
      </c>
      <c r="Y88" s="50" t="s">
        <v>155</v>
      </c>
      <c r="AA88" s="50" t="s">
        <v>411</v>
      </c>
      <c r="AB88" s="50" t="s">
        <v>12382</v>
      </c>
      <c r="AC88" s="50" t="s">
        <v>12040</v>
      </c>
      <c r="AD88" s="50" t="s">
        <v>12382</v>
      </c>
      <c r="AE88" s="50" t="s">
        <v>12099</v>
      </c>
      <c r="AF88" s="50" t="s">
        <v>12382</v>
      </c>
      <c r="AG88" s="50" t="s">
        <v>11886</v>
      </c>
      <c r="AH88" s="50" t="s">
        <v>12382</v>
      </c>
      <c r="AI88" s="50" t="s">
        <v>102</v>
      </c>
      <c r="AJ88" s="50" t="s">
        <v>9840</v>
      </c>
      <c r="AK88" s="50" t="s">
        <v>12383</v>
      </c>
      <c r="AL88" s="50" t="s">
        <v>12384</v>
      </c>
      <c r="AM88" s="50" t="s">
        <v>1081</v>
      </c>
      <c r="AN88" s="50" t="s">
        <v>12385</v>
      </c>
      <c r="AO88" s="50" t="s">
        <v>12386</v>
      </c>
      <c r="AP88" s="50" t="s">
        <v>12386</v>
      </c>
      <c r="AU88" s="50" t="s">
        <v>117</v>
      </c>
      <c r="AV88" s="50" t="s">
        <v>118</v>
      </c>
      <c r="AW88" s="50" t="s">
        <v>102</v>
      </c>
      <c r="AX88" s="50" t="s">
        <v>119</v>
      </c>
      <c r="BA88" s="50" t="s">
        <v>250</v>
      </c>
      <c r="BB88" s="50" t="s">
        <v>120</v>
      </c>
      <c r="BC88" s="50" t="s">
        <v>814</v>
      </c>
      <c r="BD88" s="50" t="s">
        <v>320</v>
      </c>
      <c r="BE88" s="50" t="s">
        <v>122</v>
      </c>
      <c r="BF88" s="50" t="s">
        <v>123</v>
      </c>
      <c r="BG88" s="50" t="s">
        <v>124</v>
      </c>
      <c r="BH88" s="50" t="s">
        <v>12023</v>
      </c>
      <c r="BI88" s="50" t="s">
        <v>11889</v>
      </c>
      <c r="BJ88" s="50" t="s">
        <v>127</v>
      </c>
      <c r="BK88" s="50" t="s">
        <v>12387</v>
      </c>
      <c r="BL88" s="50" t="s">
        <v>817</v>
      </c>
      <c r="BM88" s="50" t="s">
        <v>12388</v>
      </c>
      <c r="BN88" s="50" t="s">
        <v>5928</v>
      </c>
      <c r="BO88" s="50" t="s">
        <v>695</v>
      </c>
      <c r="BP88" s="50" t="s">
        <v>350</v>
      </c>
      <c r="BQ88" s="50" t="s">
        <v>697</v>
      </c>
      <c r="BR88" s="50" t="s">
        <v>698</v>
      </c>
      <c r="BS88" s="50" t="s">
        <v>819</v>
      </c>
      <c r="BT88" s="50" t="s">
        <v>261</v>
      </c>
      <c r="BU88" s="50" t="s">
        <v>12389</v>
      </c>
      <c r="BV88" s="50" t="s">
        <v>821</v>
      </c>
      <c r="BW88" s="50" t="s">
        <v>354</v>
      </c>
      <c r="BX88" s="50" t="s">
        <v>822</v>
      </c>
      <c r="BY88" s="50" t="s">
        <v>823</v>
      </c>
      <c r="BZ88" s="50" t="s">
        <v>824</v>
      </c>
      <c r="CA88" s="50" t="s">
        <v>12390</v>
      </c>
      <c r="CB88" s="50" t="s">
        <v>822</v>
      </c>
      <c r="CC88" s="50" t="s">
        <v>823</v>
      </c>
      <c r="CD88" s="50" t="s">
        <v>12390</v>
      </c>
      <c r="CE88" s="50" t="s">
        <v>822</v>
      </c>
      <c r="CF88" s="50" t="s">
        <v>823</v>
      </c>
      <c r="CG88" s="50" t="s">
        <v>828</v>
      </c>
      <c r="CH88" s="50" t="s">
        <v>829</v>
      </c>
      <c r="CJ88" s="50" t="s">
        <v>830</v>
      </c>
      <c r="CK88" s="50" t="s">
        <v>12391</v>
      </c>
      <c r="CL88" s="50" t="s">
        <v>814</v>
      </c>
      <c r="CM88" s="50" t="s">
        <v>320</v>
      </c>
      <c r="CN88" s="50" t="s">
        <v>830</v>
      </c>
      <c r="CP88" s="50" t="s">
        <v>829</v>
      </c>
      <c r="CQ88" s="50" t="s">
        <v>829</v>
      </c>
    </row>
    <row r="89" spans="1:96">
      <c r="A89" s="95" t="s">
        <v>149</v>
      </c>
      <c r="B89" s="50">
        <v>207093</v>
      </c>
      <c r="C89" s="50" t="s">
        <v>12121</v>
      </c>
      <c r="D89" s="50" t="s">
        <v>2626</v>
      </c>
      <c r="E89" s="50" t="e">
        <f>VLOOKUP(B89,aa!B:F,5,0)</f>
        <v>#N/A</v>
      </c>
      <c r="F89" s="50" t="e">
        <f>VLOOKUP(B89,aa!B:J,9,0)</f>
        <v>#N/A</v>
      </c>
      <c r="G89" s="50" t="e">
        <f>VLOOKUP(B89,aa!B:L,11,0)</f>
        <v>#N/A</v>
      </c>
      <c r="H89" s="50" t="e">
        <f>VLOOKUP(B89,aa!B:O,14,0)</f>
        <v>#N/A</v>
      </c>
      <c r="I89" s="50" t="e">
        <f>VLOOKUP(B89,aa!B:R,17,0)</f>
        <v>#N/A</v>
      </c>
      <c r="K89" s="50" t="s">
        <v>152</v>
      </c>
      <c r="L89" s="50">
        <v>1241100</v>
      </c>
      <c r="M89" s="50">
        <v>1241100</v>
      </c>
      <c r="N89" s="50">
        <v>0</v>
      </c>
      <c r="O89" s="50">
        <v>0</v>
      </c>
      <c r="Q89" s="50">
        <v>1241100</v>
      </c>
      <c r="R89" s="50">
        <v>591</v>
      </c>
      <c r="S89" s="50" t="s">
        <v>2987</v>
      </c>
      <c r="T89" s="50">
        <v>0</v>
      </c>
      <c r="U89" s="50">
        <v>0</v>
      </c>
      <c r="W89" s="50" t="s">
        <v>102</v>
      </c>
      <c r="X89" s="50" t="s">
        <v>103</v>
      </c>
      <c r="Y89" s="50" t="s">
        <v>398</v>
      </c>
      <c r="AA89" s="50" t="s">
        <v>6918</v>
      </c>
      <c r="AB89" s="50" t="s">
        <v>13483</v>
      </c>
      <c r="AC89" s="50" t="s">
        <v>12427</v>
      </c>
      <c r="AD89" s="50" t="s">
        <v>13484</v>
      </c>
      <c r="AE89" s="50" t="s">
        <v>12713</v>
      </c>
      <c r="AF89" s="50" t="s">
        <v>13484</v>
      </c>
      <c r="AG89" s="50" t="s">
        <v>109</v>
      </c>
      <c r="AH89" s="50" t="s">
        <v>102</v>
      </c>
      <c r="AI89" s="50" t="s">
        <v>13485</v>
      </c>
      <c r="AJ89" s="50" t="s">
        <v>857</v>
      </c>
      <c r="AK89" s="50" t="s">
        <v>13486</v>
      </c>
      <c r="AL89" s="50" t="s">
        <v>13487</v>
      </c>
      <c r="AM89" s="50" t="s">
        <v>13488</v>
      </c>
      <c r="AN89" s="50" t="s">
        <v>13489</v>
      </c>
      <c r="AO89" s="50" t="s">
        <v>554</v>
      </c>
      <c r="AP89" s="50" t="s">
        <v>554</v>
      </c>
      <c r="AU89" s="50" t="s">
        <v>102</v>
      </c>
      <c r="AW89" s="50" t="s">
        <v>155</v>
      </c>
      <c r="AX89" s="50" t="s">
        <v>119</v>
      </c>
      <c r="AY89" s="50" t="s">
        <v>170</v>
      </c>
      <c r="AZ89" s="50" t="s">
        <v>118</v>
      </c>
      <c r="BB89" s="50" t="s">
        <v>120</v>
      </c>
      <c r="BC89" s="50" t="s">
        <v>555</v>
      </c>
      <c r="BD89" s="50" t="s">
        <v>556</v>
      </c>
      <c r="BE89" s="50" t="s">
        <v>122</v>
      </c>
      <c r="BF89" s="50" t="s">
        <v>557</v>
      </c>
      <c r="BG89" s="50" t="s">
        <v>124</v>
      </c>
      <c r="BH89" s="50" t="s">
        <v>12023</v>
      </c>
      <c r="BI89" s="50" t="s">
        <v>11889</v>
      </c>
      <c r="BJ89" s="50" t="s">
        <v>127</v>
      </c>
      <c r="BK89" s="50" t="s">
        <v>13490</v>
      </c>
      <c r="BL89" s="50" t="s">
        <v>2637</v>
      </c>
      <c r="BM89" s="50" t="s">
        <v>13491</v>
      </c>
      <c r="BN89" s="50" t="s">
        <v>5928</v>
      </c>
      <c r="BO89" s="50" t="s">
        <v>563</v>
      </c>
      <c r="BP89" s="50" t="s">
        <v>350</v>
      </c>
      <c r="BQ89" s="50" t="s">
        <v>564</v>
      </c>
      <c r="BR89" s="50" t="s">
        <v>565</v>
      </c>
      <c r="BS89" s="50" t="s">
        <v>563</v>
      </c>
      <c r="BU89" s="50" t="s">
        <v>13492</v>
      </c>
      <c r="BV89" s="50" t="s">
        <v>13493</v>
      </c>
      <c r="BW89" s="50" t="s">
        <v>138</v>
      </c>
      <c r="BX89" s="50" t="s">
        <v>2641</v>
      </c>
      <c r="BY89" s="50" t="s">
        <v>2642</v>
      </c>
      <c r="BZ89" s="50" t="s">
        <v>2641</v>
      </c>
      <c r="CA89" s="50" t="s">
        <v>13493</v>
      </c>
      <c r="CB89" s="50" t="s">
        <v>2641</v>
      </c>
      <c r="CC89" s="50" t="s">
        <v>2642</v>
      </c>
      <c r="CD89" s="50" t="s">
        <v>2643</v>
      </c>
      <c r="CE89" s="50" t="s">
        <v>2641</v>
      </c>
      <c r="CF89" s="50" t="s">
        <v>13494</v>
      </c>
      <c r="CG89" s="50" t="s">
        <v>2645</v>
      </c>
      <c r="CH89" s="50" t="s">
        <v>13495</v>
      </c>
      <c r="CJ89" s="50" t="s">
        <v>2447</v>
      </c>
      <c r="CK89" s="50" t="s">
        <v>13495</v>
      </c>
      <c r="CL89" s="50" t="s">
        <v>555</v>
      </c>
      <c r="CM89" s="50" t="s">
        <v>556</v>
      </c>
      <c r="CN89" s="50" t="s">
        <v>2447</v>
      </c>
      <c r="CO89" s="50" t="s">
        <v>2647</v>
      </c>
      <c r="CP89" s="50" t="s">
        <v>2646</v>
      </c>
      <c r="CQ89" s="50" t="s">
        <v>2646</v>
      </c>
    </row>
    <row r="90" spans="1:96">
      <c r="A90" s="95" t="s">
        <v>149</v>
      </c>
      <c r="B90" s="50">
        <v>18922</v>
      </c>
      <c r="C90" s="50" t="s">
        <v>2151</v>
      </c>
      <c r="D90" s="50" t="s">
        <v>2162</v>
      </c>
      <c r="E90" s="50" t="e">
        <f>VLOOKUP(B90,aa!B:F,5,0)</f>
        <v>#N/A</v>
      </c>
      <c r="F90" s="50" t="e">
        <f>VLOOKUP(B90,aa!B:J,9,0)</f>
        <v>#N/A</v>
      </c>
      <c r="G90" s="50" t="e">
        <f>VLOOKUP(B90,aa!B:L,11,0)</f>
        <v>#N/A</v>
      </c>
      <c r="H90" s="50" t="e">
        <f>VLOOKUP(B90,aa!B:O,14,0)</f>
        <v>#N/A</v>
      </c>
      <c r="I90" s="50" t="e">
        <f>VLOOKUP(B90,aa!B:R,17,0)</f>
        <v>#N/A</v>
      </c>
      <c r="K90" s="50" t="s">
        <v>1746</v>
      </c>
      <c r="L90" s="50">
        <v>3035261</v>
      </c>
      <c r="M90" s="50">
        <v>3181511</v>
      </c>
      <c r="N90" s="50">
        <v>1366920</v>
      </c>
      <c r="O90" s="50">
        <v>1638</v>
      </c>
      <c r="P90" s="50" t="s">
        <v>13143</v>
      </c>
      <c r="Q90" s="50">
        <v>855843</v>
      </c>
      <c r="R90" s="50">
        <v>467</v>
      </c>
      <c r="S90" s="50" t="s">
        <v>13144</v>
      </c>
      <c r="T90" s="50">
        <v>812498</v>
      </c>
      <c r="U90" s="50">
        <v>465</v>
      </c>
      <c r="V90" s="50" t="s">
        <v>8745</v>
      </c>
      <c r="W90" s="50" t="s">
        <v>102</v>
      </c>
      <c r="X90" s="50" t="s">
        <v>103</v>
      </c>
      <c r="Y90" s="50" t="s">
        <v>155</v>
      </c>
      <c r="AA90" s="50" t="s">
        <v>12023</v>
      </c>
      <c r="AB90" s="50" t="s">
        <v>13145</v>
      </c>
      <c r="AC90" s="50" t="s">
        <v>1408</v>
      </c>
      <c r="AD90" s="50" t="s">
        <v>13145</v>
      </c>
      <c r="AE90" s="50" t="s">
        <v>12888</v>
      </c>
      <c r="AF90" s="50" t="s">
        <v>13145</v>
      </c>
      <c r="AG90" s="50" t="s">
        <v>1427</v>
      </c>
      <c r="AH90" s="50" t="s">
        <v>13145</v>
      </c>
      <c r="AI90" s="50" t="s">
        <v>13146</v>
      </c>
      <c r="AJ90" s="50" t="s">
        <v>1941</v>
      </c>
      <c r="AK90" s="50" t="s">
        <v>12859</v>
      </c>
      <c r="AL90" s="50" t="s">
        <v>13147</v>
      </c>
      <c r="AM90" s="50" t="s">
        <v>13148</v>
      </c>
      <c r="AN90" s="50" t="s">
        <v>13149</v>
      </c>
      <c r="AO90" s="50" t="s">
        <v>13150</v>
      </c>
      <c r="AP90" s="50" t="s">
        <v>13150</v>
      </c>
      <c r="AU90" s="50" t="s">
        <v>318</v>
      </c>
      <c r="AV90" s="50" t="s">
        <v>250</v>
      </c>
      <c r="AW90" s="50" t="s">
        <v>155</v>
      </c>
      <c r="AX90" s="50" t="s">
        <v>119</v>
      </c>
      <c r="AZ90" s="50" t="s">
        <v>250</v>
      </c>
      <c r="BA90" s="50" t="s">
        <v>250</v>
      </c>
      <c r="BB90" s="50" t="s">
        <v>120</v>
      </c>
      <c r="BC90" s="50" t="s">
        <v>920</v>
      </c>
      <c r="BD90" s="50" t="s">
        <v>211</v>
      </c>
      <c r="BE90" s="50" t="s">
        <v>212</v>
      </c>
      <c r="BF90" s="50" t="s">
        <v>213</v>
      </c>
      <c r="BG90" s="50" t="s">
        <v>124</v>
      </c>
      <c r="BH90" s="50" t="s">
        <v>12492</v>
      </c>
      <c r="BI90" s="50" t="s">
        <v>11960</v>
      </c>
      <c r="BJ90" s="50" t="s">
        <v>127</v>
      </c>
      <c r="BK90" s="50" t="s">
        <v>13151</v>
      </c>
      <c r="BL90" s="50" t="s">
        <v>2181</v>
      </c>
      <c r="BM90" s="50" t="s">
        <v>13152</v>
      </c>
      <c r="BN90" s="50" t="s">
        <v>945</v>
      </c>
      <c r="BO90" s="50" t="s">
        <v>415</v>
      </c>
      <c r="BP90" s="50" t="s">
        <v>132</v>
      </c>
      <c r="BQ90" s="50" t="s">
        <v>416</v>
      </c>
      <c r="BR90" s="50" t="s">
        <v>417</v>
      </c>
      <c r="BS90" s="50" t="s">
        <v>222</v>
      </c>
      <c r="BU90" s="50" t="s">
        <v>13153</v>
      </c>
      <c r="BV90" s="50" t="s">
        <v>2184</v>
      </c>
      <c r="BW90" s="50" t="s">
        <v>138</v>
      </c>
      <c r="BX90" s="50" t="s">
        <v>2185</v>
      </c>
      <c r="BY90" s="50" t="s">
        <v>2186</v>
      </c>
      <c r="BZ90" s="50" t="s">
        <v>2187</v>
      </c>
      <c r="CA90" s="50" t="s">
        <v>2184</v>
      </c>
      <c r="CB90" s="50" t="s">
        <v>2185</v>
      </c>
      <c r="CC90" s="50" t="s">
        <v>13154</v>
      </c>
      <c r="CD90" s="50" t="s">
        <v>13155</v>
      </c>
      <c r="CE90" s="50" t="s">
        <v>13156</v>
      </c>
      <c r="CF90" s="50" t="s">
        <v>13157</v>
      </c>
      <c r="CG90" s="50" t="s">
        <v>102</v>
      </c>
      <c r="CH90" s="50" t="s">
        <v>2188</v>
      </c>
      <c r="CJ90" s="50" t="s">
        <v>2189</v>
      </c>
      <c r="CL90" s="50" t="s">
        <v>920</v>
      </c>
      <c r="CM90" s="50" t="s">
        <v>211</v>
      </c>
      <c r="CN90" s="50" t="s">
        <v>2189</v>
      </c>
      <c r="CO90" s="50" t="s">
        <v>2190</v>
      </c>
      <c r="CP90" s="50" t="s">
        <v>2188</v>
      </c>
      <c r="CQ90" s="50" t="s">
        <v>2188</v>
      </c>
      <c r="CR90" s="50" t="s">
        <v>26040</v>
      </c>
    </row>
    <row r="91" spans="1:96">
      <c r="A91" s="95" t="s">
        <v>149</v>
      </c>
      <c r="B91" s="50">
        <v>2291851</v>
      </c>
      <c r="C91" s="50" t="s">
        <v>2525</v>
      </c>
      <c r="D91" s="50" t="s">
        <v>2985</v>
      </c>
      <c r="E91" s="50" t="str">
        <f>VLOOKUP(B91,aa!B:F,5,0)</f>
        <v>Ei ASSET, Ei CARES</v>
      </c>
      <c r="F91" s="50">
        <f>VLOOKUP(B91,aa!B:J,9,0)</f>
        <v>2455448</v>
      </c>
      <c r="G91" s="50">
        <f>VLOOKUP(B91,aa!B:L,11,0)</f>
        <v>695520</v>
      </c>
      <c r="H91" s="50">
        <f>VLOOKUP(B91,aa!B:O,14,0)</f>
        <v>1759928</v>
      </c>
      <c r="I91" s="50">
        <f>VLOOKUP(B91,aa!B:R,17,0)</f>
        <v>0</v>
      </c>
      <c r="K91" s="50" t="s">
        <v>152</v>
      </c>
      <c r="L91" s="50">
        <v>801948</v>
      </c>
      <c r="M91" s="50">
        <v>801948</v>
      </c>
      <c r="N91" s="50">
        <v>0</v>
      </c>
      <c r="O91" s="50">
        <v>0</v>
      </c>
      <c r="Q91" s="50">
        <v>801948</v>
      </c>
      <c r="R91" s="50">
        <v>330</v>
      </c>
      <c r="S91" s="50" t="s">
        <v>13698</v>
      </c>
      <c r="T91" s="50">
        <v>0</v>
      </c>
      <c r="U91" s="50">
        <v>0</v>
      </c>
      <c r="W91" s="50" t="s">
        <v>102</v>
      </c>
      <c r="X91" s="50" t="s">
        <v>275</v>
      </c>
      <c r="Z91" s="50" t="s">
        <v>126</v>
      </c>
      <c r="AA91" s="50" t="s">
        <v>109</v>
      </c>
      <c r="AB91" s="50" t="s">
        <v>102</v>
      </c>
      <c r="AC91" s="50" t="s">
        <v>109</v>
      </c>
      <c r="AD91" s="50" t="s">
        <v>102</v>
      </c>
      <c r="AE91" s="50" t="s">
        <v>109</v>
      </c>
      <c r="AF91" s="50" t="s">
        <v>102</v>
      </c>
      <c r="AG91" s="50" t="s">
        <v>109</v>
      </c>
      <c r="AH91" s="50" t="s">
        <v>102</v>
      </c>
      <c r="AI91" s="50" t="s">
        <v>13699</v>
      </c>
      <c r="AJ91" s="50" t="s">
        <v>1403</v>
      </c>
      <c r="AK91" s="50" t="s">
        <v>1403</v>
      </c>
      <c r="AL91" s="50" t="s">
        <v>13700</v>
      </c>
      <c r="AM91" s="50" t="s">
        <v>13701</v>
      </c>
      <c r="AN91" s="50" t="s">
        <v>115</v>
      </c>
      <c r="AO91" s="50" t="s">
        <v>13702</v>
      </c>
      <c r="AP91" s="50" t="s">
        <v>13703</v>
      </c>
      <c r="AQ91" s="50" t="s">
        <v>343</v>
      </c>
      <c r="AT91" s="50" t="s">
        <v>169</v>
      </c>
      <c r="AU91" s="50" t="s">
        <v>102</v>
      </c>
      <c r="AW91" s="50" t="s">
        <v>1758</v>
      </c>
      <c r="AX91" s="50" t="s">
        <v>447</v>
      </c>
      <c r="AY91" s="50" t="s">
        <v>170</v>
      </c>
      <c r="AZ91" s="50" t="s">
        <v>118</v>
      </c>
      <c r="BB91" s="50" t="s">
        <v>209</v>
      </c>
      <c r="BC91" s="50" t="s">
        <v>2327</v>
      </c>
      <c r="BD91" s="50" t="s">
        <v>730</v>
      </c>
      <c r="BE91" s="50" t="s">
        <v>622</v>
      </c>
      <c r="BF91" s="50" t="s">
        <v>730</v>
      </c>
      <c r="BG91" s="50" t="s">
        <v>124</v>
      </c>
      <c r="BH91" s="50" t="s">
        <v>12023</v>
      </c>
      <c r="BI91" s="50" t="s">
        <v>11889</v>
      </c>
      <c r="BJ91" s="50" t="s">
        <v>127</v>
      </c>
      <c r="BK91" s="50" t="s">
        <v>13704</v>
      </c>
      <c r="BL91" s="50" t="s">
        <v>2995</v>
      </c>
      <c r="BM91" s="50" t="s">
        <v>13705</v>
      </c>
      <c r="BN91" s="50" t="s">
        <v>945</v>
      </c>
      <c r="BO91" s="50" t="s">
        <v>3606</v>
      </c>
      <c r="BP91" s="50" t="s">
        <v>258</v>
      </c>
      <c r="BQ91" s="50" t="s">
        <v>3607</v>
      </c>
      <c r="BR91" s="50" t="s">
        <v>3608</v>
      </c>
      <c r="BS91" s="50" t="s">
        <v>2525</v>
      </c>
      <c r="BU91" s="50" t="s">
        <v>13706</v>
      </c>
      <c r="BV91" s="50" t="s">
        <v>2998</v>
      </c>
      <c r="BW91" s="50" t="s">
        <v>296</v>
      </c>
      <c r="BX91" s="50" t="s">
        <v>13707</v>
      </c>
      <c r="BY91" s="50" t="s">
        <v>3000</v>
      </c>
      <c r="CA91" s="50" t="s">
        <v>2998</v>
      </c>
      <c r="CB91" s="50" t="s">
        <v>13707</v>
      </c>
      <c r="CC91" s="50" t="s">
        <v>3000</v>
      </c>
      <c r="CD91" s="50" t="s">
        <v>2998</v>
      </c>
      <c r="CE91" s="50" t="s">
        <v>13707</v>
      </c>
      <c r="CF91" s="50" t="s">
        <v>3000</v>
      </c>
      <c r="CG91" s="50" t="s">
        <v>102</v>
      </c>
      <c r="CH91" s="50" t="s">
        <v>13708</v>
      </c>
      <c r="CJ91" s="50" t="s">
        <v>2272</v>
      </c>
      <c r="CL91" s="50" t="s">
        <v>2327</v>
      </c>
      <c r="CM91" s="50" t="s">
        <v>730</v>
      </c>
      <c r="CN91" s="50" t="s">
        <v>2272</v>
      </c>
      <c r="CP91" s="50" t="s">
        <v>3001</v>
      </c>
      <c r="CQ91" s="50" t="s">
        <v>3001</v>
      </c>
    </row>
    <row r="92" spans="1:96">
      <c r="A92" s="95" t="s">
        <v>149</v>
      </c>
      <c r="B92" s="50">
        <v>2409420</v>
      </c>
      <c r="C92" s="50" t="s">
        <v>12121</v>
      </c>
      <c r="D92" s="50" t="s">
        <v>3277</v>
      </c>
      <c r="E92" s="50" t="str">
        <f>VLOOKUP(B92,aa!B:F,5,0)</f>
        <v>Ei ASSET</v>
      </c>
      <c r="F92" s="50">
        <f>VLOOKUP(B92,aa!B:J,9,0)</f>
        <v>391222</v>
      </c>
      <c r="G92" s="50">
        <f>VLOOKUP(B92,aa!B:L,11,0)</f>
        <v>391222</v>
      </c>
      <c r="H92" s="50">
        <f>VLOOKUP(B92,aa!B:O,14,0)</f>
        <v>0</v>
      </c>
      <c r="I92" s="50">
        <f>VLOOKUP(B92,aa!B:R,17,0)</f>
        <v>0</v>
      </c>
      <c r="K92" s="50" t="s">
        <v>97</v>
      </c>
      <c r="L92" s="50">
        <v>283797</v>
      </c>
      <c r="M92" s="50">
        <v>283797</v>
      </c>
      <c r="N92" s="50">
        <v>283797</v>
      </c>
      <c r="O92" s="50">
        <v>457</v>
      </c>
      <c r="P92" s="50" t="s">
        <v>13912</v>
      </c>
      <c r="Q92" s="50">
        <v>0</v>
      </c>
      <c r="R92" s="50">
        <v>0</v>
      </c>
      <c r="T92" s="50">
        <v>0</v>
      </c>
      <c r="U92" s="50">
        <v>0</v>
      </c>
      <c r="W92" s="50" t="s">
        <v>102</v>
      </c>
      <c r="X92" s="50" t="s">
        <v>275</v>
      </c>
      <c r="Z92" s="50" t="s">
        <v>4665</v>
      </c>
      <c r="AA92" s="50" t="s">
        <v>109</v>
      </c>
      <c r="AB92" s="50" t="s">
        <v>102</v>
      </c>
      <c r="AC92" s="50" t="s">
        <v>109</v>
      </c>
      <c r="AD92" s="50" t="s">
        <v>102</v>
      </c>
      <c r="AE92" s="50" t="s">
        <v>109</v>
      </c>
      <c r="AF92" s="50" t="s">
        <v>102</v>
      </c>
      <c r="AG92" s="50" t="s">
        <v>109</v>
      </c>
      <c r="AH92" s="50" t="s">
        <v>102</v>
      </c>
      <c r="AI92" s="50" t="s">
        <v>13913</v>
      </c>
      <c r="AJ92" s="50" t="s">
        <v>12211</v>
      </c>
      <c r="AK92" s="50" t="s">
        <v>12211</v>
      </c>
      <c r="AL92" s="50" t="s">
        <v>13914</v>
      </c>
      <c r="AM92" s="50" t="s">
        <v>13915</v>
      </c>
      <c r="AN92" s="50" t="s">
        <v>102</v>
      </c>
      <c r="AO92" s="50" t="s">
        <v>13916</v>
      </c>
      <c r="AP92" s="50" t="s">
        <v>13916</v>
      </c>
      <c r="AU92" s="50" t="s">
        <v>318</v>
      </c>
      <c r="AV92" s="50" t="s">
        <v>250</v>
      </c>
      <c r="AW92" s="50" t="s">
        <v>102</v>
      </c>
      <c r="AX92" s="50" t="s">
        <v>119</v>
      </c>
      <c r="BB92" s="50" t="s">
        <v>120</v>
      </c>
      <c r="BC92" s="50" t="s">
        <v>3284</v>
      </c>
      <c r="BD92" s="50" t="s">
        <v>449</v>
      </c>
      <c r="BE92" s="50" t="s">
        <v>122</v>
      </c>
      <c r="BF92" s="50" t="s">
        <v>253</v>
      </c>
      <c r="BG92" s="50" t="s">
        <v>124</v>
      </c>
      <c r="BH92" s="50" t="s">
        <v>12023</v>
      </c>
      <c r="BI92" s="50" t="s">
        <v>11889</v>
      </c>
      <c r="BJ92" s="50" t="s">
        <v>127</v>
      </c>
      <c r="BK92" s="50" t="s">
        <v>13917</v>
      </c>
      <c r="BL92" s="50" t="s">
        <v>3286</v>
      </c>
      <c r="BM92" s="50" t="s">
        <v>13918</v>
      </c>
      <c r="BN92" s="50" t="s">
        <v>945</v>
      </c>
      <c r="BO92" s="50" t="s">
        <v>1142</v>
      </c>
      <c r="BP92" s="50" t="s">
        <v>350</v>
      </c>
      <c r="BQ92" s="50" t="s">
        <v>1143</v>
      </c>
      <c r="BR92" s="50" t="s">
        <v>1144</v>
      </c>
      <c r="BS92" s="50" t="s">
        <v>566</v>
      </c>
      <c r="BU92" s="50" t="s">
        <v>13919</v>
      </c>
      <c r="BV92" s="50" t="s">
        <v>13920</v>
      </c>
      <c r="BW92" s="50" t="s">
        <v>569</v>
      </c>
      <c r="BX92" s="50" t="s">
        <v>13921</v>
      </c>
      <c r="BY92" s="50" t="s">
        <v>13922</v>
      </c>
      <c r="BZ92" s="50" t="s">
        <v>3292</v>
      </c>
      <c r="CA92" s="50" t="s">
        <v>13920</v>
      </c>
      <c r="CB92" s="50" t="s">
        <v>13921</v>
      </c>
      <c r="CC92" s="50" t="s">
        <v>13922</v>
      </c>
      <c r="CD92" s="50" t="s">
        <v>13920</v>
      </c>
      <c r="CE92" s="50" t="s">
        <v>13921</v>
      </c>
      <c r="CF92" s="50" t="s">
        <v>13922</v>
      </c>
      <c r="CG92" s="50" t="s">
        <v>102</v>
      </c>
      <c r="CH92" s="50" t="s">
        <v>4128</v>
      </c>
      <c r="CJ92" s="50" t="s">
        <v>3298</v>
      </c>
      <c r="CL92" s="50" t="s">
        <v>3284</v>
      </c>
      <c r="CM92" s="50" t="s">
        <v>449</v>
      </c>
      <c r="CN92" s="50" t="s">
        <v>3298</v>
      </c>
      <c r="CO92" s="50" t="s">
        <v>3299</v>
      </c>
      <c r="CP92" s="50" t="s">
        <v>3297</v>
      </c>
      <c r="CQ92" s="50" t="s">
        <v>3297</v>
      </c>
    </row>
    <row r="93" spans="1:96">
      <c r="A93" s="50" t="s">
        <v>93</v>
      </c>
      <c r="B93" s="50">
        <v>3442227</v>
      </c>
      <c r="C93" s="50" t="s">
        <v>1111</v>
      </c>
      <c r="D93" s="50" t="s">
        <v>16005</v>
      </c>
      <c r="E93" s="50" t="str">
        <f>VLOOKUP(B93,aa!B:F,5,0)</f>
        <v>Ei Mindspark</v>
      </c>
      <c r="F93" s="50">
        <f>VLOOKUP(B93,aa!B:J,9,0)</f>
        <v>248595</v>
      </c>
      <c r="G93" s="50">
        <f>VLOOKUP(B93,aa!B:L,11,0)</f>
        <v>0</v>
      </c>
      <c r="H93" s="50">
        <f>VLOOKUP(B93,aa!B:O,14,0)</f>
        <v>0</v>
      </c>
      <c r="I93" s="50">
        <f>VLOOKUP(B93,aa!B:R,17,0)</f>
        <v>248595</v>
      </c>
      <c r="K93" s="50" t="s">
        <v>848</v>
      </c>
      <c r="L93" s="50">
        <v>287038</v>
      </c>
      <c r="M93" s="50">
        <v>338705</v>
      </c>
      <c r="N93" s="50">
        <v>0</v>
      </c>
      <c r="O93" s="50">
        <v>0</v>
      </c>
      <c r="Q93" s="50">
        <v>0</v>
      </c>
      <c r="R93" s="50">
        <v>0</v>
      </c>
      <c r="T93" s="50">
        <v>287038</v>
      </c>
      <c r="U93" s="50">
        <v>224</v>
      </c>
      <c r="V93" s="50" t="s">
        <v>10554</v>
      </c>
      <c r="W93" s="50" t="s">
        <v>102</v>
      </c>
      <c r="X93" s="50" t="s">
        <v>103</v>
      </c>
      <c r="Y93" s="50" t="s">
        <v>155</v>
      </c>
      <c r="AA93" s="50" t="s">
        <v>12023</v>
      </c>
      <c r="AB93" s="50" t="s">
        <v>16006</v>
      </c>
      <c r="AC93" s="50" t="s">
        <v>4563</v>
      </c>
      <c r="AD93" s="50" t="s">
        <v>16006</v>
      </c>
      <c r="AE93" s="50" t="s">
        <v>11888</v>
      </c>
      <c r="AF93" s="50" t="s">
        <v>16006</v>
      </c>
      <c r="AG93" s="50" t="s">
        <v>16007</v>
      </c>
      <c r="AH93" s="50" t="s">
        <v>16006</v>
      </c>
      <c r="AI93" s="50" t="s">
        <v>102</v>
      </c>
      <c r="AJ93" s="50" t="s">
        <v>1202</v>
      </c>
      <c r="AK93" s="50" t="s">
        <v>11905</v>
      </c>
      <c r="AL93" s="50" t="s">
        <v>16008</v>
      </c>
      <c r="AM93" s="50" t="s">
        <v>16009</v>
      </c>
      <c r="AN93" s="50" t="s">
        <v>16010</v>
      </c>
      <c r="AO93" s="50" t="s">
        <v>7221</v>
      </c>
      <c r="AP93" s="50" t="s">
        <v>7221</v>
      </c>
      <c r="AU93" s="50" t="s">
        <v>102</v>
      </c>
      <c r="AW93" s="50" t="s">
        <v>102</v>
      </c>
      <c r="AX93" s="50" t="s">
        <v>119</v>
      </c>
      <c r="BA93" s="50" t="s">
        <v>250</v>
      </c>
      <c r="BB93" s="50" t="s">
        <v>120</v>
      </c>
      <c r="BC93" s="50" t="s">
        <v>16011</v>
      </c>
      <c r="BD93" s="50" t="s">
        <v>4404</v>
      </c>
      <c r="BE93" s="50" t="s">
        <v>174</v>
      </c>
      <c r="BF93" s="50" t="s">
        <v>4405</v>
      </c>
      <c r="BG93" s="50" t="s">
        <v>124</v>
      </c>
      <c r="BH93" s="50" t="s">
        <v>12023</v>
      </c>
      <c r="BI93" s="50" t="s">
        <v>11889</v>
      </c>
      <c r="BJ93" s="50" t="s">
        <v>127</v>
      </c>
      <c r="BK93" s="50" t="s">
        <v>16012</v>
      </c>
      <c r="BL93" s="50" t="s">
        <v>16013</v>
      </c>
      <c r="BM93" s="50" t="s">
        <v>16014</v>
      </c>
      <c r="BN93" s="50" t="s">
        <v>945</v>
      </c>
      <c r="BO93" s="50" t="s">
        <v>16015</v>
      </c>
      <c r="BP93" s="50" t="s">
        <v>180</v>
      </c>
      <c r="BQ93" s="50" t="s">
        <v>16016</v>
      </c>
      <c r="BR93" s="50" t="s">
        <v>16017</v>
      </c>
      <c r="BS93" s="50" t="s">
        <v>4413</v>
      </c>
      <c r="BU93" s="50" t="s">
        <v>16018</v>
      </c>
      <c r="BV93" s="50" t="s">
        <v>16019</v>
      </c>
      <c r="BW93" s="50" t="s">
        <v>138</v>
      </c>
      <c r="BX93" s="50" t="s">
        <v>16020</v>
      </c>
      <c r="BY93" s="50" t="s">
        <v>16021</v>
      </c>
      <c r="BZ93" s="50" t="s">
        <v>16020</v>
      </c>
      <c r="CA93" s="50" t="s">
        <v>16019</v>
      </c>
      <c r="CB93" s="50" t="s">
        <v>16020</v>
      </c>
      <c r="CC93" s="50" t="s">
        <v>16021</v>
      </c>
      <c r="CD93" s="50" t="s">
        <v>16019</v>
      </c>
      <c r="CE93" s="50" t="s">
        <v>16020</v>
      </c>
      <c r="CF93" s="50" t="s">
        <v>16021</v>
      </c>
      <c r="CG93" s="50" t="s">
        <v>16022</v>
      </c>
      <c r="CH93" s="50" t="s">
        <v>16023</v>
      </c>
      <c r="CJ93" s="50" t="s">
        <v>16024</v>
      </c>
      <c r="CK93" s="50" t="s">
        <v>16025</v>
      </c>
      <c r="CL93" s="50" t="s">
        <v>16011</v>
      </c>
      <c r="CM93" s="50" t="s">
        <v>4404</v>
      </c>
      <c r="CN93" s="50" t="s">
        <v>16024</v>
      </c>
      <c r="CP93" s="50" t="s">
        <v>16026</v>
      </c>
      <c r="CQ93" s="50" t="s">
        <v>16026</v>
      </c>
    </row>
    <row r="94" spans="1:96">
      <c r="A94" s="95" t="s">
        <v>149</v>
      </c>
      <c r="B94" s="50">
        <v>5002616</v>
      </c>
      <c r="C94" s="50" t="s">
        <v>2151</v>
      </c>
      <c r="D94" s="50" t="s">
        <v>9104</v>
      </c>
      <c r="E94" s="50" t="e">
        <f>VLOOKUP(B94,aa!B:F,5,0)</f>
        <v>#N/A</v>
      </c>
      <c r="F94" s="50" t="e">
        <f>VLOOKUP(B94,aa!B:J,9,0)</f>
        <v>#N/A</v>
      </c>
      <c r="G94" s="50" t="e">
        <f>VLOOKUP(B94,aa!B:L,11,0)</f>
        <v>#N/A</v>
      </c>
      <c r="H94" s="50" t="e">
        <f>VLOOKUP(B94,aa!B:O,14,0)</f>
        <v>#N/A</v>
      </c>
      <c r="I94" s="50" t="e">
        <f>VLOOKUP(B94,aa!B:R,17,0)</f>
        <v>#N/A</v>
      </c>
      <c r="K94" s="50" t="s">
        <v>152</v>
      </c>
      <c r="L94" s="50">
        <v>620325</v>
      </c>
      <c r="M94" s="50">
        <v>620325</v>
      </c>
      <c r="N94" s="50">
        <v>0</v>
      </c>
      <c r="O94" s="50">
        <v>0</v>
      </c>
      <c r="Q94" s="50">
        <v>620325</v>
      </c>
      <c r="R94" s="50">
        <v>470</v>
      </c>
      <c r="S94" s="50" t="s">
        <v>16755</v>
      </c>
      <c r="T94" s="50">
        <v>0</v>
      </c>
      <c r="U94" s="50">
        <v>0</v>
      </c>
      <c r="W94" s="50" t="s">
        <v>102</v>
      </c>
      <c r="X94" s="50" t="s">
        <v>103</v>
      </c>
      <c r="Y94" s="50" t="s">
        <v>155</v>
      </c>
      <c r="AA94" s="50" t="s">
        <v>12023</v>
      </c>
      <c r="AB94" s="50" t="s">
        <v>18473</v>
      </c>
      <c r="AC94" s="50" t="s">
        <v>1408</v>
      </c>
      <c r="AD94" s="50" t="s">
        <v>18473</v>
      </c>
      <c r="AE94" s="50" t="s">
        <v>12888</v>
      </c>
      <c r="AF94" s="50" t="s">
        <v>18473</v>
      </c>
      <c r="AG94" s="50" t="s">
        <v>1427</v>
      </c>
      <c r="AH94" s="50" t="s">
        <v>18473</v>
      </c>
      <c r="AI94" s="50" t="s">
        <v>1594</v>
      </c>
      <c r="AJ94" s="50" t="s">
        <v>1941</v>
      </c>
      <c r="AK94" s="50" t="s">
        <v>12859</v>
      </c>
      <c r="AL94" s="50" t="s">
        <v>18474</v>
      </c>
      <c r="AM94" s="50" t="s">
        <v>18475</v>
      </c>
      <c r="AN94" s="50" t="s">
        <v>18476</v>
      </c>
      <c r="AO94" s="50" t="s">
        <v>18477</v>
      </c>
      <c r="AP94" s="50" t="s">
        <v>18477</v>
      </c>
      <c r="AU94" s="50" t="s">
        <v>102</v>
      </c>
      <c r="AW94" s="50" t="s">
        <v>104</v>
      </c>
      <c r="AX94" s="50" t="s">
        <v>119</v>
      </c>
      <c r="AZ94" s="50" t="s">
        <v>250</v>
      </c>
      <c r="BB94" s="50" t="s">
        <v>120</v>
      </c>
      <c r="BC94" s="50" t="s">
        <v>920</v>
      </c>
      <c r="BD94" s="50" t="s">
        <v>211</v>
      </c>
      <c r="BE94" s="50" t="s">
        <v>212</v>
      </c>
      <c r="BF94" s="50" t="s">
        <v>213</v>
      </c>
      <c r="BG94" s="50" t="s">
        <v>124</v>
      </c>
      <c r="BH94" s="50" t="s">
        <v>12492</v>
      </c>
      <c r="BI94" s="50" t="s">
        <v>11960</v>
      </c>
      <c r="BJ94" s="50" t="s">
        <v>127</v>
      </c>
      <c r="BK94" s="50" t="s">
        <v>18478</v>
      </c>
      <c r="BL94" s="50" t="s">
        <v>9113</v>
      </c>
      <c r="BM94" s="50" t="s">
        <v>18479</v>
      </c>
      <c r="BN94" s="50" t="s">
        <v>945</v>
      </c>
      <c r="BO94" s="50" t="s">
        <v>415</v>
      </c>
      <c r="BP94" s="50" t="s">
        <v>132</v>
      </c>
      <c r="BQ94" s="50" t="s">
        <v>416</v>
      </c>
      <c r="BR94" s="50" t="s">
        <v>417</v>
      </c>
      <c r="BS94" s="50" t="s">
        <v>222</v>
      </c>
      <c r="BU94" s="50" t="s">
        <v>18480</v>
      </c>
      <c r="BV94" s="50" t="s">
        <v>2184</v>
      </c>
      <c r="BW94" s="50" t="s">
        <v>138</v>
      </c>
      <c r="BX94" s="50" t="s">
        <v>2185</v>
      </c>
      <c r="BY94" s="50" t="s">
        <v>2186</v>
      </c>
      <c r="BZ94" s="50" t="s">
        <v>2187</v>
      </c>
      <c r="CA94" s="50" t="s">
        <v>2184</v>
      </c>
      <c r="CB94" s="50" t="s">
        <v>2185</v>
      </c>
      <c r="CC94" s="50" t="s">
        <v>13154</v>
      </c>
      <c r="CD94" s="50" t="s">
        <v>13155</v>
      </c>
      <c r="CE94" s="50" t="s">
        <v>13156</v>
      </c>
      <c r="CF94" s="50" t="s">
        <v>13157</v>
      </c>
      <c r="CG94" s="50" t="s">
        <v>102</v>
      </c>
      <c r="CH94" s="50" t="s">
        <v>2188</v>
      </c>
      <c r="CJ94" s="50" t="s">
        <v>2189</v>
      </c>
      <c r="CL94" s="50" t="s">
        <v>920</v>
      </c>
      <c r="CM94" s="50" t="s">
        <v>2474</v>
      </c>
      <c r="CN94" s="50" t="s">
        <v>2189</v>
      </c>
      <c r="CO94" s="50" t="s">
        <v>2190</v>
      </c>
      <c r="CP94" s="50" t="s">
        <v>2188</v>
      </c>
      <c r="CQ94" s="50" t="s">
        <v>2188</v>
      </c>
      <c r="CR94" s="50" t="s">
        <v>26040</v>
      </c>
    </row>
    <row r="95" spans="1:96">
      <c r="A95" s="95" t="s">
        <v>149</v>
      </c>
      <c r="B95" s="50">
        <v>5016613</v>
      </c>
      <c r="C95" s="50" t="s">
        <v>11995</v>
      </c>
      <c r="D95" s="50" t="s">
        <v>9761</v>
      </c>
      <c r="E95" s="50" t="str">
        <f>VLOOKUP(B95,aa!B:F,5,0)</f>
        <v>Ei Mindspark</v>
      </c>
      <c r="F95" s="50">
        <f>VLOOKUP(B95,aa!B:J,9,0)</f>
        <v>1159868</v>
      </c>
      <c r="G95" s="50">
        <f>VLOOKUP(B95,aa!B:L,11,0)</f>
        <v>0</v>
      </c>
      <c r="H95" s="50">
        <f>VLOOKUP(B95,aa!B:O,14,0)</f>
        <v>0</v>
      </c>
      <c r="I95" s="50">
        <f>VLOOKUP(B95,aa!B:R,17,0)</f>
        <v>1159868</v>
      </c>
      <c r="K95" s="50" t="s">
        <v>848</v>
      </c>
      <c r="L95" s="50">
        <v>1110453</v>
      </c>
      <c r="M95" s="50">
        <v>1310335</v>
      </c>
      <c r="N95" s="50">
        <v>0</v>
      </c>
      <c r="O95" s="50">
        <v>0</v>
      </c>
      <c r="Q95" s="50">
        <v>0</v>
      </c>
      <c r="R95" s="50">
        <v>0</v>
      </c>
      <c r="T95" s="50">
        <v>1110453</v>
      </c>
      <c r="U95" s="50">
        <v>819</v>
      </c>
      <c r="V95" s="50" t="s">
        <v>4518</v>
      </c>
      <c r="W95" s="50" t="s">
        <v>102</v>
      </c>
      <c r="X95" s="50" t="s">
        <v>103</v>
      </c>
      <c r="Y95" s="50" t="s">
        <v>398</v>
      </c>
      <c r="AA95" s="50" t="s">
        <v>3993</v>
      </c>
      <c r="AB95" s="50" t="s">
        <v>18919</v>
      </c>
      <c r="AC95" s="50" t="s">
        <v>12040</v>
      </c>
      <c r="AD95" s="50" t="s">
        <v>18920</v>
      </c>
      <c r="AE95" s="50" t="s">
        <v>12099</v>
      </c>
      <c r="AF95" s="50" t="s">
        <v>18920</v>
      </c>
      <c r="AG95" s="50" t="s">
        <v>109</v>
      </c>
      <c r="AH95" s="50" t="s">
        <v>102</v>
      </c>
      <c r="AI95" s="50" t="s">
        <v>18921</v>
      </c>
      <c r="AJ95" s="50" t="s">
        <v>857</v>
      </c>
      <c r="AK95" s="50" t="s">
        <v>18922</v>
      </c>
      <c r="AL95" s="50" t="s">
        <v>18923</v>
      </c>
      <c r="AM95" s="50" t="s">
        <v>18924</v>
      </c>
      <c r="AN95" s="50" t="s">
        <v>18925</v>
      </c>
      <c r="AO95" s="50" t="s">
        <v>18926</v>
      </c>
      <c r="AP95" s="50" t="s">
        <v>18926</v>
      </c>
      <c r="AU95" s="50" t="s">
        <v>102</v>
      </c>
      <c r="AW95" s="50" t="s">
        <v>102</v>
      </c>
      <c r="AX95" s="50" t="s">
        <v>119</v>
      </c>
      <c r="BA95" s="50" t="s">
        <v>250</v>
      </c>
      <c r="BB95" s="50" t="s">
        <v>8521</v>
      </c>
      <c r="BC95" s="50" t="s">
        <v>284</v>
      </c>
      <c r="BD95" s="50" t="s">
        <v>285</v>
      </c>
      <c r="BE95" s="50" t="s">
        <v>212</v>
      </c>
      <c r="BF95" s="50" t="s">
        <v>286</v>
      </c>
      <c r="BG95" s="50" t="s">
        <v>124</v>
      </c>
      <c r="BH95" s="50" t="s">
        <v>7020</v>
      </c>
      <c r="BI95" s="50" t="s">
        <v>18927</v>
      </c>
      <c r="BJ95" s="50" t="s">
        <v>127</v>
      </c>
      <c r="BK95" s="50" t="s">
        <v>18928</v>
      </c>
      <c r="BL95" s="50" t="s">
        <v>9772</v>
      </c>
      <c r="BM95" s="50" t="s">
        <v>18929</v>
      </c>
      <c r="BN95" s="50" t="s">
        <v>945</v>
      </c>
      <c r="BO95" s="50" t="s">
        <v>956</v>
      </c>
      <c r="BP95" s="50" t="s">
        <v>132</v>
      </c>
      <c r="BQ95" s="50" t="s">
        <v>958</v>
      </c>
      <c r="BR95" s="50" t="s">
        <v>959</v>
      </c>
      <c r="BS95" s="50" t="s">
        <v>4765</v>
      </c>
      <c r="BU95" s="50" t="s">
        <v>18930</v>
      </c>
      <c r="BV95" s="50" t="s">
        <v>18931</v>
      </c>
      <c r="BW95" s="50" t="s">
        <v>296</v>
      </c>
      <c r="BX95" s="50" t="s">
        <v>18932</v>
      </c>
      <c r="BY95" s="50" t="s">
        <v>6877</v>
      </c>
      <c r="CA95" s="50" t="s">
        <v>18931</v>
      </c>
      <c r="CB95" s="50" t="s">
        <v>6876</v>
      </c>
      <c r="CC95" s="50" t="s">
        <v>6877</v>
      </c>
      <c r="CD95" s="50" t="s">
        <v>18933</v>
      </c>
      <c r="CE95" s="50" t="s">
        <v>9807</v>
      </c>
      <c r="CF95" s="50" t="s">
        <v>9808</v>
      </c>
      <c r="CG95" s="50" t="s">
        <v>102</v>
      </c>
      <c r="CH95" s="50" t="s">
        <v>18934</v>
      </c>
      <c r="CJ95" s="50" t="s">
        <v>6729</v>
      </c>
      <c r="CL95" s="50" t="s">
        <v>284</v>
      </c>
      <c r="CM95" s="50" t="s">
        <v>285</v>
      </c>
      <c r="CN95" s="50" t="s">
        <v>6729</v>
      </c>
      <c r="CO95" s="50" t="s">
        <v>6886</v>
      </c>
      <c r="CP95" s="50" t="s">
        <v>9776</v>
      </c>
      <c r="CQ95" s="50" t="s">
        <v>9775</v>
      </c>
    </row>
    <row r="96" spans="1:96">
      <c r="A96" s="95" t="s">
        <v>149</v>
      </c>
      <c r="B96" s="50">
        <v>5016893</v>
      </c>
      <c r="C96" s="50" t="s">
        <v>11995</v>
      </c>
      <c r="D96" s="50" t="s">
        <v>9787</v>
      </c>
      <c r="E96" s="50" t="str">
        <f>VLOOKUP(B96,aa!B:F,5,0)</f>
        <v>Ei Mindspark</v>
      </c>
      <c r="F96" s="50">
        <f>VLOOKUP(B96,aa!B:J,9,0)</f>
        <v>292896</v>
      </c>
      <c r="G96" s="50">
        <f>VLOOKUP(B96,aa!B:L,11,0)</f>
        <v>0</v>
      </c>
      <c r="H96" s="50">
        <f>VLOOKUP(B96,aa!B:O,14,0)</f>
        <v>0</v>
      </c>
      <c r="I96" s="50">
        <f>VLOOKUP(B96,aa!B:R,17,0)</f>
        <v>292896</v>
      </c>
      <c r="K96" s="50" t="s">
        <v>193</v>
      </c>
      <c r="L96" s="50">
        <v>674407</v>
      </c>
      <c r="M96" s="50">
        <v>720778</v>
      </c>
      <c r="N96" s="50">
        <v>416793</v>
      </c>
      <c r="O96" s="50">
        <v>579</v>
      </c>
      <c r="P96" s="50" t="s">
        <v>995</v>
      </c>
      <c r="Q96" s="50">
        <v>0</v>
      </c>
      <c r="R96" s="50">
        <v>0</v>
      </c>
      <c r="T96" s="50">
        <v>257614</v>
      </c>
      <c r="U96" s="50">
        <v>190</v>
      </c>
      <c r="V96" s="50" t="s">
        <v>4518</v>
      </c>
      <c r="W96" s="50" t="s">
        <v>102</v>
      </c>
      <c r="X96" s="50" t="s">
        <v>103</v>
      </c>
      <c r="Y96" s="50" t="s">
        <v>5317</v>
      </c>
      <c r="AA96" s="50" t="s">
        <v>3993</v>
      </c>
      <c r="AB96" s="50" t="s">
        <v>18940</v>
      </c>
      <c r="AC96" s="50" t="s">
        <v>16772</v>
      </c>
      <c r="AD96" s="50" t="s">
        <v>18941</v>
      </c>
      <c r="AE96" s="50" t="s">
        <v>14349</v>
      </c>
      <c r="AF96" s="50" t="s">
        <v>18942</v>
      </c>
      <c r="AG96" s="50" t="s">
        <v>109</v>
      </c>
      <c r="AH96" s="50" t="s">
        <v>102</v>
      </c>
      <c r="AI96" s="50" t="s">
        <v>18943</v>
      </c>
      <c r="AJ96" s="50" t="s">
        <v>857</v>
      </c>
      <c r="AK96" s="50" t="s">
        <v>18944</v>
      </c>
      <c r="AL96" s="50" t="s">
        <v>18945</v>
      </c>
      <c r="AM96" s="50" t="s">
        <v>18946</v>
      </c>
      <c r="AN96" s="50" t="s">
        <v>18947</v>
      </c>
      <c r="AO96" s="50" t="s">
        <v>18948</v>
      </c>
      <c r="AP96" s="50" t="s">
        <v>18948</v>
      </c>
      <c r="AU96" s="50" t="s">
        <v>207</v>
      </c>
      <c r="AV96" s="50" t="s">
        <v>118</v>
      </c>
      <c r="AW96" s="50" t="s">
        <v>102</v>
      </c>
      <c r="AX96" s="50" t="s">
        <v>119</v>
      </c>
      <c r="BA96" s="50" t="s">
        <v>250</v>
      </c>
      <c r="BB96" s="50" t="s">
        <v>120</v>
      </c>
      <c r="BC96" s="50" t="s">
        <v>284</v>
      </c>
      <c r="BD96" s="50" t="s">
        <v>285</v>
      </c>
      <c r="BE96" s="50" t="s">
        <v>212</v>
      </c>
      <c r="BF96" s="50" t="s">
        <v>286</v>
      </c>
      <c r="BG96" s="50" t="s">
        <v>124</v>
      </c>
      <c r="BH96" s="50" t="s">
        <v>18949</v>
      </c>
      <c r="BI96" s="50" t="s">
        <v>18950</v>
      </c>
      <c r="BJ96" s="50" t="s">
        <v>127</v>
      </c>
      <c r="BK96" s="50" t="s">
        <v>18951</v>
      </c>
      <c r="BL96" s="50" t="s">
        <v>9801</v>
      </c>
      <c r="BM96" s="50" t="s">
        <v>18952</v>
      </c>
      <c r="BN96" s="50" t="s">
        <v>945</v>
      </c>
      <c r="BO96" s="50" t="s">
        <v>12008</v>
      </c>
      <c r="BP96" s="50" t="s">
        <v>132</v>
      </c>
      <c r="BQ96" s="50" t="s">
        <v>12009</v>
      </c>
      <c r="BR96" s="50" t="s">
        <v>12010</v>
      </c>
      <c r="BS96" s="50" t="s">
        <v>293</v>
      </c>
      <c r="BU96" s="50" t="s">
        <v>18953</v>
      </c>
      <c r="BV96" s="50" t="s">
        <v>18931</v>
      </c>
      <c r="BW96" s="50" t="s">
        <v>296</v>
      </c>
      <c r="BX96" s="50" t="s">
        <v>18932</v>
      </c>
      <c r="BY96" s="50" t="s">
        <v>6877</v>
      </c>
      <c r="BZ96" s="50" t="s">
        <v>6876</v>
      </c>
      <c r="CA96" s="50" t="s">
        <v>18954</v>
      </c>
      <c r="CB96" s="50" t="s">
        <v>18955</v>
      </c>
      <c r="CC96" s="50" t="s">
        <v>18956</v>
      </c>
      <c r="CD96" s="50" t="s">
        <v>18957</v>
      </c>
      <c r="CE96" s="50" t="s">
        <v>9807</v>
      </c>
      <c r="CF96" s="50" t="s">
        <v>9808</v>
      </c>
      <c r="CG96" s="50" t="s">
        <v>102</v>
      </c>
      <c r="CH96" s="50" t="s">
        <v>9809</v>
      </c>
      <c r="CJ96" s="50" t="s">
        <v>6711</v>
      </c>
      <c r="CL96" s="50" t="s">
        <v>284</v>
      </c>
      <c r="CM96" s="50" t="s">
        <v>285</v>
      </c>
      <c r="CN96" s="50" t="s">
        <v>6711</v>
      </c>
      <c r="CO96" s="50" t="s">
        <v>6886</v>
      </c>
      <c r="CP96" s="50" t="s">
        <v>9810</v>
      </c>
      <c r="CQ96" s="50" t="s">
        <v>9809</v>
      </c>
    </row>
    <row r="97" spans="1:96">
      <c r="A97" s="95" t="s">
        <v>149</v>
      </c>
      <c r="B97" s="50">
        <v>5017818</v>
      </c>
      <c r="C97" s="50" t="s">
        <v>11995</v>
      </c>
      <c r="D97" s="50" t="s">
        <v>10261</v>
      </c>
      <c r="E97" s="50" t="str">
        <f>VLOOKUP(B97,aa!B:F,5,0)</f>
        <v>Ei Mindspark</v>
      </c>
      <c r="F97" s="50">
        <f>VLOOKUP(B97,aa!B:J,9,0)</f>
        <v>1640218</v>
      </c>
      <c r="G97" s="50">
        <f>VLOOKUP(B97,aa!B:L,11,0)</f>
        <v>0</v>
      </c>
      <c r="H97" s="50">
        <f>VLOOKUP(B97,aa!B:O,14,0)</f>
        <v>0</v>
      </c>
      <c r="I97" s="50">
        <f>VLOOKUP(B97,aa!B:R,17,0)</f>
        <v>1640218</v>
      </c>
      <c r="K97" s="50" t="s">
        <v>848</v>
      </c>
      <c r="L97" s="50">
        <v>755216</v>
      </c>
      <c r="M97" s="50">
        <v>891155</v>
      </c>
      <c r="N97" s="50">
        <v>0</v>
      </c>
      <c r="O97" s="50">
        <v>0</v>
      </c>
      <c r="Q97" s="50">
        <v>0</v>
      </c>
      <c r="R97" s="50">
        <v>0</v>
      </c>
      <c r="T97" s="50">
        <v>755216</v>
      </c>
      <c r="U97" s="50">
        <v>557</v>
      </c>
      <c r="V97" s="50" t="s">
        <v>4518</v>
      </c>
      <c r="W97" s="50" t="s">
        <v>102</v>
      </c>
      <c r="X97" s="50" t="s">
        <v>103</v>
      </c>
      <c r="Y97" s="50" t="s">
        <v>398</v>
      </c>
      <c r="AA97" s="50" t="s">
        <v>3993</v>
      </c>
      <c r="AB97" s="50" t="s">
        <v>19208</v>
      </c>
      <c r="AC97" s="50" t="s">
        <v>12040</v>
      </c>
      <c r="AD97" s="50" t="s">
        <v>19209</v>
      </c>
      <c r="AE97" s="50" t="s">
        <v>12099</v>
      </c>
      <c r="AF97" s="50" t="s">
        <v>19209</v>
      </c>
      <c r="AG97" s="50" t="s">
        <v>109</v>
      </c>
      <c r="AH97" s="50" t="s">
        <v>102</v>
      </c>
      <c r="AI97" s="50" t="s">
        <v>19210</v>
      </c>
      <c r="AJ97" s="50" t="s">
        <v>857</v>
      </c>
      <c r="AK97" s="50" t="s">
        <v>19211</v>
      </c>
      <c r="AL97" s="50" t="s">
        <v>19212</v>
      </c>
      <c r="AM97" s="50" t="s">
        <v>19213</v>
      </c>
      <c r="AN97" s="50" t="s">
        <v>19214</v>
      </c>
      <c r="AO97" s="50" t="s">
        <v>18926</v>
      </c>
      <c r="AP97" s="50" t="s">
        <v>18926</v>
      </c>
      <c r="AU97" s="50" t="s">
        <v>102</v>
      </c>
      <c r="AW97" s="50" t="s">
        <v>102</v>
      </c>
      <c r="AX97" s="50" t="s">
        <v>119</v>
      </c>
      <c r="BA97" s="50" t="s">
        <v>250</v>
      </c>
      <c r="BB97" s="50" t="s">
        <v>8521</v>
      </c>
      <c r="BC97" s="50" t="s">
        <v>284</v>
      </c>
      <c r="BD97" s="50" t="s">
        <v>285</v>
      </c>
      <c r="BE97" s="50" t="s">
        <v>212</v>
      </c>
      <c r="BF97" s="50" t="s">
        <v>286</v>
      </c>
      <c r="BG97" s="50" t="s">
        <v>124</v>
      </c>
      <c r="BH97" s="50" t="s">
        <v>7020</v>
      </c>
      <c r="BI97" s="50" t="s">
        <v>18927</v>
      </c>
      <c r="BJ97" s="50" t="s">
        <v>127</v>
      </c>
      <c r="BK97" s="50" t="s">
        <v>19215</v>
      </c>
      <c r="BL97" s="50" t="s">
        <v>10271</v>
      </c>
      <c r="BM97" s="50" t="s">
        <v>19216</v>
      </c>
      <c r="BN97" s="50" t="s">
        <v>945</v>
      </c>
      <c r="BO97" s="50" t="s">
        <v>956</v>
      </c>
      <c r="BP97" s="50" t="s">
        <v>132</v>
      </c>
      <c r="BQ97" s="50" t="s">
        <v>958</v>
      </c>
      <c r="BR97" s="50" t="s">
        <v>959</v>
      </c>
      <c r="BS97" s="50" t="s">
        <v>3362</v>
      </c>
      <c r="BU97" s="50" t="s">
        <v>19217</v>
      </c>
      <c r="BV97" s="50" t="s">
        <v>18931</v>
      </c>
      <c r="BW97" s="50" t="s">
        <v>296</v>
      </c>
      <c r="BX97" s="50" t="s">
        <v>18932</v>
      </c>
      <c r="BY97" s="50" t="s">
        <v>6877</v>
      </c>
      <c r="BZ97" s="50" t="s">
        <v>6876</v>
      </c>
      <c r="CA97" s="50" t="s">
        <v>18931</v>
      </c>
      <c r="CB97" s="50" t="s">
        <v>6876</v>
      </c>
      <c r="CC97" s="50" t="s">
        <v>6877</v>
      </c>
      <c r="CD97" s="50" t="s">
        <v>18933</v>
      </c>
      <c r="CE97" s="50" t="s">
        <v>9807</v>
      </c>
      <c r="CF97" s="50" t="s">
        <v>9808</v>
      </c>
      <c r="CG97" s="50" t="s">
        <v>102</v>
      </c>
      <c r="CH97" s="50" t="s">
        <v>9809</v>
      </c>
      <c r="CJ97" s="50" t="s">
        <v>6711</v>
      </c>
      <c r="CL97" s="50" t="s">
        <v>284</v>
      </c>
      <c r="CM97" s="50" t="s">
        <v>285</v>
      </c>
      <c r="CN97" s="50" t="s">
        <v>6711</v>
      </c>
      <c r="CO97" s="50" t="s">
        <v>6886</v>
      </c>
      <c r="CP97" s="50" t="s">
        <v>9810</v>
      </c>
      <c r="CQ97" s="50" t="s">
        <v>9809</v>
      </c>
    </row>
    <row r="98" spans="1:96">
      <c r="A98" s="50" t="s">
        <v>93</v>
      </c>
      <c r="B98" s="50">
        <v>5018506</v>
      </c>
      <c r="C98" s="50" t="s">
        <v>12423</v>
      </c>
      <c r="D98" s="50" t="s">
        <v>19948</v>
      </c>
      <c r="E98" s="50" t="e">
        <f>VLOOKUP(B98,aa!B:F,5,0)</f>
        <v>#N/A</v>
      </c>
      <c r="F98" s="50" t="e">
        <f>VLOOKUP(B98,aa!B:J,9,0)</f>
        <v>#N/A</v>
      </c>
      <c r="G98" s="50" t="e">
        <f>VLOOKUP(B98,aa!B:L,11,0)</f>
        <v>#N/A</v>
      </c>
      <c r="H98" s="50" t="e">
        <f>VLOOKUP(B98,aa!B:O,14,0)</f>
        <v>#N/A</v>
      </c>
      <c r="I98" s="50" t="e">
        <f>VLOOKUP(B98,aa!B:R,17,0)</f>
        <v>#N/A</v>
      </c>
      <c r="K98" s="50" t="s">
        <v>643</v>
      </c>
      <c r="L98" s="50">
        <v>312833</v>
      </c>
      <c r="M98" s="50">
        <v>337243</v>
      </c>
      <c r="N98" s="50">
        <v>0</v>
      </c>
      <c r="O98" s="50">
        <v>0</v>
      </c>
      <c r="Q98" s="50">
        <v>177222</v>
      </c>
      <c r="R98" s="50">
        <v>443</v>
      </c>
      <c r="S98" s="50" t="s">
        <v>6051</v>
      </c>
      <c r="T98" s="50">
        <v>135611</v>
      </c>
      <c r="U98" s="50">
        <v>160</v>
      </c>
      <c r="V98" s="50" t="s">
        <v>19950</v>
      </c>
      <c r="W98" s="50" t="s">
        <v>102</v>
      </c>
      <c r="X98" s="50" t="s">
        <v>103</v>
      </c>
      <c r="Y98" s="50" t="s">
        <v>938</v>
      </c>
      <c r="AA98" s="50" t="s">
        <v>12819</v>
      </c>
      <c r="AB98" s="50" t="s">
        <v>19951</v>
      </c>
      <c r="AC98" s="50" t="s">
        <v>19952</v>
      </c>
      <c r="AD98" s="50" t="s">
        <v>19953</v>
      </c>
      <c r="AE98" s="50" t="s">
        <v>19954</v>
      </c>
      <c r="AF98" s="50" t="s">
        <v>19953</v>
      </c>
      <c r="AG98" s="50" t="s">
        <v>19955</v>
      </c>
      <c r="AH98" s="50" t="s">
        <v>19956</v>
      </c>
      <c r="AI98" s="50" t="s">
        <v>102</v>
      </c>
      <c r="AJ98" s="50" t="s">
        <v>15564</v>
      </c>
      <c r="AK98" s="50" t="s">
        <v>15564</v>
      </c>
      <c r="AL98" s="50" t="s">
        <v>19957</v>
      </c>
      <c r="AM98" s="50" t="s">
        <v>9607</v>
      </c>
      <c r="AN98" s="50" t="s">
        <v>19958</v>
      </c>
      <c r="AO98" s="50" t="s">
        <v>19959</v>
      </c>
      <c r="AP98" s="50" t="s">
        <v>19959</v>
      </c>
      <c r="AU98" s="50" t="s">
        <v>102</v>
      </c>
      <c r="AW98" s="50" t="s">
        <v>1103</v>
      </c>
      <c r="AX98" s="50" t="s">
        <v>119</v>
      </c>
      <c r="AY98" s="50" t="s">
        <v>170</v>
      </c>
      <c r="AZ98" s="50" t="s">
        <v>250</v>
      </c>
      <c r="BA98" s="50" t="s">
        <v>250</v>
      </c>
      <c r="BB98" s="50" t="s">
        <v>120</v>
      </c>
      <c r="BC98" s="50" t="s">
        <v>17538</v>
      </c>
      <c r="BD98" s="50" t="s">
        <v>410</v>
      </c>
      <c r="BE98" s="50" t="s">
        <v>212</v>
      </c>
      <c r="BF98" s="50" t="s">
        <v>410</v>
      </c>
      <c r="BG98" s="50" t="s">
        <v>124</v>
      </c>
      <c r="BH98" s="50" t="s">
        <v>12023</v>
      </c>
      <c r="BI98" s="50" t="s">
        <v>11889</v>
      </c>
      <c r="BJ98" s="50" t="s">
        <v>127</v>
      </c>
      <c r="BK98" s="50" t="s">
        <v>19960</v>
      </c>
      <c r="BL98" s="50" t="s">
        <v>19961</v>
      </c>
      <c r="BM98" s="50" t="s">
        <v>19962</v>
      </c>
      <c r="BN98" s="50" t="s">
        <v>19949</v>
      </c>
      <c r="BO98" s="50" t="s">
        <v>4053</v>
      </c>
      <c r="BP98" s="50" t="s">
        <v>132</v>
      </c>
      <c r="BQ98" s="50" t="s">
        <v>4054</v>
      </c>
      <c r="BR98" s="50" t="s">
        <v>4055</v>
      </c>
      <c r="BS98" s="50" t="s">
        <v>4056</v>
      </c>
      <c r="BU98" s="50" t="s">
        <v>19963</v>
      </c>
      <c r="BV98" s="50" t="s">
        <v>19964</v>
      </c>
      <c r="BW98" s="50" t="s">
        <v>138</v>
      </c>
      <c r="BX98" s="50" t="s">
        <v>19965</v>
      </c>
      <c r="BY98" s="50" t="s">
        <v>19966</v>
      </c>
      <c r="BZ98" s="50" t="s">
        <v>19967</v>
      </c>
      <c r="CA98" s="50" t="s">
        <v>19968</v>
      </c>
      <c r="CB98" s="50" t="s">
        <v>19967</v>
      </c>
      <c r="CC98" s="50" t="s">
        <v>19969</v>
      </c>
      <c r="CD98" s="50" t="s">
        <v>19968</v>
      </c>
      <c r="CE98" s="50" t="s">
        <v>19967</v>
      </c>
      <c r="CF98" s="50" t="s">
        <v>19969</v>
      </c>
      <c r="CG98" s="50" t="s">
        <v>8793</v>
      </c>
      <c r="CH98" s="50" t="s">
        <v>19970</v>
      </c>
      <c r="CJ98" s="50" t="s">
        <v>17539</v>
      </c>
      <c r="CK98" s="50" t="s">
        <v>17538</v>
      </c>
      <c r="CL98" s="50" t="s">
        <v>17538</v>
      </c>
      <c r="CM98" s="50" t="s">
        <v>9715</v>
      </c>
      <c r="CN98" s="50" t="s">
        <v>17539</v>
      </c>
      <c r="CP98" s="50" t="s">
        <v>17540</v>
      </c>
      <c r="CQ98" s="50" t="s">
        <v>19971</v>
      </c>
      <c r="CR98" s="50" t="s">
        <v>26044</v>
      </c>
    </row>
    <row r="99" spans="1:96">
      <c r="A99" s="95" t="s">
        <v>149</v>
      </c>
      <c r="B99" s="50">
        <v>3594140</v>
      </c>
      <c r="C99" s="50" t="s">
        <v>11995</v>
      </c>
      <c r="D99" s="50" t="s">
        <v>6856</v>
      </c>
      <c r="E99" s="50" t="str">
        <f>VLOOKUP(B99,aa!B:F,5,0)</f>
        <v>Ei ASSET,Ei Mindspark</v>
      </c>
      <c r="F99" s="50">
        <f>VLOOKUP(B99,aa!B:J,9,0)</f>
        <v>1712819</v>
      </c>
      <c r="G99" s="50">
        <f>VLOOKUP(B99,aa!B:L,11,0)</f>
        <v>1096200</v>
      </c>
      <c r="H99" s="50">
        <f>VLOOKUP(B99,aa!B:O,14,0)</f>
        <v>0</v>
      </c>
      <c r="I99" s="50">
        <f>VLOOKUP(B99,aa!B:R,17,0)</f>
        <v>616619</v>
      </c>
      <c r="K99" s="50" t="s">
        <v>2163</v>
      </c>
      <c r="L99" s="50">
        <v>1556936</v>
      </c>
      <c r="M99" s="50">
        <v>1649433</v>
      </c>
      <c r="N99" s="50">
        <v>1043063</v>
      </c>
      <c r="O99" s="50">
        <v>1449</v>
      </c>
      <c r="P99" s="50" t="s">
        <v>995</v>
      </c>
      <c r="Q99" s="50">
        <v>0</v>
      </c>
      <c r="R99" s="50">
        <v>100</v>
      </c>
      <c r="S99" s="50" t="s">
        <v>102</v>
      </c>
      <c r="T99" s="50">
        <v>513873</v>
      </c>
      <c r="U99" s="50">
        <v>379</v>
      </c>
      <c r="V99" s="50" t="s">
        <v>4518</v>
      </c>
      <c r="W99" s="50" t="s">
        <v>102</v>
      </c>
      <c r="X99" s="50" t="s">
        <v>679</v>
      </c>
      <c r="Y99" s="50" t="s">
        <v>5317</v>
      </c>
      <c r="Z99" s="50" t="s">
        <v>3679</v>
      </c>
      <c r="AA99" s="50" t="s">
        <v>15616</v>
      </c>
      <c r="AB99" s="50" t="s">
        <v>16604</v>
      </c>
      <c r="AC99" s="50" t="s">
        <v>16605</v>
      </c>
      <c r="AD99" s="50" t="s">
        <v>16606</v>
      </c>
      <c r="AE99" s="50" t="s">
        <v>14349</v>
      </c>
      <c r="AF99" s="50" t="s">
        <v>16607</v>
      </c>
      <c r="AG99" s="50" t="s">
        <v>109</v>
      </c>
      <c r="AH99" s="50" t="s">
        <v>102</v>
      </c>
      <c r="AI99" s="50" t="s">
        <v>16608</v>
      </c>
      <c r="AJ99" s="50" t="s">
        <v>857</v>
      </c>
      <c r="AK99" s="50" t="s">
        <v>16609</v>
      </c>
      <c r="AL99" s="50" t="s">
        <v>16610</v>
      </c>
      <c r="AM99" s="50" t="s">
        <v>16611</v>
      </c>
      <c r="AN99" s="50" t="s">
        <v>16612</v>
      </c>
      <c r="AO99" s="50" t="s">
        <v>16613</v>
      </c>
      <c r="AP99" s="50" t="s">
        <v>16613</v>
      </c>
      <c r="AU99" s="50" t="s">
        <v>207</v>
      </c>
      <c r="AV99" s="50" t="s">
        <v>118</v>
      </c>
      <c r="AW99" s="50" t="s">
        <v>1103</v>
      </c>
      <c r="AX99" s="50" t="s">
        <v>119</v>
      </c>
      <c r="AZ99" s="50" t="s">
        <v>250</v>
      </c>
      <c r="BA99" s="50" t="s">
        <v>250</v>
      </c>
      <c r="BB99" s="50" t="s">
        <v>120</v>
      </c>
      <c r="BC99" s="50" t="s">
        <v>284</v>
      </c>
      <c r="BD99" s="50" t="s">
        <v>285</v>
      </c>
      <c r="BE99" s="50" t="s">
        <v>212</v>
      </c>
      <c r="BF99" s="50" t="s">
        <v>286</v>
      </c>
      <c r="BG99" s="50" t="s">
        <v>124</v>
      </c>
      <c r="BH99" s="50" t="s">
        <v>16614</v>
      </c>
      <c r="BI99" s="50" t="s">
        <v>16615</v>
      </c>
      <c r="BJ99" s="50" t="s">
        <v>127</v>
      </c>
      <c r="BK99" s="50" t="s">
        <v>16616</v>
      </c>
      <c r="BL99" s="50" t="s">
        <v>6872</v>
      </c>
      <c r="BM99" s="50" t="s">
        <v>16617</v>
      </c>
      <c r="BN99" s="50" t="s">
        <v>16603</v>
      </c>
      <c r="BO99" s="50" t="s">
        <v>12008</v>
      </c>
      <c r="BP99" s="50" t="s">
        <v>132</v>
      </c>
      <c r="BQ99" s="50" t="s">
        <v>12009</v>
      </c>
      <c r="BR99" s="50" t="s">
        <v>12010</v>
      </c>
      <c r="BS99" s="50" t="s">
        <v>4765</v>
      </c>
      <c r="BU99" s="50" t="s">
        <v>16618</v>
      </c>
      <c r="BV99" s="50" t="s">
        <v>16619</v>
      </c>
      <c r="BW99" s="50" t="s">
        <v>16620</v>
      </c>
      <c r="BX99" s="50" t="s">
        <v>16621</v>
      </c>
      <c r="BY99" s="50" t="s">
        <v>16622</v>
      </c>
      <c r="BZ99" s="50" t="s">
        <v>6878</v>
      </c>
      <c r="CA99" s="50" t="s">
        <v>16623</v>
      </c>
      <c r="CB99" s="50" t="s">
        <v>16624</v>
      </c>
      <c r="CC99" s="50" t="s">
        <v>16625</v>
      </c>
      <c r="CD99" s="50" t="s">
        <v>16626</v>
      </c>
      <c r="CE99" s="50" t="s">
        <v>16627</v>
      </c>
      <c r="CF99" s="50" t="s">
        <v>16628</v>
      </c>
      <c r="CG99" s="50" t="s">
        <v>102</v>
      </c>
      <c r="CH99" s="50" t="s">
        <v>16629</v>
      </c>
      <c r="CJ99" s="50" t="s">
        <v>6729</v>
      </c>
      <c r="CL99" s="50" t="s">
        <v>284</v>
      </c>
      <c r="CM99" s="50" t="s">
        <v>285</v>
      </c>
      <c r="CN99" s="50" t="s">
        <v>6729</v>
      </c>
      <c r="CO99" s="50" t="s">
        <v>6886</v>
      </c>
      <c r="CP99" s="50" t="s">
        <v>6887</v>
      </c>
      <c r="CQ99" s="50" t="s">
        <v>6885</v>
      </c>
    </row>
    <row r="100" spans="1:96">
      <c r="A100" s="95" t="s">
        <v>149</v>
      </c>
      <c r="B100" s="50">
        <v>3147476</v>
      </c>
      <c r="C100" s="50" t="s">
        <v>2151</v>
      </c>
      <c r="D100" s="50" t="s">
        <v>4737</v>
      </c>
      <c r="E100" s="50" t="e">
        <f>VLOOKUP(B100,aa!B:F,5,0)</f>
        <v>#N/A</v>
      </c>
      <c r="F100" s="50" t="e">
        <f>VLOOKUP(B100,aa!B:J,9,0)</f>
        <v>#N/A</v>
      </c>
      <c r="G100" s="50" t="e">
        <f>VLOOKUP(B100,aa!B:L,11,0)</f>
        <v>#N/A</v>
      </c>
      <c r="H100" s="50" t="e">
        <f>VLOOKUP(B100,aa!B:O,14,0)</f>
        <v>#N/A</v>
      </c>
      <c r="I100" s="50" t="e">
        <f>VLOOKUP(B100,aa!B:R,17,0)</f>
        <v>#N/A</v>
      </c>
      <c r="K100" s="50" t="s">
        <v>2163</v>
      </c>
      <c r="L100" s="50">
        <v>1483593</v>
      </c>
      <c r="M100" s="50">
        <v>1581328</v>
      </c>
      <c r="N100" s="50">
        <v>594663</v>
      </c>
      <c r="O100" s="50">
        <v>806</v>
      </c>
      <c r="P100" s="50" t="s">
        <v>14985</v>
      </c>
      <c r="Q100" s="50">
        <v>345958</v>
      </c>
      <c r="R100" s="50">
        <v>233</v>
      </c>
      <c r="S100" s="50" t="s">
        <v>14986</v>
      </c>
      <c r="T100" s="50">
        <v>542972</v>
      </c>
      <c r="U100" s="50">
        <v>233</v>
      </c>
      <c r="V100" s="50" t="s">
        <v>14987</v>
      </c>
      <c r="W100" s="50" t="s">
        <v>102</v>
      </c>
      <c r="X100" s="50" t="s">
        <v>103</v>
      </c>
      <c r="Y100" s="50" t="s">
        <v>155</v>
      </c>
      <c r="AA100" s="50" t="s">
        <v>12023</v>
      </c>
      <c r="AB100" s="50" t="s">
        <v>14988</v>
      </c>
      <c r="AC100" s="50" t="s">
        <v>1408</v>
      </c>
      <c r="AD100" s="50" t="s">
        <v>14988</v>
      </c>
      <c r="AE100" s="50" t="s">
        <v>12888</v>
      </c>
      <c r="AF100" s="50" t="s">
        <v>14988</v>
      </c>
      <c r="AG100" s="50" t="s">
        <v>1427</v>
      </c>
      <c r="AH100" s="50" t="s">
        <v>14988</v>
      </c>
      <c r="AI100" s="50" t="s">
        <v>14989</v>
      </c>
      <c r="AJ100" s="50" t="s">
        <v>6443</v>
      </c>
      <c r="AK100" s="50" t="s">
        <v>14990</v>
      </c>
      <c r="AL100" s="50" t="s">
        <v>14991</v>
      </c>
      <c r="AM100" s="50" t="s">
        <v>14992</v>
      </c>
      <c r="AN100" s="50" t="s">
        <v>14993</v>
      </c>
      <c r="AO100" s="50" t="s">
        <v>14994</v>
      </c>
      <c r="AP100" s="50" t="s">
        <v>14994</v>
      </c>
      <c r="AU100" s="50" t="s">
        <v>247</v>
      </c>
      <c r="AV100" s="50" t="s">
        <v>250</v>
      </c>
      <c r="AW100" s="50" t="s">
        <v>655</v>
      </c>
      <c r="AX100" s="50" t="s">
        <v>119</v>
      </c>
      <c r="AZ100" s="50" t="s">
        <v>250</v>
      </c>
      <c r="BA100" s="50" t="s">
        <v>250</v>
      </c>
      <c r="BB100" s="50" t="s">
        <v>120</v>
      </c>
      <c r="BC100" s="50" t="s">
        <v>920</v>
      </c>
      <c r="BD100" s="50" t="s">
        <v>211</v>
      </c>
      <c r="BE100" s="50" t="s">
        <v>212</v>
      </c>
      <c r="BF100" s="50" t="s">
        <v>213</v>
      </c>
      <c r="BG100" s="50" t="s">
        <v>124</v>
      </c>
      <c r="BH100" s="50" t="s">
        <v>12492</v>
      </c>
      <c r="BI100" s="50" t="s">
        <v>11889</v>
      </c>
      <c r="BJ100" s="50" t="s">
        <v>127</v>
      </c>
      <c r="BK100" s="50" t="s">
        <v>14995</v>
      </c>
      <c r="BL100" s="50" t="s">
        <v>4747</v>
      </c>
      <c r="BM100" s="50" t="s">
        <v>14996</v>
      </c>
      <c r="BN100" s="50" t="s">
        <v>4909</v>
      </c>
      <c r="BO100" s="50" t="s">
        <v>415</v>
      </c>
      <c r="BP100" s="50" t="s">
        <v>180</v>
      </c>
      <c r="BQ100" s="50" t="s">
        <v>416</v>
      </c>
      <c r="BR100" s="50" t="s">
        <v>417</v>
      </c>
      <c r="BS100" s="50" t="s">
        <v>222</v>
      </c>
      <c r="BU100" s="50" t="s">
        <v>14997</v>
      </c>
      <c r="BV100" s="50" t="s">
        <v>14998</v>
      </c>
      <c r="BW100" s="50" t="s">
        <v>138</v>
      </c>
      <c r="BX100" s="50" t="s">
        <v>4751</v>
      </c>
      <c r="BY100" s="50" t="s">
        <v>14999</v>
      </c>
      <c r="BZ100" s="50" t="s">
        <v>4751</v>
      </c>
      <c r="CA100" s="50" t="s">
        <v>15000</v>
      </c>
      <c r="CB100" s="50" t="s">
        <v>4751</v>
      </c>
      <c r="CC100" s="50" t="s">
        <v>14999</v>
      </c>
      <c r="CD100" s="50" t="s">
        <v>15001</v>
      </c>
      <c r="CE100" s="50" t="s">
        <v>15002</v>
      </c>
      <c r="CF100" s="50" t="s">
        <v>15003</v>
      </c>
      <c r="CG100" s="50" t="s">
        <v>102</v>
      </c>
      <c r="CH100" s="50" t="s">
        <v>4753</v>
      </c>
      <c r="CJ100" s="50" t="s">
        <v>3982</v>
      </c>
      <c r="CL100" s="50" t="s">
        <v>920</v>
      </c>
      <c r="CM100" s="50" t="s">
        <v>211</v>
      </c>
      <c r="CN100" s="50" t="s">
        <v>3982</v>
      </c>
      <c r="CO100" s="50" t="s">
        <v>2190</v>
      </c>
      <c r="CP100" s="50" t="s">
        <v>4753</v>
      </c>
      <c r="CQ100" s="50" t="s">
        <v>4753</v>
      </c>
      <c r="CR100" s="50" t="s">
        <v>26040</v>
      </c>
    </row>
    <row r="101" spans="1:96">
      <c r="A101" s="95" t="s">
        <v>149</v>
      </c>
      <c r="B101" s="50">
        <v>370457</v>
      </c>
      <c r="C101" s="50" t="s">
        <v>2151</v>
      </c>
      <c r="D101" s="50" t="s">
        <v>7166</v>
      </c>
      <c r="E101" s="50" t="e">
        <f>VLOOKUP(B101,aa!B:F,5,0)</f>
        <v>#N/A</v>
      </c>
      <c r="F101" s="50" t="e">
        <f>VLOOKUP(B101,aa!B:J,9,0)</f>
        <v>#N/A</v>
      </c>
      <c r="G101" s="50" t="e">
        <f>VLOOKUP(B101,aa!B:L,11,0)</f>
        <v>#N/A</v>
      </c>
      <c r="H101" s="50" t="e">
        <f>VLOOKUP(B101,aa!B:O,14,0)</f>
        <v>#N/A</v>
      </c>
      <c r="I101" s="50" t="e">
        <f>VLOOKUP(B101,aa!B:R,17,0)</f>
        <v>#N/A</v>
      </c>
      <c r="K101" s="50" t="s">
        <v>2163</v>
      </c>
      <c r="L101" s="50">
        <v>1285779</v>
      </c>
      <c r="M101" s="50">
        <v>1383095</v>
      </c>
      <c r="N101" s="50">
        <v>597297</v>
      </c>
      <c r="O101" s="50">
        <v>808</v>
      </c>
      <c r="P101" s="50" t="s">
        <v>16754</v>
      </c>
      <c r="Q101" s="50">
        <v>147840</v>
      </c>
      <c r="R101" s="50">
        <v>112</v>
      </c>
      <c r="S101" s="50" t="s">
        <v>16755</v>
      </c>
      <c r="T101" s="50">
        <v>540642</v>
      </c>
      <c r="U101" s="50">
        <v>232</v>
      </c>
      <c r="V101" s="50" t="s">
        <v>14987</v>
      </c>
      <c r="W101" s="50" t="s">
        <v>102</v>
      </c>
      <c r="X101" s="50" t="s">
        <v>103</v>
      </c>
      <c r="Y101" s="50" t="s">
        <v>155</v>
      </c>
      <c r="AA101" s="50" t="s">
        <v>12023</v>
      </c>
      <c r="AB101" s="50" t="s">
        <v>16756</v>
      </c>
      <c r="AC101" s="50" t="s">
        <v>1408</v>
      </c>
      <c r="AD101" s="50" t="s">
        <v>16756</v>
      </c>
      <c r="AE101" s="50" t="s">
        <v>12888</v>
      </c>
      <c r="AF101" s="50" t="s">
        <v>16756</v>
      </c>
      <c r="AG101" s="50" t="s">
        <v>1427</v>
      </c>
      <c r="AH101" s="50" t="s">
        <v>16756</v>
      </c>
      <c r="AI101" s="50" t="s">
        <v>16757</v>
      </c>
      <c r="AJ101" s="50" t="s">
        <v>6443</v>
      </c>
      <c r="AK101" s="50" t="s">
        <v>16758</v>
      </c>
      <c r="AL101" s="50" t="s">
        <v>16759</v>
      </c>
      <c r="AM101" s="50" t="s">
        <v>16760</v>
      </c>
      <c r="AN101" s="50" t="s">
        <v>16761</v>
      </c>
      <c r="AO101" s="50" t="s">
        <v>16762</v>
      </c>
      <c r="AP101" s="50" t="s">
        <v>16762</v>
      </c>
      <c r="AU101" s="50" t="s">
        <v>247</v>
      </c>
      <c r="AV101" s="50" t="s">
        <v>250</v>
      </c>
      <c r="AW101" s="50" t="s">
        <v>655</v>
      </c>
      <c r="AX101" s="50" t="s">
        <v>119</v>
      </c>
      <c r="AZ101" s="50" t="s">
        <v>250</v>
      </c>
      <c r="BA101" s="50" t="s">
        <v>250</v>
      </c>
      <c r="BB101" s="50" t="s">
        <v>171</v>
      </c>
      <c r="BC101" s="50" t="s">
        <v>920</v>
      </c>
      <c r="BD101" s="50" t="s">
        <v>211</v>
      </c>
      <c r="BE101" s="50" t="s">
        <v>212</v>
      </c>
      <c r="BF101" s="50" t="s">
        <v>213</v>
      </c>
      <c r="BG101" s="50" t="s">
        <v>124</v>
      </c>
      <c r="BH101" s="50" t="s">
        <v>12492</v>
      </c>
      <c r="BI101" s="50" t="s">
        <v>11889</v>
      </c>
      <c r="BJ101" s="50" t="s">
        <v>127</v>
      </c>
      <c r="BK101" s="50" t="s">
        <v>16763</v>
      </c>
      <c r="BL101" s="50" t="s">
        <v>7179</v>
      </c>
      <c r="BM101" s="50" t="s">
        <v>16764</v>
      </c>
      <c r="BN101" s="50" t="s">
        <v>4909</v>
      </c>
      <c r="BO101" s="50" t="s">
        <v>415</v>
      </c>
      <c r="BP101" s="50" t="s">
        <v>180</v>
      </c>
      <c r="BQ101" s="50" t="s">
        <v>416</v>
      </c>
      <c r="BR101" s="50" t="s">
        <v>417</v>
      </c>
      <c r="BS101" s="50" t="s">
        <v>222</v>
      </c>
      <c r="BU101" s="50" t="s">
        <v>16765</v>
      </c>
      <c r="BV101" s="50" t="s">
        <v>7182</v>
      </c>
      <c r="BW101" s="50" t="s">
        <v>138</v>
      </c>
      <c r="BX101" s="50" t="s">
        <v>7183</v>
      </c>
      <c r="BY101" s="50" t="s">
        <v>7184</v>
      </c>
      <c r="BZ101" s="50" t="s">
        <v>7185</v>
      </c>
      <c r="CA101" s="50" t="s">
        <v>7182</v>
      </c>
      <c r="CB101" s="50" t="s">
        <v>7183</v>
      </c>
      <c r="CC101" s="50" t="s">
        <v>16766</v>
      </c>
      <c r="CD101" s="50" t="s">
        <v>16767</v>
      </c>
      <c r="CE101" s="50" t="s">
        <v>16768</v>
      </c>
      <c r="CF101" s="50" t="s">
        <v>16769</v>
      </c>
      <c r="CG101" s="50" t="s">
        <v>102</v>
      </c>
      <c r="CH101" s="50" t="s">
        <v>7186</v>
      </c>
      <c r="CJ101" s="50" t="s">
        <v>3982</v>
      </c>
      <c r="CL101" s="50" t="s">
        <v>920</v>
      </c>
      <c r="CM101" s="50" t="s">
        <v>211</v>
      </c>
      <c r="CN101" s="50" t="s">
        <v>3982</v>
      </c>
      <c r="CO101" s="50" t="s">
        <v>7187</v>
      </c>
      <c r="CP101" s="50" t="s">
        <v>7186</v>
      </c>
      <c r="CQ101" s="50" t="s">
        <v>7186</v>
      </c>
      <c r="CR101" s="50" t="s">
        <v>26040</v>
      </c>
    </row>
    <row r="102" spans="1:96">
      <c r="A102" s="50" t="s">
        <v>93</v>
      </c>
      <c r="B102" s="50">
        <v>3996980</v>
      </c>
      <c r="C102" s="50" t="s">
        <v>12096</v>
      </c>
      <c r="D102" s="50" t="s">
        <v>17718</v>
      </c>
      <c r="E102" s="50" t="e">
        <f>VLOOKUP(B102,aa!B:F,5,0)</f>
        <v>#N/A</v>
      </c>
      <c r="F102" s="50" t="e">
        <f>VLOOKUP(B102,aa!B:J,9,0)</f>
        <v>#N/A</v>
      </c>
      <c r="G102" s="50" t="e">
        <f>VLOOKUP(B102,aa!B:L,11,0)</f>
        <v>#N/A</v>
      </c>
      <c r="H102" s="50" t="e">
        <f>VLOOKUP(B102,aa!B:O,14,0)</f>
        <v>#N/A</v>
      </c>
      <c r="I102" s="50" t="e">
        <f>VLOOKUP(B102,aa!B:R,17,0)</f>
        <v>#N/A</v>
      </c>
      <c r="K102" s="50" t="s">
        <v>152</v>
      </c>
      <c r="L102" s="50">
        <v>175320</v>
      </c>
      <c r="M102" s="50">
        <v>175320</v>
      </c>
      <c r="N102" s="50">
        <v>0</v>
      </c>
      <c r="O102" s="50">
        <v>0</v>
      </c>
      <c r="Q102" s="50">
        <v>175320</v>
      </c>
      <c r="R102" s="50">
        <v>200</v>
      </c>
      <c r="S102" s="50" t="s">
        <v>5436</v>
      </c>
      <c r="T102" s="50">
        <v>0</v>
      </c>
      <c r="U102" s="50">
        <v>0</v>
      </c>
      <c r="W102" s="50" t="s">
        <v>102</v>
      </c>
      <c r="X102" s="50" t="s">
        <v>103</v>
      </c>
      <c r="Y102" s="50" t="s">
        <v>104</v>
      </c>
      <c r="AA102" s="50" t="s">
        <v>6768</v>
      </c>
      <c r="AB102" s="50" t="s">
        <v>17719</v>
      </c>
      <c r="AC102" s="50" t="s">
        <v>12427</v>
      </c>
      <c r="AD102" s="50" t="s">
        <v>17719</v>
      </c>
      <c r="AE102" s="50" t="s">
        <v>109</v>
      </c>
      <c r="AF102" s="50" t="s">
        <v>102</v>
      </c>
      <c r="AG102" s="50" t="s">
        <v>109</v>
      </c>
      <c r="AH102" s="50" t="s">
        <v>102</v>
      </c>
      <c r="AI102" s="50" t="s">
        <v>102</v>
      </c>
      <c r="AJ102" s="50" t="s">
        <v>11300</v>
      </c>
      <c r="AK102" s="50" t="s">
        <v>17126</v>
      </c>
      <c r="AL102" s="50" t="s">
        <v>17720</v>
      </c>
      <c r="AM102" s="50" t="s">
        <v>17720</v>
      </c>
      <c r="AN102" s="50" t="s">
        <v>102</v>
      </c>
      <c r="AO102" s="50" t="s">
        <v>17721</v>
      </c>
      <c r="AP102" s="50" t="s">
        <v>17721</v>
      </c>
      <c r="AU102" s="50" t="s">
        <v>102</v>
      </c>
      <c r="AW102" s="50" t="s">
        <v>104</v>
      </c>
      <c r="AX102" s="50" t="s">
        <v>447</v>
      </c>
      <c r="AY102" s="50" t="s">
        <v>170</v>
      </c>
      <c r="AZ102" s="50" t="s">
        <v>118</v>
      </c>
      <c r="BB102" s="50" t="s">
        <v>120</v>
      </c>
      <c r="BC102" s="50" t="s">
        <v>12104</v>
      </c>
      <c r="BD102" s="50" t="s">
        <v>1208</v>
      </c>
      <c r="BE102" s="50" t="s">
        <v>174</v>
      </c>
      <c r="BF102" s="50" t="s">
        <v>1172</v>
      </c>
      <c r="BG102" s="50" t="s">
        <v>124</v>
      </c>
      <c r="BH102" s="50" t="s">
        <v>12023</v>
      </c>
      <c r="BI102" s="50" t="s">
        <v>11889</v>
      </c>
      <c r="BJ102" s="50" t="s">
        <v>127</v>
      </c>
      <c r="BK102" s="50" t="s">
        <v>17722</v>
      </c>
      <c r="BL102" s="50" t="s">
        <v>17723</v>
      </c>
      <c r="BM102" s="50" t="s">
        <v>17724</v>
      </c>
      <c r="BN102" s="50" t="s">
        <v>4909</v>
      </c>
      <c r="BO102" s="50" t="s">
        <v>1212</v>
      </c>
      <c r="BP102" s="50" t="s">
        <v>180</v>
      </c>
      <c r="BQ102" s="50" t="s">
        <v>1213</v>
      </c>
      <c r="BR102" s="50" t="s">
        <v>1214</v>
      </c>
      <c r="BS102" s="50" t="s">
        <v>1215</v>
      </c>
      <c r="BU102" s="50" t="s">
        <v>17725</v>
      </c>
      <c r="BV102" s="50" t="s">
        <v>17726</v>
      </c>
      <c r="BW102" s="50" t="s">
        <v>354</v>
      </c>
      <c r="BX102" s="50" t="s">
        <v>17727</v>
      </c>
      <c r="BY102" s="50" t="s">
        <v>17728</v>
      </c>
      <c r="BZ102" s="50" t="s">
        <v>17727</v>
      </c>
      <c r="CA102" s="50" t="s">
        <v>17729</v>
      </c>
      <c r="CB102" s="50" t="s">
        <v>17730</v>
      </c>
      <c r="CC102" s="50" t="s">
        <v>17731</v>
      </c>
      <c r="CD102" s="50" t="s">
        <v>17729</v>
      </c>
      <c r="CE102" s="50" t="s">
        <v>17730</v>
      </c>
      <c r="CF102" s="50" t="s">
        <v>17731</v>
      </c>
      <c r="CG102" s="50" t="s">
        <v>3918</v>
      </c>
      <c r="CH102" s="50" t="s">
        <v>17732</v>
      </c>
      <c r="CJ102" s="50" t="s">
        <v>17733</v>
      </c>
      <c r="CL102" s="50" t="s">
        <v>12104</v>
      </c>
      <c r="CM102" s="50" t="s">
        <v>1208</v>
      </c>
      <c r="CN102" s="50" t="s">
        <v>17733</v>
      </c>
      <c r="CP102" s="50" t="s">
        <v>17734</v>
      </c>
      <c r="CQ102" s="50" t="s">
        <v>17735</v>
      </c>
    </row>
    <row r="103" spans="1:96">
      <c r="A103" s="95" t="s">
        <v>149</v>
      </c>
      <c r="B103" s="50">
        <v>5002617</v>
      </c>
      <c r="C103" s="50" t="s">
        <v>2151</v>
      </c>
      <c r="D103" s="50" t="s">
        <v>9116</v>
      </c>
      <c r="E103" s="50" t="e">
        <f>VLOOKUP(B103,aa!B:F,5,0)</f>
        <v>#N/A</v>
      </c>
      <c r="F103" s="50" t="e">
        <f>VLOOKUP(B103,aa!B:J,9,0)</f>
        <v>#N/A</v>
      </c>
      <c r="G103" s="50" t="e">
        <f>VLOOKUP(B103,aa!B:L,11,0)</f>
        <v>#N/A</v>
      </c>
      <c r="H103" s="50" t="e">
        <f>VLOOKUP(B103,aa!B:O,14,0)</f>
        <v>#N/A</v>
      </c>
      <c r="I103" s="50" t="e">
        <f>VLOOKUP(B103,aa!B:R,17,0)</f>
        <v>#N/A</v>
      </c>
      <c r="K103" s="50" t="s">
        <v>152</v>
      </c>
      <c r="L103" s="50">
        <v>294324</v>
      </c>
      <c r="M103" s="50">
        <v>294324</v>
      </c>
      <c r="N103" s="50">
        <v>0</v>
      </c>
      <c r="O103" s="50">
        <v>0</v>
      </c>
      <c r="Q103" s="50">
        <v>294324</v>
      </c>
      <c r="R103" s="50">
        <v>223</v>
      </c>
      <c r="S103" s="50" t="s">
        <v>16755</v>
      </c>
      <c r="T103" s="50">
        <v>0</v>
      </c>
      <c r="U103" s="50">
        <v>0</v>
      </c>
      <c r="W103" s="50" t="s">
        <v>102</v>
      </c>
      <c r="X103" s="50" t="s">
        <v>103</v>
      </c>
      <c r="Y103" s="50" t="s">
        <v>155</v>
      </c>
      <c r="AA103" s="50" t="s">
        <v>12023</v>
      </c>
      <c r="AB103" s="50" t="s">
        <v>18481</v>
      </c>
      <c r="AC103" s="50" t="s">
        <v>1408</v>
      </c>
      <c r="AD103" s="50" t="s">
        <v>18481</v>
      </c>
      <c r="AE103" s="50" t="s">
        <v>12888</v>
      </c>
      <c r="AF103" s="50" t="s">
        <v>18481</v>
      </c>
      <c r="AG103" s="50" t="s">
        <v>1427</v>
      </c>
      <c r="AH103" s="50" t="s">
        <v>18481</v>
      </c>
      <c r="AI103" s="50" t="s">
        <v>18482</v>
      </c>
      <c r="AJ103" s="50" t="s">
        <v>6443</v>
      </c>
      <c r="AK103" s="50" t="s">
        <v>15363</v>
      </c>
      <c r="AL103" s="50" t="s">
        <v>18483</v>
      </c>
      <c r="AM103" s="50" t="s">
        <v>18484</v>
      </c>
      <c r="AN103" s="50" t="s">
        <v>18213</v>
      </c>
      <c r="AO103" s="50" t="s">
        <v>18477</v>
      </c>
      <c r="AP103" s="50" t="s">
        <v>18477</v>
      </c>
      <c r="AU103" s="50" t="s">
        <v>102</v>
      </c>
      <c r="AW103" s="50" t="s">
        <v>104</v>
      </c>
      <c r="AX103" s="50" t="s">
        <v>119</v>
      </c>
      <c r="AZ103" s="50" t="s">
        <v>250</v>
      </c>
      <c r="BB103" s="50" t="s">
        <v>120</v>
      </c>
      <c r="BC103" s="50" t="s">
        <v>920</v>
      </c>
      <c r="BD103" s="50" t="s">
        <v>211</v>
      </c>
      <c r="BE103" s="50" t="s">
        <v>212</v>
      </c>
      <c r="BF103" s="50" t="s">
        <v>213</v>
      </c>
      <c r="BG103" s="50" t="s">
        <v>124</v>
      </c>
      <c r="BH103" s="50" t="s">
        <v>12492</v>
      </c>
      <c r="BI103" s="50" t="s">
        <v>11889</v>
      </c>
      <c r="BJ103" s="50" t="s">
        <v>127</v>
      </c>
      <c r="BK103" s="50" t="s">
        <v>18485</v>
      </c>
      <c r="BL103" s="50" t="s">
        <v>9125</v>
      </c>
      <c r="BM103" s="50" t="s">
        <v>18486</v>
      </c>
      <c r="BN103" s="50" t="s">
        <v>4909</v>
      </c>
      <c r="BO103" s="50" t="s">
        <v>415</v>
      </c>
      <c r="BP103" s="50" t="s">
        <v>180</v>
      </c>
      <c r="BQ103" s="50" t="s">
        <v>416</v>
      </c>
      <c r="BR103" s="50" t="s">
        <v>417</v>
      </c>
      <c r="BS103" s="50" t="s">
        <v>222</v>
      </c>
      <c r="BU103" s="50" t="s">
        <v>18487</v>
      </c>
      <c r="BV103" s="50" t="s">
        <v>14998</v>
      </c>
      <c r="BW103" s="50" t="s">
        <v>138</v>
      </c>
      <c r="BX103" s="50" t="s">
        <v>4751</v>
      </c>
      <c r="BY103" s="50" t="s">
        <v>14999</v>
      </c>
      <c r="BZ103" s="50" t="s">
        <v>4751</v>
      </c>
      <c r="CA103" s="50" t="s">
        <v>15000</v>
      </c>
      <c r="CB103" s="50" t="s">
        <v>4751</v>
      </c>
      <c r="CC103" s="50" t="s">
        <v>14999</v>
      </c>
      <c r="CD103" s="50" t="s">
        <v>18488</v>
      </c>
      <c r="CE103" s="50" t="s">
        <v>18489</v>
      </c>
      <c r="CF103" s="50" t="s">
        <v>18490</v>
      </c>
      <c r="CG103" s="50" t="s">
        <v>102</v>
      </c>
      <c r="CH103" s="50" t="s">
        <v>4753</v>
      </c>
      <c r="CJ103" s="50" t="s">
        <v>3982</v>
      </c>
      <c r="CL103" s="50" t="s">
        <v>920</v>
      </c>
      <c r="CM103" s="50" t="s">
        <v>2474</v>
      </c>
      <c r="CN103" s="50" t="s">
        <v>3982</v>
      </c>
      <c r="CO103" s="50" t="s">
        <v>2190</v>
      </c>
      <c r="CP103" s="50" t="s">
        <v>4753</v>
      </c>
      <c r="CQ103" s="50" t="s">
        <v>4753</v>
      </c>
      <c r="CR103" s="50" t="s">
        <v>26040</v>
      </c>
    </row>
    <row r="104" spans="1:96">
      <c r="A104" s="95" t="s">
        <v>149</v>
      </c>
      <c r="B104" s="50">
        <v>218537</v>
      </c>
      <c r="C104" s="50" t="s">
        <v>12121</v>
      </c>
      <c r="D104" s="50" t="s">
        <v>2831</v>
      </c>
      <c r="E104" s="50" t="e">
        <f>VLOOKUP(B104,aa!B:F,5,0)</f>
        <v>#N/A</v>
      </c>
      <c r="F104" s="50" t="e">
        <f>VLOOKUP(B104,aa!B:J,9,0)</f>
        <v>#N/A</v>
      </c>
      <c r="G104" s="50" t="e">
        <f>VLOOKUP(B104,aa!B:L,11,0)</f>
        <v>#N/A</v>
      </c>
      <c r="H104" s="50" t="e">
        <f>VLOOKUP(B104,aa!B:O,14,0)</f>
        <v>#N/A</v>
      </c>
      <c r="I104" s="50" t="e">
        <f>VLOOKUP(B104,aa!B:R,17,0)</f>
        <v>#N/A</v>
      </c>
      <c r="K104" s="50" t="s">
        <v>97</v>
      </c>
      <c r="L104" s="50">
        <v>480596</v>
      </c>
      <c r="M104" s="50">
        <v>480596</v>
      </c>
      <c r="N104" s="50">
        <v>480596</v>
      </c>
      <c r="O104" s="50">
        <v>961</v>
      </c>
      <c r="P104" s="50" t="s">
        <v>364</v>
      </c>
      <c r="Q104" s="50">
        <v>0</v>
      </c>
      <c r="R104" s="50">
        <v>0</v>
      </c>
      <c r="T104" s="50">
        <v>0</v>
      </c>
      <c r="U104" s="50">
        <v>0</v>
      </c>
      <c r="W104" s="50" t="s">
        <v>102</v>
      </c>
      <c r="X104" s="50" t="s">
        <v>103</v>
      </c>
      <c r="Y104" s="50" t="s">
        <v>104</v>
      </c>
      <c r="AA104" s="50" t="s">
        <v>7020</v>
      </c>
      <c r="AB104" s="50" t="s">
        <v>13632</v>
      </c>
      <c r="AC104" s="50" t="s">
        <v>12099</v>
      </c>
      <c r="AD104" s="50" t="s">
        <v>13632</v>
      </c>
      <c r="AE104" s="50" t="s">
        <v>109</v>
      </c>
      <c r="AF104" s="50" t="s">
        <v>102</v>
      </c>
      <c r="AG104" s="50" t="s">
        <v>109</v>
      </c>
      <c r="AH104" s="50" t="s">
        <v>102</v>
      </c>
      <c r="AI104" s="50" t="s">
        <v>13633</v>
      </c>
      <c r="AJ104" s="50" t="s">
        <v>13216</v>
      </c>
      <c r="AK104" s="50" t="s">
        <v>12470</v>
      </c>
      <c r="AL104" s="50" t="s">
        <v>13634</v>
      </c>
      <c r="AM104" s="50" t="s">
        <v>13635</v>
      </c>
      <c r="AN104" s="50" t="s">
        <v>115</v>
      </c>
      <c r="AO104" s="50" t="s">
        <v>2353</v>
      </c>
      <c r="AP104" s="50" t="s">
        <v>2353</v>
      </c>
      <c r="AU104" s="50" t="s">
        <v>117</v>
      </c>
      <c r="AV104" s="50" t="s">
        <v>118</v>
      </c>
      <c r="AW104" s="50" t="s">
        <v>102</v>
      </c>
      <c r="AX104" s="50" t="s">
        <v>119</v>
      </c>
      <c r="BB104" s="50" t="s">
        <v>120</v>
      </c>
      <c r="BC104" s="50" t="s">
        <v>8152</v>
      </c>
      <c r="BD104" s="50" t="s">
        <v>449</v>
      </c>
      <c r="BE104" s="50" t="s">
        <v>122</v>
      </c>
      <c r="BF104" s="50" t="s">
        <v>253</v>
      </c>
      <c r="BG104" s="50" t="s">
        <v>124</v>
      </c>
      <c r="BH104" s="50" t="s">
        <v>12023</v>
      </c>
      <c r="BI104" s="50" t="s">
        <v>11889</v>
      </c>
      <c r="BJ104" s="50" t="s">
        <v>127</v>
      </c>
      <c r="BK104" s="50" t="s">
        <v>13636</v>
      </c>
      <c r="BL104" s="50" t="s">
        <v>2842</v>
      </c>
      <c r="BM104" s="50" t="s">
        <v>13637</v>
      </c>
      <c r="BN104" s="50" t="s">
        <v>6768</v>
      </c>
      <c r="BO104" s="50" t="s">
        <v>13638</v>
      </c>
      <c r="BP104" s="50" t="s">
        <v>132</v>
      </c>
      <c r="BQ104" s="50" t="s">
        <v>13639</v>
      </c>
      <c r="BR104" s="50" t="s">
        <v>13640</v>
      </c>
      <c r="BS104" s="50" t="s">
        <v>2847</v>
      </c>
      <c r="BU104" s="50" t="s">
        <v>13641</v>
      </c>
      <c r="BV104" s="50" t="s">
        <v>13642</v>
      </c>
      <c r="BW104" s="50" t="s">
        <v>569</v>
      </c>
      <c r="BX104" s="50" t="s">
        <v>8158</v>
      </c>
      <c r="BY104" s="50" t="s">
        <v>13643</v>
      </c>
      <c r="BZ104" s="50" t="s">
        <v>2852</v>
      </c>
      <c r="CA104" s="50" t="s">
        <v>13644</v>
      </c>
      <c r="CB104" s="50" t="s">
        <v>13645</v>
      </c>
      <c r="CC104" s="50" t="s">
        <v>13643</v>
      </c>
      <c r="CD104" s="50" t="s">
        <v>13646</v>
      </c>
      <c r="CE104" s="50" t="s">
        <v>8158</v>
      </c>
      <c r="CF104" s="50" t="s">
        <v>13643</v>
      </c>
      <c r="CG104" s="50" t="s">
        <v>2853</v>
      </c>
      <c r="CH104" s="50" t="s">
        <v>13647</v>
      </c>
      <c r="CJ104" s="50" t="s">
        <v>10907</v>
      </c>
      <c r="CK104" s="50" t="s">
        <v>13648</v>
      </c>
      <c r="CL104" s="50" t="s">
        <v>2840</v>
      </c>
      <c r="CM104" s="50" t="s">
        <v>449</v>
      </c>
      <c r="CN104" s="50" t="s">
        <v>2855</v>
      </c>
      <c r="CO104" s="50" t="s">
        <v>2857</v>
      </c>
      <c r="CP104" s="50" t="s">
        <v>2858</v>
      </c>
      <c r="CQ104" s="50" t="s">
        <v>2856</v>
      </c>
    </row>
    <row r="105" spans="1:96">
      <c r="A105" s="95" t="s">
        <v>149</v>
      </c>
      <c r="B105" s="50">
        <v>3991655</v>
      </c>
      <c r="C105" s="50" t="s">
        <v>985</v>
      </c>
      <c r="D105" s="50" t="s">
        <v>8145</v>
      </c>
      <c r="E105" s="50" t="e">
        <f>VLOOKUP(B105,aa!B:F,5,0)</f>
        <v>#N/A</v>
      </c>
      <c r="F105" s="50" t="e">
        <f>VLOOKUP(B105,aa!B:J,9,0)</f>
        <v>#N/A</v>
      </c>
      <c r="G105" s="50" t="e">
        <f>VLOOKUP(B105,aa!B:L,11,0)</f>
        <v>#N/A</v>
      </c>
      <c r="H105" s="50" t="e">
        <f>VLOOKUP(B105,aa!B:O,14,0)</f>
        <v>#N/A</v>
      </c>
      <c r="I105" s="50" t="e">
        <f>VLOOKUP(B105,aa!B:R,17,0)</f>
        <v>#N/A</v>
      </c>
      <c r="K105" s="50" t="s">
        <v>97</v>
      </c>
      <c r="L105" s="50">
        <v>572114</v>
      </c>
      <c r="M105" s="50">
        <v>572114</v>
      </c>
      <c r="N105" s="50">
        <v>572114</v>
      </c>
      <c r="O105" s="50">
        <v>1144</v>
      </c>
      <c r="P105" s="50" t="s">
        <v>364</v>
      </c>
      <c r="Q105" s="50">
        <v>0</v>
      </c>
      <c r="R105" s="50">
        <v>0</v>
      </c>
      <c r="T105" s="50">
        <v>0</v>
      </c>
      <c r="U105" s="50">
        <v>0</v>
      </c>
      <c r="W105" s="50" t="s">
        <v>102</v>
      </c>
      <c r="X105" s="50" t="s">
        <v>103</v>
      </c>
      <c r="Y105" s="50" t="s">
        <v>104</v>
      </c>
      <c r="AA105" s="50" t="s">
        <v>7020</v>
      </c>
      <c r="AB105" s="50" t="s">
        <v>17501</v>
      </c>
      <c r="AC105" s="50" t="s">
        <v>12099</v>
      </c>
      <c r="AD105" s="50" t="s">
        <v>17501</v>
      </c>
      <c r="AE105" s="50" t="s">
        <v>109</v>
      </c>
      <c r="AF105" s="50" t="s">
        <v>102</v>
      </c>
      <c r="AG105" s="50" t="s">
        <v>109</v>
      </c>
      <c r="AH105" s="50" t="s">
        <v>102</v>
      </c>
      <c r="AI105" s="50" t="s">
        <v>17502</v>
      </c>
      <c r="AJ105" s="50" t="s">
        <v>13216</v>
      </c>
      <c r="AK105" s="50" t="s">
        <v>12470</v>
      </c>
      <c r="AL105" s="50" t="s">
        <v>17503</v>
      </c>
      <c r="AM105" s="50" t="s">
        <v>17504</v>
      </c>
      <c r="AN105" s="50" t="s">
        <v>17505</v>
      </c>
      <c r="AO105" s="50" t="s">
        <v>2353</v>
      </c>
      <c r="AP105" s="50" t="s">
        <v>2353</v>
      </c>
      <c r="AU105" s="50" t="s">
        <v>117</v>
      </c>
      <c r="AV105" s="50" t="s">
        <v>118</v>
      </c>
      <c r="AW105" s="50" t="s">
        <v>102</v>
      </c>
      <c r="AX105" s="50" t="s">
        <v>119</v>
      </c>
      <c r="BB105" s="50" t="s">
        <v>120</v>
      </c>
      <c r="BC105" s="50" t="s">
        <v>8152</v>
      </c>
      <c r="BD105" s="50" t="s">
        <v>621</v>
      </c>
      <c r="BE105" s="50" t="s">
        <v>622</v>
      </c>
      <c r="BF105" s="50" t="s">
        <v>976</v>
      </c>
      <c r="BG105" s="50" t="s">
        <v>124</v>
      </c>
      <c r="BH105" s="50" t="s">
        <v>12023</v>
      </c>
      <c r="BI105" s="50" t="s">
        <v>11889</v>
      </c>
      <c r="BJ105" s="50" t="s">
        <v>127</v>
      </c>
      <c r="BK105" s="50" t="s">
        <v>17506</v>
      </c>
      <c r="BL105" s="50" t="s">
        <v>8154</v>
      </c>
      <c r="BM105" s="50" t="s">
        <v>17507</v>
      </c>
      <c r="BN105" s="50" t="s">
        <v>6768</v>
      </c>
      <c r="BO105" s="50" t="s">
        <v>13638</v>
      </c>
      <c r="BP105" s="50" t="s">
        <v>132</v>
      </c>
      <c r="BQ105" s="50" t="s">
        <v>13639</v>
      </c>
      <c r="BR105" s="50" t="s">
        <v>13640</v>
      </c>
      <c r="BS105" s="50" t="s">
        <v>984</v>
      </c>
      <c r="BU105" s="50" t="s">
        <v>17508</v>
      </c>
      <c r="BV105" s="50" t="s">
        <v>17509</v>
      </c>
      <c r="BW105" s="50" t="s">
        <v>598</v>
      </c>
      <c r="BX105" s="50" t="s">
        <v>8158</v>
      </c>
      <c r="BY105" s="50" t="s">
        <v>13643</v>
      </c>
      <c r="BZ105" s="50" t="s">
        <v>8160</v>
      </c>
      <c r="CA105" s="50" t="s">
        <v>8161</v>
      </c>
      <c r="CB105" s="50" t="s">
        <v>8160</v>
      </c>
      <c r="CC105" s="50" t="s">
        <v>13643</v>
      </c>
      <c r="CD105" s="50" t="s">
        <v>17509</v>
      </c>
      <c r="CE105" s="50" t="s">
        <v>8158</v>
      </c>
      <c r="CF105" s="50" t="s">
        <v>13643</v>
      </c>
      <c r="CG105" s="50" t="s">
        <v>6290</v>
      </c>
      <c r="CH105" s="50" t="s">
        <v>17510</v>
      </c>
      <c r="CJ105" s="50" t="s">
        <v>10907</v>
      </c>
      <c r="CK105" s="50" t="s">
        <v>17511</v>
      </c>
      <c r="CL105" s="50" t="s">
        <v>6280</v>
      </c>
      <c r="CM105" s="50" t="s">
        <v>621</v>
      </c>
      <c r="CN105" s="50" t="s">
        <v>8165</v>
      </c>
      <c r="CO105" s="50" t="s">
        <v>2857</v>
      </c>
      <c r="CP105" s="50" t="s">
        <v>8166</v>
      </c>
      <c r="CQ105" s="50" t="s">
        <v>8167</v>
      </c>
      <c r="CR105" s="50" t="s">
        <v>26040</v>
      </c>
    </row>
    <row r="106" spans="1:96">
      <c r="A106" s="50" t="s">
        <v>93</v>
      </c>
      <c r="B106" s="50">
        <v>5017448</v>
      </c>
      <c r="C106" s="50" t="s">
        <v>985</v>
      </c>
      <c r="D106" s="50" t="s">
        <v>19047</v>
      </c>
      <c r="E106" s="50" t="e">
        <f>VLOOKUP(B106,aa!B:F,5,0)</f>
        <v>#N/A</v>
      </c>
      <c r="F106" s="50" t="e">
        <f>VLOOKUP(B106,aa!B:J,9,0)</f>
        <v>#N/A</v>
      </c>
      <c r="G106" s="50" t="e">
        <f>VLOOKUP(B106,aa!B:L,11,0)</f>
        <v>#N/A</v>
      </c>
      <c r="H106" s="50" t="e">
        <f>VLOOKUP(B106,aa!B:O,14,0)</f>
        <v>#N/A</v>
      </c>
      <c r="I106" s="50" t="e">
        <f>VLOOKUP(B106,aa!B:R,17,0)</f>
        <v>#N/A</v>
      </c>
      <c r="K106" s="50" t="s">
        <v>97</v>
      </c>
      <c r="L106" s="50">
        <v>129026</v>
      </c>
      <c r="M106" s="50">
        <v>129026</v>
      </c>
      <c r="N106" s="50">
        <v>129026</v>
      </c>
      <c r="O106" s="50">
        <v>258</v>
      </c>
      <c r="P106" s="50" t="s">
        <v>364</v>
      </c>
      <c r="Q106" s="50">
        <v>0</v>
      </c>
      <c r="R106" s="50">
        <v>0</v>
      </c>
      <c r="T106" s="50">
        <v>0</v>
      </c>
      <c r="U106" s="50">
        <v>0</v>
      </c>
      <c r="W106" s="50" t="s">
        <v>102</v>
      </c>
      <c r="X106" s="50" t="s">
        <v>103</v>
      </c>
      <c r="Y106" s="50" t="s">
        <v>104</v>
      </c>
      <c r="AA106" s="50" t="s">
        <v>7020</v>
      </c>
      <c r="AB106" s="50" t="s">
        <v>19048</v>
      </c>
      <c r="AC106" s="50" t="s">
        <v>12099</v>
      </c>
      <c r="AD106" s="50" t="s">
        <v>19048</v>
      </c>
      <c r="AE106" s="50" t="s">
        <v>109</v>
      </c>
      <c r="AF106" s="50" t="s">
        <v>102</v>
      </c>
      <c r="AG106" s="50" t="s">
        <v>109</v>
      </c>
      <c r="AH106" s="50" t="s">
        <v>102</v>
      </c>
      <c r="AI106" s="50" t="s">
        <v>19049</v>
      </c>
      <c r="AJ106" s="50" t="s">
        <v>13216</v>
      </c>
      <c r="AK106" s="50" t="s">
        <v>12470</v>
      </c>
      <c r="AL106" s="50" t="s">
        <v>19050</v>
      </c>
      <c r="AM106" s="50" t="s">
        <v>19051</v>
      </c>
      <c r="AN106" s="50" t="s">
        <v>5926</v>
      </c>
      <c r="AO106" s="50" t="s">
        <v>2353</v>
      </c>
      <c r="AP106" s="50" t="s">
        <v>2353</v>
      </c>
      <c r="AU106" s="50" t="s">
        <v>117</v>
      </c>
      <c r="AV106" s="50" t="s">
        <v>118</v>
      </c>
      <c r="AW106" s="50" t="s">
        <v>102</v>
      </c>
      <c r="AX106" s="50" t="s">
        <v>119</v>
      </c>
      <c r="BB106" s="50" t="s">
        <v>120</v>
      </c>
      <c r="BC106" s="50" t="s">
        <v>19052</v>
      </c>
      <c r="BD106" s="50" t="s">
        <v>621</v>
      </c>
      <c r="BE106" s="50" t="s">
        <v>622</v>
      </c>
      <c r="BF106" s="50" t="s">
        <v>976</v>
      </c>
      <c r="BG106" s="50" t="s">
        <v>124</v>
      </c>
      <c r="BH106" s="50" t="s">
        <v>12023</v>
      </c>
      <c r="BI106" s="50" t="s">
        <v>11889</v>
      </c>
      <c r="BJ106" s="50" t="s">
        <v>127</v>
      </c>
      <c r="BK106" s="50" t="s">
        <v>19053</v>
      </c>
      <c r="BL106" s="50" t="s">
        <v>19054</v>
      </c>
      <c r="BM106" s="50" t="s">
        <v>19055</v>
      </c>
      <c r="BN106" s="50" t="s">
        <v>6768</v>
      </c>
      <c r="BO106" s="50" t="s">
        <v>13638</v>
      </c>
      <c r="BP106" s="50" t="s">
        <v>132</v>
      </c>
      <c r="BQ106" s="50" t="s">
        <v>13639</v>
      </c>
      <c r="BR106" s="50" t="s">
        <v>13640</v>
      </c>
      <c r="BS106" s="50" t="s">
        <v>984</v>
      </c>
      <c r="BT106" s="50" t="s">
        <v>985</v>
      </c>
      <c r="BU106" s="50" t="s">
        <v>19056</v>
      </c>
      <c r="BV106" s="50" t="s">
        <v>17509</v>
      </c>
      <c r="BW106" s="50" t="s">
        <v>598</v>
      </c>
      <c r="BX106" s="50" t="s">
        <v>8158</v>
      </c>
      <c r="BY106" s="50" t="s">
        <v>13643</v>
      </c>
      <c r="BZ106" s="50" t="s">
        <v>8158</v>
      </c>
      <c r="CA106" s="50" t="s">
        <v>19057</v>
      </c>
      <c r="CB106" s="50" t="s">
        <v>19058</v>
      </c>
      <c r="CC106" s="50" t="s">
        <v>13643</v>
      </c>
      <c r="CD106" s="50" t="s">
        <v>17509</v>
      </c>
      <c r="CE106" s="50" t="s">
        <v>8158</v>
      </c>
      <c r="CF106" s="50" t="s">
        <v>13643</v>
      </c>
      <c r="CG106" s="50" t="s">
        <v>19059</v>
      </c>
      <c r="CH106" s="50" t="s">
        <v>19060</v>
      </c>
      <c r="CJ106" s="50" t="s">
        <v>10907</v>
      </c>
      <c r="CK106" s="50" t="s">
        <v>19061</v>
      </c>
      <c r="CL106" s="50" t="s">
        <v>2127</v>
      </c>
      <c r="CM106" s="50" t="s">
        <v>621</v>
      </c>
      <c r="CN106" s="50" t="s">
        <v>19062</v>
      </c>
      <c r="CO106" s="50" t="s">
        <v>2857</v>
      </c>
      <c r="CP106" s="50" t="s">
        <v>19063</v>
      </c>
      <c r="CQ106" s="50" t="s">
        <v>14774</v>
      </c>
      <c r="CR106" s="50" t="s">
        <v>26040</v>
      </c>
    </row>
    <row r="107" spans="1:96">
      <c r="A107" s="95" t="s">
        <v>149</v>
      </c>
      <c r="B107" s="50">
        <v>519329</v>
      </c>
      <c r="C107" s="50" t="s">
        <v>985</v>
      </c>
      <c r="D107" s="50" t="s">
        <v>10893</v>
      </c>
      <c r="E107" s="50" t="e">
        <f>VLOOKUP(B107,aa!B:F,5,0)</f>
        <v>#N/A</v>
      </c>
      <c r="F107" s="50" t="e">
        <f>VLOOKUP(B107,aa!B:J,9,0)</f>
        <v>#N/A</v>
      </c>
      <c r="G107" s="50" t="e">
        <f>VLOOKUP(B107,aa!B:L,11,0)</f>
        <v>#N/A</v>
      </c>
      <c r="H107" s="50" t="e">
        <f>VLOOKUP(B107,aa!B:O,14,0)</f>
        <v>#N/A</v>
      </c>
      <c r="I107" s="50" t="e">
        <f>VLOOKUP(B107,aa!B:R,17,0)</f>
        <v>#N/A</v>
      </c>
      <c r="K107" s="50" t="s">
        <v>97</v>
      </c>
      <c r="L107" s="50">
        <v>348570</v>
      </c>
      <c r="M107" s="50">
        <v>348570</v>
      </c>
      <c r="N107" s="50">
        <v>348570</v>
      </c>
      <c r="O107" s="50">
        <v>697</v>
      </c>
      <c r="P107" s="50" t="s">
        <v>364</v>
      </c>
      <c r="Q107" s="50">
        <v>0</v>
      </c>
      <c r="R107" s="50">
        <v>0</v>
      </c>
      <c r="T107" s="50">
        <v>0</v>
      </c>
      <c r="U107" s="50">
        <v>0</v>
      </c>
      <c r="W107" s="50" t="s">
        <v>102</v>
      </c>
      <c r="X107" s="50" t="s">
        <v>103</v>
      </c>
      <c r="Y107" s="50" t="s">
        <v>104</v>
      </c>
      <c r="AA107" s="50" t="s">
        <v>7020</v>
      </c>
      <c r="AB107" s="50" t="s">
        <v>20997</v>
      </c>
      <c r="AC107" s="50" t="s">
        <v>12099</v>
      </c>
      <c r="AD107" s="50" t="s">
        <v>20997</v>
      </c>
      <c r="AE107" s="50" t="s">
        <v>109</v>
      </c>
      <c r="AF107" s="50" t="s">
        <v>102</v>
      </c>
      <c r="AG107" s="50" t="s">
        <v>109</v>
      </c>
      <c r="AH107" s="50" t="s">
        <v>102</v>
      </c>
      <c r="AI107" s="50" t="s">
        <v>20998</v>
      </c>
      <c r="AJ107" s="50" t="s">
        <v>13216</v>
      </c>
      <c r="AK107" s="50" t="s">
        <v>12470</v>
      </c>
      <c r="AL107" s="50" t="s">
        <v>20999</v>
      </c>
      <c r="AM107" s="50" t="s">
        <v>21000</v>
      </c>
      <c r="AN107" s="50" t="s">
        <v>398</v>
      </c>
      <c r="AO107" s="50" t="s">
        <v>2353</v>
      </c>
      <c r="AP107" s="50" t="s">
        <v>2353</v>
      </c>
      <c r="AU107" s="50" t="s">
        <v>117</v>
      </c>
      <c r="AV107" s="50" t="s">
        <v>118</v>
      </c>
      <c r="AW107" s="50" t="s">
        <v>102</v>
      </c>
      <c r="AX107" s="50" t="s">
        <v>119</v>
      </c>
      <c r="BB107" s="50" t="s">
        <v>120</v>
      </c>
      <c r="BC107" s="50" t="s">
        <v>8152</v>
      </c>
      <c r="BD107" s="50" t="s">
        <v>621</v>
      </c>
      <c r="BE107" s="50" t="s">
        <v>622</v>
      </c>
      <c r="BF107" s="50" t="s">
        <v>976</v>
      </c>
      <c r="BG107" s="50" t="s">
        <v>124</v>
      </c>
      <c r="BH107" s="50" t="s">
        <v>12023</v>
      </c>
      <c r="BI107" s="50" t="s">
        <v>11889</v>
      </c>
      <c r="BJ107" s="50" t="s">
        <v>127</v>
      </c>
      <c r="BK107" s="50" t="s">
        <v>21001</v>
      </c>
      <c r="BL107" s="50" t="s">
        <v>10899</v>
      </c>
      <c r="BM107" s="50" t="s">
        <v>21002</v>
      </c>
      <c r="BN107" s="50" t="s">
        <v>6768</v>
      </c>
      <c r="BO107" s="50" t="s">
        <v>13638</v>
      </c>
      <c r="BP107" s="50" t="s">
        <v>132</v>
      </c>
      <c r="BQ107" s="50" t="s">
        <v>13639</v>
      </c>
      <c r="BR107" s="50" t="s">
        <v>13640</v>
      </c>
      <c r="BS107" s="50" t="s">
        <v>10901</v>
      </c>
      <c r="BU107" s="50" t="s">
        <v>21003</v>
      </c>
      <c r="BV107" s="50" t="s">
        <v>17509</v>
      </c>
      <c r="BW107" s="50" t="s">
        <v>598</v>
      </c>
      <c r="BX107" s="50" t="s">
        <v>8158</v>
      </c>
      <c r="BY107" s="50" t="s">
        <v>13643</v>
      </c>
      <c r="BZ107" s="50" t="s">
        <v>10903</v>
      </c>
      <c r="CA107" s="50" t="s">
        <v>10904</v>
      </c>
      <c r="CB107" s="50" t="s">
        <v>10905</v>
      </c>
      <c r="CC107" s="50" t="s">
        <v>13643</v>
      </c>
      <c r="CD107" s="50" t="s">
        <v>17509</v>
      </c>
      <c r="CE107" s="50" t="s">
        <v>8158</v>
      </c>
      <c r="CF107" s="50" t="s">
        <v>13643</v>
      </c>
      <c r="CG107" s="50" t="s">
        <v>6290</v>
      </c>
      <c r="CH107" s="50" t="s">
        <v>17510</v>
      </c>
      <c r="CJ107" s="50" t="s">
        <v>10907</v>
      </c>
      <c r="CK107" s="50" t="s">
        <v>21004</v>
      </c>
      <c r="CL107" s="50" t="s">
        <v>8152</v>
      </c>
      <c r="CM107" s="50" t="s">
        <v>621</v>
      </c>
      <c r="CN107" s="50" t="s">
        <v>10909</v>
      </c>
      <c r="CO107" s="50" t="s">
        <v>2857</v>
      </c>
      <c r="CP107" s="50" t="s">
        <v>10910</v>
      </c>
      <c r="CQ107" s="50" t="s">
        <v>10911</v>
      </c>
      <c r="CR107" s="50" t="s">
        <v>26040</v>
      </c>
    </row>
    <row r="108" spans="1:96">
      <c r="A108" s="50" t="s">
        <v>93</v>
      </c>
      <c r="B108" s="50">
        <v>3999184</v>
      </c>
      <c r="C108" s="50" t="s">
        <v>12018</v>
      </c>
      <c r="D108" s="50" t="s">
        <v>17805</v>
      </c>
      <c r="E108" s="50" t="e">
        <f>VLOOKUP(B108,aa!B:F,5,0)</f>
        <v>#N/A</v>
      </c>
      <c r="F108" s="50" t="e">
        <f>VLOOKUP(B108,aa!B:J,9,0)</f>
        <v>#N/A</v>
      </c>
      <c r="G108" s="50" t="e">
        <f>VLOOKUP(B108,aa!B:L,11,0)</f>
        <v>#N/A</v>
      </c>
      <c r="H108" s="50" t="e">
        <f>VLOOKUP(B108,aa!B:O,14,0)</f>
        <v>#N/A</v>
      </c>
      <c r="I108" s="50" t="e">
        <f>VLOOKUP(B108,aa!B:R,17,0)</f>
        <v>#N/A</v>
      </c>
      <c r="K108" s="50" t="s">
        <v>152</v>
      </c>
      <c r="L108" s="50">
        <v>304876</v>
      </c>
      <c r="M108" s="50">
        <v>304876</v>
      </c>
      <c r="N108" s="50">
        <v>0</v>
      </c>
      <c r="O108" s="50">
        <v>0</v>
      </c>
      <c r="Q108" s="50">
        <v>304876</v>
      </c>
      <c r="R108" s="50">
        <v>199</v>
      </c>
      <c r="S108" s="50" t="s">
        <v>17807</v>
      </c>
      <c r="T108" s="50">
        <v>0</v>
      </c>
      <c r="U108" s="50">
        <v>0</v>
      </c>
      <c r="W108" s="50" t="s">
        <v>102</v>
      </c>
      <c r="X108" s="50" t="s">
        <v>679</v>
      </c>
      <c r="Y108" s="50" t="s">
        <v>155</v>
      </c>
      <c r="Z108" s="50" t="s">
        <v>13036</v>
      </c>
      <c r="AA108" s="50" t="s">
        <v>17808</v>
      </c>
      <c r="AB108" s="50" t="s">
        <v>17809</v>
      </c>
      <c r="AC108" s="50" t="s">
        <v>17047</v>
      </c>
      <c r="AD108" s="50" t="s">
        <v>17809</v>
      </c>
      <c r="AE108" s="50" t="s">
        <v>12215</v>
      </c>
      <c r="AF108" s="50" t="s">
        <v>17809</v>
      </c>
      <c r="AG108" s="50" t="s">
        <v>12216</v>
      </c>
      <c r="AH108" s="50" t="s">
        <v>17809</v>
      </c>
      <c r="AI108" s="50" t="s">
        <v>102</v>
      </c>
      <c r="AJ108" s="50" t="s">
        <v>17810</v>
      </c>
      <c r="AK108" s="50" t="s">
        <v>17811</v>
      </c>
      <c r="AL108" s="50" t="s">
        <v>17812</v>
      </c>
      <c r="AM108" s="50" t="s">
        <v>17813</v>
      </c>
      <c r="AN108" s="50" t="s">
        <v>17814</v>
      </c>
      <c r="AO108" s="50" t="s">
        <v>17815</v>
      </c>
      <c r="AP108" s="50" t="s">
        <v>17815</v>
      </c>
      <c r="AU108" s="50" t="s">
        <v>102</v>
      </c>
      <c r="AW108" s="50" t="s">
        <v>155</v>
      </c>
      <c r="AX108" s="50" t="s">
        <v>447</v>
      </c>
      <c r="AY108" s="50" t="s">
        <v>170</v>
      </c>
      <c r="AZ108" s="50" t="s">
        <v>118</v>
      </c>
      <c r="BB108" s="50" t="s">
        <v>120</v>
      </c>
      <c r="BC108" s="50" t="s">
        <v>17816</v>
      </c>
      <c r="BD108" s="50" t="s">
        <v>345</v>
      </c>
      <c r="BE108" s="50" t="s">
        <v>122</v>
      </c>
      <c r="BF108" s="50" t="s">
        <v>346</v>
      </c>
      <c r="BG108" s="50" t="s">
        <v>124</v>
      </c>
      <c r="BH108" s="50" t="s">
        <v>12023</v>
      </c>
      <c r="BI108" s="50" t="s">
        <v>11889</v>
      </c>
      <c r="BJ108" s="50" t="s">
        <v>127</v>
      </c>
      <c r="BK108" s="50" t="s">
        <v>17817</v>
      </c>
      <c r="BL108" s="50" t="s">
        <v>17818</v>
      </c>
      <c r="BM108" s="50" t="s">
        <v>17819</v>
      </c>
      <c r="BN108" s="50" t="s">
        <v>17806</v>
      </c>
      <c r="BO108" s="50" t="s">
        <v>12226</v>
      </c>
      <c r="BP108" s="50" t="s">
        <v>180</v>
      </c>
      <c r="BQ108" s="50" t="s">
        <v>12228</v>
      </c>
      <c r="BR108" s="50" t="s">
        <v>12229</v>
      </c>
      <c r="BS108" s="50" t="s">
        <v>8623</v>
      </c>
      <c r="BU108" s="50" t="s">
        <v>17820</v>
      </c>
      <c r="BV108" s="50" t="s">
        <v>17821</v>
      </c>
      <c r="BW108" s="50" t="s">
        <v>3121</v>
      </c>
      <c r="BX108" s="50" t="s">
        <v>17822</v>
      </c>
      <c r="BY108" s="50" t="s">
        <v>17823</v>
      </c>
      <c r="BZ108" s="50" t="s">
        <v>17824</v>
      </c>
      <c r="CA108" s="50" t="s">
        <v>17825</v>
      </c>
      <c r="CB108" s="50" t="s">
        <v>17822</v>
      </c>
      <c r="CC108" s="50" t="s">
        <v>17823</v>
      </c>
      <c r="CD108" s="50" t="s">
        <v>17825</v>
      </c>
      <c r="CE108" s="50" t="s">
        <v>17822</v>
      </c>
      <c r="CF108" s="50" t="s">
        <v>17823</v>
      </c>
      <c r="CG108" s="50" t="s">
        <v>1709</v>
      </c>
      <c r="CH108" s="50" t="s">
        <v>17826</v>
      </c>
      <c r="CJ108" s="50" t="s">
        <v>17827</v>
      </c>
      <c r="CK108" s="50" t="s">
        <v>17826</v>
      </c>
      <c r="CL108" s="50" t="s">
        <v>17816</v>
      </c>
      <c r="CM108" s="50" t="s">
        <v>345</v>
      </c>
      <c r="CN108" s="50" t="s">
        <v>17827</v>
      </c>
      <c r="CP108" s="50" t="s">
        <v>17828</v>
      </c>
      <c r="CQ108" s="50" t="s">
        <v>17828</v>
      </c>
    </row>
    <row r="109" spans="1:96">
      <c r="A109" s="95" t="s">
        <v>149</v>
      </c>
      <c r="B109" s="50">
        <v>1879439</v>
      </c>
      <c r="C109" s="50" t="s">
        <v>11947</v>
      </c>
      <c r="D109" s="50" t="s">
        <v>2138</v>
      </c>
      <c r="E109" s="50" t="str">
        <f>VLOOKUP(B109,aa!B:F,5,0)</f>
        <v>Ei ASSET</v>
      </c>
      <c r="F109" s="50">
        <f>VLOOKUP(B109,aa!B:J,9,0)</f>
        <v>447253</v>
      </c>
      <c r="G109" s="50">
        <f>VLOOKUP(B109,aa!B:L,11,0)</f>
        <v>447253</v>
      </c>
      <c r="H109" s="50">
        <f>VLOOKUP(B109,aa!B:O,14,0)</f>
        <v>0</v>
      </c>
      <c r="I109" s="50">
        <f>VLOOKUP(B109,aa!B:R,17,0)</f>
        <v>0</v>
      </c>
      <c r="K109" s="50" t="s">
        <v>193</v>
      </c>
      <c r="L109" s="50">
        <v>431637</v>
      </c>
      <c r="M109" s="50">
        <v>431637</v>
      </c>
      <c r="N109" s="50">
        <v>431637</v>
      </c>
      <c r="O109" s="50">
        <v>489</v>
      </c>
      <c r="P109" s="50" t="s">
        <v>13091</v>
      </c>
      <c r="Q109" s="50">
        <v>0</v>
      </c>
      <c r="R109" s="50">
        <v>0</v>
      </c>
      <c r="T109" s="50">
        <v>0</v>
      </c>
      <c r="U109" s="50">
        <v>210</v>
      </c>
      <c r="V109" s="50" t="s">
        <v>102</v>
      </c>
      <c r="W109" s="50" t="s">
        <v>102</v>
      </c>
      <c r="X109" s="50" t="s">
        <v>275</v>
      </c>
      <c r="Z109" s="50" t="s">
        <v>13092</v>
      </c>
      <c r="AA109" s="50" t="s">
        <v>109</v>
      </c>
      <c r="AB109" s="50" t="s">
        <v>102</v>
      </c>
      <c r="AC109" s="50" t="s">
        <v>109</v>
      </c>
      <c r="AD109" s="50" t="s">
        <v>102</v>
      </c>
      <c r="AE109" s="50" t="s">
        <v>109</v>
      </c>
      <c r="AF109" s="50" t="s">
        <v>102</v>
      </c>
      <c r="AG109" s="50" t="s">
        <v>109</v>
      </c>
      <c r="AH109" s="50" t="s">
        <v>102</v>
      </c>
      <c r="AI109" s="50" t="s">
        <v>13093</v>
      </c>
      <c r="AJ109" s="50" t="s">
        <v>11300</v>
      </c>
      <c r="AK109" s="50" t="s">
        <v>11300</v>
      </c>
      <c r="AL109" s="50" t="s">
        <v>13094</v>
      </c>
      <c r="AM109" s="50" t="s">
        <v>13095</v>
      </c>
      <c r="AN109" s="50" t="s">
        <v>102</v>
      </c>
      <c r="AO109" s="50" t="s">
        <v>13096</v>
      </c>
      <c r="AP109" s="50" t="s">
        <v>13096</v>
      </c>
      <c r="AU109" s="50" t="s">
        <v>207</v>
      </c>
      <c r="AV109" s="50" t="s">
        <v>118</v>
      </c>
      <c r="AW109" s="50" t="s">
        <v>102</v>
      </c>
      <c r="AX109" s="50" t="s">
        <v>119</v>
      </c>
      <c r="BA109" s="50" t="s">
        <v>250</v>
      </c>
      <c r="BB109" s="50" t="s">
        <v>209</v>
      </c>
      <c r="BC109" s="50" t="s">
        <v>920</v>
      </c>
      <c r="BD109" s="50" t="s">
        <v>211</v>
      </c>
      <c r="BE109" s="50" t="s">
        <v>212</v>
      </c>
      <c r="BF109" s="50" t="s">
        <v>213</v>
      </c>
      <c r="BG109" s="50" t="s">
        <v>124</v>
      </c>
      <c r="BH109" s="50" t="s">
        <v>11959</v>
      </c>
      <c r="BI109" s="50" t="s">
        <v>11960</v>
      </c>
      <c r="BJ109" s="50" t="s">
        <v>127</v>
      </c>
      <c r="BK109" s="50" t="s">
        <v>13097</v>
      </c>
      <c r="BL109" s="50" t="s">
        <v>2149</v>
      </c>
      <c r="BM109" s="50" t="s">
        <v>13098</v>
      </c>
      <c r="BN109" s="50" t="s">
        <v>13090</v>
      </c>
      <c r="BO109" s="50" t="s">
        <v>13099</v>
      </c>
      <c r="BP109" s="50" t="s">
        <v>180</v>
      </c>
      <c r="BQ109" s="50" t="s">
        <v>13100</v>
      </c>
      <c r="BR109" s="50" t="s">
        <v>13101</v>
      </c>
      <c r="BS109" s="50" t="s">
        <v>2151</v>
      </c>
      <c r="BU109" s="50" t="s">
        <v>13102</v>
      </c>
      <c r="BV109" s="50" t="s">
        <v>13103</v>
      </c>
      <c r="BW109" s="50" t="s">
        <v>9092</v>
      </c>
      <c r="BX109" s="50" t="s">
        <v>13104</v>
      </c>
      <c r="BY109" s="50" t="s">
        <v>13105</v>
      </c>
      <c r="BZ109" s="50" t="s">
        <v>2156</v>
      </c>
      <c r="CA109" s="50" t="s">
        <v>13106</v>
      </c>
      <c r="CB109" s="50" t="s">
        <v>13107</v>
      </c>
      <c r="CC109" s="50" t="s">
        <v>13108</v>
      </c>
      <c r="CD109" s="50" t="s">
        <v>13103</v>
      </c>
      <c r="CE109" s="50" t="s">
        <v>13104</v>
      </c>
      <c r="CF109" s="50" t="s">
        <v>13108</v>
      </c>
      <c r="CG109" s="50" t="s">
        <v>102</v>
      </c>
      <c r="CH109" s="50" t="s">
        <v>2159</v>
      </c>
      <c r="CJ109" s="50" t="s">
        <v>2160</v>
      </c>
      <c r="CL109" s="50" t="s">
        <v>920</v>
      </c>
      <c r="CM109" s="50" t="s">
        <v>211</v>
      </c>
      <c r="CN109" s="50" t="s">
        <v>2160</v>
      </c>
      <c r="CO109" s="50" t="s">
        <v>2161</v>
      </c>
      <c r="CP109" s="50" t="s">
        <v>2159</v>
      </c>
      <c r="CQ109" s="50" t="s">
        <v>2159</v>
      </c>
    </row>
    <row r="110" spans="1:96">
      <c r="A110" s="95" t="s">
        <v>149</v>
      </c>
      <c r="B110" s="50">
        <v>3883519</v>
      </c>
      <c r="C110" s="50" t="s">
        <v>12491</v>
      </c>
      <c r="D110" s="50" t="s">
        <v>7786</v>
      </c>
      <c r="E110" s="50" t="str">
        <f>VLOOKUP(B110,aa!B:F,5,0)</f>
        <v>Ei ASSET, Ei CARES</v>
      </c>
      <c r="F110" s="50">
        <f>VLOOKUP(B110,aa!B:J,9,0)</f>
        <v>1504335</v>
      </c>
      <c r="G110" s="50">
        <f>VLOOKUP(B110,aa!B:L,11,0)</f>
        <v>492523</v>
      </c>
      <c r="H110" s="50">
        <f>VLOOKUP(B110,aa!B:O,14,0)</f>
        <v>1011812</v>
      </c>
      <c r="I110" s="50">
        <f>VLOOKUP(B110,aa!B:R,17,0)</f>
        <v>0</v>
      </c>
      <c r="K110" s="50" t="s">
        <v>675</v>
      </c>
      <c r="L110" s="50">
        <v>1164872</v>
      </c>
      <c r="M110" s="50">
        <v>1164872</v>
      </c>
      <c r="N110" s="50">
        <v>408151</v>
      </c>
      <c r="O110" s="50">
        <v>535</v>
      </c>
      <c r="P110" s="50" t="s">
        <v>17225</v>
      </c>
      <c r="Q110" s="50">
        <v>756721</v>
      </c>
      <c r="R110" s="50">
        <v>340</v>
      </c>
      <c r="S110" s="50" t="s">
        <v>17226</v>
      </c>
      <c r="T110" s="50">
        <v>0</v>
      </c>
      <c r="U110" s="50">
        <v>0</v>
      </c>
      <c r="W110" s="50" t="s">
        <v>102</v>
      </c>
      <c r="X110" s="50" t="s">
        <v>103</v>
      </c>
      <c r="Y110" s="50" t="s">
        <v>155</v>
      </c>
      <c r="AA110" s="50" t="s">
        <v>14914</v>
      </c>
      <c r="AB110" s="50" t="s">
        <v>17227</v>
      </c>
      <c r="AC110" s="50" t="s">
        <v>17228</v>
      </c>
      <c r="AD110" s="50" t="s">
        <v>17227</v>
      </c>
      <c r="AE110" s="50" t="s">
        <v>17229</v>
      </c>
      <c r="AF110" s="50" t="s">
        <v>17227</v>
      </c>
      <c r="AG110" s="50" t="s">
        <v>11886</v>
      </c>
      <c r="AH110" s="50" t="s">
        <v>17227</v>
      </c>
      <c r="AI110" s="50" t="s">
        <v>17230</v>
      </c>
      <c r="AJ110" s="50" t="s">
        <v>15221</v>
      </c>
      <c r="AK110" s="50" t="s">
        <v>17231</v>
      </c>
      <c r="AL110" s="50" t="s">
        <v>17232</v>
      </c>
      <c r="AM110" s="50" t="s">
        <v>17233</v>
      </c>
      <c r="AN110" s="50" t="s">
        <v>17234</v>
      </c>
      <c r="AO110" s="50" t="s">
        <v>17235</v>
      </c>
      <c r="AP110" s="50" t="s">
        <v>17235</v>
      </c>
      <c r="AU110" s="50" t="s">
        <v>207</v>
      </c>
      <c r="AV110" s="50" t="s">
        <v>118</v>
      </c>
      <c r="AW110" s="50" t="s">
        <v>655</v>
      </c>
      <c r="AX110" s="50" t="s">
        <v>119</v>
      </c>
      <c r="AY110" s="50" t="s">
        <v>1138</v>
      </c>
      <c r="AZ110" s="50" t="s">
        <v>118</v>
      </c>
      <c r="BB110" s="50" t="s">
        <v>120</v>
      </c>
      <c r="BC110" s="50" t="s">
        <v>3854</v>
      </c>
      <c r="BD110" s="50" t="s">
        <v>449</v>
      </c>
      <c r="BE110" s="50" t="s">
        <v>122</v>
      </c>
      <c r="BF110" s="50" t="s">
        <v>450</v>
      </c>
      <c r="BG110" s="50" t="s">
        <v>124</v>
      </c>
      <c r="BH110" s="50" t="s">
        <v>12023</v>
      </c>
      <c r="BI110" s="50" t="s">
        <v>11889</v>
      </c>
      <c r="BJ110" s="50" t="s">
        <v>127</v>
      </c>
      <c r="BK110" s="50" t="s">
        <v>17236</v>
      </c>
      <c r="BL110" s="50" t="s">
        <v>7800</v>
      </c>
      <c r="BM110" s="50" t="s">
        <v>17237</v>
      </c>
      <c r="BN110" s="50" t="s">
        <v>17207</v>
      </c>
      <c r="BO110" s="50" t="s">
        <v>8788</v>
      </c>
      <c r="BP110" s="50" t="s">
        <v>350</v>
      </c>
      <c r="BQ110" s="50" t="s">
        <v>8789</v>
      </c>
      <c r="BR110" s="50" t="s">
        <v>8790</v>
      </c>
      <c r="BS110" s="50" t="s">
        <v>1006</v>
      </c>
      <c r="BU110" s="50" t="s">
        <v>17238</v>
      </c>
      <c r="BV110" s="50" t="s">
        <v>7803</v>
      </c>
      <c r="BW110" s="50" t="s">
        <v>354</v>
      </c>
      <c r="BX110" s="50" t="s">
        <v>17239</v>
      </c>
      <c r="BY110" s="50" t="s">
        <v>17240</v>
      </c>
      <c r="BZ110" s="50" t="s">
        <v>7806</v>
      </c>
      <c r="CA110" s="50" t="s">
        <v>17241</v>
      </c>
      <c r="CB110" s="50" t="s">
        <v>17242</v>
      </c>
      <c r="CC110" s="50" t="s">
        <v>17243</v>
      </c>
      <c r="CD110" s="50" t="s">
        <v>17244</v>
      </c>
      <c r="CE110" s="50" t="s">
        <v>17245</v>
      </c>
      <c r="CF110" s="50" t="s">
        <v>17243</v>
      </c>
      <c r="CG110" s="50" t="s">
        <v>102</v>
      </c>
      <c r="CH110" s="50" t="s">
        <v>17246</v>
      </c>
      <c r="CJ110" s="50" t="s">
        <v>7810</v>
      </c>
      <c r="CL110" s="50" t="s">
        <v>3854</v>
      </c>
      <c r="CM110" s="50" t="s">
        <v>449</v>
      </c>
      <c r="CN110" s="50" t="s">
        <v>7810</v>
      </c>
      <c r="CO110" s="50" t="s">
        <v>7811</v>
      </c>
      <c r="CP110" s="50" t="s">
        <v>7809</v>
      </c>
      <c r="CQ110" s="50" t="s">
        <v>7809</v>
      </c>
    </row>
    <row r="111" spans="1:96">
      <c r="A111" s="50" t="s">
        <v>93</v>
      </c>
      <c r="B111" s="50">
        <v>5018578</v>
      </c>
      <c r="C111" s="50" t="s">
        <v>12423</v>
      </c>
      <c r="D111" s="50" t="s">
        <v>20037</v>
      </c>
      <c r="E111" s="50" t="str">
        <f>VLOOKUP(B111,aa!B:F,5,0)</f>
        <v>Ei CARES</v>
      </c>
      <c r="F111" s="50">
        <f>VLOOKUP(B111,aa!B:J,9,0)</f>
        <v>168940</v>
      </c>
      <c r="G111" s="50">
        <f>VLOOKUP(B111,aa!B:L,11,0)</f>
        <v>0</v>
      </c>
      <c r="H111" s="50">
        <f>VLOOKUP(B111,aa!B:O,14,0)</f>
        <v>168940</v>
      </c>
      <c r="I111" s="50">
        <f>VLOOKUP(B111,aa!B:R,17,0)</f>
        <v>0</v>
      </c>
      <c r="K111" s="50" t="s">
        <v>20039</v>
      </c>
      <c r="L111" s="50">
        <v>288282</v>
      </c>
      <c r="M111" s="50">
        <v>288282</v>
      </c>
      <c r="N111" s="50">
        <v>84216</v>
      </c>
      <c r="O111" s="50">
        <v>127</v>
      </c>
      <c r="P111" s="50" t="s">
        <v>20040</v>
      </c>
      <c r="Q111" s="50">
        <v>204066</v>
      </c>
      <c r="R111" s="50">
        <v>164</v>
      </c>
      <c r="S111" s="50" t="s">
        <v>20041</v>
      </c>
      <c r="T111" s="50">
        <v>0</v>
      </c>
      <c r="U111" s="50">
        <v>0</v>
      </c>
      <c r="W111" s="50" t="s">
        <v>102</v>
      </c>
      <c r="X111" s="50" t="s">
        <v>679</v>
      </c>
      <c r="Y111" s="50" t="s">
        <v>155</v>
      </c>
      <c r="Z111" s="50" t="s">
        <v>11911</v>
      </c>
      <c r="AA111" s="50" t="s">
        <v>20042</v>
      </c>
      <c r="AB111" s="50" t="s">
        <v>20043</v>
      </c>
      <c r="AC111" s="50" t="s">
        <v>20044</v>
      </c>
      <c r="AD111" s="50" t="s">
        <v>20045</v>
      </c>
      <c r="AE111" s="50" t="s">
        <v>17939</v>
      </c>
      <c r="AF111" s="50" t="s">
        <v>20045</v>
      </c>
      <c r="AG111" s="50" t="s">
        <v>14084</v>
      </c>
      <c r="AH111" s="50" t="s">
        <v>20045</v>
      </c>
      <c r="AI111" s="50" t="s">
        <v>102</v>
      </c>
      <c r="AJ111" s="50" t="s">
        <v>13949</v>
      </c>
      <c r="AK111" s="50" t="s">
        <v>8747</v>
      </c>
      <c r="AL111" s="50" t="s">
        <v>20046</v>
      </c>
      <c r="AM111" s="50" t="s">
        <v>20047</v>
      </c>
      <c r="AN111" s="50" t="s">
        <v>20048</v>
      </c>
      <c r="AO111" s="50" t="s">
        <v>20049</v>
      </c>
      <c r="AP111" s="50" t="s">
        <v>20050</v>
      </c>
      <c r="AS111" s="50" t="s">
        <v>169</v>
      </c>
      <c r="AU111" s="50" t="s">
        <v>207</v>
      </c>
      <c r="AV111" s="50" t="s">
        <v>250</v>
      </c>
      <c r="AW111" s="50" t="s">
        <v>801</v>
      </c>
      <c r="AX111" s="50" t="s">
        <v>447</v>
      </c>
      <c r="AY111" s="50" t="s">
        <v>170</v>
      </c>
      <c r="AZ111" s="50" t="s">
        <v>118</v>
      </c>
      <c r="BB111" s="50" t="s">
        <v>120</v>
      </c>
      <c r="BC111" s="50" t="s">
        <v>3735</v>
      </c>
      <c r="BD111" s="50" t="s">
        <v>410</v>
      </c>
      <c r="BE111" s="50" t="s">
        <v>212</v>
      </c>
      <c r="BF111" s="50" t="s">
        <v>410</v>
      </c>
      <c r="BG111" s="50" t="s">
        <v>124</v>
      </c>
      <c r="BH111" s="50" t="s">
        <v>12023</v>
      </c>
      <c r="BI111" s="50" t="s">
        <v>11889</v>
      </c>
      <c r="BJ111" s="50" t="s">
        <v>127</v>
      </c>
      <c r="BK111" s="50" t="s">
        <v>20051</v>
      </c>
      <c r="BL111" s="50" t="s">
        <v>20052</v>
      </c>
      <c r="BM111" s="50" t="s">
        <v>20053</v>
      </c>
      <c r="BN111" s="50" t="s">
        <v>20038</v>
      </c>
      <c r="BO111" s="50" t="s">
        <v>896</v>
      </c>
      <c r="BP111" s="50" t="s">
        <v>13875</v>
      </c>
      <c r="BQ111" s="50" t="s">
        <v>897</v>
      </c>
      <c r="BR111" s="50" t="s">
        <v>898</v>
      </c>
      <c r="BS111" s="50" t="s">
        <v>899</v>
      </c>
      <c r="BU111" s="50" t="s">
        <v>20054</v>
      </c>
      <c r="BV111" s="50" t="s">
        <v>20055</v>
      </c>
      <c r="BW111" s="50" t="s">
        <v>3121</v>
      </c>
      <c r="BX111" s="50" t="s">
        <v>20056</v>
      </c>
      <c r="BY111" s="50" t="s">
        <v>20057</v>
      </c>
      <c r="BZ111" s="50" t="s">
        <v>20056</v>
      </c>
      <c r="CA111" s="50" t="s">
        <v>20058</v>
      </c>
      <c r="CB111" s="50" t="s">
        <v>20056</v>
      </c>
      <c r="CC111" s="50" t="s">
        <v>20059</v>
      </c>
      <c r="CD111" s="50" t="s">
        <v>20058</v>
      </c>
      <c r="CE111" s="50" t="s">
        <v>20056</v>
      </c>
      <c r="CF111" s="50" t="s">
        <v>20059</v>
      </c>
      <c r="CG111" s="50" t="s">
        <v>3968</v>
      </c>
      <c r="CH111" s="50" t="s">
        <v>20060</v>
      </c>
      <c r="CJ111" s="50" t="s">
        <v>20061</v>
      </c>
      <c r="CK111" s="50" t="s">
        <v>20060</v>
      </c>
      <c r="CL111" s="50" t="s">
        <v>3735</v>
      </c>
      <c r="CM111" s="50" t="s">
        <v>410</v>
      </c>
      <c r="CN111" s="50" t="s">
        <v>20061</v>
      </c>
      <c r="CP111" s="50" t="s">
        <v>20062</v>
      </c>
      <c r="CQ111" s="50" t="s">
        <v>20062</v>
      </c>
    </row>
    <row r="112" spans="1:96">
      <c r="A112" s="95" t="s">
        <v>149</v>
      </c>
      <c r="B112" s="50">
        <v>562911</v>
      </c>
      <c r="C112" s="50" t="s">
        <v>12491</v>
      </c>
      <c r="D112" s="50" t="s">
        <v>11156</v>
      </c>
      <c r="E112" s="50" t="str">
        <f>VLOOKUP(B112,aa!B:F,5,0)</f>
        <v>Ei ASSET, Ei Mindspark</v>
      </c>
      <c r="F112" s="50">
        <f>VLOOKUP(B112,aa!B:J,9,0)</f>
        <v>1792583</v>
      </c>
      <c r="G112" s="50">
        <f>VLOOKUP(B112,aa!B:L,11,0)</f>
        <v>451972</v>
      </c>
      <c r="H112" s="50">
        <f>VLOOKUP(B112,aa!B:O,14,0)</f>
        <v>0</v>
      </c>
      <c r="I112" s="50">
        <f>VLOOKUP(B112,aa!B:R,17,0)</f>
        <v>1340611</v>
      </c>
      <c r="K112" s="50" t="s">
        <v>193</v>
      </c>
      <c r="L112" s="50">
        <v>1779772</v>
      </c>
      <c r="M112" s="50">
        <v>2027061</v>
      </c>
      <c r="N112" s="50">
        <v>405942</v>
      </c>
      <c r="O112" s="50">
        <v>580</v>
      </c>
      <c r="P112" s="50" t="s">
        <v>799</v>
      </c>
      <c r="Q112" s="50">
        <v>0</v>
      </c>
      <c r="R112" s="50">
        <v>0</v>
      </c>
      <c r="T112" s="50">
        <v>1373830</v>
      </c>
      <c r="U112" s="50">
        <v>579</v>
      </c>
      <c r="V112" s="50" t="s">
        <v>11158</v>
      </c>
      <c r="W112" s="50" t="s">
        <v>102</v>
      </c>
      <c r="X112" s="50" t="s">
        <v>103</v>
      </c>
      <c r="Y112" s="50" t="s">
        <v>155</v>
      </c>
      <c r="AA112" s="50" t="s">
        <v>1941</v>
      </c>
      <c r="AB112" s="50" t="s">
        <v>21148</v>
      </c>
      <c r="AC112" s="50" t="s">
        <v>12040</v>
      </c>
      <c r="AD112" s="50" t="s">
        <v>21148</v>
      </c>
      <c r="AE112" s="50" t="s">
        <v>12099</v>
      </c>
      <c r="AF112" s="50" t="s">
        <v>21148</v>
      </c>
      <c r="AG112" s="50" t="s">
        <v>11886</v>
      </c>
      <c r="AH112" s="50" t="s">
        <v>21148</v>
      </c>
      <c r="AI112" s="50" t="s">
        <v>21149</v>
      </c>
      <c r="AJ112" s="50" t="s">
        <v>8783</v>
      </c>
      <c r="AK112" s="50" t="s">
        <v>12397</v>
      </c>
      <c r="AL112" s="50" t="s">
        <v>21150</v>
      </c>
      <c r="AM112" s="50" t="s">
        <v>21151</v>
      </c>
      <c r="AN112" s="50" t="s">
        <v>21152</v>
      </c>
      <c r="AO112" s="50" t="s">
        <v>21153</v>
      </c>
      <c r="AP112" s="50" t="s">
        <v>21153</v>
      </c>
      <c r="AU112" s="50" t="s">
        <v>247</v>
      </c>
      <c r="AV112" s="50" t="s">
        <v>118</v>
      </c>
      <c r="AW112" s="50" t="s">
        <v>102</v>
      </c>
      <c r="AX112" s="50" t="s">
        <v>119</v>
      </c>
      <c r="BA112" s="50" t="s">
        <v>250</v>
      </c>
      <c r="BB112" s="50" t="s">
        <v>120</v>
      </c>
      <c r="BC112" s="50" t="s">
        <v>121</v>
      </c>
      <c r="BD112" s="50" t="s">
        <v>121</v>
      </c>
      <c r="BE112" s="50" t="s">
        <v>122</v>
      </c>
      <c r="BF112" s="50" t="s">
        <v>123</v>
      </c>
      <c r="BG112" s="50" t="s">
        <v>124</v>
      </c>
      <c r="BH112" s="50" t="s">
        <v>12023</v>
      </c>
      <c r="BI112" s="50" t="s">
        <v>11889</v>
      </c>
      <c r="BJ112" s="50" t="s">
        <v>127</v>
      </c>
      <c r="BK112" s="50" t="s">
        <v>21154</v>
      </c>
      <c r="BL112" s="50" t="s">
        <v>11169</v>
      </c>
      <c r="BM112" s="50" t="s">
        <v>21155</v>
      </c>
      <c r="BN112" s="50" t="s">
        <v>6918</v>
      </c>
      <c r="BO112" s="50" t="s">
        <v>8788</v>
      </c>
      <c r="BP112" s="50" t="s">
        <v>350</v>
      </c>
      <c r="BQ112" s="50" t="s">
        <v>8789</v>
      </c>
      <c r="BR112" s="50" t="s">
        <v>8790</v>
      </c>
      <c r="BS112" s="50" t="s">
        <v>1006</v>
      </c>
      <c r="BU112" s="50" t="s">
        <v>21156</v>
      </c>
      <c r="BV112" s="50" t="s">
        <v>21157</v>
      </c>
      <c r="BW112" s="50" t="s">
        <v>569</v>
      </c>
      <c r="BX112" s="50" t="s">
        <v>21158</v>
      </c>
      <c r="BY112" s="50" t="s">
        <v>11174</v>
      </c>
      <c r="BZ112" s="50" t="s">
        <v>11175</v>
      </c>
      <c r="CA112" s="50" t="s">
        <v>21159</v>
      </c>
      <c r="CB112" s="50" t="s">
        <v>11177</v>
      </c>
      <c r="CC112" s="50" t="s">
        <v>11180</v>
      </c>
      <c r="CD112" s="50" t="s">
        <v>21160</v>
      </c>
      <c r="CE112" s="50" t="s">
        <v>11179</v>
      </c>
      <c r="CF112" s="50" t="s">
        <v>11180</v>
      </c>
      <c r="CG112" s="50" t="s">
        <v>102</v>
      </c>
      <c r="CH112" s="50" t="s">
        <v>21161</v>
      </c>
      <c r="CJ112" s="50" t="s">
        <v>7014</v>
      </c>
      <c r="CL112" s="50" t="s">
        <v>121</v>
      </c>
      <c r="CM112" s="50" t="s">
        <v>121</v>
      </c>
      <c r="CN112" s="50" t="s">
        <v>7014</v>
      </c>
      <c r="CO112" s="50" t="s">
        <v>11182</v>
      </c>
      <c r="CP112" s="50" t="s">
        <v>11181</v>
      </c>
      <c r="CQ112" s="50" t="s">
        <v>11181</v>
      </c>
    </row>
    <row r="113" spans="1:95">
      <c r="A113" s="95" t="s">
        <v>149</v>
      </c>
      <c r="B113" s="50">
        <v>23246</v>
      </c>
      <c r="C113" s="50" t="s">
        <v>418</v>
      </c>
      <c r="D113" s="50" t="s">
        <v>3026</v>
      </c>
      <c r="E113" s="50" t="str">
        <f>VLOOKUP(B113,aa!B:F,5,0)</f>
        <v>Ei ASSET, Ei Mindspark</v>
      </c>
      <c r="F113" s="50">
        <f>VLOOKUP(B113,aa!B:J,9,0)</f>
        <v>4385191</v>
      </c>
      <c r="G113" s="50">
        <f>VLOOKUP(B113,aa!B:L,11,0)</f>
        <v>1695708</v>
      </c>
      <c r="H113" s="50">
        <f>VLOOKUP(B113,aa!B:O,14,0)</f>
        <v>0</v>
      </c>
      <c r="I113" s="50">
        <f>VLOOKUP(B113,aa!B:R,17,0)</f>
        <v>2689483</v>
      </c>
      <c r="K113" s="50" t="s">
        <v>193</v>
      </c>
      <c r="L113" s="50">
        <v>3594413</v>
      </c>
      <c r="M113" s="50">
        <v>3968364</v>
      </c>
      <c r="N113" s="50">
        <v>1516908</v>
      </c>
      <c r="O113" s="50">
        <v>1404</v>
      </c>
      <c r="P113" s="50" t="s">
        <v>13723</v>
      </c>
      <c r="Q113" s="50">
        <v>0</v>
      </c>
      <c r="R113" s="50">
        <v>0</v>
      </c>
      <c r="T113" s="50">
        <v>2077505</v>
      </c>
      <c r="U113" s="50">
        <v>921</v>
      </c>
      <c r="V113" s="50" t="s">
        <v>13724</v>
      </c>
      <c r="W113" s="50" t="s">
        <v>102</v>
      </c>
      <c r="X113" s="50" t="s">
        <v>679</v>
      </c>
      <c r="Y113" s="50" t="s">
        <v>398</v>
      </c>
      <c r="Z113" s="50" t="s">
        <v>13725</v>
      </c>
      <c r="AA113" s="50" t="s">
        <v>13726</v>
      </c>
      <c r="AB113" s="50" t="s">
        <v>13727</v>
      </c>
      <c r="AC113" s="50" t="s">
        <v>13728</v>
      </c>
      <c r="AD113" s="50" t="s">
        <v>13729</v>
      </c>
      <c r="AE113" s="50" t="s">
        <v>13730</v>
      </c>
      <c r="AF113" s="50" t="s">
        <v>13729</v>
      </c>
      <c r="AG113" s="50" t="s">
        <v>109</v>
      </c>
      <c r="AH113" s="50" t="s">
        <v>102</v>
      </c>
      <c r="AI113" s="50" t="s">
        <v>13731</v>
      </c>
      <c r="AJ113" s="50" t="s">
        <v>7484</v>
      </c>
      <c r="AK113" s="50" t="s">
        <v>12927</v>
      </c>
      <c r="AL113" s="50" t="s">
        <v>13732</v>
      </c>
      <c r="AM113" s="50" t="s">
        <v>13733</v>
      </c>
      <c r="AN113" s="50" t="s">
        <v>13734</v>
      </c>
      <c r="AO113" s="50" t="s">
        <v>13735</v>
      </c>
      <c r="AP113" s="50" t="s">
        <v>13735</v>
      </c>
      <c r="AU113" s="50" t="s">
        <v>247</v>
      </c>
      <c r="AV113" s="50" t="s">
        <v>2203</v>
      </c>
      <c r="AW113" s="50" t="s">
        <v>102</v>
      </c>
      <c r="AX113" s="50" t="s">
        <v>119</v>
      </c>
      <c r="BA113" s="50" t="s">
        <v>250</v>
      </c>
      <c r="BB113" s="50" t="s">
        <v>171</v>
      </c>
      <c r="BC113" s="50" t="s">
        <v>920</v>
      </c>
      <c r="BD113" s="50" t="s">
        <v>211</v>
      </c>
      <c r="BE113" s="50" t="s">
        <v>212</v>
      </c>
      <c r="BF113" s="50" t="s">
        <v>213</v>
      </c>
      <c r="BG113" s="50" t="s">
        <v>124</v>
      </c>
      <c r="BH113" s="50" t="s">
        <v>13736</v>
      </c>
      <c r="BI113" s="50" t="s">
        <v>13737</v>
      </c>
      <c r="BJ113" s="50" t="s">
        <v>127</v>
      </c>
      <c r="BK113" s="50" t="s">
        <v>13738</v>
      </c>
      <c r="BL113" s="50" t="s">
        <v>3039</v>
      </c>
      <c r="BM113" s="50" t="s">
        <v>13739</v>
      </c>
      <c r="BN113" s="50" t="s">
        <v>13722</v>
      </c>
      <c r="BO113" s="50" t="s">
        <v>13740</v>
      </c>
      <c r="BP113" s="50" t="s">
        <v>13741</v>
      </c>
      <c r="BQ113" s="50" t="s">
        <v>13742</v>
      </c>
      <c r="BR113" s="50" t="s">
        <v>13743</v>
      </c>
      <c r="BS113" s="50" t="s">
        <v>222</v>
      </c>
      <c r="BU113" s="50" t="s">
        <v>13744</v>
      </c>
      <c r="BV113" s="50" t="s">
        <v>13745</v>
      </c>
      <c r="BW113" s="50" t="s">
        <v>1282</v>
      </c>
      <c r="BX113" s="50" t="s">
        <v>13746</v>
      </c>
      <c r="BY113" s="50" t="s">
        <v>13747</v>
      </c>
      <c r="BZ113" s="50" t="s">
        <v>3045</v>
      </c>
      <c r="CA113" s="50" t="s">
        <v>13748</v>
      </c>
      <c r="CB113" s="50" t="s">
        <v>13746</v>
      </c>
      <c r="CC113" s="50" t="s">
        <v>13747</v>
      </c>
      <c r="CD113" s="50" t="s">
        <v>13748</v>
      </c>
      <c r="CE113" s="50" t="s">
        <v>13746</v>
      </c>
      <c r="CF113" s="50" t="s">
        <v>13747</v>
      </c>
      <c r="CG113" s="50" t="s">
        <v>102</v>
      </c>
      <c r="CH113" s="50" t="s">
        <v>3049</v>
      </c>
      <c r="CJ113" s="50" t="s">
        <v>3050</v>
      </c>
      <c r="CL113" s="50" t="s">
        <v>920</v>
      </c>
      <c r="CM113" s="50" t="s">
        <v>211</v>
      </c>
      <c r="CN113" s="50" t="s">
        <v>3050</v>
      </c>
      <c r="CO113" s="50" t="s">
        <v>3051</v>
      </c>
      <c r="CP113" s="50" t="s">
        <v>3049</v>
      </c>
      <c r="CQ113" s="50" t="s">
        <v>3049</v>
      </c>
    </row>
    <row r="114" spans="1:95">
      <c r="A114" s="95" t="s">
        <v>149</v>
      </c>
      <c r="B114" s="50">
        <v>1837151</v>
      </c>
      <c r="C114" s="50" t="s">
        <v>12491</v>
      </c>
      <c r="D114" s="50" t="s">
        <v>13015</v>
      </c>
      <c r="E114" s="50" t="str">
        <f>VLOOKUP(B114,aa!B:F,5,0)</f>
        <v>Ei ASSET, Ei CARES</v>
      </c>
      <c r="F114" s="50">
        <f>VLOOKUP(B114,aa!B:J,9,0)</f>
        <v>2346186</v>
      </c>
      <c r="G114" s="50">
        <f>VLOOKUP(B114,aa!B:L,11,0)</f>
        <v>696060</v>
      </c>
      <c r="H114" s="50">
        <f>VLOOKUP(B114,aa!B:O,14,0)</f>
        <v>1650126</v>
      </c>
      <c r="I114" s="50">
        <f>VLOOKUP(B114,aa!B:R,17,0)</f>
        <v>0</v>
      </c>
      <c r="K114" s="50" t="s">
        <v>675</v>
      </c>
      <c r="L114" s="50">
        <v>2277700</v>
      </c>
      <c r="M114" s="50">
        <v>2277700</v>
      </c>
      <c r="N114" s="50">
        <v>678780</v>
      </c>
      <c r="O114" s="50">
        <v>1257</v>
      </c>
      <c r="P114" s="50" t="s">
        <v>2322</v>
      </c>
      <c r="Q114" s="50">
        <v>1598920</v>
      </c>
      <c r="R114" s="50">
        <v>1249</v>
      </c>
      <c r="S114" s="50" t="s">
        <v>13016</v>
      </c>
      <c r="T114" s="50">
        <v>0</v>
      </c>
      <c r="U114" s="50">
        <v>0</v>
      </c>
      <c r="W114" s="50" t="s">
        <v>102</v>
      </c>
      <c r="X114" s="50" t="s">
        <v>275</v>
      </c>
      <c r="Z114" s="50" t="s">
        <v>126</v>
      </c>
      <c r="AA114" s="50" t="s">
        <v>109</v>
      </c>
      <c r="AB114" s="50" t="s">
        <v>102</v>
      </c>
      <c r="AC114" s="50" t="s">
        <v>109</v>
      </c>
      <c r="AD114" s="50" t="s">
        <v>102</v>
      </c>
      <c r="AE114" s="50" t="s">
        <v>109</v>
      </c>
      <c r="AF114" s="50" t="s">
        <v>102</v>
      </c>
      <c r="AG114" s="50" t="s">
        <v>109</v>
      </c>
      <c r="AH114" s="50" t="s">
        <v>102</v>
      </c>
      <c r="AI114" s="50" t="s">
        <v>13017</v>
      </c>
      <c r="AJ114" s="50" t="s">
        <v>11948</v>
      </c>
      <c r="AK114" s="50" t="s">
        <v>2050</v>
      </c>
      <c r="AL114" s="50" t="s">
        <v>13018</v>
      </c>
      <c r="AM114" s="50" t="s">
        <v>13019</v>
      </c>
      <c r="AN114" s="50" t="s">
        <v>13020</v>
      </c>
      <c r="AO114" s="50" t="s">
        <v>13021</v>
      </c>
      <c r="AP114" s="50" t="s">
        <v>13022</v>
      </c>
      <c r="AQ114" s="50" t="s">
        <v>343</v>
      </c>
      <c r="AR114" s="50" t="s">
        <v>169</v>
      </c>
      <c r="AU114" s="50" t="s">
        <v>247</v>
      </c>
      <c r="AV114" s="50" t="s">
        <v>118</v>
      </c>
      <c r="AW114" s="50" t="s">
        <v>655</v>
      </c>
      <c r="AX114" s="50" t="s">
        <v>119</v>
      </c>
      <c r="AY114" s="50" t="s">
        <v>170</v>
      </c>
      <c r="AZ114" s="50" t="s">
        <v>118</v>
      </c>
      <c r="BB114" s="50" t="s">
        <v>120</v>
      </c>
      <c r="BC114" s="50" t="s">
        <v>2056</v>
      </c>
      <c r="BD114" s="50" t="s">
        <v>320</v>
      </c>
      <c r="BE114" s="50" t="s">
        <v>122</v>
      </c>
      <c r="BF114" s="50" t="s">
        <v>123</v>
      </c>
      <c r="BG114" s="50" t="s">
        <v>124</v>
      </c>
      <c r="BH114" s="50" t="s">
        <v>12023</v>
      </c>
      <c r="BI114" s="50" t="s">
        <v>11889</v>
      </c>
      <c r="BJ114" s="50" t="s">
        <v>127</v>
      </c>
      <c r="BK114" s="50" t="s">
        <v>13023</v>
      </c>
      <c r="BL114" s="50" t="s">
        <v>2058</v>
      </c>
      <c r="BM114" s="50" t="s">
        <v>13024</v>
      </c>
      <c r="BN114" s="50" t="s">
        <v>442</v>
      </c>
      <c r="BO114" s="50" t="s">
        <v>8788</v>
      </c>
      <c r="BP114" s="50" t="s">
        <v>350</v>
      </c>
      <c r="BQ114" s="50" t="s">
        <v>8789</v>
      </c>
      <c r="BR114" s="50" t="s">
        <v>8790</v>
      </c>
      <c r="BS114" s="50" t="s">
        <v>1006</v>
      </c>
      <c r="BU114" s="50" t="s">
        <v>13025</v>
      </c>
      <c r="BV114" s="50" t="s">
        <v>2061</v>
      </c>
      <c r="BW114" s="50" t="s">
        <v>354</v>
      </c>
      <c r="BX114" s="50" t="s">
        <v>2062</v>
      </c>
      <c r="BY114" s="50" t="s">
        <v>2063</v>
      </c>
      <c r="BZ114" s="50" t="s">
        <v>2062</v>
      </c>
      <c r="CA114" s="50" t="s">
        <v>13026</v>
      </c>
      <c r="CB114" s="50" t="s">
        <v>2062</v>
      </c>
      <c r="CC114" s="50" t="s">
        <v>2066</v>
      </c>
      <c r="CD114" s="50" t="s">
        <v>13027</v>
      </c>
      <c r="CE114" s="50" t="s">
        <v>2062</v>
      </c>
      <c r="CF114" s="50" t="s">
        <v>13028</v>
      </c>
      <c r="CG114" s="50" t="s">
        <v>2069</v>
      </c>
      <c r="CH114" s="50" t="s">
        <v>13029</v>
      </c>
      <c r="CJ114" s="50" t="s">
        <v>2071</v>
      </c>
      <c r="CK114" s="50" t="s">
        <v>13030</v>
      </c>
      <c r="CL114" s="50" t="s">
        <v>2056</v>
      </c>
      <c r="CM114" s="50" t="s">
        <v>320</v>
      </c>
      <c r="CN114" s="50" t="s">
        <v>2071</v>
      </c>
      <c r="CO114" s="50" t="s">
        <v>2072</v>
      </c>
      <c r="CP114" s="50" t="s">
        <v>2070</v>
      </c>
      <c r="CQ114" s="50" t="s">
        <v>2070</v>
      </c>
    </row>
    <row r="115" spans="1:95">
      <c r="A115" s="95" t="s">
        <v>149</v>
      </c>
      <c r="B115" s="50">
        <v>22983</v>
      </c>
      <c r="C115" s="50" t="s">
        <v>2525</v>
      </c>
      <c r="D115" s="50" t="s">
        <v>3002</v>
      </c>
      <c r="E115" s="50" t="str">
        <f>VLOOKUP(B115,aa!B:F,5,0)</f>
        <v>Ei CARES</v>
      </c>
      <c r="F115" s="50">
        <f>VLOOKUP(B115,aa!B:J,9,0)</f>
        <v>676988</v>
      </c>
      <c r="G115" s="50">
        <f>VLOOKUP(B115,aa!B:L,11,0)</f>
        <v>0</v>
      </c>
      <c r="H115" s="50">
        <f>VLOOKUP(B115,aa!B:O,14,0)</f>
        <v>676988</v>
      </c>
      <c r="I115" s="50">
        <f>VLOOKUP(B115,aa!B:R,17,0)</f>
        <v>0</v>
      </c>
      <c r="K115" s="50" t="s">
        <v>152</v>
      </c>
      <c r="L115" s="50">
        <v>457327</v>
      </c>
      <c r="M115" s="50">
        <v>457327</v>
      </c>
      <c r="N115" s="50">
        <v>0</v>
      </c>
      <c r="O115" s="50">
        <v>0</v>
      </c>
      <c r="Q115" s="50">
        <v>457327</v>
      </c>
      <c r="R115" s="50">
        <v>254</v>
      </c>
      <c r="S115" s="50" t="s">
        <v>3005</v>
      </c>
      <c r="T115" s="50">
        <v>0</v>
      </c>
      <c r="U115" s="50">
        <v>0</v>
      </c>
      <c r="W115" s="50" t="s">
        <v>102</v>
      </c>
      <c r="X115" s="50" t="s">
        <v>103</v>
      </c>
      <c r="Y115" s="50" t="s">
        <v>104</v>
      </c>
      <c r="AA115" s="50" t="s">
        <v>3993</v>
      </c>
      <c r="AB115" s="50" t="s">
        <v>13709</v>
      </c>
      <c r="AC115" s="50" t="s">
        <v>11888</v>
      </c>
      <c r="AD115" s="50" t="s">
        <v>13709</v>
      </c>
      <c r="AE115" s="50" t="s">
        <v>109</v>
      </c>
      <c r="AF115" s="50" t="s">
        <v>102</v>
      </c>
      <c r="AG115" s="50" t="s">
        <v>109</v>
      </c>
      <c r="AH115" s="50" t="s">
        <v>102</v>
      </c>
      <c r="AI115" s="50" t="s">
        <v>13710</v>
      </c>
      <c r="AJ115" s="50" t="s">
        <v>4813</v>
      </c>
      <c r="AK115" s="50" t="s">
        <v>12099</v>
      </c>
      <c r="AL115" s="50" t="s">
        <v>13711</v>
      </c>
      <c r="AM115" s="50" t="s">
        <v>13712</v>
      </c>
      <c r="AN115" s="50" t="s">
        <v>13713</v>
      </c>
      <c r="AO115" s="50" t="s">
        <v>3012</v>
      </c>
      <c r="AP115" s="50" t="s">
        <v>13714</v>
      </c>
      <c r="AT115" s="50" t="s">
        <v>169</v>
      </c>
      <c r="AU115" s="50" t="s">
        <v>102</v>
      </c>
      <c r="AW115" s="50" t="s">
        <v>155</v>
      </c>
      <c r="AX115" s="50" t="s">
        <v>119</v>
      </c>
      <c r="AY115" s="50" t="s">
        <v>170</v>
      </c>
      <c r="AZ115" s="50" t="s">
        <v>118</v>
      </c>
      <c r="BB115" s="50" t="s">
        <v>120</v>
      </c>
      <c r="BC115" s="50" t="s">
        <v>729</v>
      </c>
      <c r="BD115" s="50" t="s">
        <v>730</v>
      </c>
      <c r="BE115" s="50" t="s">
        <v>622</v>
      </c>
      <c r="BF115" s="50" t="s">
        <v>730</v>
      </c>
      <c r="BG115" s="50" t="s">
        <v>124</v>
      </c>
      <c r="BH115" s="50" t="s">
        <v>12023</v>
      </c>
      <c r="BI115" s="50" t="s">
        <v>11889</v>
      </c>
      <c r="BJ115" s="50" t="s">
        <v>127</v>
      </c>
      <c r="BK115" s="50" t="s">
        <v>13715</v>
      </c>
      <c r="BL115" s="50" t="s">
        <v>3014</v>
      </c>
      <c r="BM115" s="50" t="s">
        <v>13716</v>
      </c>
      <c r="BN115" s="50" t="s">
        <v>442</v>
      </c>
      <c r="BO115" s="50" t="s">
        <v>2262</v>
      </c>
      <c r="BP115" s="50" t="s">
        <v>350</v>
      </c>
      <c r="BQ115" s="50" t="s">
        <v>2263</v>
      </c>
      <c r="BR115" s="50" t="s">
        <v>2264</v>
      </c>
      <c r="BS115" s="50" t="s">
        <v>2569</v>
      </c>
      <c r="BU115" s="50" t="s">
        <v>13717</v>
      </c>
      <c r="BV115" s="50" t="s">
        <v>13718</v>
      </c>
      <c r="BW115" s="50" t="s">
        <v>138</v>
      </c>
      <c r="BX115" s="50" t="s">
        <v>3018</v>
      </c>
      <c r="BY115" s="50" t="s">
        <v>3019</v>
      </c>
      <c r="BZ115" s="50" t="s">
        <v>3020</v>
      </c>
      <c r="CA115" s="50" t="s">
        <v>13718</v>
      </c>
      <c r="CB115" s="50" t="s">
        <v>3018</v>
      </c>
      <c r="CC115" s="50" t="s">
        <v>3019</v>
      </c>
      <c r="CD115" s="50" t="s">
        <v>13719</v>
      </c>
      <c r="CE115" s="50" t="s">
        <v>3020</v>
      </c>
      <c r="CF115" s="50" t="s">
        <v>13720</v>
      </c>
      <c r="CG115" s="50" t="s">
        <v>3021</v>
      </c>
      <c r="CH115" s="50" t="s">
        <v>13721</v>
      </c>
      <c r="CJ115" s="50" t="s">
        <v>3023</v>
      </c>
      <c r="CK115" s="50" t="s">
        <v>13721</v>
      </c>
      <c r="CL115" s="50" t="s">
        <v>729</v>
      </c>
      <c r="CM115" s="50" t="s">
        <v>730</v>
      </c>
      <c r="CN115" s="50" t="s">
        <v>3024</v>
      </c>
      <c r="CO115" s="50" t="s">
        <v>3025</v>
      </c>
      <c r="CP115" s="50" t="s">
        <v>3022</v>
      </c>
      <c r="CQ115" s="50" t="s">
        <v>3022</v>
      </c>
    </row>
    <row r="116" spans="1:95">
      <c r="A116" s="95" t="s">
        <v>149</v>
      </c>
      <c r="B116" s="50">
        <v>5016602</v>
      </c>
      <c r="C116" s="50" t="s">
        <v>12491</v>
      </c>
      <c r="D116" s="50" t="s">
        <v>18900</v>
      </c>
      <c r="E116" s="50" t="str">
        <f>VLOOKUP(B116,aa!B:F,5,0)</f>
        <v>Ei ASSET, Ei CARES</v>
      </c>
      <c r="F116" s="50">
        <f>VLOOKUP(B116,aa!B:J,9,0)</f>
        <v>2100465</v>
      </c>
      <c r="G116" s="50">
        <f>VLOOKUP(B116,aa!B:L,11,0)</f>
        <v>623160</v>
      </c>
      <c r="H116" s="50">
        <f>VLOOKUP(B116,aa!B:O,14,0)</f>
        <v>1477305</v>
      </c>
      <c r="I116" s="50">
        <f>VLOOKUP(B116,aa!B:R,17,0)</f>
        <v>0</v>
      </c>
      <c r="K116" s="50" t="s">
        <v>675</v>
      </c>
      <c r="L116" s="50">
        <v>1980772</v>
      </c>
      <c r="M116" s="50">
        <v>1980772</v>
      </c>
      <c r="N116" s="50">
        <v>605880</v>
      </c>
      <c r="O116" s="50">
        <v>1122</v>
      </c>
      <c r="P116" s="50" t="s">
        <v>2322</v>
      </c>
      <c r="Q116" s="50">
        <v>1374892</v>
      </c>
      <c r="R116" s="50">
        <v>1074</v>
      </c>
      <c r="S116" s="50" t="s">
        <v>13016</v>
      </c>
      <c r="T116" s="50">
        <v>0</v>
      </c>
      <c r="U116" s="50">
        <v>0</v>
      </c>
      <c r="W116" s="50" t="s">
        <v>102</v>
      </c>
      <c r="X116" s="50" t="s">
        <v>275</v>
      </c>
      <c r="Z116" s="50" t="s">
        <v>126</v>
      </c>
      <c r="AA116" s="50" t="s">
        <v>109</v>
      </c>
      <c r="AB116" s="50" t="s">
        <v>102</v>
      </c>
      <c r="AC116" s="50" t="s">
        <v>109</v>
      </c>
      <c r="AD116" s="50" t="s">
        <v>102</v>
      </c>
      <c r="AE116" s="50" t="s">
        <v>109</v>
      </c>
      <c r="AF116" s="50" t="s">
        <v>102</v>
      </c>
      <c r="AG116" s="50" t="s">
        <v>109</v>
      </c>
      <c r="AH116" s="50" t="s">
        <v>102</v>
      </c>
      <c r="AI116" s="50" t="s">
        <v>18901</v>
      </c>
      <c r="AJ116" s="50" t="s">
        <v>11948</v>
      </c>
      <c r="AK116" s="50" t="s">
        <v>2050</v>
      </c>
      <c r="AL116" s="50" t="s">
        <v>18902</v>
      </c>
      <c r="AM116" s="50" t="s">
        <v>18903</v>
      </c>
      <c r="AN116" s="50" t="s">
        <v>18904</v>
      </c>
      <c r="AO116" s="50" t="s">
        <v>13021</v>
      </c>
      <c r="AP116" s="50" t="s">
        <v>13022</v>
      </c>
      <c r="AQ116" s="50" t="s">
        <v>343</v>
      </c>
      <c r="AR116" s="50" t="s">
        <v>169</v>
      </c>
      <c r="AU116" s="50" t="s">
        <v>247</v>
      </c>
      <c r="AV116" s="50" t="s">
        <v>118</v>
      </c>
      <c r="AW116" s="50" t="s">
        <v>655</v>
      </c>
      <c r="AX116" s="50" t="s">
        <v>119</v>
      </c>
      <c r="AY116" s="50" t="s">
        <v>170</v>
      </c>
      <c r="AZ116" s="50" t="s">
        <v>118</v>
      </c>
      <c r="BB116" s="50" t="s">
        <v>120</v>
      </c>
      <c r="BC116" s="50" t="s">
        <v>2056</v>
      </c>
      <c r="BD116" s="50" t="s">
        <v>320</v>
      </c>
      <c r="BE116" s="50" t="s">
        <v>122</v>
      </c>
      <c r="BF116" s="50" t="s">
        <v>123</v>
      </c>
      <c r="BG116" s="50" t="s">
        <v>124</v>
      </c>
      <c r="BH116" s="50" t="s">
        <v>12023</v>
      </c>
      <c r="BI116" s="50" t="s">
        <v>11889</v>
      </c>
      <c r="BJ116" s="50" t="s">
        <v>127</v>
      </c>
      <c r="BK116" s="50" t="s">
        <v>18905</v>
      </c>
      <c r="BL116" s="50" t="s">
        <v>9723</v>
      </c>
      <c r="BM116" s="50" t="s">
        <v>18906</v>
      </c>
      <c r="BN116" s="50" t="s">
        <v>442</v>
      </c>
      <c r="BO116" s="50" t="s">
        <v>8788</v>
      </c>
      <c r="BP116" s="50" t="s">
        <v>350</v>
      </c>
      <c r="BQ116" s="50" t="s">
        <v>8789</v>
      </c>
      <c r="BR116" s="50" t="s">
        <v>8790</v>
      </c>
      <c r="BS116" s="50" t="s">
        <v>1006</v>
      </c>
      <c r="BU116" s="50" t="s">
        <v>18907</v>
      </c>
      <c r="BV116" s="50" t="s">
        <v>2061</v>
      </c>
      <c r="BW116" s="50" t="s">
        <v>354</v>
      </c>
      <c r="BX116" s="50" t="s">
        <v>2062</v>
      </c>
      <c r="BY116" s="50" t="s">
        <v>2063</v>
      </c>
      <c r="BZ116" s="50" t="s">
        <v>2062</v>
      </c>
      <c r="CA116" s="50" t="s">
        <v>9726</v>
      </c>
      <c r="CB116" s="50" t="s">
        <v>2062</v>
      </c>
      <c r="CC116" s="50" t="s">
        <v>9728</v>
      </c>
      <c r="CD116" s="50" t="s">
        <v>13027</v>
      </c>
      <c r="CE116" s="50" t="s">
        <v>2062</v>
      </c>
      <c r="CF116" s="50" t="s">
        <v>13028</v>
      </c>
      <c r="CG116" s="50" t="s">
        <v>2069</v>
      </c>
      <c r="CH116" s="50" t="s">
        <v>2056</v>
      </c>
      <c r="CJ116" s="50" t="s">
        <v>2071</v>
      </c>
      <c r="CK116" s="50" t="s">
        <v>18908</v>
      </c>
      <c r="CL116" s="50" t="s">
        <v>2056</v>
      </c>
      <c r="CM116" s="50" t="s">
        <v>320</v>
      </c>
      <c r="CN116" s="50" t="s">
        <v>2071</v>
      </c>
      <c r="CO116" s="50" t="s">
        <v>2072</v>
      </c>
      <c r="CP116" s="50" t="s">
        <v>9729</v>
      </c>
      <c r="CQ116" s="50" t="s">
        <v>9729</v>
      </c>
    </row>
    <row r="117" spans="1:95">
      <c r="A117" s="95" t="s">
        <v>149</v>
      </c>
      <c r="B117" s="50">
        <v>507154</v>
      </c>
      <c r="C117" s="50" t="s">
        <v>11882</v>
      </c>
      <c r="D117" s="50" t="s">
        <v>10826</v>
      </c>
      <c r="E117" s="50" t="str">
        <f>VLOOKUP(B117,aa!B:F,5,0)</f>
        <v>Ei Mindspark</v>
      </c>
      <c r="F117" s="50">
        <f>VLOOKUP(B117,aa!B:J,9,0)</f>
        <v>1352353</v>
      </c>
      <c r="G117" s="50">
        <f>VLOOKUP(B117,aa!B:L,11,0)</f>
        <v>0</v>
      </c>
      <c r="H117" s="50">
        <f>VLOOKUP(B117,aa!B:O,14,0)</f>
        <v>0</v>
      </c>
      <c r="I117" s="50">
        <f>VLOOKUP(B117,aa!B:R,17,0)</f>
        <v>1352353</v>
      </c>
      <c r="K117" s="50" t="s">
        <v>848</v>
      </c>
      <c r="L117" s="50">
        <v>1662083</v>
      </c>
      <c r="M117" s="50">
        <v>1961258</v>
      </c>
      <c r="N117" s="50">
        <v>0</v>
      </c>
      <c r="O117" s="50">
        <v>0</v>
      </c>
      <c r="Q117" s="50">
        <v>0</v>
      </c>
      <c r="R117" s="50">
        <v>0</v>
      </c>
      <c r="T117" s="50">
        <v>1662083</v>
      </c>
      <c r="U117" s="50">
        <v>1108</v>
      </c>
      <c r="V117" s="50" t="s">
        <v>6441</v>
      </c>
      <c r="W117" s="50" t="s">
        <v>102</v>
      </c>
      <c r="X117" s="50" t="s">
        <v>103</v>
      </c>
      <c r="Y117" s="50" t="s">
        <v>398</v>
      </c>
      <c r="AA117" s="50" t="s">
        <v>4665</v>
      </c>
      <c r="AB117" s="50" t="s">
        <v>20807</v>
      </c>
      <c r="AC117" s="50" t="s">
        <v>11976</v>
      </c>
      <c r="AD117" s="50" t="s">
        <v>20807</v>
      </c>
      <c r="AE117" s="50" t="s">
        <v>12084</v>
      </c>
      <c r="AF117" s="50" t="s">
        <v>20808</v>
      </c>
      <c r="AG117" s="50" t="s">
        <v>109</v>
      </c>
      <c r="AH117" s="50" t="s">
        <v>102</v>
      </c>
      <c r="AI117" s="50" t="s">
        <v>20809</v>
      </c>
      <c r="AJ117" s="50" t="s">
        <v>2950</v>
      </c>
      <c r="AK117" s="50" t="s">
        <v>17302</v>
      </c>
      <c r="AL117" s="50" t="s">
        <v>20810</v>
      </c>
      <c r="AM117" s="50" t="s">
        <v>20811</v>
      </c>
      <c r="AN117" s="50" t="s">
        <v>20812</v>
      </c>
      <c r="AO117" s="50" t="s">
        <v>20813</v>
      </c>
      <c r="AP117" s="50" t="s">
        <v>20814</v>
      </c>
      <c r="AR117" s="50" t="s">
        <v>169</v>
      </c>
      <c r="AT117" s="50" t="s">
        <v>169</v>
      </c>
      <c r="AU117" s="50" t="s">
        <v>102</v>
      </c>
      <c r="AW117" s="50" t="s">
        <v>102</v>
      </c>
      <c r="AX117" s="50" t="s">
        <v>119</v>
      </c>
      <c r="BA117" s="50" t="s">
        <v>250</v>
      </c>
      <c r="BB117" s="50" t="s">
        <v>120</v>
      </c>
      <c r="BC117" s="50" t="s">
        <v>448</v>
      </c>
      <c r="BD117" s="50" t="s">
        <v>449</v>
      </c>
      <c r="BE117" s="50" t="s">
        <v>122</v>
      </c>
      <c r="BF117" s="50" t="s">
        <v>450</v>
      </c>
      <c r="BG117" s="50" t="s">
        <v>124</v>
      </c>
      <c r="BH117" s="50" t="s">
        <v>12023</v>
      </c>
      <c r="BI117" s="50" t="s">
        <v>11889</v>
      </c>
      <c r="BJ117" s="50" t="s">
        <v>127</v>
      </c>
      <c r="BK117" s="50" t="s">
        <v>20815</v>
      </c>
      <c r="BL117" s="50" t="s">
        <v>10837</v>
      </c>
      <c r="BM117" s="50" t="s">
        <v>20816</v>
      </c>
      <c r="BN117" s="50" t="s">
        <v>442</v>
      </c>
      <c r="BO117" s="50" t="s">
        <v>131</v>
      </c>
      <c r="BP117" s="50" t="s">
        <v>350</v>
      </c>
      <c r="BQ117" s="50" t="s">
        <v>133</v>
      </c>
      <c r="BR117" s="50" t="s">
        <v>134</v>
      </c>
      <c r="BS117" s="50" t="s">
        <v>455</v>
      </c>
      <c r="BU117" s="50" t="s">
        <v>20817</v>
      </c>
      <c r="BV117" s="50" t="s">
        <v>20818</v>
      </c>
      <c r="BW117" s="50" t="s">
        <v>138</v>
      </c>
      <c r="BX117" s="50" t="s">
        <v>10843</v>
      </c>
      <c r="BY117" s="50" t="s">
        <v>20819</v>
      </c>
      <c r="BZ117" s="50" t="s">
        <v>10843</v>
      </c>
      <c r="CA117" s="50" t="s">
        <v>20820</v>
      </c>
      <c r="CB117" s="50" t="s">
        <v>10843</v>
      </c>
      <c r="CC117" s="50" t="s">
        <v>20819</v>
      </c>
      <c r="CD117" s="50" t="s">
        <v>20821</v>
      </c>
      <c r="CE117" s="50" t="s">
        <v>20822</v>
      </c>
      <c r="CF117" s="50" t="s">
        <v>20823</v>
      </c>
      <c r="CG117" s="50" t="s">
        <v>7998</v>
      </c>
      <c r="CH117" s="50" t="s">
        <v>10844</v>
      </c>
      <c r="CJ117" s="50" t="s">
        <v>4512</v>
      </c>
      <c r="CK117" s="50" t="s">
        <v>20824</v>
      </c>
      <c r="CL117" s="50" t="s">
        <v>448</v>
      </c>
      <c r="CM117" s="50" t="s">
        <v>449</v>
      </c>
      <c r="CN117" s="50" t="s">
        <v>4512</v>
      </c>
      <c r="CO117" s="50" t="s">
        <v>10846</v>
      </c>
      <c r="CP117" s="50" t="s">
        <v>10844</v>
      </c>
      <c r="CQ117" s="50" t="s">
        <v>10845</v>
      </c>
    </row>
    <row r="118" spans="1:95">
      <c r="A118" s="95" t="s">
        <v>149</v>
      </c>
      <c r="B118" s="50">
        <v>3534332</v>
      </c>
      <c r="C118" s="50" t="s">
        <v>418</v>
      </c>
      <c r="D118" s="50" t="s">
        <v>6541</v>
      </c>
      <c r="E118" s="50" t="str">
        <f>VLOOKUP(B118,aa!B:F,5,0)</f>
        <v>Ei ASSET, Ei Mindspark</v>
      </c>
      <c r="F118" s="50">
        <f>VLOOKUP(B118,aa!B:J,9,0)</f>
        <v>190618</v>
      </c>
      <c r="G118" s="50">
        <f>VLOOKUP(B118,aa!B:L,11,0)</f>
        <v>77265</v>
      </c>
      <c r="H118" s="50">
        <f>VLOOKUP(B118,aa!B:O,14,0)</f>
        <v>0</v>
      </c>
      <c r="I118" s="50">
        <f>VLOOKUP(B118,aa!B:R,17,0)</f>
        <v>113353</v>
      </c>
      <c r="K118" s="50" t="s">
        <v>193</v>
      </c>
      <c r="L118" s="50">
        <v>173921</v>
      </c>
      <c r="M118" s="50">
        <v>191005</v>
      </c>
      <c r="N118" s="50">
        <v>79010</v>
      </c>
      <c r="O118" s="50">
        <v>117</v>
      </c>
      <c r="P118" s="50" t="s">
        <v>340</v>
      </c>
      <c r="Q118" s="50">
        <v>0</v>
      </c>
      <c r="R118" s="50">
        <v>0</v>
      </c>
      <c r="T118" s="50">
        <v>94911</v>
      </c>
      <c r="U118" s="50">
        <v>35</v>
      </c>
      <c r="V118" s="50" t="s">
        <v>6544</v>
      </c>
      <c r="W118" s="50" t="s">
        <v>102</v>
      </c>
      <c r="X118" s="50" t="s">
        <v>103</v>
      </c>
      <c r="Y118" s="50" t="s">
        <v>104</v>
      </c>
      <c r="AA118" s="50" t="s">
        <v>1408</v>
      </c>
      <c r="AB118" s="50" t="s">
        <v>16397</v>
      </c>
      <c r="AC118" s="50" t="s">
        <v>12289</v>
      </c>
      <c r="AD118" s="50" t="s">
        <v>16397</v>
      </c>
      <c r="AE118" s="50" t="s">
        <v>109</v>
      </c>
      <c r="AF118" s="50" t="s">
        <v>102</v>
      </c>
      <c r="AG118" s="50" t="s">
        <v>109</v>
      </c>
      <c r="AH118" s="50" t="s">
        <v>102</v>
      </c>
      <c r="AI118" s="50" t="s">
        <v>16398</v>
      </c>
      <c r="AJ118" s="50" t="s">
        <v>3679</v>
      </c>
      <c r="AK118" s="50" t="s">
        <v>15755</v>
      </c>
      <c r="AL118" s="50" t="s">
        <v>16399</v>
      </c>
      <c r="AM118" s="50" t="s">
        <v>16400</v>
      </c>
      <c r="AN118" s="50" t="s">
        <v>16401</v>
      </c>
      <c r="AO118" s="50" t="s">
        <v>16402</v>
      </c>
      <c r="AP118" s="50" t="s">
        <v>16402</v>
      </c>
      <c r="AU118" s="50" t="s">
        <v>207</v>
      </c>
      <c r="AV118" s="50" t="s">
        <v>118</v>
      </c>
      <c r="AW118" s="50" t="s">
        <v>102</v>
      </c>
      <c r="AX118" s="50" t="s">
        <v>119</v>
      </c>
      <c r="BA118" s="50" t="s">
        <v>250</v>
      </c>
      <c r="BB118" s="50" t="s">
        <v>1242</v>
      </c>
      <c r="BC118" s="50" t="s">
        <v>409</v>
      </c>
      <c r="BD118" s="50" t="s">
        <v>410</v>
      </c>
      <c r="BE118" s="50" t="s">
        <v>212</v>
      </c>
      <c r="BF118" s="50" t="s">
        <v>410</v>
      </c>
      <c r="BG118" s="50" t="s">
        <v>124</v>
      </c>
      <c r="BH118" s="50" t="s">
        <v>11959</v>
      </c>
      <c r="BI118" s="50" t="s">
        <v>12276</v>
      </c>
      <c r="BJ118" s="50" t="s">
        <v>127</v>
      </c>
      <c r="BK118" s="50" t="s">
        <v>16403</v>
      </c>
      <c r="BL118" s="50" t="s">
        <v>6556</v>
      </c>
      <c r="BM118" s="50" t="s">
        <v>16404</v>
      </c>
      <c r="BN118" s="50" t="s">
        <v>16396</v>
      </c>
      <c r="BO118" s="50" t="s">
        <v>866</v>
      </c>
      <c r="BP118" s="50" t="s">
        <v>132</v>
      </c>
      <c r="BQ118" s="50" t="s">
        <v>867</v>
      </c>
      <c r="BR118" s="50" t="s">
        <v>868</v>
      </c>
      <c r="BS118" s="50" t="s">
        <v>418</v>
      </c>
      <c r="BU118" s="50" t="s">
        <v>16405</v>
      </c>
      <c r="BV118" s="50" t="s">
        <v>6562</v>
      </c>
      <c r="BW118" s="50" t="s">
        <v>138</v>
      </c>
      <c r="BX118" s="50" t="s">
        <v>6563</v>
      </c>
      <c r="BY118" s="50" t="s">
        <v>16406</v>
      </c>
      <c r="BZ118" s="50" t="s">
        <v>6565</v>
      </c>
      <c r="CA118" s="50" t="s">
        <v>16407</v>
      </c>
      <c r="CB118" s="50" t="s">
        <v>6563</v>
      </c>
      <c r="CC118" s="50" t="s">
        <v>16406</v>
      </c>
      <c r="CD118" s="50" t="s">
        <v>16408</v>
      </c>
      <c r="CE118" s="50" t="s">
        <v>16409</v>
      </c>
      <c r="CF118" s="50" t="s">
        <v>16410</v>
      </c>
      <c r="CG118" s="50" t="s">
        <v>102</v>
      </c>
      <c r="CH118" s="50" t="s">
        <v>6568</v>
      </c>
      <c r="CJ118" s="50" t="s">
        <v>6569</v>
      </c>
      <c r="CL118" s="50" t="s">
        <v>409</v>
      </c>
      <c r="CM118" s="50" t="s">
        <v>410</v>
      </c>
      <c r="CN118" s="50" t="s">
        <v>6569</v>
      </c>
      <c r="CO118" s="50" t="s">
        <v>6570</v>
      </c>
      <c r="CP118" s="50" t="s">
        <v>6568</v>
      </c>
      <c r="CQ118" s="50" t="s">
        <v>6568</v>
      </c>
    </row>
    <row r="119" spans="1:95">
      <c r="A119" s="50" t="s">
        <v>93</v>
      </c>
      <c r="B119" s="50">
        <v>3316343</v>
      </c>
      <c r="C119" s="50" t="s">
        <v>12507</v>
      </c>
      <c r="D119" s="50" t="s">
        <v>15536</v>
      </c>
      <c r="E119" s="50" t="str">
        <f>VLOOKUP(B119,aa!B:F,5,0)</f>
        <v>Ei CARES</v>
      </c>
      <c r="F119" s="50">
        <f>VLOOKUP(B119,aa!B:J,9,0)</f>
        <v>452572</v>
      </c>
      <c r="G119" s="50">
        <f>VLOOKUP(B119,aa!B:L,11,0)</f>
        <v>0</v>
      </c>
      <c r="H119" s="50">
        <f>VLOOKUP(B119,aa!B:O,14,0)</f>
        <v>452572</v>
      </c>
      <c r="I119" s="50">
        <f>VLOOKUP(B119,aa!B:R,17,0)</f>
        <v>0</v>
      </c>
      <c r="K119" s="50" t="s">
        <v>152</v>
      </c>
      <c r="L119" s="50">
        <v>438820</v>
      </c>
      <c r="M119" s="50">
        <v>438820</v>
      </c>
      <c r="N119" s="50">
        <v>0</v>
      </c>
      <c r="O119" s="50">
        <v>0</v>
      </c>
      <c r="Q119" s="50">
        <v>438820</v>
      </c>
      <c r="R119" s="50">
        <v>351</v>
      </c>
      <c r="S119" s="50" t="s">
        <v>1424</v>
      </c>
      <c r="T119" s="50">
        <v>0</v>
      </c>
      <c r="U119" s="50">
        <v>0</v>
      </c>
      <c r="W119" s="50" t="s">
        <v>102</v>
      </c>
      <c r="X119" s="50" t="s">
        <v>103</v>
      </c>
      <c r="Y119" s="50" t="s">
        <v>398</v>
      </c>
      <c r="AA119" s="50" t="s">
        <v>11300</v>
      </c>
      <c r="AB119" s="50" t="s">
        <v>15537</v>
      </c>
      <c r="AC119" s="50" t="s">
        <v>12737</v>
      </c>
      <c r="AD119" s="50" t="s">
        <v>15538</v>
      </c>
      <c r="AE119" s="50" t="s">
        <v>11902</v>
      </c>
      <c r="AF119" s="50" t="s">
        <v>15538</v>
      </c>
      <c r="AG119" s="50" t="s">
        <v>109</v>
      </c>
      <c r="AH119" s="50" t="s">
        <v>102</v>
      </c>
      <c r="AI119" s="50" t="s">
        <v>102</v>
      </c>
      <c r="AJ119" s="50" t="s">
        <v>3258</v>
      </c>
      <c r="AK119" s="50" t="s">
        <v>13867</v>
      </c>
      <c r="AL119" s="50" t="s">
        <v>15539</v>
      </c>
      <c r="AM119" s="50" t="s">
        <v>15540</v>
      </c>
      <c r="AN119" s="50" t="s">
        <v>15541</v>
      </c>
      <c r="AO119" s="50" t="s">
        <v>1431</v>
      </c>
      <c r="AP119" s="50" t="s">
        <v>1431</v>
      </c>
      <c r="AU119" s="50" t="s">
        <v>102</v>
      </c>
      <c r="AW119" s="50" t="s">
        <v>155</v>
      </c>
      <c r="AX119" s="50" t="s">
        <v>447</v>
      </c>
      <c r="AY119" s="50" t="s">
        <v>170</v>
      </c>
      <c r="AZ119" s="50" t="s">
        <v>118</v>
      </c>
      <c r="BB119" s="50" t="s">
        <v>120</v>
      </c>
      <c r="BC119" s="50" t="s">
        <v>15542</v>
      </c>
      <c r="BD119" s="50" t="s">
        <v>556</v>
      </c>
      <c r="BE119" s="50" t="s">
        <v>122</v>
      </c>
      <c r="BF119" s="50" t="s">
        <v>557</v>
      </c>
      <c r="BG119" s="50" t="s">
        <v>124</v>
      </c>
      <c r="BH119" s="50" t="s">
        <v>12023</v>
      </c>
      <c r="BI119" s="50" t="s">
        <v>11889</v>
      </c>
      <c r="BJ119" s="50" t="s">
        <v>127</v>
      </c>
      <c r="BK119" s="50" t="s">
        <v>15543</v>
      </c>
      <c r="BL119" s="50" t="s">
        <v>15544</v>
      </c>
      <c r="BM119" s="50" t="s">
        <v>15545</v>
      </c>
      <c r="BN119" s="50" t="s">
        <v>11300</v>
      </c>
      <c r="BO119" s="50" t="s">
        <v>563</v>
      </c>
      <c r="BP119" s="50" t="s">
        <v>350</v>
      </c>
      <c r="BQ119" s="50" t="s">
        <v>564</v>
      </c>
      <c r="BR119" s="50" t="s">
        <v>565</v>
      </c>
      <c r="BS119" s="50" t="s">
        <v>563</v>
      </c>
      <c r="BU119" s="50" t="s">
        <v>15546</v>
      </c>
      <c r="BV119" s="50" t="s">
        <v>15547</v>
      </c>
      <c r="BW119" s="50" t="s">
        <v>138</v>
      </c>
      <c r="BX119" s="50" t="s">
        <v>15548</v>
      </c>
      <c r="BY119" s="50" t="s">
        <v>15549</v>
      </c>
      <c r="BZ119" s="50" t="s">
        <v>15548</v>
      </c>
      <c r="CA119" s="50" t="s">
        <v>15547</v>
      </c>
      <c r="CB119" s="50" t="s">
        <v>15550</v>
      </c>
      <c r="CC119" s="50" t="s">
        <v>15549</v>
      </c>
      <c r="CD119" s="50" t="s">
        <v>15551</v>
      </c>
      <c r="CE119" s="50" t="s">
        <v>15552</v>
      </c>
      <c r="CF119" s="50" t="s">
        <v>15553</v>
      </c>
      <c r="CG119" s="50" t="s">
        <v>15554</v>
      </c>
      <c r="CH119" s="50" t="s">
        <v>15555</v>
      </c>
      <c r="CJ119" s="50" t="s">
        <v>15556</v>
      </c>
      <c r="CK119" s="50" t="s">
        <v>15557</v>
      </c>
      <c r="CL119" s="50" t="s">
        <v>15542</v>
      </c>
      <c r="CM119" s="50" t="s">
        <v>556</v>
      </c>
      <c r="CN119" s="50" t="s">
        <v>15556</v>
      </c>
      <c r="CP119" s="50" t="s">
        <v>15558</v>
      </c>
      <c r="CQ119" s="50" t="s">
        <v>15558</v>
      </c>
    </row>
    <row r="120" spans="1:95">
      <c r="A120" s="95" t="s">
        <v>149</v>
      </c>
      <c r="B120" s="50">
        <v>5017918</v>
      </c>
      <c r="C120" s="50" t="s">
        <v>418</v>
      </c>
      <c r="D120" s="50" t="s">
        <v>19268</v>
      </c>
      <c r="E120" s="50" t="str">
        <f>VLOOKUP(B120,aa!B:F,5,0)</f>
        <v>Ei CARES,Ei Mindspark</v>
      </c>
      <c r="F120" s="50">
        <f>VLOOKUP(B120,aa!B:J,9,0)</f>
        <v>346129</v>
      </c>
      <c r="G120" s="50">
        <f>VLOOKUP(B120,aa!B:L,11,0)</f>
        <v>0</v>
      </c>
      <c r="H120" s="50">
        <f>VLOOKUP(B120,aa!B:O,14,0)</f>
        <v>187350</v>
      </c>
      <c r="I120" s="50">
        <f>VLOOKUP(B120,aa!B:R,17,0)</f>
        <v>158779</v>
      </c>
      <c r="K120" s="50" t="s">
        <v>8024</v>
      </c>
      <c r="L120" s="50">
        <v>476462</v>
      </c>
      <c r="M120" s="50">
        <v>530402</v>
      </c>
      <c r="N120" s="50">
        <v>0</v>
      </c>
      <c r="O120" s="50">
        <v>0</v>
      </c>
      <c r="Q120" s="50">
        <v>176795</v>
      </c>
      <c r="R120" s="50">
        <v>314</v>
      </c>
      <c r="S120" s="50" t="s">
        <v>12799</v>
      </c>
      <c r="T120" s="50">
        <v>299667</v>
      </c>
      <c r="U120" s="50">
        <v>314</v>
      </c>
      <c r="V120" s="50" t="s">
        <v>6010</v>
      </c>
      <c r="W120" s="50" t="s">
        <v>102</v>
      </c>
      <c r="X120" s="50" t="s">
        <v>103</v>
      </c>
      <c r="Y120" s="50" t="s">
        <v>104</v>
      </c>
      <c r="AA120" s="50" t="s">
        <v>11599</v>
      </c>
      <c r="AB120" s="50" t="s">
        <v>19269</v>
      </c>
      <c r="AC120" s="50" t="s">
        <v>11886</v>
      </c>
      <c r="AD120" s="50" t="s">
        <v>19269</v>
      </c>
      <c r="AE120" s="50" t="s">
        <v>109</v>
      </c>
      <c r="AF120" s="50" t="s">
        <v>102</v>
      </c>
      <c r="AG120" s="50" t="s">
        <v>109</v>
      </c>
      <c r="AH120" s="50" t="s">
        <v>102</v>
      </c>
      <c r="AI120" s="50" t="s">
        <v>19270</v>
      </c>
      <c r="AJ120" s="50" t="s">
        <v>8060</v>
      </c>
      <c r="AK120" s="50" t="s">
        <v>8060</v>
      </c>
      <c r="AL120" s="50" t="s">
        <v>19271</v>
      </c>
      <c r="AM120" s="50" t="s">
        <v>19272</v>
      </c>
      <c r="AN120" s="50" t="s">
        <v>19273</v>
      </c>
      <c r="AO120" s="50" t="s">
        <v>12806</v>
      </c>
      <c r="AP120" s="50" t="s">
        <v>12806</v>
      </c>
      <c r="AU120" s="50" t="s">
        <v>102</v>
      </c>
      <c r="AW120" s="50" t="s">
        <v>1758</v>
      </c>
      <c r="AX120" s="50" t="s">
        <v>119</v>
      </c>
      <c r="AZ120" s="50" t="s">
        <v>250</v>
      </c>
      <c r="BA120" s="50" t="s">
        <v>250</v>
      </c>
      <c r="BB120" s="50" t="s">
        <v>120</v>
      </c>
      <c r="BC120" s="50" t="s">
        <v>1552</v>
      </c>
      <c r="BD120" s="50" t="s">
        <v>410</v>
      </c>
      <c r="BE120" s="50" t="s">
        <v>212</v>
      </c>
      <c r="BF120" s="50" t="s">
        <v>410</v>
      </c>
      <c r="BG120" s="50" t="s">
        <v>124</v>
      </c>
      <c r="BH120" s="50" t="s">
        <v>7020</v>
      </c>
      <c r="BI120" s="50" t="s">
        <v>14455</v>
      </c>
      <c r="BJ120" s="50" t="s">
        <v>127</v>
      </c>
      <c r="BK120" s="50" t="s">
        <v>19274</v>
      </c>
      <c r="BL120" s="50" t="s">
        <v>19275</v>
      </c>
      <c r="BM120" s="50" t="s">
        <v>19276</v>
      </c>
      <c r="BN120" s="50" t="s">
        <v>11300</v>
      </c>
      <c r="BO120" s="50" t="s">
        <v>866</v>
      </c>
      <c r="BP120" s="50" t="s">
        <v>132</v>
      </c>
      <c r="BQ120" s="50" t="s">
        <v>867</v>
      </c>
      <c r="BR120" s="50" t="s">
        <v>868</v>
      </c>
      <c r="BS120" s="50" t="s">
        <v>222</v>
      </c>
      <c r="BU120" s="50" t="s">
        <v>19277</v>
      </c>
      <c r="BV120" s="50" t="s">
        <v>1557</v>
      </c>
      <c r="BW120" s="50" t="s">
        <v>354</v>
      </c>
      <c r="BX120" s="50" t="s">
        <v>1558</v>
      </c>
      <c r="BY120" s="50" t="s">
        <v>12810</v>
      </c>
      <c r="BZ120" s="50" t="s">
        <v>1560</v>
      </c>
      <c r="CA120" s="50" t="s">
        <v>19278</v>
      </c>
      <c r="CB120" s="50" t="s">
        <v>12812</v>
      </c>
      <c r="CC120" s="50" t="s">
        <v>12813</v>
      </c>
      <c r="CD120" s="50" t="s">
        <v>19279</v>
      </c>
      <c r="CE120" s="50" t="s">
        <v>1562</v>
      </c>
      <c r="CF120" s="50" t="s">
        <v>1563</v>
      </c>
      <c r="CG120" s="50" t="s">
        <v>102</v>
      </c>
      <c r="CH120" s="50" t="s">
        <v>1564</v>
      </c>
      <c r="CJ120" s="50" t="s">
        <v>1565</v>
      </c>
      <c r="CL120" s="50" t="s">
        <v>1552</v>
      </c>
      <c r="CM120" s="50" t="s">
        <v>410</v>
      </c>
      <c r="CN120" s="50" t="s">
        <v>1565</v>
      </c>
      <c r="CO120" s="50" t="s">
        <v>1566</v>
      </c>
      <c r="CP120" s="50" t="s">
        <v>1564</v>
      </c>
      <c r="CQ120" s="50" t="s">
        <v>1564</v>
      </c>
    </row>
    <row r="121" spans="1:95">
      <c r="A121" s="50" t="s">
        <v>93</v>
      </c>
      <c r="B121" s="50">
        <v>5018655</v>
      </c>
      <c r="C121" s="50" t="s">
        <v>12507</v>
      </c>
      <c r="D121" s="50" t="s">
        <v>20080</v>
      </c>
      <c r="E121" s="50" t="str">
        <f>VLOOKUP(B121,aa!B:F,5,0)</f>
        <v>Ei CARES</v>
      </c>
      <c r="F121" s="50">
        <f>VLOOKUP(B121,aa!B:J,9,0)</f>
        <v>360045</v>
      </c>
      <c r="G121" s="50">
        <f>VLOOKUP(B121,aa!B:L,11,0)</f>
        <v>0</v>
      </c>
      <c r="H121" s="50">
        <f>VLOOKUP(B121,aa!B:O,14,0)</f>
        <v>360045</v>
      </c>
      <c r="I121" s="50">
        <f>VLOOKUP(B121,aa!B:R,17,0)</f>
        <v>0</v>
      </c>
      <c r="K121" s="50" t="s">
        <v>152</v>
      </c>
      <c r="L121" s="50">
        <v>324040</v>
      </c>
      <c r="M121" s="50">
        <v>324040</v>
      </c>
      <c r="N121" s="50">
        <v>0</v>
      </c>
      <c r="O121" s="50">
        <v>0</v>
      </c>
      <c r="Q121" s="50">
        <v>324040</v>
      </c>
      <c r="R121" s="50">
        <v>270</v>
      </c>
      <c r="S121" s="50" t="s">
        <v>880</v>
      </c>
      <c r="T121" s="50">
        <v>0</v>
      </c>
      <c r="U121" s="50">
        <v>0</v>
      </c>
      <c r="W121" s="50" t="s">
        <v>102</v>
      </c>
      <c r="X121" s="50" t="s">
        <v>103</v>
      </c>
      <c r="Y121" s="50" t="s">
        <v>398</v>
      </c>
      <c r="AA121" s="50" t="s">
        <v>5022</v>
      </c>
      <c r="AB121" s="50" t="s">
        <v>20081</v>
      </c>
      <c r="AC121" s="50" t="s">
        <v>12800</v>
      </c>
      <c r="AD121" s="50" t="s">
        <v>20082</v>
      </c>
      <c r="AE121" s="50" t="s">
        <v>11886</v>
      </c>
      <c r="AF121" s="50" t="s">
        <v>20083</v>
      </c>
      <c r="AG121" s="50" t="s">
        <v>109</v>
      </c>
      <c r="AH121" s="50" t="s">
        <v>102</v>
      </c>
      <c r="AI121" s="50" t="s">
        <v>102</v>
      </c>
      <c r="AJ121" s="50" t="s">
        <v>14705</v>
      </c>
      <c r="AK121" s="50" t="s">
        <v>13000</v>
      </c>
      <c r="AL121" s="50" t="s">
        <v>20084</v>
      </c>
      <c r="AM121" s="50" t="s">
        <v>20085</v>
      </c>
      <c r="AN121" s="50" t="s">
        <v>20086</v>
      </c>
      <c r="AO121" s="50" t="s">
        <v>20087</v>
      </c>
      <c r="AP121" s="50" t="s">
        <v>20087</v>
      </c>
      <c r="AU121" s="50" t="s">
        <v>102</v>
      </c>
      <c r="AW121" s="50" t="s">
        <v>102</v>
      </c>
      <c r="AX121" s="50" t="s">
        <v>119</v>
      </c>
      <c r="AY121" s="50" t="s">
        <v>170</v>
      </c>
      <c r="AZ121" s="50" t="s">
        <v>118</v>
      </c>
      <c r="BB121" s="50" t="s">
        <v>120</v>
      </c>
      <c r="BC121" s="50" t="s">
        <v>2373</v>
      </c>
      <c r="BD121" s="50" t="s">
        <v>20088</v>
      </c>
      <c r="BE121" s="50" t="s">
        <v>122</v>
      </c>
      <c r="BF121" s="50" t="s">
        <v>557</v>
      </c>
      <c r="BG121" s="50" t="s">
        <v>124</v>
      </c>
      <c r="BH121" s="50" t="s">
        <v>12023</v>
      </c>
      <c r="BI121" s="50" t="s">
        <v>11889</v>
      </c>
      <c r="BJ121" s="50" t="s">
        <v>127</v>
      </c>
      <c r="BK121" s="50" t="s">
        <v>20089</v>
      </c>
      <c r="BL121" s="50" t="s">
        <v>20090</v>
      </c>
      <c r="BM121" s="50" t="s">
        <v>20091</v>
      </c>
      <c r="BN121" s="50" t="s">
        <v>11300</v>
      </c>
      <c r="BO121" s="50" t="s">
        <v>16526</v>
      </c>
      <c r="BP121" s="50" t="s">
        <v>350</v>
      </c>
      <c r="BQ121" s="50" t="s">
        <v>16527</v>
      </c>
      <c r="BR121" s="50" t="s">
        <v>16528</v>
      </c>
      <c r="BS121" s="50" t="s">
        <v>16529</v>
      </c>
      <c r="BU121" s="50" t="s">
        <v>20092</v>
      </c>
      <c r="BV121" s="50" t="s">
        <v>20093</v>
      </c>
      <c r="BW121" s="50" t="s">
        <v>354</v>
      </c>
      <c r="BX121" s="50" t="s">
        <v>20094</v>
      </c>
      <c r="BY121" s="50" t="s">
        <v>20095</v>
      </c>
      <c r="BZ121" s="50" t="s">
        <v>20096</v>
      </c>
      <c r="CA121" s="50" t="s">
        <v>20097</v>
      </c>
      <c r="CB121" s="50" t="s">
        <v>20094</v>
      </c>
      <c r="CC121" s="50" t="s">
        <v>20098</v>
      </c>
      <c r="CD121" s="50" t="s">
        <v>20099</v>
      </c>
      <c r="CE121" s="50" t="s">
        <v>20094</v>
      </c>
      <c r="CF121" s="50" t="s">
        <v>20100</v>
      </c>
      <c r="CG121" s="50" t="s">
        <v>11282</v>
      </c>
      <c r="CH121" s="50" t="s">
        <v>20101</v>
      </c>
      <c r="CJ121" s="50" t="s">
        <v>20102</v>
      </c>
      <c r="CL121" s="50" t="s">
        <v>2373</v>
      </c>
      <c r="CM121" s="50" t="s">
        <v>20088</v>
      </c>
      <c r="CN121" s="50" t="s">
        <v>20102</v>
      </c>
      <c r="CP121" s="50" t="s">
        <v>20103</v>
      </c>
      <c r="CQ121" s="50" t="s">
        <v>20103</v>
      </c>
    </row>
    <row r="122" spans="1:95">
      <c r="A122" s="95" t="s">
        <v>149</v>
      </c>
      <c r="B122" s="50">
        <v>2458794</v>
      </c>
      <c r="C122" s="50" t="s">
        <v>12018</v>
      </c>
      <c r="D122" s="50" t="s">
        <v>3478</v>
      </c>
      <c r="E122" s="50" t="str">
        <f>VLOOKUP(B122,aa!B:F,5,0)</f>
        <v>Ei CARES</v>
      </c>
      <c r="F122" s="50">
        <f>VLOOKUP(B122,aa!B:J,9,0)</f>
        <v>584364</v>
      </c>
      <c r="G122" s="50">
        <f>VLOOKUP(B122,aa!B:L,11,0)</f>
        <v>0</v>
      </c>
      <c r="H122" s="50">
        <f>VLOOKUP(B122,aa!B:O,14,0)</f>
        <v>584364</v>
      </c>
      <c r="I122" s="50">
        <f>VLOOKUP(B122,aa!B:R,17,0)</f>
        <v>0</v>
      </c>
      <c r="K122" s="50" t="s">
        <v>152</v>
      </c>
      <c r="L122" s="50">
        <v>625372</v>
      </c>
      <c r="M122" s="50">
        <v>625372</v>
      </c>
      <c r="N122" s="50">
        <v>0</v>
      </c>
      <c r="O122" s="50">
        <v>0</v>
      </c>
      <c r="Q122" s="50">
        <v>625372</v>
      </c>
      <c r="R122" s="50">
        <v>305</v>
      </c>
      <c r="S122" s="50" t="s">
        <v>3481</v>
      </c>
      <c r="T122" s="50">
        <v>0</v>
      </c>
      <c r="U122" s="50">
        <v>0</v>
      </c>
      <c r="W122" s="50" t="s">
        <v>102</v>
      </c>
      <c r="X122" s="50" t="s">
        <v>103</v>
      </c>
      <c r="Y122" s="50" t="s">
        <v>155</v>
      </c>
      <c r="AA122" s="50" t="s">
        <v>1305</v>
      </c>
      <c r="AB122" s="50" t="s">
        <v>14038</v>
      </c>
      <c r="AC122" s="50" t="s">
        <v>13033</v>
      </c>
      <c r="AD122" s="50" t="s">
        <v>14038</v>
      </c>
      <c r="AE122" s="50" t="s">
        <v>13034</v>
      </c>
      <c r="AF122" s="50" t="s">
        <v>14038</v>
      </c>
      <c r="AG122" s="50" t="s">
        <v>11952</v>
      </c>
      <c r="AH122" s="50" t="s">
        <v>14038</v>
      </c>
      <c r="AI122" s="50" t="s">
        <v>14039</v>
      </c>
      <c r="AJ122" s="50" t="s">
        <v>14040</v>
      </c>
      <c r="AK122" s="50" t="s">
        <v>14040</v>
      </c>
      <c r="AL122" s="50" t="s">
        <v>14041</v>
      </c>
      <c r="AM122" s="50" t="s">
        <v>14042</v>
      </c>
      <c r="AN122" s="50" t="s">
        <v>14043</v>
      </c>
      <c r="AO122" s="50" t="s">
        <v>3489</v>
      </c>
      <c r="AP122" s="50" t="s">
        <v>3489</v>
      </c>
      <c r="AU122" s="50" t="s">
        <v>102</v>
      </c>
      <c r="AW122" s="50" t="s">
        <v>155</v>
      </c>
      <c r="AX122" s="50" t="s">
        <v>447</v>
      </c>
      <c r="AY122" s="50" t="s">
        <v>170</v>
      </c>
      <c r="AZ122" s="50" t="s">
        <v>118</v>
      </c>
      <c r="BB122" s="50" t="s">
        <v>120</v>
      </c>
      <c r="BC122" s="50" t="s">
        <v>3490</v>
      </c>
      <c r="BD122" s="50" t="s">
        <v>345</v>
      </c>
      <c r="BE122" s="50" t="s">
        <v>122</v>
      </c>
      <c r="BF122" s="50" t="s">
        <v>346</v>
      </c>
      <c r="BG122" s="50" t="s">
        <v>124</v>
      </c>
      <c r="BH122" s="50" t="s">
        <v>12023</v>
      </c>
      <c r="BI122" s="50" t="s">
        <v>11889</v>
      </c>
      <c r="BJ122" s="50" t="s">
        <v>127</v>
      </c>
      <c r="BK122" s="50" t="s">
        <v>14044</v>
      </c>
      <c r="BL122" s="50" t="s">
        <v>3492</v>
      </c>
      <c r="BM122" s="50" t="s">
        <v>14045</v>
      </c>
      <c r="BN122" s="50" t="s">
        <v>7020</v>
      </c>
      <c r="BO122" s="50" t="s">
        <v>593</v>
      </c>
      <c r="BP122" s="50" t="s">
        <v>350</v>
      </c>
      <c r="BQ122" s="50" t="s">
        <v>594</v>
      </c>
      <c r="BR122" s="50" t="s">
        <v>595</v>
      </c>
      <c r="BS122" s="50" t="s">
        <v>328</v>
      </c>
      <c r="BU122" s="50" t="s">
        <v>14046</v>
      </c>
      <c r="BV122" s="50" t="s">
        <v>14047</v>
      </c>
      <c r="BW122" s="50" t="s">
        <v>354</v>
      </c>
      <c r="BX122" s="50" t="s">
        <v>3496</v>
      </c>
      <c r="BY122" s="50" t="s">
        <v>3497</v>
      </c>
      <c r="BZ122" s="50" t="s">
        <v>3498</v>
      </c>
      <c r="CA122" s="50" t="s">
        <v>14048</v>
      </c>
      <c r="CB122" s="50" t="s">
        <v>14049</v>
      </c>
      <c r="CC122" s="50" t="s">
        <v>14050</v>
      </c>
      <c r="CD122" s="50" t="s">
        <v>14051</v>
      </c>
      <c r="CE122" s="50" t="s">
        <v>14052</v>
      </c>
      <c r="CF122" s="50" t="s">
        <v>14053</v>
      </c>
      <c r="CG122" s="50" t="s">
        <v>3499</v>
      </c>
      <c r="CH122" s="50" t="s">
        <v>3500</v>
      </c>
      <c r="CJ122" s="50" t="s">
        <v>3501</v>
      </c>
      <c r="CK122" s="50" t="s">
        <v>3500</v>
      </c>
      <c r="CL122" s="50" t="s">
        <v>3490</v>
      </c>
      <c r="CM122" s="50" t="s">
        <v>345</v>
      </c>
      <c r="CN122" s="50" t="s">
        <v>3501</v>
      </c>
      <c r="CO122" s="50" t="s">
        <v>3502</v>
      </c>
      <c r="CP122" s="50" t="s">
        <v>3500</v>
      </c>
      <c r="CQ122" s="50" t="s">
        <v>3500</v>
      </c>
    </row>
    <row r="123" spans="1:95">
      <c r="A123" s="95" t="s">
        <v>149</v>
      </c>
      <c r="B123" s="50">
        <v>2472480</v>
      </c>
      <c r="C123" s="50" t="s">
        <v>2525</v>
      </c>
      <c r="D123" s="50" t="s">
        <v>3590</v>
      </c>
      <c r="E123" s="50" t="str">
        <f>VLOOKUP(B123,aa!B:F,5,0)</f>
        <v>Ei ASSET, Ei Mindspark</v>
      </c>
      <c r="F123" s="50">
        <f>VLOOKUP(B123,aa!B:J,9,0)</f>
        <v>565810</v>
      </c>
      <c r="G123" s="50">
        <f>VLOOKUP(B123,aa!B:L,11,0)</f>
        <v>292013</v>
      </c>
      <c r="H123" s="50">
        <f>VLOOKUP(B123,aa!B:O,14,0)</f>
        <v>0</v>
      </c>
      <c r="I123" s="50">
        <f>VLOOKUP(B123,aa!B:R,17,0)</f>
        <v>273797</v>
      </c>
      <c r="K123" s="50" t="s">
        <v>1746</v>
      </c>
      <c r="L123" s="50">
        <v>999543</v>
      </c>
      <c r="M123" s="50">
        <v>1124137</v>
      </c>
      <c r="N123" s="50">
        <v>200312</v>
      </c>
      <c r="O123" s="50">
        <v>517</v>
      </c>
      <c r="P123" s="50" t="s">
        <v>14152</v>
      </c>
      <c r="Q123" s="50">
        <v>107040</v>
      </c>
      <c r="R123" s="50">
        <v>296</v>
      </c>
      <c r="S123" s="50" t="s">
        <v>14153</v>
      </c>
      <c r="T123" s="50">
        <v>692191</v>
      </c>
      <c r="U123" s="50">
        <v>527</v>
      </c>
      <c r="V123" s="50" t="s">
        <v>3747</v>
      </c>
      <c r="W123" s="50" t="s">
        <v>102</v>
      </c>
      <c r="X123" s="50" t="s">
        <v>103</v>
      </c>
      <c r="Y123" s="50" t="s">
        <v>155</v>
      </c>
      <c r="AA123" s="50" t="s">
        <v>4665</v>
      </c>
      <c r="AB123" s="50" t="s">
        <v>14154</v>
      </c>
      <c r="AC123" s="50" t="s">
        <v>1547</v>
      </c>
      <c r="AD123" s="50" t="s">
        <v>14154</v>
      </c>
      <c r="AE123" s="50" t="s">
        <v>13110</v>
      </c>
      <c r="AF123" s="50" t="s">
        <v>14154</v>
      </c>
      <c r="AG123" s="50" t="s">
        <v>14024</v>
      </c>
      <c r="AH123" s="50" t="s">
        <v>14154</v>
      </c>
      <c r="AI123" s="50" t="s">
        <v>14155</v>
      </c>
      <c r="AJ123" s="50" t="s">
        <v>1202</v>
      </c>
      <c r="AK123" s="50" t="s">
        <v>12696</v>
      </c>
      <c r="AL123" s="50" t="s">
        <v>14156</v>
      </c>
      <c r="AM123" s="50" t="s">
        <v>14157</v>
      </c>
      <c r="AN123" s="50" t="s">
        <v>14158</v>
      </c>
      <c r="AO123" s="50" t="s">
        <v>14159</v>
      </c>
      <c r="AP123" s="50" t="s">
        <v>14160</v>
      </c>
      <c r="AS123" s="50" t="s">
        <v>169</v>
      </c>
      <c r="AT123" s="50" t="s">
        <v>169</v>
      </c>
      <c r="AU123" s="50" t="s">
        <v>318</v>
      </c>
      <c r="AV123" s="50" t="s">
        <v>118</v>
      </c>
      <c r="AW123" s="50" t="s">
        <v>104</v>
      </c>
      <c r="AX123" s="50" t="s">
        <v>119</v>
      </c>
      <c r="AY123" s="50" t="s">
        <v>170</v>
      </c>
      <c r="AZ123" s="50" t="s">
        <v>118</v>
      </c>
      <c r="BA123" s="50" t="s">
        <v>250</v>
      </c>
      <c r="BB123" s="50" t="s">
        <v>120</v>
      </c>
      <c r="BC123" s="50" t="s">
        <v>2327</v>
      </c>
      <c r="BD123" s="50" t="s">
        <v>730</v>
      </c>
      <c r="BE123" s="50" t="s">
        <v>622</v>
      </c>
      <c r="BF123" s="50" t="s">
        <v>730</v>
      </c>
      <c r="BG123" s="50" t="s">
        <v>124</v>
      </c>
      <c r="BH123" s="50" t="s">
        <v>1202</v>
      </c>
      <c r="BI123" s="50" t="s">
        <v>14161</v>
      </c>
      <c r="BJ123" s="50" t="s">
        <v>127</v>
      </c>
      <c r="BK123" s="50" t="s">
        <v>14162</v>
      </c>
      <c r="BL123" s="50" t="s">
        <v>3604</v>
      </c>
      <c r="BM123" s="50" t="s">
        <v>14163</v>
      </c>
      <c r="BN123" s="50" t="s">
        <v>7020</v>
      </c>
      <c r="BO123" s="50" t="s">
        <v>3606</v>
      </c>
      <c r="BP123" s="50" t="s">
        <v>350</v>
      </c>
      <c r="BQ123" s="50" t="s">
        <v>3607</v>
      </c>
      <c r="BR123" s="50" t="s">
        <v>3608</v>
      </c>
      <c r="BS123" s="50" t="s">
        <v>3562</v>
      </c>
      <c r="BU123" s="50" t="s">
        <v>14164</v>
      </c>
      <c r="BV123" s="50" t="s">
        <v>3610</v>
      </c>
      <c r="BW123" s="50" t="s">
        <v>138</v>
      </c>
      <c r="BX123" s="50" t="s">
        <v>3611</v>
      </c>
      <c r="BY123" s="50" t="s">
        <v>3612</v>
      </c>
      <c r="BZ123" s="50" t="s">
        <v>3613</v>
      </c>
      <c r="CA123" s="50" t="s">
        <v>10629</v>
      </c>
      <c r="CB123" s="50" t="s">
        <v>3611</v>
      </c>
      <c r="CC123" s="50" t="s">
        <v>3612</v>
      </c>
      <c r="CD123" s="50" t="s">
        <v>14165</v>
      </c>
      <c r="CE123" s="50" t="s">
        <v>14166</v>
      </c>
      <c r="CF123" s="50" t="s">
        <v>14167</v>
      </c>
      <c r="CG123" s="50" t="s">
        <v>102</v>
      </c>
      <c r="CH123" s="50" t="s">
        <v>3614</v>
      </c>
      <c r="CJ123" s="50" t="s">
        <v>3615</v>
      </c>
      <c r="CL123" s="50" t="s">
        <v>2327</v>
      </c>
      <c r="CM123" s="50" t="s">
        <v>730</v>
      </c>
      <c r="CN123" s="50" t="s">
        <v>3615</v>
      </c>
      <c r="CO123" s="50" t="s">
        <v>3616</v>
      </c>
      <c r="CP123" s="50" t="s">
        <v>3614</v>
      </c>
      <c r="CQ123" s="50" t="s">
        <v>3614</v>
      </c>
    </row>
    <row r="124" spans="1:95">
      <c r="A124" s="95" t="s">
        <v>149</v>
      </c>
      <c r="B124" s="50">
        <v>1650530</v>
      </c>
      <c r="C124" s="50" t="s">
        <v>12121</v>
      </c>
      <c r="D124" s="50" t="s">
        <v>1466</v>
      </c>
      <c r="E124" s="50" t="str">
        <f>VLOOKUP(B124,aa!B:F,5,0)</f>
        <v>Ei CARES</v>
      </c>
      <c r="F124" s="50">
        <f>VLOOKUP(B124,aa!B:J,9,0)</f>
        <v>302020</v>
      </c>
      <c r="G124" s="50">
        <f>VLOOKUP(B124,aa!B:L,11,0)</f>
        <v>0</v>
      </c>
      <c r="H124" s="50">
        <f>VLOOKUP(B124,aa!B:O,14,0)</f>
        <v>302020</v>
      </c>
      <c r="I124" s="50">
        <f>VLOOKUP(B124,aa!B:R,17,0)</f>
        <v>0</v>
      </c>
      <c r="K124" s="50" t="s">
        <v>152</v>
      </c>
      <c r="L124" s="50">
        <v>308674</v>
      </c>
      <c r="M124" s="50">
        <v>308674</v>
      </c>
      <c r="N124" s="50">
        <v>0</v>
      </c>
      <c r="O124" s="50">
        <v>0</v>
      </c>
      <c r="Q124" s="50">
        <v>308674</v>
      </c>
      <c r="R124" s="50">
        <v>165</v>
      </c>
      <c r="S124" s="50" t="s">
        <v>12749</v>
      </c>
      <c r="T124" s="50">
        <v>0</v>
      </c>
      <c r="U124" s="50">
        <v>0</v>
      </c>
      <c r="W124" s="50" t="s">
        <v>102</v>
      </c>
      <c r="X124" s="50" t="s">
        <v>103</v>
      </c>
      <c r="Y124" s="50" t="s">
        <v>155</v>
      </c>
      <c r="AA124" s="50" t="s">
        <v>12023</v>
      </c>
      <c r="AB124" s="50" t="s">
        <v>12750</v>
      </c>
      <c r="AC124" s="50" t="s">
        <v>11976</v>
      </c>
      <c r="AD124" s="50" t="s">
        <v>12750</v>
      </c>
      <c r="AE124" s="50" t="s">
        <v>11888</v>
      </c>
      <c r="AF124" s="50" t="s">
        <v>12750</v>
      </c>
      <c r="AG124" s="50" t="s">
        <v>12084</v>
      </c>
      <c r="AH124" s="50" t="s">
        <v>12750</v>
      </c>
      <c r="AI124" s="50" t="s">
        <v>12751</v>
      </c>
      <c r="AJ124" s="50" t="s">
        <v>11976</v>
      </c>
      <c r="AK124" s="50" t="s">
        <v>12752</v>
      </c>
      <c r="AL124" s="50" t="s">
        <v>12753</v>
      </c>
      <c r="AM124" s="50" t="s">
        <v>12754</v>
      </c>
      <c r="AN124" s="50" t="s">
        <v>12755</v>
      </c>
      <c r="AO124" s="50" t="s">
        <v>12756</v>
      </c>
      <c r="AP124" s="50" t="s">
        <v>12756</v>
      </c>
      <c r="AU124" s="50" t="s">
        <v>102</v>
      </c>
      <c r="AW124" s="50" t="s">
        <v>155</v>
      </c>
      <c r="AX124" s="50" t="s">
        <v>119</v>
      </c>
      <c r="AY124" s="50" t="s">
        <v>170</v>
      </c>
      <c r="AZ124" s="50" t="s">
        <v>118</v>
      </c>
      <c r="BB124" s="50" t="s">
        <v>120</v>
      </c>
      <c r="BC124" s="50" t="s">
        <v>1480</v>
      </c>
      <c r="BD124" s="50" t="s">
        <v>556</v>
      </c>
      <c r="BE124" s="50" t="s">
        <v>122</v>
      </c>
      <c r="BF124" s="50" t="s">
        <v>557</v>
      </c>
      <c r="BG124" s="50" t="s">
        <v>124</v>
      </c>
      <c r="BH124" s="50" t="s">
        <v>12023</v>
      </c>
      <c r="BI124" s="50" t="s">
        <v>11889</v>
      </c>
      <c r="BJ124" s="50" t="s">
        <v>127</v>
      </c>
      <c r="BK124" s="50" t="s">
        <v>12757</v>
      </c>
      <c r="BL124" s="50" t="s">
        <v>1482</v>
      </c>
      <c r="BM124" s="50" t="s">
        <v>12758</v>
      </c>
      <c r="BN124" s="50" t="s">
        <v>12748</v>
      </c>
      <c r="BO124" s="50" t="s">
        <v>1142</v>
      </c>
      <c r="BP124" s="50" t="s">
        <v>350</v>
      </c>
      <c r="BQ124" s="50" t="s">
        <v>1143</v>
      </c>
      <c r="BR124" s="50" t="s">
        <v>1144</v>
      </c>
      <c r="BS124" s="50" t="s">
        <v>566</v>
      </c>
      <c r="BU124" s="50" t="s">
        <v>12759</v>
      </c>
      <c r="BV124" s="50" t="s">
        <v>1485</v>
      </c>
      <c r="BW124" s="50" t="s">
        <v>138</v>
      </c>
      <c r="BX124" s="50" t="s">
        <v>1486</v>
      </c>
      <c r="BY124" s="50" t="s">
        <v>1487</v>
      </c>
      <c r="BZ124" s="50" t="s">
        <v>1488</v>
      </c>
      <c r="CA124" s="50" t="s">
        <v>1485</v>
      </c>
      <c r="CB124" s="50" t="s">
        <v>1486</v>
      </c>
      <c r="CC124" s="50" t="s">
        <v>1487</v>
      </c>
      <c r="CD124" s="50" t="s">
        <v>1485</v>
      </c>
      <c r="CE124" s="50" t="s">
        <v>1486</v>
      </c>
      <c r="CF124" s="50" t="s">
        <v>1487</v>
      </c>
      <c r="CG124" s="50" t="s">
        <v>102</v>
      </c>
      <c r="CH124" s="50" t="s">
        <v>12760</v>
      </c>
      <c r="CJ124" s="50" t="s">
        <v>1490</v>
      </c>
      <c r="CL124" s="50" t="s">
        <v>1480</v>
      </c>
      <c r="CM124" s="50" t="s">
        <v>556</v>
      </c>
      <c r="CN124" s="50" t="s">
        <v>1490</v>
      </c>
      <c r="CO124" s="50" t="s">
        <v>1491</v>
      </c>
      <c r="CP124" s="50" t="s">
        <v>1489</v>
      </c>
      <c r="CQ124" s="50" t="s">
        <v>1489</v>
      </c>
    </row>
    <row r="125" spans="1:95">
      <c r="A125" s="95" t="s">
        <v>26356</v>
      </c>
      <c r="B125" s="50">
        <v>1551815</v>
      </c>
      <c r="C125" s="50" t="s">
        <v>12121</v>
      </c>
      <c r="D125" s="50" t="s">
        <v>1119</v>
      </c>
      <c r="E125" s="50" t="str">
        <f>VLOOKUP(B125,aa!B:F,5,0)</f>
        <v>Ei ASSET, Ei CARES</v>
      </c>
      <c r="F125" s="50">
        <f>VLOOKUP(B125,aa!B:J,9,0)</f>
        <v>4613052</v>
      </c>
      <c r="G125" s="50">
        <f>VLOOKUP(B125,aa!B:L,11,0)</f>
        <v>1314502</v>
      </c>
      <c r="H125" s="50">
        <f>VLOOKUP(B125,aa!B:O,14,0)</f>
        <v>3298550</v>
      </c>
      <c r="I125" s="50">
        <f>VLOOKUP(B125,aa!B:R,17,0)</f>
        <v>0</v>
      </c>
      <c r="K125" s="50" t="s">
        <v>675</v>
      </c>
      <c r="L125" s="50">
        <v>4605809</v>
      </c>
      <c r="M125" s="50">
        <v>4605809</v>
      </c>
      <c r="N125" s="50">
        <v>1323909</v>
      </c>
      <c r="O125" s="50">
        <v>2036</v>
      </c>
      <c r="P125" s="50" t="s">
        <v>1122</v>
      </c>
      <c r="Q125" s="50">
        <v>3281900</v>
      </c>
      <c r="R125" s="50">
        <v>1774</v>
      </c>
      <c r="S125" s="50" t="s">
        <v>1123</v>
      </c>
      <c r="T125" s="50">
        <v>0</v>
      </c>
      <c r="U125" s="50">
        <v>0</v>
      </c>
      <c r="W125" s="50" t="s">
        <v>102</v>
      </c>
      <c r="X125" s="50" t="s">
        <v>103</v>
      </c>
      <c r="Y125" s="50" t="s">
        <v>801</v>
      </c>
      <c r="AA125" s="50" t="s">
        <v>12023</v>
      </c>
      <c r="AB125" s="50" t="s">
        <v>12590</v>
      </c>
      <c r="AC125" s="50" t="s">
        <v>12591</v>
      </c>
      <c r="AD125" s="50" t="s">
        <v>12592</v>
      </c>
      <c r="AE125" s="50" t="s">
        <v>12593</v>
      </c>
      <c r="AF125" s="50" t="s">
        <v>12594</v>
      </c>
      <c r="AG125" s="50" t="s">
        <v>12595</v>
      </c>
      <c r="AH125" s="50" t="s">
        <v>12594</v>
      </c>
      <c r="AI125" s="50" t="s">
        <v>12596</v>
      </c>
      <c r="AJ125" s="50" t="s">
        <v>12597</v>
      </c>
      <c r="AK125" s="50" t="s">
        <v>12598</v>
      </c>
      <c r="AL125" s="50" t="s">
        <v>12599</v>
      </c>
      <c r="AM125" s="50" t="s">
        <v>12600</v>
      </c>
      <c r="AN125" s="50" t="s">
        <v>12601</v>
      </c>
      <c r="AO125" s="50" t="s">
        <v>8689</v>
      </c>
      <c r="AP125" s="50" t="s">
        <v>8689</v>
      </c>
      <c r="AU125" s="50" t="s">
        <v>247</v>
      </c>
      <c r="AV125" s="50" t="s">
        <v>118</v>
      </c>
      <c r="AW125" s="50" t="s">
        <v>248</v>
      </c>
      <c r="AX125" s="50" t="s">
        <v>119</v>
      </c>
      <c r="AY125" s="50" t="s">
        <v>1138</v>
      </c>
      <c r="AZ125" s="50" t="s">
        <v>118</v>
      </c>
      <c r="BB125" s="50" t="s">
        <v>120</v>
      </c>
      <c r="BC125" s="50" t="s">
        <v>555</v>
      </c>
      <c r="BD125" s="50" t="s">
        <v>556</v>
      </c>
      <c r="BE125" s="50" t="s">
        <v>122</v>
      </c>
      <c r="BF125" s="50" t="s">
        <v>557</v>
      </c>
      <c r="BG125" s="50" t="s">
        <v>124</v>
      </c>
      <c r="BH125" s="50" t="s">
        <v>12023</v>
      </c>
      <c r="BI125" s="50" t="s">
        <v>12602</v>
      </c>
      <c r="BJ125" s="50" t="s">
        <v>127</v>
      </c>
      <c r="BK125" s="50" t="s">
        <v>12603</v>
      </c>
      <c r="BL125" s="50" t="s">
        <v>1140</v>
      </c>
      <c r="BM125" s="50" t="s">
        <v>12604</v>
      </c>
      <c r="BN125" s="50" t="s">
        <v>5548</v>
      </c>
      <c r="BO125" s="50" t="s">
        <v>1142</v>
      </c>
      <c r="BP125" s="50" t="s">
        <v>350</v>
      </c>
      <c r="BQ125" s="50" t="s">
        <v>1143</v>
      </c>
      <c r="BR125" s="50" t="s">
        <v>1144</v>
      </c>
      <c r="BS125" s="50" t="s">
        <v>566</v>
      </c>
      <c r="BU125" s="50" t="s">
        <v>12605</v>
      </c>
      <c r="BV125" s="50" t="s">
        <v>1146</v>
      </c>
      <c r="BW125" s="50" t="s">
        <v>138</v>
      </c>
      <c r="BX125" s="50" t="s">
        <v>1147</v>
      </c>
      <c r="BY125" s="50" t="s">
        <v>1148</v>
      </c>
      <c r="BZ125" s="50" t="s">
        <v>1149</v>
      </c>
      <c r="CA125" s="50" t="s">
        <v>1146</v>
      </c>
      <c r="CB125" s="50" t="s">
        <v>1147</v>
      </c>
      <c r="CC125" s="50" t="s">
        <v>1148</v>
      </c>
      <c r="CD125" s="50" t="s">
        <v>1146</v>
      </c>
      <c r="CE125" s="50" t="s">
        <v>1147</v>
      </c>
      <c r="CF125" s="50" t="s">
        <v>1148</v>
      </c>
      <c r="CG125" s="50" t="s">
        <v>102</v>
      </c>
      <c r="CH125" s="50" t="s">
        <v>12606</v>
      </c>
      <c r="CJ125" s="50" t="s">
        <v>1154</v>
      </c>
      <c r="CL125" s="50" t="s">
        <v>555</v>
      </c>
      <c r="CM125" s="50" t="s">
        <v>556</v>
      </c>
      <c r="CN125" s="50" t="s">
        <v>1154</v>
      </c>
      <c r="CO125" s="50" t="s">
        <v>1155</v>
      </c>
      <c r="CP125" s="50" t="s">
        <v>1153</v>
      </c>
      <c r="CQ125" s="50" t="s">
        <v>1153</v>
      </c>
    </row>
    <row r="126" spans="1:95">
      <c r="A126" s="50" t="s">
        <v>93</v>
      </c>
      <c r="B126" s="50">
        <v>2037085</v>
      </c>
      <c r="C126" s="50" t="s">
        <v>12507</v>
      </c>
      <c r="D126" s="50" t="s">
        <v>13337</v>
      </c>
      <c r="E126" s="50" t="e">
        <f>VLOOKUP(B126,aa!B:F,5,0)</f>
        <v>#N/A</v>
      </c>
      <c r="F126" s="50" t="e">
        <f>VLOOKUP(B126,aa!B:J,9,0)</f>
        <v>#N/A</v>
      </c>
      <c r="G126" s="50" t="e">
        <f>VLOOKUP(B126,aa!B:L,11,0)</f>
        <v>#N/A</v>
      </c>
      <c r="H126" s="50" t="e">
        <f>VLOOKUP(B126,aa!B:O,14,0)</f>
        <v>#N/A</v>
      </c>
      <c r="I126" s="50" t="e">
        <f>VLOOKUP(B126,aa!B:R,17,0)</f>
        <v>#N/A</v>
      </c>
      <c r="K126" s="50" t="s">
        <v>152</v>
      </c>
      <c r="L126" s="50">
        <v>515264</v>
      </c>
      <c r="M126" s="50">
        <v>515264</v>
      </c>
      <c r="N126" s="50">
        <v>0</v>
      </c>
      <c r="O126" s="50">
        <v>0</v>
      </c>
      <c r="Q126" s="50">
        <v>515264</v>
      </c>
      <c r="R126" s="50">
        <v>644</v>
      </c>
      <c r="S126" s="50" t="s">
        <v>1297</v>
      </c>
      <c r="T126" s="50">
        <v>0</v>
      </c>
      <c r="U126" s="50">
        <v>0</v>
      </c>
      <c r="W126" s="50" t="s">
        <v>102</v>
      </c>
      <c r="X126" s="50" t="s">
        <v>103</v>
      </c>
      <c r="Y126" s="50" t="s">
        <v>155</v>
      </c>
      <c r="AA126" s="50" t="s">
        <v>3993</v>
      </c>
      <c r="AB126" s="50" t="s">
        <v>13338</v>
      </c>
      <c r="AC126" s="50" t="s">
        <v>4563</v>
      </c>
      <c r="AD126" s="50" t="s">
        <v>13339</v>
      </c>
      <c r="AE126" s="50" t="s">
        <v>13340</v>
      </c>
      <c r="AF126" s="50" t="s">
        <v>13341</v>
      </c>
      <c r="AG126" s="50" t="s">
        <v>11886</v>
      </c>
      <c r="AH126" s="50" t="s">
        <v>13342</v>
      </c>
      <c r="AI126" s="50" t="s">
        <v>13343</v>
      </c>
      <c r="AJ126" s="50" t="s">
        <v>1202</v>
      </c>
      <c r="AK126" s="50" t="s">
        <v>13344</v>
      </c>
      <c r="AL126" s="50" t="s">
        <v>13345</v>
      </c>
      <c r="AM126" s="50" t="s">
        <v>13346</v>
      </c>
      <c r="AN126" s="50" t="s">
        <v>6604</v>
      </c>
      <c r="AO126" s="50" t="s">
        <v>13347</v>
      </c>
      <c r="AP126" s="50" t="s">
        <v>13347</v>
      </c>
      <c r="AU126" s="50" t="s">
        <v>102</v>
      </c>
      <c r="AW126" s="50" t="s">
        <v>155</v>
      </c>
      <c r="AX126" s="50" t="s">
        <v>447</v>
      </c>
      <c r="AY126" s="50" t="s">
        <v>170</v>
      </c>
      <c r="AZ126" s="50" t="s">
        <v>118</v>
      </c>
      <c r="BA126" s="50" t="s">
        <v>208</v>
      </c>
      <c r="BB126" s="50" t="s">
        <v>120</v>
      </c>
      <c r="BC126" s="50" t="s">
        <v>13348</v>
      </c>
      <c r="BD126" s="50" t="s">
        <v>556</v>
      </c>
      <c r="BE126" s="50" t="s">
        <v>122</v>
      </c>
      <c r="BF126" s="50" t="s">
        <v>557</v>
      </c>
      <c r="BG126" s="50" t="s">
        <v>124</v>
      </c>
      <c r="BH126" s="50" t="s">
        <v>12023</v>
      </c>
      <c r="BI126" s="50" t="s">
        <v>11889</v>
      </c>
      <c r="BJ126" s="50" t="s">
        <v>127</v>
      </c>
      <c r="BK126" s="50" t="s">
        <v>13349</v>
      </c>
      <c r="BL126" s="50" t="s">
        <v>13350</v>
      </c>
      <c r="BM126" s="50" t="s">
        <v>13351</v>
      </c>
      <c r="BN126" s="50" t="s">
        <v>5548</v>
      </c>
      <c r="BO126" s="50" t="s">
        <v>1071</v>
      </c>
      <c r="BP126" s="50" t="s">
        <v>350</v>
      </c>
      <c r="BQ126" s="50" t="s">
        <v>1072</v>
      </c>
      <c r="BR126" s="50" t="s">
        <v>1073</v>
      </c>
      <c r="BS126" s="50" t="s">
        <v>1074</v>
      </c>
      <c r="BU126" s="50" t="s">
        <v>13352</v>
      </c>
      <c r="BV126" s="50" t="s">
        <v>13353</v>
      </c>
      <c r="BW126" s="50" t="s">
        <v>138</v>
      </c>
      <c r="BX126" s="50" t="s">
        <v>13354</v>
      </c>
      <c r="BY126" s="50" t="s">
        <v>13355</v>
      </c>
      <c r="BZ126" s="50" t="s">
        <v>13356</v>
      </c>
      <c r="CA126" s="50" t="s">
        <v>13357</v>
      </c>
      <c r="CB126" s="50" t="s">
        <v>13358</v>
      </c>
      <c r="CC126" s="50" t="s">
        <v>13355</v>
      </c>
      <c r="CD126" s="50" t="s">
        <v>13357</v>
      </c>
      <c r="CE126" s="50" t="s">
        <v>13358</v>
      </c>
      <c r="CF126" s="50" t="s">
        <v>13355</v>
      </c>
      <c r="CG126" s="50" t="s">
        <v>13359</v>
      </c>
      <c r="CH126" s="50" t="s">
        <v>13360</v>
      </c>
      <c r="CJ126" s="50" t="s">
        <v>13361</v>
      </c>
      <c r="CK126" s="50" t="s">
        <v>13360</v>
      </c>
      <c r="CL126" s="50" t="s">
        <v>13348</v>
      </c>
      <c r="CM126" s="50" t="s">
        <v>556</v>
      </c>
      <c r="CN126" s="50" t="s">
        <v>13361</v>
      </c>
      <c r="CO126" s="50" t="s">
        <v>13362</v>
      </c>
      <c r="CP126" s="50" t="s">
        <v>13363</v>
      </c>
      <c r="CQ126" s="50" t="s">
        <v>13363</v>
      </c>
    </row>
    <row r="127" spans="1:95">
      <c r="A127" s="95" t="s">
        <v>26356</v>
      </c>
      <c r="B127" s="50">
        <v>20480</v>
      </c>
      <c r="C127" s="50" t="s">
        <v>12121</v>
      </c>
      <c r="D127" s="50" t="s">
        <v>2476</v>
      </c>
      <c r="E127" s="50" t="str">
        <f>VLOOKUP(B127,aa!B:F,5,0)</f>
        <v>Ei CARES</v>
      </c>
      <c r="F127" s="50">
        <f>VLOOKUP(B127,aa!B:J,9,0)</f>
        <v>1550010</v>
      </c>
      <c r="G127" s="50">
        <f>VLOOKUP(B127,aa!B:L,11,0)</f>
        <v>0</v>
      </c>
      <c r="H127" s="50">
        <f>VLOOKUP(B127,aa!B:O,14,0)</f>
        <v>1550010</v>
      </c>
      <c r="I127" s="50">
        <f>VLOOKUP(B127,aa!B:R,17,0)</f>
        <v>0</v>
      </c>
      <c r="K127" s="50" t="s">
        <v>152</v>
      </c>
      <c r="L127" s="50">
        <v>1392630</v>
      </c>
      <c r="M127" s="50">
        <v>1392630</v>
      </c>
      <c r="N127" s="50">
        <v>0</v>
      </c>
      <c r="O127" s="50">
        <v>0</v>
      </c>
      <c r="Q127" s="50">
        <v>1392630</v>
      </c>
      <c r="R127" s="50">
        <v>761</v>
      </c>
      <c r="S127" s="50" t="s">
        <v>2478</v>
      </c>
      <c r="T127" s="50">
        <v>0</v>
      </c>
      <c r="U127" s="50">
        <v>0</v>
      </c>
      <c r="W127" s="50" t="s">
        <v>102</v>
      </c>
      <c r="X127" s="50" t="s">
        <v>103</v>
      </c>
      <c r="Y127" s="50" t="s">
        <v>398</v>
      </c>
      <c r="AA127" s="50" t="s">
        <v>12023</v>
      </c>
      <c r="AB127" s="50" t="s">
        <v>13383</v>
      </c>
      <c r="AC127" s="50" t="s">
        <v>11976</v>
      </c>
      <c r="AD127" s="50" t="s">
        <v>13384</v>
      </c>
      <c r="AE127" s="50" t="s">
        <v>12327</v>
      </c>
      <c r="AF127" s="50" t="s">
        <v>13384</v>
      </c>
      <c r="AG127" s="50" t="s">
        <v>109</v>
      </c>
      <c r="AH127" s="50" t="s">
        <v>102</v>
      </c>
      <c r="AI127" s="50" t="s">
        <v>102</v>
      </c>
      <c r="AJ127" s="50" t="s">
        <v>13385</v>
      </c>
      <c r="AK127" s="50" t="s">
        <v>13386</v>
      </c>
      <c r="AL127" s="50" t="s">
        <v>13387</v>
      </c>
      <c r="AM127" s="50" t="s">
        <v>13388</v>
      </c>
      <c r="AN127" s="50" t="s">
        <v>13389</v>
      </c>
      <c r="AO127" s="50" t="s">
        <v>2487</v>
      </c>
      <c r="AP127" s="50" t="s">
        <v>2487</v>
      </c>
      <c r="AU127" s="50" t="s">
        <v>102</v>
      </c>
      <c r="AW127" s="50" t="s">
        <v>1384</v>
      </c>
      <c r="AX127" s="50" t="s">
        <v>119</v>
      </c>
      <c r="AY127" s="50" t="s">
        <v>1138</v>
      </c>
      <c r="AZ127" s="50" t="s">
        <v>118</v>
      </c>
      <c r="BB127" s="50" t="s">
        <v>120</v>
      </c>
      <c r="BC127" s="50" t="s">
        <v>555</v>
      </c>
      <c r="BD127" s="50" t="s">
        <v>556</v>
      </c>
      <c r="BE127" s="50" t="s">
        <v>122</v>
      </c>
      <c r="BF127" s="50" t="s">
        <v>557</v>
      </c>
      <c r="BG127" s="50" t="s">
        <v>124</v>
      </c>
      <c r="BH127" s="50" t="s">
        <v>12023</v>
      </c>
      <c r="BI127" s="50" t="s">
        <v>11889</v>
      </c>
      <c r="BJ127" s="50" t="s">
        <v>127</v>
      </c>
      <c r="BK127" s="50" t="s">
        <v>13390</v>
      </c>
      <c r="BL127" s="50" t="s">
        <v>2489</v>
      </c>
      <c r="BM127" s="50" t="s">
        <v>13391</v>
      </c>
      <c r="BN127" s="50" t="s">
        <v>5548</v>
      </c>
      <c r="BO127" s="50" t="s">
        <v>1142</v>
      </c>
      <c r="BP127" s="50" t="s">
        <v>350</v>
      </c>
      <c r="BQ127" s="50" t="s">
        <v>1143</v>
      </c>
      <c r="BR127" s="50" t="s">
        <v>1144</v>
      </c>
      <c r="BS127" s="50" t="s">
        <v>566</v>
      </c>
      <c r="BU127" s="50" t="s">
        <v>13392</v>
      </c>
      <c r="BV127" s="50" t="s">
        <v>2492</v>
      </c>
      <c r="BW127" s="50" t="s">
        <v>138</v>
      </c>
      <c r="BX127" s="50" t="s">
        <v>2493</v>
      </c>
      <c r="BY127" s="50" t="s">
        <v>2494</v>
      </c>
      <c r="BZ127" s="50" t="s">
        <v>2495</v>
      </c>
      <c r="CA127" s="50" t="s">
        <v>2492</v>
      </c>
      <c r="CB127" s="50" t="s">
        <v>2493</v>
      </c>
      <c r="CC127" s="50" t="s">
        <v>2494</v>
      </c>
      <c r="CD127" s="50" t="s">
        <v>2492</v>
      </c>
      <c r="CE127" s="50" t="s">
        <v>2493</v>
      </c>
      <c r="CF127" s="50" t="s">
        <v>2494</v>
      </c>
      <c r="CG127" s="50" t="s">
        <v>102</v>
      </c>
      <c r="CH127" s="50" t="s">
        <v>2476</v>
      </c>
      <c r="CJ127" s="50" t="s">
        <v>2500</v>
      </c>
      <c r="CL127" s="50" t="s">
        <v>555</v>
      </c>
      <c r="CM127" s="50" t="s">
        <v>556</v>
      </c>
      <c r="CN127" s="50" t="s">
        <v>2500</v>
      </c>
      <c r="CO127" s="50" t="s">
        <v>2501</v>
      </c>
      <c r="CP127" s="50" t="s">
        <v>2499</v>
      </c>
      <c r="CQ127" s="50" t="s">
        <v>2499</v>
      </c>
    </row>
    <row r="128" spans="1:95">
      <c r="A128" s="95" t="s">
        <v>26356</v>
      </c>
      <c r="B128" s="50">
        <v>4105283</v>
      </c>
      <c r="C128" s="50" t="s">
        <v>12121</v>
      </c>
      <c r="D128" s="50" t="s">
        <v>8677</v>
      </c>
      <c r="E128" s="50" t="str">
        <f>VLOOKUP(B128,aa!B:F,5,0)</f>
        <v>Ei ASSET, Ei CARES</v>
      </c>
      <c r="F128" s="50">
        <f>VLOOKUP(B128,aa!B:J,9,0)</f>
        <v>2730651</v>
      </c>
      <c r="G128" s="50">
        <f>VLOOKUP(B128,aa!B:L,11,0)</f>
        <v>778719</v>
      </c>
      <c r="H128" s="50">
        <f>VLOOKUP(B128,aa!B:O,14,0)</f>
        <v>1951932</v>
      </c>
      <c r="I128" s="50">
        <f>VLOOKUP(B128,aa!B:R,17,0)</f>
        <v>0</v>
      </c>
      <c r="K128" s="50" t="s">
        <v>675</v>
      </c>
      <c r="L128" s="50">
        <v>2652490</v>
      </c>
      <c r="M128" s="50">
        <v>2652490</v>
      </c>
      <c r="N128" s="50">
        <v>774740</v>
      </c>
      <c r="O128" s="50">
        <v>1192</v>
      </c>
      <c r="P128" s="50" t="s">
        <v>1122</v>
      </c>
      <c r="Q128" s="50">
        <v>1877750</v>
      </c>
      <c r="R128" s="50">
        <v>1015</v>
      </c>
      <c r="S128" s="50" t="s">
        <v>1123</v>
      </c>
      <c r="T128" s="50">
        <v>0</v>
      </c>
      <c r="U128" s="50">
        <v>0</v>
      </c>
      <c r="W128" s="50" t="s">
        <v>102</v>
      </c>
      <c r="X128" s="50" t="s">
        <v>103</v>
      </c>
      <c r="Y128" s="50" t="s">
        <v>801</v>
      </c>
      <c r="AA128" s="50" t="s">
        <v>18107</v>
      </c>
      <c r="AB128" s="50" t="s">
        <v>18108</v>
      </c>
      <c r="AC128" s="50" t="s">
        <v>18109</v>
      </c>
      <c r="AD128" s="50" t="s">
        <v>18110</v>
      </c>
      <c r="AE128" s="50" t="s">
        <v>12593</v>
      </c>
      <c r="AF128" s="50" t="s">
        <v>18111</v>
      </c>
      <c r="AG128" s="50" t="s">
        <v>12595</v>
      </c>
      <c r="AH128" s="50" t="s">
        <v>18111</v>
      </c>
      <c r="AI128" s="50" t="s">
        <v>18112</v>
      </c>
      <c r="AJ128" s="50" t="s">
        <v>18113</v>
      </c>
      <c r="AK128" s="50" t="s">
        <v>18114</v>
      </c>
      <c r="AL128" s="50" t="s">
        <v>18115</v>
      </c>
      <c r="AM128" s="50" t="s">
        <v>18116</v>
      </c>
      <c r="AN128" s="50" t="s">
        <v>18117</v>
      </c>
      <c r="AO128" s="50" t="s">
        <v>1137</v>
      </c>
      <c r="AP128" s="50" t="s">
        <v>1137</v>
      </c>
      <c r="AU128" s="50" t="s">
        <v>247</v>
      </c>
      <c r="AV128" s="50" t="s">
        <v>118</v>
      </c>
      <c r="AW128" s="50" t="s">
        <v>248</v>
      </c>
      <c r="AX128" s="50" t="s">
        <v>119</v>
      </c>
      <c r="AY128" s="50" t="s">
        <v>1138</v>
      </c>
      <c r="AZ128" s="50" t="s">
        <v>118</v>
      </c>
      <c r="BB128" s="50" t="s">
        <v>120</v>
      </c>
      <c r="BC128" s="50" t="s">
        <v>555</v>
      </c>
      <c r="BD128" s="50" t="s">
        <v>556</v>
      </c>
      <c r="BE128" s="50" t="s">
        <v>122</v>
      </c>
      <c r="BF128" s="50" t="s">
        <v>557</v>
      </c>
      <c r="BG128" s="50" t="s">
        <v>124</v>
      </c>
      <c r="BH128" s="50" t="s">
        <v>7020</v>
      </c>
      <c r="BI128" s="50" t="s">
        <v>12602</v>
      </c>
      <c r="BJ128" s="50" t="s">
        <v>127</v>
      </c>
      <c r="BK128" s="50" t="s">
        <v>18118</v>
      </c>
      <c r="BL128" s="50" t="s">
        <v>8691</v>
      </c>
      <c r="BM128" s="50" t="s">
        <v>18119</v>
      </c>
      <c r="BN128" s="50" t="s">
        <v>5548</v>
      </c>
      <c r="BO128" s="50" t="s">
        <v>1142</v>
      </c>
      <c r="BP128" s="50" t="s">
        <v>350</v>
      </c>
      <c r="BQ128" s="50" t="s">
        <v>1143</v>
      </c>
      <c r="BR128" s="50" t="s">
        <v>1144</v>
      </c>
      <c r="BS128" s="50" t="s">
        <v>566</v>
      </c>
      <c r="BU128" s="50" t="s">
        <v>18120</v>
      </c>
      <c r="BV128" s="50" t="s">
        <v>1146</v>
      </c>
      <c r="BW128" s="50" t="s">
        <v>138</v>
      </c>
      <c r="BX128" s="50" t="s">
        <v>1147</v>
      </c>
      <c r="BY128" s="50" t="s">
        <v>1148</v>
      </c>
      <c r="BZ128" s="50" t="s">
        <v>8694</v>
      </c>
      <c r="CA128" s="50" t="s">
        <v>1146</v>
      </c>
      <c r="CB128" s="50" t="s">
        <v>1147</v>
      </c>
      <c r="CC128" s="50" t="s">
        <v>1148</v>
      </c>
      <c r="CD128" s="50" t="s">
        <v>1146</v>
      </c>
      <c r="CE128" s="50" t="s">
        <v>1147</v>
      </c>
      <c r="CF128" s="50" t="s">
        <v>1148</v>
      </c>
      <c r="CG128" s="50" t="s">
        <v>102</v>
      </c>
      <c r="CH128" s="50" t="s">
        <v>18121</v>
      </c>
      <c r="CJ128" s="50" t="s">
        <v>8699</v>
      </c>
      <c r="CL128" s="50" t="s">
        <v>555</v>
      </c>
      <c r="CM128" s="50" t="s">
        <v>556</v>
      </c>
      <c r="CN128" s="50" t="s">
        <v>8699</v>
      </c>
      <c r="CO128" s="50" t="s">
        <v>1155</v>
      </c>
      <c r="CP128" s="50" t="s">
        <v>8698</v>
      </c>
      <c r="CQ128" s="50" t="s">
        <v>8698</v>
      </c>
    </row>
    <row r="129" spans="1:96">
      <c r="A129" s="95" t="s">
        <v>26356</v>
      </c>
      <c r="B129" s="50">
        <v>3407332</v>
      </c>
      <c r="C129" s="50" t="s">
        <v>13158</v>
      </c>
      <c r="D129" s="50" t="s">
        <v>14582</v>
      </c>
      <c r="E129" s="50" t="e">
        <f>VLOOKUP(B129,aa!B:F,5,0)</f>
        <v>#N/A</v>
      </c>
      <c r="F129" s="50" t="e">
        <f>VLOOKUP(B129,aa!B:J,9,0)</f>
        <v>#N/A</v>
      </c>
      <c r="G129" s="50" t="e">
        <f>VLOOKUP(B129,aa!B:L,11,0)</f>
        <v>#N/A</v>
      </c>
      <c r="H129" s="50" t="e">
        <f>VLOOKUP(B129,aa!B:O,14,0)</f>
        <v>#N/A</v>
      </c>
      <c r="I129" s="50" t="e">
        <f>VLOOKUP(B129,aa!B:R,17,0)</f>
        <v>#N/A</v>
      </c>
      <c r="K129" s="50" t="s">
        <v>193</v>
      </c>
      <c r="L129" s="50">
        <v>1274174</v>
      </c>
      <c r="M129" s="50">
        <v>1503525</v>
      </c>
      <c r="N129" s="50">
        <v>0</v>
      </c>
      <c r="O129" s="50">
        <v>367</v>
      </c>
      <c r="P129" s="50" t="s">
        <v>102</v>
      </c>
      <c r="Q129" s="50">
        <v>0</v>
      </c>
      <c r="R129" s="50">
        <v>0</v>
      </c>
      <c r="T129" s="50">
        <v>1274174</v>
      </c>
      <c r="U129" s="50">
        <v>537</v>
      </c>
      <c r="V129" s="50" t="s">
        <v>11158</v>
      </c>
      <c r="W129" s="50" t="s">
        <v>102</v>
      </c>
      <c r="X129" s="50" t="s">
        <v>275</v>
      </c>
      <c r="Z129" s="50" t="s">
        <v>15889</v>
      </c>
      <c r="AA129" s="50" t="s">
        <v>109</v>
      </c>
      <c r="AB129" s="50" t="s">
        <v>102</v>
      </c>
      <c r="AC129" s="50" t="s">
        <v>109</v>
      </c>
      <c r="AD129" s="50" t="s">
        <v>102</v>
      </c>
      <c r="AE129" s="50" t="s">
        <v>109</v>
      </c>
      <c r="AF129" s="50" t="s">
        <v>102</v>
      </c>
      <c r="AG129" s="50" t="s">
        <v>109</v>
      </c>
      <c r="AH129" s="50" t="s">
        <v>102</v>
      </c>
      <c r="AI129" s="50" t="s">
        <v>15890</v>
      </c>
      <c r="AJ129" s="50" t="s">
        <v>11599</v>
      </c>
      <c r="AK129" s="50" t="s">
        <v>11599</v>
      </c>
      <c r="AL129" s="50" t="s">
        <v>15891</v>
      </c>
      <c r="AM129" s="50" t="s">
        <v>15892</v>
      </c>
      <c r="AN129" s="50" t="s">
        <v>2202</v>
      </c>
      <c r="AO129" s="50" t="s">
        <v>15893</v>
      </c>
      <c r="AP129" s="50" t="s">
        <v>15893</v>
      </c>
      <c r="AU129" s="50" t="s">
        <v>247</v>
      </c>
      <c r="AV129" s="50" t="s">
        <v>118</v>
      </c>
      <c r="AW129" s="50" t="s">
        <v>102</v>
      </c>
      <c r="AX129" s="50" t="s">
        <v>119</v>
      </c>
      <c r="BA129" s="50" t="s">
        <v>250</v>
      </c>
      <c r="BB129" s="50" t="s">
        <v>120</v>
      </c>
      <c r="BC129" s="50" t="s">
        <v>3058</v>
      </c>
      <c r="BD129" s="50" t="s">
        <v>320</v>
      </c>
      <c r="BE129" s="50" t="s">
        <v>122</v>
      </c>
      <c r="BF129" s="50" t="s">
        <v>123</v>
      </c>
      <c r="BG129" s="50" t="s">
        <v>124</v>
      </c>
      <c r="BH129" s="50" t="s">
        <v>15894</v>
      </c>
      <c r="BI129" s="50" t="s">
        <v>11889</v>
      </c>
      <c r="BJ129" s="50" t="s">
        <v>127</v>
      </c>
      <c r="BK129" s="50" t="s">
        <v>15895</v>
      </c>
      <c r="BL129" s="50" t="s">
        <v>5914</v>
      </c>
      <c r="BM129" s="50" t="s">
        <v>15896</v>
      </c>
      <c r="BN129" s="50" t="s">
        <v>15888</v>
      </c>
      <c r="BO129" s="50" t="s">
        <v>1108</v>
      </c>
      <c r="BP129" s="50" t="s">
        <v>350</v>
      </c>
      <c r="BQ129" s="50" t="s">
        <v>1109</v>
      </c>
      <c r="BR129" s="50" t="s">
        <v>1110</v>
      </c>
      <c r="BS129" s="50" t="s">
        <v>1111</v>
      </c>
      <c r="BU129" s="50" t="s">
        <v>15897</v>
      </c>
      <c r="BV129" s="50" t="s">
        <v>15898</v>
      </c>
      <c r="BW129" s="50" t="s">
        <v>598</v>
      </c>
      <c r="BX129" s="50" t="s">
        <v>15899</v>
      </c>
      <c r="BY129" s="50" t="s">
        <v>15900</v>
      </c>
      <c r="BZ129" s="50" t="s">
        <v>5917</v>
      </c>
      <c r="CA129" s="50" t="s">
        <v>15901</v>
      </c>
      <c r="CB129" s="50" t="s">
        <v>10519</v>
      </c>
      <c r="CC129" s="50" t="s">
        <v>15902</v>
      </c>
      <c r="CD129" s="50" t="s">
        <v>15903</v>
      </c>
      <c r="CE129" s="50" t="s">
        <v>15904</v>
      </c>
      <c r="CF129" s="50" t="s">
        <v>15905</v>
      </c>
      <c r="CG129" s="50" t="s">
        <v>102</v>
      </c>
      <c r="CH129" s="50" t="s">
        <v>15906</v>
      </c>
      <c r="CJ129" s="50" t="s">
        <v>3070</v>
      </c>
      <c r="CL129" s="50" t="s">
        <v>3058</v>
      </c>
      <c r="CM129" s="50" t="s">
        <v>320</v>
      </c>
      <c r="CN129" s="50" t="s">
        <v>3070</v>
      </c>
      <c r="CO129" s="50" t="s">
        <v>5919</v>
      </c>
      <c r="CP129" s="50" t="s">
        <v>5918</v>
      </c>
      <c r="CQ129" s="50" t="s">
        <v>5918</v>
      </c>
    </row>
    <row r="130" spans="1:96">
      <c r="A130" s="50" t="s">
        <v>93</v>
      </c>
      <c r="B130" s="50">
        <v>1110834</v>
      </c>
      <c r="C130" s="50" t="s">
        <v>12096</v>
      </c>
      <c r="D130" s="50" t="s">
        <v>12095</v>
      </c>
      <c r="E130" s="50" t="e">
        <f>VLOOKUP(B130,aa!B:F,5,0)</f>
        <v>#N/A</v>
      </c>
      <c r="F130" s="50" t="e">
        <f>VLOOKUP(B130,aa!B:J,9,0)</f>
        <v>#N/A</v>
      </c>
      <c r="G130" s="50" t="e">
        <f>VLOOKUP(B130,aa!B:L,11,0)</f>
        <v>#N/A</v>
      </c>
      <c r="H130" s="50" t="e">
        <f>VLOOKUP(B130,aa!B:O,14,0)</f>
        <v>#N/A</v>
      </c>
      <c r="I130" s="50" t="e">
        <f>VLOOKUP(B130,aa!B:R,17,0)</f>
        <v>#N/A</v>
      </c>
      <c r="K130" s="50" t="s">
        <v>152</v>
      </c>
      <c r="L130" s="50">
        <v>337680</v>
      </c>
      <c r="M130" s="50">
        <v>337680</v>
      </c>
      <c r="N130" s="50">
        <v>0</v>
      </c>
      <c r="O130" s="50">
        <v>0</v>
      </c>
      <c r="Q130" s="50">
        <v>337680</v>
      </c>
      <c r="R130" s="50">
        <v>201</v>
      </c>
      <c r="S130" s="50" t="s">
        <v>12097</v>
      </c>
      <c r="T130" s="50">
        <v>0</v>
      </c>
      <c r="U130" s="50">
        <v>0</v>
      </c>
      <c r="W130" s="50" t="s">
        <v>102</v>
      </c>
      <c r="X130" s="50" t="s">
        <v>103</v>
      </c>
      <c r="Y130" s="50" t="s">
        <v>155</v>
      </c>
      <c r="AA130" s="50" t="s">
        <v>1202</v>
      </c>
      <c r="AB130" s="50" t="s">
        <v>12098</v>
      </c>
      <c r="AC130" s="50" t="s">
        <v>12040</v>
      </c>
      <c r="AD130" s="50" t="s">
        <v>12098</v>
      </c>
      <c r="AE130" s="50" t="s">
        <v>12099</v>
      </c>
      <c r="AF130" s="50" t="s">
        <v>12098</v>
      </c>
      <c r="AG130" s="50" t="s">
        <v>11886</v>
      </c>
      <c r="AH130" s="50" t="s">
        <v>12098</v>
      </c>
      <c r="AI130" s="50" t="s">
        <v>102</v>
      </c>
      <c r="AJ130" s="50" t="s">
        <v>12100</v>
      </c>
      <c r="AK130" s="50" t="s">
        <v>12100</v>
      </c>
      <c r="AL130" s="50" t="s">
        <v>12101</v>
      </c>
      <c r="AM130" s="50" t="s">
        <v>12102</v>
      </c>
      <c r="AN130" s="50" t="s">
        <v>12103</v>
      </c>
      <c r="AO130" s="50" t="s">
        <v>4168</v>
      </c>
      <c r="AP130" s="50" t="s">
        <v>4168</v>
      </c>
      <c r="AU130" s="50" t="s">
        <v>102</v>
      </c>
      <c r="AW130" s="50" t="s">
        <v>155</v>
      </c>
      <c r="AX130" s="50" t="s">
        <v>447</v>
      </c>
      <c r="AY130" s="50" t="s">
        <v>170</v>
      </c>
      <c r="AZ130" s="50" t="s">
        <v>118</v>
      </c>
      <c r="BB130" s="50" t="s">
        <v>120</v>
      </c>
      <c r="BC130" s="50" t="s">
        <v>12104</v>
      </c>
      <c r="BD130" s="50" t="s">
        <v>1208</v>
      </c>
      <c r="BE130" s="50" t="s">
        <v>174</v>
      </c>
      <c r="BF130" s="50" t="s">
        <v>1172</v>
      </c>
      <c r="BG130" s="50" t="s">
        <v>124</v>
      </c>
      <c r="BH130" s="50" t="s">
        <v>12023</v>
      </c>
      <c r="BI130" s="50" t="s">
        <v>11889</v>
      </c>
      <c r="BJ130" s="50" t="s">
        <v>127</v>
      </c>
      <c r="BK130" s="50" t="s">
        <v>12105</v>
      </c>
      <c r="BL130" s="50" t="s">
        <v>12106</v>
      </c>
      <c r="BM130" s="50" t="s">
        <v>12107</v>
      </c>
      <c r="BN130" s="50" t="s">
        <v>3993</v>
      </c>
      <c r="BO130" s="50" t="s">
        <v>1212</v>
      </c>
      <c r="BP130" s="50" t="s">
        <v>180</v>
      </c>
      <c r="BQ130" s="50" t="s">
        <v>1213</v>
      </c>
      <c r="BR130" s="50" t="s">
        <v>1214</v>
      </c>
      <c r="BS130" s="50" t="s">
        <v>1215</v>
      </c>
      <c r="BU130" s="50" t="s">
        <v>12108</v>
      </c>
      <c r="BV130" s="50" t="s">
        <v>12109</v>
      </c>
      <c r="BW130" s="50" t="s">
        <v>598</v>
      </c>
      <c r="BX130" s="50" t="s">
        <v>12110</v>
      </c>
      <c r="BY130" s="50" t="s">
        <v>12111</v>
      </c>
      <c r="BZ130" s="50" t="s">
        <v>12110</v>
      </c>
      <c r="CA130" s="50" t="s">
        <v>12112</v>
      </c>
      <c r="CB130" s="50" t="s">
        <v>12113</v>
      </c>
      <c r="CC130" s="50" t="s">
        <v>12114</v>
      </c>
      <c r="CD130" s="50" t="s">
        <v>12109</v>
      </c>
      <c r="CE130" s="50" t="s">
        <v>12110</v>
      </c>
      <c r="CF130" s="50" t="s">
        <v>12111</v>
      </c>
      <c r="CG130" s="50" t="s">
        <v>12115</v>
      </c>
      <c r="CH130" s="50" t="s">
        <v>12116</v>
      </c>
      <c r="CJ130" s="50" t="s">
        <v>12117</v>
      </c>
      <c r="CK130" s="50" t="s">
        <v>12118</v>
      </c>
      <c r="CL130" s="50" t="s">
        <v>12104</v>
      </c>
      <c r="CM130" s="50" t="s">
        <v>1208</v>
      </c>
      <c r="CN130" s="50" t="s">
        <v>12117</v>
      </c>
      <c r="CP130" s="50" t="s">
        <v>12119</v>
      </c>
      <c r="CQ130" s="50" t="s">
        <v>12116</v>
      </c>
      <c r="CR130" s="50" t="s">
        <v>26046</v>
      </c>
    </row>
    <row r="131" spans="1:96">
      <c r="A131" s="95" t="s">
        <v>149</v>
      </c>
      <c r="B131" s="50">
        <v>3557796</v>
      </c>
      <c r="C131" s="50" t="s">
        <v>418</v>
      </c>
      <c r="D131" s="50" t="s">
        <v>6541</v>
      </c>
      <c r="E131" s="50" t="str">
        <f>VLOOKUP(B131,aa!B:F,5,0)</f>
        <v>Ei ASSET, Ei Mindspark</v>
      </c>
      <c r="F131" s="50">
        <f>VLOOKUP(B131,aa!B:J,9,0)</f>
        <v>389588</v>
      </c>
      <c r="G131" s="50">
        <f>VLOOKUP(B131,aa!B:L,11,0)</f>
        <v>156917</v>
      </c>
      <c r="H131" s="50">
        <f>VLOOKUP(B131,aa!B:O,14,0)</f>
        <v>0</v>
      </c>
      <c r="I131" s="50">
        <f>VLOOKUP(B131,aa!B:R,17,0)</f>
        <v>232671</v>
      </c>
      <c r="K131" s="50" t="s">
        <v>193</v>
      </c>
      <c r="L131" s="50">
        <v>279238</v>
      </c>
      <c r="M131" s="50">
        <v>308037</v>
      </c>
      <c r="N131" s="50">
        <v>119246</v>
      </c>
      <c r="O131" s="50">
        <v>169</v>
      </c>
      <c r="P131" s="50" t="s">
        <v>5793</v>
      </c>
      <c r="Q131" s="50">
        <v>0</v>
      </c>
      <c r="R131" s="50">
        <v>0</v>
      </c>
      <c r="T131" s="50">
        <v>159992</v>
      </c>
      <c r="U131" s="50">
        <v>59</v>
      </c>
      <c r="V131" s="50" t="s">
        <v>6544</v>
      </c>
      <c r="W131" s="50" t="s">
        <v>102</v>
      </c>
      <c r="X131" s="50" t="s">
        <v>103</v>
      </c>
      <c r="Y131" s="50" t="s">
        <v>104</v>
      </c>
      <c r="AA131" s="50" t="s">
        <v>1408</v>
      </c>
      <c r="AB131" s="50" t="s">
        <v>16447</v>
      </c>
      <c r="AC131" s="50" t="s">
        <v>12289</v>
      </c>
      <c r="AD131" s="50" t="s">
        <v>16447</v>
      </c>
      <c r="AE131" s="50" t="s">
        <v>109</v>
      </c>
      <c r="AF131" s="50" t="s">
        <v>102</v>
      </c>
      <c r="AG131" s="50" t="s">
        <v>109</v>
      </c>
      <c r="AH131" s="50" t="s">
        <v>102</v>
      </c>
      <c r="AI131" s="50" t="s">
        <v>16448</v>
      </c>
      <c r="AJ131" s="50" t="s">
        <v>16449</v>
      </c>
      <c r="AK131" s="50" t="s">
        <v>16450</v>
      </c>
      <c r="AL131" s="50" t="s">
        <v>16451</v>
      </c>
      <c r="AM131" s="50" t="s">
        <v>16452</v>
      </c>
      <c r="AN131" s="50" t="s">
        <v>16453</v>
      </c>
      <c r="AO131" s="50" t="s">
        <v>16454</v>
      </c>
      <c r="AP131" s="50" t="s">
        <v>16454</v>
      </c>
      <c r="AU131" s="50" t="s">
        <v>207</v>
      </c>
      <c r="AV131" s="50" t="s">
        <v>118</v>
      </c>
      <c r="AW131" s="50" t="s">
        <v>102</v>
      </c>
      <c r="AX131" s="50" t="s">
        <v>119</v>
      </c>
      <c r="BA131" s="50" t="s">
        <v>250</v>
      </c>
      <c r="BB131" s="50" t="s">
        <v>2565</v>
      </c>
      <c r="BC131" s="50" t="s">
        <v>409</v>
      </c>
      <c r="BD131" s="50" t="s">
        <v>410</v>
      </c>
      <c r="BE131" s="50" t="s">
        <v>212</v>
      </c>
      <c r="BF131" s="50" t="s">
        <v>410</v>
      </c>
      <c r="BG131" s="50" t="s">
        <v>124</v>
      </c>
      <c r="BH131" s="50" t="s">
        <v>11959</v>
      </c>
      <c r="BI131" s="50" t="s">
        <v>12276</v>
      </c>
      <c r="BJ131" s="50" t="s">
        <v>127</v>
      </c>
      <c r="BK131" s="50" t="s">
        <v>16455</v>
      </c>
      <c r="BL131" s="50" t="s">
        <v>6682</v>
      </c>
      <c r="BM131" s="50" t="s">
        <v>16456</v>
      </c>
      <c r="BN131" s="50" t="s">
        <v>3993</v>
      </c>
      <c r="BO131" s="50" t="s">
        <v>866</v>
      </c>
      <c r="BP131" s="50" t="s">
        <v>132</v>
      </c>
      <c r="BQ131" s="50" t="s">
        <v>867</v>
      </c>
      <c r="BR131" s="50" t="s">
        <v>868</v>
      </c>
      <c r="BS131" s="50" t="s">
        <v>418</v>
      </c>
      <c r="BU131" s="50" t="s">
        <v>16457</v>
      </c>
      <c r="BV131" s="50" t="s">
        <v>6562</v>
      </c>
      <c r="BW131" s="50" t="s">
        <v>138</v>
      </c>
      <c r="BX131" s="50" t="s">
        <v>6563</v>
      </c>
      <c r="BY131" s="50" t="s">
        <v>16406</v>
      </c>
      <c r="BZ131" s="50" t="s">
        <v>6563</v>
      </c>
      <c r="CA131" s="50" t="s">
        <v>16458</v>
      </c>
      <c r="CB131" s="50" t="s">
        <v>6563</v>
      </c>
      <c r="CC131" s="50" t="s">
        <v>16406</v>
      </c>
      <c r="CD131" s="50" t="s">
        <v>16459</v>
      </c>
      <c r="CE131" s="50" t="s">
        <v>16460</v>
      </c>
      <c r="CF131" s="50" t="s">
        <v>16461</v>
      </c>
      <c r="CG131" s="50" t="s">
        <v>102</v>
      </c>
      <c r="CH131" s="50" t="s">
        <v>6686</v>
      </c>
      <c r="CJ131" s="50" t="s">
        <v>6687</v>
      </c>
      <c r="CL131" s="50" t="s">
        <v>409</v>
      </c>
      <c r="CM131" s="50" t="s">
        <v>410</v>
      </c>
      <c r="CN131" s="50" t="s">
        <v>6687</v>
      </c>
      <c r="CO131" s="50" t="s">
        <v>6570</v>
      </c>
      <c r="CP131" s="50" t="s">
        <v>6686</v>
      </c>
      <c r="CQ131" s="50" t="s">
        <v>6686</v>
      </c>
    </row>
    <row r="132" spans="1:96">
      <c r="A132" s="95" t="s">
        <v>149</v>
      </c>
      <c r="B132" s="50">
        <v>391739</v>
      </c>
      <c r="C132" s="50" t="s">
        <v>11882</v>
      </c>
      <c r="D132" s="50" t="s">
        <v>7869</v>
      </c>
      <c r="E132" s="50" t="str">
        <f>VLOOKUP(B132,aa!B:F,5,0)</f>
        <v>Ei CARES, Ei Mindspark</v>
      </c>
      <c r="F132" s="50">
        <f>VLOOKUP(B132,aa!B:J,9,0)</f>
        <v>1713116</v>
      </c>
      <c r="G132" s="50">
        <f>VLOOKUP(B132,aa!B:L,11,0)</f>
        <v>0</v>
      </c>
      <c r="H132" s="50">
        <f>VLOOKUP(B132,aa!B:O,14,0)</f>
        <v>885519</v>
      </c>
      <c r="I132" s="50">
        <f>VLOOKUP(B132,aa!B:R,17,0)</f>
        <v>827597</v>
      </c>
      <c r="K132" s="50" t="s">
        <v>643</v>
      </c>
      <c r="L132" s="50">
        <v>1434876</v>
      </c>
      <c r="M132" s="50">
        <v>1575743</v>
      </c>
      <c r="N132" s="50">
        <v>0</v>
      </c>
      <c r="O132" s="50">
        <v>0</v>
      </c>
      <c r="Q132" s="50">
        <v>652284</v>
      </c>
      <c r="R132" s="50">
        <v>389</v>
      </c>
      <c r="S132" s="50" t="s">
        <v>17319</v>
      </c>
      <c r="T132" s="50">
        <v>782592</v>
      </c>
      <c r="U132" s="50">
        <v>313</v>
      </c>
      <c r="V132" s="50" t="s">
        <v>3499</v>
      </c>
      <c r="W132" s="50" t="s">
        <v>102</v>
      </c>
      <c r="X132" s="50" t="s">
        <v>103</v>
      </c>
      <c r="Y132" s="50" t="s">
        <v>104</v>
      </c>
      <c r="AA132" s="50" t="s">
        <v>8128</v>
      </c>
      <c r="AB132" s="50" t="s">
        <v>17320</v>
      </c>
      <c r="AC132" s="50" t="s">
        <v>17321</v>
      </c>
      <c r="AD132" s="50" t="s">
        <v>17322</v>
      </c>
      <c r="AE132" s="50" t="s">
        <v>109</v>
      </c>
      <c r="AF132" s="50" t="s">
        <v>102</v>
      </c>
      <c r="AG132" s="50" t="s">
        <v>109</v>
      </c>
      <c r="AH132" s="50" t="s">
        <v>102</v>
      </c>
      <c r="AI132" s="50" t="s">
        <v>17323</v>
      </c>
      <c r="AJ132" s="50" t="s">
        <v>12890</v>
      </c>
      <c r="AK132" s="50" t="s">
        <v>12890</v>
      </c>
      <c r="AL132" s="50" t="s">
        <v>17324</v>
      </c>
      <c r="AM132" s="50" t="s">
        <v>17325</v>
      </c>
      <c r="AN132" s="50" t="s">
        <v>17326</v>
      </c>
      <c r="AO132" s="50" t="s">
        <v>17327</v>
      </c>
      <c r="AP132" s="50" t="s">
        <v>17328</v>
      </c>
      <c r="AT132" s="50" t="s">
        <v>169</v>
      </c>
      <c r="AU132" s="50" t="s">
        <v>102</v>
      </c>
      <c r="AW132" s="50" t="s">
        <v>655</v>
      </c>
      <c r="AX132" s="50" t="s">
        <v>119</v>
      </c>
      <c r="AZ132" s="50" t="s">
        <v>250</v>
      </c>
      <c r="BA132" s="50" t="s">
        <v>250</v>
      </c>
      <c r="BB132" s="50" t="s">
        <v>120</v>
      </c>
      <c r="BC132" s="50" t="s">
        <v>3854</v>
      </c>
      <c r="BD132" s="50" t="s">
        <v>449</v>
      </c>
      <c r="BE132" s="50" t="s">
        <v>122</v>
      </c>
      <c r="BF132" s="50" t="s">
        <v>450</v>
      </c>
      <c r="BG132" s="50" t="s">
        <v>124</v>
      </c>
      <c r="BH132" s="50" t="s">
        <v>12023</v>
      </c>
      <c r="BI132" s="50" t="s">
        <v>11889</v>
      </c>
      <c r="BJ132" s="50" t="s">
        <v>127</v>
      </c>
      <c r="BK132" s="50" t="s">
        <v>17329</v>
      </c>
      <c r="BL132" s="50" t="s">
        <v>7881</v>
      </c>
      <c r="BM132" s="50" t="s">
        <v>17330</v>
      </c>
      <c r="BN132" s="50" t="s">
        <v>3993</v>
      </c>
      <c r="BO132" s="50" t="s">
        <v>3267</v>
      </c>
      <c r="BP132" s="50" t="s">
        <v>350</v>
      </c>
      <c r="BQ132" s="50" t="s">
        <v>3268</v>
      </c>
      <c r="BR132" s="50" t="s">
        <v>3269</v>
      </c>
      <c r="BS132" s="50" t="s">
        <v>328</v>
      </c>
      <c r="BU132" s="50" t="s">
        <v>17331</v>
      </c>
      <c r="BV132" s="50" t="s">
        <v>17332</v>
      </c>
      <c r="BW132" s="50" t="s">
        <v>354</v>
      </c>
      <c r="BX132" s="50" t="s">
        <v>7885</v>
      </c>
      <c r="BY132" s="50" t="s">
        <v>17333</v>
      </c>
      <c r="BZ132" s="50" t="s">
        <v>7887</v>
      </c>
      <c r="CA132" s="50" t="s">
        <v>17334</v>
      </c>
      <c r="CB132" s="50" t="s">
        <v>17335</v>
      </c>
      <c r="CC132" s="50" t="s">
        <v>17333</v>
      </c>
      <c r="CD132" s="50" t="s">
        <v>17336</v>
      </c>
      <c r="CE132" s="50" t="s">
        <v>17337</v>
      </c>
      <c r="CF132" s="50" t="s">
        <v>17338</v>
      </c>
      <c r="CG132" s="50" t="s">
        <v>102</v>
      </c>
      <c r="CH132" s="50" t="s">
        <v>17339</v>
      </c>
      <c r="CJ132" s="50" t="s">
        <v>4271</v>
      </c>
      <c r="CL132" s="50" t="s">
        <v>3854</v>
      </c>
      <c r="CM132" s="50" t="s">
        <v>449</v>
      </c>
      <c r="CN132" s="50" t="s">
        <v>4271</v>
      </c>
      <c r="CO132" s="50" t="s">
        <v>7889</v>
      </c>
      <c r="CP132" s="50" t="s">
        <v>7888</v>
      </c>
      <c r="CQ132" s="50" t="s">
        <v>7888</v>
      </c>
    </row>
    <row r="133" spans="1:96">
      <c r="A133" s="95" t="s">
        <v>149</v>
      </c>
      <c r="B133" s="50">
        <v>532393</v>
      </c>
      <c r="C133" s="50" t="s">
        <v>11898</v>
      </c>
      <c r="D133" s="50" t="s">
        <v>10986</v>
      </c>
      <c r="E133" s="50" t="str">
        <f>VLOOKUP(B133,aa!B:F,5,0)</f>
        <v>Ei ASSET,Ei CARES</v>
      </c>
      <c r="F133" s="50">
        <f>VLOOKUP(B133,aa!B:J,9,0)</f>
        <v>999095</v>
      </c>
      <c r="G133" s="50">
        <f>VLOOKUP(B133,aa!B:L,11,0)</f>
        <v>147892</v>
      </c>
      <c r="H133" s="50">
        <f>VLOOKUP(B133,aa!B:O,14,0)</f>
        <v>851203</v>
      </c>
      <c r="I133" s="50">
        <f>VLOOKUP(B133,aa!B:R,17,0)</f>
        <v>0</v>
      </c>
      <c r="K133" s="50" t="s">
        <v>152</v>
      </c>
      <c r="L133" s="50">
        <v>932467</v>
      </c>
      <c r="M133" s="50">
        <v>932467</v>
      </c>
      <c r="N133" s="50">
        <v>0</v>
      </c>
      <c r="O133" s="50">
        <v>0</v>
      </c>
      <c r="Q133" s="50">
        <v>932467</v>
      </c>
      <c r="R133" s="50">
        <v>666</v>
      </c>
      <c r="S133" s="50" t="s">
        <v>4289</v>
      </c>
      <c r="T133" s="50">
        <v>0</v>
      </c>
      <c r="U133" s="50">
        <v>0</v>
      </c>
      <c r="W133" s="50" t="s">
        <v>102</v>
      </c>
      <c r="X133" s="50" t="s">
        <v>103</v>
      </c>
      <c r="Y133" s="50" t="s">
        <v>155</v>
      </c>
      <c r="AA133" s="50" t="s">
        <v>1305</v>
      </c>
      <c r="AB133" s="50" t="s">
        <v>21060</v>
      </c>
      <c r="AC133" s="50" t="s">
        <v>13033</v>
      </c>
      <c r="AD133" s="50" t="s">
        <v>21060</v>
      </c>
      <c r="AE133" s="50" t="s">
        <v>13034</v>
      </c>
      <c r="AF133" s="50" t="s">
        <v>21060</v>
      </c>
      <c r="AG133" s="50" t="s">
        <v>11952</v>
      </c>
      <c r="AH133" s="50" t="s">
        <v>21060</v>
      </c>
      <c r="AI133" s="50" t="s">
        <v>21061</v>
      </c>
      <c r="AJ133" s="50" t="s">
        <v>17126</v>
      </c>
      <c r="AK133" s="50" t="s">
        <v>15141</v>
      </c>
      <c r="AL133" s="50" t="s">
        <v>21062</v>
      </c>
      <c r="AM133" s="50" t="s">
        <v>21063</v>
      </c>
      <c r="AN133" s="50" t="s">
        <v>21064</v>
      </c>
      <c r="AO133" s="50" t="s">
        <v>4298</v>
      </c>
      <c r="AP133" s="50" t="s">
        <v>4298</v>
      </c>
      <c r="AU133" s="50" t="s">
        <v>102</v>
      </c>
      <c r="AW133" s="50" t="s">
        <v>155</v>
      </c>
      <c r="AX133" s="50" t="s">
        <v>447</v>
      </c>
      <c r="AY133" s="50" t="s">
        <v>170</v>
      </c>
      <c r="AZ133" s="50" t="s">
        <v>118</v>
      </c>
      <c r="BB133" s="50" t="s">
        <v>120</v>
      </c>
      <c r="BC133" s="50" t="s">
        <v>10993</v>
      </c>
      <c r="BD133" s="50" t="s">
        <v>320</v>
      </c>
      <c r="BE133" s="50" t="s">
        <v>122</v>
      </c>
      <c r="BF133" s="50" t="s">
        <v>123</v>
      </c>
      <c r="BG133" s="50" t="s">
        <v>124</v>
      </c>
      <c r="BH133" s="50" t="s">
        <v>12023</v>
      </c>
      <c r="BI133" s="50" t="s">
        <v>11889</v>
      </c>
      <c r="BJ133" s="50" t="s">
        <v>127</v>
      </c>
      <c r="BK133" s="50" t="s">
        <v>21065</v>
      </c>
      <c r="BL133" s="50" t="s">
        <v>10995</v>
      </c>
      <c r="BM133" s="50" t="s">
        <v>21066</v>
      </c>
      <c r="BN133" s="50" t="s">
        <v>3993</v>
      </c>
      <c r="BO133" s="50" t="s">
        <v>593</v>
      </c>
      <c r="BP133" s="50" t="s">
        <v>132</v>
      </c>
      <c r="BQ133" s="50" t="s">
        <v>594</v>
      </c>
      <c r="BR133" s="50" t="s">
        <v>595</v>
      </c>
      <c r="BS133" s="50" t="s">
        <v>261</v>
      </c>
      <c r="BU133" s="50" t="s">
        <v>21067</v>
      </c>
      <c r="BV133" s="50" t="s">
        <v>10998</v>
      </c>
      <c r="BW133" s="50" t="s">
        <v>354</v>
      </c>
      <c r="BX133" s="50" t="s">
        <v>10999</v>
      </c>
      <c r="BY133" s="50" t="s">
        <v>11000</v>
      </c>
      <c r="BZ133" s="50" t="s">
        <v>11001</v>
      </c>
      <c r="CA133" s="50" t="s">
        <v>10998</v>
      </c>
      <c r="CB133" s="50" t="s">
        <v>11001</v>
      </c>
      <c r="CC133" s="50" t="s">
        <v>11000</v>
      </c>
      <c r="CD133" s="50" t="s">
        <v>11004</v>
      </c>
      <c r="CE133" s="50" t="s">
        <v>21068</v>
      </c>
      <c r="CF133" s="50" t="s">
        <v>11005</v>
      </c>
      <c r="CG133" s="50" t="s">
        <v>11006</v>
      </c>
      <c r="CH133" s="50" t="s">
        <v>21069</v>
      </c>
      <c r="CJ133" s="50" t="s">
        <v>11008</v>
      </c>
      <c r="CK133" s="50" t="s">
        <v>21070</v>
      </c>
      <c r="CL133" s="50" t="s">
        <v>10993</v>
      </c>
      <c r="CM133" s="50" t="s">
        <v>320</v>
      </c>
      <c r="CN133" s="50" t="s">
        <v>11008</v>
      </c>
      <c r="CO133" s="50" t="s">
        <v>11009</v>
      </c>
      <c r="CP133" s="50" t="s">
        <v>11007</v>
      </c>
      <c r="CQ133" s="50" t="s">
        <v>11007</v>
      </c>
    </row>
    <row r="134" spans="1:96">
      <c r="A134" s="50" t="s">
        <v>93</v>
      </c>
      <c r="B134" s="50">
        <v>5023577</v>
      </c>
      <c r="C134" s="50" t="s">
        <v>3562</v>
      </c>
      <c r="D134" s="50" t="s">
        <v>20129</v>
      </c>
      <c r="E134" s="50" t="e">
        <f>VLOOKUP(B134,aa!B:F,5,0)</f>
        <v>#N/A</v>
      </c>
      <c r="F134" s="50" t="e">
        <f>VLOOKUP(B134,aa!B:J,9,0)</f>
        <v>#N/A</v>
      </c>
      <c r="G134" s="50" t="e">
        <f>VLOOKUP(B134,aa!B:L,11,0)</f>
        <v>#N/A</v>
      </c>
      <c r="H134" s="50" t="e">
        <f>VLOOKUP(B134,aa!B:O,14,0)</f>
        <v>#N/A</v>
      </c>
      <c r="I134" s="50" t="e">
        <f>VLOOKUP(B134,aa!B:R,17,0)</f>
        <v>#N/A</v>
      </c>
      <c r="K134" s="50" t="s">
        <v>152</v>
      </c>
      <c r="L134" s="50">
        <v>465062</v>
      </c>
      <c r="M134" s="50">
        <v>465062</v>
      </c>
      <c r="N134" s="50">
        <v>0</v>
      </c>
      <c r="O134" s="50">
        <v>0</v>
      </c>
      <c r="Q134" s="50">
        <v>465062</v>
      </c>
      <c r="R134" s="50">
        <v>310</v>
      </c>
      <c r="S134" s="50" t="s">
        <v>6441</v>
      </c>
      <c r="T134" s="50">
        <v>0</v>
      </c>
      <c r="U134" s="50">
        <v>0</v>
      </c>
      <c r="W134" s="50" t="s">
        <v>102</v>
      </c>
      <c r="X134" s="50" t="s">
        <v>103</v>
      </c>
      <c r="Y134" s="50" t="s">
        <v>104</v>
      </c>
      <c r="AA134" s="50" t="s">
        <v>7719</v>
      </c>
      <c r="AB134" s="50" t="s">
        <v>20130</v>
      </c>
      <c r="AC134" s="50" t="s">
        <v>9814</v>
      </c>
      <c r="AD134" s="50" t="s">
        <v>20130</v>
      </c>
      <c r="AE134" s="50" t="s">
        <v>109</v>
      </c>
      <c r="AF134" s="50" t="s">
        <v>102</v>
      </c>
      <c r="AG134" s="50" t="s">
        <v>109</v>
      </c>
      <c r="AH134" s="50" t="s">
        <v>102</v>
      </c>
      <c r="AI134" s="50" t="s">
        <v>4425</v>
      </c>
      <c r="AJ134" s="50" t="s">
        <v>857</v>
      </c>
      <c r="AK134" s="50" t="s">
        <v>13344</v>
      </c>
      <c r="AL134" s="50" t="s">
        <v>20131</v>
      </c>
      <c r="AM134" s="50" t="s">
        <v>20132</v>
      </c>
      <c r="AN134" s="50" t="s">
        <v>20133</v>
      </c>
      <c r="AO134" s="50" t="s">
        <v>6447</v>
      </c>
      <c r="AP134" s="50" t="s">
        <v>6447</v>
      </c>
      <c r="AU134" s="50" t="s">
        <v>102</v>
      </c>
      <c r="AW134" s="50" t="s">
        <v>155</v>
      </c>
      <c r="AX134" s="50" t="s">
        <v>119</v>
      </c>
      <c r="AY134" s="50" t="s">
        <v>170</v>
      </c>
      <c r="AZ134" s="50" t="s">
        <v>118</v>
      </c>
      <c r="BB134" s="50" t="s">
        <v>10399</v>
      </c>
      <c r="BC134" s="50" t="s">
        <v>20134</v>
      </c>
      <c r="BD134" s="50" t="s">
        <v>730</v>
      </c>
      <c r="BE134" s="50" t="s">
        <v>622</v>
      </c>
      <c r="BF134" s="50" t="s">
        <v>730</v>
      </c>
      <c r="BG134" s="50" t="s">
        <v>124</v>
      </c>
      <c r="BH134" s="50" t="s">
        <v>12023</v>
      </c>
      <c r="BI134" s="50" t="s">
        <v>11889</v>
      </c>
      <c r="BJ134" s="50" t="s">
        <v>127</v>
      </c>
      <c r="BK134" s="50" t="s">
        <v>20135</v>
      </c>
      <c r="BL134" s="50" t="s">
        <v>20136</v>
      </c>
      <c r="BM134" s="50" t="s">
        <v>20137</v>
      </c>
      <c r="BN134" s="50" t="s">
        <v>8128</v>
      </c>
      <c r="BO134" s="50" t="s">
        <v>5197</v>
      </c>
      <c r="BP134" s="50" t="s">
        <v>350</v>
      </c>
      <c r="BQ134" s="50" t="s">
        <v>5198</v>
      </c>
      <c r="BR134" s="50" t="s">
        <v>5199</v>
      </c>
      <c r="BS134" s="50" t="s">
        <v>2331</v>
      </c>
      <c r="BU134" s="50" t="s">
        <v>20138</v>
      </c>
      <c r="BV134" s="50" t="s">
        <v>20139</v>
      </c>
      <c r="BW134" s="50" t="s">
        <v>138</v>
      </c>
      <c r="BX134" s="50" t="s">
        <v>20140</v>
      </c>
      <c r="BY134" s="50" t="s">
        <v>20141</v>
      </c>
      <c r="BZ134" s="50" t="s">
        <v>20140</v>
      </c>
      <c r="CA134" s="50" t="s">
        <v>20142</v>
      </c>
      <c r="CB134" s="50" t="s">
        <v>20143</v>
      </c>
      <c r="CC134" s="50" t="s">
        <v>20144</v>
      </c>
      <c r="CD134" s="50" t="s">
        <v>20145</v>
      </c>
      <c r="CE134" s="50" t="s">
        <v>20143</v>
      </c>
      <c r="CF134" s="50" t="s">
        <v>20146</v>
      </c>
      <c r="CG134" s="50" t="s">
        <v>8459</v>
      </c>
      <c r="CH134" s="50" t="s">
        <v>20147</v>
      </c>
      <c r="CJ134" s="50" t="s">
        <v>20148</v>
      </c>
      <c r="CL134" s="50" t="s">
        <v>20134</v>
      </c>
      <c r="CM134" s="50" t="s">
        <v>730</v>
      </c>
      <c r="CN134" s="50" t="s">
        <v>20148</v>
      </c>
      <c r="CO134" s="50" t="s">
        <v>20149</v>
      </c>
      <c r="CP134" s="50" t="s">
        <v>20150</v>
      </c>
      <c r="CQ134" s="50" t="s">
        <v>20150</v>
      </c>
    </row>
    <row r="135" spans="1:96">
      <c r="A135" s="95" t="s">
        <v>149</v>
      </c>
      <c r="B135" s="50">
        <v>177663</v>
      </c>
      <c r="C135" s="50" t="s">
        <v>12096</v>
      </c>
      <c r="D135" s="50" t="s">
        <v>1813</v>
      </c>
      <c r="E135" s="50" t="str">
        <f>VLOOKUP(B135,aa!B:F,5,0)</f>
        <v>Ei ASSET</v>
      </c>
      <c r="F135" s="50">
        <f>VLOOKUP(B135,aa!B:J,9,0)</f>
        <v>565587</v>
      </c>
      <c r="G135" s="50">
        <f>VLOOKUP(B135,aa!B:L,11,0)</f>
        <v>565587</v>
      </c>
      <c r="H135" s="50">
        <f>VLOOKUP(B135,aa!B:O,14,0)</f>
        <v>0</v>
      </c>
      <c r="I135" s="50">
        <f>VLOOKUP(B135,aa!B:R,17,0)</f>
        <v>0</v>
      </c>
      <c r="K135" s="50" t="s">
        <v>97</v>
      </c>
      <c r="L135" s="50">
        <v>424500</v>
      </c>
      <c r="M135" s="50">
        <v>424500</v>
      </c>
      <c r="N135" s="50">
        <v>424500</v>
      </c>
      <c r="O135" s="50">
        <v>566</v>
      </c>
      <c r="P135" s="50" t="s">
        <v>101</v>
      </c>
      <c r="Q135" s="50">
        <v>0</v>
      </c>
      <c r="R135" s="50">
        <v>0</v>
      </c>
      <c r="T135" s="50">
        <v>0</v>
      </c>
      <c r="U135" s="50">
        <v>0</v>
      </c>
      <c r="W135" s="50" t="s">
        <v>102</v>
      </c>
      <c r="X135" s="50" t="s">
        <v>103</v>
      </c>
      <c r="Y135" s="50" t="s">
        <v>398</v>
      </c>
      <c r="AA135" s="50" t="s">
        <v>6341</v>
      </c>
      <c r="AB135" s="50" t="s">
        <v>12922</v>
      </c>
      <c r="AC135" s="50" t="s">
        <v>12923</v>
      </c>
      <c r="AD135" s="50" t="s">
        <v>12922</v>
      </c>
      <c r="AE135" s="50" t="s">
        <v>12467</v>
      </c>
      <c r="AF135" s="50" t="s">
        <v>12924</v>
      </c>
      <c r="AG135" s="50" t="s">
        <v>109</v>
      </c>
      <c r="AH135" s="50" t="s">
        <v>102</v>
      </c>
      <c r="AI135" s="50" t="s">
        <v>12925</v>
      </c>
      <c r="AJ135" s="50" t="s">
        <v>12926</v>
      </c>
      <c r="AK135" s="50" t="s">
        <v>12927</v>
      </c>
      <c r="AL135" s="50" t="s">
        <v>12928</v>
      </c>
      <c r="AM135" s="50" t="s">
        <v>12929</v>
      </c>
      <c r="AN135" s="50" t="s">
        <v>12930</v>
      </c>
      <c r="AO135" s="50" t="s">
        <v>116</v>
      </c>
      <c r="AP135" s="50" t="s">
        <v>116</v>
      </c>
      <c r="AU135" s="50" t="s">
        <v>318</v>
      </c>
      <c r="AV135" s="50" t="s">
        <v>118</v>
      </c>
      <c r="AW135" s="50" t="s">
        <v>102</v>
      </c>
      <c r="AX135" s="50" t="s">
        <v>119</v>
      </c>
      <c r="BB135" s="50" t="s">
        <v>171</v>
      </c>
      <c r="BC135" s="50" t="s">
        <v>375</v>
      </c>
      <c r="BD135" s="50" t="s">
        <v>376</v>
      </c>
      <c r="BE135" s="50" t="s">
        <v>174</v>
      </c>
      <c r="BF135" s="50" t="s">
        <v>376</v>
      </c>
      <c r="BG135" s="50" t="s">
        <v>124</v>
      </c>
      <c r="BH135" s="50" t="s">
        <v>11959</v>
      </c>
      <c r="BI135" s="50" t="s">
        <v>12931</v>
      </c>
      <c r="BJ135" s="50" t="s">
        <v>127</v>
      </c>
      <c r="BK135" s="50" t="s">
        <v>12932</v>
      </c>
      <c r="BL135" s="50" t="s">
        <v>1829</v>
      </c>
      <c r="BM135" s="50" t="s">
        <v>12933</v>
      </c>
      <c r="BN135" s="50" t="s">
        <v>4665</v>
      </c>
      <c r="BO135" s="50" t="s">
        <v>12934</v>
      </c>
      <c r="BP135" s="50" t="s">
        <v>180</v>
      </c>
      <c r="BQ135" s="50" t="s">
        <v>12935</v>
      </c>
      <c r="BR135" s="50" t="s">
        <v>12936</v>
      </c>
      <c r="BS135" s="50" t="s">
        <v>1834</v>
      </c>
      <c r="BU135" s="50" t="s">
        <v>12937</v>
      </c>
      <c r="BV135" s="50" t="s">
        <v>12938</v>
      </c>
      <c r="BW135" s="50" t="s">
        <v>138</v>
      </c>
      <c r="BX135" s="50" t="s">
        <v>1839</v>
      </c>
      <c r="BY135" s="50" t="s">
        <v>1838</v>
      </c>
      <c r="BZ135" s="50" t="s">
        <v>1839</v>
      </c>
      <c r="CA135" s="50" t="s">
        <v>12939</v>
      </c>
      <c r="CB135" s="50" t="s">
        <v>1839</v>
      </c>
      <c r="CC135" s="50" t="s">
        <v>1838</v>
      </c>
      <c r="CD135" s="50" t="s">
        <v>12940</v>
      </c>
      <c r="CE135" s="50" t="s">
        <v>1839</v>
      </c>
      <c r="CF135" s="50" t="s">
        <v>12941</v>
      </c>
      <c r="CG135" s="50" t="s">
        <v>334</v>
      </c>
      <c r="CH135" s="50" t="s">
        <v>1841</v>
      </c>
      <c r="CJ135" s="50" t="s">
        <v>1842</v>
      </c>
      <c r="CK135" s="50" t="s">
        <v>1841</v>
      </c>
      <c r="CL135" s="50" t="s">
        <v>375</v>
      </c>
      <c r="CM135" s="50" t="s">
        <v>376</v>
      </c>
      <c r="CN135" s="50" t="s">
        <v>1842</v>
      </c>
      <c r="CO135" s="50" t="s">
        <v>1843</v>
      </c>
      <c r="CP135" s="50" t="s">
        <v>1841</v>
      </c>
      <c r="CQ135" s="50" t="s">
        <v>1841</v>
      </c>
    </row>
    <row r="136" spans="1:96">
      <c r="A136" s="50" t="s">
        <v>93</v>
      </c>
      <c r="B136" s="50">
        <v>188264</v>
      </c>
      <c r="C136" s="50" t="s">
        <v>418</v>
      </c>
      <c r="D136" s="50" t="s">
        <v>13124</v>
      </c>
      <c r="E136" s="50" t="e">
        <f>VLOOKUP(B136,aa!B:F,5,0)</f>
        <v>#N/A</v>
      </c>
      <c r="F136" s="50" t="e">
        <f>VLOOKUP(B136,aa!B:J,9,0)</f>
        <v>#N/A</v>
      </c>
      <c r="G136" s="50" t="e">
        <f>VLOOKUP(B136,aa!B:L,11,0)</f>
        <v>#N/A</v>
      </c>
      <c r="H136" s="50" t="e">
        <f>VLOOKUP(B136,aa!B:O,14,0)</f>
        <v>#N/A</v>
      </c>
      <c r="I136" s="50" t="e">
        <f>VLOOKUP(B136,aa!B:R,17,0)</f>
        <v>#N/A</v>
      </c>
      <c r="K136" s="50" t="s">
        <v>97</v>
      </c>
      <c r="L136" s="50">
        <v>428534</v>
      </c>
      <c r="M136" s="50">
        <v>428534</v>
      </c>
      <c r="N136" s="50">
        <v>428534</v>
      </c>
      <c r="O136" s="50">
        <v>857</v>
      </c>
      <c r="P136" s="50" t="s">
        <v>364</v>
      </c>
      <c r="Q136" s="50">
        <v>0</v>
      </c>
      <c r="R136" s="50">
        <v>0</v>
      </c>
      <c r="T136" s="50">
        <v>0</v>
      </c>
      <c r="U136" s="50">
        <v>0</v>
      </c>
      <c r="W136" s="50" t="s">
        <v>102</v>
      </c>
      <c r="X136" s="50" t="s">
        <v>103</v>
      </c>
      <c r="Y136" s="50" t="s">
        <v>104</v>
      </c>
      <c r="AA136" s="50" t="s">
        <v>6341</v>
      </c>
      <c r="AB136" s="50" t="s">
        <v>13125</v>
      </c>
      <c r="AC136" s="50" t="s">
        <v>411</v>
      </c>
      <c r="AD136" s="50" t="s">
        <v>13126</v>
      </c>
      <c r="AE136" s="50" t="s">
        <v>109</v>
      </c>
      <c r="AF136" s="50" t="s">
        <v>102</v>
      </c>
      <c r="AG136" s="50" t="s">
        <v>109</v>
      </c>
      <c r="AH136" s="50" t="s">
        <v>102</v>
      </c>
      <c r="AI136" s="50" t="s">
        <v>13127</v>
      </c>
      <c r="AJ136" s="50" t="s">
        <v>6341</v>
      </c>
      <c r="AK136" s="50" t="s">
        <v>6341</v>
      </c>
      <c r="AL136" s="50" t="s">
        <v>13128</v>
      </c>
      <c r="AM136" s="50" t="s">
        <v>13129</v>
      </c>
      <c r="AN136" s="50" t="s">
        <v>13130</v>
      </c>
      <c r="AO136" s="50" t="s">
        <v>1785</v>
      </c>
      <c r="AP136" s="50" t="s">
        <v>1785</v>
      </c>
      <c r="AU136" s="50" t="s">
        <v>318</v>
      </c>
      <c r="AV136" s="50" t="s">
        <v>250</v>
      </c>
      <c r="AW136" s="50" t="s">
        <v>102</v>
      </c>
      <c r="AX136" s="50" t="s">
        <v>119</v>
      </c>
      <c r="BB136" s="50" t="s">
        <v>120</v>
      </c>
      <c r="BC136" s="50" t="s">
        <v>409</v>
      </c>
      <c r="BD136" s="50" t="s">
        <v>410</v>
      </c>
      <c r="BE136" s="50" t="s">
        <v>212</v>
      </c>
      <c r="BF136" s="50" t="s">
        <v>410</v>
      </c>
      <c r="BG136" s="50" t="s">
        <v>124</v>
      </c>
      <c r="BH136" s="50" t="s">
        <v>6918</v>
      </c>
      <c r="BI136" s="50" t="s">
        <v>13131</v>
      </c>
      <c r="BJ136" s="50" t="s">
        <v>127</v>
      </c>
      <c r="BK136" s="50" t="s">
        <v>13132</v>
      </c>
      <c r="BL136" s="50" t="s">
        <v>13133</v>
      </c>
      <c r="BM136" s="50" t="s">
        <v>13134</v>
      </c>
      <c r="BN136" s="50" t="s">
        <v>4665</v>
      </c>
      <c r="BO136" s="50" t="s">
        <v>1699</v>
      </c>
      <c r="BP136" s="50" t="s">
        <v>132</v>
      </c>
      <c r="BQ136" s="50" t="s">
        <v>1700</v>
      </c>
      <c r="BR136" s="50" t="s">
        <v>1701</v>
      </c>
      <c r="BS136" s="50" t="s">
        <v>1702</v>
      </c>
      <c r="BU136" s="50" t="s">
        <v>13135</v>
      </c>
      <c r="BV136" s="50" t="s">
        <v>13136</v>
      </c>
      <c r="BW136" s="50" t="s">
        <v>598</v>
      </c>
      <c r="BX136" s="50" t="s">
        <v>13137</v>
      </c>
      <c r="BY136" s="50" t="s">
        <v>13138</v>
      </c>
      <c r="BZ136" s="50" t="s">
        <v>13137</v>
      </c>
      <c r="CA136" s="50" t="s">
        <v>13139</v>
      </c>
      <c r="CB136" s="50" t="s">
        <v>13137</v>
      </c>
      <c r="CC136" s="50" t="s">
        <v>13140</v>
      </c>
      <c r="CD136" s="50" t="s">
        <v>13141</v>
      </c>
      <c r="CE136" s="50" t="s">
        <v>13137</v>
      </c>
      <c r="CF136" s="50" t="s">
        <v>13138</v>
      </c>
      <c r="CG136" s="50" t="s">
        <v>4937</v>
      </c>
      <c r="CH136" s="50" t="s">
        <v>13142</v>
      </c>
      <c r="CJ136" s="50" t="s">
        <v>428</v>
      </c>
      <c r="CK136" s="50" t="s">
        <v>13142</v>
      </c>
      <c r="CL136" s="50" t="s">
        <v>409</v>
      </c>
      <c r="CM136" s="50" t="s">
        <v>410</v>
      </c>
      <c r="CN136" s="50" t="s">
        <v>428</v>
      </c>
      <c r="CP136" s="50" t="s">
        <v>13142</v>
      </c>
      <c r="CQ136" s="50" t="s">
        <v>13142</v>
      </c>
      <c r="CR136" s="50" t="s">
        <v>26044</v>
      </c>
    </row>
    <row r="137" spans="1:96">
      <c r="A137" s="50" t="s">
        <v>93</v>
      </c>
      <c r="B137" s="50">
        <v>3795896</v>
      </c>
      <c r="C137" s="50" t="s">
        <v>12423</v>
      </c>
      <c r="D137" s="50" t="s">
        <v>16999</v>
      </c>
      <c r="E137" s="50" t="e">
        <f>VLOOKUP(B137,aa!B:F,5,0)</f>
        <v>#N/A</v>
      </c>
      <c r="F137" s="50" t="e">
        <f>VLOOKUP(B137,aa!B:J,9,0)</f>
        <v>#N/A</v>
      </c>
      <c r="G137" s="50" t="e">
        <f>VLOOKUP(B137,aa!B:L,11,0)</f>
        <v>#N/A</v>
      </c>
      <c r="H137" s="50" t="e">
        <f>VLOOKUP(B137,aa!B:O,14,0)</f>
        <v>#N/A</v>
      </c>
      <c r="I137" s="50" t="e">
        <f>VLOOKUP(B137,aa!B:R,17,0)</f>
        <v>#N/A</v>
      </c>
      <c r="K137" s="50" t="s">
        <v>848</v>
      </c>
      <c r="L137" s="50">
        <v>697592</v>
      </c>
      <c r="M137" s="50">
        <v>823159</v>
      </c>
      <c r="N137" s="50">
        <v>0</v>
      </c>
      <c r="O137" s="50">
        <v>0</v>
      </c>
      <c r="Q137" s="50">
        <v>0</v>
      </c>
      <c r="R137" s="50">
        <v>0</v>
      </c>
      <c r="T137" s="50">
        <v>697592</v>
      </c>
      <c r="U137" s="50">
        <v>686</v>
      </c>
      <c r="V137" s="50" t="s">
        <v>3924</v>
      </c>
      <c r="W137" s="50" t="s">
        <v>102</v>
      </c>
      <c r="X137" s="50" t="s">
        <v>103</v>
      </c>
      <c r="Y137" s="50" t="s">
        <v>155</v>
      </c>
      <c r="AA137" s="50" t="s">
        <v>4665</v>
      </c>
      <c r="AB137" s="50" t="s">
        <v>17000</v>
      </c>
      <c r="AC137" s="50" t="s">
        <v>8708</v>
      </c>
      <c r="AD137" s="50" t="s">
        <v>17000</v>
      </c>
      <c r="AE137" s="50" t="s">
        <v>12427</v>
      </c>
      <c r="AF137" s="50" t="s">
        <v>17000</v>
      </c>
      <c r="AG137" s="50" t="s">
        <v>11886</v>
      </c>
      <c r="AH137" s="50" t="s">
        <v>17000</v>
      </c>
      <c r="AI137" s="50" t="s">
        <v>102</v>
      </c>
      <c r="AJ137" s="50" t="s">
        <v>8128</v>
      </c>
      <c r="AK137" s="50" t="s">
        <v>12859</v>
      </c>
      <c r="AL137" s="50" t="s">
        <v>17001</v>
      </c>
      <c r="AM137" s="50" t="s">
        <v>17002</v>
      </c>
      <c r="AN137" s="50" t="s">
        <v>17003</v>
      </c>
      <c r="AO137" s="50" t="s">
        <v>2307</v>
      </c>
      <c r="AP137" s="50" t="s">
        <v>2307</v>
      </c>
      <c r="AU137" s="50" t="s">
        <v>102</v>
      </c>
      <c r="AW137" s="50" t="s">
        <v>102</v>
      </c>
      <c r="AX137" s="50" t="s">
        <v>119</v>
      </c>
      <c r="BA137" s="50" t="s">
        <v>250</v>
      </c>
      <c r="BB137" s="50" t="s">
        <v>120</v>
      </c>
      <c r="BC137" s="50" t="s">
        <v>8240</v>
      </c>
      <c r="BD137" s="50" t="s">
        <v>410</v>
      </c>
      <c r="BE137" s="50" t="s">
        <v>212</v>
      </c>
      <c r="BF137" s="50" t="s">
        <v>410</v>
      </c>
      <c r="BG137" s="50" t="s">
        <v>124</v>
      </c>
      <c r="BH137" s="50" t="s">
        <v>2950</v>
      </c>
      <c r="BI137" s="50" t="s">
        <v>11960</v>
      </c>
      <c r="BJ137" s="50" t="s">
        <v>127</v>
      </c>
      <c r="BK137" s="50" t="s">
        <v>17004</v>
      </c>
      <c r="BL137" s="50" t="s">
        <v>17005</v>
      </c>
      <c r="BM137" s="50" t="s">
        <v>17006</v>
      </c>
      <c r="BN137" s="50" t="s">
        <v>4665</v>
      </c>
      <c r="BO137" s="50" t="s">
        <v>896</v>
      </c>
      <c r="BP137" s="50" t="s">
        <v>132</v>
      </c>
      <c r="BQ137" s="50" t="s">
        <v>897</v>
      </c>
      <c r="BR137" s="50" t="s">
        <v>898</v>
      </c>
      <c r="BS137" s="50" t="s">
        <v>899</v>
      </c>
      <c r="BU137" s="50" t="s">
        <v>17007</v>
      </c>
      <c r="BV137" s="50" t="s">
        <v>17008</v>
      </c>
      <c r="BW137" s="50" t="s">
        <v>354</v>
      </c>
      <c r="BX137" s="50" t="s">
        <v>17009</v>
      </c>
      <c r="BY137" s="50" t="s">
        <v>17010</v>
      </c>
      <c r="BZ137" s="50" t="s">
        <v>17011</v>
      </c>
      <c r="CA137" s="50" t="s">
        <v>17012</v>
      </c>
      <c r="CB137" s="50" t="s">
        <v>17009</v>
      </c>
      <c r="CC137" s="50" t="s">
        <v>17010</v>
      </c>
      <c r="CD137" s="50" t="s">
        <v>17013</v>
      </c>
      <c r="CE137" s="50" t="s">
        <v>17009</v>
      </c>
      <c r="CF137" s="50" t="s">
        <v>17010</v>
      </c>
      <c r="CG137" s="50" t="s">
        <v>907</v>
      </c>
      <c r="CH137" s="50" t="s">
        <v>17014</v>
      </c>
      <c r="CJ137" s="50" t="s">
        <v>17015</v>
      </c>
      <c r="CK137" s="50" t="s">
        <v>17016</v>
      </c>
      <c r="CL137" s="50" t="s">
        <v>8240</v>
      </c>
      <c r="CM137" s="50" t="s">
        <v>410</v>
      </c>
      <c r="CN137" s="50" t="s">
        <v>17015</v>
      </c>
      <c r="CP137" s="50" t="s">
        <v>17017</v>
      </c>
      <c r="CQ137" s="50" t="s">
        <v>17016</v>
      </c>
      <c r="CR137" s="50" t="s">
        <v>26044</v>
      </c>
    </row>
    <row r="138" spans="1:96">
      <c r="A138" s="95" t="s">
        <v>149</v>
      </c>
      <c r="B138" s="50">
        <v>437634</v>
      </c>
      <c r="C138" s="50" t="s">
        <v>3562</v>
      </c>
      <c r="D138" s="50" t="s">
        <v>8946</v>
      </c>
      <c r="E138" s="50" t="str">
        <f>VLOOKUP(B138,aa!B:F,5,0)</f>
        <v>Ei CARES</v>
      </c>
      <c r="F138" s="50">
        <f>VLOOKUP(B138,aa!B:J,9,0)</f>
        <v>1000288</v>
      </c>
      <c r="G138" s="50">
        <f>VLOOKUP(B138,aa!B:L,11,0)</f>
        <v>0</v>
      </c>
      <c r="H138" s="50">
        <f>VLOOKUP(B138,aa!B:O,14,0)</f>
        <v>1000288</v>
      </c>
      <c r="I138" s="50">
        <f>VLOOKUP(B138,aa!B:R,17,0)</f>
        <v>0</v>
      </c>
      <c r="K138" s="50" t="s">
        <v>152</v>
      </c>
      <c r="L138" s="50">
        <v>1002047</v>
      </c>
      <c r="M138" s="50">
        <v>1002047</v>
      </c>
      <c r="N138" s="50">
        <v>0</v>
      </c>
      <c r="O138" s="50">
        <v>0</v>
      </c>
      <c r="Q138" s="50">
        <v>1002047</v>
      </c>
      <c r="R138" s="50">
        <v>2419</v>
      </c>
      <c r="S138" s="50" t="s">
        <v>18324</v>
      </c>
      <c r="T138" s="50">
        <v>0</v>
      </c>
      <c r="U138" s="50">
        <v>0</v>
      </c>
      <c r="W138" s="50" t="s">
        <v>102</v>
      </c>
      <c r="X138" s="50" t="s">
        <v>103</v>
      </c>
      <c r="Y138" s="50" t="s">
        <v>104</v>
      </c>
      <c r="AA138" s="50" t="s">
        <v>1941</v>
      </c>
      <c r="AB138" s="50" t="s">
        <v>18325</v>
      </c>
      <c r="AC138" s="50" t="s">
        <v>12800</v>
      </c>
      <c r="AD138" s="50" t="s">
        <v>18326</v>
      </c>
      <c r="AE138" s="50" t="s">
        <v>109</v>
      </c>
      <c r="AF138" s="50" t="s">
        <v>102</v>
      </c>
      <c r="AG138" s="50" t="s">
        <v>109</v>
      </c>
      <c r="AH138" s="50" t="s">
        <v>102</v>
      </c>
      <c r="AI138" s="50" t="s">
        <v>907</v>
      </c>
      <c r="AJ138" s="50" t="s">
        <v>13036</v>
      </c>
      <c r="AK138" s="50" t="s">
        <v>13340</v>
      </c>
      <c r="AL138" s="50" t="s">
        <v>18327</v>
      </c>
      <c r="AM138" s="50" t="s">
        <v>8952</v>
      </c>
      <c r="AN138" s="50" t="s">
        <v>18328</v>
      </c>
      <c r="AO138" s="50" t="s">
        <v>18329</v>
      </c>
      <c r="AP138" s="50" t="s">
        <v>18329</v>
      </c>
      <c r="AU138" s="50" t="s">
        <v>102</v>
      </c>
      <c r="AW138" s="50" t="s">
        <v>155</v>
      </c>
      <c r="AX138" s="50" t="s">
        <v>119</v>
      </c>
      <c r="AY138" s="50" t="s">
        <v>1138</v>
      </c>
      <c r="AZ138" s="50" t="s">
        <v>250</v>
      </c>
      <c r="BB138" s="50" t="s">
        <v>120</v>
      </c>
      <c r="BC138" s="50" t="s">
        <v>3714</v>
      </c>
      <c r="BD138" s="50" t="s">
        <v>730</v>
      </c>
      <c r="BE138" s="50" t="s">
        <v>622</v>
      </c>
      <c r="BF138" s="50" t="s">
        <v>730</v>
      </c>
      <c r="BG138" s="50" t="s">
        <v>124</v>
      </c>
      <c r="BH138" s="50" t="s">
        <v>12023</v>
      </c>
      <c r="BI138" s="50" t="s">
        <v>11889</v>
      </c>
      <c r="BJ138" s="50" t="s">
        <v>127</v>
      </c>
      <c r="BK138" s="50" t="s">
        <v>18330</v>
      </c>
      <c r="BL138" s="50" t="s">
        <v>8956</v>
      </c>
      <c r="BM138" s="50" t="s">
        <v>18331</v>
      </c>
      <c r="BN138" s="50" t="s">
        <v>857</v>
      </c>
      <c r="BO138" s="50" t="s">
        <v>3910</v>
      </c>
      <c r="BP138" s="50" t="s">
        <v>505</v>
      </c>
      <c r="BQ138" s="50" t="s">
        <v>3911</v>
      </c>
      <c r="BR138" s="50" t="s">
        <v>3912</v>
      </c>
      <c r="BS138" s="50" t="s">
        <v>2569</v>
      </c>
      <c r="BU138" s="50" t="s">
        <v>18332</v>
      </c>
      <c r="BV138" s="50" t="s">
        <v>8959</v>
      </c>
      <c r="BW138" s="50" t="s">
        <v>138</v>
      </c>
      <c r="BX138" s="50" t="s">
        <v>8960</v>
      </c>
      <c r="BY138" s="50" t="s">
        <v>10288</v>
      </c>
      <c r="BZ138" s="50" t="s">
        <v>8962</v>
      </c>
      <c r="CA138" s="50" t="s">
        <v>8959</v>
      </c>
      <c r="CB138" s="50" t="s">
        <v>18333</v>
      </c>
      <c r="CC138" s="50" t="s">
        <v>18334</v>
      </c>
      <c r="CD138" s="50" t="s">
        <v>8959</v>
      </c>
      <c r="CE138" s="50" t="s">
        <v>18333</v>
      </c>
      <c r="CF138" s="50" t="s">
        <v>18334</v>
      </c>
      <c r="CG138" s="50" t="s">
        <v>8963</v>
      </c>
      <c r="CH138" s="50" t="s">
        <v>8964</v>
      </c>
      <c r="CJ138" s="50" t="s">
        <v>8965</v>
      </c>
      <c r="CK138" s="50" t="s">
        <v>8964</v>
      </c>
      <c r="CL138" s="50" t="s">
        <v>3714</v>
      </c>
      <c r="CM138" s="50" t="s">
        <v>730</v>
      </c>
      <c r="CN138" s="50" t="s">
        <v>8965</v>
      </c>
      <c r="CO138" s="50" t="s">
        <v>8966</v>
      </c>
      <c r="CP138" s="50" t="s">
        <v>8964</v>
      </c>
      <c r="CQ138" s="50" t="s">
        <v>8964</v>
      </c>
    </row>
    <row r="139" spans="1:96">
      <c r="A139" s="95" t="s">
        <v>149</v>
      </c>
      <c r="B139" s="50">
        <v>5016213</v>
      </c>
      <c r="C139" s="50" t="s">
        <v>11882</v>
      </c>
      <c r="D139" s="50" t="s">
        <v>9611</v>
      </c>
      <c r="E139" s="50" t="str">
        <f>VLOOKUP(B139,aa!B:F,5,0)</f>
        <v>Ei ASSET, Ei CARES</v>
      </c>
      <c r="F139" s="50">
        <f>VLOOKUP(B139,aa!B:J,9,0)</f>
        <v>747000</v>
      </c>
      <c r="G139" s="50">
        <f>VLOOKUP(B139,aa!B:L,11,0)</f>
        <v>171000</v>
      </c>
      <c r="H139" s="50">
        <f>VLOOKUP(B139,aa!B:O,14,0)</f>
        <v>576000</v>
      </c>
      <c r="I139" s="50">
        <f>VLOOKUP(B139,aa!B:R,17,0)</f>
        <v>0</v>
      </c>
      <c r="K139" s="50" t="s">
        <v>675</v>
      </c>
      <c r="L139" s="50">
        <v>655200</v>
      </c>
      <c r="M139" s="50">
        <v>655200</v>
      </c>
      <c r="N139" s="50">
        <v>187200</v>
      </c>
      <c r="O139" s="50">
        <v>380</v>
      </c>
      <c r="P139" s="50" t="s">
        <v>18821</v>
      </c>
      <c r="Q139" s="50">
        <v>468000</v>
      </c>
      <c r="R139" s="50">
        <v>195</v>
      </c>
      <c r="S139" s="50" t="s">
        <v>4372</v>
      </c>
      <c r="T139" s="50">
        <v>0</v>
      </c>
      <c r="U139" s="50">
        <v>0</v>
      </c>
      <c r="W139" s="50" t="s">
        <v>102</v>
      </c>
      <c r="X139" s="50" t="s">
        <v>103</v>
      </c>
      <c r="Y139" s="50" t="s">
        <v>155</v>
      </c>
      <c r="AA139" s="50" t="s">
        <v>12023</v>
      </c>
      <c r="AB139" s="50" t="s">
        <v>18822</v>
      </c>
      <c r="AC139" s="50" t="s">
        <v>11976</v>
      </c>
      <c r="AD139" s="50" t="s">
        <v>18823</v>
      </c>
      <c r="AE139" s="50" t="s">
        <v>11888</v>
      </c>
      <c r="AF139" s="50" t="s">
        <v>18823</v>
      </c>
      <c r="AG139" s="50" t="s">
        <v>12084</v>
      </c>
      <c r="AH139" s="50" t="s">
        <v>18823</v>
      </c>
      <c r="AI139" s="50" t="s">
        <v>18824</v>
      </c>
      <c r="AJ139" s="50" t="s">
        <v>11976</v>
      </c>
      <c r="AK139" s="50" t="s">
        <v>18825</v>
      </c>
      <c r="AL139" s="50" t="s">
        <v>18826</v>
      </c>
      <c r="AM139" s="50" t="s">
        <v>18827</v>
      </c>
      <c r="AN139" s="50" t="s">
        <v>18828</v>
      </c>
      <c r="AO139" s="50" t="s">
        <v>18829</v>
      </c>
      <c r="AP139" s="50" t="s">
        <v>18829</v>
      </c>
      <c r="AU139" s="50" t="s">
        <v>207</v>
      </c>
      <c r="AV139" s="50" t="s">
        <v>118</v>
      </c>
      <c r="AW139" s="50" t="s">
        <v>3536</v>
      </c>
      <c r="AX139" s="50" t="s">
        <v>249</v>
      </c>
      <c r="AY139" s="50" t="s">
        <v>170</v>
      </c>
      <c r="AZ139" s="50" t="s">
        <v>118</v>
      </c>
      <c r="BB139" s="50" t="s">
        <v>120</v>
      </c>
      <c r="BC139" s="50" t="s">
        <v>9082</v>
      </c>
      <c r="BD139" s="50" t="s">
        <v>1244</v>
      </c>
      <c r="BE139" s="50" t="s">
        <v>122</v>
      </c>
      <c r="BF139" s="50" t="s">
        <v>1244</v>
      </c>
      <c r="BG139" s="50" t="s">
        <v>124</v>
      </c>
      <c r="BH139" s="50" t="s">
        <v>12023</v>
      </c>
      <c r="BI139" s="50" t="s">
        <v>11889</v>
      </c>
      <c r="BJ139" s="50" t="s">
        <v>127</v>
      </c>
      <c r="BK139" s="50" t="s">
        <v>18830</v>
      </c>
      <c r="BL139" s="50" t="s">
        <v>9625</v>
      </c>
      <c r="BM139" s="50" t="s">
        <v>18831</v>
      </c>
      <c r="BN139" s="50" t="s">
        <v>857</v>
      </c>
      <c r="BO139" s="50" t="s">
        <v>3267</v>
      </c>
      <c r="BP139" s="50" t="s">
        <v>350</v>
      </c>
      <c r="BQ139" s="50" t="s">
        <v>3268</v>
      </c>
      <c r="BR139" s="50" t="s">
        <v>3269</v>
      </c>
      <c r="BS139" s="50" t="s">
        <v>261</v>
      </c>
      <c r="BU139" s="50" t="s">
        <v>18832</v>
      </c>
      <c r="BV139" s="50" t="s">
        <v>9631</v>
      </c>
      <c r="BW139" s="50" t="s">
        <v>354</v>
      </c>
      <c r="BX139" s="50" t="s">
        <v>9632</v>
      </c>
      <c r="BY139" s="50" t="s">
        <v>9633</v>
      </c>
      <c r="BZ139" s="50" t="s">
        <v>9632</v>
      </c>
      <c r="CA139" s="50" t="s">
        <v>18833</v>
      </c>
      <c r="CB139" s="50" t="s">
        <v>18834</v>
      </c>
      <c r="CC139" s="50" t="s">
        <v>18835</v>
      </c>
      <c r="CD139" s="50" t="s">
        <v>18836</v>
      </c>
      <c r="CE139" s="50" t="s">
        <v>18837</v>
      </c>
      <c r="CF139" s="50" t="s">
        <v>18838</v>
      </c>
      <c r="CG139" s="50" t="s">
        <v>9634</v>
      </c>
      <c r="CH139" s="50" t="s">
        <v>18839</v>
      </c>
      <c r="CJ139" s="50" t="s">
        <v>9636</v>
      </c>
      <c r="CK139" s="50" t="s">
        <v>18840</v>
      </c>
      <c r="CL139" s="50" t="s">
        <v>9082</v>
      </c>
      <c r="CM139" s="50" t="s">
        <v>1244</v>
      </c>
      <c r="CN139" s="50" t="s">
        <v>9636</v>
      </c>
      <c r="CO139" s="50" t="s">
        <v>9637</v>
      </c>
      <c r="CP139" s="50" t="s">
        <v>9635</v>
      </c>
      <c r="CQ139" s="50" t="s">
        <v>9635</v>
      </c>
    </row>
    <row r="140" spans="1:96">
      <c r="A140" s="50" t="s">
        <v>93</v>
      </c>
      <c r="B140" s="50">
        <v>5016478</v>
      </c>
      <c r="C140" s="50" t="s">
        <v>12096</v>
      </c>
      <c r="D140" s="50" t="s">
        <v>18883</v>
      </c>
      <c r="E140" s="50" t="str">
        <f>VLOOKUP(B140,aa!B:F,5,0)</f>
        <v>Ei Mindspark</v>
      </c>
      <c r="F140" s="50">
        <f>VLOOKUP(B140,aa!B:J,9,0)</f>
        <v>402414</v>
      </c>
      <c r="G140" s="50">
        <f>VLOOKUP(B140,aa!B:L,11,0)</f>
        <v>0</v>
      </c>
      <c r="H140" s="50">
        <f>VLOOKUP(B140,aa!B:O,14,0)</f>
        <v>0</v>
      </c>
      <c r="I140" s="50">
        <f>VLOOKUP(B140,aa!B:R,17,0)</f>
        <v>402414</v>
      </c>
      <c r="K140" s="50" t="s">
        <v>848</v>
      </c>
      <c r="L140" s="50">
        <v>268488</v>
      </c>
      <c r="M140" s="50">
        <v>316816</v>
      </c>
      <c r="N140" s="50">
        <v>0</v>
      </c>
      <c r="O140" s="50">
        <v>0</v>
      </c>
      <c r="Q140" s="50">
        <v>0</v>
      </c>
      <c r="R140" s="50">
        <v>0</v>
      </c>
      <c r="T140" s="50">
        <v>268488</v>
      </c>
      <c r="U140" s="50">
        <v>88</v>
      </c>
      <c r="V140" s="50" t="s">
        <v>1652</v>
      </c>
      <c r="W140" s="50" t="s">
        <v>102</v>
      </c>
      <c r="X140" s="50" t="s">
        <v>103</v>
      </c>
      <c r="Y140" s="50" t="s">
        <v>398</v>
      </c>
      <c r="AA140" s="50" t="s">
        <v>6341</v>
      </c>
      <c r="AB140" s="50" t="s">
        <v>18884</v>
      </c>
      <c r="AC140" s="50" t="s">
        <v>12429</v>
      </c>
      <c r="AD140" s="50" t="s">
        <v>18885</v>
      </c>
      <c r="AE140" s="50" t="s">
        <v>12123</v>
      </c>
      <c r="AF140" s="50" t="s">
        <v>18885</v>
      </c>
      <c r="AG140" s="50" t="s">
        <v>109</v>
      </c>
      <c r="AH140" s="50" t="s">
        <v>102</v>
      </c>
      <c r="AI140" s="50" t="s">
        <v>18886</v>
      </c>
      <c r="AJ140" s="50" t="s">
        <v>6341</v>
      </c>
      <c r="AK140" s="50" t="s">
        <v>14003</v>
      </c>
      <c r="AL140" s="50" t="s">
        <v>18887</v>
      </c>
      <c r="AM140" s="50" t="s">
        <v>18888</v>
      </c>
      <c r="AN140" s="50" t="s">
        <v>18889</v>
      </c>
      <c r="AO140" s="50" t="s">
        <v>554</v>
      </c>
      <c r="AP140" s="50" t="s">
        <v>554</v>
      </c>
      <c r="AU140" s="50" t="s">
        <v>102</v>
      </c>
      <c r="AW140" s="50" t="s">
        <v>102</v>
      </c>
      <c r="AX140" s="50" t="s">
        <v>119</v>
      </c>
      <c r="BA140" s="50" t="s">
        <v>250</v>
      </c>
      <c r="BB140" s="50" t="s">
        <v>1964</v>
      </c>
      <c r="BC140" s="50" t="s">
        <v>375</v>
      </c>
      <c r="BD140" s="50" t="s">
        <v>376</v>
      </c>
      <c r="BE140" s="50" t="s">
        <v>174</v>
      </c>
      <c r="BF140" s="50" t="s">
        <v>376</v>
      </c>
      <c r="BG140" s="50" t="s">
        <v>124</v>
      </c>
      <c r="BH140" s="50" t="s">
        <v>8186</v>
      </c>
      <c r="BI140" s="50" t="s">
        <v>11889</v>
      </c>
      <c r="BJ140" s="50" t="s">
        <v>127</v>
      </c>
      <c r="BK140" s="50" t="s">
        <v>18890</v>
      </c>
      <c r="BL140" s="50" t="s">
        <v>18891</v>
      </c>
      <c r="BM140" s="50" t="s">
        <v>18892</v>
      </c>
      <c r="BN140" s="50" t="s">
        <v>857</v>
      </c>
      <c r="BO140" s="50" t="s">
        <v>12934</v>
      </c>
      <c r="BP140" s="50" t="s">
        <v>350</v>
      </c>
      <c r="BQ140" s="50" t="s">
        <v>12935</v>
      </c>
      <c r="BR140" s="50" t="s">
        <v>12936</v>
      </c>
      <c r="BS140" s="50" t="s">
        <v>1834</v>
      </c>
      <c r="BU140" s="50" t="s">
        <v>18893</v>
      </c>
      <c r="BV140" s="50" t="s">
        <v>18894</v>
      </c>
      <c r="BW140" s="50" t="s">
        <v>138</v>
      </c>
      <c r="BX140" s="50" t="s">
        <v>18895</v>
      </c>
      <c r="BY140" s="50" t="s">
        <v>18896</v>
      </c>
      <c r="BZ140" s="50" t="s">
        <v>18897</v>
      </c>
      <c r="CA140" s="50" t="s">
        <v>18894</v>
      </c>
      <c r="CB140" s="50" t="s">
        <v>18895</v>
      </c>
      <c r="CC140" s="50" t="s">
        <v>18896</v>
      </c>
      <c r="CD140" s="50" t="s">
        <v>18894</v>
      </c>
      <c r="CE140" s="50" t="s">
        <v>18895</v>
      </c>
      <c r="CF140" s="50" t="s">
        <v>18896</v>
      </c>
      <c r="CG140" s="50" t="s">
        <v>6401</v>
      </c>
      <c r="CH140" s="50" t="s">
        <v>18898</v>
      </c>
      <c r="CJ140" s="50" t="s">
        <v>10260</v>
      </c>
      <c r="CK140" s="50" t="s">
        <v>18898</v>
      </c>
      <c r="CL140" s="50" t="s">
        <v>375</v>
      </c>
      <c r="CM140" s="50" t="s">
        <v>376</v>
      </c>
      <c r="CN140" s="50" t="s">
        <v>10260</v>
      </c>
      <c r="CO140" s="50" t="s">
        <v>18899</v>
      </c>
      <c r="CP140" s="50" t="s">
        <v>18898</v>
      </c>
      <c r="CQ140" s="50" t="s">
        <v>18898</v>
      </c>
    </row>
    <row r="141" spans="1:96">
      <c r="A141" s="95" t="s">
        <v>149</v>
      </c>
      <c r="B141" s="50">
        <v>3188843</v>
      </c>
      <c r="C141" s="50" t="s">
        <v>3562</v>
      </c>
      <c r="D141" s="50" t="s">
        <v>4965</v>
      </c>
      <c r="E141" s="50" t="e">
        <f>VLOOKUP(B141,aa!B:F,5,0)</f>
        <v>#N/A</v>
      </c>
      <c r="F141" s="50" t="e">
        <f>VLOOKUP(B141,aa!B:J,9,0)</f>
        <v>#N/A</v>
      </c>
      <c r="G141" s="50" t="e">
        <f>VLOOKUP(B141,aa!B:L,11,0)</f>
        <v>#N/A</v>
      </c>
      <c r="H141" s="50" t="e">
        <f>VLOOKUP(B141,aa!B:O,14,0)</f>
        <v>#N/A</v>
      </c>
      <c r="I141" s="50" t="e">
        <f>VLOOKUP(B141,aa!B:R,17,0)</f>
        <v>#N/A</v>
      </c>
      <c r="K141" s="50" t="s">
        <v>97</v>
      </c>
      <c r="L141" s="50">
        <v>307042</v>
      </c>
      <c r="M141" s="50">
        <v>307042</v>
      </c>
      <c r="N141" s="50">
        <v>307042</v>
      </c>
      <c r="O141" s="50">
        <v>476</v>
      </c>
      <c r="P141" s="50" t="s">
        <v>15191</v>
      </c>
      <c r="Q141" s="50">
        <v>0</v>
      </c>
      <c r="R141" s="50">
        <v>0</v>
      </c>
      <c r="T141" s="50">
        <v>0</v>
      </c>
      <c r="U141" s="50">
        <v>0</v>
      </c>
      <c r="W141" s="50" t="s">
        <v>102</v>
      </c>
      <c r="X141" s="50" t="s">
        <v>103</v>
      </c>
      <c r="Y141" s="50" t="s">
        <v>104</v>
      </c>
      <c r="AA141" s="50" t="s">
        <v>12289</v>
      </c>
      <c r="AB141" s="50" t="s">
        <v>15192</v>
      </c>
      <c r="AC141" s="50" t="s">
        <v>11886</v>
      </c>
      <c r="AD141" s="50" t="s">
        <v>15193</v>
      </c>
      <c r="AE141" s="50" t="s">
        <v>109</v>
      </c>
      <c r="AF141" s="50" t="s">
        <v>102</v>
      </c>
      <c r="AG141" s="50" t="s">
        <v>109</v>
      </c>
      <c r="AH141" s="50" t="s">
        <v>102</v>
      </c>
      <c r="AI141" s="50" t="s">
        <v>15194</v>
      </c>
      <c r="AJ141" s="50" t="s">
        <v>13833</v>
      </c>
      <c r="AK141" s="50" t="s">
        <v>15195</v>
      </c>
      <c r="AL141" s="50" t="s">
        <v>15196</v>
      </c>
      <c r="AM141" s="50" t="s">
        <v>15197</v>
      </c>
      <c r="AN141" s="50" t="s">
        <v>15198</v>
      </c>
      <c r="AO141" s="50" t="s">
        <v>15199</v>
      </c>
      <c r="AP141" s="50" t="s">
        <v>15200</v>
      </c>
      <c r="AT141" s="50" t="s">
        <v>169</v>
      </c>
      <c r="AU141" s="50" t="s">
        <v>117</v>
      </c>
      <c r="AV141" s="50" t="s">
        <v>250</v>
      </c>
      <c r="AW141" s="50" t="s">
        <v>102</v>
      </c>
      <c r="AX141" s="50" t="s">
        <v>119</v>
      </c>
      <c r="BB141" s="50" t="s">
        <v>171</v>
      </c>
      <c r="BC141" s="50" t="s">
        <v>2327</v>
      </c>
      <c r="BD141" s="50" t="s">
        <v>730</v>
      </c>
      <c r="BE141" s="50" t="s">
        <v>622</v>
      </c>
      <c r="BF141" s="50" t="s">
        <v>730</v>
      </c>
      <c r="BG141" s="50" t="s">
        <v>124</v>
      </c>
      <c r="BH141" s="50" t="s">
        <v>12023</v>
      </c>
      <c r="BI141" s="50" t="s">
        <v>11889</v>
      </c>
      <c r="BJ141" s="50" t="s">
        <v>127</v>
      </c>
      <c r="BK141" s="50" t="s">
        <v>15201</v>
      </c>
      <c r="BL141" s="50" t="s">
        <v>4977</v>
      </c>
      <c r="BM141" s="50" t="s">
        <v>15202</v>
      </c>
      <c r="BN141" s="50" t="s">
        <v>7719</v>
      </c>
      <c r="BO141" s="50" t="s">
        <v>7559</v>
      </c>
      <c r="BP141" s="50" t="s">
        <v>350</v>
      </c>
      <c r="BQ141" s="50" t="s">
        <v>7560</v>
      </c>
      <c r="BR141" s="50" t="s">
        <v>7561</v>
      </c>
      <c r="BS141" s="50" t="s">
        <v>3562</v>
      </c>
      <c r="BU141" s="50" t="s">
        <v>15203</v>
      </c>
      <c r="BV141" s="50" t="s">
        <v>4980</v>
      </c>
      <c r="BW141" s="50" t="s">
        <v>598</v>
      </c>
      <c r="BX141" s="50" t="s">
        <v>4981</v>
      </c>
      <c r="BY141" s="50" t="s">
        <v>15204</v>
      </c>
      <c r="BZ141" s="50" t="s">
        <v>4983</v>
      </c>
      <c r="CA141" s="50" t="s">
        <v>4980</v>
      </c>
      <c r="CB141" s="50" t="s">
        <v>4981</v>
      </c>
      <c r="CC141" s="50" t="s">
        <v>15204</v>
      </c>
      <c r="CD141" s="50" t="s">
        <v>4980</v>
      </c>
      <c r="CE141" s="50" t="s">
        <v>4981</v>
      </c>
      <c r="CF141" s="50" t="s">
        <v>15204</v>
      </c>
      <c r="CG141" s="50" t="s">
        <v>102</v>
      </c>
      <c r="CH141" s="50" t="s">
        <v>4984</v>
      </c>
      <c r="CJ141" s="50" t="s">
        <v>4985</v>
      </c>
      <c r="CL141" s="50" t="s">
        <v>2327</v>
      </c>
      <c r="CM141" s="50" t="s">
        <v>730</v>
      </c>
      <c r="CN141" s="50" t="s">
        <v>4985</v>
      </c>
      <c r="CO141" s="50" t="s">
        <v>4986</v>
      </c>
      <c r="CP141" s="50" t="s">
        <v>4984</v>
      </c>
      <c r="CQ141" s="50" t="s">
        <v>4984</v>
      </c>
      <c r="CR141" s="50" t="s">
        <v>26040</v>
      </c>
    </row>
    <row r="142" spans="1:96">
      <c r="A142" s="50" t="s">
        <v>93</v>
      </c>
      <c r="B142" s="50">
        <v>3386433</v>
      </c>
      <c r="C142" s="50" t="s">
        <v>3562</v>
      </c>
      <c r="D142" s="50" t="s">
        <v>15753</v>
      </c>
      <c r="E142" s="50" t="str">
        <f>VLOOKUP(B142,aa!B:F,5,0)</f>
        <v>Ei CARES</v>
      </c>
      <c r="F142" s="50">
        <f>VLOOKUP(B142,aa!B:J,9,0)</f>
        <v>735098</v>
      </c>
      <c r="G142" s="50">
        <f>VLOOKUP(B142,aa!B:L,11,0)</f>
        <v>0</v>
      </c>
      <c r="H142" s="50">
        <f>VLOOKUP(B142,aa!B:O,14,0)</f>
        <v>735098</v>
      </c>
      <c r="I142" s="50">
        <f>VLOOKUP(B142,aa!B:R,17,0)</f>
        <v>0</v>
      </c>
      <c r="K142" s="50" t="s">
        <v>152</v>
      </c>
      <c r="L142" s="50">
        <v>480064</v>
      </c>
      <c r="M142" s="50">
        <v>480064</v>
      </c>
      <c r="N142" s="50">
        <v>0</v>
      </c>
      <c r="O142" s="50">
        <v>0</v>
      </c>
      <c r="Q142" s="50">
        <v>480064</v>
      </c>
      <c r="R142" s="50">
        <v>320</v>
      </c>
      <c r="S142" s="50" t="s">
        <v>6441</v>
      </c>
      <c r="T142" s="50">
        <v>0</v>
      </c>
      <c r="U142" s="50">
        <v>0</v>
      </c>
      <c r="W142" s="50" t="s">
        <v>102</v>
      </c>
      <c r="X142" s="50" t="s">
        <v>103</v>
      </c>
      <c r="Y142" s="50" t="s">
        <v>155</v>
      </c>
      <c r="AA142" s="50" t="s">
        <v>7719</v>
      </c>
      <c r="AB142" s="50" t="s">
        <v>15754</v>
      </c>
      <c r="AC142" s="50" t="s">
        <v>12040</v>
      </c>
      <c r="AD142" s="50" t="s">
        <v>15754</v>
      </c>
      <c r="AE142" s="50" t="s">
        <v>12427</v>
      </c>
      <c r="AF142" s="50" t="s">
        <v>15754</v>
      </c>
      <c r="AG142" s="50" t="s">
        <v>12713</v>
      </c>
      <c r="AH142" s="50" t="s">
        <v>15754</v>
      </c>
      <c r="AI142" s="50" t="s">
        <v>102</v>
      </c>
      <c r="AJ142" s="50" t="s">
        <v>2392</v>
      </c>
      <c r="AK142" s="50" t="s">
        <v>15755</v>
      </c>
      <c r="AL142" s="50" t="s">
        <v>15756</v>
      </c>
      <c r="AM142" s="50" t="s">
        <v>15757</v>
      </c>
      <c r="AN142" s="50" t="s">
        <v>15758</v>
      </c>
      <c r="AO142" s="50" t="s">
        <v>6447</v>
      </c>
      <c r="AP142" s="50" t="s">
        <v>6447</v>
      </c>
      <c r="AU142" s="50" t="s">
        <v>102</v>
      </c>
      <c r="AW142" s="50" t="s">
        <v>155</v>
      </c>
      <c r="AX142" s="50" t="s">
        <v>119</v>
      </c>
      <c r="AY142" s="50" t="s">
        <v>170</v>
      </c>
      <c r="AZ142" s="50" t="s">
        <v>118</v>
      </c>
      <c r="BB142" s="50" t="s">
        <v>120</v>
      </c>
      <c r="BC142" s="50" t="s">
        <v>15759</v>
      </c>
      <c r="BD142" s="50" t="s">
        <v>730</v>
      </c>
      <c r="BE142" s="50" t="s">
        <v>622</v>
      </c>
      <c r="BF142" s="50" t="s">
        <v>730</v>
      </c>
      <c r="BG142" s="50" t="s">
        <v>124</v>
      </c>
      <c r="BH142" s="50" t="s">
        <v>12023</v>
      </c>
      <c r="BI142" s="50" t="s">
        <v>11889</v>
      </c>
      <c r="BJ142" s="50" t="s">
        <v>127</v>
      </c>
      <c r="BK142" s="50" t="s">
        <v>15760</v>
      </c>
      <c r="BL142" s="50" t="s">
        <v>15761</v>
      </c>
      <c r="BM142" s="50" t="s">
        <v>15762</v>
      </c>
      <c r="BN142" s="50" t="s">
        <v>7719</v>
      </c>
      <c r="BO142" s="50" t="s">
        <v>5197</v>
      </c>
      <c r="BP142" s="50" t="s">
        <v>350</v>
      </c>
      <c r="BQ142" s="50" t="s">
        <v>5198</v>
      </c>
      <c r="BR142" s="50" t="s">
        <v>5199</v>
      </c>
      <c r="BS142" s="50" t="s">
        <v>2331</v>
      </c>
      <c r="BU142" s="50" t="s">
        <v>15763</v>
      </c>
      <c r="BV142" s="50" t="s">
        <v>15764</v>
      </c>
      <c r="BW142" s="50" t="s">
        <v>138</v>
      </c>
      <c r="BX142" s="50" t="s">
        <v>15765</v>
      </c>
      <c r="BY142" s="50" t="s">
        <v>15766</v>
      </c>
      <c r="BZ142" s="50" t="s">
        <v>15765</v>
      </c>
      <c r="CA142" s="50" t="s">
        <v>15767</v>
      </c>
      <c r="CB142" s="50" t="s">
        <v>15765</v>
      </c>
      <c r="CC142" s="50" t="s">
        <v>15766</v>
      </c>
      <c r="CD142" s="50" t="s">
        <v>15768</v>
      </c>
      <c r="CE142" s="50" t="s">
        <v>15765</v>
      </c>
      <c r="CF142" s="50" t="s">
        <v>15769</v>
      </c>
      <c r="CG142" s="50" t="s">
        <v>11006</v>
      </c>
      <c r="CH142" s="50" t="s">
        <v>15770</v>
      </c>
      <c r="CJ142" s="50" t="s">
        <v>15771</v>
      </c>
      <c r="CK142" s="50" t="s">
        <v>15772</v>
      </c>
      <c r="CL142" s="50" t="s">
        <v>15759</v>
      </c>
      <c r="CM142" s="50" t="s">
        <v>730</v>
      </c>
      <c r="CN142" s="50" t="s">
        <v>15771</v>
      </c>
      <c r="CP142" s="50" t="s">
        <v>15773</v>
      </c>
      <c r="CQ142" s="50" t="s">
        <v>15773</v>
      </c>
    </row>
    <row r="143" spans="1:96">
      <c r="A143" s="50" t="s">
        <v>93</v>
      </c>
      <c r="B143" s="50">
        <v>5038577</v>
      </c>
      <c r="C143" s="50" t="s">
        <v>20272</v>
      </c>
      <c r="D143" s="50" t="s">
        <v>20271</v>
      </c>
      <c r="E143" s="50" t="str">
        <f>VLOOKUP(B143,aa!B:F,5,0)</f>
        <v>Ei CARES</v>
      </c>
      <c r="F143" s="50">
        <f>VLOOKUP(B143,aa!B:J,9,0)</f>
        <v>105002</v>
      </c>
      <c r="G143" s="50">
        <f>VLOOKUP(B143,aa!B:L,11,0)</f>
        <v>0</v>
      </c>
      <c r="H143" s="50">
        <f>VLOOKUP(B143,aa!B:O,14,0)</f>
        <v>105002</v>
      </c>
      <c r="I143" s="50">
        <f>VLOOKUP(B143,aa!B:R,17,0)</f>
        <v>0</v>
      </c>
      <c r="K143" s="50" t="s">
        <v>152</v>
      </c>
      <c r="L143" s="50">
        <v>87003</v>
      </c>
      <c r="M143" s="50">
        <v>87003</v>
      </c>
      <c r="N143" s="50">
        <v>0</v>
      </c>
      <c r="O143" s="50">
        <v>0</v>
      </c>
      <c r="Q143" s="50">
        <v>87003</v>
      </c>
      <c r="R143" s="50">
        <v>87</v>
      </c>
      <c r="S143" s="50" t="s">
        <v>5042</v>
      </c>
      <c r="T143" s="50">
        <v>0</v>
      </c>
      <c r="U143" s="50">
        <v>0</v>
      </c>
      <c r="W143" s="50" t="s">
        <v>102</v>
      </c>
      <c r="X143" s="50" t="s">
        <v>103</v>
      </c>
      <c r="Y143" s="50" t="s">
        <v>398</v>
      </c>
      <c r="AA143" s="50" t="s">
        <v>6341</v>
      </c>
      <c r="AB143" s="50" t="s">
        <v>20273</v>
      </c>
      <c r="AC143" s="50" t="s">
        <v>12082</v>
      </c>
      <c r="AD143" s="50" t="s">
        <v>20274</v>
      </c>
      <c r="AE143" s="50" t="s">
        <v>12327</v>
      </c>
      <c r="AF143" s="50" t="s">
        <v>20275</v>
      </c>
      <c r="AG143" s="50" t="s">
        <v>109</v>
      </c>
      <c r="AH143" s="50" t="s">
        <v>102</v>
      </c>
      <c r="AI143" s="50" t="s">
        <v>102</v>
      </c>
      <c r="AJ143" s="50" t="s">
        <v>12023</v>
      </c>
      <c r="AK143" s="50" t="s">
        <v>12713</v>
      </c>
      <c r="AL143" s="50" t="s">
        <v>20276</v>
      </c>
      <c r="AM143" s="50" t="s">
        <v>20277</v>
      </c>
      <c r="AN143" s="50" t="s">
        <v>20278</v>
      </c>
      <c r="AO143" s="50" t="s">
        <v>20279</v>
      </c>
      <c r="AP143" s="50" t="s">
        <v>20279</v>
      </c>
      <c r="AU143" s="50" t="s">
        <v>102</v>
      </c>
      <c r="AW143" s="50" t="s">
        <v>104</v>
      </c>
      <c r="AX143" s="50" t="s">
        <v>447</v>
      </c>
      <c r="AY143" s="50" t="s">
        <v>170</v>
      </c>
      <c r="AZ143" s="50" t="s">
        <v>118</v>
      </c>
      <c r="BB143" s="50" t="s">
        <v>120</v>
      </c>
      <c r="BC143" s="50" t="s">
        <v>12104</v>
      </c>
      <c r="BD143" s="50" t="s">
        <v>1208</v>
      </c>
      <c r="BE143" s="50" t="s">
        <v>174</v>
      </c>
      <c r="BF143" s="50" t="s">
        <v>1172</v>
      </c>
      <c r="BG143" s="50" t="s">
        <v>124</v>
      </c>
      <c r="BH143" s="50" t="s">
        <v>12023</v>
      </c>
      <c r="BI143" s="50" t="s">
        <v>11889</v>
      </c>
      <c r="BJ143" s="50" t="s">
        <v>127</v>
      </c>
      <c r="BK143" s="50" t="s">
        <v>20280</v>
      </c>
      <c r="BL143" s="50" t="s">
        <v>20281</v>
      </c>
      <c r="BM143" s="50" t="s">
        <v>20282</v>
      </c>
      <c r="BN143" s="50" t="s">
        <v>7719</v>
      </c>
      <c r="BO143" s="50" t="s">
        <v>1212</v>
      </c>
      <c r="BP143" s="50" t="s">
        <v>350</v>
      </c>
      <c r="BQ143" s="50" t="s">
        <v>1213</v>
      </c>
      <c r="BR143" s="50" t="s">
        <v>1214</v>
      </c>
      <c r="BS143" s="50" t="s">
        <v>1215</v>
      </c>
      <c r="BU143" s="50" t="s">
        <v>20283</v>
      </c>
      <c r="BV143" s="50" t="s">
        <v>20284</v>
      </c>
      <c r="BW143" s="50" t="s">
        <v>138</v>
      </c>
      <c r="BX143" s="50" t="s">
        <v>20285</v>
      </c>
      <c r="BY143" s="50" t="s">
        <v>20286</v>
      </c>
      <c r="BZ143" s="50" t="s">
        <v>20285</v>
      </c>
      <c r="CA143" s="50" t="s">
        <v>20284</v>
      </c>
      <c r="CB143" s="50" t="s">
        <v>20285</v>
      </c>
      <c r="CC143" s="50" t="s">
        <v>20286</v>
      </c>
      <c r="CD143" s="50" t="s">
        <v>20284</v>
      </c>
      <c r="CE143" s="50" t="s">
        <v>20285</v>
      </c>
      <c r="CF143" s="50" t="s">
        <v>20286</v>
      </c>
      <c r="CG143" s="50" t="s">
        <v>4425</v>
      </c>
      <c r="CH143" s="50" t="s">
        <v>20287</v>
      </c>
      <c r="CJ143" s="50" t="s">
        <v>20288</v>
      </c>
      <c r="CK143" s="50" t="s">
        <v>20287</v>
      </c>
      <c r="CL143" s="50" t="s">
        <v>12104</v>
      </c>
      <c r="CM143" s="50" t="s">
        <v>1208</v>
      </c>
      <c r="CN143" s="50" t="s">
        <v>20288</v>
      </c>
      <c r="CP143" s="50" t="s">
        <v>20289</v>
      </c>
      <c r="CQ143" s="50" t="s">
        <v>20289</v>
      </c>
    </row>
    <row r="144" spans="1:96">
      <c r="A144" s="95" t="s">
        <v>149</v>
      </c>
      <c r="B144" s="50">
        <v>865626</v>
      </c>
      <c r="C144" s="50" t="s">
        <v>183</v>
      </c>
      <c r="D144" s="50" t="s">
        <v>11220</v>
      </c>
      <c r="E144" s="50" t="str">
        <f>VLOOKUP(B144,aa!B:F,5,0)</f>
        <v>Ei ASSET, Ei Mindspark</v>
      </c>
      <c r="F144" s="50">
        <f>VLOOKUP(B144,aa!B:J,9,0)</f>
        <v>2776735</v>
      </c>
      <c r="G144" s="50">
        <f>VLOOKUP(B144,aa!B:L,11,0)</f>
        <v>192538</v>
      </c>
      <c r="H144" s="50">
        <f>VLOOKUP(B144,aa!B:O,14,0)</f>
        <v>0</v>
      </c>
      <c r="I144" s="50">
        <f>VLOOKUP(B144,aa!B:R,17,0)</f>
        <v>2584197</v>
      </c>
      <c r="K144" s="50" t="s">
        <v>193</v>
      </c>
      <c r="L144" s="50">
        <v>2754425</v>
      </c>
      <c r="M144" s="50">
        <v>3215159</v>
      </c>
      <c r="N144" s="50">
        <v>194789</v>
      </c>
      <c r="O144" s="50">
        <v>779</v>
      </c>
      <c r="P144" s="50" t="s">
        <v>21572</v>
      </c>
      <c r="Q144" s="50">
        <v>0</v>
      </c>
      <c r="R144" s="50">
        <v>0</v>
      </c>
      <c r="T144" s="50">
        <v>2559636</v>
      </c>
      <c r="U144" s="50">
        <v>2397</v>
      </c>
      <c r="V144" s="50" t="s">
        <v>11747</v>
      </c>
      <c r="W144" s="50" t="s">
        <v>102</v>
      </c>
      <c r="X144" s="50" t="s">
        <v>679</v>
      </c>
      <c r="Y144" s="50" t="s">
        <v>155</v>
      </c>
      <c r="Z144" s="50" t="s">
        <v>12312</v>
      </c>
      <c r="AA144" s="50" t="s">
        <v>12568</v>
      </c>
      <c r="AB144" s="50" t="s">
        <v>21573</v>
      </c>
      <c r="AC144" s="50" t="s">
        <v>19477</v>
      </c>
      <c r="AD144" s="50" t="s">
        <v>21573</v>
      </c>
      <c r="AE144" s="50" t="s">
        <v>20108</v>
      </c>
      <c r="AF144" s="50" t="s">
        <v>21573</v>
      </c>
      <c r="AG144" s="50" t="s">
        <v>12216</v>
      </c>
      <c r="AH144" s="50" t="s">
        <v>21573</v>
      </c>
      <c r="AI144" s="50" t="s">
        <v>102</v>
      </c>
      <c r="AJ144" s="50" t="s">
        <v>12158</v>
      </c>
      <c r="AK144" s="50" t="s">
        <v>21574</v>
      </c>
      <c r="AL144" s="50" t="s">
        <v>21575</v>
      </c>
      <c r="AM144" s="50" t="s">
        <v>21576</v>
      </c>
      <c r="AN144" s="50" t="s">
        <v>21577</v>
      </c>
      <c r="AO144" s="50" t="s">
        <v>21578</v>
      </c>
      <c r="AP144" s="50" t="s">
        <v>21578</v>
      </c>
      <c r="AU144" s="50" t="s">
        <v>207</v>
      </c>
      <c r="AV144" s="50" t="s">
        <v>118</v>
      </c>
      <c r="AW144" s="50" t="s">
        <v>102</v>
      </c>
      <c r="AX144" s="50" t="s">
        <v>119</v>
      </c>
      <c r="BA144" s="50" t="s">
        <v>250</v>
      </c>
      <c r="BB144" s="50" t="s">
        <v>120</v>
      </c>
      <c r="BC144" s="50" t="s">
        <v>375</v>
      </c>
      <c r="BD144" s="50" t="s">
        <v>376</v>
      </c>
      <c r="BE144" s="50" t="s">
        <v>174</v>
      </c>
      <c r="BF144" s="50" t="s">
        <v>376</v>
      </c>
      <c r="BG144" s="50" t="s">
        <v>124</v>
      </c>
      <c r="BH144" s="50" t="s">
        <v>17133</v>
      </c>
      <c r="BI144" s="50" t="s">
        <v>11889</v>
      </c>
      <c r="BJ144" s="50" t="s">
        <v>127</v>
      </c>
      <c r="BK144" s="50" t="s">
        <v>21579</v>
      </c>
      <c r="BL144" s="50" t="s">
        <v>11758</v>
      </c>
      <c r="BM144" s="50" t="s">
        <v>21580</v>
      </c>
      <c r="BN144" s="50" t="s">
        <v>21571</v>
      </c>
      <c r="BO144" s="50" t="s">
        <v>179</v>
      </c>
      <c r="BP144" s="50" t="s">
        <v>180</v>
      </c>
      <c r="BQ144" s="50" t="s">
        <v>181</v>
      </c>
      <c r="BR144" s="50" t="s">
        <v>182</v>
      </c>
      <c r="BS144" s="50" t="s">
        <v>183</v>
      </c>
      <c r="BU144" s="50" t="s">
        <v>21581</v>
      </c>
      <c r="BV144" s="50" t="s">
        <v>11761</v>
      </c>
      <c r="BW144" s="50" t="s">
        <v>138</v>
      </c>
      <c r="BX144" s="50" t="s">
        <v>11762</v>
      </c>
      <c r="BY144" s="50" t="s">
        <v>11763</v>
      </c>
      <c r="BZ144" s="50" t="s">
        <v>11764</v>
      </c>
      <c r="CA144" s="50" t="s">
        <v>11761</v>
      </c>
      <c r="CB144" s="50" t="s">
        <v>21582</v>
      </c>
      <c r="CC144" s="50" t="s">
        <v>11763</v>
      </c>
      <c r="CD144" s="50" t="s">
        <v>21583</v>
      </c>
      <c r="CE144" s="50" t="s">
        <v>11766</v>
      </c>
      <c r="CF144" s="50" t="s">
        <v>11767</v>
      </c>
      <c r="CG144" s="50" t="s">
        <v>102</v>
      </c>
      <c r="CH144" s="50" t="s">
        <v>11220</v>
      </c>
      <c r="CJ144" s="50" t="s">
        <v>1644</v>
      </c>
      <c r="CL144" s="50" t="s">
        <v>375</v>
      </c>
      <c r="CM144" s="50" t="s">
        <v>376</v>
      </c>
      <c r="CN144" s="50" t="s">
        <v>1644</v>
      </c>
      <c r="CO144" s="50" t="s">
        <v>11769</v>
      </c>
      <c r="CP144" s="50" t="s">
        <v>11768</v>
      </c>
      <c r="CQ144" s="50" t="s">
        <v>11768</v>
      </c>
    </row>
    <row r="145" spans="1:96">
      <c r="A145" s="95" t="s">
        <v>149</v>
      </c>
      <c r="B145" s="50">
        <v>9582</v>
      </c>
      <c r="C145" s="50" t="s">
        <v>12096</v>
      </c>
      <c r="D145" s="50" t="s">
        <v>11792</v>
      </c>
      <c r="E145" s="50" t="str">
        <f>VLOOKUP(B145,aa!B:F,5,0)</f>
        <v>Ei Mindspark</v>
      </c>
      <c r="F145" s="50">
        <f>VLOOKUP(B145,aa!B:J,9,0)</f>
        <v>135424</v>
      </c>
      <c r="G145" s="50">
        <f>VLOOKUP(B145,aa!B:L,11,0)</f>
        <v>0</v>
      </c>
      <c r="H145" s="50">
        <f>VLOOKUP(B145,aa!B:O,14,0)</f>
        <v>0</v>
      </c>
      <c r="I145" s="50">
        <f>VLOOKUP(B145,aa!B:R,17,0)</f>
        <v>135424</v>
      </c>
      <c r="K145" s="50" t="s">
        <v>848</v>
      </c>
      <c r="L145" s="50">
        <v>181776</v>
      </c>
      <c r="M145" s="50">
        <v>214496</v>
      </c>
      <c r="N145" s="50">
        <v>0</v>
      </c>
      <c r="O145" s="50">
        <v>0</v>
      </c>
      <c r="Q145" s="50">
        <v>0</v>
      </c>
      <c r="R145" s="50">
        <v>0</v>
      </c>
      <c r="T145" s="50">
        <v>181776</v>
      </c>
      <c r="U145" s="50">
        <v>71</v>
      </c>
      <c r="V145" s="50" t="s">
        <v>21598</v>
      </c>
      <c r="W145" s="50" t="s">
        <v>102</v>
      </c>
      <c r="X145" s="50" t="s">
        <v>679</v>
      </c>
      <c r="Y145" s="50" t="s">
        <v>155</v>
      </c>
      <c r="Z145" s="50" t="s">
        <v>13769</v>
      </c>
      <c r="AA145" s="50" t="s">
        <v>21599</v>
      </c>
      <c r="AB145" s="50" t="s">
        <v>21600</v>
      </c>
      <c r="AC145" s="50" t="s">
        <v>20106</v>
      </c>
      <c r="AD145" s="50" t="s">
        <v>21600</v>
      </c>
      <c r="AE145" s="50" t="s">
        <v>15990</v>
      </c>
      <c r="AF145" s="50" t="s">
        <v>21600</v>
      </c>
      <c r="AG145" s="50" t="s">
        <v>12216</v>
      </c>
      <c r="AH145" s="50" t="s">
        <v>21600</v>
      </c>
      <c r="AI145" s="50" t="s">
        <v>21601</v>
      </c>
      <c r="AJ145" s="50" t="s">
        <v>1403</v>
      </c>
      <c r="AK145" s="50" t="s">
        <v>14003</v>
      </c>
      <c r="AL145" s="50" t="s">
        <v>21602</v>
      </c>
      <c r="AM145" s="50" t="s">
        <v>21603</v>
      </c>
      <c r="AN145" s="50" t="s">
        <v>21604</v>
      </c>
      <c r="AO145" s="50" t="s">
        <v>21605</v>
      </c>
      <c r="AP145" s="50" t="s">
        <v>21605</v>
      </c>
      <c r="AU145" s="50" t="s">
        <v>102</v>
      </c>
      <c r="AW145" s="50" t="s">
        <v>102</v>
      </c>
      <c r="AX145" s="50" t="s">
        <v>119</v>
      </c>
      <c r="BA145" s="50" t="s">
        <v>250</v>
      </c>
      <c r="BB145" s="50" t="s">
        <v>1964</v>
      </c>
      <c r="BC145" s="50" t="s">
        <v>375</v>
      </c>
      <c r="BD145" s="50" t="s">
        <v>376</v>
      </c>
      <c r="BE145" s="50" t="s">
        <v>174</v>
      </c>
      <c r="BF145" s="50" t="s">
        <v>376</v>
      </c>
      <c r="BG145" s="50" t="s">
        <v>124</v>
      </c>
      <c r="BH145" s="50" t="s">
        <v>8186</v>
      </c>
      <c r="BI145" s="50" t="s">
        <v>15028</v>
      </c>
      <c r="BJ145" s="50" t="s">
        <v>127</v>
      </c>
      <c r="BK145" s="50" t="s">
        <v>21606</v>
      </c>
      <c r="BL145" s="50" t="s">
        <v>11808</v>
      </c>
      <c r="BM145" s="50" t="s">
        <v>21607</v>
      </c>
      <c r="BN145" s="50" t="s">
        <v>21597</v>
      </c>
      <c r="BO145" s="50" t="s">
        <v>12071</v>
      </c>
      <c r="BP145" s="50" t="s">
        <v>350</v>
      </c>
      <c r="BQ145" s="50" t="s">
        <v>12072</v>
      </c>
      <c r="BR145" s="50" t="s">
        <v>12073</v>
      </c>
      <c r="BS145" s="50" t="s">
        <v>183</v>
      </c>
      <c r="BU145" s="50" t="s">
        <v>21608</v>
      </c>
      <c r="BV145" s="50" t="s">
        <v>11811</v>
      </c>
      <c r="BW145" s="50" t="s">
        <v>138</v>
      </c>
      <c r="BX145" s="50" t="s">
        <v>11812</v>
      </c>
      <c r="BY145" s="50" t="s">
        <v>11813</v>
      </c>
      <c r="CA145" s="50" t="s">
        <v>21609</v>
      </c>
      <c r="CB145" s="50" t="s">
        <v>11812</v>
      </c>
      <c r="CC145" s="50" t="s">
        <v>21610</v>
      </c>
      <c r="CD145" s="50" t="s">
        <v>11814</v>
      </c>
      <c r="CE145" s="50" t="s">
        <v>21611</v>
      </c>
      <c r="CF145" s="50" t="s">
        <v>11816</v>
      </c>
      <c r="CG145" s="50" t="s">
        <v>102</v>
      </c>
      <c r="CH145" s="50" t="s">
        <v>11817</v>
      </c>
      <c r="CJ145" s="50" t="s">
        <v>11818</v>
      </c>
      <c r="CL145" s="50" t="s">
        <v>375</v>
      </c>
      <c r="CM145" s="50" t="s">
        <v>376</v>
      </c>
      <c r="CN145" s="50" t="s">
        <v>11818</v>
      </c>
      <c r="CO145" s="50" t="s">
        <v>11819</v>
      </c>
      <c r="CP145" s="50" t="s">
        <v>11817</v>
      </c>
      <c r="CQ145" s="50" t="s">
        <v>11817</v>
      </c>
    </row>
    <row r="146" spans="1:96">
      <c r="A146" s="95" t="s">
        <v>149</v>
      </c>
      <c r="B146" s="50">
        <v>174867</v>
      </c>
      <c r="C146" s="50" t="s">
        <v>418</v>
      </c>
      <c r="D146" s="50" t="s">
        <v>1686</v>
      </c>
      <c r="E146" s="50" t="str">
        <f>VLOOKUP(B146,aa!B:F,5,0)</f>
        <v>Ei ASSET</v>
      </c>
      <c r="F146" s="50">
        <f>VLOOKUP(B146,aa!B:J,9,0)</f>
        <v>834390</v>
      </c>
      <c r="G146" s="50">
        <f>VLOOKUP(B146,aa!B:L,11,0)</f>
        <v>834390</v>
      </c>
      <c r="H146" s="50">
        <f>VLOOKUP(B146,aa!B:O,14,0)</f>
        <v>0</v>
      </c>
      <c r="I146" s="50">
        <f>VLOOKUP(B146,aa!B:R,17,0)</f>
        <v>0</v>
      </c>
      <c r="K146" s="50" t="s">
        <v>97</v>
      </c>
      <c r="L146" s="50">
        <v>832200</v>
      </c>
      <c r="M146" s="50">
        <v>832200</v>
      </c>
      <c r="N146" s="50">
        <v>832200</v>
      </c>
      <c r="O146" s="50">
        <v>760</v>
      </c>
      <c r="P146" s="50" t="s">
        <v>1689</v>
      </c>
      <c r="Q146" s="50">
        <v>0</v>
      </c>
      <c r="R146" s="50">
        <v>0</v>
      </c>
      <c r="T146" s="50">
        <v>0</v>
      </c>
      <c r="U146" s="50">
        <v>0</v>
      </c>
      <c r="W146" s="50" t="s">
        <v>102</v>
      </c>
      <c r="X146" s="50" t="s">
        <v>103</v>
      </c>
      <c r="Y146" s="50" t="s">
        <v>104</v>
      </c>
      <c r="AA146" s="50" t="s">
        <v>12887</v>
      </c>
      <c r="AB146" s="50" t="s">
        <v>1690</v>
      </c>
      <c r="AC146" s="50" t="s">
        <v>12888</v>
      </c>
      <c r="AD146" s="50" t="s">
        <v>1690</v>
      </c>
      <c r="AE146" s="50" t="s">
        <v>109</v>
      </c>
      <c r="AF146" s="50" t="s">
        <v>102</v>
      </c>
      <c r="AG146" s="50" t="s">
        <v>109</v>
      </c>
      <c r="AH146" s="50" t="s">
        <v>102</v>
      </c>
      <c r="AI146" s="50" t="s">
        <v>12889</v>
      </c>
      <c r="AJ146" s="50" t="s">
        <v>12890</v>
      </c>
      <c r="AK146" s="50" t="s">
        <v>8060</v>
      </c>
      <c r="AL146" s="50" t="s">
        <v>1693</v>
      </c>
      <c r="AM146" s="50" t="s">
        <v>12891</v>
      </c>
      <c r="AN146" s="50" t="s">
        <v>12892</v>
      </c>
      <c r="AO146" s="50" t="s">
        <v>1695</v>
      </c>
      <c r="AP146" s="50" t="s">
        <v>1695</v>
      </c>
      <c r="AU146" s="50" t="s">
        <v>318</v>
      </c>
      <c r="AV146" s="50" t="s">
        <v>118</v>
      </c>
      <c r="AW146" s="50" t="s">
        <v>102</v>
      </c>
      <c r="AX146" s="50" t="s">
        <v>119</v>
      </c>
      <c r="BB146" s="50" t="s">
        <v>120</v>
      </c>
      <c r="BC146" s="50" t="s">
        <v>409</v>
      </c>
      <c r="BD146" s="50" t="s">
        <v>410</v>
      </c>
      <c r="BE146" s="50" t="s">
        <v>212</v>
      </c>
      <c r="BF146" s="50" t="s">
        <v>410</v>
      </c>
      <c r="BG146" s="50" t="s">
        <v>124</v>
      </c>
      <c r="BH146" s="50" t="s">
        <v>12023</v>
      </c>
      <c r="BI146" s="50" t="s">
        <v>11889</v>
      </c>
      <c r="BJ146" s="50" t="s">
        <v>127</v>
      </c>
      <c r="BK146" s="50" t="s">
        <v>12893</v>
      </c>
      <c r="BL146" s="50" t="s">
        <v>1697</v>
      </c>
      <c r="BM146" s="50" t="s">
        <v>12894</v>
      </c>
      <c r="BN146" s="50" t="s">
        <v>2392</v>
      </c>
      <c r="BO146" s="50" t="s">
        <v>1699</v>
      </c>
      <c r="BP146" s="50" t="s">
        <v>132</v>
      </c>
      <c r="BQ146" s="50" t="s">
        <v>1700</v>
      </c>
      <c r="BR146" s="50" t="s">
        <v>1701</v>
      </c>
      <c r="BS146" s="50" t="s">
        <v>1702</v>
      </c>
      <c r="BU146" s="50" t="s">
        <v>12895</v>
      </c>
      <c r="BV146" s="50" t="s">
        <v>1708</v>
      </c>
      <c r="BW146" s="50" t="s">
        <v>138</v>
      </c>
      <c r="BX146" s="50" t="s">
        <v>1705</v>
      </c>
      <c r="BY146" s="50" t="s">
        <v>1706</v>
      </c>
      <c r="BZ146" s="50" t="s">
        <v>1705</v>
      </c>
      <c r="CA146" s="50" t="s">
        <v>1708</v>
      </c>
      <c r="CB146" s="50" t="s">
        <v>1705</v>
      </c>
      <c r="CC146" s="50" t="s">
        <v>1706</v>
      </c>
      <c r="CD146" s="50" t="s">
        <v>1708</v>
      </c>
      <c r="CE146" s="50" t="s">
        <v>1705</v>
      </c>
      <c r="CF146" s="50" t="s">
        <v>1706</v>
      </c>
      <c r="CG146" s="50" t="s">
        <v>1709</v>
      </c>
      <c r="CH146" s="50" t="s">
        <v>1710</v>
      </c>
      <c r="CJ146" s="50" t="s">
        <v>428</v>
      </c>
      <c r="CK146" s="50" t="s">
        <v>12896</v>
      </c>
      <c r="CL146" s="50" t="s">
        <v>409</v>
      </c>
      <c r="CM146" s="50" t="s">
        <v>1711</v>
      </c>
      <c r="CN146" s="50" t="s">
        <v>428</v>
      </c>
      <c r="CO146" s="50" t="s">
        <v>1712</v>
      </c>
      <c r="CP146" s="50" t="s">
        <v>1710</v>
      </c>
      <c r="CQ146" s="50" t="s">
        <v>1710</v>
      </c>
    </row>
    <row r="147" spans="1:96">
      <c r="A147" s="95" t="s">
        <v>149</v>
      </c>
      <c r="B147" s="50">
        <v>5014914</v>
      </c>
      <c r="C147" s="50" t="s">
        <v>2525</v>
      </c>
      <c r="D147" s="50" t="s">
        <v>9369</v>
      </c>
      <c r="E147" s="50" t="str">
        <f>VLOOKUP(B147,aa!B:F,5,0)</f>
        <v>Ei ASSET</v>
      </c>
      <c r="F147" s="50">
        <f>VLOOKUP(B147,aa!B:J,9,0)</f>
        <v>554090</v>
      </c>
      <c r="G147" s="50">
        <f>VLOOKUP(B147,aa!B:L,11,0)</f>
        <v>554090</v>
      </c>
      <c r="H147" s="50">
        <f>VLOOKUP(B147,aa!B:O,14,0)</f>
        <v>0</v>
      </c>
      <c r="I147" s="50">
        <f>VLOOKUP(B147,aa!B:R,17,0)</f>
        <v>0</v>
      </c>
      <c r="K147" s="50" t="s">
        <v>193</v>
      </c>
      <c r="L147" s="50">
        <v>852241</v>
      </c>
      <c r="M147" s="50">
        <v>927017</v>
      </c>
      <c r="N147" s="50">
        <v>436817</v>
      </c>
      <c r="O147" s="50">
        <v>480</v>
      </c>
      <c r="P147" s="50" t="s">
        <v>1798</v>
      </c>
      <c r="Q147" s="50">
        <v>0</v>
      </c>
      <c r="R147" s="50">
        <v>0</v>
      </c>
      <c r="T147" s="50">
        <v>415424</v>
      </c>
      <c r="U147" s="50">
        <v>185</v>
      </c>
      <c r="V147" s="50" t="s">
        <v>18653</v>
      </c>
      <c r="W147" s="50" t="s">
        <v>102</v>
      </c>
      <c r="X147" s="50" t="s">
        <v>679</v>
      </c>
      <c r="Y147" s="50" t="s">
        <v>155</v>
      </c>
      <c r="Z147" s="50" t="s">
        <v>126</v>
      </c>
      <c r="AA147" s="50" t="s">
        <v>18654</v>
      </c>
      <c r="AB147" s="50" t="s">
        <v>18655</v>
      </c>
      <c r="AC147" s="50" t="s">
        <v>12571</v>
      </c>
      <c r="AD147" s="50" t="s">
        <v>18655</v>
      </c>
      <c r="AE147" s="50" t="s">
        <v>18656</v>
      </c>
      <c r="AF147" s="50" t="s">
        <v>18655</v>
      </c>
      <c r="AG147" s="50" t="s">
        <v>18657</v>
      </c>
      <c r="AH147" s="50" t="s">
        <v>18655</v>
      </c>
      <c r="AI147" s="50" t="s">
        <v>18658</v>
      </c>
      <c r="AJ147" s="50" t="s">
        <v>18659</v>
      </c>
      <c r="AK147" s="50" t="s">
        <v>18660</v>
      </c>
      <c r="AL147" s="50" t="s">
        <v>18661</v>
      </c>
      <c r="AM147" s="50" t="s">
        <v>18662</v>
      </c>
      <c r="AN147" s="50" t="s">
        <v>18663</v>
      </c>
      <c r="AO147" s="50" t="s">
        <v>18664</v>
      </c>
      <c r="AP147" s="50" t="s">
        <v>18665</v>
      </c>
      <c r="AQ147" s="50" t="s">
        <v>343</v>
      </c>
      <c r="AT147" s="50" t="s">
        <v>169</v>
      </c>
      <c r="AU147" s="50" t="s">
        <v>247</v>
      </c>
      <c r="AV147" s="50" t="s">
        <v>250</v>
      </c>
      <c r="AW147" s="50" t="s">
        <v>102</v>
      </c>
      <c r="AX147" s="50" t="s">
        <v>119</v>
      </c>
      <c r="BA147" s="50" t="s">
        <v>250</v>
      </c>
      <c r="BB147" s="50" t="s">
        <v>120</v>
      </c>
      <c r="BC147" s="50" t="s">
        <v>5071</v>
      </c>
      <c r="BD147" s="50" t="s">
        <v>730</v>
      </c>
      <c r="BE147" s="50" t="s">
        <v>622</v>
      </c>
      <c r="BF147" s="50" t="s">
        <v>730</v>
      </c>
      <c r="BG147" s="50" t="s">
        <v>124</v>
      </c>
      <c r="BH147" s="50" t="s">
        <v>18666</v>
      </c>
      <c r="BI147" s="50" t="s">
        <v>18667</v>
      </c>
      <c r="BJ147" s="50" t="s">
        <v>127</v>
      </c>
      <c r="BK147" s="50" t="s">
        <v>18668</v>
      </c>
      <c r="BL147" s="50" t="s">
        <v>9377</v>
      </c>
      <c r="BM147" s="50" t="s">
        <v>18669</v>
      </c>
      <c r="BN147" s="50" t="s">
        <v>18652</v>
      </c>
      <c r="BO147" s="50" t="s">
        <v>3606</v>
      </c>
      <c r="BP147" s="50" t="s">
        <v>350</v>
      </c>
      <c r="BQ147" s="50" t="s">
        <v>3607</v>
      </c>
      <c r="BR147" s="50" t="s">
        <v>3608</v>
      </c>
      <c r="BS147" s="50" t="s">
        <v>2525</v>
      </c>
      <c r="BU147" s="50" t="s">
        <v>18670</v>
      </c>
      <c r="BV147" s="50" t="s">
        <v>9380</v>
      </c>
      <c r="BW147" s="50" t="s">
        <v>598</v>
      </c>
      <c r="BX147" s="50" t="s">
        <v>9381</v>
      </c>
      <c r="BY147" s="50" t="s">
        <v>9382</v>
      </c>
      <c r="BZ147" s="50" t="s">
        <v>9383</v>
      </c>
      <c r="CA147" s="50" t="s">
        <v>9380</v>
      </c>
      <c r="CB147" s="50" t="s">
        <v>9381</v>
      </c>
      <c r="CC147" s="50" t="s">
        <v>9382</v>
      </c>
      <c r="CD147" s="50" t="s">
        <v>9380</v>
      </c>
      <c r="CE147" s="50" t="s">
        <v>9381</v>
      </c>
      <c r="CF147" s="50" t="s">
        <v>9382</v>
      </c>
      <c r="CG147" s="50" t="s">
        <v>102</v>
      </c>
      <c r="CH147" s="50" t="s">
        <v>9384</v>
      </c>
      <c r="CJ147" s="50" t="s">
        <v>9385</v>
      </c>
      <c r="CL147" s="50" t="s">
        <v>5071</v>
      </c>
      <c r="CM147" s="50" t="s">
        <v>730</v>
      </c>
      <c r="CN147" s="50" t="s">
        <v>9385</v>
      </c>
      <c r="CO147" s="50" t="s">
        <v>9386</v>
      </c>
      <c r="CP147" s="50" t="s">
        <v>9384</v>
      </c>
      <c r="CQ147" s="50" t="s">
        <v>9384</v>
      </c>
    </row>
    <row r="148" spans="1:96">
      <c r="A148" s="95" t="s">
        <v>149</v>
      </c>
      <c r="B148" s="50">
        <v>2385289</v>
      </c>
      <c r="C148" s="50" t="s">
        <v>384</v>
      </c>
      <c r="D148" s="50" t="s">
        <v>3131</v>
      </c>
      <c r="E148" s="50" t="str">
        <f>VLOOKUP(B148,aa!B:F,5,0)</f>
        <v>Ei Mindspark</v>
      </c>
      <c r="F148" s="50">
        <f>VLOOKUP(B148,aa!B:J,9,0)</f>
        <v>1208556</v>
      </c>
      <c r="G148" s="50">
        <f>VLOOKUP(B148,aa!B:L,11,0)</f>
        <v>0</v>
      </c>
      <c r="H148" s="50">
        <f>VLOOKUP(B148,aa!B:O,14,0)</f>
        <v>0</v>
      </c>
      <c r="I148" s="50">
        <f>VLOOKUP(B148,aa!B:R,17,0)</f>
        <v>1208556</v>
      </c>
      <c r="K148" s="50" t="s">
        <v>848</v>
      </c>
      <c r="L148" s="50">
        <v>1235653</v>
      </c>
      <c r="M148" s="50">
        <v>1458071</v>
      </c>
      <c r="N148" s="50">
        <v>0</v>
      </c>
      <c r="O148" s="50">
        <v>0</v>
      </c>
      <c r="Q148" s="50">
        <v>0</v>
      </c>
      <c r="R148" s="50">
        <v>0</v>
      </c>
      <c r="T148" s="50">
        <v>1235653</v>
      </c>
      <c r="U148" s="50">
        <v>634</v>
      </c>
      <c r="V148" s="50" t="s">
        <v>13830</v>
      </c>
      <c r="W148" s="50" t="s">
        <v>102</v>
      </c>
      <c r="X148" s="50" t="s">
        <v>103</v>
      </c>
      <c r="Y148" s="50" t="s">
        <v>155</v>
      </c>
      <c r="AA148" s="50" t="s">
        <v>6341</v>
      </c>
      <c r="AB148" s="50" t="s">
        <v>13831</v>
      </c>
      <c r="AC148" s="50" t="s">
        <v>13832</v>
      </c>
      <c r="AD148" s="50" t="s">
        <v>13831</v>
      </c>
      <c r="AE148" s="50" t="s">
        <v>13833</v>
      </c>
      <c r="AF148" s="50" t="s">
        <v>13831</v>
      </c>
      <c r="AG148" s="50" t="s">
        <v>11886</v>
      </c>
      <c r="AH148" s="50" t="s">
        <v>13831</v>
      </c>
      <c r="AI148" s="50" t="s">
        <v>13834</v>
      </c>
      <c r="AJ148" s="50" t="s">
        <v>1097</v>
      </c>
      <c r="AK148" s="50" t="s">
        <v>13245</v>
      </c>
      <c r="AL148" s="50" t="s">
        <v>13835</v>
      </c>
      <c r="AM148" s="50" t="s">
        <v>13836</v>
      </c>
      <c r="AN148" s="50" t="s">
        <v>13837</v>
      </c>
      <c r="AO148" s="50" t="s">
        <v>13838</v>
      </c>
      <c r="AP148" s="50" t="s">
        <v>13838</v>
      </c>
      <c r="AU148" s="50" t="s">
        <v>102</v>
      </c>
      <c r="AW148" s="50" t="s">
        <v>102</v>
      </c>
      <c r="AX148" s="50" t="s">
        <v>119</v>
      </c>
      <c r="BA148" s="50" t="s">
        <v>250</v>
      </c>
      <c r="BB148" s="50" t="s">
        <v>171</v>
      </c>
      <c r="BC148" s="50" t="s">
        <v>375</v>
      </c>
      <c r="BD148" s="50" t="s">
        <v>376</v>
      </c>
      <c r="BE148" s="50" t="s">
        <v>174</v>
      </c>
      <c r="BF148" s="50" t="s">
        <v>376</v>
      </c>
      <c r="BG148" s="50" t="s">
        <v>124</v>
      </c>
      <c r="BH148" s="50" t="s">
        <v>12023</v>
      </c>
      <c r="BI148" s="50" t="s">
        <v>11889</v>
      </c>
      <c r="BJ148" s="50" t="s">
        <v>127</v>
      </c>
      <c r="BK148" s="50" t="s">
        <v>13839</v>
      </c>
      <c r="BL148" s="50" t="s">
        <v>3142</v>
      </c>
      <c r="BM148" s="50" t="s">
        <v>13840</v>
      </c>
      <c r="BN148" s="50" t="s">
        <v>1202</v>
      </c>
      <c r="BO148" s="50" t="s">
        <v>1917</v>
      </c>
      <c r="BP148" s="50" t="s">
        <v>350</v>
      </c>
      <c r="BQ148" s="50" t="s">
        <v>1918</v>
      </c>
      <c r="BR148" s="50" t="s">
        <v>1919</v>
      </c>
      <c r="BS148" s="50" t="s">
        <v>183</v>
      </c>
      <c r="BU148" s="50" t="s">
        <v>13841</v>
      </c>
      <c r="BV148" s="50" t="s">
        <v>3145</v>
      </c>
      <c r="BW148" s="50" t="s">
        <v>138</v>
      </c>
      <c r="BX148" s="50" t="s">
        <v>3146</v>
      </c>
      <c r="BY148" s="50" t="s">
        <v>3147</v>
      </c>
      <c r="BZ148" s="50" t="s">
        <v>3146</v>
      </c>
      <c r="CA148" s="50" t="s">
        <v>3145</v>
      </c>
      <c r="CB148" s="50" t="s">
        <v>3146</v>
      </c>
      <c r="CC148" s="50" t="s">
        <v>3147</v>
      </c>
      <c r="CD148" s="50" t="s">
        <v>13842</v>
      </c>
      <c r="CE148" s="50" t="s">
        <v>13843</v>
      </c>
      <c r="CF148" s="50" t="s">
        <v>13844</v>
      </c>
      <c r="CG148" s="50" t="s">
        <v>102</v>
      </c>
      <c r="CH148" s="50" t="s">
        <v>3131</v>
      </c>
      <c r="CJ148" s="50" t="s">
        <v>3152</v>
      </c>
      <c r="CL148" s="50" t="s">
        <v>375</v>
      </c>
      <c r="CM148" s="50" t="s">
        <v>376</v>
      </c>
      <c r="CN148" s="50" t="s">
        <v>3152</v>
      </c>
      <c r="CO148" s="50" t="s">
        <v>3153</v>
      </c>
      <c r="CP148" s="50" t="s">
        <v>3151</v>
      </c>
      <c r="CQ148" s="50" t="s">
        <v>3151</v>
      </c>
    </row>
    <row r="149" spans="1:96">
      <c r="A149" s="95" t="s">
        <v>149</v>
      </c>
      <c r="B149" s="50">
        <v>2503335</v>
      </c>
      <c r="C149" s="50" t="s">
        <v>12423</v>
      </c>
      <c r="D149" s="50" t="s">
        <v>3788</v>
      </c>
      <c r="E149" s="50" t="e">
        <f>VLOOKUP(B149,aa!B:F,5,0)</f>
        <v>#N/A</v>
      </c>
      <c r="F149" s="50" t="e">
        <f>VLOOKUP(B149,aa!B:J,9,0)</f>
        <v>#N/A</v>
      </c>
      <c r="G149" s="50" t="e">
        <f>VLOOKUP(B149,aa!B:L,11,0)</f>
        <v>#N/A</v>
      </c>
      <c r="H149" s="50" t="e">
        <f>VLOOKUP(B149,aa!B:O,14,0)</f>
        <v>#N/A</v>
      </c>
      <c r="I149" s="50" t="e">
        <f>VLOOKUP(B149,aa!B:R,17,0)</f>
        <v>#N/A</v>
      </c>
      <c r="K149" s="50" t="s">
        <v>848</v>
      </c>
      <c r="L149" s="50">
        <v>355960</v>
      </c>
      <c r="M149" s="50">
        <v>420033</v>
      </c>
      <c r="N149" s="50">
        <v>0</v>
      </c>
      <c r="O149" s="50">
        <v>0</v>
      </c>
      <c r="Q149" s="50">
        <v>0</v>
      </c>
      <c r="R149" s="50">
        <v>0</v>
      </c>
      <c r="T149" s="50">
        <v>355960</v>
      </c>
      <c r="U149" s="50">
        <v>150</v>
      </c>
      <c r="V149" s="50" t="s">
        <v>11158</v>
      </c>
      <c r="W149" s="50" t="s">
        <v>102</v>
      </c>
      <c r="X149" s="50" t="s">
        <v>103</v>
      </c>
      <c r="Y149" s="50" t="s">
        <v>155</v>
      </c>
      <c r="AA149" s="50" t="s">
        <v>126</v>
      </c>
      <c r="AB149" s="50" t="s">
        <v>14279</v>
      </c>
      <c r="AC149" s="50" t="s">
        <v>12040</v>
      </c>
      <c r="AD149" s="50" t="s">
        <v>14279</v>
      </c>
      <c r="AE149" s="50" t="s">
        <v>12099</v>
      </c>
      <c r="AF149" s="50" t="s">
        <v>14279</v>
      </c>
      <c r="AG149" s="50" t="s">
        <v>12713</v>
      </c>
      <c r="AH149" s="50" t="s">
        <v>14279</v>
      </c>
      <c r="AI149" s="50" t="s">
        <v>14280</v>
      </c>
      <c r="AJ149" s="50" t="s">
        <v>12425</v>
      </c>
      <c r="AK149" s="50" t="s">
        <v>13034</v>
      </c>
      <c r="AL149" s="50" t="s">
        <v>14281</v>
      </c>
      <c r="AM149" s="50" t="s">
        <v>14282</v>
      </c>
      <c r="AN149" s="50" t="s">
        <v>14283</v>
      </c>
      <c r="AO149" s="50" t="s">
        <v>6116</v>
      </c>
      <c r="AP149" s="50" t="s">
        <v>6116</v>
      </c>
      <c r="AU149" s="50" t="s">
        <v>102</v>
      </c>
      <c r="AW149" s="50" t="s">
        <v>102</v>
      </c>
      <c r="AX149" s="50" t="s">
        <v>119</v>
      </c>
      <c r="BA149" s="50" t="s">
        <v>250</v>
      </c>
      <c r="BB149" s="50" t="s">
        <v>120</v>
      </c>
      <c r="BC149" s="50" t="s">
        <v>3735</v>
      </c>
      <c r="BD149" s="50" t="s">
        <v>410</v>
      </c>
      <c r="BE149" s="50" t="s">
        <v>212</v>
      </c>
      <c r="BF149" s="50" t="s">
        <v>410</v>
      </c>
      <c r="BG149" s="50" t="s">
        <v>124</v>
      </c>
      <c r="BH149" s="50" t="s">
        <v>12023</v>
      </c>
      <c r="BI149" s="50" t="s">
        <v>11889</v>
      </c>
      <c r="BJ149" s="50" t="s">
        <v>127</v>
      </c>
      <c r="BK149" s="50" t="s">
        <v>14284</v>
      </c>
      <c r="BL149" s="50" t="s">
        <v>3798</v>
      </c>
      <c r="BM149" s="50" t="s">
        <v>14285</v>
      </c>
      <c r="BN149" s="50" t="s">
        <v>3258</v>
      </c>
      <c r="BO149" s="50" t="s">
        <v>896</v>
      </c>
      <c r="BP149" s="50" t="s">
        <v>132</v>
      </c>
      <c r="BQ149" s="50" t="s">
        <v>897</v>
      </c>
      <c r="BR149" s="50" t="s">
        <v>898</v>
      </c>
      <c r="BS149" s="50" t="s">
        <v>899</v>
      </c>
      <c r="BU149" s="50" t="s">
        <v>14286</v>
      </c>
      <c r="BV149" s="50" t="s">
        <v>14287</v>
      </c>
      <c r="BW149" s="50" t="s">
        <v>138</v>
      </c>
      <c r="BX149" s="50" t="s">
        <v>3802</v>
      </c>
      <c r="BY149" s="50" t="s">
        <v>3803</v>
      </c>
      <c r="BZ149" s="50" t="s">
        <v>3804</v>
      </c>
      <c r="CA149" s="50" t="s">
        <v>14288</v>
      </c>
      <c r="CB149" s="50" t="s">
        <v>3802</v>
      </c>
      <c r="CC149" s="50" t="s">
        <v>3803</v>
      </c>
      <c r="CD149" s="50" t="s">
        <v>14288</v>
      </c>
      <c r="CE149" s="50" t="s">
        <v>3802</v>
      </c>
      <c r="CF149" s="50" t="s">
        <v>3803</v>
      </c>
      <c r="CG149" s="50" t="s">
        <v>3805</v>
      </c>
      <c r="CH149" s="50" t="s">
        <v>14289</v>
      </c>
      <c r="CJ149" s="50" t="s">
        <v>3807</v>
      </c>
      <c r="CK149" s="50" t="s">
        <v>14290</v>
      </c>
      <c r="CL149" s="50" t="s">
        <v>3735</v>
      </c>
      <c r="CM149" s="50" t="s">
        <v>410</v>
      </c>
      <c r="CN149" s="50" t="s">
        <v>3807</v>
      </c>
      <c r="CO149" s="50" t="s">
        <v>3808</v>
      </c>
      <c r="CP149" s="50" t="s">
        <v>3806</v>
      </c>
      <c r="CQ149" s="50" t="s">
        <v>3806</v>
      </c>
      <c r="CR149" s="50" t="s">
        <v>26046</v>
      </c>
    </row>
    <row r="150" spans="1:96">
      <c r="A150" s="95" t="s">
        <v>26356</v>
      </c>
      <c r="B150" s="50">
        <v>3253126</v>
      </c>
      <c r="C150" s="50" t="s">
        <v>11898</v>
      </c>
      <c r="D150" s="50" t="s">
        <v>15262</v>
      </c>
      <c r="E150" s="50" t="str">
        <f>VLOOKUP(B150,aa!B:F,5,0)</f>
        <v>Ei ASSET</v>
      </c>
      <c r="F150" s="50">
        <f>VLOOKUP(B150,aa!B:J,9,0)</f>
        <v>297000</v>
      </c>
      <c r="G150" s="50">
        <f>VLOOKUP(B150,aa!B:L,11,0)</f>
        <v>297000</v>
      </c>
      <c r="H150" s="50">
        <f>VLOOKUP(B150,aa!B:O,14,0)</f>
        <v>0</v>
      </c>
      <c r="I150" s="50">
        <f>VLOOKUP(B150,aa!B:R,17,0)</f>
        <v>0</v>
      </c>
      <c r="K150" s="50" t="s">
        <v>97</v>
      </c>
      <c r="L150" s="50">
        <v>313200</v>
      </c>
      <c r="M150" s="50">
        <v>313200</v>
      </c>
      <c r="N150" s="50">
        <v>313200</v>
      </c>
      <c r="O150" s="50">
        <v>348</v>
      </c>
      <c r="P150" s="50" t="s">
        <v>2451</v>
      </c>
      <c r="Q150" s="50">
        <v>0</v>
      </c>
      <c r="R150" s="50">
        <v>0</v>
      </c>
      <c r="T150" s="50">
        <v>0</v>
      </c>
      <c r="U150" s="50">
        <v>0</v>
      </c>
      <c r="W150" s="50" t="s">
        <v>102</v>
      </c>
      <c r="X150" s="50" t="s">
        <v>103</v>
      </c>
      <c r="Y150" s="50" t="s">
        <v>104</v>
      </c>
      <c r="AA150" s="50" t="s">
        <v>2950</v>
      </c>
      <c r="AB150" s="50" t="s">
        <v>15263</v>
      </c>
      <c r="AC150" s="50" t="s">
        <v>11976</v>
      </c>
      <c r="AD150" s="50" t="s">
        <v>15264</v>
      </c>
      <c r="AE150" s="50" t="s">
        <v>109</v>
      </c>
      <c r="AF150" s="50" t="s">
        <v>102</v>
      </c>
      <c r="AG150" s="50" t="s">
        <v>109</v>
      </c>
      <c r="AH150" s="50" t="s">
        <v>102</v>
      </c>
      <c r="AI150" s="50" t="s">
        <v>15265</v>
      </c>
      <c r="AJ150" s="50" t="s">
        <v>4045</v>
      </c>
      <c r="AK150" s="50" t="s">
        <v>11952</v>
      </c>
      <c r="AL150" s="50" t="s">
        <v>15266</v>
      </c>
      <c r="AM150" s="50" t="s">
        <v>15267</v>
      </c>
      <c r="AN150" s="50" t="s">
        <v>15268</v>
      </c>
      <c r="AO150" s="50" t="s">
        <v>554</v>
      </c>
      <c r="AP150" s="50" t="s">
        <v>554</v>
      </c>
      <c r="AU150" s="50" t="s">
        <v>318</v>
      </c>
      <c r="AV150" s="50" t="s">
        <v>118</v>
      </c>
      <c r="AW150" s="50" t="s">
        <v>102</v>
      </c>
      <c r="AX150" s="50" t="s">
        <v>119</v>
      </c>
      <c r="BB150" s="50" t="s">
        <v>120</v>
      </c>
      <c r="BC150" s="50" t="s">
        <v>3058</v>
      </c>
      <c r="BD150" s="50" t="s">
        <v>320</v>
      </c>
      <c r="BE150" s="50" t="s">
        <v>122</v>
      </c>
      <c r="BF150" s="50" t="s">
        <v>123</v>
      </c>
      <c r="BG150" s="50" t="s">
        <v>124</v>
      </c>
      <c r="BH150" s="50" t="s">
        <v>12023</v>
      </c>
      <c r="BI150" s="50" t="s">
        <v>11889</v>
      </c>
      <c r="BJ150" s="50" t="s">
        <v>127</v>
      </c>
      <c r="BK150" s="50" t="s">
        <v>15269</v>
      </c>
      <c r="BL150" s="50" t="s">
        <v>15270</v>
      </c>
      <c r="BM150" s="50" t="s">
        <v>15271</v>
      </c>
      <c r="BN150" s="50" t="s">
        <v>3258</v>
      </c>
      <c r="BO150" s="50" t="s">
        <v>131</v>
      </c>
      <c r="BP150" s="50" t="s">
        <v>350</v>
      </c>
      <c r="BQ150" s="50" t="s">
        <v>133</v>
      </c>
      <c r="BR150" s="50" t="s">
        <v>134</v>
      </c>
      <c r="BS150" s="50" t="s">
        <v>455</v>
      </c>
      <c r="BU150" s="50" t="s">
        <v>15272</v>
      </c>
      <c r="BV150" s="50" t="s">
        <v>15273</v>
      </c>
      <c r="BW150" s="50" t="s">
        <v>598</v>
      </c>
      <c r="BX150" s="50" t="s">
        <v>15274</v>
      </c>
      <c r="BY150" s="50" t="s">
        <v>15275</v>
      </c>
      <c r="BZ150" s="50" t="s">
        <v>15276</v>
      </c>
      <c r="CA150" s="50" t="s">
        <v>15277</v>
      </c>
      <c r="CB150" s="50" t="s">
        <v>15276</v>
      </c>
      <c r="CC150" s="50" t="s">
        <v>15278</v>
      </c>
      <c r="CD150" s="50" t="s">
        <v>15279</v>
      </c>
      <c r="CE150" s="50" t="s">
        <v>15280</v>
      </c>
      <c r="CF150" s="50" t="s">
        <v>15281</v>
      </c>
      <c r="CG150" s="50" t="s">
        <v>5650</v>
      </c>
      <c r="CH150" s="50" t="s">
        <v>15282</v>
      </c>
      <c r="CJ150" s="50" t="s">
        <v>15283</v>
      </c>
      <c r="CK150" s="50" t="s">
        <v>15282</v>
      </c>
      <c r="CL150" s="50" t="s">
        <v>3058</v>
      </c>
      <c r="CM150" s="50" t="s">
        <v>320</v>
      </c>
      <c r="CN150" s="50" t="s">
        <v>15283</v>
      </c>
      <c r="CP150" s="50" t="s">
        <v>15284</v>
      </c>
      <c r="CQ150" s="50" t="s">
        <v>15284</v>
      </c>
    </row>
    <row r="151" spans="1:96">
      <c r="A151" s="50" t="s">
        <v>93</v>
      </c>
      <c r="B151" s="50">
        <v>3583679</v>
      </c>
      <c r="C151" s="50" t="s">
        <v>12121</v>
      </c>
      <c r="D151" s="50" t="s">
        <v>16519</v>
      </c>
      <c r="E151" s="50" t="e">
        <f>VLOOKUP(B151,aa!B:F,5,0)</f>
        <v>#N/A</v>
      </c>
      <c r="F151" s="50" t="e">
        <f>VLOOKUP(B151,aa!B:J,9,0)</f>
        <v>#N/A</v>
      </c>
      <c r="G151" s="50" t="e">
        <f>VLOOKUP(B151,aa!B:L,11,0)</f>
        <v>#N/A</v>
      </c>
      <c r="H151" s="50" t="e">
        <f>VLOOKUP(B151,aa!B:O,14,0)</f>
        <v>#N/A</v>
      </c>
      <c r="I151" s="50" t="e">
        <f>VLOOKUP(B151,aa!B:R,17,0)</f>
        <v>#N/A</v>
      </c>
      <c r="K151" s="50" t="s">
        <v>848</v>
      </c>
      <c r="L151" s="50">
        <v>237286</v>
      </c>
      <c r="M151" s="50">
        <v>279997</v>
      </c>
      <c r="N151" s="50">
        <v>0</v>
      </c>
      <c r="O151" s="50">
        <v>0</v>
      </c>
      <c r="Q151" s="50">
        <v>0</v>
      </c>
      <c r="R151" s="50">
        <v>0</v>
      </c>
      <c r="T151" s="50">
        <v>237286</v>
      </c>
      <c r="U151" s="50">
        <v>80</v>
      </c>
      <c r="V151" s="50" t="s">
        <v>16520</v>
      </c>
      <c r="W151" s="50" t="s">
        <v>102</v>
      </c>
      <c r="X151" s="50" t="s">
        <v>103</v>
      </c>
      <c r="Y151" s="50" t="s">
        <v>104</v>
      </c>
      <c r="AA151" s="50" t="s">
        <v>3258</v>
      </c>
      <c r="AB151" s="50" t="s">
        <v>16521</v>
      </c>
      <c r="AC151" s="50" t="s">
        <v>12123</v>
      </c>
      <c r="AD151" s="50" t="s">
        <v>16521</v>
      </c>
      <c r="AE151" s="50" t="s">
        <v>109</v>
      </c>
      <c r="AF151" s="50" t="s">
        <v>102</v>
      </c>
      <c r="AG151" s="50" t="s">
        <v>109</v>
      </c>
      <c r="AH151" s="50" t="s">
        <v>102</v>
      </c>
      <c r="AI151" s="50" t="s">
        <v>102</v>
      </c>
      <c r="AJ151" s="50" t="s">
        <v>12926</v>
      </c>
      <c r="AK151" s="50" t="s">
        <v>13344</v>
      </c>
      <c r="AL151" s="50" t="s">
        <v>16522</v>
      </c>
      <c r="AM151" s="50" t="s">
        <v>16522</v>
      </c>
      <c r="AN151" s="50" t="s">
        <v>102</v>
      </c>
      <c r="AO151" s="50" t="s">
        <v>3645</v>
      </c>
      <c r="AP151" s="50" t="s">
        <v>3645</v>
      </c>
      <c r="AU151" s="50" t="s">
        <v>102</v>
      </c>
      <c r="AW151" s="50" t="s">
        <v>102</v>
      </c>
      <c r="AX151" s="50" t="s">
        <v>119</v>
      </c>
      <c r="BA151" s="50" t="s">
        <v>250</v>
      </c>
      <c r="BB151" s="50" t="s">
        <v>120</v>
      </c>
      <c r="BC151" s="50" t="s">
        <v>555</v>
      </c>
      <c r="BD151" s="50" t="s">
        <v>556</v>
      </c>
      <c r="BE151" s="50" t="s">
        <v>122</v>
      </c>
      <c r="BF151" s="50" t="s">
        <v>557</v>
      </c>
      <c r="BG151" s="50" t="s">
        <v>124</v>
      </c>
      <c r="BH151" s="50" t="s">
        <v>12023</v>
      </c>
      <c r="BI151" s="50" t="s">
        <v>11889</v>
      </c>
      <c r="BJ151" s="50" t="s">
        <v>127</v>
      </c>
      <c r="BK151" s="50" t="s">
        <v>16523</v>
      </c>
      <c r="BL151" s="50" t="s">
        <v>16524</v>
      </c>
      <c r="BM151" s="50" t="s">
        <v>16525</v>
      </c>
      <c r="BN151" s="50" t="s">
        <v>3258</v>
      </c>
      <c r="BO151" s="50" t="s">
        <v>16526</v>
      </c>
      <c r="BP151" s="50" t="s">
        <v>350</v>
      </c>
      <c r="BQ151" s="50" t="s">
        <v>16527</v>
      </c>
      <c r="BR151" s="50" t="s">
        <v>16528</v>
      </c>
      <c r="BS151" s="50" t="s">
        <v>16529</v>
      </c>
      <c r="BU151" s="50" t="s">
        <v>16530</v>
      </c>
      <c r="BV151" s="50" t="s">
        <v>16531</v>
      </c>
      <c r="BW151" s="50" t="s">
        <v>138</v>
      </c>
      <c r="BX151" s="50" t="s">
        <v>16532</v>
      </c>
      <c r="BY151" s="50" t="s">
        <v>16533</v>
      </c>
      <c r="BZ151" s="50" t="s">
        <v>16534</v>
      </c>
      <c r="CA151" s="50" t="s">
        <v>16531</v>
      </c>
      <c r="CB151" s="50" t="s">
        <v>16532</v>
      </c>
      <c r="CC151" s="50" t="s">
        <v>16533</v>
      </c>
      <c r="CD151" s="50" t="s">
        <v>16535</v>
      </c>
      <c r="CE151" s="50" t="s">
        <v>16536</v>
      </c>
      <c r="CF151" s="50" t="s">
        <v>16537</v>
      </c>
      <c r="CG151" s="50" t="s">
        <v>907</v>
      </c>
      <c r="CH151" s="50" t="s">
        <v>16538</v>
      </c>
      <c r="CJ151" s="50" t="s">
        <v>16539</v>
      </c>
      <c r="CK151" s="50" t="s">
        <v>16540</v>
      </c>
      <c r="CL151" s="50" t="s">
        <v>555</v>
      </c>
      <c r="CM151" s="50" t="s">
        <v>556</v>
      </c>
      <c r="CN151" s="50" t="s">
        <v>16539</v>
      </c>
      <c r="CP151" s="50" t="s">
        <v>16541</v>
      </c>
      <c r="CQ151" s="50" t="s">
        <v>16541</v>
      </c>
    </row>
    <row r="152" spans="1:96">
      <c r="A152" s="95" t="s">
        <v>149</v>
      </c>
      <c r="B152" s="50">
        <v>3705528</v>
      </c>
      <c r="C152" s="50" t="s">
        <v>11995</v>
      </c>
      <c r="D152" s="50" t="s">
        <v>7188</v>
      </c>
      <c r="E152" s="50" t="str">
        <f>VLOOKUP(B152,aa!B:F,5,0)</f>
        <v>Ei ASSET,Ei CARES</v>
      </c>
      <c r="F152" s="50">
        <f>VLOOKUP(B152,aa!B:J,9,0)</f>
        <v>1364191</v>
      </c>
      <c r="G152" s="50">
        <f>VLOOKUP(B152,aa!B:L,11,0)</f>
        <v>643558</v>
      </c>
      <c r="H152" s="50">
        <f>VLOOKUP(B152,aa!B:O,14,0)</f>
        <v>720633</v>
      </c>
      <c r="I152" s="50">
        <f>VLOOKUP(B152,aa!B:R,17,0)</f>
        <v>0</v>
      </c>
      <c r="K152" s="50" t="s">
        <v>675</v>
      </c>
      <c r="L152" s="50">
        <v>1151533</v>
      </c>
      <c r="M152" s="50">
        <v>1151533</v>
      </c>
      <c r="N152" s="50">
        <v>407563</v>
      </c>
      <c r="O152" s="50">
        <v>586</v>
      </c>
      <c r="P152" s="50" t="s">
        <v>7191</v>
      </c>
      <c r="Q152" s="50">
        <v>743970</v>
      </c>
      <c r="R152" s="50">
        <v>372</v>
      </c>
      <c r="S152" s="50" t="s">
        <v>7192</v>
      </c>
      <c r="T152" s="50">
        <v>0</v>
      </c>
      <c r="U152" s="50">
        <v>0</v>
      </c>
      <c r="W152" s="50" t="s">
        <v>102</v>
      </c>
      <c r="X152" s="50" t="s">
        <v>103</v>
      </c>
      <c r="Y152" s="50" t="s">
        <v>801</v>
      </c>
      <c r="AA152" s="50" t="s">
        <v>16770</v>
      </c>
      <c r="AB152" s="50" t="s">
        <v>16771</v>
      </c>
      <c r="AC152" s="50" t="s">
        <v>16772</v>
      </c>
      <c r="AD152" s="50" t="s">
        <v>16771</v>
      </c>
      <c r="AE152" s="50" t="s">
        <v>14349</v>
      </c>
      <c r="AF152" s="50" t="s">
        <v>16773</v>
      </c>
      <c r="AG152" s="50" t="s">
        <v>13263</v>
      </c>
      <c r="AH152" s="50" t="s">
        <v>16773</v>
      </c>
      <c r="AI152" s="50" t="s">
        <v>16774</v>
      </c>
      <c r="AJ152" s="50" t="s">
        <v>16775</v>
      </c>
      <c r="AK152" s="50" t="s">
        <v>11952</v>
      </c>
      <c r="AL152" s="50" t="s">
        <v>16776</v>
      </c>
      <c r="AM152" s="50" t="s">
        <v>16777</v>
      </c>
      <c r="AN152" s="50" t="s">
        <v>16778</v>
      </c>
      <c r="AO152" s="50" t="s">
        <v>16779</v>
      </c>
      <c r="AP152" s="50" t="s">
        <v>16779</v>
      </c>
      <c r="AU152" s="50" t="s">
        <v>207</v>
      </c>
      <c r="AV152" s="50" t="s">
        <v>118</v>
      </c>
      <c r="AW152" s="50" t="s">
        <v>655</v>
      </c>
      <c r="AX152" s="50" t="s">
        <v>119</v>
      </c>
      <c r="AY152" s="50" t="s">
        <v>170</v>
      </c>
      <c r="AZ152" s="50" t="s">
        <v>118</v>
      </c>
      <c r="BB152" s="50" t="s">
        <v>120</v>
      </c>
      <c r="BC152" s="50" t="s">
        <v>284</v>
      </c>
      <c r="BD152" s="50" t="s">
        <v>285</v>
      </c>
      <c r="BE152" s="50" t="s">
        <v>212</v>
      </c>
      <c r="BF152" s="50" t="s">
        <v>286</v>
      </c>
      <c r="BG152" s="50" t="s">
        <v>124</v>
      </c>
      <c r="BH152" s="50" t="s">
        <v>12023</v>
      </c>
      <c r="BI152" s="50" t="s">
        <v>16780</v>
      </c>
      <c r="BJ152" s="50" t="s">
        <v>127</v>
      </c>
      <c r="BK152" s="50" t="s">
        <v>16781</v>
      </c>
      <c r="BL152" s="50" t="s">
        <v>7204</v>
      </c>
      <c r="BM152" s="50" t="s">
        <v>16782</v>
      </c>
      <c r="BN152" s="50" t="s">
        <v>3258</v>
      </c>
      <c r="BO152" s="50" t="s">
        <v>290</v>
      </c>
      <c r="BP152" s="50" t="s">
        <v>132</v>
      </c>
      <c r="BQ152" s="50" t="s">
        <v>291</v>
      </c>
      <c r="BR152" s="50" t="s">
        <v>292</v>
      </c>
      <c r="BS152" s="50" t="s">
        <v>293</v>
      </c>
      <c r="BU152" s="50" t="s">
        <v>16783</v>
      </c>
      <c r="BV152" s="50" t="s">
        <v>16784</v>
      </c>
      <c r="BW152" s="50" t="s">
        <v>354</v>
      </c>
      <c r="BX152" s="50" t="s">
        <v>7208</v>
      </c>
      <c r="BY152" s="50" t="s">
        <v>7209</v>
      </c>
      <c r="BZ152" s="50" t="s">
        <v>7210</v>
      </c>
      <c r="CA152" s="50" t="s">
        <v>16785</v>
      </c>
      <c r="CB152" s="50" t="s">
        <v>16786</v>
      </c>
      <c r="CC152" s="50" t="s">
        <v>16787</v>
      </c>
      <c r="CD152" s="50" t="s">
        <v>16788</v>
      </c>
      <c r="CE152" s="50" t="s">
        <v>7212</v>
      </c>
      <c r="CF152" s="50" t="s">
        <v>7213</v>
      </c>
      <c r="CG152" s="50" t="s">
        <v>102</v>
      </c>
      <c r="CH152" s="50" t="s">
        <v>16789</v>
      </c>
      <c r="CJ152" s="50" t="s">
        <v>6729</v>
      </c>
      <c r="CL152" s="50" t="s">
        <v>284</v>
      </c>
      <c r="CM152" s="50" t="s">
        <v>285</v>
      </c>
      <c r="CN152" s="50" t="s">
        <v>6729</v>
      </c>
      <c r="CO152" s="50" t="s">
        <v>7215</v>
      </c>
      <c r="CP152" s="50" t="s">
        <v>7216</v>
      </c>
      <c r="CQ152" s="50" t="s">
        <v>7216</v>
      </c>
    </row>
    <row r="153" spans="1:96">
      <c r="A153" s="95" t="s">
        <v>149</v>
      </c>
      <c r="B153" s="50">
        <v>153271</v>
      </c>
      <c r="C153" s="50" t="s">
        <v>12121</v>
      </c>
      <c r="D153" s="50" t="s">
        <v>1084</v>
      </c>
      <c r="E153" s="50" t="str">
        <f>VLOOKUP(B153,aa!B:F,5,0)</f>
        <v>Ei ASSET,Ei CARES,Ei Mindspark</v>
      </c>
      <c r="F153" s="50">
        <f>VLOOKUP(B153,aa!B:J,9,0)</f>
        <v>4044450</v>
      </c>
      <c r="G153" s="50">
        <f>VLOOKUP(B153,aa!B:L,11,0)</f>
        <v>706660</v>
      </c>
      <c r="H153" s="50">
        <f>VLOOKUP(B153,aa!B:O,14,0)</f>
        <v>942213</v>
      </c>
      <c r="I153" s="50">
        <f>VLOOKUP(B153,aa!B:R,17,0)</f>
        <v>2395577</v>
      </c>
      <c r="K153" s="50" t="s">
        <v>1086</v>
      </c>
      <c r="L153" s="50">
        <v>4010007</v>
      </c>
      <c r="M153" s="50">
        <v>4437816</v>
      </c>
      <c r="N153" s="50">
        <v>698499</v>
      </c>
      <c r="O153" s="50">
        <v>1883</v>
      </c>
      <c r="P153" s="50" t="s">
        <v>12565</v>
      </c>
      <c r="Q153" s="50">
        <v>934794</v>
      </c>
      <c r="R153" s="50">
        <v>1890</v>
      </c>
      <c r="S153" s="50" t="s">
        <v>12566</v>
      </c>
      <c r="T153" s="50">
        <v>2376714</v>
      </c>
      <c r="U153" s="50">
        <v>2062</v>
      </c>
      <c r="V153" s="50" t="s">
        <v>12567</v>
      </c>
      <c r="W153" s="50" t="s">
        <v>102</v>
      </c>
      <c r="X153" s="50" t="s">
        <v>679</v>
      </c>
      <c r="Y153" s="50" t="s">
        <v>155</v>
      </c>
      <c r="Z153" s="50" t="s">
        <v>12023</v>
      </c>
      <c r="AA153" s="50" t="s">
        <v>12568</v>
      </c>
      <c r="AB153" s="50" t="s">
        <v>12569</v>
      </c>
      <c r="AC153" s="50" t="s">
        <v>12570</v>
      </c>
      <c r="AD153" s="50" t="s">
        <v>12569</v>
      </c>
      <c r="AE153" s="50" t="s">
        <v>12571</v>
      </c>
      <c r="AF153" s="50" t="s">
        <v>12569</v>
      </c>
      <c r="AG153" s="50" t="s">
        <v>12216</v>
      </c>
      <c r="AH153" s="50" t="s">
        <v>12569</v>
      </c>
      <c r="AI153" s="50" t="s">
        <v>12572</v>
      </c>
      <c r="AJ153" s="50" t="s">
        <v>8537</v>
      </c>
      <c r="AK153" s="50" t="s">
        <v>12573</v>
      </c>
      <c r="AL153" s="50" t="s">
        <v>12574</v>
      </c>
      <c r="AM153" s="50" t="s">
        <v>12575</v>
      </c>
      <c r="AN153" s="50" t="s">
        <v>12576</v>
      </c>
      <c r="AO153" s="50" t="s">
        <v>12577</v>
      </c>
      <c r="AP153" s="50" t="s">
        <v>12578</v>
      </c>
      <c r="AR153" s="50" t="s">
        <v>169</v>
      </c>
      <c r="AS153" s="50" t="s">
        <v>169</v>
      </c>
      <c r="AT153" s="50" t="s">
        <v>169</v>
      </c>
      <c r="AU153" s="50" t="s">
        <v>207</v>
      </c>
      <c r="AV153" s="50" t="s">
        <v>118</v>
      </c>
      <c r="AW153" s="50" t="s">
        <v>1103</v>
      </c>
      <c r="AX153" s="50" t="s">
        <v>119</v>
      </c>
      <c r="AZ153" s="50" t="s">
        <v>250</v>
      </c>
      <c r="BA153" s="50" t="s">
        <v>250</v>
      </c>
      <c r="BB153" s="50" t="s">
        <v>171</v>
      </c>
      <c r="BC153" s="50" t="s">
        <v>1104</v>
      </c>
      <c r="BD153" s="50" t="s">
        <v>449</v>
      </c>
      <c r="BE153" s="50" t="s">
        <v>122</v>
      </c>
      <c r="BF153" s="50" t="s">
        <v>253</v>
      </c>
      <c r="BG153" s="50" t="s">
        <v>124</v>
      </c>
      <c r="BH153" s="50" t="s">
        <v>12579</v>
      </c>
      <c r="BI153" s="50" t="s">
        <v>11979</v>
      </c>
      <c r="BJ153" s="50" t="s">
        <v>127</v>
      </c>
      <c r="BK153" s="50" t="s">
        <v>12580</v>
      </c>
      <c r="BL153" s="50" t="s">
        <v>1106</v>
      </c>
      <c r="BM153" s="50" t="s">
        <v>12581</v>
      </c>
      <c r="BN153" s="50" t="s">
        <v>12564</v>
      </c>
      <c r="BO153" s="50" t="s">
        <v>1108</v>
      </c>
      <c r="BP153" s="50" t="s">
        <v>350</v>
      </c>
      <c r="BQ153" s="50" t="s">
        <v>1109</v>
      </c>
      <c r="BR153" s="50" t="s">
        <v>1110</v>
      </c>
      <c r="BS153" s="50" t="s">
        <v>1111</v>
      </c>
      <c r="BU153" s="50" t="s">
        <v>12582</v>
      </c>
      <c r="BV153" s="50" t="s">
        <v>1113</v>
      </c>
      <c r="BW153" s="50" t="s">
        <v>138</v>
      </c>
      <c r="BX153" s="50" t="s">
        <v>1114</v>
      </c>
      <c r="BY153" s="50" t="s">
        <v>1115</v>
      </c>
      <c r="BZ153" s="50" t="s">
        <v>1114</v>
      </c>
      <c r="CA153" s="50" t="s">
        <v>12583</v>
      </c>
      <c r="CB153" s="50" t="s">
        <v>12584</v>
      </c>
      <c r="CC153" s="50" t="s">
        <v>12585</v>
      </c>
      <c r="CD153" s="50" t="s">
        <v>12586</v>
      </c>
      <c r="CE153" s="50" t="s">
        <v>12587</v>
      </c>
      <c r="CF153" s="50" t="s">
        <v>12588</v>
      </c>
      <c r="CG153" s="50" t="s">
        <v>102</v>
      </c>
      <c r="CH153" s="50" t="s">
        <v>12589</v>
      </c>
      <c r="CJ153" s="50" t="s">
        <v>1117</v>
      </c>
      <c r="CL153" s="50" t="s">
        <v>1104</v>
      </c>
      <c r="CM153" s="50" t="s">
        <v>449</v>
      </c>
      <c r="CN153" s="50" t="s">
        <v>1117</v>
      </c>
      <c r="CO153" s="50" t="s">
        <v>1118</v>
      </c>
      <c r="CP153" s="50" t="s">
        <v>1116</v>
      </c>
      <c r="CQ153" s="50" t="s">
        <v>1116</v>
      </c>
    </row>
    <row r="154" spans="1:96">
      <c r="A154" s="95" t="s">
        <v>149</v>
      </c>
      <c r="B154" s="50">
        <v>4156961</v>
      </c>
      <c r="C154" s="50" t="s">
        <v>12491</v>
      </c>
      <c r="D154" s="50" t="s">
        <v>8782</v>
      </c>
      <c r="E154" s="50" t="e">
        <f>VLOOKUP(B154,aa!B:F,5,0)</f>
        <v>#N/A</v>
      </c>
      <c r="F154" s="50" t="e">
        <f>VLOOKUP(B154,aa!B:J,9,0)</f>
        <v>#N/A</v>
      </c>
      <c r="G154" s="50" t="e">
        <f>VLOOKUP(B154,aa!B:L,11,0)</f>
        <v>#N/A</v>
      </c>
      <c r="H154" s="50" t="e">
        <f>VLOOKUP(B154,aa!B:O,14,0)</f>
        <v>#N/A</v>
      </c>
      <c r="I154" s="50" t="e">
        <f>VLOOKUP(B154,aa!B:R,17,0)</f>
        <v>#N/A</v>
      </c>
      <c r="K154" s="50" t="s">
        <v>193</v>
      </c>
      <c r="L154" s="50">
        <v>0</v>
      </c>
      <c r="M154" s="50">
        <v>0</v>
      </c>
      <c r="N154" s="50">
        <v>0</v>
      </c>
      <c r="O154" s="50">
        <v>83</v>
      </c>
      <c r="P154" s="50" t="s">
        <v>102</v>
      </c>
      <c r="Q154" s="50">
        <v>0</v>
      </c>
      <c r="R154" s="50">
        <v>0</v>
      </c>
      <c r="T154" s="50">
        <v>0</v>
      </c>
      <c r="U154" s="50">
        <v>37</v>
      </c>
      <c r="V154" s="50" t="s">
        <v>102</v>
      </c>
      <c r="W154" s="50" t="s">
        <v>102</v>
      </c>
      <c r="X154" s="50" t="s">
        <v>275</v>
      </c>
      <c r="Z154" s="50" t="s">
        <v>18207</v>
      </c>
      <c r="AA154" s="50" t="s">
        <v>109</v>
      </c>
      <c r="AB154" s="50" t="s">
        <v>102</v>
      </c>
      <c r="AC154" s="50" t="s">
        <v>109</v>
      </c>
      <c r="AD154" s="50" t="s">
        <v>102</v>
      </c>
      <c r="AE154" s="50" t="s">
        <v>109</v>
      </c>
      <c r="AF154" s="50" t="s">
        <v>102</v>
      </c>
      <c r="AG154" s="50" t="s">
        <v>109</v>
      </c>
      <c r="AH154" s="50" t="s">
        <v>102</v>
      </c>
      <c r="AI154" s="50" t="s">
        <v>102</v>
      </c>
      <c r="AL154" s="50" t="s">
        <v>102</v>
      </c>
      <c r="AM154" s="50" t="s">
        <v>102</v>
      </c>
      <c r="AN154" s="50" t="s">
        <v>102</v>
      </c>
      <c r="AO154" s="50" t="s">
        <v>115</v>
      </c>
      <c r="AP154" s="50" t="s">
        <v>115</v>
      </c>
      <c r="AU154" s="50" t="s">
        <v>588</v>
      </c>
      <c r="AV154" s="50" t="s">
        <v>2203</v>
      </c>
      <c r="AW154" s="50" t="s">
        <v>102</v>
      </c>
      <c r="AX154" s="50" t="s">
        <v>119</v>
      </c>
      <c r="BA154" s="50" t="s">
        <v>250</v>
      </c>
      <c r="BB154" s="50" t="s">
        <v>120</v>
      </c>
      <c r="BC154" s="50" t="s">
        <v>814</v>
      </c>
      <c r="BD154" s="50" t="s">
        <v>320</v>
      </c>
      <c r="BE154" s="50" t="s">
        <v>122</v>
      </c>
      <c r="BF154" s="50" t="s">
        <v>123</v>
      </c>
      <c r="BG154" s="50" t="s">
        <v>124</v>
      </c>
      <c r="BH154" s="50" t="s">
        <v>15312</v>
      </c>
      <c r="BI154" s="50" t="s">
        <v>11889</v>
      </c>
      <c r="BJ154" s="50" t="s">
        <v>127</v>
      </c>
      <c r="BK154" s="50" t="s">
        <v>18208</v>
      </c>
      <c r="BL154" s="50" t="s">
        <v>8786</v>
      </c>
      <c r="BM154" s="50" t="s">
        <v>18209</v>
      </c>
      <c r="BN154" s="50" t="s">
        <v>18206</v>
      </c>
      <c r="BO154" s="50" t="s">
        <v>8788</v>
      </c>
      <c r="BP154" s="50" t="s">
        <v>696</v>
      </c>
      <c r="BQ154" s="50" t="s">
        <v>8789</v>
      </c>
      <c r="BR154" s="50" t="s">
        <v>8790</v>
      </c>
      <c r="BS154" s="50" t="s">
        <v>1006</v>
      </c>
      <c r="BU154" s="50" t="s">
        <v>18210</v>
      </c>
      <c r="BV154" s="50" t="s">
        <v>18211</v>
      </c>
      <c r="BW154" s="50" t="s">
        <v>354</v>
      </c>
      <c r="BX154" s="50" t="s">
        <v>8792</v>
      </c>
      <c r="BY154" s="50" t="s">
        <v>18212</v>
      </c>
      <c r="BZ154" s="50" t="s">
        <v>8792</v>
      </c>
      <c r="CA154" s="50" t="s">
        <v>18211</v>
      </c>
      <c r="CB154" s="50" t="s">
        <v>8792</v>
      </c>
      <c r="CC154" s="50" t="s">
        <v>18212</v>
      </c>
      <c r="CD154" s="50" t="s">
        <v>18211</v>
      </c>
      <c r="CE154" s="50" t="s">
        <v>8792</v>
      </c>
      <c r="CF154" s="50" t="s">
        <v>18212</v>
      </c>
      <c r="CG154" s="50" t="s">
        <v>8793</v>
      </c>
      <c r="CH154" s="50" t="s">
        <v>8794</v>
      </c>
      <c r="CJ154" s="50" t="s">
        <v>8795</v>
      </c>
      <c r="CK154" s="50" t="s">
        <v>8794</v>
      </c>
      <c r="CL154" s="50" t="s">
        <v>814</v>
      </c>
      <c r="CM154" s="50" t="s">
        <v>320</v>
      </c>
      <c r="CN154" s="50" t="s">
        <v>8795</v>
      </c>
      <c r="CP154" s="50" t="s">
        <v>8794</v>
      </c>
      <c r="CQ154" s="50" t="s">
        <v>8794</v>
      </c>
    </row>
    <row r="155" spans="1:96">
      <c r="A155" s="95" t="s">
        <v>149</v>
      </c>
      <c r="B155" s="50">
        <v>393696</v>
      </c>
      <c r="C155" s="50" t="s">
        <v>1111</v>
      </c>
      <c r="D155" s="50" t="s">
        <v>7890</v>
      </c>
      <c r="E155" s="50" t="str">
        <f>VLOOKUP(B155,aa!B:F,5,0)</f>
        <v>Ei CARES</v>
      </c>
      <c r="F155" s="50">
        <f>VLOOKUP(B155,aa!B:J,9,0)</f>
        <v>2419290</v>
      </c>
      <c r="G155" s="50">
        <f>VLOOKUP(B155,aa!B:L,11,0)</f>
        <v>0</v>
      </c>
      <c r="H155" s="50">
        <f>VLOOKUP(B155,aa!B:O,14,0)</f>
        <v>2419290</v>
      </c>
      <c r="I155" s="50">
        <f>VLOOKUP(B155,aa!B:R,17,0)</f>
        <v>0</v>
      </c>
      <c r="K155" s="50" t="s">
        <v>152</v>
      </c>
      <c r="L155" s="50">
        <v>2358825</v>
      </c>
      <c r="M155" s="50">
        <v>2358825</v>
      </c>
      <c r="N155" s="50">
        <v>0</v>
      </c>
      <c r="O155" s="50">
        <v>0</v>
      </c>
      <c r="Q155" s="50">
        <v>2358825</v>
      </c>
      <c r="R155" s="50">
        <v>1545</v>
      </c>
      <c r="S155" s="50" t="s">
        <v>17341</v>
      </c>
      <c r="T155" s="50">
        <v>0</v>
      </c>
      <c r="U155" s="50">
        <v>0</v>
      </c>
      <c r="W155" s="50" t="s">
        <v>102</v>
      </c>
      <c r="X155" s="50" t="s">
        <v>679</v>
      </c>
      <c r="Y155" s="50" t="s">
        <v>155</v>
      </c>
      <c r="Z155" s="50" t="s">
        <v>8783</v>
      </c>
      <c r="AA155" s="50" t="s">
        <v>16659</v>
      </c>
      <c r="AB155" s="50" t="s">
        <v>17342</v>
      </c>
      <c r="AC155" s="50" t="s">
        <v>17343</v>
      </c>
      <c r="AD155" s="50" t="s">
        <v>17342</v>
      </c>
      <c r="AE155" s="50" t="s">
        <v>17344</v>
      </c>
      <c r="AF155" s="50" t="s">
        <v>17342</v>
      </c>
      <c r="AG155" s="50" t="s">
        <v>12216</v>
      </c>
      <c r="AH155" s="50" t="s">
        <v>17342</v>
      </c>
      <c r="AI155" s="50" t="s">
        <v>17345</v>
      </c>
      <c r="AJ155" s="50" t="s">
        <v>13511</v>
      </c>
      <c r="AK155" s="50" t="s">
        <v>15195</v>
      </c>
      <c r="AL155" s="50" t="s">
        <v>17346</v>
      </c>
      <c r="AM155" s="50" t="s">
        <v>17347</v>
      </c>
      <c r="AN155" s="50" t="s">
        <v>17348</v>
      </c>
      <c r="AO155" s="50" t="s">
        <v>17349</v>
      </c>
      <c r="AP155" s="50" t="s">
        <v>17349</v>
      </c>
      <c r="AU155" s="50" t="s">
        <v>102</v>
      </c>
      <c r="AW155" s="50" t="s">
        <v>801</v>
      </c>
      <c r="AX155" s="50" t="s">
        <v>249</v>
      </c>
      <c r="AY155" s="50" t="s">
        <v>170</v>
      </c>
      <c r="AZ155" s="50" t="s">
        <v>118</v>
      </c>
      <c r="BB155" s="50" t="s">
        <v>209</v>
      </c>
      <c r="BC155" s="50" t="s">
        <v>7901</v>
      </c>
      <c r="BD155" s="50" t="s">
        <v>4404</v>
      </c>
      <c r="BE155" s="50" t="s">
        <v>174</v>
      </c>
      <c r="BF155" s="50" t="s">
        <v>4405</v>
      </c>
      <c r="BG155" s="50" t="s">
        <v>124</v>
      </c>
      <c r="BH155" s="50" t="s">
        <v>6177</v>
      </c>
      <c r="BI155" s="50" t="s">
        <v>11979</v>
      </c>
      <c r="BJ155" s="50" t="s">
        <v>127</v>
      </c>
      <c r="BK155" s="50" t="s">
        <v>17350</v>
      </c>
      <c r="BL155" s="50" t="s">
        <v>7903</v>
      </c>
      <c r="BM155" s="50" t="s">
        <v>17351</v>
      </c>
      <c r="BN155" s="50" t="s">
        <v>17340</v>
      </c>
      <c r="BO155" s="50" t="s">
        <v>1108</v>
      </c>
      <c r="BP155" s="50" t="s">
        <v>13741</v>
      </c>
      <c r="BQ155" s="50" t="s">
        <v>1109</v>
      </c>
      <c r="BR155" s="50" t="s">
        <v>1110</v>
      </c>
      <c r="BS155" s="50" t="s">
        <v>4413</v>
      </c>
      <c r="BU155" s="50" t="s">
        <v>17352</v>
      </c>
      <c r="BV155" s="50" t="s">
        <v>17353</v>
      </c>
      <c r="BW155" s="50" t="s">
        <v>138</v>
      </c>
      <c r="BX155" s="50" t="s">
        <v>7907</v>
      </c>
      <c r="BY155" s="50" t="s">
        <v>7908</v>
      </c>
      <c r="BZ155" s="50" t="s">
        <v>7907</v>
      </c>
      <c r="CA155" s="50" t="s">
        <v>17354</v>
      </c>
      <c r="CB155" s="50" t="s">
        <v>7907</v>
      </c>
      <c r="CC155" s="50" t="s">
        <v>7908</v>
      </c>
      <c r="CD155" s="50" t="s">
        <v>17355</v>
      </c>
      <c r="CE155" s="50" t="s">
        <v>7907</v>
      </c>
      <c r="CF155" s="50" t="s">
        <v>17356</v>
      </c>
      <c r="CG155" s="50" t="s">
        <v>102</v>
      </c>
      <c r="CH155" s="50" t="s">
        <v>7912</v>
      </c>
      <c r="CJ155" s="50" t="s">
        <v>7913</v>
      </c>
      <c r="CL155" s="50" t="s">
        <v>7901</v>
      </c>
      <c r="CM155" s="50" t="s">
        <v>4404</v>
      </c>
      <c r="CN155" s="50" t="s">
        <v>7913</v>
      </c>
      <c r="CO155" s="50" t="s">
        <v>7915</v>
      </c>
      <c r="CP155" s="50" t="s">
        <v>7912</v>
      </c>
      <c r="CQ155" s="50" t="s">
        <v>7914</v>
      </c>
    </row>
    <row r="156" spans="1:96">
      <c r="A156" s="95" t="s">
        <v>149</v>
      </c>
      <c r="B156" s="50">
        <v>3886389</v>
      </c>
      <c r="C156" s="50" t="s">
        <v>11882</v>
      </c>
      <c r="D156" s="50" t="s">
        <v>7827</v>
      </c>
      <c r="E156" s="50" t="e">
        <f>VLOOKUP(B156,aa!B:F,5,0)</f>
        <v>#N/A</v>
      </c>
      <c r="F156" s="50" t="e">
        <f>VLOOKUP(B156,aa!B:J,9,0)</f>
        <v>#N/A</v>
      </c>
      <c r="G156" s="50" t="e">
        <f>VLOOKUP(B156,aa!B:L,11,0)</f>
        <v>#N/A</v>
      </c>
      <c r="H156" s="50" t="e">
        <f>VLOOKUP(B156,aa!B:O,14,0)</f>
        <v>#N/A</v>
      </c>
      <c r="I156" s="50" t="e">
        <f>VLOOKUP(B156,aa!B:R,17,0)</f>
        <v>#N/A</v>
      </c>
      <c r="K156" s="50" t="s">
        <v>2163</v>
      </c>
      <c r="L156" s="50">
        <v>483135</v>
      </c>
      <c r="M156" s="50">
        <v>530435</v>
      </c>
      <c r="N156" s="50">
        <v>66600</v>
      </c>
      <c r="O156" s="50">
        <v>111</v>
      </c>
      <c r="P156" s="50" t="s">
        <v>310</v>
      </c>
      <c r="Q156" s="50">
        <v>153759</v>
      </c>
      <c r="R156" s="50">
        <v>111</v>
      </c>
      <c r="S156" s="50" t="s">
        <v>17262</v>
      </c>
      <c r="T156" s="50">
        <v>262776</v>
      </c>
      <c r="U156" s="50">
        <v>112</v>
      </c>
      <c r="V156" s="50" t="s">
        <v>17263</v>
      </c>
      <c r="W156" s="50" t="s">
        <v>102</v>
      </c>
      <c r="X156" s="50" t="s">
        <v>679</v>
      </c>
      <c r="Y156" s="50" t="s">
        <v>155</v>
      </c>
      <c r="Z156" s="50" t="s">
        <v>8199</v>
      </c>
      <c r="AA156" s="50" t="s">
        <v>16037</v>
      </c>
      <c r="AB156" s="50" t="s">
        <v>17264</v>
      </c>
      <c r="AC156" s="50" t="s">
        <v>17265</v>
      </c>
      <c r="AD156" s="50" t="s">
        <v>17264</v>
      </c>
      <c r="AE156" s="50" t="s">
        <v>15488</v>
      </c>
      <c r="AF156" s="50" t="s">
        <v>17264</v>
      </c>
      <c r="AG156" s="50" t="s">
        <v>13263</v>
      </c>
      <c r="AH156" s="50" t="s">
        <v>17264</v>
      </c>
      <c r="AI156" s="50" t="s">
        <v>102</v>
      </c>
      <c r="AL156" s="50" t="s">
        <v>17266</v>
      </c>
      <c r="AM156" s="50" t="s">
        <v>102</v>
      </c>
      <c r="AN156" s="50" t="s">
        <v>17266</v>
      </c>
      <c r="AO156" s="50" t="s">
        <v>17267</v>
      </c>
      <c r="AP156" s="50" t="s">
        <v>17268</v>
      </c>
      <c r="AT156" s="50" t="s">
        <v>169</v>
      </c>
      <c r="AU156" s="50" t="s">
        <v>207</v>
      </c>
      <c r="AV156" s="50" t="s">
        <v>118</v>
      </c>
      <c r="AW156" s="50" t="s">
        <v>655</v>
      </c>
      <c r="AX156" s="50" t="s">
        <v>119</v>
      </c>
      <c r="AZ156" s="50" t="s">
        <v>250</v>
      </c>
      <c r="BA156" s="50" t="s">
        <v>250</v>
      </c>
      <c r="BB156" s="50" t="s">
        <v>1242</v>
      </c>
      <c r="BC156" s="50" t="s">
        <v>1407</v>
      </c>
      <c r="BD156" s="50" t="s">
        <v>449</v>
      </c>
      <c r="BE156" s="50" t="s">
        <v>122</v>
      </c>
      <c r="BF156" s="50" t="s">
        <v>450</v>
      </c>
      <c r="BG156" s="50" t="s">
        <v>124</v>
      </c>
      <c r="BH156" s="50" t="s">
        <v>17269</v>
      </c>
      <c r="BI156" s="50" t="s">
        <v>12963</v>
      </c>
      <c r="BJ156" s="50" t="s">
        <v>127</v>
      </c>
      <c r="BK156" s="50" t="s">
        <v>17270</v>
      </c>
      <c r="BL156" s="50" t="s">
        <v>7839</v>
      </c>
      <c r="BM156" s="50" t="s">
        <v>17271</v>
      </c>
      <c r="BN156" s="50" t="s">
        <v>17261</v>
      </c>
      <c r="BO156" s="50" t="s">
        <v>3267</v>
      </c>
      <c r="BP156" s="50" t="s">
        <v>350</v>
      </c>
      <c r="BQ156" s="50" t="s">
        <v>3268</v>
      </c>
      <c r="BR156" s="50" t="s">
        <v>3269</v>
      </c>
      <c r="BS156" s="50" t="s">
        <v>135</v>
      </c>
      <c r="BU156" s="50" t="s">
        <v>17272</v>
      </c>
      <c r="BV156" s="50" t="s">
        <v>17273</v>
      </c>
      <c r="BW156" s="50" t="s">
        <v>3121</v>
      </c>
      <c r="BX156" s="50" t="s">
        <v>7843</v>
      </c>
      <c r="BY156" s="50" t="s">
        <v>7844</v>
      </c>
      <c r="BZ156" s="50" t="s">
        <v>7845</v>
      </c>
      <c r="CA156" s="50" t="s">
        <v>17273</v>
      </c>
      <c r="CB156" s="50" t="s">
        <v>7843</v>
      </c>
      <c r="CC156" s="50" t="s">
        <v>7844</v>
      </c>
      <c r="CD156" s="50" t="s">
        <v>17273</v>
      </c>
      <c r="CE156" s="50" t="s">
        <v>7843</v>
      </c>
      <c r="CF156" s="50" t="s">
        <v>7844</v>
      </c>
      <c r="CG156" s="50" t="s">
        <v>102</v>
      </c>
      <c r="CH156" s="50" t="s">
        <v>17274</v>
      </c>
      <c r="CJ156" s="50" t="s">
        <v>1419</v>
      </c>
      <c r="CL156" s="50" t="s">
        <v>1407</v>
      </c>
      <c r="CM156" s="50" t="s">
        <v>449</v>
      </c>
      <c r="CN156" s="50" t="s">
        <v>1419</v>
      </c>
      <c r="CP156" s="50" t="s">
        <v>7846</v>
      </c>
      <c r="CQ156" s="50" t="s">
        <v>7846</v>
      </c>
    </row>
    <row r="157" spans="1:96">
      <c r="A157" s="50" t="s">
        <v>93</v>
      </c>
      <c r="B157" s="50">
        <v>2470230</v>
      </c>
      <c r="C157" s="50" t="s">
        <v>2151</v>
      </c>
      <c r="D157" s="50" t="s">
        <v>14077</v>
      </c>
      <c r="E157" s="50" t="str">
        <f>VLOOKUP(B157,aa!B:F,5,0)</f>
        <v>Ei Mindspark</v>
      </c>
      <c r="F157" s="50">
        <f>VLOOKUP(B157,aa!B:J,9,0)</f>
        <v>0</v>
      </c>
      <c r="G157" s="50">
        <f>VLOOKUP(B157,aa!B:L,11,0)</f>
        <v>0</v>
      </c>
      <c r="H157" s="50">
        <f>VLOOKUP(B157,aa!B:O,14,0)</f>
        <v>0</v>
      </c>
      <c r="I157" s="50">
        <f>VLOOKUP(B157,aa!B:R,17,0)</f>
        <v>0</v>
      </c>
      <c r="K157" s="50" t="s">
        <v>848</v>
      </c>
      <c r="L157" s="50">
        <v>1630650</v>
      </c>
      <c r="M157" s="50">
        <v>1924167</v>
      </c>
      <c r="N157" s="50">
        <v>0</v>
      </c>
      <c r="O157" s="50">
        <v>0</v>
      </c>
      <c r="Q157" s="50">
        <v>0</v>
      </c>
      <c r="R157" s="50">
        <v>0</v>
      </c>
      <c r="T157" s="50">
        <v>1630650</v>
      </c>
      <c r="U157" s="50">
        <v>590</v>
      </c>
      <c r="V157" s="50" t="s">
        <v>14079</v>
      </c>
      <c r="W157" s="50" t="s">
        <v>102</v>
      </c>
      <c r="X157" s="50" t="s">
        <v>679</v>
      </c>
      <c r="Y157" s="50" t="s">
        <v>155</v>
      </c>
      <c r="Z157" s="50" t="s">
        <v>14080</v>
      </c>
      <c r="AA157" s="50" t="s">
        <v>14081</v>
      </c>
      <c r="AB157" s="50" t="s">
        <v>14082</v>
      </c>
      <c r="AC157" s="50" t="s">
        <v>14083</v>
      </c>
      <c r="AD157" s="50" t="s">
        <v>14082</v>
      </c>
      <c r="AE157" s="50" t="s">
        <v>12628</v>
      </c>
      <c r="AF157" s="50" t="s">
        <v>14082</v>
      </c>
      <c r="AG157" s="50" t="s">
        <v>14084</v>
      </c>
      <c r="AH157" s="50" t="s">
        <v>14082</v>
      </c>
      <c r="AI157" s="50" t="s">
        <v>14085</v>
      </c>
      <c r="AJ157" s="50" t="s">
        <v>559</v>
      </c>
      <c r="AK157" s="50" t="s">
        <v>13964</v>
      </c>
      <c r="AL157" s="50" t="s">
        <v>14086</v>
      </c>
      <c r="AM157" s="50" t="s">
        <v>14087</v>
      </c>
      <c r="AN157" s="50" t="s">
        <v>14088</v>
      </c>
      <c r="AO157" s="50" t="s">
        <v>14089</v>
      </c>
      <c r="AP157" s="50" t="s">
        <v>14089</v>
      </c>
      <c r="AU157" s="50" t="s">
        <v>102</v>
      </c>
      <c r="AW157" s="50" t="s">
        <v>102</v>
      </c>
      <c r="AX157" s="50" t="s">
        <v>119</v>
      </c>
      <c r="BA157" s="50" t="s">
        <v>250</v>
      </c>
      <c r="BB157" s="50" t="s">
        <v>120</v>
      </c>
      <c r="BC157" s="50" t="s">
        <v>7718</v>
      </c>
      <c r="BD157" s="50" t="s">
        <v>211</v>
      </c>
      <c r="BE157" s="50" t="s">
        <v>212</v>
      </c>
      <c r="BF157" s="50" t="s">
        <v>213</v>
      </c>
      <c r="BG157" s="50" t="s">
        <v>124</v>
      </c>
      <c r="BH157" s="50" t="s">
        <v>14090</v>
      </c>
      <c r="BI157" s="50" t="s">
        <v>14091</v>
      </c>
      <c r="BJ157" s="50" t="s">
        <v>127</v>
      </c>
      <c r="BK157" s="50" t="s">
        <v>14092</v>
      </c>
      <c r="BL157" s="50" t="s">
        <v>14093</v>
      </c>
      <c r="BM157" s="50" t="s">
        <v>14094</v>
      </c>
      <c r="BN157" s="50" t="s">
        <v>14078</v>
      </c>
      <c r="BO157" s="50" t="s">
        <v>13874</v>
      </c>
      <c r="BP157" s="50" t="s">
        <v>180</v>
      </c>
      <c r="BQ157" s="50" t="s">
        <v>13876</v>
      </c>
      <c r="BR157" s="50" t="s">
        <v>13877</v>
      </c>
      <c r="BS157" s="50" t="s">
        <v>2463</v>
      </c>
      <c r="BU157" s="50" t="s">
        <v>14095</v>
      </c>
      <c r="BV157" s="50" t="s">
        <v>14096</v>
      </c>
      <c r="BW157" s="50" t="s">
        <v>1282</v>
      </c>
      <c r="BX157" s="50" t="s">
        <v>14097</v>
      </c>
      <c r="BY157" s="50" t="s">
        <v>14098</v>
      </c>
      <c r="BZ157" s="50" t="s">
        <v>14099</v>
      </c>
      <c r="CA157" s="50" t="s">
        <v>14096</v>
      </c>
      <c r="CB157" s="50" t="s">
        <v>14097</v>
      </c>
      <c r="CC157" s="50" t="s">
        <v>14098</v>
      </c>
      <c r="CD157" s="50" t="s">
        <v>14100</v>
      </c>
      <c r="CE157" s="50" t="s">
        <v>14101</v>
      </c>
      <c r="CF157" s="50" t="s">
        <v>14102</v>
      </c>
      <c r="CG157" s="50" t="s">
        <v>14103</v>
      </c>
      <c r="CH157" s="50" t="s">
        <v>14104</v>
      </c>
      <c r="CJ157" s="50" t="s">
        <v>5844</v>
      </c>
      <c r="CL157" s="50" t="s">
        <v>7718</v>
      </c>
      <c r="CM157" s="50" t="s">
        <v>2474</v>
      </c>
      <c r="CN157" s="50" t="s">
        <v>5844</v>
      </c>
      <c r="CO157" s="50" t="s">
        <v>14105</v>
      </c>
      <c r="CP157" s="50" t="s">
        <v>14106</v>
      </c>
      <c r="CQ157" s="50" t="s">
        <v>14106</v>
      </c>
      <c r="CR157" s="50" t="s">
        <v>26045</v>
      </c>
    </row>
    <row r="158" spans="1:96">
      <c r="A158" s="95" t="s">
        <v>149</v>
      </c>
      <c r="B158" s="50">
        <v>3286324</v>
      </c>
      <c r="C158" s="50" t="s">
        <v>418</v>
      </c>
      <c r="D158" s="50" t="s">
        <v>5313</v>
      </c>
      <c r="E158" s="50" t="str">
        <f>VLOOKUP(B158,aa!B:F,5,0)</f>
        <v>Ei ASSET,Ei Mindspark</v>
      </c>
      <c r="F158" s="50">
        <f>VLOOKUP(B158,aa!B:J,9,0)</f>
        <v>2020993</v>
      </c>
      <c r="G158" s="50">
        <f>VLOOKUP(B158,aa!B:L,11,0)</f>
        <v>753663</v>
      </c>
      <c r="H158" s="50">
        <f>VLOOKUP(B158,aa!B:O,14,0)</f>
        <v>0</v>
      </c>
      <c r="I158" s="50">
        <f>VLOOKUP(B158,aa!B:R,17,0)</f>
        <v>1267330</v>
      </c>
      <c r="K158" s="50" t="s">
        <v>3549</v>
      </c>
      <c r="L158" s="50">
        <v>1876071</v>
      </c>
      <c r="M158" s="50">
        <v>2086630</v>
      </c>
      <c r="N158" s="50">
        <v>706301</v>
      </c>
      <c r="O158" s="50">
        <v>1044</v>
      </c>
      <c r="P158" s="50" t="s">
        <v>15388</v>
      </c>
      <c r="Q158" s="50">
        <v>0</v>
      </c>
      <c r="R158" s="50">
        <v>0</v>
      </c>
      <c r="T158" s="50">
        <v>1169770</v>
      </c>
      <c r="U158" s="50">
        <v>882</v>
      </c>
      <c r="V158" s="50" t="s">
        <v>15389</v>
      </c>
      <c r="W158" s="50" t="s">
        <v>102</v>
      </c>
      <c r="X158" s="50" t="s">
        <v>103</v>
      </c>
      <c r="Y158" s="50" t="s">
        <v>398</v>
      </c>
      <c r="AA158" s="50" t="s">
        <v>1305</v>
      </c>
      <c r="AB158" s="50" t="s">
        <v>15390</v>
      </c>
      <c r="AC158" s="50" t="s">
        <v>12467</v>
      </c>
      <c r="AD158" s="50" t="s">
        <v>15390</v>
      </c>
      <c r="AE158" s="50" t="s">
        <v>11952</v>
      </c>
      <c r="AF158" s="50" t="s">
        <v>15391</v>
      </c>
      <c r="AG158" s="50" t="s">
        <v>109</v>
      </c>
      <c r="AH158" s="50" t="s">
        <v>102</v>
      </c>
      <c r="AI158" s="50" t="s">
        <v>15392</v>
      </c>
      <c r="AJ158" s="50" t="s">
        <v>13216</v>
      </c>
      <c r="AK158" s="50" t="s">
        <v>13064</v>
      </c>
      <c r="AL158" s="50" t="s">
        <v>15393</v>
      </c>
      <c r="AM158" s="50" t="s">
        <v>15394</v>
      </c>
      <c r="AN158" s="50" t="s">
        <v>15395</v>
      </c>
      <c r="AO158" s="50" t="s">
        <v>15396</v>
      </c>
      <c r="AP158" s="50" t="s">
        <v>15396</v>
      </c>
      <c r="AU158" s="50" t="s">
        <v>318</v>
      </c>
      <c r="AV158" s="50" t="s">
        <v>118</v>
      </c>
      <c r="AW158" s="50" t="s">
        <v>102</v>
      </c>
      <c r="AX158" s="50" t="s">
        <v>119</v>
      </c>
      <c r="BA158" s="50" t="s">
        <v>250</v>
      </c>
      <c r="BB158" s="50" t="s">
        <v>120</v>
      </c>
      <c r="BC158" s="50" t="s">
        <v>920</v>
      </c>
      <c r="BD158" s="50" t="s">
        <v>211</v>
      </c>
      <c r="BE158" s="50" t="s">
        <v>212</v>
      </c>
      <c r="BF158" s="50" t="s">
        <v>213</v>
      </c>
      <c r="BG158" s="50" t="s">
        <v>124</v>
      </c>
      <c r="BH158" s="50" t="s">
        <v>8537</v>
      </c>
      <c r="BI158" s="50" t="s">
        <v>11960</v>
      </c>
      <c r="BJ158" s="50" t="s">
        <v>127</v>
      </c>
      <c r="BK158" s="50" t="s">
        <v>15397</v>
      </c>
      <c r="BL158" s="50" t="s">
        <v>5332</v>
      </c>
      <c r="BM158" s="50" t="s">
        <v>15398</v>
      </c>
      <c r="BN158" s="50" t="s">
        <v>2950</v>
      </c>
      <c r="BO158" s="50" t="s">
        <v>7108</v>
      </c>
      <c r="BP158" s="50" t="s">
        <v>180</v>
      </c>
      <c r="BQ158" s="50" t="s">
        <v>7109</v>
      </c>
      <c r="BR158" s="50" t="s">
        <v>2151</v>
      </c>
      <c r="BS158" s="50" t="s">
        <v>2151</v>
      </c>
      <c r="BU158" s="50" t="s">
        <v>15399</v>
      </c>
      <c r="BV158" s="50" t="s">
        <v>15400</v>
      </c>
      <c r="BW158" s="50" t="s">
        <v>138</v>
      </c>
      <c r="BX158" s="50" t="s">
        <v>5338</v>
      </c>
      <c r="BY158" s="50" t="s">
        <v>11527</v>
      </c>
      <c r="BZ158" s="50" t="s">
        <v>5338</v>
      </c>
      <c r="CA158" s="50" t="s">
        <v>15400</v>
      </c>
      <c r="CB158" s="50" t="s">
        <v>5338</v>
      </c>
      <c r="CC158" s="50" t="s">
        <v>11527</v>
      </c>
      <c r="CD158" s="50" t="s">
        <v>15400</v>
      </c>
      <c r="CE158" s="50" t="s">
        <v>5338</v>
      </c>
      <c r="CF158" s="50" t="s">
        <v>11527</v>
      </c>
      <c r="CG158" s="50" t="s">
        <v>102</v>
      </c>
      <c r="CH158" s="50" t="s">
        <v>5344</v>
      </c>
      <c r="CJ158" s="50" t="s">
        <v>5345</v>
      </c>
      <c r="CL158" s="50" t="s">
        <v>920</v>
      </c>
      <c r="CM158" s="50" t="s">
        <v>211</v>
      </c>
      <c r="CN158" s="50" t="s">
        <v>5345</v>
      </c>
      <c r="CO158" s="50" t="s">
        <v>5346</v>
      </c>
      <c r="CP158" s="50" t="s">
        <v>5344</v>
      </c>
      <c r="CQ158" s="50" t="s">
        <v>5344</v>
      </c>
      <c r="CR158" s="50" t="s">
        <v>26040</v>
      </c>
    </row>
    <row r="159" spans="1:96">
      <c r="A159" s="95" t="s">
        <v>149</v>
      </c>
      <c r="B159" s="50">
        <v>650967</v>
      </c>
      <c r="C159" s="50" t="s">
        <v>418</v>
      </c>
      <c r="D159" s="50" t="s">
        <v>11512</v>
      </c>
      <c r="E159" s="50" t="str">
        <f>VLOOKUP(B159,aa!B:F,5,0)</f>
        <v>Ei ASSET,Ei Mindspark</v>
      </c>
      <c r="F159" s="50">
        <f>VLOOKUP(B159,aa!B:J,9,0)</f>
        <v>2110253</v>
      </c>
      <c r="G159" s="50">
        <f>VLOOKUP(B159,aa!B:L,11,0)</f>
        <v>782574</v>
      </c>
      <c r="H159" s="50">
        <f>VLOOKUP(B159,aa!B:O,14,0)</f>
        <v>0</v>
      </c>
      <c r="I159" s="50">
        <f>VLOOKUP(B159,aa!B:R,17,0)</f>
        <v>1327679</v>
      </c>
      <c r="K159" s="50" t="s">
        <v>3549</v>
      </c>
      <c r="L159" s="50">
        <v>1895266</v>
      </c>
      <c r="M159" s="50">
        <v>2109307</v>
      </c>
      <c r="N159" s="50">
        <v>706149</v>
      </c>
      <c r="O159" s="50">
        <v>1044</v>
      </c>
      <c r="P159" s="50" t="s">
        <v>21402</v>
      </c>
      <c r="Q159" s="50">
        <v>0</v>
      </c>
      <c r="R159" s="50">
        <v>0</v>
      </c>
      <c r="T159" s="50">
        <v>1189117</v>
      </c>
      <c r="U159" s="50">
        <v>897</v>
      </c>
      <c r="V159" s="50" t="s">
        <v>15389</v>
      </c>
      <c r="W159" s="50" t="s">
        <v>102</v>
      </c>
      <c r="X159" s="50" t="s">
        <v>103</v>
      </c>
      <c r="Y159" s="50" t="s">
        <v>398</v>
      </c>
      <c r="AA159" s="50" t="s">
        <v>1305</v>
      </c>
      <c r="AB159" s="50" t="s">
        <v>21403</v>
      </c>
      <c r="AC159" s="50" t="s">
        <v>12467</v>
      </c>
      <c r="AD159" s="50" t="s">
        <v>21403</v>
      </c>
      <c r="AE159" s="50" t="s">
        <v>11952</v>
      </c>
      <c r="AF159" s="50" t="s">
        <v>21404</v>
      </c>
      <c r="AG159" s="50" t="s">
        <v>109</v>
      </c>
      <c r="AH159" s="50" t="s">
        <v>102</v>
      </c>
      <c r="AI159" s="50" t="s">
        <v>21405</v>
      </c>
      <c r="AJ159" s="50" t="s">
        <v>13216</v>
      </c>
      <c r="AK159" s="50" t="s">
        <v>13064</v>
      </c>
      <c r="AL159" s="50" t="s">
        <v>21406</v>
      </c>
      <c r="AM159" s="50" t="s">
        <v>21407</v>
      </c>
      <c r="AN159" s="50" t="s">
        <v>21408</v>
      </c>
      <c r="AO159" s="50" t="s">
        <v>21409</v>
      </c>
      <c r="AP159" s="50" t="s">
        <v>21409</v>
      </c>
      <c r="AU159" s="50" t="s">
        <v>318</v>
      </c>
      <c r="AV159" s="50" t="s">
        <v>118</v>
      </c>
      <c r="AW159" s="50" t="s">
        <v>102</v>
      </c>
      <c r="AX159" s="50" t="s">
        <v>119</v>
      </c>
      <c r="BA159" s="50" t="s">
        <v>250</v>
      </c>
      <c r="BB159" s="50" t="s">
        <v>120</v>
      </c>
      <c r="BC159" s="50" t="s">
        <v>920</v>
      </c>
      <c r="BD159" s="50" t="s">
        <v>211</v>
      </c>
      <c r="BE159" s="50" t="s">
        <v>212</v>
      </c>
      <c r="BF159" s="50" t="s">
        <v>213</v>
      </c>
      <c r="BG159" s="50" t="s">
        <v>124</v>
      </c>
      <c r="BH159" s="50" t="s">
        <v>8537</v>
      </c>
      <c r="BI159" s="50" t="s">
        <v>11960</v>
      </c>
      <c r="BJ159" s="50" t="s">
        <v>127</v>
      </c>
      <c r="BK159" s="50" t="s">
        <v>21410</v>
      </c>
      <c r="BL159" s="50" t="s">
        <v>11523</v>
      </c>
      <c r="BM159" s="50" t="s">
        <v>21411</v>
      </c>
      <c r="BN159" s="50" t="s">
        <v>2950</v>
      </c>
      <c r="BO159" s="50" t="s">
        <v>7108</v>
      </c>
      <c r="BP159" s="50" t="s">
        <v>180</v>
      </c>
      <c r="BQ159" s="50" t="s">
        <v>7109</v>
      </c>
      <c r="BR159" s="50" t="s">
        <v>2151</v>
      </c>
      <c r="BS159" s="50" t="s">
        <v>2151</v>
      </c>
      <c r="BU159" s="50" t="s">
        <v>21412</v>
      </c>
      <c r="BV159" s="50" t="s">
        <v>21413</v>
      </c>
      <c r="BW159" s="50" t="s">
        <v>138</v>
      </c>
      <c r="BX159" s="50" t="s">
        <v>5338</v>
      </c>
      <c r="BY159" s="50" t="s">
        <v>11527</v>
      </c>
      <c r="BZ159" s="50" t="s">
        <v>5338</v>
      </c>
      <c r="CA159" s="50" t="s">
        <v>21413</v>
      </c>
      <c r="CB159" s="50" t="s">
        <v>5338</v>
      </c>
      <c r="CC159" s="50" t="s">
        <v>11527</v>
      </c>
      <c r="CD159" s="50" t="s">
        <v>21413</v>
      </c>
      <c r="CE159" s="50" t="s">
        <v>5338</v>
      </c>
      <c r="CF159" s="50" t="s">
        <v>11527</v>
      </c>
      <c r="CG159" s="50" t="s">
        <v>102</v>
      </c>
      <c r="CH159" s="50" t="s">
        <v>11531</v>
      </c>
      <c r="CJ159" s="50" t="s">
        <v>9938</v>
      </c>
      <c r="CL159" s="50" t="s">
        <v>920</v>
      </c>
      <c r="CM159" s="50" t="s">
        <v>211</v>
      </c>
      <c r="CN159" s="50" t="s">
        <v>9938</v>
      </c>
      <c r="CO159" s="50" t="s">
        <v>5346</v>
      </c>
      <c r="CP159" s="50" t="s">
        <v>11531</v>
      </c>
      <c r="CQ159" s="50" t="s">
        <v>11531</v>
      </c>
      <c r="CR159" s="50" t="s">
        <v>26040</v>
      </c>
    </row>
    <row r="160" spans="1:96">
      <c r="A160" s="50" t="s">
        <v>93</v>
      </c>
      <c r="B160" s="50">
        <v>5018499</v>
      </c>
      <c r="C160" s="50" t="s">
        <v>11898</v>
      </c>
      <c r="D160" s="50" t="s">
        <v>19919</v>
      </c>
      <c r="E160" s="50" t="str">
        <f>VLOOKUP(B160,aa!B:F,5,0)</f>
        <v>Ei ASSET</v>
      </c>
      <c r="F160" s="50">
        <f>VLOOKUP(B160,aa!B:J,9,0)</f>
        <v>438375</v>
      </c>
      <c r="G160" s="50">
        <f>VLOOKUP(B160,aa!B:L,11,0)</f>
        <v>438375</v>
      </c>
      <c r="H160" s="50">
        <f>VLOOKUP(B160,aa!B:O,14,0)</f>
        <v>0</v>
      </c>
      <c r="I160" s="50">
        <f>VLOOKUP(B160,aa!B:R,17,0)</f>
        <v>0</v>
      </c>
      <c r="K160" s="50" t="s">
        <v>675</v>
      </c>
      <c r="L160" s="50">
        <v>777687</v>
      </c>
      <c r="M160" s="50">
        <v>777687</v>
      </c>
      <c r="N160" s="50">
        <v>419958</v>
      </c>
      <c r="O160" s="50">
        <v>840</v>
      </c>
      <c r="P160" s="50" t="s">
        <v>364</v>
      </c>
      <c r="Q160" s="50">
        <v>357729</v>
      </c>
      <c r="R160" s="50">
        <v>265</v>
      </c>
      <c r="S160" s="50" t="s">
        <v>397</v>
      </c>
      <c r="T160" s="50">
        <v>0</v>
      </c>
      <c r="U160" s="50">
        <v>0</v>
      </c>
      <c r="W160" s="50" t="s">
        <v>102</v>
      </c>
      <c r="X160" s="50" t="s">
        <v>103</v>
      </c>
      <c r="Y160" s="50" t="s">
        <v>938</v>
      </c>
      <c r="AA160" s="50" t="s">
        <v>19920</v>
      </c>
      <c r="AB160" s="50" t="s">
        <v>19921</v>
      </c>
      <c r="AC160" s="50" t="s">
        <v>19922</v>
      </c>
      <c r="AD160" s="50" t="s">
        <v>19923</v>
      </c>
      <c r="AE160" s="50" t="s">
        <v>19924</v>
      </c>
      <c r="AF160" s="50" t="s">
        <v>19921</v>
      </c>
      <c r="AG160" s="50" t="s">
        <v>12216</v>
      </c>
      <c r="AH160" s="50" t="s">
        <v>19925</v>
      </c>
      <c r="AI160" s="50" t="s">
        <v>19926</v>
      </c>
      <c r="AJ160" s="50" t="s">
        <v>559</v>
      </c>
      <c r="AK160" s="50" t="s">
        <v>19927</v>
      </c>
      <c r="AL160" s="50" t="s">
        <v>19928</v>
      </c>
      <c r="AM160" s="50" t="s">
        <v>19929</v>
      </c>
      <c r="AN160" s="50" t="s">
        <v>19930</v>
      </c>
      <c r="AO160" s="50" t="s">
        <v>19931</v>
      </c>
      <c r="AP160" s="50" t="s">
        <v>19931</v>
      </c>
      <c r="AU160" s="50" t="s">
        <v>247</v>
      </c>
      <c r="AV160" s="50" t="s">
        <v>118</v>
      </c>
      <c r="AW160" s="50" t="s">
        <v>655</v>
      </c>
      <c r="AX160" s="50" t="s">
        <v>249</v>
      </c>
      <c r="AY160" s="50" t="s">
        <v>170</v>
      </c>
      <c r="AZ160" s="50" t="s">
        <v>118</v>
      </c>
      <c r="BB160" s="50" t="s">
        <v>120</v>
      </c>
      <c r="BC160" s="50" t="s">
        <v>8930</v>
      </c>
      <c r="BD160" s="50" t="s">
        <v>8930</v>
      </c>
      <c r="BE160" s="50" t="s">
        <v>122</v>
      </c>
      <c r="BF160" s="50" t="s">
        <v>346</v>
      </c>
      <c r="BG160" s="50" t="s">
        <v>124</v>
      </c>
      <c r="BH160" s="50" t="s">
        <v>12023</v>
      </c>
      <c r="BI160" s="50" t="s">
        <v>11889</v>
      </c>
      <c r="BJ160" s="50" t="s">
        <v>127</v>
      </c>
      <c r="BK160" s="50" t="s">
        <v>19932</v>
      </c>
      <c r="BL160" s="50" t="s">
        <v>19933</v>
      </c>
      <c r="BM160" s="50" t="s">
        <v>19934</v>
      </c>
      <c r="BN160" s="50" t="s">
        <v>19920</v>
      </c>
      <c r="BO160" s="50" t="s">
        <v>349</v>
      </c>
      <c r="BP160" s="50" t="s">
        <v>2928</v>
      </c>
      <c r="BQ160" s="50" t="s">
        <v>351</v>
      </c>
      <c r="BR160" s="50" t="s">
        <v>352</v>
      </c>
      <c r="BS160" s="50" t="s">
        <v>6249</v>
      </c>
      <c r="BU160" s="50" t="s">
        <v>19935</v>
      </c>
      <c r="BV160" s="50" t="s">
        <v>19936</v>
      </c>
      <c r="BW160" s="50" t="s">
        <v>138</v>
      </c>
      <c r="BX160" s="50" t="s">
        <v>19937</v>
      </c>
      <c r="BY160" s="50" t="s">
        <v>19938</v>
      </c>
      <c r="BZ160" s="50" t="s">
        <v>19939</v>
      </c>
      <c r="CA160" s="50" t="s">
        <v>19940</v>
      </c>
      <c r="CB160" s="50" t="s">
        <v>19941</v>
      </c>
      <c r="CC160" s="50" t="s">
        <v>19942</v>
      </c>
      <c r="CD160" s="50" t="s">
        <v>19940</v>
      </c>
      <c r="CE160" s="50" t="s">
        <v>19941</v>
      </c>
      <c r="CF160" s="50" t="s">
        <v>19942</v>
      </c>
      <c r="CG160" s="50" t="s">
        <v>19943</v>
      </c>
      <c r="CH160" s="50" t="s">
        <v>19944</v>
      </c>
      <c r="CJ160" s="50" t="s">
        <v>19945</v>
      </c>
      <c r="CK160" s="50" t="s">
        <v>19946</v>
      </c>
      <c r="CL160" s="50" t="s">
        <v>8930</v>
      </c>
      <c r="CM160" s="50" t="s">
        <v>8930</v>
      </c>
      <c r="CN160" s="50" t="s">
        <v>19945</v>
      </c>
      <c r="CP160" s="50" t="s">
        <v>19947</v>
      </c>
      <c r="CQ160" s="50" t="s">
        <v>19947</v>
      </c>
    </row>
    <row r="161" spans="1:96">
      <c r="A161" s="95" t="s">
        <v>149</v>
      </c>
      <c r="B161" s="50">
        <v>1873384</v>
      </c>
      <c r="C161" s="50" t="s">
        <v>985</v>
      </c>
      <c r="D161" s="50" t="s">
        <v>2122</v>
      </c>
      <c r="E161" s="50" t="e">
        <f>VLOOKUP(B161,aa!B:F,5,0)</f>
        <v>#N/A</v>
      </c>
      <c r="F161" s="50" t="e">
        <f>VLOOKUP(B161,aa!B:J,9,0)</f>
        <v>#N/A</v>
      </c>
      <c r="G161" s="50" t="e">
        <f>VLOOKUP(B161,aa!B:L,11,0)</f>
        <v>#N/A</v>
      </c>
      <c r="H161" s="50" t="e">
        <f>VLOOKUP(B161,aa!B:O,14,0)</f>
        <v>#N/A</v>
      </c>
      <c r="I161" s="50" t="e">
        <f>VLOOKUP(B161,aa!B:R,17,0)</f>
        <v>#N/A</v>
      </c>
      <c r="K161" s="50" t="s">
        <v>97</v>
      </c>
      <c r="L161" s="50">
        <v>715065</v>
      </c>
      <c r="M161" s="50">
        <v>715065</v>
      </c>
      <c r="N161" s="50">
        <v>715065</v>
      </c>
      <c r="O161" s="50">
        <v>1300</v>
      </c>
      <c r="P161" s="50" t="s">
        <v>3431</v>
      </c>
      <c r="Q161" s="50">
        <v>0</v>
      </c>
      <c r="R161" s="50">
        <v>0</v>
      </c>
      <c r="T161" s="50">
        <v>0</v>
      </c>
      <c r="U161" s="50">
        <v>0</v>
      </c>
      <c r="W161" s="50" t="s">
        <v>102</v>
      </c>
      <c r="X161" s="50" t="s">
        <v>275</v>
      </c>
      <c r="Z161" s="50" t="s">
        <v>559</v>
      </c>
      <c r="AA161" s="50" t="s">
        <v>109</v>
      </c>
      <c r="AB161" s="50" t="s">
        <v>102</v>
      </c>
      <c r="AC161" s="50" t="s">
        <v>109</v>
      </c>
      <c r="AD161" s="50" t="s">
        <v>102</v>
      </c>
      <c r="AE161" s="50" t="s">
        <v>109</v>
      </c>
      <c r="AF161" s="50" t="s">
        <v>102</v>
      </c>
      <c r="AG161" s="50" t="s">
        <v>109</v>
      </c>
      <c r="AH161" s="50" t="s">
        <v>102</v>
      </c>
      <c r="AI161" s="50" t="s">
        <v>102</v>
      </c>
      <c r="AJ161" s="50" t="s">
        <v>12887</v>
      </c>
      <c r="AK161" s="50" t="s">
        <v>13075</v>
      </c>
      <c r="AL161" s="50" t="s">
        <v>13076</v>
      </c>
      <c r="AM161" s="50" t="s">
        <v>13077</v>
      </c>
      <c r="AN161" s="50" t="s">
        <v>13078</v>
      </c>
      <c r="AO161" s="50" t="s">
        <v>3438</v>
      </c>
      <c r="AP161" s="50" t="s">
        <v>3438</v>
      </c>
      <c r="AU161" s="50" t="s">
        <v>318</v>
      </c>
      <c r="AV161" s="50" t="s">
        <v>118</v>
      </c>
      <c r="AW161" s="50" t="s">
        <v>102</v>
      </c>
      <c r="AX161" s="50" t="s">
        <v>119</v>
      </c>
      <c r="BB161" s="50" t="s">
        <v>120</v>
      </c>
      <c r="BC161" s="50" t="s">
        <v>2127</v>
      </c>
      <c r="BD161" s="50" t="s">
        <v>621</v>
      </c>
      <c r="BE161" s="50" t="s">
        <v>622</v>
      </c>
      <c r="BF161" s="50" t="s">
        <v>976</v>
      </c>
      <c r="BG161" s="50" t="s">
        <v>124</v>
      </c>
      <c r="BH161" s="50" t="s">
        <v>12023</v>
      </c>
      <c r="BI161" s="50" t="s">
        <v>11889</v>
      </c>
      <c r="BJ161" s="50" t="s">
        <v>127</v>
      </c>
      <c r="BK161" s="50" t="s">
        <v>13079</v>
      </c>
      <c r="BL161" s="50" t="s">
        <v>2129</v>
      </c>
      <c r="BM161" s="50" t="s">
        <v>13080</v>
      </c>
      <c r="BN161" s="50" t="s">
        <v>3485</v>
      </c>
      <c r="BO161" s="50" t="s">
        <v>981</v>
      </c>
      <c r="BP161" s="50" t="s">
        <v>132</v>
      </c>
      <c r="BQ161" s="50" t="s">
        <v>982</v>
      </c>
      <c r="BR161" s="50" t="s">
        <v>983</v>
      </c>
      <c r="BS161" s="50" t="s">
        <v>984</v>
      </c>
      <c r="BU161" s="50" t="s">
        <v>13081</v>
      </c>
      <c r="BV161" s="50" t="s">
        <v>13082</v>
      </c>
      <c r="BX161" s="50" t="s">
        <v>13083</v>
      </c>
      <c r="BY161" s="50" t="s">
        <v>13084</v>
      </c>
      <c r="BZ161" s="50" t="s">
        <v>2135</v>
      </c>
      <c r="CA161" s="50" t="s">
        <v>13085</v>
      </c>
      <c r="CB161" s="50" t="s">
        <v>2133</v>
      </c>
      <c r="CC161" s="50" t="s">
        <v>13084</v>
      </c>
      <c r="CD161" s="50" t="s">
        <v>13086</v>
      </c>
      <c r="CE161" s="50" t="s">
        <v>13087</v>
      </c>
      <c r="CF161" s="50" t="s">
        <v>13088</v>
      </c>
      <c r="CG161" s="50" t="s">
        <v>102</v>
      </c>
      <c r="CH161" s="50" t="s">
        <v>13089</v>
      </c>
      <c r="CJ161" s="50" t="s">
        <v>2137</v>
      </c>
      <c r="CL161" s="50" t="s">
        <v>2127</v>
      </c>
      <c r="CM161" s="50" t="s">
        <v>621</v>
      </c>
      <c r="CN161" s="50" t="s">
        <v>2137</v>
      </c>
      <c r="CP161" s="50" t="s">
        <v>2136</v>
      </c>
      <c r="CQ161" s="50" t="s">
        <v>2136</v>
      </c>
      <c r="CR161" s="50" t="s">
        <v>26040</v>
      </c>
    </row>
    <row r="162" spans="1:96">
      <c r="A162" s="95" t="s">
        <v>149</v>
      </c>
      <c r="B162" s="50">
        <v>3270957</v>
      </c>
      <c r="C162" s="50" t="s">
        <v>384</v>
      </c>
      <c r="D162" s="50" t="s">
        <v>5163</v>
      </c>
      <c r="E162" s="50" t="str">
        <f>VLOOKUP(B162,aa!B:F,5,0)</f>
        <v>Ei ASSET,Ei CARES</v>
      </c>
      <c r="F162" s="50">
        <f>VLOOKUP(B162,aa!B:J,9,0)</f>
        <v>1496782</v>
      </c>
      <c r="G162" s="50">
        <f>VLOOKUP(B162,aa!B:L,11,0)</f>
        <v>607869</v>
      </c>
      <c r="H162" s="50">
        <f>VLOOKUP(B162,aa!B:O,14,0)</f>
        <v>888913</v>
      </c>
      <c r="I162" s="50">
        <f>VLOOKUP(B162,aa!B:R,17,0)</f>
        <v>0</v>
      </c>
      <c r="K162" s="50" t="s">
        <v>675</v>
      </c>
      <c r="L162" s="50">
        <v>1681317</v>
      </c>
      <c r="M162" s="50">
        <v>1681317</v>
      </c>
      <c r="N162" s="50">
        <v>638176</v>
      </c>
      <c r="O162" s="50">
        <v>1021</v>
      </c>
      <c r="P162" s="50" t="s">
        <v>15308</v>
      </c>
      <c r="Q162" s="50">
        <v>1043141</v>
      </c>
      <c r="R162" s="50">
        <v>638</v>
      </c>
      <c r="S162" s="50" t="s">
        <v>15309</v>
      </c>
      <c r="T162" s="50">
        <v>0</v>
      </c>
      <c r="U162" s="50">
        <v>0</v>
      </c>
      <c r="W162" s="50" t="s">
        <v>102</v>
      </c>
      <c r="X162" s="50" t="s">
        <v>275</v>
      </c>
      <c r="Z162" s="50" t="s">
        <v>559</v>
      </c>
      <c r="AA162" s="50" t="s">
        <v>109</v>
      </c>
      <c r="AB162" s="50" t="s">
        <v>102</v>
      </c>
      <c r="AC162" s="50" t="s">
        <v>109</v>
      </c>
      <c r="AD162" s="50" t="s">
        <v>102</v>
      </c>
      <c r="AE162" s="50" t="s">
        <v>109</v>
      </c>
      <c r="AF162" s="50" t="s">
        <v>102</v>
      </c>
      <c r="AG162" s="50" t="s">
        <v>109</v>
      </c>
      <c r="AH162" s="50" t="s">
        <v>102</v>
      </c>
      <c r="AI162" s="50" t="s">
        <v>102</v>
      </c>
      <c r="AJ162" s="50" t="s">
        <v>559</v>
      </c>
      <c r="AK162" s="50" t="s">
        <v>559</v>
      </c>
      <c r="AL162" s="50" t="s">
        <v>15310</v>
      </c>
      <c r="AM162" s="50" t="s">
        <v>15310</v>
      </c>
      <c r="AN162" s="50" t="s">
        <v>102</v>
      </c>
      <c r="AO162" s="50" t="s">
        <v>15311</v>
      </c>
      <c r="AP162" s="50" t="s">
        <v>15311</v>
      </c>
      <c r="AU162" s="50" t="s">
        <v>247</v>
      </c>
      <c r="AV162" s="50" t="s">
        <v>118</v>
      </c>
      <c r="AW162" s="50" t="s">
        <v>3536</v>
      </c>
      <c r="AX162" s="50" t="s">
        <v>249</v>
      </c>
      <c r="AY162" s="50" t="s">
        <v>170</v>
      </c>
      <c r="AZ162" s="50" t="s">
        <v>118</v>
      </c>
      <c r="BB162" s="50" t="s">
        <v>120</v>
      </c>
      <c r="BC162" s="50" t="s">
        <v>5173</v>
      </c>
      <c r="BD162" s="50" t="s">
        <v>1171</v>
      </c>
      <c r="BE162" s="50" t="s">
        <v>174</v>
      </c>
      <c r="BF162" s="50" t="s">
        <v>1172</v>
      </c>
      <c r="BG162" s="50" t="s">
        <v>124</v>
      </c>
      <c r="BH162" s="50" t="s">
        <v>15312</v>
      </c>
      <c r="BI162" s="50" t="s">
        <v>11889</v>
      </c>
      <c r="BJ162" s="50" t="s">
        <v>127</v>
      </c>
      <c r="BK162" s="50" t="s">
        <v>15313</v>
      </c>
      <c r="BL162" s="50" t="s">
        <v>5175</v>
      </c>
      <c r="BM162" s="50" t="s">
        <v>15314</v>
      </c>
      <c r="BN162" s="50" t="s">
        <v>3485</v>
      </c>
      <c r="BO162" s="50" t="s">
        <v>1917</v>
      </c>
      <c r="BP162" s="50" t="s">
        <v>7992</v>
      </c>
      <c r="BQ162" s="50" t="s">
        <v>1918</v>
      </c>
      <c r="BR162" s="50" t="s">
        <v>1919</v>
      </c>
      <c r="BS162" s="50" t="s">
        <v>5177</v>
      </c>
      <c r="BU162" s="50" t="s">
        <v>15315</v>
      </c>
      <c r="BV162" s="50" t="s">
        <v>15316</v>
      </c>
      <c r="BW162" s="50" t="s">
        <v>138</v>
      </c>
      <c r="BX162" s="50" t="s">
        <v>5184</v>
      </c>
      <c r="BY162" s="50" t="s">
        <v>15317</v>
      </c>
      <c r="BZ162" s="50" t="s">
        <v>5182</v>
      </c>
      <c r="CA162" s="50" t="s">
        <v>15316</v>
      </c>
      <c r="CB162" s="50" t="s">
        <v>5184</v>
      </c>
      <c r="CC162" s="50" t="s">
        <v>15317</v>
      </c>
      <c r="CD162" s="50" t="s">
        <v>15316</v>
      </c>
      <c r="CE162" s="50" t="s">
        <v>5184</v>
      </c>
      <c r="CF162" s="50" t="s">
        <v>15317</v>
      </c>
      <c r="CG162" s="50" t="s">
        <v>358</v>
      </c>
      <c r="CH162" s="50" t="s">
        <v>15318</v>
      </c>
      <c r="CJ162" s="50" t="s">
        <v>5186</v>
      </c>
      <c r="CK162" s="50" t="s">
        <v>5185</v>
      </c>
      <c r="CL162" s="50" t="s">
        <v>5173</v>
      </c>
      <c r="CM162" s="50" t="s">
        <v>1171</v>
      </c>
      <c r="CN162" s="50" t="s">
        <v>5186</v>
      </c>
      <c r="CP162" s="50" t="s">
        <v>5187</v>
      </c>
      <c r="CQ162" s="50" t="s">
        <v>5185</v>
      </c>
    </row>
    <row r="163" spans="1:96">
      <c r="A163" s="50" t="s">
        <v>93</v>
      </c>
      <c r="B163" s="50">
        <v>3791464</v>
      </c>
      <c r="C163" s="50" t="s">
        <v>12121</v>
      </c>
      <c r="D163" s="50" t="s">
        <v>16982</v>
      </c>
      <c r="E163" s="50" t="e">
        <f>VLOOKUP(B163,aa!B:F,5,0)</f>
        <v>#N/A</v>
      </c>
      <c r="F163" s="50" t="e">
        <f>VLOOKUP(B163,aa!B:J,9,0)</f>
        <v>#N/A</v>
      </c>
      <c r="G163" s="50" t="e">
        <f>VLOOKUP(B163,aa!B:L,11,0)</f>
        <v>#N/A</v>
      </c>
      <c r="H163" s="50" t="e">
        <f>VLOOKUP(B163,aa!B:O,14,0)</f>
        <v>#N/A</v>
      </c>
      <c r="I163" s="50" t="e">
        <f>VLOOKUP(B163,aa!B:R,17,0)</f>
        <v>#N/A</v>
      </c>
      <c r="K163" s="50" t="s">
        <v>152</v>
      </c>
      <c r="L163" s="50">
        <v>300144</v>
      </c>
      <c r="M163" s="50">
        <v>300144</v>
      </c>
      <c r="N163" s="50">
        <v>0</v>
      </c>
      <c r="O163" s="50">
        <v>0</v>
      </c>
      <c r="Q163" s="50">
        <v>300144</v>
      </c>
      <c r="R163" s="50">
        <v>240</v>
      </c>
      <c r="S163" s="50" t="s">
        <v>6611</v>
      </c>
      <c r="T163" s="50">
        <v>0</v>
      </c>
      <c r="U163" s="50">
        <v>0</v>
      </c>
      <c r="W163" s="50" t="s">
        <v>102</v>
      </c>
      <c r="X163" s="50" t="s">
        <v>103</v>
      </c>
      <c r="Y163" s="50" t="s">
        <v>155</v>
      </c>
      <c r="AA163" s="50" t="s">
        <v>7020</v>
      </c>
      <c r="AB163" s="50" t="s">
        <v>16983</v>
      </c>
      <c r="AC163" s="50" t="s">
        <v>8708</v>
      </c>
      <c r="AD163" s="50" t="s">
        <v>16983</v>
      </c>
      <c r="AE163" s="50" t="s">
        <v>12427</v>
      </c>
      <c r="AF163" s="50" t="s">
        <v>16983</v>
      </c>
      <c r="AG163" s="50" t="s">
        <v>12713</v>
      </c>
      <c r="AH163" s="50" t="s">
        <v>16983</v>
      </c>
      <c r="AI163" s="50" t="s">
        <v>102</v>
      </c>
      <c r="AJ163" s="50" t="s">
        <v>3485</v>
      </c>
      <c r="AK163" s="50" t="s">
        <v>14026</v>
      </c>
      <c r="AL163" s="50" t="s">
        <v>16984</v>
      </c>
      <c r="AM163" s="50" t="s">
        <v>16985</v>
      </c>
      <c r="AN163" s="50" t="s">
        <v>16986</v>
      </c>
      <c r="AO163" s="50" t="s">
        <v>16987</v>
      </c>
      <c r="AP163" s="50" t="s">
        <v>16987</v>
      </c>
      <c r="AU163" s="50" t="s">
        <v>102</v>
      </c>
      <c r="AW163" s="50" t="s">
        <v>155</v>
      </c>
      <c r="AX163" s="50" t="s">
        <v>119</v>
      </c>
      <c r="AY163" s="50" t="s">
        <v>170</v>
      </c>
      <c r="AZ163" s="50" t="s">
        <v>118</v>
      </c>
      <c r="BB163" s="50" t="s">
        <v>120</v>
      </c>
      <c r="BC163" s="50" t="s">
        <v>5504</v>
      </c>
      <c r="BD163" s="50" t="s">
        <v>449</v>
      </c>
      <c r="BE163" s="50" t="s">
        <v>122</v>
      </c>
      <c r="BF163" s="50" t="s">
        <v>253</v>
      </c>
      <c r="BG163" s="50" t="s">
        <v>124</v>
      </c>
      <c r="BH163" s="50" t="s">
        <v>12023</v>
      </c>
      <c r="BI163" s="50" t="s">
        <v>11889</v>
      </c>
      <c r="BJ163" s="50" t="s">
        <v>127</v>
      </c>
      <c r="BK163" s="50" t="s">
        <v>16988</v>
      </c>
      <c r="BL163" s="50" t="s">
        <v>16989</v>
      </c>
      <c r="BM163" s="50" t="s">
        <v>16990</v>
      </c>
      <c r="BN163" s="50" t="s">
        <v>3485</v>
      </c>
      <c r="BO163" s="50" t="s">
        <v>3243</v>
      </c>
      <c r="BP163" s="50" t="s">
        <v>180</v>
      </c>
      <c r="BQ163" s="50" t="s">
        <v>3244</v>
      </c>
      <c r="BR163" s="50" t="s">
        <v>3245</v>
      </c>
      <c r="BS163" s="50" t="s">
        <v>3246</v>
      </c>
      <c r="BU163" s="50" t="s">
        <v>16991</v>
      </c>
      <c r="BV163" s="50" t="s">
        <v>16992</v>
      </c>
      <c r="BW163" s="50" t="s">
        <v>354</v>
      </c>
      <c r="BX163" s="50" t="s">
        <v>16993</v>
      </c>
      <c r="BY163" s="50" t="s">
        <v>16994</v>
      </c>
      <c r="BZ163" s="50" t="s">
        <v>16995</v>
      </c>
      <c r="CA163" s="50" t="s">
        <v>224</v>
      </c>
      <c r="CB163" s="50" t="s">
        <v>225</v>
      </c>
      <c r="CC163" s="50" t="s">
        <v>226</v>
      </c>
      <c r="CD163" s="50" t="s">
        <v>224</v>
      </c>
      <c r="CE163" s="50" t="s">
        <v>225</v>
      </c>
      <c r="CF163" s="50" t="s">
        <v>226</v>
      </c>
      <c r="CG163" s="50" t="s">
        <v>16996</v>
      </c>
      <c r="CH163" s="50" t="s">
        <v>16997</v>
      </c>
      <c r="CJ163" s="50" t="s">
        <v>5517</v>
      </c>
      <c r="CK163" s="50" t="s">
        <v>16997</v>
      </c>
      <c r="CL163" s="50" t="s">
        <v>5504</v>
      </c>
      <c r="CM163" s="50" t="s">
        <v>449</v>
      </c>
      <c r="CN163" s="50" t="s">
        <v>5517</v>
      </c>
      <c r="CP163" s="50" t="s">
        <v>16998</v>
      </c>
      <c r="CQ163" s="50" t="s">
        <v>16998</v>
      </c>
    </row>
    <row r="164" spans="1:96">
      <c r="A164" s="95" t="s">
        <v>149</v>
      </c>
      <c r="B164" s="50">
        <v>3999269</v>
      </c>
      <c r="C164" s="50" t="s">
        <v>12155</v>
      </c>
      <c r="D164" s="50" t="s">
        <v>8431</v>
      </c>
      <c r="E164" s="50" t="e">
        <f>VLOOKUP(B164,aa!B:F,5,0)</f>
        <v>#N/A</v>
      </c>
      <c r="F164" s="50" t="e">
        <f>VLOOKUP(B164,aa!B:J,9,0)</f>
        <v>#N/A</v>
      </c>
      <c r="G164" s="50" t="e">
        <f>VLOOKUP(B164,aa!B:L,11,0)</f>
        <v>#N/A</v>
      </c>
      <c r="H164" s="50" t="e">
        <f>VLOOKUP(B164,aa!B:O,14,0)</f>
        <v>#N/A</v>
      </c>
      <c r="I164" s="50" t="e">
        <f>VLOOKUP(B164,aa!B:R,17,0)</f>
        <v>#N/A</v>
      </c>
      <c r="K164" s="50" t="s">
        <v>152</v>
      </c>
      <c r="L164" s="50">
        <v>113850</v>
      </c>
      <c r="M164" s="50">
        <v>113850</v>
      </c>
      <c r="N164" s="50">
        <v>0</v>
      </c>
      <c r="O164" s="50">
        <v>0</v>
      </c>
      <c r="Q164" s="50">
        <v>113850</v>
      </c>
      <c r="R164" s="50">
        <v>69</v>
      </c>
      <c r="S164" s="50" t="s">
        <v>9865</v>
      </c>
      <c r="T164" s="50">
        <v>0</v>
      </c>
      <c r="U164" s="50">
        <v>0</v>
      </c>
      <c r="W164" s="50" t="s">
        <v>102</v>
      </c>
      <c r="X164" s="50" t="s">
        <v>103</v>
      </c>
      <c r="Y164" s="50" t="s">
        <v>155</v>
      </c>
      <c r="AA164" s="50" t="s">
        <v>4813</v>
      </c>
      <c r="AB164" s="50" t="s">
        <v>17829</v>
      </c>
      <c r="AC164" s="50" t="s">
        <v>11929</v>
      </c>
      <c r="AD164" s="50" t="s">
        <v>17829</v>
      </c>
      <c r="AE164" s="50" t="s">
        <v>11930</v>
      </c>
      <c r="AF164" s="50" t="s">
        <v>17829</v>
      </c>
      <c r="AG164" s="50" t="s">
        <v>11886</v>
      </c>
      <c r="AH164" s="50" t="s">
        <v>17829</v>
      </c>
      <c r="AI164" s="50" t="s">
        <v>102</v>
      </c>
      <c r="AJ164" s="50" t="s">
        <v>12043</v>
      </c>
      <c r="AK164" s="50" t="s">
        <v>12043</v>
      </c>
      <c r="AL164" s="50" t="s">
        <v>17830</v>
      </c>
      <c r="AM164" s="50" t="s">
        <v>11377</v>
      </c>
      <c r="AN164" s="50" t="s">
        <v>17831</v>
      </c>
      <c r="AO164" s="50" t="s">
        <v>15155</v>
      </c>
      <c r="AP164" s="50" t="s">
        <v>15155</v>
      </c>
      <c r="AU164" s="50" t="s">
        <v>102</v>
      </c>
      <c r="AW164" s="50" t="s">
        <v>155</v>
      </c>
      <c r="AX164" s="50" t="s">
        <v>447</v>
      </c>
      <c r="AY164" s="50" t="s">
        <v>170</v>
      </c>
      <c r="AZ164" s="50" t="s">
        <v>118</v>
      </c>
      <c r="BB164" s="50" t="s">
        <v>120</v>
      </c>
      <c r="BC164" s="50" t="s">
        <v>8443</v>
      </c>
      <c r="BD164" s="50" t="s">
        <v>173</v>
      </c>
      <c r="BE164" s="50" t="s">
        <v>174</v>
      </c>
      <c r="BF164" s="50" t="s">
        <v>173</v>
      </c>
      <c r="BG164" s="50" t="s">
        <v>124</v>
      </c>
      <c r="BH164" s="50" t="s">
        <v>12023</v>
      </c>
      <c r="BI164" s="50" t="s">
        <v>11889</v>
      </c>
      <c r="BJ164" s="50" t="s">
        <v>127</v>
      </c>
      <c r="BK164" s="50" t="s">
        <v>17832</v>
      </c>
      <c r="BL164" s="50" t="s">
        <v>8445</v>
      </c>
      <c r="BM164" s="50" t="s">
        <v>17833</v>
      </c>
      <c r="BN164" s="50" t="s">
        <v>3485</v>
      </c>
      <c r="BO164" s="50" t="s">
        <v>12557</v>
      </c>
      <c r="BP164" s="50" t="s">
        <v>180</v>
      </c>
      <c r="BQ164" s="50" t="s">
        <v>12558</v>
      </c>
      <c r="BR164" s="50" t="s">
        <v>12559</v>
      </c>
      <c r="BS164" s="50" t="s">
        <v>8450</v>
      </c>
      <c r="BU164" s="50" t="s">
        <v>17834</v>
      </c>
      <c r="BV164" s="50" t="s">
        <v>17835</v>
      </c>
      <c r="BW164" s="50" t="s">
        <v>354</v>
      </c>
      <c r="BX164" s="50" t="s">
        <v>8455</v>
      </c>
      <c r="BY164" s="50" t="s">
        <v>17836</v>
      </c>
      <c r="BZ164" s="50" t="s">
        <v>8455</v>
      </c>
      <c r="CA164" s="50" t="s">
        <v>17837</v>
      </c>
      <c r="CB164" s="50" t="s">
        <v>8455</v>
      </c>
      <c r="CC164" s="50" t="s">
        <v>17836</v>
      </c>
      <c r="CD164" s="50" t="s">
        <v>17838</v>
      </c>
      <c r="CE164" s="50" t="s">
        <v>17839</v>
      </c>
      <c r="CF164" s="50" t="s">
        <v>17840</v>
      </c>
      <c r="CG164" s="50" t="s">
        <v>8459</v>
      </c>
      <c r="CH164" s="50" t="s">
        <v>17841</v>
      </c>
      <c r="CJ164" s="50" t="s">
        <v>8461</v>
      </c>
      <c r="CK164" s="50" t="s">
        <v>17842</v>
      </c>
      <c r="CL164" s="50" t="s">
        <v>8443</v>
      </c>
      <c r="CM164" s="50" t="s">
        <v>173</v>
      </c>
      <c r="CN164" s="50" t="s">
        <v>8461</v>
      </c>
      <c r="CP164" s="50" t="s">
        <v>8463</v>
      </c>
      <c r="CQ164" s="50" t="s">
        <v>8464</v>
      </c>
      <c r="CR164" s="50" t="s">
        <v>26042</v>
      </c>
    </row>
    <row r="165" spans="1:96">
      <c r="A165" s="50" t="s">
        <v>93</v>
      </c>
      <c r="B165" s="50">
        <v>5040879</v>
      </c>
      <c r="C165" s="50" t="s">
        <v>12155</v>
      </c>
      <c r="D165" s="50" t="s">
        <v>20328</v>
      </c>
      <c r="E165" s="50" t="str">
        <f>VLOOKUP(B165,aa!B:F,5,0)</f>
        <v>Ei CARES</v>
      </c>
      <c r="F165" s="50">
        <f>VLOOKUP(B165,aa!B:J,9,0)</f>
        <v>390765</v>
      </c>
      <c r="G165" s="50">
        <f>VLOOKUP(B165,aa!B:L,11,0)</f>
        <v>0</v>
      </c>
      <c r="H165" s="50">
        <f>VLOOKUP(B165,aa!B:O,14,0)</f>
        <v>390765</v>
      </c>
      <c r="I165" s="50">
        <f>VLOOKUP(B165,aa!B:R,17,0)</f>
        <v>0</v>
      </c>
      <c r="K165" s="50" t="s">
        <v>152</v>
      </c>
      <c r="L165" s="50">
        <v>220064</v>
      </c>
      <c r="M165" s="50">
        <v>220064</v>
      </c>
      <c r="N165" s="50">
        <v>0</v>
      </c>
      <c r="O165" s="50">
        <v>0</v>
      </c>
      <c r="Q165" s="50">
        <v>220064</v>
      </c>
      <c r="R165" s="50">
        <v>200</v>
      </c>
      <c r="S165" s="50" t="s">
        <v>466</v>
      </c>
      <c r="T165" s="50">
        <v>0</v>
      </c>
      <c r="U165" s="50">
        <v>0</v>
      </c>
      <c r="W165" s="50" t="s">
        <v>102</v>
      </c>
      <c r="X165" s="50" t="s">
        <v>103</v>
      </c>
      <c r="Y165" s="50" t="s">
        <v>398</v>
      </c>
      <c r="AA165" s="50" t="s">
        <v>3485</v>
      </c>
      <c r="AB165" s="50" t="s">
        <v>20329</v>
      </c>
      <c r="AC165" s="50" t="s">
        <v>12082</v>
      </c>
      <c r="AD165" s="50" t="s">
        <v>20330</v>
      </c>
      <c r="AE165" s="50" t="s">
        <v>12084</v>
      </c>
      <c r="AF165" s="50" t="s">
        <v>20331</v>
      </c>
      <c r="AG165" s="50" t="s">
        <v>109</v>
      </c>
      <c r="AH165" s="50" t="s">
        <v>102</v>
      </c>
      <c r="AI165" s="50" t="s">
        <v>102</v>
      </c>
      <c r="AJ165" s="50" t="s">
        <v>3485</v>
      </c>
      <c r="AK165" s="50" t="s">
        <v>12123</v>
      </c>
      <c r="AL165" s="50" t="s">
        <v>20332</v>
      </c>
      <c r="AM165" s="50" t="s">
        <v>20333</v>
      </c>
      <c r="AN165" s="50" t="s">
        <v>20334</v>
      </c>
      <c r="AO165" s="50" t="s">
        <v>20335</v>
      </c>
      <c r="AP165" s="50" t="s">
        <v>20335</v>
      </c>
      <c r="AU165" s="50" t="s">
        <v>102</v>
      </c>
      <c r="AW165" s="50" t="s">
        <v>104</v>
      </c>
      <c r="AX165" s="50" t="s">
        <v>447</v>
      </c>
      <c r="AY165" s="50" t="s">
        <v>170</v>
      </c>
      <c r="AZ165" s="50" t="s">
        <v>118</v>
      </c>
      <c r="BB165" s="50" t="s">
        <v>120</v>
      </c>
      <c r="BC165" s="50" t="s">
        <v>20336</v>
      </c>
      <c r="BD165" s="50" t="s">
        <v>1208</v>
      </c>
      <c r="BE165" s="50" t="s">
        <v>174</v>
      </c>
      <c r="BF165" s="50" t="s">
        <v>1172</v>
      </c>
      <c r="BG165" s="50" t="s">
        <v>124</v>
      </c>
      <c r="BH165" s="50" t="s">
        <v>12023</v>
      </c>
      <c r="BI165" s="50" t="s">
        <v>11889</v>
      </c>
      <c r="BJ165" s="50" t="s">
        <v>127</v>
      </c>
      <c r="BK165" s="50" t="s">
        <v>20337</v>
      </c>
      <c r="BL165" s="50" t="s">
        <v>20338</v>
      </c>
      <c r="BM165" s="50" t="s">
        <v>20339</v>
      </c>
      <c r="BN165" s="50" t="s">
        <v>3485</v>
      </c>
      <c r="BO165" s="50" t="s">
        <v>1212</v>
      </c>
      <c r="BP165" s="50" t="s">
        <v>350</v>
      </c>
      <c r="BQ165" s="50" t="s">
        <v>1213</v>
      </c>
      <c r="BR165" s="50" t="s">
        <v>1214</v>
      </c>
      <c r="BS165" s="50" t="s">
        <v>1215</v>
      </c>
      <c r="BU165" s="50" t="s">
        <v>20340</v>
      </c>
      <c r="BV165" s="50" t="s">
        <v>20341</v>
      </c>
      <c r="BW165" s="50" t="s">
        <v>354</v>
      </c>
      <c r="BX165" s="50" t="s">
        <v>20342</v>
      </c>
      <c r="BY165" s="50" t="s">
        <v>20343</v>
      </c>
      <c r="BZ165" s="50" t="s">
        <v>20342</v>
      </c>
      <c r="CA165" s="50" t="s">
        <v>20344</v>
      </c>
      <c r="CB165" s="50" t="s">
        <v>20345</v>
      </c>
      <c r="CC165" s="50" t="s">
        <v>20346</v>
      </c>
      <c r="CD165" s="50" t="s">
        <v>20347</v>
      </c>
      <c r="CE165" s="50" t="s">
        <v>20348</v>
      </c>
      <c r="CF165" s="50" t="s">
        <v>20349</v>
      </c>
      <c r="CG165" s="50" t="s">
        <v>6370</v>
      </c>
      <c r="CH165" s="50" t="s">
        <v>20350</v>
      </c>
      <c r="CJ165" s="50" t="s">
        <v>20351</v>
      </c>
      <c r="CL165" s="50" t="s">
        <v>20336</v>
      </c>
      <c r="CM165" s="50" t="s">
        <v>1208</v>
      </c>
      <c r="CN165" s="50" t="s">
        <v>20351</v>
      </c>
      <c r="CP165" s="50" t="s">
        <v>20352</v>
      </c>
      <c r="CQ165" s="50" t="s">
        <v>20352</v>
      </c>
    </row>
    <row r="166" spans="1:96">
      <c r="A166" s="95" t="s">
        <v>149</v>
      </c>
      <c r="B166" s="50">
        <v>999141</v>
      </c>
      <c r="C166" s="50" t="s">
        <v>11898</v>
      </c>
      <c r="D166" s="50" t="s">
        <v>11863</v>
      </c>
      <c r="E166" s="50" t="str">
        <f>VLOOKUP(B166,aa!B:F,5,0)</f>
        <v>Ei CARES</v>
      </c>
      <c r="F166" s="50">
        <f>VLOOKUP(B166,aa!B:J,9,0)</f>
        <v>802734</v>
      </c>
      <c r="G166" s="50">
        <f>VLOOKUP(B166,aa!B:L,11,0)</f>
        <v>0</v>
      </c>
      <c r="H166" s="50">
        <f>VLOOKUP(B166,aa!B:O,14,0)</f>
        <v>802734</v>
      </c>
      <c r="I166" s="50">
        <f>VLOOKUP(B166,aa!B:R,17,0)</f>
        <v>0</v>
      </c>
      <c r="K166" s="50" t="s">
        <v>152</v>
      </c>
      <c r="L166" s="50">
        <v>838086</v>
      </c>
      <c r="M166" s="50">
        <v>838086</v>
      </c>
      <c r="N166" s="50">
        <v>0</v>
      </c>
      <c r="O166" s="50">
        <v>0</v>
      </c>
      <c r="Q166" s="50">
        <v>838086</v>
      </c>
      <c r="R166" s="50">
        <v>1185</v>
      </c>
      <c r="S166" s="50" t="s">
        <v>21644</v>
      </c>
      <c r="T166" s="50">
        <v>0</v>
      </c>
      <c r="U166" s="50">
        <v>0</v>
      </c>
      <c r="W166" s="50" t="s">
        <v>102</v>
      </c>
      <c r="X166" s="50" t="s">
        <v>103</v>
      </c>
      <c r="Y166" s="50" t="s">
        <v>104</v>
      </c>
      <c r="AA166" s="50" t="s">
        <v>21645</v>
      </c>
      <c r="AB166" s="50" t="s">
        <v>21646</v>
      </c>
      <c r="AC166" s="50" t="s">
        <v>12327</v>
      </c>
      <c r="AD166" s="50" t="s">
        <v>21646</v>
      </c>
      <c r="AE166" s="50" t="s">
        <v>109</v>
      </c>
      <c r="AF166" s="50" t="s">
        <v>102</v>
      </c>
      <c r="AG166" s="50" t="s">
        <v>109</v>
      </c>
      <c r="AH166" s="50" t="s">
        <v>102</v>
      </c>
      <c r="AI166" s="50" t="s">
        <v>21647</v>
      </c>
      <c r="AJ166" s="50" t="s">
        <v>6443</v>
      </c>
      <c r="AK166" s="50" t="s">
        <v>12696</v>
      </c>
      <c r="AL166" s="50" t="s">
        <v>21648</v>
      </c>
      <c r="AM166" s="50" t="s">
        <v>21649</v>
      </c>
      <c r="AN166" s="50" t="s">
        <v>21650</v>
      </c>
      <c r="AO166" s="50" t="s">
        <v>21651</v>
      </c>
      <c r="AP166" s="50" t="s">
        <v>21652</v>
      </c>
      <c r="AR166" s="50" t="s">
        <v>169</v>
      </c>
      <c r="AT166" s="50" t="s">
        <v>169</v>
      </c>
      <c r="AU166" s="50" t="s">
        <v>102</v>
      </c>
      <c r="AW166" s="50" t="s">
        <v>104</v>
      </c>
      <c r="AX166" s="50" t="s">
        <v>447</v>
      </c>
      <c r="AY166" s="50" t="s">
        <v>170</v>
      </c>
      <c r="AZ166" s="50" t="s">
        <v>118</v>
      </c>
      <c r="BB166" s="50" t="s">
        <v>1964</v>
      </c>
      <c r="BC166" s="50" t="s">
        <v>448</v>
      </c>
      <c r="BD166" s="50" t="s">
        <v>449</v>
      </c>
      <c r="BE166" s="50" t="s">
        <v>122</v>
      </c>
      <c r="BF166" s="50" t="s">
        <v>450</v>
      </c>
      <c r="BG166" s="50" t="s">
        <v>124</v>
      </c>
      <c r="BH166" s="50" t="s">
        <v>21653</v>
      </c>
      <c r="BI166" s="50" t="s">
        <v>11889</v>
      </c>
      <c r="BJ166" s="50" t="s">
        <v>127</v>
      </c>
      <c r="BK166" s="50" t="s">
        <v>21654</v>
      </c>
      <c r="BL166" s="50" t="s">
        <v>11874</v>
      </c>
      <c r="BM166" s="50" t="s">
        <v>21655</v>
      </c>
      <c r="BN166" s="50" t="s">
        <v>21643</v>
      </c>
      <c r="BO166" s="50" t="s">
        <v>131</v>
      </c>
      <c r="BP166" s="50" t="s">
        <v>350</v>
      </c>
      <c r="BQ166" s="50" t="s">
        <v>133</v>
      </c>
      <c r="BR166" s="50" t="s">
        <v>134</v>
      </c>
      <c r="BS166" s="50" t="s">
        <v>455</v>
      </c>
      <c r="BU166" s="50" t="s">
        <v>21656</v>
      </c>
      <c r="BV166" s="50" t="s">
        <v>21657</v>
      </c>
      <c r="BW166" s="50" t="s">
        <v>138</v>
      </c>
      <c r="BX166" s="50" t="s">
        <v>11878</v>
      </c>
      <c r="BY166" s="50" t="s">
        <v>11879</v>
      </c>
      <c r="BZ166" s="50" t="s">
        <v>11878</v>
      </c>
      <c r="CA166" s="50" t="s">
        <v>21658</v>
      </c>
      <c r="CB166" s="50" t="s">
        <v>11878</v>
      </c>
      <c r="CC166" s="50" t="s">
        <v>11879</v>
      </c>
      <c r="CD166" s="50" t="s">
        <v>21658</v>
      </c>
      <c r="CE166" s="50" t="s">
        <v>11878</v>
      </c>
      <c r="CF166" s="50" t="s">
        <v>11879</v>
      </c>
      <c r="CG166" s="50" t="s">
        <v>4937</v>
      </c>
      <c r="CH166" s="50" t="s">
        <v>448</v>
      </c>
      <c r="CJ166" s="50" t="s">
        <v>8000</v>
      </c>
      <c r="CK166" s="50" t="s">
        <v>21659</v>
      </c>
      <c r="CL166" s="50" t="s">
        <v>448</v>
      </c>
      <c r="CM166" s="50" t="s">
        <v>449</v>
      </c>
      <c r="CN166" s="50" t="s">
        <v>8000</v>
      </c>
      <c r="CO166" s="50" t="s">
        <v>1979</v>
      </c>
      <c r="CP166" s="50" t="s">
        <v>11880</v>
      </c>
      <c r="CQ166" s="50" t="s">
        <v>11880</v>
      </c>
    </row>
    <row r="167" spans="1:96">
      <c r="A167" s="95" t="s">
        <v>149</v>
      </c>
      <c r="B167" s="50">
        <v>3152932</v>
      </c>
      <c r="C167" s="50" t="s">
        <v>12491</v>
      </c>
      <c r="D167" s="50" t="s">
        <v>4775</v>
      </c>
      <c r="E167" s="50" t="str">
        <f>VLOOKUP(B167,aa!B:F,5,0)</f>
        <v>Ei Mindspark</v>
      </c>
      <c r="F167" s="50">
        <f>VLOOKUP(B167,aa!B:J,9,0)</f>
        <v>1942333</v>
      </c>
      <c r="G167" s="50">
        <f>VLOOKUP(B167,aa!B:L,11,0)</f>
        <v>0</v>
      </c>
      <c r="H167" s="50">
        <f>VLOOKUP(B167,aa!B:O,14,0)</f>
        <v>0</v>
      </c>
      <c r="I167" s="50">
        <f>VLOOKUP(B167,aa!B:R,17,0)</f>
        <v>1942333</v>
      </c>
      <c r="K167" s="50" t="s">
        <v>848</v>
      </c>
      <c r="L167" s="50">
        <v>2134907</v>
      </c>
      <c r="M167" s="50">
        <v>2519190</v>
      </c>
      <c r="N167" s="50">
        <v>0</v>
      </c>
      <c r="O167" s="50">
        <v>0</v>
      </c>
      <c r="Q167" s="50">
        <v>0</v>
      </c>
      <c r="R167" s="50">
        <v>0</v>
      </c>
      <c r="T167" s="50">
        <v>2134907</v>
      </c>
      <c r="U167" s="50">
        <v>1186</v>
      </c>
      <c r="V167" s="50" t="s">
        <v>3005</v>
      </c>
      <c r="W167" s="50" t="s">
        <v>102</v>
      </c>
      <c r="X167" s="50" t="s">
        <v>103</v>
      </c>
      <c r="Y167" s="50" t="s">
        <v>155</v>
      </c>
      <c r="AA167" s="50" t="s">
        <v>126</v>
      </c>
      <c r="AB167" s="50" t="s">
        <v>15022</v>
      </c>
      <c r="AC167" s="50" t="s">
        <v>11976</v>
      </c>
      <c r="AD167" s="50" t="s">
        <v>15022</v>
      </c>
      <c r="AE167" s="50" t="s">
        <v>11888</v>
      </c>
      <c r="AF167" s="50" t="s">
        <v>15022</v>
      </c>
      <c r="AG167" s="50" t="s">
        <v>12713</v>
      </c>
      <c r="AH167" s="50" t="s">
        <v>15022</v>
      </c>
      <c r="AI167" s="50" t="s">
        <v>15023</v>
      </c>
      <c r="AJ167" s="50" t="s">
        <v>8186</v>
      </c>
      <c r="AK167" s="50" t="s">
        <v>13725</v>
      </c>
      <c r="AL167" s="50" t="s">
        <v>15024</v>
      </c>
      <c r="AM167" s="50" t="s">
        <v>15025</v>
      </c>
      <c r="AN167" s="50" t="s">
        <v>15026</v>
      </c>
      <c r="AO167" s="50" t="s">
        <v>4786</v>
      </c>
      <c r="AP167" s="50" t="s">
        <v>15027</v>
      </c>
      <c r="AR167" s="50" t="s">
        <v>169</v>
      </c>
      <c r="AT167" s="50" t="s">
        <v>169</v>
      </c>
      <c r="AU167" s="50" t="s">
        <v>102</v>
      </c>
      <c r="AW167" s="50" t="s">
        <v>102</v>
      </c>
      <c r="AX167" s="50" t="s">
        <v>119</v>
      </c>
      <c r="BA167" s="50" t="s">
        <v>250</v>
      </c>
      <c r="BB167" s="50" t="s">
        <v>120</v>
      </c>
      <c r="BC167" s="50" t="s">
        <v>3854</v>
      </c>
      <c r="BD167" s="50" t="s">
        <v>449</v>
      </c>
      <c r="BE167" s="50" t="s">
        <v>122</v>
      </c>
      <c r="BF167" s="50" t="s">
        <v>450</v>
      </c>
      <c r="BG167" s="50" t="s">
        <v>124</v>
      </c>
      <c r="BH167" s="50" t="s">
        <v>4045</v>
      </c>
      <c r="BI167" s="50" t="s">
        <v>15028</v>
      </c>
      <c r="BJ167" s="50" t="s">
        <v>127</v>
      </c>
      <c r="BK167" s="50" t="s">
        <v>15029</v>
      </c>
      <c r="BL167" s="50" t="s">
        <v>4789</v>
      </c>
      <c r="BM167" s="50" t="s">
        <v>15030</v>
      </c>
      <c r="BN167" s="50" t="s">
        <v>559</v>
      </c>
      <c r="BO167" s="50" t="s">
        <v>131</v>
      </c>
      <c r="BP167" s="50" t="s">
        <v>350</v>
      </c>
      <c r="BQ167" s="50" t="s">
        <v>133</v>
      </c>
      <c r="BR167" s="50" t="s">
        <v>134</v>
      </c>
      <c r="BS167" s="50" t="s">
        <v>455</v>
      </c>
      <c r="BU167" s="50" t="s">
        <v>15031</v>
      </c>
      <c r="BV167" s="50" t="s">
        <v>4792</v>
      </c>
      <c r="BW167" s="50" t="s">
        <v>354</v>
      </c>
      <c r="BX167" s="50" t="s">
        <v>4793</v>
      </c>
      <c r="BY167" s="50" t="s">
        <v>4794</v>
      </c>
      <c r="BZ167" s="50" t="s">
        <v>4795</v>
      </c>
      <c r="CA167" s="50" t="s">
        <v>15032</v>
      </c>
      <c r="CB167" s="50" t="s">
        <v>4797</v>
      </c>
      <c r="CC167" s="50" t="s">
        <v>4798</v>
      </c>
      <c r="CD167" s="50" t="s">
        <v>4799</v>
      </c>
      <c r="CE167" s="50" t="s">
        <v>4800</v>
      </c>
      <c r="CF167" s="50" t="s">
        <v>4801</v>
      </c>
      <c r="CG167" s="50" t="s">
        <v>4802</v>
      </c>
      <c r="CH167" s="50" t="s">
        <v>15033</v>
      </c>
      <c r="CJ167" s="50" t="s">
        <v>4271</v>
      </c>
      <c r="CK167" s="50" t="s">
        <v>15034</v>
      </c>
      <c r="CL167" s="50" t="s">
        <v>3854</v>
      </c>
      <c r="CM167" s="50" t="s">
        <v>449</v>
      </c>
      <c r="CN167" s="50" t="s">
        <v>4271</v>
      </c>
      <c r="CO167" s="50" t="s">
        <v>4804</v>
      </c>
      <c r="CP167" s="50" t="s">
        <v>4803</v>
      </c>
      <c r="CQ167" s="50" t="s">
        <v>4803</v>
      </c>
    </row>
    <row r="168" spans="1:96">
      <c r="A168" s="50" t="s">
        <v>93</v>
      </c>
      <c r="B168" s="50">
        <v>3992708</v>
      </c>
      <c r="C168" s="50" t="s">
        <v>12155</v>
      </c>
      <c r="D168" s="50" t="s">
        <v>17550</v>
      </c>
      <c r="E168" s="50" t="str">
        <f>VLOOKUP(B168,aa!B:F,5,0)</f>
        <v>Ei CARES</v>
      </c>
      <c r="F168" s="50">
        <f>VLOOKUP(B168,aa!B:J,9,0)</f>
        <v>166310</v>
      </c>
      <c r="G168" s="50">
        <f>VLOOKUP(B168,aa!B:L,11,0)</f>
        <v>0</v>
      </c>
      <c r="H168" s="50">
        <f>VLOOKUP(B168,aa!B:O,14,0)</f>
        <v>166310</v>
      </c>
      <c r="I168" s="50">
        <f>VLOOKUP(B168,aa!B:R,17,0)</f>
        <v>0</v>
      </c>
      <c r="K168" s="50" t="s">
        <v>152</v>
      </c>
      <c r="L168" s="50">
        <v>173548</v>
      </c>
      <c r="M168" s="50">
        <v>173548</v>
      </c>
      <c r="N168" s="50">
        <v>0</v>
      </c>
      <c r="O168" s="50">
        <v>0</v>
      </c>
      <c r="Q168" s="50">
        <v>173548</v>
      </c>
      <c r="R168" s="50">
        <v>263</v>
      </c>
      <c r="S168" s="50" t="s">
        <v>4273</v>
      </c>
      <c r="T168" s="50">
        <v>0</v>
      </c>
      <c r="U168" s="50">
        <v>0</v>
      </c>
      <c r="W168" s="50" t="s">
        <v>102</v>
      </c>
      <c r="X168" s="50" t="s">
        <v>103</v>
      </c>
      <c r="Y168" s="50" t="s">
        <v>155</v>
      </c>
      <c r="AA168" s="50" t="s">
        <v>1941</v>
      </c>
      <c r="AB168" s="50" t="s">
        <v>17551</v>
      </c>
      <c r="AC168" s="50" t="s">
        <v>11976</v>
      </c>
      <c r="AD168" s="50" t="s">
        <v>17551</v>
      </c>
      <c r="AE168" s="50" t="s">
        <v>12217</v>
      </c>
      <c r="AF168" s="50" t="s">
        <v>17551</v>
      </c>
      <c r="AG168" s="50" t="s">
        <v>12728</v>
      </c>
      <c r="AH168" s="50" t="s">
        <v>17551</v>
      </c>
      <c r="AI168" s="50" t="s">
        <v>102</v>
      </c>
      <c r="AJ168" s="50" t="s">
        <v>12492</v>
      </c>
      <c r="AK168" s="50" t="s">
        <v>13302</v>
      </c>
      <c r="AL168" s="50" t="s">
        <v>17552</v>
      </c>
      <c r="AM168" s="50" t="s">
        <v>17553</v>
      </c>
      <c r="AN168" s="50" t="s">
        <v>17554</v>
      </c>
      <c r="AO168" s="50" t="s">
        <v>10959</v>
      </c>
      <c r="AP168" s="50" t="s">
        <v>10959</v>
      </c>
      <c r="AU168" s="50" t="s">
        <v>102</v>
      </c>
      <c r="AW168" s="50" t="s">
        <v>104</v>
      </c>
      <c r="AX168" s="50" t="s">
        <v>447</v>
      </c>
      <c r="AY168" s="50" t="s">
        <v>170</v>
      </c>
      <c r="AZ168" s="50" t="s">
        <v>118</v>
      </c>
      <c r="BB168" s="50" t="s">
        <v>120</v>
      </c>
      <c r="BC168" s="50" t="s">
        <v>17555</v>
      </c>
      <c r="BD168" s="50" t="s">
        <v>173</v>
      </c>
      <c r="BE168" s="50" t="s">
        <v>174</v>
      </c>
      <c r="BF168" s="50" t="s">
        <v>173</v>
      </c>
      <c r="BG168" s="50" t="s">
        <v>124</v>
      </c>
      <c r="BH168" s="50" t="s">
        <v>6341</v>
      </c>
      <c r="BI168" s="50" t="s">
        <v>11889</v>
      </c>
      <c r="BJ168" s="50" t="s">
        <v>127</v>
      </c>
      <c r="BK168" s="50" t="s">
        <v>17556</v>
      </c>
      <c r="BL168" s="50" t="s">
        <v>17557</v>
      </c>
      <c r="BM168" s="50" t="s">
        <v>17558</v>
      </c>
      <c r="BN168" s="50" t="s">
        <v>559</v>
      </c>
      <c r="BO168" s="50" t="s">
        <v>8447</v>
      </c>
      <c r="BP168" s="50" t="s">
        <v>180</v>
      </c>
      <c r="BQ168" s="50" t="s">
        <v>8448</v>
      </c>
      <c r="BR168" s="50" t="s">
        <v>8449</v>
      </c>
      <c r="BS168" s="50" t="s">
        <v>8450</v>
      </c>
      <c r="BT168" s="50" t="s">
        <v>17559</v>
      </c>
      <c r="BU168" s="50" t="s">
        <v>17560</v>
      </c>
      <c r="BV168" s="50" t="s">
        <v>17561</v>
      </c>
      <c r="BW168" s="50" t="s">
        <v>354</v>
      </c>
      <c r="BX168" s="50" t="s">
        <v>17562</v>
      </c>
      <c r="BY168" s="50" t="s">
        <v>17563</v>
      </c>
      <c r="BZ168" s="50" t="s">
        <v>17562</v>
      </c>
      <c r="CA168" s="50" t="s">
        <v>17564</v>
      </c>
      <c r="CB168" s="50" t="s">
        <v>17562</v>
      </c>
      <c r="CC168" s="50" t="s">
        <v>17565</v>
      </c>
      <c r="CD168" s="50" t="s">
        <v>17564</v>
      </c>
      <c r="CE168" s="50" t="s">
        <v>17562</v>
      </c>
      <c r="CF168" s="50" t="s">
        <v>17565</v>
      </c>
      <c r="CG168" s="50" t="s">
        <v>17566</v>
      </c>
      <c r="CH168" s="50" t="s">
        <v>17567</v>
      </c>
      <c r="CJ168" s="50" t="s">
        <v>17568</v>
      </c>
      <c r="CK168" s="50" t="s">
        <v>17569</v>
      </c>
      <c r="CL168" s="50" t="s">
        <v>17570</v>
      </c>
      <c r="CM168" s="50" t="s">
        <v>173</v>
      </c>
      <c r="CN168" s="50" t="s">
        <v>17568</v>
      </c>
      <c r="CP168" s="50" t="s">
        <v>17567</v>
      </c>
      <c r="CQ168" s="50" t="s">
        <v>17567</v>
      </c>
    </row>
    <row r="169" spans="1:96">
      <c r="A169" s="95" t="s">
        <v>149</v>
      </c>
      <c r="B169" s="50">
        <v>5015049</v>
      </c>
      <c r="C169" s="50" t="s">
        <v>293</v>
      </c>
      <c r="D169" s="50" t="s">
        <v>9407</v>
      </c>
      <c r="E169" s="50" t="e">
        <f>VLOOKUP(B169,aa!B:F,5,0)</f>
        <v>#N/A</v>
      </c>
      <c r="F169" s="50" t="e">
        <f>VLOOKUP(B169,aa!B:J,9,0)</f>
        <v>#N/A</v>
      </c>
      <c r="G169" s="50" t="e">
        <f>VLOOKUP(B169,aa!B:L,11,0)</f>
        <v>#N/A</v>
      </c>
      <c r="H169" s="50" t="e">
        <f>VLOOKUP(B169,aa!B:O,14,0)</f>
        <v>#N/A</v>
      </c>
      <c r="I169" s="50" t="e">
        <f>VLOOKUP(B169,aa!B:R,17,0)</f>
        <v>#N/A</v>
      </c>
      <c r="K169" s="50" t="s">
        <v>3549</v>
      </c>
      <c r="L169" s="50">
        <v>1051198</v>
      </c>
      <c r="M169" s="50">
        <v>1178794</v>
      </c>
      <c r="N169" s="50">
        <v>342332</v>
      </c>
      <c r="O169" s="50">
        <v>388</v>
      </c>
      <c r="P169" s="50" t="s">
        <v>9410</v>
      </c>
      <c r="Q169" s="50">
        <v>0</v>
      </c>
      <c r="R169" s="50">
        <v>0</v>
      </c>
      <c r="T169" s="50">
        <v>708866</v>
      </c>
      <c r="U169" s="50">
        <v>395</v>
      </c>
      <c r="V169" s="50" t="s">
        <v>9411</v>
      </c>
      <c r="W169" s="50" t="s">
        <v>102</v>
      </c>
      <c r="X169" s="50" t="s">
        <v>103</v>
      </c>
      <c r="Y169" s="50" t="s">
        <v>398</v>
      </c>
      <c r="AA169" s="50" t="s">
        <v>15564</v>
      </c>
      <c r="AB169" s="50" t="s">
        <v>18683</v>
      </c>
      <c r="AC169" s="50" t="s">
        <v>13242</v>
      </c>
      <c r="AD169" s="50" t="s">
        <v>18684</v>
      </c>
      <c r="AE169" s="50" t="s">
        <v>11886</v>
      </c>
      <c r="AF169" s="50" t="s">
        <v>18684</v>
      </c>
      <c r="AG169" s="50" t="s">
        <v>109</v>
      </c>
      <c r="AH169" s="50" t="s">
        <v>102</v>
      </c>
      <c r="AI169" s="50" t="s">
        <v>102</v>
      </c>
      <c r="AJ169" s="50" t="s">
        <v>1165</v>
      </c>
      <c r="AK169" s="50" t="s">
        <v>12875</v>
      </c>
      <c r="AL169" s="50" t="s">
        <v>18685</v>
      </c>
      <c r="AM169" s="50" t="s">
        <v>18686</v>
      </c>
      <c r="AN169" s="50" t="s">
        <v>18687</v>
      </c>
      <c r="AO169" s="50" t="s">
        <v>18688</v>
      </c>
      <c r="AP169" s="50" t="s">
        <v>18689</v>
      </c>
      <c r="AS169" s="50" t="s">
        <v>169</v>
      </c>
      <c r="AU169" s="50" t="s">
        <v>117</v>
      </c>
      <c r="AV169" s="50" t="s">
        <v>118</v>
      </c>
      <c r="AW169" s="50" t="s">
        <v>102</v>
      </c>
      <c r="AX169" s="50" t="s">
        <v>119</v>
      </c>
      <c r="BA169" s="50" t="s">
        <v>250</v>
      </c>
      <c r="BB169" s="50" t="s">
        <v>120</v>
      </c>
      <c r="BC169" s="50" t="s">
        <v>920</v>
      </c>
      <c r="BD169" s="50" t="s">
        <v>211</v>
      </c>
      <c r="BE169" s="50" t="s">
        <v>212</v>
      </c>
      <c r="BF169" s="50" t="s">
        <v>213</v>
      </c>
      <c r="BG169" s="50" t="s">
        <v>124</v>
      </c>
      <c r="BH169" s="50" t="s">
        <v>11927</v>
      </c>
      <c r="BI169" s="50" t="s">
        <v>18690</v>
      </c>
      <c r="BJ169" s="50" t="s">
        <v>127</v>
      </c>
      <c r="BK169" s="50" t="s">
        <v>18691</v>
      </c>
      <c r="BL169" s="50" t="s">
        <v>9427</v>
      </c>
      <c r="BM169" s="50" t="s">
        <v>18692</v>
      </c>
      <c r="BN169" s="50" t="s">
        <v>126</v>
      </c>
      <c r="BO169" s="50" t="s">
        <v>15574</v>
      </c>
      <c r="BP169" s="50" t="s">
        <v>180</v>
      </c>
      <c r="BQ169" s="50" t="s">
        <v>15575</v>
      </c>
      <c r="BR169" s="50" t="s">
        <v>15576</v>
      </c>
      <c r="BS169" s="50" t="s">
        <v>7225</v>
      </c>
      <c r="BU169" s="50" t="s">
        <v>18693</v>
      </c>
      <c r="BV169" s="50" t="s">
        <v>18694</v>
      </c>
      <c r="BW169" s="50" t="s">
        <v>138</v>
      </c>
      <c r="BX169" s="50" t="s">
        <v>18695</v>
      </c>
      <c r="BY169" s="50" t="s">
        <v>9432</v>
      </c>
      <c r="BZ169" s="50" t="s">
        <v>9433</v>
      </c>
      <c r="CA169" s="50" t="s">
        <v>18696</v>
      </c>
      <c r="CB169" s="50" t="s">
        <v>18695</v>
      </c>
      <c r="CC169" s="50" t="s">
        <v>9432</v>
      </c>
      <c r="CD169" s="50" t="s">
        <v>18697</v>
      </c>
      <c r="CE169" s="50" t="s">
        <v>18695</v>
      </c>
      <c r="CF169" s="50" t="s">
        <v>9437</v>
      </c>
      <c r="CG169" s="50" t="s">
        <v>4802</v>
      </c>
      <c r="CH169" s="50" t="s">
        <v>18698</v>
      </c>
      <c r="CJ169" s="50" t="s">
        <v>9439</v>
      </c>
      <c r="CK169" s="50" t="s">
        <v>9438</v>
      </c>
      <c r="CL169" s="50" t="s">
        <v>920</v>
      </c>
      <c r="CM169" s="50" t="s">
        <v>211</v>
      </c>
      <c r="CN169" s="50" t="s">
        <v>9439</v>
      </c>
      <c r="CP169" s="50" t="s">
        <v>9438</v>
      </c>
      <c r="CQ169" s="50" t="s">
        <v>9438</v>
      </c>
      <c r="CR169" s="50" t="s">
        <v>26047</v>
      </c>
    </row>
    <row r="170" spans="1:96">
      <c r="A170" s="95" t="s">
        <v>149</v>
      </c>
      <c r="B170" s="50">
        <v>5015890</v>
      </c>
      <c r="C170" s="50" t="s">
        <v>985</v>
      </c>
      <c r="D170" s="50" t="s">
        <v>9531</v>
      </c>
      <c r="E170" s="50" t="e">
        <f>VLOOKUP(B170,aa!B:F,5,0)</f>
        <v>#N/A</v>
      </c>
      <c r="F170" s="50" t="e">
        <f>VLOOKUP(B170,aa!B:J,9,0)</f>
        <v>#N/A</v>
      </c>
      <c r="G170" s="50" t="e">
        <f>VLOOKUP(B170,aa!B:L,11,0)</f>
        <v>#N/A</v>
      </c>
      <c r="H170" s="50" t="e">
        <f>VLOOKUP(B170,aa!B:O,14,0)</f>
        <v>#N/A</v>
      </c>
      <c r="I170" s="50" t="e">
        <f>VLOOKUP(B170,aa!B:R,17,0)</f>
        <v>#N/A</v>
      </c>
      <c r="K170" s="50" t="s">
        <v>97</v>
      </c>
      <c r="L170" s="50">
        <v>128162</v>
      </c>
      <c r="M170" s="50">
        <v>128162</v>
      </c>
      <c r="N170" s="50">
        <v>128162</v>
      </c>
      <c r="O170" s="50">
        <v>233</v>
      </c>
      <c r="P170" s="50" t="s">
        <v>3431</v>
      </c>
      <c r="Q170" s="50">
        <v>0</v>
      </c>
      <c r="R170" s="50">
        <v>0</v>
      </c>
      <c r="T170" s="50">
        <v>0</v>
      </c>
      <c r="U170" s="50">
        <v>0</v>
      </c>
      <c r="W170" s="50" t="s">
        <v>102</v>
      </c>
      <c r="X170" s="50" t="s">
        <v>275</v>
      </c>
      <c r="Z170" s="50" t="s">
        <v>12023</v>
      </c>
      <c r="AA170" s="50" t="s">
        <v>109</v>
      </c>
      <c r="AB170" s="50" t="s">
        <v>102</v>
      </c>
      <c r="AC170" s="50" t="s">
        <v>109</v>
      </c>
      <c r="AD170" s="50" t="s">
        <v>102</v>
      </c>
      <c r="AE170" s="50" t="s">
        <v>109</v>
      </c>
      <c r="AF170" s="50" t="s">
        <v>102</v>
      </c>
      <c r="AG170" s="50" t="s">
        <v>109</v>
      </c>
      <c r="AH170" s="50" t="s">
        <v>102</v>
      </c>
      <c r="AI170" s="50" t="s">
        <v>102</v>
      </c>
      <c r="AL170" s="50" t="s">
        <v>18767</v>
      </c>
      <c r="AM170" s="50" t="s">
        <v>102</v>
      </c>
      <c r="AN170" s="50" t="s">
        <v>18767</v>
      </c>
      <c r="AO170" s="50" t="s">
        <v>3438</v>
      </c>
      <c r="AP170" s="50" t="s">
        <v>3438</v>
      </c>
      <c r="AU170" s="50" t="s">
        <v>318</v>
      </c>
      <c r="AV170" s="50" t="s">
        <v>118</v>
      </c>
      <c r="AW170" s="50" t="s">
        <v>102</v>
      </c>
      <c r="AX170" s="50" t="s">
        <v>119</v>
      </c>
      <c r="BB170" s="50" t="s">
        <v>120</v>
      </c>
      <c r="BC170" s="50" t="s">
        <v>2127</v>
      </c>
      <c r="BD170" s="50" t="s">
        <v>621</v>
      </c>
      <c r="BE170" s="50" t="s">
        <v>622</v>
      </c>
      <c r="BF170" s="50" t="s">
        <v>976</v>
      </c>
      <c r="BG170" s="50" t="s">
        <v>124</v>
      </c>
      <c r="BH170" s="50" t="s">
        <v>5694</v>
      </c>
      <c r="BI170" s="50" t="s">
        <v>11889</v>
      </c>
      <c r="BJ170" s="50" t="s">
        <v>127</v>
      </c>
      <c r="BK170" s="50" t="s">
        <v>18768</v>
      </c>
      <c r="BL170" s="50" t="s">
        <v>9537</v>
      </c>
      <c r="BM170" s="50" t="s">
        <v>18769</v>
      </c>
      <c r="BN170" s="50" t="s">
        <v>126</v>
      </c>
      <c r="BO170" s="50" t="s">
        <v>981</v>
      </c>
      <c r="BP170" s="50" t="s">
        <v>132</v>
      </c>
      <c r="BQ170" s="50" t="s">
        <v>982</v>
      </c>
      <c r="BR170" s="50" t="s">
        <v>983</v>
      </c>
      <c r="BS170" s="50" t="s">
        <v>984</v>
      </c>
      <c r="BU170" s="50" t="s">
        <v>18770</v>
      </c>
      <c r="BV170" s="50" t="s">
        <v>9540</v>
      </c>
      <c r="BW170" s="50" t="s">
        <v>138</v>
      </c>
      <c r="BX170" s="50" t="s">
        <v>9541</v>
      </c>
      <c r="BY170" s="50" t="s">
        <v>9542</v>
      </c>
      <c r="BZ170" s="50" t="s">
        <v>9541</v>
      </c>
      <c r="CA170" s="50" t="s">
        <v>9540</v>
      </c>
      <c r="CB170" s="50" t="s">
        <v>9541</v>
      </c>
      <c r="CC170" s="50" t="s">
        <v>9542</v>
      </c>
      <c r="CD170" s="50" t="s">
        <v>18771</v>
      </c>
      <c r="CE170" s="50" t="s">
        <v>18772</v>
      </c>
      <c r="CF170" s="50" t="s">
        <v>18773</v>
      </c>
      <c r="CG170" s="50" t="s">
        <v>102</v>
      </c>
      <c r="CH170" s="50" t="s">
        <v>18774</v>
      </c>
      <c r="CJ170" s="50" t="s">
        <v>9544</v>
      </c>
      <c r="CL170" s="50" t="s">
        <v>2127</v>
      </c>
      <c r="CM170" s="50" t="s">
        <v>621</v>
      </c>
      <c r="CN170" s="50" t="s">
        <v>9544</v>
      </c>
      <c r="CP170" s="50" t="s">
        <v>9543</v>
      </c>
      <c r="CQ170" s="50" t="s">
        <v>9543</v>
      </c>
      <c r="CR170" s="50" t="s">
        <v>26040</v>
      </c>
    </row>
    <row r="171" spans="1:96">
      <c r="A171" s="95" t="s">
        <v>149</v>
      </c>
      <c r="B171" s="50">
        <v>504488</v>
      </c>
      <c r="C171" s="50" t="s">
        <v>12507</v>
      </c>
      <c r="D171" s="50" t="s">
        <v>10789</v>
      </c>
      <c r="E171" s="50" t="str">
        <f>VLOOKUP(B171,aa!B:F,5,0)</f>
        <v>Ei Mindspark</v>
      </c>
      <c r="F171" s="50">
        <f>VLOOKUP(B171,aa!B:J,9,0)</f>
        <v>2112229</v>
      </c>
      <c r="G171" s="50">
        <f>VLOOKUP(B171,aa!B:L,11,0)</f>
        <v>0</v>
      </c>
      <c r="H171" s="50">
        <f>VLOOKUP(B171,aa!B:O,14,0)</f>
        <v>0</v>
      </c>
      <c r="I171" s="50">
        <f>VLOOKUP(B171,aa!B:R,17,0)</f>
        <v>2112229</v>
      </c>
      <c r="K171" s="50" t="s">
        <v>848</v>
      </c>
      <c r="L171" s="50">
        <v>2150159</v>
      </c>
      <c r="M171" s="50">
        <v>2537188</v>
      </c>
      <c r="N171" s="50">
        <v>0</v>
      </c>
      <c r="O171" s="50">
        <v>0</v>
      </c>
      <c r="Q171" s="50">
        <v>0</v>
      </c>
      <c r="R171" s="50">
        <v>0</v>
      </c>
      <c r="T171" s="50">
        <v>2150159</v>
      </c>
      <c r="U171" s="50">
        <v>1440</v>
      </c>
      <c r="V171" s="50" t="s">
        <v>20424</v>
      </c>
      <c r="W171" s="50" t="s">
        <v>102</v>
      </c>
      <c r="X171" s="50" t="s">
        <v>103</v>
      </c>
      <c r="Y171" s="50" t="s">
        <v>155</v>
      </c>
      <c r="AA171" s="50" t="s">
        <v>4813</v>
      </c>
      <c r="AB171" s="50" t="s">
        <v>20425</v>
      </c>
      <c r="AC171" s="50" t="s">
        <v>11929</v>
      </c>
      <c r="AD171" s="50" t="s">
        <v>20425</v>
      </c>
      <c r="AE171" s="50" t="s">
        <v>20426</v>
      </c>
      <c r="AF171" s="50" t="s">
        <v>20425</v>
      </c>
      <c r="AG171" s="50" t="s">
        <v>16007</v>
      </c>
      <c r="AH171" s="50" t="s">
        <v>20425</v>
      </c>
      <c r="AI171" s="50" t="s">
        <v>14971</v>
      </c>
      <c r="AJ171" s="50" t="s">
        <v>7439</v>
      </c>
      <c r="AK171" s="50" t="s">
        <v>13344</v>
      </c>
      <c r="AL171" s="50" t="s">
        <v>20427</v>
      </c>
      <c r="AM171" s="50" t="s">
        <v>20428</v>
      </c>
      <c r="AN171" s="50" t="s">
        <v>20429</v>
      </c>
      <c r="AO171" s="50" t="s">
        <v>10798</v>
      </c>
      <c r="AP171" s="50" t="s">
        <v>10799</v>
      </c>
      <c r="AR171" s="50" t="s">
        <v>169</v>
      </c>
      <c r="AT171" s="50" t="s">
        <v>169</v>
      </c>
      <c r="AU171" s="50" t="s">
        <v>102</v>
      </c>
      <c r="AW171" s="50" t="s">
        <v>102</v>
      </c>
      <c r="AX171" s="50" t="s">
        <v>119</v>
      </c>
      <c r="BA171" s="50" t="s">
        <v>250</v>
      </c>
      <c r="BB171" s="50" t="s">
        <v>171</v>
      </c>
      <c r="BC171" s="50" t="s">
        <v>4216</v>
      </c>
      <c r="BD171" s="50" t="s">
        <v>556</v>
      </c>
      <c r="BE171" s="50" t="s">
        <v>122</v>
      </c>
      <c r="BF171" s="50" t="s">
        <v>557</v>
      </c>
      <c r="BG171" s="50" t="s">
        <v>124</v>
      </c>
      <c r="BH171" s="50" t="s">
        <v>12023</v>
      </c>
      <c r="BI171" s="50" t="s">
        <v>11889</v>
      </c>
      <c r="BJ171" s="50" t="s">
        <v>127</v>
      </c>
      <c r="BK171" s="50" t="s">
        <v>20430</v>
      </c>
      <c r="BL171" s="50" t="s">
        <v>10801</v>
      </c>
      <c r="BM171" s="50" t="s">
        <v>20431</v>
      </c>
      <c r="BN171" s="50" t="s">
        <v>126</v>
      </c>
      <c r="BO171" s="50" t="s">
        <v>12743</v>
      </c>
      <c r="BP171" s="50" t="s">
        <v>350</v>
      </c>
      <c r="BQ171" s="50" t="s">
        <v>12744</v>
      </c>
      <c r="BR171" s="50" t="s">
        <v>12745</v>
      </c>
      <c r="BS171" s="50" t="s">
        <v>1075</v>
      </c>
      <c r="BU171" s="50" t="s">
        <v>20432</v>
      </c>
      <c r="BV171" s="50" t="s">
        <v>10804</v>
      </c>
      <c r="BW171" s="50" t="s">
        <v>138</v>
      </c>
      <c r="BX171" s="50" t="s">
        <v>20433</v>
      </c>
      <c r="BY171" s="50" t="s">
        <v>10806</v>
      </c>
      <c r="BZ171" s="50" t="s">
        <v>10807</v>
      </c>
      <c r="CA171" s="50" t="s">
        <v>10804</v>
      </c>
      <c r="CB171" s="50" t="s">
        <v>20433</v>
      </c>
      <c r="CC171" s="50" t="s">
        <v>20434</v>
      </c>
      <c r="CD171" s="50" t="s">
        <v>20435</v>
      </c>
      <c r="CE171" s="50" t="s">
        <v>20436</v>
      </c>
      <c r="CF171" s="50" t="s">
        <v>20437</v>
      </c>
      <c r="CG171" s="50" t="s">
        <v>102</v>
      </c>
      <c r="CH171" s="50" t="s">
        <v>20438</v>
      </c>
      <c r="CJ171" s="50" t="s">
        <v>10809</v>
      </c>
      <c r="CL171" s="50" t="s">
        <v>4216</v>
      </c>
      <c r="CM171" s="50" t="s">
        <v>556</v>
      </c>
      <c r="CN171" s="50" t="s">
        <v>10809</v>
      </c>
      <c r="CO171" s="50" t="s">
        <v>10810</v>
      </c>
      <c r="CP171" s="50" t="s">
        <v>10808</v>
      </c>
      <c r="CQ171" s="50" t="s">
        <v>10808</v>
      </c>
    </row>
    <row r="172" spans="1:96">
      <c r="A172" s="95" t="s">
        <v>149</v>
      </c>
      <c r="B172" s="50">
        <v>2472169</v>
      </c>
      <c r="C172" s="50" t="s">
        <v>418</v>
      </c>
      <c r="D172" s="50" t="s">
        <v>14135</v>
      </c>
      <c r="E172" s="50" t="e">
        <f>VLOOKUP(B172,aa!B:F,5,0)</f>
        <v>#N/A</v>
      </c>
      <c r="F172" s="50" t="e">
        <f>VLOOKUP(B172,aa!B:J,9,0)</f>
        <v>#N/A</v>
      </c>
      <c r="G172" s="50" t="e">
        <f>VLOOKUP(B172,aa!B:L,11,0)</f>
        <v>#N/A</v>
      </c>
      <c r="H172" s="50" t="e">
        <f>VLOOKUP(B172,aa!B:O,14,0)</f>
        <v>#N/A</v>
      </c>
      <c r="I172" s="50" t="e">
        <f>VLOOKUP(B172,aa!B:R,17,0)</f>
        <v>#N/A</v>
      </c>
      <c r="K172" s="50" t="s">
        <v>97</v>
      </c>
      <c r="L172" s="50">
        <v>989169</v>
      </c>
      <c r="M172" s="50">
        <v>989169</v>
      </c>
      <c r="N172" s="50">
        <v>989169</v>
      </c>
      <c r="O172" s="50">
        <v>1161</v>
      </c>
      <c r="P172" s="50" t="s">
        <v>14136</v>
      </c>
      <c r="Q172" s="50">
        <v>0</v>
      </c>
      <c r="R172" s="50">
        <v>0</v>
      </c>
      <c r="T172" s="50">
        <v>0</v>
      </c>
      <c r="U172" s="50">
        <v>0</v>
      </c>
      <c r="W172" s="50" t="s">
        <v>102</v>
      </c>
      <c r="X172" s="50" t="s">
        <v>103</v>
      </c>
      <c r="Y172" s="50" t="s">
        <v>104</v>
      </c>
      <c r="AA172" s="50" t="s">
        <v>1165</v>
      </c>
      <c r="AB172" s="50" t="s">
        <v>14137</v>
      </c>
      <c r="AC172" s="50" t="s">
        <v>12888</v>
      </c>
      <c r="AD172" s="50" t="s">
        <v>14138</v>
      </c>
      <c r="AE172" s="50" t="s">
        <v>109</v>
      </c>
      <c r="AF172" s="50" t="s">
        <v>102</v>
      </c>
      <c r="AG172" s="50" t="s">
        <v>109</v>
      </c>
      <c r="AH172" s="50" t="s">
        <v>102</v>
      </c>
      <c r="AI172" s="50" t="s">
        <v>14139</v>
      </c>
      <c r="AJ172" s="50" t="s">
        <v>12783</v>
      </c>
      <c r="AK172" s="50" t="s">
        <v>12873</v>
      </c>
      <c r="AL172" s="50" t="s">
        <v>14140</v>
      </c>
      <c r="AM172" s="50" t="s">
        <v>14141</v>
      </c>
      <c r="AN172" s="50" t="s">
        <v>115</v>
      </c>
      <c r="AO172" s="50" t="s">
        <v>14142</v>
      </c>
      <c r="AP172" s="50" t="s">
        <v>14142</v>
      </c>
      <c r="AU172" s="50" t="s">
        <v>318</v>
      </c>
      <c r="AV172" s="50" t="s">
        <v>118</v>
      </c>
      <c r="AW172" s="50" t="s">
        <v>102</v>
      </c>
      <c r="AX172" s="50" t="s">
        <v>119</v>
      </c>
      <c r="BB172" s="50" t="s">
        <v>120</v>
      </c>
      <c r="BC172" s="50" t="s">
        <v>409</v>
      </c>
      <c r="BD172" s="50" t="s">
        <v>410</v>
      </c>
      <c r="BE172" s="50" t="s">
        <v>212</v>
      </c>
      <c r="BF172" s="50" t="s">
        <v>410</v>
      </c>
      <c r="BG172" s="50" t="s">
        <v>124</v>
      </c>
      <c r="BH172" s="50" t="s">
        <v>12082</v>
      </c>
      <c r="BI172" s="50" t="s">
        <v>11889</v>
      </c>
      <c r="BJ172" s="50" t="s">
        <v>127</v>
      </c>
      <c r="BK172" s="50" t="s">
        <v>14143</v>
      </c>
      <c r="BL172" s="50" t="s">
        <v>3582</v>
      </c>
      <c r="BM172" s="50" t="s">
        <v>14144</v>
      </c>
      <c r="BN172" s="50" t="s">
        <v>12023</v>
      </c>
      <c r="BO172" s="50" t="s">
        <v>866</v>
      </c>
      <c r="BP172" s="50" t="s">
        <v>132</v>
      </c>
      <c r="BQ172" s="50" t="s">
        <v>867</v>
      </c>
      <c r="BR172" s="50" t="s">
        <v>868</v>
      </c>
      <c r="BS172" s="50" t="s">
        <v>418</v>
      </c>
      <c r="BU172" s="50" t="s">
        <v>14145</v>
      </c>
      <c r="BV172" s="50" t="s">
        <v>3585</v>
      </c>
      <c r="BW172" s="50" t="s">
        <v>598</v>
      </c>
      <c r="BX172" s="50" t="s">
        <v>225</v>
      </c>
      <c r="BY172" s="50" t="s">
        <v>226</v>
      </c>
      <c r="BZ172" s="50" t="s">
        <v>3586</v>
      </c>
      <c r="CA172" s="50" t="s">
        <v>14146</v>
      </c>
      <c r="CB172" s="50" t="s">
        <v>14147</v>
      </c>
      <c r="CC172" s="50" t="s">
        <v>14148</v>
      </c>
      <c r="CD172" s="50" t="s">
        <v>14149</v>
      </c>
      <c r="CE172" s="50" t="s">
        <v>14150</v>
      </c>
      <c r="CF172" s="50" t="s">
        <v>14151</v>
      </c>
      <c r="CG172" s="50" t="s">
        <v>102</v>
      </c>
      <c r="CH172" s="50" t="s">
        <v>3587</v>
      </c>
      <c r="CJ172" s="50" t="s">
        <v>3588</v>
      </c>
      <c r="CL172" s="50" t="s">
        <v>409</v>
      </c>
      <c r="CM172" s="50" t="s">
        <v>410</v>
      </c>
      <c r="CN172" s="50" t="s">
        <v>3588</v>
      </c>
      <c r="CO172" s="50" t="s">
        <v>3589</v>
      </c>
      <c r="CP172" s="50" t="s">
        <v>3587</v>
      </c>
      <c r="CQ172" s="50" t="s">
        <v>3587</v>
      </c>
      <c r="CR172" s="50" t="s">
        <v>26040</v>
      </c>
    </row>
    <row r="173" spans="1:96">
      <c r="A173" s="95" t="s">
        <v>149</v>
      </c>
      <c r="B173" s="50">
        <v>2473015</v>
      </c>
      <c r="C173" s="50" t="s">
        <v>11882</v>
      </c>
      <c r="D173" s="50" t="s">
        <v>3617</v>
      </c>
      <c r="E173" s="50" t="str">
        <f>VLOOKUP(B173,aa!B:F,5,0)</f>
        <v>Ei Mindspark</v>
      </c>
      <c r="F173" s="50">
        <f>VLOOKUP(B173,aa!B:J,9,0)</f>
        <v>907672</v>
      </c>
      <c r="G173" s="50">
        <f>VLOOKUP(B173,aa!B:L,11,0)</f>
        <v>0</v>
      </c>
      <c r="H173" s="50">
        <f>VLOOKUP(B173,aa!B:O,14,0)</f>
        <v>0</v>
      </c>
      <c r="I173" s="50">
        <f>VLOOKUP(B173,aa!B:R,17,0)</f>
        <v>907672</v>
      </c>
      <c r="K173" s="50" t="s">
        <v>848</v>
      </c>
      <c r="L173" s="50">
        <v>935254</v>
      </c>
      <c r="M173" s="50">
        <v>1103600</v>
      </c>
      <c r="N173" s="50">
        <v>0</v>
      </c>
      <c r="O173" s="50">
        <v>0</v>
      </c>
      <c r="Q173" s="50">
        <v>0</v>
      </c>
      <c r="R173" s="50">
        <v>0</v>
      </c>
      <c r="T173" s="50">
        <v>935254</v>
      </c>
      <c r="U173" s="50">
        <v>390</v>
      </c>
      <c r="V173" s="50" t="s">
        <v>14168</v>
      </c>
      <c r="W173" s="50" t="s">
        <v>102</v>
      </c>
      <c r="X173" s="50" t="s">
        <v>103</v>
      </c>
      <c r="Y173" s="50" t="s">
        <v>155</v>
      </c>
      <c r="AA173" s="50" t="s">
        <v>6341</v>
      </c>
      <c r="AB173" s="50" t="s">
        <v>14169</v>
      </c>
      <c r="AC173" s="50" t="s">
        <v>11976</v>
      </c>
      <c r="AD173" s="50" t="s">
        <v>14169</v>
      </c>
      <c r="AE173" s="50" t="s">
        <v>11888</v>
      </c>
      <c r="AF173" s="50" t="s">
        <v>14169</v>
      </c>
      <c r="AG173" s="50" t="s">
        <v>12084</v>
      </c>
      <c r="AH173" s="50" t="s">
        <v>14169</v>
      </c>
      <c r="AI173" s="50" t="s">
        <v>14170</v>
      </c>
      <c r="AJ173" s="50" t="s">
        <v>13496</v>
      </c>
      <c r="AK173" s="50" t="s">
        <v>6895</v>
      </c>
      <c r="AL173" s="50" t="s">
        <v>14171</v>
      </c>
      <c r="AM173" s="50" t="s">
        <v>14172</v>
      </c>
      <c r="AN173" s="50" t="s">
        <v>14173</v>
      </c>
      <c r="AO173" s="50" t="s">
        <v>14174</v>
      </c>
      <c r="AP173" s="50" t="s">
        <v>14175</v>
      </c>
      <c r="AT173" s="50" t="s">
        <v>169</v>
      </c>
      <c r="AU173" s="50" t="s">
        <v>102</v>
      </c>
      <c r="AW173" s="50" t="s">
        <v>102</v>
      </c>
      <c r="AX173" s="50" t="s">
        <v>119</v>
      </c>
      <c r="BA173" s="50" t="s">
        <v>250</v>
      </c>
      <c r="BB173" s="50" t="s">
        <v>120</v>
      </c>
      <c r="BC173" s="50" t="s">
        <v>2840</v>
      </c>
      <c r="BD173" s="50" t="s">
        <v>449</v>
      </c>
      <c r="BE173" s="50" t="s">
        <v>122</v>
      </c>
      <c r="BF173" s="50" t="s">
        <v>253</v>
      </c>
      <c r="BG173" s="50" t="s">
        <v>124</v>
      </c>
      <c r="BH173" s="50" t="s">
        <v>12023</v>
      </c>
      <c r="BI173" s="50" t="s">
        <v>11889</v>
      </c>
      <c r="BJ173" s="50" t="s">
        <v>127</v>
      </c>
      <c r="BK173" s="50" t="s">
        <v>14176</v>
      </c>
      <c r="BL173" s="50" t="s">
        <v>3628</v>
      </c>
      <c r="BM173" s="50" t="s">
        <v>14177</v>
      </c>
      <c r="BN173" s="50" t="s">
        <v>12023</v>
      </c>
      <c r="BO173" s="50" t="s">
        <v>3267</v>
      </c>
      <c r="BP173" s="50" t="s">
        <v>350</v>
      </c>
      <c r="BQ173" s="50" t="s">
        <v>3268</v>
      </c>
      <c r="BR173" s="50" t="s">
        <v>3269</v>
      </c>
      <c r="BS173" s="50" t="s">
        <v>135</v>
      </c>
      <c r="BU173" s="50" t="s">
        <v>14178</v>
      </c>
      <c r="BV173" s="50" t="s">
        <v>14179</v>
      </c>
      <c r="BW173" s="50" t="s">
        <v>598</v>
      </c>
      <c r="BX173" s="50" t="s">
        <v>14180</v>
      </c>
      <c r="BY173" s="50" t="s">
        <v>3633</v>
      </c>
      <c r="BZ173" s="50" t="s">
        <v>3634</v>
      </c>
      <c r="CA173" s="50" t="s">
        <v>14181</v>
      </c>
      <c r="CB173" s="50" t="s">
        <v>3634</v>
      </c>
      <c r="CC173" s="50" t="s">
        <v>3633</v>
      </c>
      <c r="CD173" s="50" t="s">
        <v>14181</v>
      </c>
      <c r="CE173" s="50" t="s">
        <v>3634</v>
      </c>
      <c r="CF173" s="50" t="s">
        <v>3633</v>
      </c>
      <c r="CG173" s="50" t="s">
        <v>102</v>
      </c>
      <c r="CH173" s="50" t="s">
        <v>14182</v>
      </c>
      <c r="CJ173" s="50" t="s">
        <v>2855</v>
      </c>
      <c r="CL173" s="50" t="s">
        <v>2840</v>
      </c>
      <c r="CM173" s="50" t="s">
        <v>449</v>
      </c>
      <c r="CN173" s="50" t="s">
        <v>2855</v>
      </c>
      <c r="CO173" s="50" t="s">
        <v>3637</v>
      </c>
      <c r="CP173" s="50" t="s">
        <v>3638</v>
      </c>
      <c r="CQ173" s="50" t="s">
        <v>3636</v>
      </c>
    </row>
    <row r="174" spans="1:96">
      <c r="A174" s="95" t="s">
        <v>149</v>
      </c>
      <c r="B174" s="50">
        <v>2618631</v>
      </c>
      <c r="C174" s="50" t="s">
        <v>12423</v>
      </c>
      <c r="D174" s="50" t="s">
        <v>4232</v>
      </c>
      <c r="E174" s="50" t="e">
        <f>VLOOKUP(B174,aa!B:F,5,0)</f>
        <v>#N/A</v>
      </c>
      <c r="F174" s="50" t="e">
        <f>VLOOKUP(B174,aa!B:J,9,0)</f>
        <v>#N/A</v>
      </c>
      <c r="G174" s="50" t="e">
        <f>VLOOKUP(B174,aa!B:L,11,0)</f>
        <v>#N/A</v>
      </c>
      <c r="H174" s="50" t="e">
        <f>VLOOKUP(B174,aa!B:O,14,0)</f>
        <v>#N/A</v>
      </c>
      <c r="I174" s="50" t="e">
        <f>VLOOKUP(B174,aa!B:R,17,0)</f>
        <v>#N/A</v>
      </c>
      <c r="K174" s="50" t="s">
        <v>97</v>
      </c>
      <c r="L174" s="50">
        <v>187617</v>
      </c>
      <c r="M174" s="50">
        <v>187617</v>
      </c>
      <c r="N174" s="50">
        <v>187617</v>
      </c>
      <c r="O174" s="50">
        <v>220</v>
      </c>
      <c r="P174" s="50" t="s">
        <v>12381</v>
      </c>
      <c r="Q174" s="50">
        <v>0</v>
      </c>
      <c r="R174" s="50">
        <v>0</v>
      </c>
      <c r="T174" s="50">
        <v>0</v>
      </c>
      <c r="U174" s="50">
        <v>0</v>
      </c>
      <c r="W174" s="50" t="s">
        <v>102</v>
      </c>
      <c r="X174" s="50" t="s">
        <v>103</v>
      </c>
      <c r="Y174" s="50" t="s">
        <v>104</v>
      </c>
      <c r="AA174" s="50" t="s">
        <v>1165</v>
      </c>
      <c r="AB174" s="50" t="s">
        <v>14631</v>
      </c>
      <c r="AC174" s="50" t="s">
        <v>12888</v>
      </c>
      <c r="AD174" s="50" t="s">
        <v>14632</v>
      </c>
      <c r="AE174" s="50" t="s">
        <v>109</v>
      </c>
      <c r="AF174" s="50" t="s">
        <v>102</v>
      </c>
      <c r="AG174" s="50" t="s">
        <v>109</v>
      </c>
      <c r="AH174" s="50" t="s">
        <v>102</v>
      </c>
      <c r="AI174" s="50" t="s">
        <v>14633</v>
      </c>
      <c r="AJ174" s="50" t="s">
        <v>14210</v>
      </c>
      <c r="AK174" s="50" t="s">
        <v>14210</v>
      </c>
      <c r="AL174" s="50" t="s">
        <v>14634</v>
      </c>
      <c r="AM174" s="50" t="s">
        <v>14635</v>
      </c>
      <c r="AN174" s="50" t="s">
        <v>102</v>
      </c>
      <c r="AO174" s="50" t="s">
        <v>14636</v>
      </c>
      <c r="AP174" s="50" t="s">
        <v>14636</v>
      </c>
      <c r="AU174" s="50" t="s">
        <v>318</v>
      </c>
      <c r="AV174" s="50" t="s">
        <v>118</v>
      </c>
      <c r="AW174" s="50" t="s">
        <v>102</v>
      </c>
      <c r="AX174" s="50" t="s">
        <v>119</v>
      </c>
      <c r="BB174" s="50" t="s">
        <v>120</v>
      </c>
      <c r="BC174" s="50" t="s">
        <v>3830</v>
      </c>
      <c r="BD174" s="50" t="s">
        <v>410</v>
      </c>
      <c r="BE174" s="50" t="s">
        <v>212</v>
      </c>
      <c r="BF174" s="50" t="s">
        <v>410</v>
      </c>
      <c r="BG174" s="50" t="s">
        <v>124</v>
      </c>
      <c r="BH174" s="50" t="s">
        <v>12082</v>
      </c>
      <c r="BI174" s="50" t="s">
        <v>11889</v>
      </c>
      <c r="BJ174" s="50" t="s">
        <v>127</v>
      </c>
      <c r="BK174" s="50" t="s">
        <v>14637</v>
      </c>
      <c r="BL174" s="50" t="s">
        <v>4242</v>
      </c>
      <c r="BM174" s="50" t="s">
        <v>14638</v>
      </c>
      <c r="BN174" s="50" t="s">
        <v>12023</v>
      </c>
      <c r="BO174" s="50" t="s">
        <v>866</v>
      </c>
      <c r="BP174" s="50" t="s">
        <v>132</v>
      </c>
      <c r="BQ174" s="50" t="s">
        <v>867</v>
      </c>
      <c r="BR174" s="50" t="s">
        <v>868</v>
      </c>
      <c r="BS174" s="50" t="s">
        <v>418</v>
      </c>
      <c r="BU174" s="50" t="s">
        <v>14639</v>
      </c>
      <c r="BV174" s="50" t="s">
        <v>3585</v>
      </c>
      <c r="BW174" s="50" t="s">
        <v>598</v>
      </c>
      <c r="BX174" s="50" t="s">
        <v>225</v>
      </c>
      <c r="BY174" s="50" t="s">
        <v>226</v>
      </c>
      <c r="BZ174" s="50" t="s">
        <v>4245</v>
      </c>
      <c r="CA174" s="50" t="s">
        <v>14640</v>
      </c>
      <c r="CB174" s="50" t="s">
        <v>14641</v>
      </c>
      <c r="CC174" s="50" t="s">
        <v>14642</v>
      </c>
      <c r="CD174" s="50" t="s">
        <v>14643</v>
      </c>
      <c r="CE174" s="50" t="s">
        <v>14644</v>
      </c>
      <c r="CF174" s="50" t="s">
        <v>14645</v>
      </c>
      <c r="CG174" s="50" t="s">
        <v>102</v>
      </c>
      <c r="CH174" s="50" t="s">
        <v>4246</v>
      </c>
      <c r="CJ174" s="50" t="s">
        <v>4247</v>
      </c>
      <c r="CL174" s="50" t="s">
        <v>3830</v>
      </c>
      <c r="CM174" s="50" t="s">
        <v>410</v>
      </c>
      <c r="CN174" s="50" t="s">
        <v>4247</v>
      </c>
      <c r="CO174" s="50" t="s">
        <v>3589</v>
      </c>
      <c r="CP174" s="50" t="s">
        <v>4246</v>
      </c>
      <c r="CQ174" s="50" t="s">
        <v>4246</v>
      </c>
      <c r="CR174" s="50" t="s">
        <v>26040</v>
      </c>
    </row>
    <row r="175" spans="1:96">
      <c r="A175" s="95" t="s">
        <v>149</v>
      </c>
      <c r="B175" s="50">
        <v>3472426</v>
      </c>
      <c r="C175" s="50" t="s">
        <v>418</v>
      </c>
      <c r="D175" s="50" t="s">
        <v>6209</v>
      </c>
      <c r="E175" s="50" t="e">
        <f>VLOOKUP(B175,aa!B:F,5,0)</f>
        <v>#N/A</v>
      </c>
      <c r="F175" s="50" t="e">
        <f>VLOOKUP(B175,aa!B:J,9,0)</f>
        <v>#N/A</v>
      </c>
      <c r="G175" s="50" t="e">
        <f>VLOOKUP(B175,aa!B:L,11,0)</f>
        <v>#N/A</v>
      </c>
      <c r="H175" s="50" t="e">
        <f>VLOOKUP(B175,aa!B:O,14,0)</f>
        <v>#N/A</v>
      </c>
      <c r="I175" s="50" t="e">
        <f>VLOOKUP(B175,aa!B:R,17,0)</f>
        <v>#N/A</v>
      </c>
      <c r="K175" s="50" t="s">
        <v>97</v>
      </c>
      <c r="L175" s="50">
        <v>185236</v>
      </c>
      <c r="M175" s="50">
        <v>185236</v>
      </c>
      <c r="N175" s="50">
        <v>185236</v>
      </c>
      <c r="O175" s="50">
        <v>285</v>
      </c>
      <c r="P175" s="50" t="s">
        <v>1122</v>
      </c>
      <c r="Q175" s="50">
        <v>0</v>
      </c>
      <c r="R175" s="50">
        <v>0</v>
      </c>
      <c r="T175" s="50">
        <v>0</v>
      </c>
      <c r="U175" s="50">
        <v>0</v>
      </c>
      <c r="W175" s="50" t="s">
        <v>102</v>
      </c>
      <c r="X175" s="50" t="s">
        <v>103</v>
      </c>
      <c r="Y175" s="50" t="s">
        <v>104</v>
      </c>
      <c r="AA175" s="50" t="s">
        <v>1165</v>
      </c>
      <c r="AB175" s="50" t="s">
        <v>16132</v>
      </c>
      <c r="AC175" s="50" t="s">
        <v>12888</v>
      </c>
      <c r="AD175" s="50" t="s">
        <v>16133</v>
      </c>
      <c r="AE175" s="50" t="s">
        <v>109</v>
      </c>
      <c r="AF175" s="50" t="s">
        <v>102</v>
      </c>
      <c r="AG175" s="50" t="s">
        <v>109</v>
      </c>
      <c r="AH175" s="50" t="s">
        <v>102</v>
      </c>
      <c r="AI175" s="50" t="s">
        <v>102</v>
      </c>
      <c r="AJ175" s="50" t="s">
        <v>12838</v>
      </c>
      <c r="AK175" s="50" t="s">
        <v>12838</v>
      </c>
      <c r="AL175" s="50" t="s">
        <v>5349</v>
      </c>
      <c r="AM175" s="50" t="s">
        <v>16134</v>
      </c>
      <c r="AN175" s="50" t="s">
        <v>16135</v>
      </c>
      <c r="AO175" s="50" t="s">
        <v>5355</v>
      </c>
      <c r="AP175" s="50" t="s">
        <v>5355</v>
      </c>
      <c r="AU175" s="50" t="s">
        <v>318</v>
      </c>
      <c r="AV175" s="50" t="s">
        <v>118</v>
      </c>
      <c r="AW175" s="50" t="s">
        <v>102</v>
      </c>
      <c r="AX175" s="50" t="s">
        <v>119</v>
      </c>
      <c r="BB175" s="50" t="s">
        <v>1242</v>
      </c>
      <c r="BC175" s="50" t="s">
        <v>409</v>
      </c>
      <c r="BD175" s="50" t="s">
        <v>410</v>
      </c>
      <c r="BE175" s="50" t="s">
        <v>212</v>
      </c>
      <c r="BF175" s="50" t="s">
        <v>410</v>
      </c>
      <c r="BG175" s="50" t="s">
        <v>124</v>
      </c>
      <c r="BH175" s="50" t="s">
        <v>12082</v>
      </c>
      <c r="BI175" s="50" t="s">
        <v>11889</v>
      </c>
      <c r="BJ175" s="50" t="s">
        <v>127</v>
      </c>
      <c r="BK175" s="50" t="s">
        <v>16136</v>
      </c>
      <c r="BL175" s="50" t="s">
        <v>6218</v>
      </c>
      <c r="BM175" s="50" t="s">
        <v>16137</v>
      </c>
      <c r="BN175" s="50" t="s">
        <v>12023</v>
      </c>
      <c r="BO175" s="50" t="s">
        <v>866</v>
      </c>
      <c r="BP175" s="50" t="s">
        <v>132</v>
      </c>
      <c r="BQ175" s="50" t="s">
        <v>867</v>
      </c>
      <c r="BR175" s="50" t="s">
        <v>868</v>
      </c>
      <c r="BS175" s="50" t="s">
        <v>418</v>
      </c>
      <c r="BU175" s="50" t="s">
        <v>16138</v>
      </c>
      <c r="BV175" s="50" t="s">
        <v>3585</v>
      </c>
      <c r="BW175" s="50" t="s">
        <v>598</v>
      </c>
      <c r="BX175" s="50" t="s">
        <v>225</v>
      </c>
      <c r="BY175" s="50" t="s">
        <v>226</v>
      </c>
      <c r="BZ175" s="50" t="s">
        <v>6221</v>
      </c>
      <c r="CA175" s="50" t="s">
        <v>16139</v>
      </c>
      <c r="CB175" s="50" t="s">
        <v>16140</v>
      </c>
      <c r="CC175" s="50" t="s">
        <v>16141</v>
      </c>
      <c r="CD175" s="50" t="s">
        <v>16142</v>
      </c>
      <c r="CE175" s="50" t="s">
        <v>16143</v>
      </c>
      <c r="CF175" s="50" t="s">
        <v>16144</v>
      </c>
      <c r="CG175" s="50" t="s">
        <v>102</v>
      </c>
      <c r="CH175" s="50" t="s">
        <v>6222</v>
      </c>
      <c r="CJ175" s="50" t="s">
        <v>6223</v>
      </c>
      <c r="CL175" s="50" t="s">
        <v>409</v>
      </c>
      <c r="CM175" s="50" t="s">
        <v>410</v>
      </c>
      <c r="CN175" s="50" t="s">
        <v>6223</v>
      </c>
      <c r="CO175" s="50" t="s">
        <v>3589</v>
      </c>
      <c r="CP175" s="50" t="s">
        <v>6222</v>
      </c>
      <c r="CQ175" s="50" t="s">
        <v>6222</v>
      </c>
      <c r="CR175" s="50" t="s">
        <v>26040</v>
      </c>
    </row>
    <row r="176" spans="1:96">
      <c r="A176" s="95" t="s">
        <v>149</v>
      </c>
      <c r="B176" s="50">
        <v>810125</v>
      </c>
      <c r="C176" s="50" t="s">
        <v>11882</v>
      </c>
      <c r="D176" s="50" t="s">
        <v>11683</v>
      </c>
      <c r="E176" s="50" t="str">
        <f>VLOOKUP(B176,aa!B:F,5,0)</f>
        <v>Ei Mindspark</v>
      </c>
      <c r="F176" s="50">
        <f>VLOOKUP(B176,aa!B:J,9,0)</f>
        <v>324169</v>
      </c>
      <c r="G176" s="50">
        <f>VLOOKUP(B176,aa!B:L,11,0)</f>
        <v>0</v>
      </c>
      <c r="H176" s="50">
        <f>VLOOKUP(B176,aa!B:O,14,0)</f>
        <v>0</v>
      </c>
      <c r="I176" s="50">
        <f>VLOOKUP(B176,aa!B:R,17,0)</f>
        <v>324169</v>
      </c>
      <c r="K176" s="50" t="s">
        <v>848</v>
      </c>
      <c r="L176" s="50">
        <v>326140</v>
      </c>
      <c r="M176" s="50">
        <v>384845</v>
      </c>
      <c r="N176" s="50">
        <v>0</v>
      </c>
      <c r="O176" s="50">
        <v>0</v>
      </c>
      <c r="Q176" s="50">
        <v>0</v>
      </c>
      <c r="R176" s="50">
        <v>0</v>
      </c>
      <c r="T176" s="50">
        <v>326140</v>
      </c>
      <c r="U176" s="50">
        <v>136</v>
      </c>
      <c r="V176" s="50" t="s">
        <v>14168</v>
      </c>
      <c r="W176" s="50" t="s">
        <v>102</v>
      </c>
      <c r="X176" s="50" t="s">
        <v>103</v>
      </c>
      <c r="Y176" s="50" t="s">
        <v>155</v>
      </c>
      <c r="AA176" s="50" t="s">
        <v>6341</v>
      </c>
      <c r="AB176" s="50" t="s">
        <v>21504</v>
      </c>
      <c r="AC176" s="50" t="s">
        <v>11976</v>
      </c>
      <c r="AD176" s="50" t="s">
        <v>21504</v>
      </c>
      <c r="AE176" s="50" t="s">
        <v>11888</v>
      </c>
      <c r="AF176" s="50" t="s">
        <v>21504</v>
      </c>
      <c r="AG176" s="50" t="s">
        <v>12084</v>
      </c>
      <c r="AH176" s="50" t="s">
        <v>21504</v>
      </c>
      <c r="AI176" s="50" t="s">
        <v>21505</v>
      </c>
      <c r="AJ176" s="50" t="s">
        <v>13496</v>
      </c>
      <c r="AK176" s="50" t="s">
        <v>6895</v>
      </c>
      <c r="AL176" s="50" t="s">
        <v>21506</v>
      </c>
      <c r="AM176" s="50" t="s">
        <v>21507</v>
      </c>
      <c r="AN176" s="50" t="s">
        <v>21508</v>
      </c>
      <c r="AO176" s="50" t="s">
        <v>14174</v>
      </c>
      <c r="AP176" s="50" t="s">
        <v>14175</v>
      </c>
      <c r="AT176" s="50" t="s">
        <v>169</v>
      </c>
      <c r="AU176" s="50" t="s">
        <v>102</v>
      </c>
      <c r="AW176" s="50" t="s">
        <v>102</v>
      </c>
      <c r="AX176" s="50" t="s">
        <v>119</v>
      </c>
      <c r="BA176" s="50" t="s">
        <v>250</v>
      </c>
      <c r="BB176" s="50" t="s">
        <v>120</v>
      </c>
      <c r="BC176" s="50" t="s">
        <v>2840</v>
      </c>
      <c r="BD176" s="50" t="s">
        <v>449</v>
      </c>
      <c r="BE176" s="50" t="s">
        <v>122</v>
      </c>
      <c r="BF176" s="50" t="s">
        <v>253</v>
      </c>
      <c r="BG176" s="50" t="s">
        <v>124</v>
      </c>
      <c r="BH176" s="50" t="s">
        <v>12023</v>
      </c>
      <c r="BI176" s="50" t="s">
        <v>11889</v>
      </c>
      <c r="BJ176" s="50" t="s">
        <v>127</v>
      </c>
      <c r="BK176" s="50" t="s">
        <v>21509</v>
      </c>
      <c r="BL176" s="50" t="s">
        <v>11691</v>
      </c>
      <c r="BM176" s="50" t="s">
        <v>21510</v>
      </c>
      <c r="BN176" s="50" t="s">
        <v>12023</v>
      </c>
      <c r="BO176" s="50" t="s">
        <v>3267</v>
      </c>
      <c r="BP176" s="50" t="s">
        <v>350</v>
      </c>
      <c r="BQ176" s="50" t="s">
        <v>3268</v>
      </c>
      <c r="BR176" s="50" t="s">
        <v>3269</v>
      </c>
      <c r="BS176" s="50" t="s">
        <v>135</v>
      </c>
      <c r="BU176" s="50" t="s">
        <v>21511</v>
      </c>
      <c r="BV176" s="50" t="s">
        <v>14179</v>
      </c>
      <c r="BW176" s="50" t="s">
        <v>598</v>
      </c>
      <c r="BX176" s="50" t="s">
        <v>14180</v>
      </c>
      <c r="BY176" s="50" t="s">
        <v>3633</v>
      </c>
      <c r="BZ176" s="50" t="s">
        <v>11697</v>
      </c>
      <c r="CA176" s="50" t="s">
        <v>21512</v>
      </c>
      <c r="CB176" s="50" t="s">
        <v>11697</v>
      </c>
      <c r="CC176" s="50" t="s">
        <v>3633</v>
      </c>
      <c r="CD176" s="50" t="s">
        <v>21512</v>
      </c>
      <c r="CE176" s="50" t="s">
        <v>11697</v>
      </c>
      <c r="CF176" s="50" t="s">
        <v>3633</v>
      </c>
      <c r="CG176" s="50" t="s">
        <v>102</v>
      </c>
      <c r="CH176" s="50" t="s">
        <v>21513</v>
      </c>
      <c r="CJ176" s="50" t="s">
        <v>5951</v>
      </c>
      <c r="CL176" s="50" t="s">
        <v>2840</v>
      </c>
      <c r="CM176" s="50" t="s">
        <v>449</v>
      </c>
      <c r="CN176" s="50" t="s">
        <v>5951</v>
      </c>
      <c r="CO176" s="50" t="s">
        <v>3637</v>
      </c>
      <c r="CP176" s="50" t="s">
        <v>11698</v>
      </c>
      <c r="CQ176" s="50" t="s">
        <v>11698</v>
      </c>
    </row>
    <row r="177" spans="1:96">
      <c r="A177" s="95" t="s">
        <v>149</v>
      </c>
      <c r="B177" s="50">
        <v>6334</v>
      </c>
      <c r="C177" s="50" t="s">
        <v>1279</v>
      </c>
      <c r="D177" s="50" t="s">
        <v>5060</v>
      </c>
      <c r="E177" s="50" t="e">
        <f>VLOOKUP(B177,aa!B:F,5,0)</f>
        <v>#N/A</v>
      </c>
      <c r="F177" s="50" t="e">
        <f>VLOOKUP(B177,aa!B:J,9,0)</f>
        <v>#N/A</v>
      </c>
      <c r="G177" s="50" t="e">
        <f>VLOOKUP(B177,aa!B:L,11,0)</f>
        <v>#N/A</v>
      </c>
      <c r="H177" s="50" t="e">
        <f>VLOOKUP(B177,aa!B:O,14,0)</f>
        <v>#N/A</v>
      </c>
      <c r="I177" s="50" t="e">
        <f>VLOOKUP(B177,aa!B:R,17,0)</f>
        <v>#N/A</v>
      </c>
      <c r="K177" s="50" t="s">
        <v>675</v>
      </c>
      <c r="L177" s="50">
        <v>2987225</v>
      </c>
      <c r="M177" s="50">
        <v>2987225</v>
      </c>
      <c r="N177" s="50">
        <v>1042752</v>
      </c>
      <c r="O177" s="50">
        <v>3644</v>
      </c>
      <c r="P177" s="50" t="s">
        <v>14347</v>
      </c>
      <c r="Q177" s="50">
        <v>1944473</v>
      </c>
      <c r="R177" s="50">
        <v>1586</v>
      </c>
      <c r="S177" s="50" t="s">
        <v>21347</v>
      </c>
      <c r="T177" s="50">
        <v>0</v>
      </c>
      <c r="U177" s="50">
        <v>0</v>
      </c>
      <c r="W177" s="50" t="s">
        <v>102</v>
      </c>
      <c r="X177" s="50" t="s">
        <v>679</v>
      </c>
      <c r="Y177" s="50" t="s">
        <v>104</v>
      </c>
      <c r="Z177" s="50" t="s">
        <v>13242</v>
      </c>
      <c r="AA177" s="50" t="s">
        <v>12764</v>
      </c>
      <c r="AB177" s="50" t="s">
        <v>21348</v>
      </c>
      <c r="AC177" s="50" t="s">
        <v>12767</v>
      </c>
      <c r="AD177" s="50" t="s">
        <v>21349</v>
      </c>
      <c r="AE177" s="50" t="s">
        <v>109</v>
      </c>
      <c r="AF177" s="50" t="s">
        <v>102</v>
      </c>
      <c r="AG177" s="50" t="s">
        <v>109</v>
      </c>
      <c r="AH177" s="50" t="s">
        <v>102</v>
      </c>
      <c r="AI177" s="50" t="s">
        <v>21350</v>
      </c>
      <c r="AJ177" s="50" t="s">
        <v>21351</v>
      </c>
      <c r="AK177" s="50" t="s">
        <v>21352</v>
      </c>
      <c r="AL177" s="50" t="s">
        <v>21353</v>
      </c>
      <c r="AM177" s="50" t="s">
        <v>21354</v>
      </c>
      <c r="AN177" s="50" t="s">
        <v>21355</v>
      </c>
      <c r="AO177" s="50" t="s">
        <v>21356</v>
      </c>
      <c r="AP177" s="50" t="s">
        <v>21356</v>
      </c>
      <c r="AU177" s="50" t="s">
        <v>207</v>
      </c>
      <c r="AV177" s="50" t="s">
        <v>118</v>
      </c>
      <c r="AW177" s="50" t="s">
        <v>655</v>
      </c>
      <c r="AX177" s="50" t="s">
        <v>119</v>
      </c>
      <c r="AY177" s="50" t="s">
        <v>170</v>
      </c>
      <c r="AZ177" s="50" t="s">
        <v>118</v>
      </c>
      <c r="BB177" s="50" t="s">
        <v>171</v>
      </c>
      <c r="BC177" s="50" t="s">
        <v>623</v>
      </c>
      <c r="BD177" s="50" t="s">
        <v>621</v>
      </c>
      <c r="BE177" s="50" t="s">
        <v>622</v>
      </c>
      <c r="BF177" s="50" t="s">
        <v>623</v>
      </c>
      <c r="BG177" s="50" t="s">
        <v>124</v>
      </c>
      <c r="BH177" s="50" t="s">
        <v>21357</v>
      </c>
      <c r="BI177" s="50" t="s">
        <v>12963</v>
      </c>
      <c r="BJ177" s="50" t="s">
        <v>127</v>
      </c>
      <c r="BK177" s="50" t="s">
        <v>21358</v>
      </c>
      <c r="BL177" s="50" t="s">
        <v>11460</v>
      </c>
      <c r="BM177" s="50" t="s">
        <v>21359</v>
      </c>
      <c r="BN177" s="50" t="s">
        <v>21346</v>
      </c>
      <c r="BO177" s="50" t="s">
        <v>629</v>
      </c>
      <c r="BP177" s="50" t="s">
        <v>132</v>
      </c>
      <c r="BQ177" s="50" t="s">
        <v>630</v>
      </c>
      <c r="BR177" s="50" t="s">
        <v>631</v>
      </c>
      <c r="BS177" s="50" t="s">
        <v>1279</v>
      </c>
      <c r="BU177" s="50" t="s">
        <v>21360</v>
      </c>
      <c r="BV177" s="50" t="s">
        <v>21361</v>
      </c>
      <c r="BW177" s="50" t="s">
        <v>138</v>
      </c>
      <c r="BX177" s="50" t="s">
        <v>11467</v>
      </c>
      <c r="BY177" s="50" t="s">
        <v>21362</v>
      </c>
      <c r="BZ177" s="50" t="s">
        <v>4548</v>
      </c>
      <c r="CA177" s="50" t="s">
        <v>21363</v>
      </c>
      <c r="CB177" s="50" t="s">
        <v>11467</v>
      </c>
      <c r="CC177" s="50" t="s">
        <v>21362</v>
      </c>
      <c r="CD177" s="50" t="s">
        <v>21364</v>
      </c>
      <c r="CE177" s="50" t="s">
        <v>21365</v>
      </c>
      <c r="CF177" s="50" t="s">
        <v>21366</v>
      </c>
      <c r="CG177" s="50" t="s">
        <v>102</v>
      </c>
      <c r="CH177" s="50" t="s">
        <v>11474</v>
      </c>
      <c r="CJ177" s="50" t="s">
        <v>4550</v>
      </c>
      <c r="CL177" s="50" t="s">
        <v>623</v>
      </c>
      <c r="CM177" s="50" t="s">
        <v>621</v>
      </c>
      <c r="CN177" s="50" t="s">
        <v>4550</v>
      </c>
      <c r="CO177" s="50" t="s">
        <v>4551</v>
      </c>
      <c r="CP177" s="50" t="s">
        <v>11474</v>
      </c>
      <c r="CQ177" s="50" t="s">
        <v>11474</v>
      </c>
      <c r="CR177" s="50" t="s">
        <v>26040</v>
      </c>
    </row>
    <row r="178" spans="1:96">
      <c r="A178" s="50" t="s">
        <v>93</v>
      </c>
      <c r="B178" s="50">
        <v>1512812</v>
      </c>
      <c r="C178" s="50" t="s">
        <v>12507</v>
      </c>
      <c r="D178" s="50" t="s">
        <v>12506</v>
      </c>
      <c r="E178" s="50" t="e">
        <f>VLOOKUP(B178,aa!B:F,5,0)</f>
        <v>#N/A</v>
      </c>
      <c r="F178" s="50" t="e">
        <f>VLOOKUP(B178,aa!B:J,9,0)</f>
        <v>#N/A</v>
      </c>
      <c r="G178" s="50" t="e">
        <f>VLOOKUP(B178,aa!B:L,11,0)</f>
        <v>#N/A</v>
      </c>
      <c r="H178" s="50" t="e">
        <f>VLOOKUP(B178,aa!B:O,14,0)</f>
        <v>#N/A</v>
      </c>
      <c r="I178" s="50" t="e">
        <f>VLOOKUP(B178,aa!B:R,17,0)</f>
        <v>#N/A</v>
      </c>
      <c r="K178" s="50" t="s">
        <v>643</v>
      </c>
      <c r="L178" s="50">
        <v>831710</v>
      </c>
      <c r="M178" s="50">
        <v>919750</v>
      </c>
      <c r="N178" s="50">
        <v>0</v>
      </c>
      <c r="O178" s="50">
        <v>0</v>
      </c>
      <c r="Q178" s="50">
        <v>342597</v>
      </c>
      <c r="R178" s="50">
        <v>520</v>
      </c>
      <c r="S178" s="50" t="s">
        <v>12509</v>
      </c>
      <c r="T178" s="50">
        <v>489113</v>
      </c>
      <c r="U178" s="50">
        <v>475</v>
      </c>
      <c r="V178" s="50" t="s">
        <v>12510</v>
      </c>
      <c r="W178" s="50" t="s">
        <v>102</v>
      </c>
      <c r="X178" s="50" t="s">
        <v>103</v>
      </c>
      <c r="Y178" s="50" t="s">
        <v>938</v>
      </c>
      <c r="AA178" s="50" t="s">
        <v>12511</v>
      </c>
      <c r="AB178" s="50" t="s">
        <v>12512</v>
      </c>
      <c r="AC178" s="50" t="s">
        <v>12513</v>
      </c>
      <c r="AD178" s="50" t="s">
        <v>12514</v>
      </c>
      <c r="AE178" s="50" t="s">
        <v>12515</v>
      </c>
      <c r="AF178" s="50" t="s">
        <v>12514</v>
      </c>
      <c r="AG178" s="50" t="s">
        <v>12516</v>
      </c>
      <c r="AH178" s="50" t="s">
        <v>12517</v>
      </c>
      <c r="AI178" s="50" t="s">
        <v>12518</v>
      </c>
      <c r="AJ178" s="50" t="s">
        <v>1604</v>
      </c>
      <c r="AK178" s="50" t="s">
        <v>12519</v>
      </c>
      <c r="AL178" s="50" t="s">
        <v>12520</v>
      </c>
      <c r="AM178" s="50" t="s">
        <v>12521</v>
      </c>
      <c r="AN178" s="50" t="s">
        <v>12522</v>
      </c>
      <c r="AO178" s="50" t="s">
        <v>12523</v>
      </c>
      <c r="AP178" s="50" t="s">
        <v>12523</v>
      </c>
      <c r="AU178" s="50" t="s">
        <v>102</v>
      </c>
      <c r="AW178" s="50" t="s">
        <v>1103</v>
      </c>
      <c r="AX178" s="50" t="s">
        <v>119</v>
      </c>
      <c r="AY178" s="50" t="s">
        <v>170</v>
      </c>
      <c r="AZ178" s="50" t="s">
        <v>118</v>
      </c>
      <c r="BA178" s="50" t="s">
        <v>250</v>
      </c>
      <c r="BB178" s="50" t="s">
        <v>120</v>
      </c>
      <c r="BC178" s="50" t="s">
        <v>4216</v>
      </c>
      <c r="BD178" s="50" t="s">
        <v>556</v>
      </c>
      <c r="BE178" s="50" t="s">
        <v>122</v>
      </c>
      <c r="BF178" s="50" t="s">
        <v>557</v>
      </c>
      <c r="BG178" s="50" t="s">
        <v>124</v>
      </c>
      <c r="BH178" s="50" t="s">
        <v>11932</v>
      </c>
      <c r="BI178" s="50" t="s">
        <v>12524</v>
      </c>
      <c r="BJ178" s="50" t="s">
        <v>127</v>
      </c>
      <c r="BK178" s="50" t="s">
        <v>12525</v>
      </c>
      <c r="BL178" s="50" t="s">
        <v>12526</v>
      </c>
      <c r="BM178" s="50" t="s">
        <v>12527</v>
      </c>
      <c r="BN178" s="50" t="s">
        <v>12508</v>
      </c>
      <c r="BO178" s="50" t="s">
        <v>1071</v>
      </c>
      <c r="BP178" s="50" t="s">
        <v>350</v>
      </c>
      <c r="BQ178" s="50" t="s">
        <v>1072</v>
      </c>
      <c r="BR178" s="50" t="s">
        <v>1073</v>
      </c>
      <c r="BS178" s="50" t="s">
        <v>1074</v>
      </c>
      <c r="BU178" s="50" t="s">
        <v>12528</v>
      </c>
      <c r="BV178" s="50" t="s">
        <v>12529</v>
      </c>
      <c r="BW178" s="50" t="s">
        <v>138</v>
      </c>
      <c r="BX178" s="50" t="s">
        <v>12530</v>
      </c>
      <c r="BY178" s="50" t="s">
        <v>12531</v>
      </c>
      <c r="BZ178" s="50" t="s">
        <v>12532</v>
      </c>
      <c r="CA178" s="50" t="s">
        <v>12533</v>
      </c>
      <c r="CB178" s="50" t="s">
        <v>12530</v>
      </c>
      <c r="CC178" s="50" t="s">
        <v>12531</v>
      </c>
      <c r="CD178" s="50" t="s">
        <v>12533</v>
      </c>
      <c r="CE178" s="50" t="s">
        <v>12530</v>
      </c>
      <c r="CF178" s="50" t="s">
        <v>12531</v>
      </c>
      <c r="CG178" s="50" t="s">
        <v>12534</v>
      </c>
      <c r="CH178" s="50" t="s">
        <v>12535</v>
      </c>
      <c r="CJ178" s="50" t="s">
        <v>12536</v>
      </c>
      <c r="CK178" s="50" t="s">
        <v>12535</v>
      </c>
      <c r="CL178" s="50" t="s">
        <v>4216</v>
      </c>
      <c r="CM178" s="50" t="s">
        <v>556</v>
      </c>
      <c r="CN178" s="50" t="s">
        <v>12536</v>
      </c>
      <c r="CO178" s="50" t="s">
        <v>12537</v>
      </c>
      <c r="CP178" s="50" t="s">
        <v>12538</v>
      </c>
      <c r="CQ178" s="50" t="s">
        <v>12538</v>
      </c>
    </row>
    <row r="179" spans="1:96">
      <c r="A179" s="95" t="s">
        <v>26356</v>
      </c>
      <c r="B179" s="50">
        <v>19028</v>
      </c>
      <c r="C179" s="50" t="s">
        <v>13158</v>
      </c>
      <c r="D179" s="50" t="s">
        <v>2191</v>
      </c>
      <c r="E179" s="50" t="e">
        <f>VLOOKUP(B179,aa!B:F,5,0)</f>
        <v>#N/A</v>
      </c>
      <c r="F179" s="50" t="e">
        <f>VLOOKUP(B179,aa!B:J,9,0)</f>
        <v>#N/A</v>
      </c>
      <c r="G179" s="50" t="e">
        <f>VLOOKUP(B179,aa!B:L,11,0)</f>
        <v>#N/A</v>
      </c>
      <c r="H179" s="50" t="e">
        <f>VLOOKUP(B179,aa!B:O,14,0)</f>
        <v>#N/A</v>
      </c>
      <c r="I179" s="50" t="e">
        <f>VLOOKUP(B179,aa!B:R,17,0)</f>
        <v>#N/A</v>
      </c>
      <c r="K179" s="50" t="s">
        <v>2193</v>
      </c>
      <c r="L179" s="50">
        <v>400000</v>
      </c>
      <c r="M179" s="50">
        <v>472000</v>
      </c>
      <c r="N179" s="50">
        <v>0</v>
      </c>
      <c r="O179" s="50">
        <v>1740</v>
      </c>
      <c r="P179" s="50" t="s">
        <v>102</v>
      </c>
      <c r="Q179" s="50">
        <v>0</v>
      </c>
      <c r="R179" s="50">
        <v>0</v>
      </c>
      <c r="S179" s="50" t="s">
        <v>102</v>
      </c>
      <c r="T179" s="50">
        <v>0</v>
      </c>
      <c r="U179" s="50">
        <v>0</v>
      </c>
      <c r="V179" s="50" t="s">
        <v>102</v>
      </c>
      <c r="W179" s="50" t="s">
        <v>2195</v>
      </c>
      <c r="X179" s="50" t="s">
        <v>103</v>
      </c>
      <c r="Y179" s="50" t="s">
        <v>2196</v>
      </c>
      <c r="Z179" s="50" t="s">
        <v>12023</v>
      </c>
      <c r="AA179" s="50" t="s">
        <v>13159</v>
      </c>
      <c r="AB179" s="50" t="s">
        <v>102</v>
      </c>
      <c r="AC179" s="50" t="s">
        <v>13160</v>
      </c>
      <c r="AD179" s="50" t="s">
        <v>102</v>
      </c>
      <c r="AE179" s="50" t="s">
        <v>13161</v>
      </c>
      <c r="AF179" s="50" t="s">
        <v>102</v>
      </c>
      <c r="AG179" s="50" t="s">
        <v>12764</v>
      </c>
      <c r="AH179" s="50" t="s">
        <v>102</v>
      </c>
      <c r="AI179" s="50" t="s">
        <v>102</v>
      </c>
      <c r="AJ179" s="50" t="s">
        <v>12023</v>
      </c>
      <c r="AK179" s="50" t="s">
        <v>12023</v>
      </c>
      <c r="AL179" s="50" t="s">
        <v>2195</v>
      </c>
      <c r="AM179" s="50" t="s">
        <v>102</v>
      </c>
      <c r="AN179" s="50" t="s">
        <v>2195</v>
      </c>
      <c r="AO179" s="50" t="s">
        <v>2202</v>
      </c>
      <c r="AP179" s="50" t="s">
        <v>2202</v>
      </c>
      <c r="AQ179" s="50" t="s">
        <v>102</v>
      </c>
      <c r="AR179" s="50" t="s">
        <v>102</v>
      </c>
      <c r="AS179" s="50" t="s">
        <v>102</v>
      </c>
      <c r="AT179" s="50" t="s">
        <v>102</v>
      </c>
      <c r="AU179" s="50" t="s">
        <v>247</v>
      </c>
      <c r="AV179" s="50" t="s">
        <v>118</v>
      </c>
      <c r="AW179" s="50" t="s">
        <v>102</v>
      </c>
      <c r="AX179" s="50" t="s">
        <v>119</v>
      </c>
      <c r="BB179" s="50" t="s">
        <v>120</v>
      </c>
      <c r="BC179" s="50" t="s">
        <v>2204</v>
      </c>
      <c r="BD179" s="50" t="s">
        <v>121</v>
      </c>
      <c r="BE179" s="50" t="s">
        <v>122</v>
      </c>
      <c r="BF179" s="50" t="s">
        <v>123</v>
      </c>
      <c r="BG179" s="50" t="s">
        <v>124</v>
      </c>
      <c r="BH179" s="50" t="s">
        <v>12023</v>
      </c>
      <c r="BI179" s="50" t="s">
        <v>13162</v>
      </c>
      <c r="BJ179" s="50" t="s">
        <v>2207</v>
      </c>
      <c r="BK179" s="50" t="s">
        <v>13163</v>
      </c>
      <c r="BL179" s="50" t="s">
        <v>2209</v>
      </c>
      <c r="BM179" s="50" t="s">
        <v>13164</v>
      </c>
      <c r="BN179" s="50" t="s">
        <v>13159</v>
      </c>
      <c r="BO179" s="50" t="s">
        <v>2766</v>
      </c>
      <c r="BP179" s="50" t="s">
        <v>3064</v>
      </c>
      <c r="BQ179" s="50" t="s">
        <v>2213</v>
      </c>
      <c r="BR179" s="50" t="s">
        <v>2214</v>
      </c>
      <c r="BS179" s="50" t="s">
        <v>2215</v>
      </c>
      <c r="BT179" s="50" t="s">
        <v>2216</v>
      </c>
      <c r="BU179" s="50" t="s">
        <v>13165</v>
      </c>
      <c r="BV179" s="50" t="s">
        <v>13166</v>
      </c>
      <c r="BW179" s="50" t="s">
        <v>138</v>
      </c>
      <c r="BX179" s="50" t="s">
        <v>225</v>
      </c>
      <c r="BY179" s="50" t="s">
        <v>2222</v>
      </c>
      <c r="BZ179" s="50" t="s">
        <v>2220</v>
      </c>
      <c r="CA179" s="50" t="s">
        <v>3066</v>
      </c>
      <c r="CB179" s="50" t="s">
        <v>2220</v>
      </c>
      <c r="CC179" s="50" t="s">
        <v>2222</v>
      </c>
      <c r="CD179" s="50" t="s">
        <v>13167</v>
      </c>
      <c r="CE179" s="50" t="s">
        <v>2220</v>
      </c>
      <c r="CF179" s="50" t="s">
        <v>13168</v>
      </c>
      <c r="CG179" s="50" t="s">
        <v>2223</v>
      </c>
      <c r="CH179" s="50" t="s">
        <v>13169</v>
      </c>
      <c r="CJ179" s="50" t="s">
        <v>2225</v>
      </c>
      <c r="CK179" s="50" t="s">
        <v>2224</v>
      </c>
      <c r="CL179" s="50" t="s">
        <v>2204</v>
      </c>
      <c r="CM179" s="50" t="s">
        <v>2226</v>
      </c>
      <c r="CN179" s="50" t="s">
        <v>2225</v>
      </c>
      <c r="CP179" s="50" t="s">
        <v>2224</v>
      </c>
      <c r="CQ179" s="50" t="s">
        <v>2224</v>
      </c>
    </row>
    <row r="180" spans="1:96">
      <c r="A180" s="95" t="s">
        <v>26356</v>
      </c>
      <c r="B180" s="50">
        <v>212432</v>
      </c>
      <c r="C180" s="50" t="s">
        <v>13158</v>
      </c>
      <c r="D180" s="50" t="s">
        <v>13569</v>
      </c>
      <c r="E180" s="50" t="e">
        <f>VLOOKUP(B180,aa!B:F,5,0)</f>
        <v>#N/A</v>
      </c>
      <c r="F180" s="50" t="e">
        <f>VLOOKUP(B180,aa!B:J,9,0)</f>
        <v>#N/A</v>
      </c>
      <c r="G180" s="50" t="e">
        <f>VLOOKUP(B180,aa!B:L,11,0)</f>
        <v>#N/A</v>
      </c>
      <c r="H180" s="50" t="e">
        <f>VLOOKUP(B180,aa!B:O,14,0)</f>
        <v>#N/A</v>
      </c>
      <c r="I180" s="50" t="e">
        <f>VLOOKUP(B180,aa!B:R,17,0)</f>
        <v>#N/A</v>
      </c>
      <c r="K180" s="50" t="s">
        <v>2193</v>
      </c>
      <c r="L180" s="50">
        <v>400000</v>
      </c>
      <c r="M180" s="50">
        <v>472000</v>
      </c>
      <c r="N180" s="50">
        <v>0</v>
      </c>
      <c r="O180" s="50">
        <v>1124</v>
      </c>
      <c r="P180" s="50" t="s">
        <v>102</v>
      </c>
      <c r="Q180" s="50">
        <v>0</v>
      </c>
      <c r="R180" s="50">
        <v>0</v>
      </c>
      <c r="S180" s="50" t="s">
        <v>102</v>
      </c>
      <c r="T180" s="50">
        <v>0</v>
      </c>
      <c r="U180" s="50">
        <v>0</v>
      </c>
      <c r="V180" s="50" t="s">
        <v>102</v>
      </c>
      <c r="W180" s="50" t="s">
        <v>2195</v>
      </c>
      <c r="X180" s="50" t="s">
        <v>103</v>
      </c>
      <c r="Y180" s="50" t="s">
        <v>2196</v>
      </c>
      <c r="Z180" s="50" t="s">
        <v>12023</v>
      </c>
      <c r="AA180" s="50" t="s">
        <v>13159</v>
      </c>
      <c r="AB180" s="50" t="s">
        <v>102</v>
      </c>
      <c r="AC180" s="50" t="s">
        <v>13160</v>
      </c>
      <c r="AD180" s="50" t="s">
        <v>102</v>
      </c>
      <c r="AE180" s="50" t="s">
        <v>13161</v>
      </c>
      <c r="AF180" s="50" t="s">
        <v>102</v>
      </c>
      <c r="AG180" s="50" t="s">
        <v>12764</v>
      </c>
      <c r="AH180" s="50" t="s">
        <v>102</v>
      </c>
      <c r="AI180" s="50" t="s">
        <v>102</v>
      </c>
      <c r="AJ180" s="50" t="s">
        <v>12023</v>
      </c>
      <c r="AK180" s="50" t="s">
        <v>12023</v>
      </c>
      <c r="AL180" s="50" t="s">
        <v>2195</v>
      </c>
      <c r="AM180" s="50" t="s">
        <v>102</v>
      </c>
      <c r="AN180" s="50" t="s">
        <v>2195</v>
      </c>
      <c r="AO180" s="50" t="s">
        <v>2202</v>
      </c>
      <c r="AP180" s="50" t="s">
        <v>2202</v>
      </c>
      <c r="AQ180" s="50" t="s">
        <v>102</v>
      </c>
      <c r="AR180" s="50" t="s">
        <v>102</v>
      </c>
      <c r="AS180" s="50" t="s">
        <v>102</v>
      </c>
      <c r="AT180" s="50" t="s">
        <v>102</v>
      </c>
      <c r="AU180" s="50" t="s">
        <v>247</v>
      </c>
      <c r="AV180" s="50" t="s">
        <v>118</v>
      </c>
      <c r="AW180" s="50" t="s">
        <v>102</v>
      </c>
      <c r="AX180" s="50" t="s">
        <v>119</v>
      </c>
      <c r="BB180" s="50" t="s">
        <v>120</v>
      </c>
      <c r="BC180" s="50" t="s">
        <v>2204</v>
      </c>
      <c r="BD180" s="50" t="s">
        <v>121</v>
      </c>
      <c r="BE180" s="50" t="s">
        <v>122</v>
      </c>
      <c r="BF180" s="50" t="s">
        <v>123</v>
      </c>
      <c r="BG180" s="50" t="s">
        <v>124</v>
      </c>
      <c r="BH180" s="50" t="s">
        <v>12023</v>
      </c>
      <c r="BI180" s="50" t="s">
        <v>13162</v>
      </c>
      <c r="BJ180" s="50" t="s">
        <v>2207</v>
      </c>
      <c r="BK180" s="50" t="s">
        <v>13570</v>
      </c>
      <c r="BL180" s="50" t="s">
        <v>2764</v>
      </c>
      <c r="BM180" s="50" t="s">
        <v>13571</v>
      </c>
      <c r="BN180" s="50" t="s">
        <v>13159</v>
      </c>
      <c r="BO180" s="50" t="s">
        <v>2766</v>
      </c>
      <c r="BP180" s="50" t="s">
        <v>3064</v>
      </c>
      <c r="BQ180" s="50" t="s">
        <v>2213</v>
      </c>
      <c r="BR180" s="50" t="s">
        <v>2214</v>
      </c>
      <c r="BS180" s="50" t="s">
        <v>2215</v>
      </c>
      <c r="BT180" s="50" t="s">
        <v>2216</v>
      </c>
      <c r="BU180" s="50" t="s">
        <v>13572</v>
      </c>
      <c r="BV180" s="50" t="s">
        <v>13573</v>
      </c>
      <c r="BW180" s="50" t="s">
        <v>138</v>
      </c>
      <c r="BX180" s="50" t="s">
        <v>225</v>
      </c>
      <c r="BY180" s="50" t="s">
        <v>13574</v>
      </c>
      <c r="BZ180" s="50" t="s">
        <v>2772</v>
      </c>
      <c r="CA180" s="50" t="s">
        <v>13573</v>
      </c>
      <c r="CB180" s="50" t="s">
        <v>2772</v>
      </c>
      <c r="CC180" s="50" t="s">
        <v>13574</v>
      </c>
      <c r="CD180" s="50" t="s">
        <v>13575</v>
      </c>
      <c r="CE180" s="50" t="s">
        <v>2772</v>
      </c>
      <c r="CF180" s="50" t="s">
        <v>13574</v>
      </c>
      <c r="CG180" s="50" t="s">
        <v>2773</v>
      </c>
      <c r="CH180" s="50" t="s">
        <v>13576</v>
      </c>
      <c r="CJ180" s="50" t="s">
        <v>2775</v>
      </c>
      <c r="CK180" s="50" t="s">
        <v>2774</v>
      </c>
      <c r="CL180" s="50" t="s">
        <v>2204</v>
      </c>
      <c r="CM180" s="50" t="s">
        <v>2226</v>
      </c>
      <c r="CN180" s="50" t="s">
        <v>2775</v>
      </c>
      <c r="CO180" s="50" t="s">
        <v>2776</v>
      </c>
      <c r="CP180" s="50" t="s">
        <v>2774</v>
      </c>
      <c r="CQ180" s="50" t="s">
        <v>2774</v>
      </c>
    </row>
    <row r="181" spans="1:96">
      <c r="A181" s="95" t="s">
        <v>26356</v>
      </c>
      <c r="B181" s="50">
        <v>234775</v>
      </c>
      <c r="C181" s="50" t="s">
        <v>13158</v>
      </c>
      <c r="D181" s="50" t="s">
        <v>13749</v>
      </c>
      <c r="E181" s="50" t="e">
        <f>VLOOKUP(B181,aa!B:F,5,0)</f>
        <v>#N/A</v>
      </c>
      <c r="F181" s="50" t="e">
        <f>VLOOKUP(B181,aa!B:J,9,0)</f>
        <v>#N/A</v>
      </c>
      <c r="G181" s="50" t="e">
        <f>VLOOKUP(B181,aa!B:L,11,0)</f>
        <v>#N/A</v>
      </c>
      <c r="H181" s="50" t="e">
        <f>VLOOKUP(B181,aa!B:O,14,0)</f>
        <v>#N/A</v>
      </c>
      <c r="I181" s="50" t="e">
        <f>VLOOKUP(B181,aa!B:R,17,0)</f>
        <v>#N/A</v>
      </c>
      <c r="K181" s="50" t="s">
        <v>2193</v>
      </c>
      <c r="L181" s="50">
        <v>400000</v>
      </c>
      <c r="M181" s="50">
        <v>472000</v>
      </c>
      <c r="N181" s="50">
        <v>0</v>
      </c>
      <c r="O181" s="50">
        <v>1345</v>
      </c>
      <c r="P181" s="50" t="s">
        <v>102</v>
      </c>
      <c r="Q181" s="50">
        <v>0</v>
      </c>
      <c r="R181" s="50">
        <v>0</v>
      </c>
      <c r="S181" s="50" t="s">
        <v>102</v>
      </c>
      <c r="T181" s="50">
        <v>0</v>
      </c>
      <c r="U181" s="50">
        <v>0</v>
      </c>
      <c r="V181" s="50" t="s">
        <v>102</v>
      </c>
      <c r="W181" s="50" t="s">
        <v>2195</v>
      </c>
      <c r="X181" s="50" t="s">
        <v>103</v>
      </c>
      <c r="Y181" s="50" t="s">
        <v>2196</v>
      </c>
      <c r="Z181" s="50" t="s">
        <v>12023</v>
      </c>
      <c r="AA181" s="50" t="s">
        <v>13159</v>
      </c>
      <c r="AB181" s="50" t="s">
        <v>102</v>
      </c>
      <c r="AC181" s="50" t="s">
        <v>13160</v>
      </c>
      <c r="AD181" s="50" t="s">
        <v>102</v>
      </c>
      <c r="AE181" s="50" t="s">
        <v>13161</v>
      </c>
      <c r="AF181" s="50" t="s">
        <v>102</v>
      </c>
      <c r="AG181" s="50" t="s">
        <v>12764</v>
      </c>
      <c r="AH181" s="50" t="s">
        <v>102</v>
      </c>
      <c r="AI181" s="50" t="s">
        <v>102</v>
      </c>
      <c r="AJ181" s="50" t="s">
        <v>12023</v>
      </c>
      <c r="AK181" s="50" t="s">
        <v>12023</v>
      </c>
      <c r="AL181" s="50" t="s">
        <v>2195</v>
      </c>
      <c r="AM181" s="50" t="s">
        <v>102</v>
      </c>
      <c r="AN181" s="50" t="s">
        <v>2195</v>
      </c>
      <c r="AO181" s="50" t="s">
        <v>2202</v>
      </c>
      <c r="AP181" s="50" t="s">
        <v>2202</v>
      </c>
      <c r="AQ181" s="50" t="s">
        <v>102</v>
      </c>
      <c r="AR181" s="50" t="s">
        <v>102</v>
      </c>
      <c r="AS181" s="50" t="s">
        <v>102</v>
      </c>
      <c r="AT181" s="50" t="s">
        <v>102</v>
      </c>
      <c r="AU181" s="50" t="s">
        <v>247</v>
      </c>
      <c r="AV181" s="50" t="s">
        <v>118</v>
      </c>
      <c r="AW181" s="50" t="s">
        <v>102</v>
      </c>
      <c r="AX181" s="50" t="s">
        <v>119</v>
      </c>
      <c r="BB181" s="50" t="s">
        <v>120</v>
      </c>
      <c r="BC181" s="50" t="s">
        <v>3058</v>
      </c>
      <c r="BD181" s="50" t="s">
        <v>320</v>
      </c>
      <c r="BE181" s="50" t="s">
        <v>122</v>
      </c>
      <c r="BF181" s="50" t="s">
        <v>123</v>
      </c>
      <c r="BG181" s="50" t="s">
        <v>124</v>
      </c>
      <c r="BH181" s="50" t="s">
        <v>12023</v>
      </c>
      <c r="BI181" s="50" t="s">
        <v>13162</v>
      </c>
      <c r="BJ181" s="50" t="s">
        <v>2207</v>
      </c>
      <c r="BK181" s="50" t="s">
        <v>13750</v>
      </c>
      <c r="BL181" s="50" t="s">
        <v>3062</v>
      </c>
      <c r="BM181" s="50" t="s">
        <v>13751</v>
      </c>
      <c r="BN181" s="50" t="s">
        <v>13159</v>
      </c>
      <c r="BO181" s="50" t="s">
        <v>2766</v>
      </c>
      <c r="BP181" s="50" t="s">
        <v>3064</v>
      </c>
      <c r="BQ181" s="50" t="s">
        <v>2213</v>
      </c>
      <c r="BR181" s="50" t="s">
        <v>2214</v>
      </c>
      <c r="BS181" s="50" t="s">
        <v>2215</v>
      </c>
      <c r="BT181" s="50" t="s">
        <v>2216</v>
      </c>
      <c r="BU181" s="50" t="s">
        <v>13752</v>
      </c>
      <c r="BV181" s="50" t="s">
        <v>13753</v>
      </c>
      <c r="BW181" s="50" t="s">
        <v>138</v>
      </c>
      <c r="BX181" s="50" t="s">
        <v>225</v>
      </c>
      <c r="BY181" s="50" t="s">
        <v>13754</v>
      </c>
      <c r="BZ181" s="50" t="s">
        <v>3067</v>
      </c>
      <c r="CA181" s="50" t="s">
        <v>13753</v>
      </c>
      <c r="CB181" s="50" t="s">
        <v>13755</v>
      </c>
      <c r="CC181" s="50" t="s">
        <v>13754</v>
      </c>
      <c r="CD181" s="50" t="s">
        <v>13756</v>
      </c>
      <c r="CE181" s="50" t="s">
        <v>3067</v>
      </c>
      <c r="CF181" s="50" t="s">
        <v>13757</v>
      </c>
      <c r="CG181" s="50" t="s">
        <v>3068</v>
      </c>
      <c r="CH181" s="50" t="s">
        <v>3069</v>
      </c>
      <c r="CJ181" s="50" t="s">
        <v>3070</v>
      </c>
      <c r="CK181" s="50" t="s">
        <v>3069</v>
      </c>
      <c r="CL181" s="50" t="s">
        <v>3058</v>
      </c>
      <c r="CM181" s="50" t="s">
        <v>320</v>
      </c>
      <c r="CN181" s="50" t="s">
        <v>3070</v>
      </c>
      <c r="CP181" s="50" t="s">
        <v>3069</v>
      </c>
      <c r="CQ181" s="50" t="s">
        <v>3069</v>
      </c>
    </row>
    <row r="182" spans="1:96">
      <c r="A182" s="95" t="s">
        <v>26356</v>
      </c>
      <c r="B182" s="50">
        <v>2449</v>
      </c>
      <c r="C182" s="50" t="s">
        <v>13158</v>
      </c>
      <c r="D182" s="50" t="s">
        <v>3395</v>
      </c>
      <c r="E182" s="50" t="e">
        <f>VLOOKUP(B182,aa!B:F,5,0)</f>
        <v>#N/A</v>
      </c>
      <c r="F182" s="50" t="e">
        <f>VLOOKUP(B182,aa!B:J,9,0)</f>
        <v>#N/A</v>
      </c>
      <c r="G182" s="50" t="e">
        <f>VLOOKUP(B182,aa!B:L,11,0)</f>
        <v>#N/A</v>
      </c>
      <c r="H182" s="50" t="e">
        <f>VLOOKUP(B182,aa!B:O,14,0)</f>
        <v>#N/A</v>
      </c>
      <c r="I182" s="50" t="e">
        <f>VLOOKUP(B182,aa!B:R,17,0)</f>
        <v>#N/A</v>
      </c>
      <c r="K182" s="50" t="s">
        <v>2193</v>
      </c>
      <c r="L182" s="50">
        <v>400000</v>
      </c>
      <c r="M182" s="50">
        <v>472000</v>
      </c>
      <c r="N182" s="50">
        <v>0</v>
      </c>
      <c r="O182" s="50">
        <v>1296</v>
      </c>
      <c r="P182" s="50" t="s">
        <v>102</v>
      </c>
      <c r="Q182" s="50">
        <v>0</v>
      </c>
      <c r="R182" s="50">
        <v>0</v>
      </c>
      <c r="S182" s="50" t="s">
        <v>102</v>
      </c>
      <c r="T182" s="50">
        <v>0</v>
      </c>
      <c r="U182" s="50">
        <v>0</v>
      </c>
      <c r="V182" s="50" t="s">
        <v>102</v>
      </c>
      <c r="W182" s="50" t="s">
        <v>2195</v>
      </c>
      <c r="X182" s="50" t="s">
        <v>103</v>
      </c>
      <c r="Y182" s="50" t="s">
        <v>2196</v>
      </c>
      <c r="Z182" s="50" t="s">
        <v>12023</v>
      </c>
      <c r="AA182" s="50" t="s">
        <v>13159</v>
      </c>
      <c r="AB182" s="50" t="s">
        <v>102</v>
      </c>
      <c r="AC182" s="50" t="s">
        <v>13160</v>
      </c>
      <c r="AD182" s="50" t="s">
        <v>102</v>
      </c>
      <c r="AE182" s="50" t="s">
        <v>13161</v>
      </c>
      <c r="AF182" s="50" t="s">
        <v>102</v>
      </c>
      <c r="AG182" s="50" t="s">
        <v>12764</v>
      </c>
      <c r="AH182" s="50" t="s">
        <v>102</v>
      </c>
      <c r="AI182" s="50" t="s">
        <v>102</v>
      </c>
      <c r="AJ182" s="50" t="s">
        <v>12023</v>
      </c>
      <c r="AK182" s="50" t="s">
        <v>12023</v>
      </c>
      <c r="AL182" s="50" t="s">
        <v>2195</v>
      </c>
      <c r="AM182" s="50" t="s">
        <v>102</v>
      </c>
      <c r="AN182" s="50" t="s">
        <v>2195</v>
      </c>
      <c r="AO182" s="50" t="s">
        <v>2202</v>
      </c>
      <c r="AP182" s="50" t="s">
        <v>2202</v>
      </c>
      <c r="AQ182" s="50" t="s">
        <v>102</v>
      </c>
      <c r="AR182" s="50" t="s">
        <v>102</v>
      </c>
      <c r="AS182" s="50" t="s">
        <v>102</v>
      </c>
      <c r="AT182" s="50" t="s">
        <v>102</v>
      </c>
      <c r="AU182" s="50" t="s">
        <v>247</v>
      </c>
      <c r="AV182" s="50" t="s">
        <v>118</v>
      </c>
      <c r="AW182" s="50" t="s">
        <v>102</v>
      </c>
      <c r="AX182" s="50" t="s">
        <v>119</v>
      </c>
      <c r="BB182" s="50" t="s">
        <v>120</v>
      </c>
      <c r="BC182" s="50" t="s">
        <v>2204</v>
      </c>
      <c r="BD182" s="50" t="s">
        <v>121</v>
      </c>
      <c r="BE182" s="50" t="s">
        <v>122</v>
      </c>
      <c r="BF182" s="50" t="s">
        <v>123</v>
      </c>
      <c r="BG182" s="50" t="s">
        <v>124</v>
      </c>
      <c r="BH182" s="50" t="s">
        <v>12023</v>
      </c>
      <c r="BI182" s="50" t="s">
        <v>13162</v>
      </c>
      <c r="BJ182" s="50" t="s">
        <v>2207</v>
      </c>
      <c r="BK182" s="50" t="s">
        <v>13975</v>
      </c>
      <c r="BL182" s="50" t="s">
        <v>3403</v>
      </c>
      <c r="BM182" s="50" t="s">
        <v>13976</v>
      </c>
      <c r="BN182" s="50" t="s">
        <v>13159</v>
      </c>
      <c r="BO182" s="50" t="s">
        <v>2766</v>
      </c>
      <c r="BP182" s="50" t="s">
        <v>3064</v>
      </c>
      <c r="BQ182" s="50" t="s">
        <v>2213</v>
      </c>
      <c r="BR182" s="50" t="s">
        <v>2214</v>
      </c>
      <c r="BS182" s="50" t="s">
        <v>2215</v>
      </c>
      <c r="BT182" s="50" t="s">
        <v>3405</v>
      </c>
      <c r="BU182" s="50" t="s">
        <v>13977</v>
      </c>
      <c r="BV182" s="50" t="s">
        <v>13978</v>
      </c>
      <c r="BW182" s="50" t="s">
        <v>138</v>
      </c>
      <c r="BX182" s="50" t="s">
        <v>225</v>
      </c>
      <c r="BZ182" s="50" t="s">
        <v>3408</v>
      </c>
      <c r="CA182" s="50" t="s">
        <v>13979</v>
      </c>
      <c r="CB182" s="50" t="s">
        <v>13980</v>
      </c>
      <c r="CC182" s="50" t="s">
        <v>13981</v>
      </c>
      <c r="CD182" s="50" t="s">
        <v>13982</v>
      </c>
      <c r="CE182" s="50" t="s">
        <v>13980</v>
      </c>
      <c r="CF182" s="50" t="s">
        <v>13981</v>
      </c>
      <c r="CG182" s="50" t="s">
        <v>3409</v>
      </c>
      <c r="CH182" s="50" t="s">
        <v>13983</v>
      </c>
      <c r="CJ182" s="50" t="s">
        <v>3411</v>
      </c>
      <c r="CK182" s="50" t="s">
        <v>13983</v>
      </c>
      <c r="CL182" s="50" t="s">
        <v>2204</v>
      </c>
      <c r="CM182" s="50" t="s">
        <v>121</v>
      </c>
      <c r="CN182" s="50" t="s">
        <v>3411</v>
      </c>
      <c r="CP182" s="50" t="s">
        <v>3410</v>
      </c>
      <c r="CQ182" s="50" t="s">
        <v>3410</v>
      </c>
    </row>
    <row r="183" spans="1:96">
      <c r="A183" s="95" t="s">
        <v>26356</v>
      </c>
      <c r="B183" s="50">
        <v>265162</v>
      </c>
      <c r="C183" s="50" t="s">
        <v>13158</v>
      </c>
      <c r="D183" s="50" t="s">
        <v>14646</v>
      </c>
      <c r="E183" s="50" t="e">
        <f>VLOOKUP(B183,aa!B:F,5,0)</f>
        <v>#N/A</v>
      </c>
      <c r="F183" s="50" t="e">
        <f>VLOOKUP(B183,aa!B:J,9,0)</f>
        <v>#N/A</v>
      </c>
      <c r="G183" s="50" t="e">
        <f>VLOOKUP(B183,aa!B:L,11,0)</f>
        <v>#N/A</v>
      </c>
      <c r="H183" s="50" t="e">
        <f>VLOOKUP(B183,aa!B:O,14,0)</f>
        <v>#N/A</v>
      </c>
      <c r="I183" s="50" t="e">
        <f>VLOOKUP(B183,aa!B:R,17,0)</f>
        <v>#N/A</v>
      </c>
      <c r="K183" s="50" t="s">
        <v>2193</v>
      </c>
      <c r="L183" s="50">
        <v>400000</v>
      </c>
      <c r="M183" s="50">
        <v>472000</v>
      </c>
      <c r="N183" s="50">
        <v>0</v>
      </c>
      <c r="O183" s="50">
        <v>1610</v>
      </c>
      <c r="P183" s="50" t="s">
        <v>102</v>
      </c>
      <c r="Q183" s="50">
        <v>0</v>
      </c>
      <c r="R183" s="50">
        <v>0</v>
      </c>
      <c r="S183" s="50" t="s">
        <v>102</v>
      </c>
      <c r="T183" s="50">
        <v>0</v>
      </c>
      <c r="U183" s="50">
        <v>0</v>
      </c>
      <c r="V183" s="50" t="s">
        <v>102</v>
      </c>
      <c r="W183" s="50" t="s">
        <v>2195</v>
      </c>
      <c r="X183" s="50" t="s">
        <v>103</v>
      </c>
      <c r="Y183" s="50" t="s">
        <v>2196</v>
      </c>
      <c r="Z183" s="50" t="s">
        <v>12023</v>
      </c>
      <c r="AA183" s="50" t="s">
        <v>13159</v>
      </c>
      <c r="AB183" s="50" t="s">
        <v>102</v>
      </c>
      <c r="AC183" s="50" t="s">
        <v>13160</v>
      </c>
      <c r="AD183" s="50" t="s">
        <v>102</v>
      </c>
      <c r="AE183" s="50" t="s">
        <v>13161</v>
      </c>
      <c r="AF183" s="50" t="s">
        <v>102</v>
      </c>
      <c r="AG183" s="50" t="s">
        <v>12764</v>
      </c>
      <c r="AH183" s="50" t="s">
        <v>102</v>
      </c>
      <c r="AI183" s="50" t="s">
        <v>102</v>
      </c>
      <c r="AJ183" s="50" t="s">
        <v>12023</v>
      </c>
      <c r="AK183" s="50" t="s">
        <v>12023</v>
      </c>
      <c r="AL183" s="50" t="s">
        <v>2195</v>
      </c>
      <c r="AM183" s="50" t="s">
        <v>102</v>
      </c>
      <c r="AN183" s="50" t="s">
        <v>2195</v>
      </c>
      <c r="AO183" s="50" t="s">
        <v>2202</v>
      </c>
      <c r="AP183" s="50" t="s">
        <v>2202</v>
      </c>
      <c r="AQ183" s="50" t="s">
        <v>102</v>
      </c>
      <c r="AR183" s="50" t="s">
        <v>102</v>
      </c>
      <c r="AS183" s="50" t="s">
        <v>102</v>
      </c>
      <c r="AT183" s="50" t="s">
        <v>102</v>
      </c>
      <c r="AU183" s="50" t="s">
        <v>247</v>
      </c>
      <c r="AV183" s="50" t="s">
        <v>118</v>
      </c>
      <c r="AW183" s="50" t="s">
        <v>102</v>
      </c>
      <c r="AX183" s="50" t="s">
        <v>119</v>
      </c>
      <c r="BB183" s="50" t="s">
        <v>120</v>
      </c>
      <c r="BC183" s="50" t="s">
        <v>3854</v>
      </c>
      <c r="BD183" s="50" t="s">
        <v>449</v>
      </c>
      <c r="BE183" s="50" t="s">
        <v>122</v>
      </c>
      <c r="BF183" s="50" t="s">
        <v>4256</v>
      </c>
      <c r="BG183" s="50" t="s">
        <v>124</v>
      </c>
      <c r="BH183" s="50" t="s">
        <v>12023</v>
      </c>
      <c r="BI183" s="50" t="s">
        <v>13162</v>
      </c>
      <c r="BJ183" s="50" t="s">
        <v>2207</v>
      </c>
      <c r="BK183" s="50" t="s">
        <v>14647</v>
      </c>
      <c r="BL183" s="50" t="s">
        <v>4260</v>
      </c>
      <c r="BM183" s="50" t="s">
        <v>14648</v>
      </c>
      <c r="BN183" s="50" t="s">
        <v>13159</v>
      </c>
      <c r="BO183" s="50" t="s">
        <v>2766</v>
      </c>
      <c r="BP183" s="50" t="s">
        <v>3064</v>
      </c>
      <c r="BQ183" s="50" t="s">
        <v>2213</v>
      </c>
      <c r="BR183" s="50" t="s">
        <v>2214</v>
      </c>
      <c r="BS183" s="50" t="s">
        <v>2215</v>
      </c>
      <c r="BT183" s="50" t="s">
        <v>2216</v>
      </c>
      <c r="BU183" s="50" t="s">
        <v>14649</v>
      </c>
      <c r="BV183" s="50" t="s">
        <v>14650</v>
      </c>
      <c r="BW183" s="50" t="s">
        <v>138</v>
      </c>
      <c r="BX183" s="50" t="s">
        <v>225</v>
      </c>
      <c r="BY183" s="50" t="s">
        <v>4267</v>
      </c>
      <c r="BZ183" s="50" t="s">
        <v>4265</v>
      </c>
      <c r="CA183" s="50" t="s">
        <v>14651</v>
      </c>
      <c r="CB183" s="50" t="s">
        <v>14652</v>
      </c>
      <c r="CC183" s="50" t="s">
        <v>4267</v>
      </c>
      <c r="CD183" s="50" t="s">
        <v>14651</v>
      </c>
      <c r="CE183" s="50" t="s">
        <v>4265</v>
      </c>
      <c r="CF183" s="50" t="s">
        <v>4267</v>
      </c>
      <c r="CG183" s="50" t="s">
        <v>4269</v>
      </c>
      <c r="CH183" s="50" t="s">
        <v>14653</v>
      </c>
      <c r="CJ183" s="50" t="s">
        <v>4271</v>
      </c>
      <c r="CK183" s="50" t="s">
        <v>4270</v>
      </c>
      <c r="CL183" s="50" t="s">
        <v>3854</v>
      </c>
      <c r="CM183" s="50" t="s">
        <v>449</v>
      </c>
      <c r="CN183" s="50" t="s">
        <v>4271</v>
      </c>
      <c r="CP183" s="50" t="s">
        <v>4270</v>
      </c>
      <c r="CQ183" s="50" t="s">
        <v>4270</v>
      </c>
    </row>
    <row r="184" spans="1:96">
      <c r="A184" s="95" t="s">
        <v>26356</v>
      </c>
      <c r="B184" s="50">
        <v>3254316</v>
      </c>
      <c r="C184" s="50" t="s">
        <v>13158</v>
      </c>
      <c r="D184" s="50" t="s">
        <v>15285</v>
      </c>
      <c r="E184" s="50" t="e">
        <f>VLOOKUP(B184,aa!B:F,5,0)</f>
        <v>#N/A</v>
      </c>
      <c r="F184" s="50" t="e">
        <f>VLOOKUP(B184,aa!B:J,9,0)</f>
        <v>#N/A</v>
      </c>
      <c r="G184" s="50" t="e">
        <f>VLOOKUP(B184,aa!B:L,11,0)</f>
        <v>#N/A</v>
      </c>
      <c r="H184" s="50" t="e">
        <f>VLOOKUP(B184,aa!B:O,14,0)</f>
        <v>#N/A</v>
      </c>
      <c r="I184" s="50" t="e">
        <f>VLOOKUP(B184,aa!B:R,17,0)</f>
        <v>#N/A</v>
      </c>
      <c r="K184" s="50" t="s">
        <v>2193</v>
      </c>
      <c r="L184" s="50">
        <v>400000</v>
      </c>
      <c r="M184" s="50">
        <v>472000</v>
      </c>
      <c r="N184" s="50">
        <v>0</v>
      </c>
      <c r="O184" s="50">
        <v>1249</v>
      </c>
      <c r="P184" s="50" t="s">
        <v>102</v>
      </c>
      <c r="Q184" s="50">
        <v>0</v>
      </c>
      <c r="R184" s="50">
        <v>0</v>
      </c>
      <c r="S184" s="50" t="s">
        <v>102</v>
      </c>
      <c r="T184" s="50">
        <v>0</v>
      </c>
      <c r="U184" s="50">
        <v>0</v>
      </c>
      <c r="V184" s="50" t="s">
        <v>102</v>
      </c>
      <c r="W184" s="50" t="s">
        <v>2195</v>
      </c>
      <c r="X184" s="50" t="s">
        <v>103</v>
      </c>
      <c r="Y184" s="50" t="s">
        <v>2196</v>
      </c>
      <c r="Z184" s="50" t="s">
        <v>12023</v>
      </c>
      <c r="AA184" s="50" t="s">
        <v>13159</v>
      </c>
      <c r="AB184" s="50" t="s">
        <v>102</v>
      </c>
      <c r="AC184" s="50" t="s">
        <v>13160</v>
      </c>
      <c r="AD184" s="50" t="s">
        <v>102</v>
      </c>
      <c r="AE184" s="50" t="s">
        <v>13161</v>
      </c>
      <c r="AF184" s="50" t="s">
        <v>102</v>
      </c>
      <c r="AG184" s="50" t="s">
        <v>12764</v>
      </c>
      <c r="AH184" s="50" t="s">
        <v>102</v>
      </c>
      <c r="AI184" s="50" t="s">
        <v>102</v>
      </c>
      <c r="AJ184" s="50" t="s">
        <v>12023</v>
      </c>
      <c r="AK184" s="50" t="s">
        <v>12023</v>
      </c>
      <c r="AL184" s="50" t="s">
        <v>2195</v>
      </c>
      <c r="AM184" s="50" t="s">
        <v>102</v>
      </c>
      <c r="AN184" s="50" t="s">
        <v>2195</v>
      </c>
      <c r="AO184" s="50" t="s">
        <v>2202</v>
      </c>
      <c r="AP184" s="50" t="s">
        <v>2202</v>
      </c>
      <c r="AQ184" s="50" t="s">
        <v>102</v>
      </c>
      <c r="AR184" s="50" t="s">
        <v>102</v>
      </c>
      <c r="AS184" s="50" t="s">
        <v>102</v>
      </c>
      <c r="AT184" s="50" t="s">
        <v>102</v>
      </c>
      <c r="AU184" s="50" t="s">
        <v>247</v>
      </c>
      <c r="AV184" s="50" t="s">
        <v>118</v>
      </c>
      <c r="AW184" s="50" t="s">
        <v>102</v>
      </c>
      <c r="AX184" s="50" t="s">
        <v>119</v>
      </c>
      <c r="BB184" s="50" t="s">
        <v>5092</v>
      </c>
      <c r="BC184" s="50" t="s">
        <v>5093</v>
      </c>
      <c r="BD184" s="50" t="s">
        <v>449</v>
      </c>
      <c r="BE184" s="50" t="s">
        <v>122</v>
      </c>
      <c r="BF184" s="50" t="s">
        <v>5094</v>
      </c>
      <c r="BG184" s="50" t="s">
        <v>124</v>
      </c>
      <c r="BH184" s="50" t="s">
        <v>12023</v>
      </c>
      <c r="BI184" s="50" t="s">
        <v>13162</v>
      </c>
      <c r="BJ184" s="50" t="s">
        <v>2207</v>
      </c>
      <c r="BK184" s="50" t="s">
        <v>15286</v>
      </c>
      <c r="BL184" s="50" t="s">
        <v>5098</v>
      </c>
      <c r="BM184" s="50" t="s">
        <v>15287</v>
      </c>
      <c r="BN184" s="50" t="s">
        <v>13159</v>
      </c>
      <c r="BO184" s="50" t="s">
        <v>2766</v>
      </c>
      <c r="BP184" s="50" t="s">
        <v>3064</v>
      </c>
      <c r="BQ184" s="50" t="s">
        <v>2213</v>
      </c>
      <c r="BR184" s="50" t="s">
        <v>2214</v>
      </c>
      <c r="BS184" s="50" t="s">
        <v>2215</v>
      </c>
      <c r="BT184" s="50" t="s">
        <v>2216</v>
      </c>
      <c r="BU184" s="50" t="s">
        <v>15288</v>
      </c>
      <c r="BV184" s="50" t="s">
        <v>15289</v>
      </c>
      <c r="BW184" s="50" t="s">
        <v>138</v>
      </c>
      <c r="BX184" s="50" t="s">
        <v>225</v>
      </c>
      <c r="BY184" s="50" t="s">
        <v>15290</v>
      </c>
      <c r="BZ184" s="50" t="s">
        <v>5102</v>
      </c>
      <c r="CA184" s="50" t="s">
        <v>15289</v>
      </c>
      <c r="CB184" s="50" t="s">
        <v>15291</v>
      </c>
      <c r="CC184" s="50" t="s">
        <v>15290</v>
      </c>
      <c r="CD184" s="50" t="s">
        <v>15292</v>
      </c>
      <c r="CE184" s="50" t="s">
        <v>15291</v>
      </c>
      <c r="CF184" s="50" t="s">
        <v>15290</v>
      </c>
      <c r="CG184" s="50" t="s">
        <v>5103</v>
      </c>
      <c r="CH184" s="50" t="s">
        <v>15293</v>
      </c>
      <c r="CJ184" s="50" t="s">
        <v>5105</v>
      </c>
      <c r="CK184" s="50" t="s">
        <v>15294</v>
      </c>
      <c r="CL184" s="50" t="s">
        <v>5093</v>
      </c>
      <c r="CM184" s="50" t="s">
        <v>449</v>
      </c>
      <c r="CN184" s="50" t="s">
        <v>5105</v>
      </c>
      <c r="CP184" s="50" t="s">
        <v>5104</v>
      </c>
      <c r="CQ184" s="50" t="s">
        <v>5104</v>
      </c>
    </row>
    <row r="185" spans="1:96">
      <c r="A185" s="95" t="s">
        <v>26356</v>
      </c>
      <c r="B185" s="50">
        <v>353776</v>
      </c>
      <c r="C185" s="50" t="s">
        <v>13158</v>
      </c>
      <c r="D185" s="50" t="s">
        <v>6571</v>
      </c>
      <c r="E185" s="50" t="e">
        <f>VLOOKUP(B185,aa!B:F,5,0)</f>
        <v>#N/A</v>
      </c>
      <c r="F185" s="50" t="e">
        <f>VLOOKUP(B185,aa!B:J,9,0)</f>
        <v>#N/A</v>
      </c>
      <c r="G185" s="50" t="e">
        <f>VLOOKUP(B185,aa!B:L,11,0)</f>
        <v>#N/A</v>
      </c>
      <c r="H185" s="50" t="e">
        <f>VLOOKUP(B185,aa!B:O,14,0)</f>
        <v>#N/A</v>
      </c>
      <c r="I185" s="50" t="e">
        <f>VLOOKUP(B185,aa!B:R,17,0)</f>
        <v>#N/A</v>
      </c>
      <c r="K185" s="50" t="s">
        <v>2193</v>
      </c>
      <c r="L185" s="50">
        <v>400000</v>
      </c>
      <c r="M185" s="50">
        <v>472000</v>
      </c>
      <c r="N185" s="50">
        <v>0</v>
      </c>
      <c r="O185" s="50">
        <v>1174</v>
      </c>
      <c r="P185" s="50" t="s">
        <v>102</v>
      </c>
      <c r="Q185" s="50">
        <v>0</v>
      </c>
      <c r="R185" s="50">
        <v>0</v>
      </c>
      <c r="S185" s="50" t="s">
        <v>102</v>
      </c>
      <c r="T185" s="50">
        <v>0</v>
      </c>
      <c r="U185" s="50">
        <v>0</v>
      </c>
      <c r="V185" s="50" t="s">
        <v>102</v>
      </c>
      <c r="W185" s="50" t="s">
        <v>2195</v>
      </c>
      <c r="X185" s="50" t="s">
        <v>103</v>
      </c>
      <c r="Y185" s="50" t="s">
        <v>2196</v>
      </c>
      <c r="Z185" s="50" t="s">
        <v>12023</v>
      </c>
      <c r="AA185" s="50" t="s">
        <v>13159</v>
      </c>
      <c r="AB185" s="50" t="s">
        <v>102</v>
      </c>
      <c r="AC185" s="50" t="s">
        <v>13160</v>
      </c>
      <c r="AD185" s="50" t="s">
        <v>102</v>
      </c>
      <c r="AE185" s="50" t="s">
        <v>13161</v>
      </c>
      <c r="AF185" s="50" t="s">
        <v>102</v>
      </c>
      <c r="AG185" s="50" t="s">
        <v>12764</v>
      </c>
      <c r="AH185" s="50" t="s">
        <v>102</v>
      </c>
      <c r="AI185" s="50" t="s">
        <v>102</v>
      </c>
      <c r="AJ185" s="50" t="s">
        <v>12023</v>
      </c>
      <c r="AK185" s="50" t="s">
        <v>12023</v>
      </c>
      <c r="AL185" s="50" t="s">
        <v>2195</v>
      </c>
      <c r="AM185" s="50" t="s">
        <v>102</v>
      </c>
      <c r="AN185" s="50" t="s">
        <v>2195</v>
      </c>
      <c r="AO185" s="50" t="s">
        <v>2202</v>
      </c>
      <c r="AP185" s="50" t="s">
        <v>2202</v>
      </c>
      <c r="AQ185" s="50" t="s">
        <v>102</v>
      </c>
      <c r="AR185" s="50" t="s">
        <v>102</v>
      </c>
      <c r="AS185" s="50" t="s">
        <v>102</v>
      </c>
      <c r="AT185" s="50" t="s">
        <v>102</v>
      </c>
      <c r="AU185" s="50" t="s">
        <v>247</v>
      </c>
      <c r="AV185" s="50" t="s">
        <v>118</v>
      </c>
      <c r="AW185" s="50" t="s">
        <v>102</v>
      </c>
      <c r="AX185" s="50" t="s">
        <v>119</v>
      </c>
      <c r="BB185" s="50" t="s">
        <v>120</v>
      </c>
      <c r="BC185" s="50" t="s">
        <v>121</v>
      </c>
      <c r="BD185" s="50" t="s">
        <v>121</v>
      </c>
      <c r="BE185" s="50" t="s">
        <v>122</v>
      </c>
      <c r="BF185" s="50" t="s">
        <v>123</v>
      </c>
      <c r="BG185" s="50" t="s">
        <v>124</v>
      </c>
      <c r="BH185" s="50" t="s">
        <v>12023</v>
      </c>
      <c r="BI185" s="50" t="s">
        <v>13162</v>
      </c>
      <c r="BJ185" s="50" t="s">
        <v>2207</v>
      </c>
      <c r="BK185" s="50" t="s">
        <v>16411</v>
      </c>
      <c r="BL185" s="50" t="s">
        <v>6581</v>
      </c>
      <c r="BM185" s="50" t="s">
        <v>16412</v>
      </c>
      <c r="BN185" s="50" t="s">
        <v>13159</v>
      </c>
      <c r="BO185" s="50" t="s">
        <v>2766</v>
      </c>
      <c r="BP185" s="50" t="s">
        <v>3064</v>
      </c>
      <c r="BQ185" s="50" t="s">
        <v>2213</v>
      </c>
      <c r="BR185" s="50" t="s">
        <v>2214</v>
      </c>
      <c r="BS185" s="50" t="s">
        <v>2215</v>
      </c>
      <c r="BT185" s="50" t="s">
        <v>2216</v>
      </c>
      <c r="BU185" s="50" t="s">
        <v>16413</v>
      </c>
      <c r="BV185" s="50" t="s">
        <v>16414</v>
      </c>
      <c r="BW185" s="50" t="s">
        <v>138</v>
      </c>
      <c r="BX185" s="50" t="s">
        <v>225</v>
      </c>
      <c r="BY185" s="50" t="s">
        <v>226</v>
      </c>
      <c r="BZ185" s="50" t="s">
        <v>6585</v>
      </c>
      <c r="CA185" s="50" t="s">
        <v>16414</v>
      </c>
      <c r="CB185" s="50" t="s">
        <v>6585</v>
      </c>
      <c r="CC185" s="50" t="s">
        <v>226</v>
      </c>
      <c r="CD185" s="50" t="s">
        <v>16415</v>
      </c>
      <c r="CE185" s="50" t="s">
        <v>6585</v>
      </c>
      <c r="CF185" s="50" t="s">
        <v>16416</v>
      </c>
      <c r="CG185" s="50" t="s">
        <v>2773</v>
      </c>
      <c r="CH185" s="50" t="s">
        <v>16417</v>
      </c>
      <c r="CJ185" s="50" t="s">
        <v>4735</v>
      </c>
      <c r="CK185" s="50" t="s">
        <v>16417</v>
      </c>
      <c r="CL185" s="50" t="s">
        <v>121</v>
      </c>
      <c r="CM185" s="50" t="s">
        <v>121</v>
      </c>
      <c r="CN185" s="50" t="s">
        <v>4735</v>
      </c>
      <c r="CP185" s="50" t="s">
        <v>6586</v>
      </c>
      <c r="CQ185" s="50" t="s">
        <v>6586</v>
      </c>
    </row>
    <row r="186" spans="1:96">
      <c r="A186" s="95" t="s">
        <v>26356</v>
      </c>
      <c r="B186" s="50">
        <v>5014895</v>
      </c>
      <c r="C186" s="50" t="s">
        <v>13158</v>
      </c>
      <c r="D186" s="50" t="s">
        <v>9350</v>
      </c>
      <c r="E186" s="50" t="e">
        <f>VLOOKUP(B186,aa!B:F,5,0)</f>
        <v>#N/A</v>
      </c>
      <c r="F186" s="50" t="e">
        <f>VLOOKUP(B186,aa!B:J,9,0)</f>
        <v>#N/A</v>
      </c>
      <c r="G186" s="50" t="e">
        <f>VLOOKUP(B186,aa!B:L,11,0)</f>
        <v>#N/A</v>
      </c>
      <c r="H186" s="50" t="e">
        <f>VLOOKUP(B186,aa!B:O,14,0)</f>
        <v>#N/A</v>
      </c>
      <c r="I186" s="50" t="e">
        <f>VLOOKUP(B186,aa!B:R,17,0)</f>
        <v>#N/A</v>
      </c>
      <c r="K186" s="50" t="s">
        <v>2193</v>
      </c>
      <c r="L186" s="50">
        <v>400000</v>
      </c>
      <c r="M186" s="50">
        <v>472000</v>
      </c>
      <c r="N186" s="50">
        <v>0</v>
      </c>
      <c r="O186" s="50">
        <v>786</v>
      </c>
      <c r="P186" s="50" t="s">
        <v>102</v>
      </c>
      <c r="Q186" s="50">
        <v>0</v>
      </c>
      <c r="R186" s="50">
        <v>0</v>
      </c>
      <c r="S186" s="50" t="s">
        <v>102</v>
      </c>
      <c r="T186" s="50">
        <v>0</v>
      </c>
      <c r="U186" s="50">
        <v>0</v>
      </c>
      <c r="V186" s="50" t="s">
        <v>102</v>
      </c>
      <c r="W186" s="50" t="s">
        <v>2195</v>
      </c>
      <c r="X186" s="50" t="s">
        <v>103</v>
      </c>
      <c r="Y186" s="50" t="s">
        <v>2196</v>
      </c>
      <c r="Z186" s="50" t="s">
        <v>12023</v>
      </c>
      <c r="AA186" s="50" t="s">
        <v>13159</v>
      </c>
      <c r="AB186" s="50" t="s">
        <v>102</v>
      </c>
      <c r="AC186" s="50" t="s">
        <v>13160</v>
      </c>
      <c r="AD186" s="50" t="s">
        <v>102</v>
      </c>
      <c r="AE186" s="50" t="s">
        <v>13161</v>
      </c>
      <c r="AF186" s="50" t="s">
        <v>102</v>
      </c>
      <c r="AG186" s="50" t="s">
        <v>12764</v>
      </c>
      <c r="AH186" s="50" t="s">
        <v>102</v>
      </c>
      <c r="AI186" s="50" t="s">
        <v>102</v>
      </c>
      <c r="AJ186" s="50" t="s">
        <v>12023</v>
      </c>
      <c r="AK186" s="50" t="s">
        <v>12023</v>
      </c>
      <c r="AL186" s="50" t="s">
        <v>2195</v>
      </c>
      <c r="AM186" s="50" t="s">
        <v>102</v>
      </c>
      <c r="AN186" s="50" t="s">
        <v>2195</v>
      </c>
      <c r="AO186" s="50" t="s">
        <v>2202</v>
      </c>
      <c r="AP186" s="50" t="s">
        <v>2202</v>
      </c>
      <c r="AQ186" s="50" t="s">
        <v>102</v>
      </c>
      <c r="AR186" s="50" t="s">
        <v>102</v>
      </c>
      <c r="AS186" s="50" t="s">
        <v>102</v>
      </c>
      <c r="AT186" s="50" t="s">
        <v>102</v>
      </c>
      <c r="AU186" s="50" t="s">
        <v>247</v>
      </c>
      <c r="AV186" s="50" t="s">
        <v>118</v>
      </c>
      <c r="AW186" s="50" t="s">
        <v>102</v>
      </c>
      <c r="AX186" s="50" t="s">
        <v>119</v>
      </c>
      <c r="BB186" s="50" t="s">
        <v>120</v>
      </c>
      <c r="BC186" s="50" t="s">
        <v>121</v>
      </c>
      <c r="BD186" s="50" t="s">
        <v>121</v>
      </c>
      <c r="BE186" s="50" t="s">
        <v>122</v>
      </c>
      <c r="BF186" s="50" t="s">
        <v>123</v>
      </c>
      <c r="BG186" s="50" t="s">
        <v>124</v>
      </c>
      <c r="BH186" s="50" t="s">
        <v>12023</v>
      </c>
      <c r="BI186" s="50" t="s">
        <v>13162</v>
      </c>
      <c r="BJ186" s="50" t="s">
        <v>2207</v>
      </c>
      <c r="BK186" s="50" t="s">
        <v>18645</v>
      </c>
      <c r="BL186" s="50" t="s">
        <v>9359</v>
      </c>
      <c r="BM186" s="50" t="s">
        <v>18646</v>
      </c>
      <c r="BN186" s="50" t="s">
        <v>13159</v>
      </c>
      <c r="BO186" s="50" t="s">
        <v>2766</v>
      </c>
      <c r="BP186" s="50" t="s">
        <v>3064</v>
      </c>
      <c r="BQ186" s="50" t="s">
        <v>2213</v>
      </c>
      <c r="BR186" s="50" t="s">
        <v>2214</v>
      </c>
      <c r="BS186" s="50" t="s">
        <v>2215</v>
      </c>
      <c r="BT186" s="50" t="s">
        <v>2216</v>
      </c>
      <c r="BU186" s="50" t="s">
        <v>18647</v>
      </c>
      <c r="BV186" s="50" t="s">
        <v>18648</v>
      </c>
      <c r="BW186" s="50" t="s">
        <v>138</v>
      </c>
      <c r="BX186" s="50" t="s">
        <v>225</v>
      </c>
      <c r="BY186" s="50" t="s">
        <v>9363</v>
      </c>
      <c r="BZ186" s="50" t="s">
        <v>9364</v>
      </c>
      <c r="CA186" s="50" t="s">
        <v>18648</v>
      </c>
      <c r="CB186" s="50" t="s">
        <v>9364</v>
      </c>
      <c r="CC186" s="50" t="s">
        <v>9363</v>
      </c>
      <c r="CD186" s="50" t="s">
        <v>18649</v>
      </c>
      <c r="CE186" s="50" t="s">
        <v>9364</v>
      </c>
      <c r="CF186" s="50" t="s">
        <v>18650</v>
      </c>
      <c r="CG186" s="50" t="s">
        <v>9365</v>
      </c>
      <c r="CH186" s="50" t="s">
        <v>18651</v>
      </c>
      <c r="CJ186" s="50" t="s">
        <v>9367</v>
      </c>
      <c r="CK186" s="50" t="s">
        <v>9366</v>
      </c>
      <c r="CL186" s="50" t="s">
        <v>121</v>
      </c>
      <c r="CM186" s="50" t="s">
        <v>121</v>
      </c>
      <c r="CN186" s="50" t="s">
        <v>9367</v>
      </c>
      <c r="CP186" s="50" t="s">
        <v>9366</v>
      </c>
      <c r="CQ186" s="50" t="s">
        <v>9368</v>
      </c>
    </row>
    <row r="187" spans="1:96">
      <c r="A187" s="95" t="s">
        <v>26356</v>
      </c>
      <c r="B187" s="50">
        <v>5016187</v>
      </c>
      <c r="C187" s="50" t="s">
        <v>13158</v>
      </c>
      <c r="D187" s="50" t="s">
        <v>9579</v>
      </c>
      <c r="E187" s="50" t="e">
        <f>VLOOKUP(B187,aa!B:F,5,0)</f>
        <v>#N/A</v>
      </c>
      <c r="F187" s="50" t="e">
        <f>VLOOKUP(B187,aa!B:J,9,0)</f>
        <v>#N/A</v>
      </c>
      <c r="G187" s="50" t="e">
        <f>VLOOKUP(B187,aa!B:L,11,0)</f>
        <v>#N/A</v>
      </c>
      <c r="H187" s="50" t="e">
        <f>VLOOKUP(B187,aa!B:O,14,0)</f>
        <v>#N/A</v>
      </c>
      <c r="I187" s="50" t="e">
        <f>VLOOKUP(B187,aa!B:R,17,0)</f>
        <v>#N/A</v>
      </c>
      <c r="K187" s="50" t="s">
        <v>2193</v>
      </c>
      <c r="L187" s="50">
        <v>400000</v>
      </c>
      <c r="M187" s="50">
        <v>472000</v>
      </c>
      <c r="N187" s="50">
        <v>0</v>
      </c>
      <c r="O187" s="50">
        <v>1200</v>
      </c>
      <c r="P187" s="50" t="s">
        <v>102</v>
      </c>
      <c r="Q187" s="50">
        <v>0</v>
      </c>
      <c r="R187" s="50">
        <v>0</v>
      </c>
      <c r="S187" s="50" t="s">
        <v>102</v>
      </c>
      <c r="T187" s="50">
        <v>0</v>
      </c>
      <c r="U187" s="50">
        <v>0</v>
      </c>
      <c r="V187" s="50" t="s">
        <v>102</v>
      </c>
      <c r="W187" s="50" t="s">
        <v>2195</v>
      </c>
      <c r="X187" s="50" t="s">
        <v>103</v>
      </c>
      <c r="Y187" s="50" t="s">
        <v>2196</v>
      </c>
      <c r="Z187" s="50" t="s">
        <v>12023</v>
      </c>
      <c r="AA187" s="50" t="s">
        <v>13159</v>
      </c>
      <c r="AB187" s="50" t="s">
        <v>102</v>
      </c>
      <c r="AC187" s="50" t="s">
        <v>13160</v>
      </c>
      <c r="AD187" s="50" t="s">
        <v>102</v>
      </c>
      <c r="AE187" s="50" t="s">
        <v>13161</v>
      </c>
      <c r="AF187" s="50" t="s">
        <v>102</v>
      </c>
      <c r="AG187" s="50" t="s">
        <v>12764</v>
      </c>
      <c r="AH187" s="50" t="s">
        <v>102</v>
      </c>
      <c r="AI187" s="50" t="s">
        <v>102</v>
      </c>
      <c r="AJ187" s="50" t="s">
        <v>12023</v>
      </c>
      <c r="AK187" s="50" t="s">
        <v>12023</v>
      </c>
      <c r="AL187" s="50" t="s">
        <v>2195</v>
      </c>
      <c r="AM187" s="50" t="s">
        <v>102</v>
      </c>
      <c r="AN187" s="50" t="s">
        <v>2195</v>
      </c>
      <c r="AO187" s="50" t="s">
        <v>2202</v>
      </c>
      <c r="AP187" s="50" t="s">
        <v>2202</v>
      </c>
      <c r="AQ187" s="50" t="s">
        <v>102</v>
      </c>
      <c r="AR187" s="50" t="s">
        <v>102</v>
      </c>
      <c r="AS187" s="50" t="s">
        <v>102</v>
      </c>
      <c r="AT187" s="50" t="s">
        <v>102</v>
      </c>
      <c r="AU187" s="50" t="s">
        <v>247</v>
      </c>
      <c r="AV187" s="50" t="s">
        <v>118</v>
      </c>
      <c r="AW187" s="50" t="s">
        <v>102</v>
      </c>
      <c r="AX187" s="50" t="s">
        <v>119</v>
      </c>
      <c r="BB187" s="50" t="s">
        <v>120</v>
      </c>
      <c r="BC187" s="50" t="s">
        <v>3854</v>
      </c>
      <c r="BD187" s="50" t="s">
        <v>449</v>
      </c>
      <c r="BE187" s="50" t="s">
        <v>122</v>
      </c>
      <c r="BF187" s="50" t="s">
        <v>4256</v>
      </c>
      <c r="BG187" s="50" t="s">
        <v>124</v>
      </c>
      <c r="BH187" s="50" t="s">
        <v>12023</v>
      </c>
      <c r="BI187" s="50" t="s">
        <v>13162</v>
      </c>
      <c r="BJ187" s="50" t="s">
        <v>2207</v>
      </c>
      <c r="BK187" s="50" t="s">
        <v>18787</v>
      </c>
      <c r="BL187" s="50" t="s">
        <v>9586</v>
      </c>
      <c r="BM187" s="50" t="s">
        <v>18788</v>
      </c>
      <c r="BN187" s="50" t="s">
        <v>13159</v>
      </c>
      <c r="BO187" s="50" t="s">
        <v>2766</v>
      </c>
      <c r="BP187" s="50" t="s">
        <v>3064</v>
      </c>
      <c r="BQ187" s="50" t="s">
        <v>2213</v>
      </c>
      <c r="BR187" s="50" t="s">
        <v>2214</v>
      </c>
      <c r="BS187" s="50" t="s">
        <v>2215</v>
      </c>
      <c r="BT187" s="50" t="s">
        <v>2216</v>
      </c>
      <c r="BU187" s="50" t="s">
        <v>18789</v>
      </c>
      <c r="BV187" s="50" t="s">
        <v>18790</v>
      </c>
      <c r="BW187" s="50" t="s">
        <v>138</v>
      </c>
      <c r="BX187" s="50" t="s">
        <v>225</v>
      </c>
      <c r="BY187" s="50" t="s">
        <v>18791</v>
      </c>
      <c r="BZ187" s="50" t="s">
        <v>9590</v>
      </c>
      <c r="CA187" s="50" t="s">
        <v>18792</v>
      </c>
      <c r="CB187" s="50" t="s">
        <v>14652</v>
      </c>
      <c r="CC187" s="50" t="s">
        <v>18793</v>
      </c>
      <c r="CD187" s="50" t="s">
        <v>18792</v>
      </c>
      <c r="CE187" s="50" t="s">
        <v>14652</v>
      </c>
      <c r="CF187" s="50" t="s">
        <v>18793</v>
      </c>
      <c r="CG187" s="50" t="s">
        <v>4269</v>
      </c>
      <c r="CH187" s="50" t="s">
        <v>18794</v>
      </c>
      <c r="CJ187" s="50" t="s">
        <v>7472</v>
      </c>
      <c r="CK187" s="50" t="s">
        <v>9591</v>
      </c>
      <c r="CL187" s="50" t="s">
        <v>3854</v>
      </c>
      <c r="CM187" s="50" t="s">
        <v>449</v>
      </c>
      <c r="CN187" s="50" t="s">
        <v>7472</v>
      </c>
      <c r="CP187" s="50" t="s">
        <v>9591</v>
      </c>
      <c r="CQ187" s="50" t="s">
        <v>9591</v>
      </c>
    </row>
    <row r="188" spans="1:96">
      <c r="A188" s="95" t="s">
        <v>26356</v>
      </c>
      <c r="B188" s="50">
        <v>5017383</v>
      </c>
      <c r="C188" s="50" t="s">
        <v>13158</v>
      </c>
      <c r="D188" s="50" t="s">
        <v>9939</v>
      </c>
      <c r="E188" s="50" t="e">
        <f>VLOOKUP(B188,aa!B:F,5,0)</f>
        <v>#N/A</v>
      </c>
      <c r="F188" s="50" t="e">
        <f>VLOOKUP(B188,aa!B:J,9,0)</f>
        <v>#N/A</v>
      </c>
      <c r="G188" s="50" t="e">
        <f>VLOOKUP(B188,aa!B:L,11,0)</f>
        <v>#N/A</v>
      </c>
      <c r="H188" s="50" t="e">
        <f>VLOOKUP(B188,aa!B:O,14,0)</f>
        <v>#N/A</v>
      </c>
      <c r="I188" s="50" t="e">
        <f>VLOOKUP(B188,aa!B:R,17,0)</f>
        <v>#N/A</v>
      </c>
      <c r="K188" s="50" t="s">
        <v>2193</v>
      </c>
      <c r="L188" s="50">
        <v>400000</v>
      </c>
      <c r="M188" s="50">
        <v>472000</v>
      </c>
      <c r="N188" s="50">
        <v>0</v>
      </c>
      <c r="O188" s="50">
        <v>466</v>
      </c>
      <c r="P188" s="50" t="s">
        <v>102</v>
      </c>
      <c r="Q188" s="50">
        <v>0</v>
      </c>
      <c r="R188" s="50">
        <v>0</v>
      </c>
      <c r="S188" s="50" t="s">
        <v>102</v>
      </c>
      <c r="T188" s="50">
        <v>0</v>
      </c>
      <c r="U188" s="50">
        <v>0</v>
      </c>
      <c r="V188" s="50" t="s">
        <v>102</v>
      </c>
      <c r="W188" s="50" t="s">
        <v>2195</v>
      </c>
      <c r="X188" s="50" t="s">
        <v>103</v>
      </c>
      <c r="Y188" s="50" t="s">
        <v>2196</v>
      </c>
      <c r="Z188" s="50" t="s">
        <v>12023</v>
      </c>
      <c r="AA188" s="50" t="s">
        <v>13159</v>
      </c>
      <c r="AB188" s="50" t="s">
        <v>102</v>
      </c>
      <c r="AC188" s="50" t="s">
        <v>13160</v>
      </c>
      <c r="AD188" s="50" t="s">
        <v>102</v>
      </c>
      <c r="AE188" s="50" t="s">
        <v>13161</v>
      </c>
      <c r="AF188" s="50" t="s">
        <v>102</v>
      </c>
      <c r="AG188" s="50" t="s">
        <v>12764</v>
      </c>
      <c r="AH188" s="50" t="s">
        <v>102</v>
      </c>
      <c r="AI188" s="50" t="s">
        <v>102</v>
      </c>
      <c r="AJ188" s="50" t="s">
        <v>12023</v>
      </c>
      <c r="AK188" s="50" t="s">
        <v>12023</v>
      </c>
      <c r="AL188" s="50" t="s">
        <v>2195</v>
      </c>
      <c r="AM188" s="50" t="s">
        <v>102</v>
      </c>
      <c r="AN188" s="50" t="s">
        <v>2195</v>
      </c>
      <c r="AO188" s="50" t="s">
        <v>2202</v>
      </c>
      <c r="AP188" s="50" t="s">
        <v>2202</v>
      </c>
      <c r="AQ188" s="50" t="s">
        <v>102</v>
      </c>
      <c r="AR188" s="50" t="s">
        <v>102</v>
      </c>
      <c r="AS188" s="50" t="s">
        <v>102</v>
      </c>
      <c r="AT188" s="50" t="s">
        <v>102</v>
      </c>
      <c r="AU188" s="50" t="s">
        <v>247</v>
      </c>
      <c r="AV188" s="50" t="s">
        <v>118</v>
      </c>
      <c r="AW188" s="50" t="s">
        <v>102</v>
      </c>
      <c r="AX188" s="50" t="s">
        <v>119</v>
      </c>
      <c r="BB188" s="50" t="s">
        <v>120</v>
      </c>
      <c r="BC188" s="50" t="s">
        <v>1407</v>
      </c>
      <c r="BD188" s="50" t="s">
        <v>449</v>
      </c>
      <c r="BE188" s="50" t="s">
        <v>122</v>
      </c>
      <c r="BF188" s="50" t="s">
        <v>4256</v>
      </c>
      <c r="BG188" s="50" t="s">
        <v>124</v>
      </c>
      <c r="BH188" s="50" t="s">
        <v>12023</v>
      </c>
      <c r="BI188" s="50" t="s">
        <v>13162</v>
      </c>
      <c r="BJ188" s="50" t="s">
        <v>2207</v>
      </c>
      <c r="BK188" s="50" t="s">
        <v>19028</v>
      </c>
      <c r="BL188" s="50" t="s">
        <v>9948</v>
      </c>
      <c r="BM188" s="50" t="s">
        <v>19029</v>
      </c>
      <c r="BN188" s="50" t="s">
        <v>13159</v>
      </c>
      <c r="BO188" s="50" t="s">
        <v>2766</v>
      </c>
      <c r="BP188" s="50" t="s">
        <v>3064</v>
      </c>
      <c r="BQ188" s="50" t="s">
        <v>2213</v>
      </c>
      <c r="BR188" s="50" t="s">
        <v>2214</v>
      </c>
      <c r="BS188" s="50" t="s">
        <v>2215</v>
      </c>
      <c r="BT188" s="50" t="s">
        <v>2216</v>
      </c>
      <c r="BU188" s="50" t="s">
        <v>19030</v>
      </c>
      <c r="BV188" s="50" t="s">
        <v>19031</v>
      </c>
      <c r="BW188" s="50" t="s">
        <v>138</v>
      </c>
      <c r="BX188" s="50" t="s">
        <v>225</v>
      </c>
      <c r="BY188" s="50" t="s">
        <v>19032</v>
      </c>
      <c r="BZ188" s="50" t="s">
        <v>9952</v>
      </c>
      <c r="CA188" s="50" t="s">
        <v>19031</v>
      </c>
      <c r="CB188" s="50" t="s">
        <v>19033</v>
      </c>
      <c r="CC188" s="50" t="s">
        <v>19032</v>
      </c>
      <c r="CD188" s="50" t="s">
        <v>19034</v>
      </c>
      <c r="CE188" s="50" t="s">
        <v>19033</v>
      </c>
      <c r="CF188" s="50" t="s">
        <v>19035</v>
      </c>
      <c r="CG188" s="50" t="s">
        <v>3068</v>
      </c>
      <c r="CH188" s="50" t="s">
        <v>9953</v>
      </c>
      <c r="CJ188" s="50" t="s">
        <v>7810</v>
      </c>
      <c r="CK188" s="50" t="s">
        <v>9953</v>
      </c>
      <c r="CL188" s="50" t="s">
        <v>1407</v>
      </c>
      <c r="CM188" s="50" t="s">
        <v>449</v>
      </c>
      <c r="CN188" s="50" t="s">
        <v>7810</v>
      </c>
      <c r="CP188" s="50" t="s">
        <v>9953</v>
      </c>
      <c r="CQ188" s="50" t="s">
        <v>9953</v>
      </c>
    </row>
    <row r="189" spans="1:96">
      <c r="A189" s="95" t="s">
        <v>26356</v>
      </c>
      <c r="B189" s="50">
        <v>5018233</v>
      </c>
      <c r="C189" s="50" t="s">
        <v>13158</v>
      </c>
      <c r="D189" s="50" t="s">
        <v>10630</v>
      </c>
      <c r="E189" s="50" t="e">
        <f>VLOOKUP(B189,aa!B:F,5,0)</f>
        <v>#N/A</v>
      </c>
      <c r="F189" s="50" t="e">
        <f>VLOOKUP(B189,aa!B:J,9,0)</f>
        <v>#N/A</v>
      </c>
      <c r="G189" s="50" t="e">
        <f>VLOOKUP(B189,aa!B:L,11,0)</f>
        <v>#N/A</v>
      </c>
      <c r="H189" s="50" t="e">
        <f>VLOOKUP(B189,aa!B:O,14,0)</f>
        <v>#N/A</v>
      </c>
      <c r="I189" s="50" t="e">
        <f>VLOOKUP(B189,aa!B:R,17,0)</f>
        <v>#N/A</v>
      </c>
      <c r="K189" s="50" t="s">
        <v>2193</v>
      </c>
      <c r="L189" s="50">
        <v>400000</v>
      </c>
      <c r="M189" s="50">
        <v>472000</v>
      </c>
      <c r="N189" s="50">
        <v>0</v>
      </c>
      <c r="O189" s="50">
        <v>1500</v>
      </c>
      <c r="P189" s="50" t="s">
        <v>102</v>
      </c>
      <c r="Q189" s="50">
        <v>0</v>
      </c>
      <c r="R189" s="50">
        <v>0</v>
      </c>
      <c r="S189" s="50" t="s">
        <v>102</v>
      </c>
      <c r="T189" s="50">
        <v>0</v>
      </c>
      <c r="U189" s="50">
        <v>0</v>
      </c>
      <c r="V189" s="50" t="s">
        <v>102</v>
      </c>
      <c r="W189" s="50" t="s">
        <v>2195</v>
      </c>
      <c r="X189" s="50" t="s">
        <v>103</v>
      </c>
      <c r="Y189" s="50" t="s">
        <v>2196</v>
      </c>
      <c r="Z189" s="50" t="s">
        <v>12023</v>
      </c>
      <c r="AA189" s="50" t="s">
        <v>13159</v>
      </c>
      <c r="AB189" s="50" t="s">
        <v>102</v>
      </c>
      <c r="AC189" s="50" t="s">
        <v>13160</v>
      </c>
      <c r="AD189" s="50" t="s">
        <v>102</v>
      </c>
      <c r="AE189" s="50" t="s">
        <v>13161</v>
      </c>
      <c r="AF189" s="50" t="s">
        <v>102</v>
      </c>
      <c r="AG189" s="50" t="s">
        <v>12764</v>
      </c>
      <c r="AH189" s="50" t="s">
        <v>102</v>
      </c>
      <c r="AI189" s="50" t="s">
        <v>102</v>
      </c>
      <c r="AJ189" s="50" t="s">
        <v>12023</v>
      </c>
      <c r="AK189" s="50" t="s">
        <v>12023</v>
      </c>
      <c r="AL189" s="50" t="s">
        <v>2195</v>
      </c>
      <c r="AM189" s="50" t="s">
        <v>102</v>
      </c>
      <c r="AN189" s="50" t="s">
        <v>2195</v>
      </c>
      <c r="AO189" s="50" t="s">
        <v>2202</v>
      </c>
      <c r="AP189" s="50" t="s">
        <v>2202</v>
      </c>
      <c r="AQ189" s="50" t="s">
        <v>102</v>
      </c>
      <c r="AR189" s="50" t="s">
        <v>102</v>
      </c>
      <c r="AS189" s="50" t="s">
        <v>102</v>
      </c>
      <c r="AT189" s="50" t="s">
        <v>102</v>
      </c>
      <c r="AU189" s="50" t="s">
        <v>247</v>
      </c>
      <c r="AV189" s="50" t="s">
        <v>118</v>
      </c>
      <c r="AW189" s="50" t="s">
        <v>102</v>
      </c>
      <c r="AX189" s="50" t="s">
        <v>119</v>
      </c>
      <c r="BB189" s="50" t="s">
        <v>120</v>
      </c>
      <c r="BC189" s="50" t="s">
        <v>1407</v>
      </c>
      <c r="BD189" s="50" t="s">
        <v>449</v>
      </c>
      <c r="BE189" s="50" t="s">
        <v>122</v>
      </c>
      <c r="BF189" s="50" t="s">
        <v>4256</v>
      </c>
      <c r="BG189" s="50" t="s">
        <v>124</v>
      </c>
      <c r="BH189" s="50" t="s">
        <v>12023</v>
      </c>
      <c r="BI189" s="50" t="s">
        <v>13162</v>
      </c>
      <c r="BJ189" s="50" t="s">
        <v>2207</v>
      </c>
      <c r="BK189" s="50" t="s">
        <v>19538</v>
      </c>
      <c r="BL189" s="50" t="s">
        <v>10639</v>
      </c>
      <c r="BM189" s="50" t="s">
        <v>19539</v>
      </c>
      <c r="BN189" s="50" t="s">
        <v>13159</v>
      </c>
      <c r="BO189" s="50" t="s">
        <v>2766</v>
      </c>
      <c r="BP189" s="50" t="s">
        <v>3064</v>
      </c>
      <c r="BQ189" s="50" t="s">
        <v>2213</v>
      </c>
      <c r="BR189" s="50" t="s">
        <v>2214</v>
      </c>
      <c r="BS189" s="50" t="s">
        <v>2215</v>
      </c>
      <c r="BT189" s="50" t="s">
        <v>2216</v>
      </c>
      <c r="BU189" s="50" t="s">
        <v>19540</v>
      </c>
      <c r="BV189" s="50" t="s">
        <v>10642</v>
      </c>
      <c r="BW189" s="50" t="s">
        <v>138</v>
      </c>
      <c r="BX189" s="50" t="s">
        <v>225</v>
      </c>
      <c r="BY189" s="50" t="s">
        <v>19541</v>
      </c>
      <c r="BZ189" s="50" t="s">
        <v>10643</v>
      </c>
      <c r="CA189" s="50" t="s">
        <v>10642</v>
      </c>
      <c r="CB189" s="50" t="s">
        <v>19542</v>
      </c>
      <c r="CC189" s="50" t="s">
        <v>19541</v>
      </c>
      <c r="CD189" s="50" t="s">
        <v>19543</v>
      </c>
      <c r="CE189" s="50" t="s">
        <v>19542</v>
      </c>
      <c r="CF189" s="50" t="s">
        <v>19541</v>
      </c>
      <c r="CG189" s="50" t="s">
        <v>9365</v>
      </c>
      <c r="CH189" s="50" t="s">
        <v>10644</v>
      </c>
      <c r="CJ189" s="50" t="s">
        <v>3786</v>
      </c>
      <c r="CK189" s="50" t="s">
        <v>10644</v>
      </c>
      <c r="CL189" s="50" t="s">
        <v>1407</v>
      </c>
      <c r="CM189" s="50" t="s">
        <v>449</v>
      </c>
      <c r="CN189" s="50" t="s">
        <v>3786</v>
      </c>
      <c r="CP189" s="50" t="s">
        <v>10644</v>
      </c>
      <c r="CQ189" s="50" t="s">
        <v>10644</v>
      </c>
    </row>
    <row r="190" spans="1:96">
      <c r="A190" s="95" t="s">
        <v>26356</v>
      </c>
      <c r="B190" s="50">
        <v>5018234</v>
      </c>
      <c r="C190" s="50" t="s">
        <v>13158</v>
      </c>
      <c r="D190" s="50" t="s">
        <v>10645</v>
      </c>
      <c r="E190" s="50" t="e">
        <f>VLOOKUP(B190,aa!B:F,5,0)</f>
        <v>#N/A</v>
      </c>
      <c r="F190" s="50" t="e">
        <f>VLOOKUP(B190,aa!B:J,9,0)</f>
        <v>#N/A</v>
      </c>
      <c r="G190" s="50" t="e">
        <f>VLOOKUP(B190,aa!B:L,11,0)</f>
        <v>#N/A</v>
      </c>
      <c r="H190" s="50" t="e">
        <f>VLOOKUP(B190,aa!B:O,14,0)</f>
        <v>#N/A</v>
      </c>
      <c r="I190" s="50" t="e">
        <f>VLOOKUP(B190,aa!B:R,17,0)</f>
        <v>#N/A</v>
      </c>
      <c r="K190" s="50" t="s">
        <v>2193</v>
      </c>
      <c r="L190" s="50">
        <v>400000</v>
      </c>
      <c r="M190" s="50">
        <v>472000</v>
      </c>
      <c r="N190" s="50">
        <v>0</v>
      </c>
      <c r="O190" s="50">
        <v>1273</v>
      </c>
      <c r="P190" s="50" t="s">
        <v>102</v>
      </c>
      <c r="Q190" s="50">
        <v>0</v>
      </c>
      <c r="R190" s="50">
        <v>0</v>
      </c>
      <c r="S190" s="50" t="s">
        <v>102</v>
      </c>
      <c r="T190" s="50">
        <v>0</v>
      </c>
      <c r="U190" s="50">
        <v>0</v>
      </c>
      <c r="V190" s="50" t="s">
        <v>102</v>
      </c>
      <c r="W190" s="50" t="s">
        <v>2195</v>
      </c>
      <c r="X190" s="50" t="s">
        <v>103</v>
      </c>
      <c r="Y190" s="50" t="s">
        <v>2196</v>
      </c>
      <c r="Z190" s="50" t="s">
        <v>12023</v>
      </c>
      <c r="AA190" s="50" t="s">
        <v>13159</v>
      </c>
      <c r="AB190" s="50" t="s">
        <v>102</v>
      </c>
      <c r="AC190" s="50" t="s">
        <v>13160</v>
      </c>
      <c r="AD190" s="50" t="s">
        <v>102</v>
      </c>
      <c r="AE190" s="50" t="s">
        <v>13161</v>
      </c>
      <c r="AF190" s="50" t="s">
        <v>102</v>
      </c>
      <c r="AG190" s="50" t="s">
        <v>12764</v>
      </c>
      <c r="AH190" s="50" t="s">
        <v>102</v>
      </c>
      <c r="AI190" s="50" t="s">
        <v>102</v>
      </c>
      <c r="AJ190" s="50" t="s">
        <v>12023</v>
      </c>
      <c r="AK190" s="50" t="s">
        <v>12023</v>
      </c>
      <c r="AL190" s="50" t="s">
        <v>2195</v>
      </c>
      <c r="AM190" s="50" t="s">
        <v>102</v>
      </c>
      <c r="AN190" s="50" t="s">
        <v>2195</v>
      </c>
      <c r="AO190" s="50" t="s">
        <v>2202</v>
      </c>
      <c r="AP190" s="50" t="s">
        <v>2202</v>
      </c>
      <c r="AQ190" s="50" t="s">
        <v>102</v>
      </c>
      <c r="AR190" s="50" t="s">
        <v>102</v>
      </c>
      <c r="AS190" s="50" t="s">
        <v>102</v>
      </c>
      <c r="AT190" s="50" t="s">
        <v>102</v>
      </c>
      <c r="AU190" s="50" t="s">
        <v>247</v>
      </c>
      <c r="AV190" s="50" t="s">
        <v>118</v>
      </c>
      <c r="AW190" s="50" t="s">
        <v>102</v>
      </c>
      <c r="AX190" s="50" t="s">
        <v>119</v>
      </c>
      <c r="BB190" s="50" t="s">
        <v>120</v>
      </c>
      <c r="BC190" s="50" t="s">
        <v>4864</v>
      </c>
      <c r="BD190" s="50" t="s">
        <v>621</v>
      </c>
      <c r="BE190" s="50" t="s">
        <v>10651</v>
      </c>
      <c r="BF190" s="50" t="s">
        <v>10652</v>
      </c>
      <c r="BG190" s="50" t="s">
        <v>124</v>
      </c>
      <c r="BH190" s="50" t="s">
        <v>12023</v>
      </c>
      <c r="BI190" s="50" t="s">
        <v>13162</v>
      </c>
      <c r="BJ190" s="50" t="s">
        <v>2207</v>
      </c>
      <c r="BK190" s="50" t="s">
        <v>19544</v>
      </c>
      <c r="BL190" s="50" t="s">
        <v>10656</v>
      </c>
      <c r="BM190" s="50" t="s">
        <v>19545</v>
      </c>
      <c r="BN190" s="50" t="s">
        <v>13159</v>
      </c>
      <c r="BO190" s="50" t="s">
        <v>2766</v>
      </c>
      <c r="BP190" s="50" t="s">
        <v>3064</v>
      </c>
      <c r="BQ190" s="50" t="s">
        <v>2213</v>
      </c>
      <c r="BR190" s="50" t="s">
        <v>2214</v>
      </c>
      <c r="BS190" s="50" t="s">
        <v>2215</v>
      </c>
      <c r="BT190" s="50" t="s">
        <v>2216</v>
      </c>
      <c r="BU190" s="50" t="s">
        <v>19546</v>
      </c>
      <c r="BV190" s="50" t="s">
        <v>19547</v>
      </c>
      <c r="BW190" s="50" t="s">
        <v>138</v>
      </c>
      <c r="BX190" s="50" t="s">
        <v>225</v>
      </c>
      <c r="BY190" s="50" t="s">
        <v>19548</v>
      </c>
      <c r="BZ190" s="50" t="s">
        <v>10660</v>
      </c>
      <c r="CA190" s="50" t="s">
        <v>19547</v>
      </c>
      <c r="CB190" s="50" t="s">
        <v>10660</v>
      </c>
      <c r="CC190" s="50" t="s">
        <v>19548</v>
      </c>
      <c r="CD190" s="50" t="s">
        <v>19549</v>
      </c>
      <c r="CE190" s="50" t="s">
        <v>10660</v>
      </c>
      <c r="CF190" s="50" t="s">
        <v>19548</v>
      </c>
      <c r="CG190" s="50" t="s">
        <v>10661</v>
      </c>
      <c r="CH190" s="50" t="s">
        <v>19550</v>
      </c>
      <c r="CJ190" s="50" t="s">
        <v>5937</v>
      </c>
      <c r="CK190" s="50" t="s">
        <v>19551</v>
      </c>
      <c r="CL190" s="50" t="s">
        <v>4864</v>
      </c>
      <c r="CM190" s="50" t="s">
        <v>621</v>
      </c>
      <c r="CN190" s="50" t="s">
        <v>5937</v>
      </c>
      <c r="CP190" s="50" t="s">
        <v>10662</v>
      </c>
      <c r="CQ190" s="50" t="s">
        <v>10663</v>
      </c>
    </row>
    <row r="191" spans="1:96">
      <c r="A191" s="95" t="s">
        <v>149</v>
      </c>
      <c r="B191" s="50">
        <v>810367</v>
      </c>
      <c r="C191" s="50" t="s">
        <v>11882</v>
      </c>
      <c r="D191" s="50" t="s">
        <v>11699</v>
      </c>
      <c r="E191" s="50" t="str">
        <f>VLOOKUP(B191,aa!B:F,5,0)</f>
        <v>Ei Mindspark</v>
      </c>
      <c r="F191" s="50">
        <f>VLOOKUP(B191,aa!B:J,9,0)</f>
        <v>223028</v>
      </c>
      <c r="G191" s="50">
        <f>VLOOKUP(B191,aa!B:L,11,0)</f>
        <v>0</v>
      </c>
      <c r="H191" s="50">
        <f>VLOOKUP(B191,aa!B:O,14,0)</f>
        <v>0</v>
      </c>
      <c r="I191" s="50">
        <f>VLOOKUP(B191,aa!B:R,17,0)</f>
        <v>223028</v>
      </c>
      <c r="K191" s="50" t="s">
        <v>848</v>
      </c>
      <c r="L191" s="50">
        <v>184652</v>
      </c>
      <c r="M191" s="50">
        <v>217889</v>
      </c>
      <c r="N191" s="50">
        <v>0</v>
      </c>
      <c r="O191" s="50">
        <v>0</v>
      </c>
      <c r="Q191" s="50">
        <v>0</v>
      </c>
      <c r="R191" s="50">
        <v>0</v>
      </c>
      <c r="T191" s="50">
        <v>184652</v>
      </c>
      <c r="U191" s="50">
        <v>77</v>
      </c>
      <c r="V191" s="50" t="s">
        <v>14168</v>
      </c>
      <c r="W191" s="50" t="s">
        <v>102</v>
      </c>
      <c r="X191" s="50" t="s">
        <v>679</v>
      </c>
      <c r="Y191" s="50" t="s">
        <v>155</v>
      </c>
      <c r="Z191" s="50" t="s">
        <v>21515</v>
      </c>
      <c r="AA191" s="50" t="s">
        <v>21516</v>
      </c>
      <c r="AB191" s="50" t="s">
        <v>21517</v>
      </c>
      <c r="AC191" s="50" t="s">
        <v>12570</v>
      </c>
      <c r="AD191" s="50" t="s">
        <v>21517</v>
      </c>
      <c r="AE191" s="50" t="s">
        <v>12571</v>
      </c>
      <c r="AF191" s="50" t="s">
        <v>21517</v>
      </c>
      <c r="AG191" s="50" t="s">
        <v>12595</v>
      </c>
      <c r="AH191" s="50" t="s">
        <v>21517</v>
      </c>
      <c r="AI191" s="50" t="s">
        <v>21518</v>
      </c>
      <c r="AJ191" s="50" t="s">
        <v>13496</v>
      </c>
      <c r="AK191" s="50" t="s">
        <v>6895</v>
      </c>
      <c r="AL191" s="50" t="s">
        <v>21519</v>
      </c>
      <c r="AM191" s="50" t="s">
        <v>21520</v>
      </c>
      <c r="AN191" s="50" t="s">
        <v>21521</v>
      </c>
      <c r="AO191" s="50" t="s">
        <v>14174</v>
      </c>
      <c r="AP191" s="50" t="s">
        <v>14175</v>
      </c>
      <c r="AT191" s="50" t="s">
        <v>169</v>
      </c>
      <c r="AU191" s="50" t="s">
        <v>102</v>
      </c>
      <c r="AW191" s="50" t="s">
        <v>102</v>
      </c>
      <c r="AX191" s="50" t="s">
        <v>119</v>
      </c>
      <c r="BA191" s="50" t="s">
        <v>250</v>
      </c>
      <c r="BB191" s="50" t="s">
        <v>120</v>
      </c>
      <c r="BC191" s="50" t="s">
        <v>2840</v>
      </c>
      <c r="BD191" s="50" t="s">
        <v>449</v>
      </c>
      <c r="BE191" s="50" t="s">
        <v>122</v>
      </c>
      <c r="BF191" s="50" t="s">
        <v>253</v>
      </c>
      <c r="BG191" s="50" t="s">
        <v>124</v>
      </c>
      <c r="BH191" s="50" t="s">
        <v>21514</v>
      </c>
      <c r="BI191" s="50" t="s">
        <v>11889</v>
      </c>
      <c r="BJ191" s="50" t="s">
        <v>127</v>
      </c>
      <c r="BK191" s="50" t="s">
        <v>21522</v>
      </c>
      <c r="BL191" s="50" t="s">
        <v>11706</v>
      </c>
      <c r="BM191" s="50" t="s">
        <v>21523</v>
      </c>
      <c r="BN191" s="50" t="s">
        <v>21514</v>
      </c>
      <c r="BO191" s="50" t="s">
        <v>3267</v>
      </c>
      <c r="BP191" s="50" t="s">
        <v>350</v>
      </c>
      <c r="BQ191" s="50" t="s">
        <v>3268</v>
      </c>
      <c r="BR191" s="50" t="s">
        <v>3269</v>
      </c>
      <c r="BS191" s="50" t="s">
        <v>135</v>
      </c>
      <c r="BU191" s="50" t="s">
        <v>21524</v>
      </c>
      <c r="BV191" s="50" t="s">
        <v>14179</v>
      </c>
      <c r="BW191" s="50" t="s">
        <v>9092</v>
      </c>
      <c r="BX191" s="50" t="s">
        <v>14180</v>
      </c>
      <c r="BY191" s="50" t="s">
        <v>3633</v>
      </c>
      <c r="BZ191" s="50" t="s">
        <v>11709</v>
      </c>
      <c r="CA191" s="50" t="s">
        <v>21525</v>
      </c>
      <c r="CB191" s="50" t="s">
        <v>21526</v>
      </c>
      <c r="CC191" s="50" t="s">
        <v>21527</v>
      </c>
      <c r="CD191" s="50" t="s">
        <v>21525</v>
      </c>
      <c r="CE191" s="50" t="s">
        <v>21526</v>
      </c>
      <c r="CF191" s="50" t="s">
        <v>21527</v>
      </c>
      <c r="CG191" s="50" t="s">
        <v>102</v>
      </c>
      <c r="CH191" s="50" t="s">
        <v>21528</v>
      </c>
      <c r="CJ191" s="50" t="s">
        <v>5951</v>
      </c>
      <c r="CL191" s="50" t="s">
        <v>2840</v>
      </c>
      <c r="CM191" s="50" t="s">
        <v>449</v>
      </c>
      <c r="CN191" s="50" t="s">
        <v>5951</v>
      </c>
      <c r="CO191" s="50" t="s">
        <v>3637</v>
      </c>
      <c r="CP191" s="50" t="s">
        <v>11710</v>
      </c>
      <c r="CQ191" s="50" t="s">
        <v>11710</v>
      </c>
    </row>
    <row r="192" spans="1:96">
      <c r="A192" s="95" t="s">
        <v>149</v>
      </c>
      <c r="B192" s="50">
        <v>2496983</v>
      </c>
      <c r="C192" s="50" t="s">
        <v>12423</v>
      </c>
      <c r="D192" s="50" t="s">
        <v>3725</v>
      </c>
      <c r="E192" s="50" t="e">
        <f>VLOOKUP(B192,aa!B:F,5,0)</f>
        <v>#N/A</v>
      </c>
      <c r="F192" s="50" t="e">
        <f>VLOOKUP(B192,aa!B:J,9,0)</f>
        <v>#N/A</v>
      </c>
      <c r="G192" s="50" t="e">
        <f>VLOOKUP(B192,aa!B:L,11,0)</f>
        <v>#N/A</v>
      </c>
      <c r="H192" s="50" t="e">
        <f>VLOOKUP(B192,aa!B:O,14,0)</f>
        <v>#N/A</v>
      </c>
      <c r="I192" s="50" t="e">
        <f>VLOOKUP(B192,aa!B:R,17,0)</f>
        <v>#N/A</v>
      </c>
      <c r="K192" s="50" t="s">
        <v>97</v>
      </c>
      <c r="L192" s="50">
        <v>412704</v>
      </c>
      <c r="M192" s="50">
        <v>412704</v>
      </c>
      <c r="N192" s="50">
        <v>412704</v>
      </c>
      <c r="O192" s="50">
        <v>483</v>
      </c>
      <c r="P192" s="50" t="s">
        <v>14234</v>
      </c>
      <c r="Q192" s="50">
        <v>0</v>
      </c>
      <c r="R192" s="50">
        <v>0</v>
      </c>
      <c r="T192" s="50">
        <v>0</v>
      </c>
      <c r="U192" s="50">
        <v>0</v>
      </c>
      <c r="W192" s="50" t="s">
        <v>102</v>
      </c>
      <c r="X192" s="50" t="s">
        <v>103</v>
      </c>
      <c r="Y192" s="50" t="s">
        <v>104</v>
      </c>
      <c r="AA192" s="50" t="s">
        <v>1165</v>
      </c>
      <c r="AB192" s="50" t="s">
        <v>14235</v>
      </c>
      <c r="AC192" s="50" t="s">
        <v>12888</v>
      </c>
      <c r="AD192" s="50" t="s">
        <v>14236</v>
      </c>
      <c r="AE192" s="50" t="s">
        <v>109</v>
      </c>
      <c r="AF192" s="50" t="s">
        <v>102</v>
      </c>
      <c r="AG192" s="50" t="s">
        <v>109</v>
      </c>
      <c r="AH192" s="50" t="s">
        <v>102</v>
      </c>
      <c r="AI192" s="50" t="s">
        <v>14237</v>
      </c>
      <c r="AJ192" s="50" t="s">
        <v>12020</v>
      </c>
      <c r="AK192" s="50" t="s">
        <v>14238</v>
      </c>
      <c r="AL192" s="50" t="s">
        <v>14239</v>
      </c>
      <c r="AM192" s="50" t="s">
        <v>14240</v>
      </c>
      <c r="AN192" s="50" t="s">
        <v>3579</v>
      </c>
      <c r="AO192" s="50" t="s">
        <v>14241</v>
      </c>
      <c r="AP192" s="50" t="s">
        <v>14241</v>
      </c>
      <c r="AU192" s="50" t="s">
        <v>318</v>
      </c>
      <c r="AV192" s="50" t="s">
        <v>118</v>
      </c>
      <c r="AW192" s="50" t="s">
        <v>102</v>
      </c>
      <c r="AX192" s="50" t="s">
        <v>119</v>
      </c>
      <c r="BB192" s="50" t="s">
        <v>120</v>
      </c>
      <c r="BC192" s="50" t="s">
        <v>3735</v>
      </c>
      <c r="BD192" s="50" t="s">
        <v>410</v>
      </c>
      <c r="BE192" s="50" t="s">
        <v>212</v>
      </c>
      <c r="BF192" s="50" t="s">
        <v>410</v>
      </c>
      <c r="BG192" s="50" t="s">
        <v>124</v>
      </c>
      <c r="BH192" s="50" t="s">
        <v>12082</v>
      </c>
      <c r="BI192" s="50" t="s">
        <v>11889</v>
      </c>
      <c r="BJ192" s="50" t="s">
        <v>127</v>
      </c>
      <c r="BK192" s="50" t="s">
        <v>14242</v>
      </c>
      <c r="BL192" s="50" t="s">
        <v>3737</v>
      </c>
      <c r="BM192" s="50" t="s">
        <v>14243</v>
      </c>
      <c r="BN192" s="50" t="s">
        <v>6341</v>
      </c>
      <c r="BO192" s="50" t="s">
        <v>866</v>
      </c>
      <c r="BP192" s="50" t="s">
        <v>132</v>
      </c>
      <c r="BQ192" s="50" t="s">
        <v>867</v>
      </c>
      <c r="BR192" s="50" t="s">
        <v>868</v>
      </c>
      <c r="BS192" s="50" t="s">
        <v>418</v>
      </c>
      <c r="BU192" s="50" t="s">
        <v>14244</v>
      </c>
      <c r="BV192" s="50" t="s">
        <v>3585</v>
      </c>
      <c r="BW192" s="50" t="s">
        <v>598</v>
      </c>
      <c r="BX192" s="50" t="s">
        <v>225</v>
      </c>
      <c r="BY192" s="50" t="s">
        <v>226</v>
      </c>
      <c r="BZ192" s="50" t="s">
        <v>3740</v>
      </c>
      <c r="CA192" s="50" t="s">
        <v>14245</v>
      </c>
      <c r="CB192" s="50" t="s">
        <v>3740</v>
      </c>
      <c r="CC192" s="50" t="s">
        <v>14246</v>
      </c>
      <c r="CD192" s="50" t="s">
        <v>14247</v>
      </c>
      <c r="CE192" s="50" t="s">
        <v>14248</v>
      </c>
      <c r="CF192" s="50" t="s">
        <v>14249</v>
      </c>
      <c r="CG192" s="50" t="s">
        <v>102</v>
      </c>
      <c r="CH192" s="50" t="s">
        <v>3741</v>
      </c>
      <c r="CJ192" s="50" t="s">
        <v>3742</v>
      </c>
      <c r="CL192" s="50" t="s">
        <v>3735</v>
      </c>
      <c r="CM192" s="50" t="s">
        <v>410</v>
      </c>
      <c r="CN192" s="50" t="s">
        <v>3742</v>
      </c>
      <c r="CO192" s="50" t="s">
        <v>3589</v>
      </c>
      <c r="CP192" s="50" t="s">
        <v>3741</v>
      </c>
      <c r="CQ192" s="50" t="s">
        <v>3741</v>
      </c>
      <c r="CR192" s="50" t="s">
        <v>26040</v>
      </c>
    </row>
    <row r="193" spans="1:96">
      <c r="A193" s="95" t="s">
        <v>149</v>
      </c>
      <c r="B193" s="50">
        <v>399475</v>
      </c>
      <c r="C193" s="50" t="s">
        <v>1111</v>
      </c>
      <c r="D193" s="50" t="s">
        <v>8271</v>
      </c>
      <c r="E193" s="50" t="str">
        <f>VLOOKUP(B193,aa!B:F,5,0)</f>
        <v>Ei CARES, Ei Mindspark</v>
      </c>
      <c r="F193" s="50">
        <f>VLOOKUP(B193,aa!B:J,9,0)</f>
        <v>3672288</v>
      </c>
      <c r="G193" s="50">
        <f>VLOOKUP(B193,aa!B:L,11,0)</f>
        <v>0</v>
      </c>
      <c r="H193" s="50">
        <f>VLOOKUP(B193,aa!B:O,14,0)</f>
        <v>1643002</v>
      </c>
      <c r="I193" s="50">
        <f>VLOOKUP(B193,aa!B:R,17,0)</f>
        <v>2029286</v>
      </c>
      <c r="K193" s="50" t="s">
        <v>643</v>
      </c>
      <c r="L193" s="50">
        <v>3557929</v>
      </c>
      <c r="M193" s="50">
        <v>3879508</v>
      </c>
      <c r="N193" s="50">
        <v>0</v>
      </c>
      <c r="O193" s="50">
        <v>0</v>
      </c>
      <c r="Q193" s="50">
        <v>1771381</v>
      </c>
      <c r="R193" s="50">
        <v>1684</v>
      </c>
      <c r="S193" s="50" t="s">
        <v>17645</v>
      </c>
      <c r="T193" s="50">
        <v>1786548</v>
      </c>
      <c r="U193" s="50">
        <v>1656</v>
      </c>
      <c r="V193" s="50" t="s">
        <v>14894</v>
      </c>
      <c r="W193" s="50" t="s">
        <v>102</v>
      </c>
      <c r="X193" s="50" t="s">
        <v>103</v>
      </c>
      <c r="Y193" s="50" t="s">
        <v>155</v>
      </c>
      <c r="AA193" s="50" t="s">
        <v>411</v>
      </c>
      <c r="AB193" s="50" t="s">
        <v>17646</v>
      </c>
      <c r="AC193" s="50" t="s">
        <v>11976</v>
      </c>
      <c r="AD193" s="50" t="s">
        <v>17646</v>
      </c>
      <c r="AE193" s="50" t="s">
        <v>11888</v>
      </c>
      <c r="AF193" s="50" t="s">
        <v>17646</v>
      </c>
      <c r="AG193" s="50" t="s">
        <v>11886</v>
      </c>
      <c r="AH193" s="50" t="s">
        <v>17646</v>
      </c>
      <c r="AI193" s="50" t="s">
        <v>17647</v>
      </c>
      <c r="AJ193" s="50" t="s">
        <v>17648</v>
      </c>
      <c r="AK193" s="50" t="s">
        <v>11902</v>
      </c>
      <c r="AL193" s="50" t="s">
        <v>17649</v>
      </c>
      <c r="AM193" s="50" t="s">
        <v>17650</v>
      </c>
      <c r="AN193" s="50" t="s">
        <v>17651</v>
      </c>
      <c r="AO193" s="50" t="s">
        <v>17652</v>
      </c>
      <c r="AP193" s="50" t="s">
        <v>17652</v>
      </c>
      <c r="AU193" s="50" t="s">
        <v>102</v>
      </c>
      <c r="AW193" s="50" t="s">
        <v>951</v>
      </c>
      <c r="AX193" s="50" t="s">
        <v>119</v>
      </c>
      <c r="AY193" s="50" t="s">
        <v>170</v>
      </c>
      <c r="AZ193" s="50" t="s">
        <v>118</v>
      </c>
      <c r="BA193" s="50" t="s">
        <v>250</v>
      </c>
      <c r="BB193" s="50" t="s">
        <v>120</v>
      </c>
      <c r="BC193" s="50" t="s">
        <v>4403</v>
      </c>
      <c r="BD193" s="50" t="s">
        <v>4404</v>
      </c>
      <c r="BE193" s="50" t="s">
        <v>174</v>
      </c>
      <c r="BF193" s="50" t="s">
        <v>4405</v>
      </c>
      <c r="BG193" s="50" t="s">
        <v>124</v>
      </c>
      <c r="BH193" s="50" t="s">
        <v>6341</v>
      </c>
      <c r="BI193" s="50" t="s">
        <v>12250</v>
      </c>
      <c r="BJ193" s="50" t="s">
        <v>127</v>
      </c>
      <c r="BK193" s="50" t="s">
        <v>17653</v>
      </c>
      <c r="BL193" s="50" t="s">
        <v>8284</v>
      </c>
      <c r="BM193" s="50" t="s">
        <v>17654</v>
      </c>
      <c r="BN193" s="50" t="s">
        <v>6341</v>
      </c>
      <c r="BO193" s="50" t="s">
        <v>1108</v>
      </c>
      <c r="BP193" s="50" t="s">
        <v>180</v>
      </c>
      <c r="BQ193" s="50" t="s">
        <v>1109</v>
      </c>
      <c r="BR193" s="50" t="s">
        <v>1110</v>
      </c>
      <c r="BS193" s="50" t="s">
        <v>1111</v>
      </c>
      <c r="BU193" s="50" t="s">
        <v>17655</v>
      </c>
      <c r="BV193" s="50" t="s">
        <v>17656</v>
      </c>
      <c r="BX193" s="50" t="s">
        <v>8290</v>
      </c>
      <c r="BY193" s="50" t="s">
        <v>8289</v>
      </c>
      <c r="BZ193" s="50" t="s">
        <v>8288</v>
      </c>
      <c r="CA193" s="50" t="s">
        <v>8287</v>
      </c>
      <c r="CB193" s="50" t="s">
        <v>8290</v>
      </c>
      <c r="CC193" s="50" t="s">
        <v>8289</v>
      </c>
      <c r="CD193" s="50" t="s">
        <v>17657</v>
      </c>
      <c r="CE193" s="50" t="s">
        <v>17658</v>
      </c>
      <c r="CF193" s="50" t="s">
        <v>17659</v>
      </c>
      <c r="CG193" s="50" t="s">
        <v>102</v>
      </c>
      <c r="CH193" s="50" t="s">
        <v>17660</v>
      </c>
      <c r="CJ193" s="50" t="s">
        <v>8295</v>
      </c>
      <c r="CL193" s="50" t="s">
        <v>4403</v>
      </c>
      <c r="CM193" s="50" t="s">
        <v>4404</v>
      </c>
      <c r="CN193" s="50" t="s">
        <v>8295</v>
      </c>
      <c r="CO193" s="50" t="s">
        <v>8296</v>
      </c>
      <c r="CP193" s="50" t="s">
        <v>8294</v>
      </c>
      <c r="CQ193" s="50" t="s">
        <v>8294</v>
      </c>
    </row>
    <row r="194" spans="1:96">
      <c r="A194" s="50" t="s">
        <v>93</v>
      </c>
      <c r="B194" s="50">
        <v>5032729</v>
      </c>
      <c r="C194" s="50" t="s">
        <v>418</v>
      </c>
      <c r="D194" s="50" t="s">
        <v>20199</v>
      </c>
      <c r="E194" s="50" t="str">
        <f>VLOOKUP(B194,aa!B:F,5,0)</f>
        <v>Ei CARES</v>
      </c>
      <c r="F194" s="50">
        <f>VLOOKUP(B194,aa!B:J,9,0)</f>
        <v>147618</v>
      </c>
      <c r="G194" s="50">
        <f>VLOOKUP(B194,aa!B:L,11,0)</f>
        <v>0</v>
      </c>
      <c r="H194" s="50">
        <f>VLOOKUP(B194,aa!B:O,14,0)</f>
        <v>147618</v>
      </c>
      <c r="I194" s="50">
        <f>VLOOKUP(B194,aa!B:R,17,0)</f>
        <v>0</v>
      </c>
      <c r="K194" s="50" t="s">
        <v>152</v>
      </c>
      <c r="L194" s="50">
        <v>161620</v>
      </c>
      <c r="M194" s="50">
        <v>161620</v>
      </c>
      <c r="N194" s="50">
        <v>0</v>
      </c>
      <c r="O194" s="50">
        <v>0</v>
      </c>
      <c r="Q194" s="50">
        <v>161620</v>
      </c>
      <c r="R194" s="50">
        <v>404</v>
      </c>
      <c r="S194" s="50" t="s">
        <v>6051</v>
      </c>
      <c r="T194" s="50">
        <v>0</v>
      </c>
      <c r="U194" s="50">
        <v>0</v>
      </c>
      <c r="W194" s="50" t="s">
        <v>102</v>
      </c>
      <c r="X194" s="50" t="s">
        <v>103</v>
      </c>
      <c r="Y194" s="50" t="s">
        <v>104</v>
      </c>
      <c r="AA194" s="50" t="s">
        <v>1305</v>
      </c>
      <c r="AB194" s="50" t="s">
        <v>20200</v>
      </c>
      <c r="AC194" s="50" t="s">
        <v>1408</v>
      </c>
      <c r="AD194" s="50" t="s">
        <v>20200</v>
      </c>
      <c r="AE194" s="50" t="s">
        <v>109</v>
      </c>
      <c r="AF194" s="50" t="s">
        <v>102</v>
      </c>
      <c r="AG194" s="50" t="s">
        <v>109</v>
      </c>
      <c r="AH194" s="50" t="s">
        <v>102</v>
      </c>
      <c r="AI194" s="50" t="s">
        <v>102</v>
      </c>
      <c r="AJ194" s="50" t="s">
        <v>4813</v>
      </c>
      <c r="AK194" s="50" t="s">
        <v>4813</v>
      </c>
      <c r="AL194" s="50" t="s">
        <v>20201</v>
      </c>
      <c r="AM194" s="50" t="s">
        <v>20202</v>
      </c>
      <c r="AN194" s="50" t="s">
        <v>20203</v>
      </c>
      <c r="AO194" s="50" t="s">
        <v>13347</v>
      </c>
      <c r="AP194" s="50" t="s">
        <v>13347</v>
      </c>
      <c r="AU194" s="50" t="s">
        <v>102</v>
      </c>
      <c r="AW194" s="50" t="s">
        <v>104</v>
      </c>
      <c r="AX194" s="50" t="s">
        <v>119</v>
      </c>
      <c r="AY194" s="50" t="s">
        <v>170</v>
      </c>
      <c r="AZ194" s="50" t="s">
        <v>118</v>
      </c>
      <c r="BB194" s="50" t="s">
        <v>120</v>
      </c>
      <c r="BC194" s="50" t="s">
        <v>409</v>
      </c>
      <c r="BD194" s="50" t="s">
        <v>410</v>
      </c>
      <c r="BE194" s="50" t="s">
        <v>212</v>
      </c>
      <c r="BF194" s="50" t="s">
        <v>410</v>
      </c>
      <c r="BG194" s="50" t="s">
        <v>124</v>
      </c>
      <c r="BH194" s="50" t="s">
        <v>12023</v>
      </c>
      <c r="BI194" s="50" t="s">
        <v>11889</v>
      </c>
      <c r="BJ194" s="50" t="s">
        <v>127</v>
      </c>
      <c r="BK194" s="50" t="s">
        <v>20204</v>
      </c>
      <c r="BL194" s="50" t="s">
        <v>20205</v>
      </c>
      <c r="BM194" s="50" t="s">
        <v>20206</v>
      </c>
      <c r="BN194" s="50" t="s">
        <v>4836</v>
      </c>
      <c r="BO194" s="50" t="s">
        <v>1699</v>
      </c>
      <c r="BP194" s="50" t="s">
        <v>132</v>
      </c>
      <c r="BQ194" s="50" t="s">
        <v>1700</v>
      </c>
      <c r="BR194" s="50" t="s">
        <v>1701</v>
      </c>
      <c r="BS194" s="50" t="s">
        <v>1702</v>
      </c>
      <c r="BU194" s="50" t="s">
        <v>20207</v>
      </c>
      <c r="BV194" s="50" t="s">
        <v>20208</v>
      </c>
      <c r="BW194" s="50" t="s">
        <v>138</v>
      </c>
      <c r="BX194" s="50" t="s">
        <v>20209</v>
      </c>
      <c r="BY194" s="50" t="s">
        <v>20210</v>
      </c>
      <c r="BZ194" s="50" t="s">
        <v>20209</v>
      </c>
      <c r="CA194" s="50" t="s">
        <v>20208</v>
      </c>
      <c r="CB194" s="50" t="s">
        <v>20209</v>
      </c>
      <c r="CC194" s="50" t="s">
        <v>20210</v>
      </c>
      <c r="CD194" s="50" t="s">
        <v>20211</v>
      </c>
      <c r="CE194" s="50" t="s">
        <v>20209</v>
      </c>
      <c r="CF194" s="50" t="s">
        <v>20212</v>
      </c>
      <c r="CG194" s="50" t="s">
        <v>6457</v>
      </c>
      <c r="CH194" s="50" t="s">
        <v>20213</v>
      </c>
      <c r="CJ194" s="50" t="s">
        <v>20214</v>
      </c>
      <c r="CK194" s="50" t="s">
        <v>20213</v>
      </c>
      <c r="CL194" s="50" t="s">
        <v>409</v>
      </c>
      <c r="CM194" s="50" t="s">
        <v>410</v>
      </c>
      <c r="CN194" s="50" t="s">
        <v>20214</v>
      </c>
      <c r="CP194" s="50" t="s">
        <v>20215</v>
      </c>
      <c r="CQ194" s="50" t="s">
        <v>20215</v>
      </c>
    </row>
    <row r="195" spans="1:96">
      <c r="A195" s="95" t="s">
        <v>26356</v>
      </c>
      <c r="B195" s="50">
        <v>5018344</v>
      </c>
      <c r="C195" s="50" t="s">
        <v>18464</v>
      </c>
      <c r="D195" s="50" t="s">
        <v>10689</v>
      </c>
      <c r="E195" s="50" t="e">
        <f>VLOOKUP(B195,aa!B:F,5,0)</f>
        <v>#N/A</v>
      </c>
      <c r="F195" s="50" t="e">
        <f>VLOOKUP(B195,aa!B:J,9,0)</f>
        <v>#N/A</v>
      </c>
      <c r="G195" s="50" t="e">
        <f>VLOOKUP(B195,aa!B:L,11,0)</f>
        <v>#N/A</v>
      </c>
      <c r="H195" s="50" t="e">
        <f>VLOOKUP(B195,aa!B:O,14,0)</f>
        <v>#N/A</v>
      </c>
      <c r="I195" s="50" t="e">
        <f>VLOOKUP(B195,aa!B:R,17,0)</f>
        <v>#N/A</v>
      </c>
      <c r="K195" s="50" t="s">
        <v>97</v>
      </c>
      <c r="L195" s="50">
        <v>0</v>
      </c>
      <c r="M195" s="50">
        <v>0</v>
      </c>
      <c r="N195" s="50">
        <v>0</v>
      </c>
      <c r="O195" s="50">
        <v>18</v>
      </c>
      <c r="P195" s="50" t="s">
        <v>102</v>
      </c>
      <c r="Q195" s="50">
        <v>0</v>
      </c>
      <c r="R195" s="50">
        <v>0</v>
      </c>
      <c r="T195" s="50">
        <v>0</v>
      </c>
      <c r="U195" s="50">
        <v>0</v>
      </c>
      <c r="W195" s="50" t="s">
        <v>102</v>
      </c>
      <c r="X195" s="50" t="s">
        <v>275</v>
      </c>
      <c r="Z195" s="50" t="s">
        <v>4045</v>
      </c>
      <c r="AA195" s="50" t="s">
        <v>109</v>
      </c>
      <c r="AB195" s="50" t="s">
        <v>102</v>
      </c>
      <c r="AC195" s="50" t="s">
        <v>109</v>
      </c>
      <c r="AD195" s="50" t="s">
        <v>102</v>
      </c>
      <c r="AE195" s="50" t="s">
        <v>109</v>
      </c>
      <c r="AF195" s="50" t="s">
        <v>102</v>
      </c>
      <c r="AG195" s="50" t="s">
        <v>109</v>
      </c>
      <c r="AH195" s="50" t="s">
        <v>102</v>
      </c>
      <c r="AI195" s="50" t="s">
        <v>102</v>
      </c>
      <c r="AL195" s="50" t="s">
        <v>102</v>
      </c>
      <c r="AM195" s="50" t="s">
        <v>102</v>
      </c>
      <c r="AN195" s="50" t="s">
        <v>102</v>
      </c>
      <c r="AO195" s="50" t="s">
        <v>115</v>
      </c>
      <c r="AP195" s="50" t="s">
        <v>115</v>
      </c>
      <c r="AU195" s="50" t="s">
        <v>117</v>
      </c>
      <c r="AV195" s="50" t="s">
        <v>250</v>
      </c>
      <c r="AW195" s="50" t="s">
        <v>102</v>
      </c>
      <c r="AX195" s="50" t="s">
        <v>119</v>
      </c>
      <c r="BB195" s="50" t="s">
        <v>9282</v>
      </c>
      <c r="BC195" s="50" t="s">
        <v>9082</v>
      </c>
      <c r="BD195" s="50" t="s">
        <v>10691</v>
      </c>
      <c r="BE195" s="50" t="s">
        <v>122</v>
      </c>
      <c r="BF195" s="50" t="s">
        <v>253</v>
      </c>
      <c r="BG195" s="50" t="s">
        <v>124</v>
      </c>
      <c r="BH195" s="50" t="s">
        <v>232</v>
      </c>
      <c r="BI195" s="50" t="s">
        <v>16918</v>
      </c>
      <c r="BJ195" s="50" t="s">
        <v>127</v>
      </c>
      <c r="BK195" s="50" t="s">
        <v>19646</v>
      </c>
      <c r="BL195" s="50" t="s">
        <v>10693</v>
      </c>
      <c r="BM195" s="50" t="s">
        <v>19647</v>
      </c>
      <c r="BN195" s="50" t="s">
        <v>8186</v>
      </c>
      <c r="BO195" s="50" t="s">
        <v>3267</v>
      </c>
      <c r="BP195" s="50" t="s">
        <v>258</v>
      </c>
      <c r="BQ195" s="50" t="s">
        <v>3268</v>
      </c>
      <c r="BR195" s="50" t="s">
        <v>3269</v>
      </c>
      <c r="BS195" s="50" t="s">
        <v>135</v>
      </c>
      <c r="BU195" s="50" t="s">
        <v>19648</v>
      </c>
      <c r="BV195" s="50" t="s">
        <v>18607</v>
      </c>
      <c r="BW195" s="50" t="s">
        <v>354</v>
      </c>
      <c r="BX195" s="50" t="s">
        <v>18608</v>
      </c>
      <c r="BY195" s="50" t="s">
        <v>18609</v>
      </c>
      <c r="BZ195" s="50" t="s">
        <v>9287</v>
      </c>
      <c r="CA195" s="50" t="s">
        <v>18607</v>
      </c>
      <c r="CB195" s="50" t="s">
        <v>18608</v>
      </c>
      <c r="CC195" s="50" t="s">
        <v>18609</v>
      </c>
      <c r="CD195" s="50" t="s">
        <v>18607</v>
      </c>
      <c r="CE195" s="50" t="s">
        <v>18608</v>
      </c>
      <c r="CF195" s="50" t="s">
        <v>18609</v>
      </c>
      <c r="CG195" s="50" t="s">
        <v>102</v>
      </c>
      <c r="CH195" s="50" t="s">
        <v>19649</v>
      </c>
      <c r="CJ195" s="50" t="s">
        <v>9102</v>
      </c>
      <c r="CL195" s="50" t="s">
        <v>10704</v>
      </c>
      <c r="CM195" s="50" t="s">
        <v>10691</v>
      </c>
      <c r="CN195" s="50" t="s">
        <v>9291</v>
      </c>
      <c r="CP195" s="50" t="s">
        <v>10702</v>
      </c>
      <c r="CQ195" s="50" t="s">
        <v>10703</v>
      </c>
    </row>
    <row r="196" spans="1:96">
      <c r="A196" s="95" t="s">
        <v>149</v>
      </c>
      <c r="B196" s="50">
        <v>1021816</v>
      </c>
      <c r="C196" s="50" t="s">
        <v>11898</v>
      </c>
      <c r="D196" s="50" t="s">
        <v>231</v>
      </c>
      <c r="E196" s="50" t="e">
        <f>VLOOKUP(B196,aa!B:F,5,0)</f>
        <v>#N/A</v>
      </c>
      <c r="F196" s="50" t="e">
        <f>VLOOKUP(B196,aa!B:J,9,0)</f>
        <v>#N/A</v>
      </c>
      <c r="G196" s="50" t="e">
        <f>VLOOKUP(B196,aa!B:L,11,0)</f>
        <v>#N/A</v>
      </c>
      <c r="H196" s="50" t="e">
        <f>VLOOKUP(B196,aa!B:O,14,0)</f>
        <v>#N/A</v>
      </c>
      <c r="I196" s="50" t="e">
        <f>VLOOKUP(B196,aa!B:R,17,0)</f>
        <v>#N/A</v>
      </c>
      <c r="K196" s="50" t="s">
        <v>11971</v>
      </c>
      <c r="L196" s="50">
        <v>297106</v>
      </c>
      <c r="M196" s="50">
        <v>321465</v>
      </c>
      <c r="N196" s="50">
        <v>36847</v>
      </c>
      <c r="O196" s="50">
        <v>61</v>
      </c>
      <c r="P196" s="50" t="s">
        <v>11972</v>
      </c>
      <c r="Q196" s="50">
        <v>124932</v>
      </c>
      <c r="R196" s="50">
        <v>66</v>
      </c>
      <c r="S196" s="50" t="s">
        <v>11973</v>
      </c>
      <c r="T196" s="50">
        <v>135327</v>
      </c>
      <c r="U196" s="50">
        <v>66</v>
      </c>
      <c r="V196" s="50" t="s">
        <v>11974</v>
      </c>
      <c r="W196" s="50" t="s">
        <v>102</v>
      </c>
      <c r="X196" s="50" t="s">
        <v>103</v>
      </c>
      <c r="Y196" s="50" t="s">
        <v>155</v>
      </c>
      <c r="AA196" s="50" t="s">
        <v>1941</v>
      </c>
      <c r="AB196" s="50" t="s">
        <v>11975</v>
      </c>
      <c r="AC196" s="50" t="s">
        <v>11976</v>
      </c>
      <c r="AD196" s="50" t="s">
        <v>11975</v>
      </c>
      <c r="AE196" s="50" t="s">
        <v>11888</v>
      </c>
      <c r="AF196" s="50" t="s">
        <v>11975</v>
      </c>
      <c r="AG196" s="50" t="s">
        <v>11886</v>
      </c>
      <c r="AH196" s="50" t="s">
        <v>11975</v>
      </c>
      <c r="AI196" s="50" t="s">
        <v>102</v>
      </c>
      <c r="AL196" s="50" t="s">
        <v>11977</v>
      </c>
      <c r="AM196" s="50" t="s">
        <v>102</v>
      </c>
      <c r="AN196" s="50" t="s">
        <v>11977</v>
      </c>
      <c r="AO196" s="50" t="s">
        <v>11978</v>
      </c>
      <c r="AP196" s="50" t="s">
        <v>11978</v>
      </c>
      <c r="AU196" s="50" t="s">
        <v>247</v>
      </c>
      <c r="AV196" s="50" t="s">
        <v>118</v>
      </c>
      <c r="AW196" s="50" t="s">
        <v>248</v>
      </c>
      <c r="AX196" s="50" t="s">
        <v>119</v>
      </c>
      <c r="AZ196" s="50" t="s">
        <v>250</v>
      </c>
      <c r="BA196" s="50" t="s">
        <v>250</v>
      </c>
      <c r="BB196" s="50" t="s">
        <v>171</v>
      </c>
      <c r="BC196" s="50" t="s">
        <v>251</v>
      </c>
      <c r="BD196" s="50" t="s">
        <v>252</v>
      </c>
      <c r="BE196" s="50" t="s">
        <v>122</v>
      </c>
      <c r="BF196" s="50" t="s">
        <v>253</v>
      </c>
      <c r="BG196" s="50" t="s">
        <v>124</v>
      </c>
      <c r="BH196" s="50" t="s">
        <v>11970</v>
      </c>
      <c r="BI196" s="50" t="s">
        <v>11979</v>
      </c>
      <c r="BJ196" s="50" t="s">
        <v>127</v>
      </c>
      <c r="BK196" s="50" t="s">
        <v>11980</v>
      </c>
      <c r="BL196" s="50" t="s">
        <v>255</v>
      </c>
      <c r="BM196" s="50" t="s">
        <v>11981</v>
      </c>
      <c r="BN196" s="50" t="s">
        <v>11970</v>
      </c>
      <c r="BO196" s="50" t="s">
        <v>11982</v>
      </c>
      <c r="BP196" s="50" t="s">
        <v>696</v>
      </c>
      <c r="BQ196" s="50" t="s">
        <v>11983</v>
      </c>
      <c r="BR196" s="50" t="s">
        <v>11984</v>
      </c>
      <c r="BS196" s="50" t="s">
        <v>261</v>
      </c>
      <c r="BU196" s="50" t="s">
        <v>11985</v>
      </c>
      <c r="BV196" s="50" t="s">
        <v>11986</v>
      </c>
      <c r="BW196" s="50" t="s">
        <v>3121</v>
      </c>
      <c r="BX196" s="50" t="s">
        <v>11987</v>
      </c>
      <c r="BY196" s="50" t="s">
        <v>265</v>
      </c>
      <c r="BZ196" s="50" t="s">
        <v>264</v>
      </c>
      <c r="CA196" s="50" t="s">
        <v>11988</v>
      </c>
      <c r="CB196" s="50" t="s">
        <v>11989</v>
      </c>
      <c r="CC196" s="50" t="s">
        <v>11990</v>
      </c>
      <c r="CD196" s="50" t="s">
        <v>11991</v>
      </c>
      <c r="CE196" s="50" t="s">
        <v>11992</v>
      </c>
      <c r="CF196" s="50" t="s">
        <v>11993</v>
      </c>
      <c r="CG196" s="50" t="s">
        <v>102</v>
      </c>
      <c r="CH196" s="50" t="s">
        <v>11994</v>
      </c>
      <c r="CJ196" s="50" t="s">
        <v>270</v>
      </c>
      <c r="CL196" s="50" t="s">
        <v>251</v>
      </c>
      <c r="CM196" s="50" t="s">
        <v>252</v>
      </c>
      <c r="CN196" s="50" t="s">
        <v>270</v>
      </c>
      <c r="CP196" s="50" t="s">
        <v>269</v>
      </c>
      <c r="CQ196" s="50" t="s">
        <v>269</v>
      </c>
    </row>
    <row r="197" spans="1:96">
      <c r="A197" s="95" t="s">
        <v>26356</v>
      </c>
      <c r="B197" s="50">
        <v>5018142</v>
      </c>
      <c r="C197" s="50" t="s">
        <v>11995</v>
      </c>
      <c r="D197" s="50" t="s">
        <v>10469</v>
      </c>
      <c r="E197" s="50" t="e">
        <f>VLOOKUP(B197,aa!B:F,5,0)</f>
        <v>#N/A</v>
      </c>
      <c r="F197" s="50" t="e">
        <f>VLOOKUP(B197,aa!B:J,9,0)</f>
        <v>#N/A</v>
      </c>
      <c r="G197" s="50" t="e">
        <f>VLOOKUP(B197,aa!B:L,11,0)</f>
        <v>#N/A</v>
      </c>
      <c r="H197" s="50" t="e">
        <f>VLOOKUP(B197,aa!B:O,14,0)</f>
        <v>#N/A</v>
      </c>
      <c r="I197" s="50" t="e">
        <f>VLOOKUP(B197,aa!B:R,17,0)</f>
        <v>#N/A</v>
      </c>
      <c r="K197" s="50" t="s">
        <v>97</v>
      </c>
      <c r="L197" s="50">
        <v>0</v>
      </c>
      <c r="M197" s="50">
        <v>0</v>
      </c>
      <c r="N197" s="50">
        <v>0</v>
      </c>
      <c r="O197" s="50">
        <v>4</v>
      </c>
      <c r="P197" s="50" t="s">
        <v>102</v>
      </c>
      <c r="Q197" s="50">
        <v>0</v>
      </c>
      <c r="R197" s="50">
        <v>0</v>
      </c>
      <c r="T197" s="50">
        <v>0</v>
      </c>
      <c r="U197" s="50">
        <v>0</v>
      </c>
      <c r="W197" s="50" t="s">
        <v>102</v>
      </c>
      <c r="X197" s="50" t="s">
        <v>275</v>
      </c>
      <c r="Z197" s="50" t="s">
        <v>4045</v>
      </c>
      <c r="AA197" s="50" t="s">
        <v>109</v>
      </c>
      <c r="AB197" s="50" t="s">
        <v>102</v>
      </c>
      <c r="AC197" s="50" t="s">
        <v>109</v>
      </c>
      <c r="AD197" s="50" t="s">
        <v>102</v>
      </c>
      <c r="AE197" s="50" t="s">
        <v>109</v>
      </c>
      <c r="AF197" s="50" t="s">
        <v>102</v>
      </c>
      <c r="AG197" s="50" t="s">
        <v>109</v>
      </c>
      <c r="AH197" s="50" t="s">
        <v>102</v>
      </c>
      <c r="AI197" s="50" t="s">
        <v>102</v>
      </c>
      <c r="AL197" s="50" t="s">
        <v>102</v>
      </c>
      <c r="AM197" s="50" t="s">
        <v>102</v>
      </c>
      <c r="AN197" s="50" t="s">
        <v>102</v>
      </c>
      <c r="AO197" s="50" t="s">
        <v>115</v>
      </c>
      <c r="AP197" s="50" t="s">
        <v>115</v>
      </c>
      <c r="AU197" s="50" t="s">
        <v>117</v>
      </c>
      <c r="AV197" s="50" t="s">
        <v>250</v>
      </c>
      <c r="AW197" s="50" t="s">
        <v>102</v>
      </c>
      <c r="AX197" s="50" t="s">
        <v>119</v>
      </c>
      <c r="BB197" s="50" t="s">
        <v>209</v>
      </c>
      <c r="BC197" s="50" t="s">
        <v>284</v>
      </c>
      <c r="BD197" s="50" t="s">
        <v>285</v>
      </c>
      <c r="BE197" s="50" t="s">
        <v>212</v>
      </c>
      <c r="BF197" s="50" t="s">
        <v>286</v>
      </c>
      <c r="BG197" s="50" t="s">
        <v>124</v>
      </c>
      <c r="BH197" s="50" t="s">
        <v>12023</v>
      </c>
      <c r="BI197" s="50" t="s">
        <v>11889</v>
      </c>
      <c r="BJ197" s="50" t="s">
        <v>127</v>
      </c>
      <c r="BK197" s="50" t="s">
        <v>19391</v>
      </c>
      <c r="BL197" s="50" t="s">
        <v>10472</v>
      </c>
      <c r="BM197" s="50" t="s">
        <v>19392</v>
      </c>
      <c r="BN197" s="50" t="s">
        <v>4045</v>
      </c>
      <c r="BO197" s="50" t="s">
        <v>956</v>
      </c>
      <c r="BP197" s="50" t="s">
        <v>258</v>
      </c>
      <c r="BQ197" s="50" t="s">
        <v>958</v>
      </c>
      <c r="BR197" s="50" t="s">
        <v>959</v>
      </c>
      <c r="BS197" s="50" t="s">
        <v>4765</v>
      </c>
      <c r="BU197" s="50" t="s">
        <v>19393</v>
      </c>
      <c r="BV197" s="50" t="s">
        <v>3585</v>
      </c>
      <c r="BW197" s="50" t="s">
        <v>598</v>
      </c>
      <c r="BX197" s="50" t="s">
        <v>6400</v>
      </c>
      <c r="BY197" s="50" t="s">
        <v>226</v>
      </c>
      <c r="CA197" s="50" t="s">
        <v>19394</v>
      </c>
      <c r="CB197" s="50" t="s">
        <v>19395</v>
      </c>
      <c r="CC197" s="50" t="s">
        <v>10477</v>
      </c>
      <c r="CD197" s="50" t="s">
        <v>19394</v>
      </c>
      <c r="CE197" s="50" t="s">
        <v>19395</v>
      </c>
      <c r="CF197" s="50" t="s">
        <v>10477</v>
      </c>
      <c r="CG197" s="50" t="s">
        <v>102</v>
      </c>
      <c r="CH197" s="50" t="s">
        <v>19396</v>
      </c>
      <c r="CJ197" s="50" t="s">
        <v>10479</v>
      </c>
      <c r="CL197" s="50" t="s">
        <v>284</v>
      </c>
      <c r="CM197" s="50" t="s">
        <v>285</v>
      </c>
      <c r="CN197" s="50" t="s">
        <v>10479</v>
      </c>
      <c r="CP197" s="50" t="s">
        <v>10480</v>
      </c>
      <c r="CQ197" s="50" t="s">
        <v>10480</v>
      </c>
      <c r="CR197" s="50" t="s">
        <v>26048</v>
      </c>
    </row>
    <row r="198" spans="1:96">
      <c r="A198" s="50" t="s">
        <v>93</v>
      </c>
      <c r="B198" s="50">
        <v>621568</v>
      </c>
      <c r="C198" s="50" t="s">
        <v>12030</v>
      </c>
      <c r="D198" s="50" t="s">
        <v>21281</v>
      </c>
      <c r="E198" s="50" t="e">
        <f>VLOOKUP(B198,aa!B:F,5,0)</f>
        <v>#N/A</v>
      </c>
      <c r="F198" s="50" t="e">
        <f>VLOOKUP(B198,aa!B:J,9,0)</f>
        <v>#N/A</v>
      </c>
      <c r="G198" s="50" t="e">
        <f>VLOOKUP(B198,aa!B:L,11,0)</f>
        <v>#N/A</v>
      </c>
      <c r="H198" s="50" t="e">
        <f>VLOOKUP(B198,aa!B:O,14,0)</f>
        <v>#N/A</v>
      </c>
      <c r="I198" s="50" t="e">
        <f>VLOOKUP(B198,aa!B:R,17,0)</f>
        <v>#N/A</v>
      </c>
      <c r="K198" s="50" t="s">
        <v>152</v>
      </c>
      <c r="L198" s="50">
        <v>871184</v>
      </c>
      <c r="M198" s="50">
        <v>871184</v>
      </c>
      <c r="N198" s="50">
        <v>0</v>
      </c>
      <c r="O198" s="50">
        <v>0</v>
      </c>
      <c r="Q198" s="50">
        <v>871184</v>
      </c>
      <c r="R198" s="50">
        <v>672</v>
      </c>
      <c r="S198" s="50" t="s">
        <v>21282</v>
      </c>
      <c r="T198" s="50">
        <v>0</v>
      </c>
      <c r="U198" s="50">
        <v>0</v>
      </c>
      <c r="W198" s="50" t="s">
        <v>102</v>
      </c>
      <c r="X198" s="50" t="s">
        <v>103</v>
      </c>
      <c r="Y198" s="50" t="s">
        <v>155</v>
      </c>
      <c r="AA198" s="50" t="s">
        <v>3258</v>
      </c>
      <c r="AB198" s="50" t="s">
        <v>21283</v>
      </c>
      <c r="AC198" s="50" t="s">
        <v>1408</v>
      </c>
      <c r="AD198" s="50" t="s">
        <v>21283</v>
      </c>
      <c r="AE198" s="50" t="s">
        <v>12289</v>
      </c>
      <c r="AF198" s="50" t="s">
        <v>21283</v>
      </c>
      <c r="AG198" s="50" t="s">
        <v>12393</v>
      </c>
      <c r="AH198" s="50" t="s">
        <v>21283</v>
      </c>
      <c r="AI198" s="50" t="s">
        <v>21284</v>
      </c>
      <c r="AJ198" s="50" t="s">
        <v>2950</v>
      </c>
      <c r="AK198" s="50" t="s">
        <v>11911</v>
      </c>
      <c r="AL198" s="50" t="s">
        <v>21285</v>
      </c>
      <c r="AM198" s="50" t="s">
        <v>21286</v>
      </c>
      <c r="AN198" s="50" t="s">
        <v>21287</v>
      </c>
      <c r="AO198" s="50" t="s">
        <v>21288</v>
      </c>
      <c r="AP198" s="50" t="s">
        <v>21288</v>
      </c>
      <c r="AU198" s="50" t="s">
        <v>102</v>
      </c>
      <c r="AW198" s="50" t="s">
        <v>155</v>
      </c>
      <c r="AX198" s="50" t="s">
        <v>447</v>
      </c>
      <c r="AY198" s="50" t="s">
        <v>170</v>
      </c>
      <c r="AZ198" s="50" t="s">
        <v>118</v>
      </c>
      <c r="BB198" s="50" t="s">
        <v>171</v>
      </c>
      <c r="BC198" s="50" t="s">
        <v>3490</v>
      </c>
      <c r="BD198" s="50" t="s">
        <v>345</v>
      </c>
      <c r="BE198" s="50" t="s">
        <v>122</v>
      </c>
      <c r="BF198" s="50" t="s">
        <v>346</v>
      </c>
      <c r="BG198" s="50" t="s">
        <v>124</v>
      </c>
      <c r="BH198" s="50" t="s">
        <v>12023</v>
      </c>
      <c r="BI198" s="50" t="s">
        <v>11889</v>
      </c>
      <c r="BJ198" s="50" t="s">
        <v>127</v>
      </c>
      <c r="BK198" s="50" t="s">
        <v>21289</v>
      </c>
      <c r="BL198" s="50" t="s">
        <v>21290</v>
      </c>
      <c r="BM198" s="50" t="s">
        <v>21291</v>
      </c>
      <c r="BN198" s="50" t="s">
        <v>4045</v>
      </c>
      <c r="BO198" s="50" t="s">
        <v>12226</v>
      </c>
      <c r="BP198" s="50" t="s">
        <v>350</v>
      </c>
      <c r="BQ198" s="50" t="s">
        <v>12228</v>
      </c>
      <c r="BR198" s="50" t="s">
        <v>12229</v>
      </c>
      <c r="BS198" s="50" t="s">
        <v>328</v>
      </c>
      <c r="BU198" s="50" t="s">
        <v>21292</v>
      </c>
      <c r="BV198" s="50" t="s">
        <v>21293</v>
      </c>
      <c r="BW198" s="50" t="s">
        <v>138</v>
      </c>
      <c r="BX198" s="50" t="s">
        <v>21294</v>
      </c>
      <c r="BY198" s="50" t="s">
        <v>21295</v>
      </c>
      <c r="BZ198" s="50" t="s">
        <v>21296</v>
      </c>
      <c r="CA198" s="50" t="s">
        <v>21297</v>
      </c>
      <c r="CB198" s="50" t="s">
        <v>21294</v>
      </c>
      <c r="CC198" s="50" t="s">
        <v>21295</v>
      </c>
      <c r="CD198" s="50" t="s">
        <v>21297</v>
      </c>
      <c r="CE198" s="50" t="s">
        <v>21294</v>
      </c>
      <c r="CF198" s="50" t="s">
        <v>21295</v>
      </c>
      <c r="CG198" s="50" t="s">
        <v>3968</v>
      </c>
      <c r="CH198" s="50" t="s">
        <v>21298</v>
      </c>
      <c r="CJ198" s="50" t="s">
        <v>12240</v>
      </c>
      <c r="CK198" s="50" t="s">
        <v>21299</v>
      </c>
      <c r="CL198" s="50" t="s">
        <v>3490</v>
      </c>
      <c r="CM198" s="50" t="s">
        <v>345</v>
      </c>
      <c r="CN198" s="50" t="s">
        <v>12240</v>
      </c>
      <c r="CO198" s="50" t="s">
        <v>21300</v>
      </c>
      <c r="CP198" s="50" t="s">
        <v>21301</v>
      </c>
      <c r="CQ198" s="50" t="s">
        <v>21301</v>
      </c>
    </row>
    <row r="199" spans="1:96">
      <c r="A199" s="95" t="s">
        <v>149</v>
      </c>
      <c r="B199" s="50">
        <v>18460</v>
      </c>
      <c r="C199" s="50" t="s">
        <v>384</v>
      </c>
      <c r="D199" s="50" t="s">
        <v>2073</v>
      </c>
      <c r="E199" s="50" t="str">
        <f>VLOOKUP(B199,aa!B:F,5,0)</f>
        <v>Ei CARES, Ei Mindspark</v>
      </c>
      <c r="F199" s="50">
        <f>VLOOKUP(B199,aa!B:J,9,0)</f>
        <v>707761</v>
      </c>
      <c r="G199" s="50">
        <f>VLOOKUP(B199,aa!B:L,11,0)</f>
        <v>0</v>
      </c>
      <c r="H199" s="50">
        <f>VLOOKUP(B199,aa!B:O,14,0)</f>
        <v>0</v>
      </c>
      <c r="I199" s="50">
        <f>VLOOKUP(B199,aa!B:R,17,0)</f>
        <v>707761</v>
      </c>
      <c r="K199" s="50" t="s">
        <v>848</v>
      </c>
      <c r="L199" s="50">
        <v>664421</v>
      </c>
      <c r="M199" s="50">
        <v>784017</v>
      </c>
      <c r="N199" s="50">
        <v>0</v>
      </c>
      <c r="O199" s="50">
        <v>0</v>
      </c>
      <c r="Q199" s="50">
        <v>0</v>
      </c>
      <c r="R199" s="50">
        <v>0</v>
      </c>
      <c r="T199" s="50">
        <v>664421</v>
      </c>
      <c r="U199" s="50">
        <v>358</v>
      </c>
      <c r="V199" s="50" t="s">
        <v>13031</v>
      </c>
      <c r="W199" s="50" t="s">
        <v>102</v>
      </c>
      <c r="X199" s="50" t="s">
        <v>103</v>
      </c>
      <c r="Y199" s="50" t="s">
        <v>155</v>
      </c>
      <c r="AA199" s="50" t="s">
        <v>1305</v>
      </c>
      <c r="AB199" s="50" t="s">
        <v>13032</v>
      </c>
      <c r="AC199" s="50" t="s">
        <v>13033</v>
      </c>
      <c r="AD199" s="50" t="s">
        <v>13032</v>
      </c>
      <c r="AE199" s="50" t="s">
        <v>13034</v>
      </c>
      <c r="AF199" s="50" t="s">
        <v>13032</v>
      </c>
      <c r="AG199" s="50" t="s">
        <v>11886</v>
      </c>
      <c r="AH199" s="50" t="s">
        <v>13032</v>
      </c>
      <c r="AI199" s="50" t="s">
        <v>13035</v>
      </c>
      <c r="AJ199" s="50" t="s">
        <v>13036</v>
      </c>
      <c r="AK199" s="50" t="s">
        <v>12680</v>
      </c>
      <c r="AL199" s="50" t="s">
        <v>13037</v>
      </c>
      <c r="AM199" s="50" t="s">
        <v>13038</v>
      </c>
      <c r="AN199" s="50" t="s">
        <v>13039</v>
      </c>
      <c r="AO199" s="50" t="s">
        <v>13040</v>
      </c>
      <c r="AP199" s="50" t="s">
        <v>13040</v>
      </c>
      <c r="AU199" s="50" t="s">
        <v>102</v>
      </c>
      <c r="AW199" s="50" t="s">
        <v>102</v>
      </c>
      <c r="AX199" s="50" t="s">
        <v>119</v>
      </c>
      <c r="BA199" s="50" t="s">
        <v>250</v>
      </c>
      <c r="BB199" s="50" t="s">
        <v>120</v>
      </c>
      <c r="BC199" s="50" t="s">
        <v>375</v>
      </c>
      <c r="BD199" s="50" t="s">
        <v>376</v>
      </c>
      <c r="BE199" s="50" t="s">
        <v>174</v>
      </c>
      <c r="BF199" s="50" t="s">
        <v>376</v>
      </c>
      <c r="BG199" s="50" t="s">
        <v>124</v>
      </c>
      <c r="BH199" s="50" t="s">
        <v>12926</v>
      </c>
      <c r="BI199" s="50" t="s">
        <v>11889</v>
      </c>
      <c r="BJ199" s="50" t="s">
        <v>127</v>
      </c>
      <c r="BK199" s="50" t="s">
        <v>13041</v>
      </c>
      <c r="BL199" s="50" t="s">
        <v>2089</v>
      </c>
      <c r="BM199" s="50" t="s">
        <v>13042</v>
      </c>
      <c r="BN199" s="50" t="s">
        <v>6177</v>
      </c>
      <c r="BO199" s="50" t="s">
        <v>1917</v>
      </c>
      <c r="BP199" s="50" t="s">
        <v>180</v>
      </c>
      <c r="BQ199" s="50" t="s">
        <v>1918</v>
      </c>
      <c r="BR199" s="50" t="s">
        <v>1919</v>
      </c>
      <c r="BS199" s="50" t="s">
        <v>183</v>
      </c>
      <c r="BU199" s="50" t="s">
        <v>13043</v>
      </c>
      <c r="BV199" s="50" t="s">
        <v>13044</v>
      </c>
      <c r="BW199" s="50" t="s">
        <v>598</v>
      </c>
      <c r="BX199" s="50" t="s">
        <v>2093</v>
      </c>
      <c r="BY199" s="50" t="s">
        <v>2097</v>
      </c>
      <c r="BZ199" s="50" t="s">
        <v>2095</v>
      </c>
      <c r="CA199" s="50" t="s">
        <v>13044</v>
      </c>
      <c r="CB199" s="50" t="s">
        <v>2093</v>
      </c>
      <c r="CC199" s="50" t="s">
        <v>2097</v>
      </c>
      <c r="CD199" s="50" t="s">
        <v>13044</v>
      </c>
      <c r="CE199" s="50" t="s">
        <v>2093</v>
      </c>
      <c r="CF199" s="50" t="s">
        <v>2097</v>
      </c>
      <c r="CG199" s="50" t="s">
        <v>102</v>
      </c>
      <c r="CH199" s="50" t="s">
        <v>2101</v>
      </c>
      <c r="CJ199" s="50" t="s">
        <v>392</v>
      </c>
      <c r="CL199" s="50" t="s">
        <v>375</v>
      </c>
      <c r="CM199" s="50" t="s">
        <v>376</v>
      </c>
      <c r="CN199" s="50" t="s">
        <v>392</v>
      </c>
      <c r="CO199" s="50" t="s">
        <v>2102</v>
      </c>
      <c r="CP199" s="50" t="s">
        <v>2101</v>
      </c>
      <c r="CQ199" s="50" t="s">
        <v>2101</v>
      </c>
    </row>
    <row r="200" spans="1:96">
      <c r="A200" s="95" t="s">
        <v>149</v>
      </c>
      <c r="B200" s="50">
        <v>205449</v>
      </c>
      <c r="C200" s="50" t="s">
        <v>2525</v>
      </c>
      <c r="D200" s="50" t="s">
        <v>2502</v>
      </c>
      <c r="E200" s="50" t="str">
        <f>VLOOKUP(B200,aa!B:F,5,0)</f>
        <v>Ei ASSET,Ei Mindspark</v>
      </c>
      <c r="F200" s="50">
        <f>VLOOKUP(B200,aa!B:J,9,0)</f>
        <v>465577</v>
      </c>
      <c r="G200" s="50">
        <f>VLOOKUP(B200,aa!B:L,11,0)</f>
        <v>211966</v>
      </c>
      <c r="H200" s="50">
        <f>VLOOKUP(B200,aa!B:O,14,0)</f>
        <v>0</v>
      </c>
      <c r="I200" s="50">
        <f>VLOOKUP(B200,aa!B:R,17,0)</f>
        <v>253611</v>
      </c>
      <c r="K200" s="50" t="s">
        <v>3549</v>
      </c>
      <c r="L200" s="50">
        <v>466383</v>
      </c>
      <c r="M200" s="50">
        <v>510346</v>
      </c>
      <c r="N200" s="50">
        <v>222144</v>
      </c>
      <c r="O200" s="50">
        <v>240</v>
      </c>
      <c r="P200" s="50" t="s">
        <v>13417</v>
      </c>
      <c r="Q200" s="50">
        <v>0</v>
      </c>
      <c r="R200" s="50">
        <v>0</v>
      </c>
      <c r="T200" s="50">
        <v>244239</v>
      </c>
      <c r="U200" s="50">
        <v>120</v>
      </c>
      <c r="V200" s="50" t="s">
        <v>13418</v>
      </c>
      <c r="W200" s="50" t="s">
        <v>102</v>
      </c>
      <c r="X200" s="50" t="s">
        <v>103</v>
      </c>
      <c r="Y200" s="50" t="s">
        <v>155</v>
      </c>
      <c r="AA200" s="50" t="s">
        <v>1305</v>
      </c>
      <c r="AB200" s="50" t="s">
        <v>13419</v>
      </c>
      <c r="AC200" s="50" t="s">
        <v>1408</v>
      </c>
      <c r="AD200" s="50" t="s">
        <v>13419</v>
      </c>
      <c r="AE200" s="50" t="s">
        <v>13420</v>
      </c>
      <c r="AF200" s="50" t="s">
        <v>13419</v>
      </c>
      <c r="AG200" s="50" t="s">
        <v>11884</v>
      </c>
      <c r="AH200" s="50" t="s">
        <v>13419</v>
      </c>
      <c r="AI200" s="50" t="s">
        <v>13421</v>
      </c>
      <c r="AJ200" s="50" t="s">
        <v>1604</v>
      </c>
      <c r="AK200" s="50" t="s">
        <v>11884</v>
      </c>
      <c r="AL200" s="50" t="s">
        <v>13422</v>
      </c>
      <c r="AM200" s="50" t="s">
        <v>13423</v>
      </c>
      <c r="AN200" s="50" t="s">
        <v>13424</v>
      </c>
      <c r="AO200" s="50" t="s">
        <v>13425</v>
      </c>
      <c r="AP200" s="50" t="s">
        <v>13426</v>
      </c>
      <c r="AS200" s="50" t="s">
        <v>169</v>
      </c>
      <c r="AT200" s="50" t="s">
        <v>169</v>
      </c>
      <c r="AU200" s="50" t="s">
        <v>318</v>
      </c>
      <c r="AV200" s="50" t="s">
        <v>250</v>
      </c>
      <c r="AW200" s="50" t="s">
        <v>102</v>
      </c>
      <c r="AX200" s="50" t="s">
        <v>119</v>
      </c>
      <c r="BA200" s="50" t="s">
        <v>250</v>
      </c>
      <c r="BB200" s="50" t="s">
        <v>171</v>
      </c>
      <c r="BC200" s="50" t="s">
        <v>2327</v>
      </c>
      <c r="BD200" s="50" t="s">
        <v>730</v>
      </c>
      <c r="BE200" s="50" t="s">
        <v>622</v>
      </c>
      <c r="BF200" s="50" t="s">
        <v>730</v>
      </c>
      <c r="BG200" s="50" t="s">
        <v>124</v>
      </c>
      <c r="BH200" s="50" t="s">
        <v>12023</v>
      </c>
      <c r="BI200" s="50" t="s">
        <v>11889</v>
      </c>
      <c r="BJ200" s="50" t="s">
        <v>127</v>
      </c>
      <c r="BK200" s="50" t="s">
        <v>13427</v>
      </c>
      <c r="BL200" s="50" t="s">
        <v>2523</v>
      </c>
      <c r="BM200" s="50" t="s">
        <v>13428</v>
      </c>
      <c r="BN200" s="50" t="s">
        <v>6177</v>
      </c>
      <c r="BO200" s="50" t="s">
        <v>3606</v>
      </c>
      <c r="BP200" s="50" t="s">
        <v>350</v>
      </c>
      <c r="BQ200" s="50" t="s">
        <v>3607</v>
      </c>
      <c r="BR200" s="50" t="s">
        <v>3608</v>
      </c>
      <c r="BS200" s="50" t="s">
        <v>2525</v>
      </c>
      <c r="BU200" s="50" t="s">
        <v>13429</v>
      </c>
      <c r="BV200" s="50" t="s">
        <v>2527</v>
      </c>
      <c r="BW200" s="50" t="s">
        <v>569</v>
      </c>
      <c r="BX200" s="50" t="s">
        <v>2528</v>
      </c>
      <c r="BY200" s="50" t="s">
        <v>13430</v>
      </c>
      <c r="BZ200" s="50" t="s">
        <v>2530</v>
      </c>
      <c r="CA200" s="50" t="s">
        <v>13431</v>
      </c>
      <c r="CB200" s="50" t="s">
        <v>13432</v>
      </c>
      <c r="CC200" s="50" t="s">
        <v>13433</v>
      </c>
      <c r="CD200" s="50" t="s">
        <v>13434</v>
      </c>
      <c r="CE200" s="50" t="s">
        <v>2528</v>
      </c>
      <c r="CF200" s="50" t="s">
        <v>13430</v>
      </c>
      <c r="CG200" s="50" t="s">
        <v>102</v>
      </c>
      <c r="CH200" s="50" t="s">
        <v>2531</v>
      </c>
      <c r="CJ200" s="50" t="s">
        <v>2532</v>
      </c>
      <c r="CL200" s="50" t="s">
        <v>2327</v>
      </c>
      <c r="CM200" s="50" t="s">
        <v>730</v>
      </c>
      <c r="CN200" s="50" t="s">
        <v>2532</v>
      </c>
      <c r="CO200" s="50" t="s">
        <v>2533</v>
      </c>
      <c r="CP200" s="50" t="s">
        <v>2531</v>
      </c>
      <c r="CQ200" s="50" t="s">
        <v>2531</v>
      </c>
    </row>
    <row r="201" spans="1:96">
      <c r="A201" s="50" t="s">
        <v>26356</v>
      </c>
      <c r="B201" s="50">
        <v>3992655</v>
      </c>
      <c r="C201" s="50" t="s">
        <v>11947</v>
      </c>
      <c r="D201" s="50" t="s">
        <v>8215</v>
      </c>
      <c r="E201" s="50" t="e">
        <f>VLOOKUP(B201,aa!B:F,5,0)</f>
        <v>#N/A</v>
      </c>
      <c r="F201" s="50" t="e">
        <f>VLOOKUP(B201,aa!B:J,9,0)</f>
        <v>#N/A</v>
      </c>
      <c r="G201" s="50" t="e">
        <f>VLOOKUP(B201,aa!B:L,11,0)</f>
        <v>#N/A</v>
      </c>
      <c r="H201" s="50" t="e">
        <f>VLOOKUP(B201,aa!B:O,14,0)</f>
        <v>#N/A</v>
      </c>
      <c r="I201" s="50" t="e">
        <f>VLOOKUP(B201,aa!B:R,17,0)</f>
        <v>#N/A</v>
      </c>
      <c r="K201" s="50" t="s">
        <v>152</v>
      </c>
      <c r="L201" s="50">
        <v>224049</v>
      </c>
      <c r="M201" s="50">
        <v>224049</v>
      </c>
      <c r="N201" s="50">
        <v>0</v>
      </c>
      <c r="O201" s="50">
        <v>0</v>
      </c>
      <c r="Q201" s="50">
        <v>224049</v>
      </c>
      <c r="R201" s="50">
        <v>224</v>
      </c>
      <c r="S201" s="50" t="s">
        <v>5042</v>
      </c>
      <c r="T201" s="50">
        <v>0</v>
      </c>
      <c r="U201" s="50">
        <v>0</v>
      </c>
      <c r="W201" s="50" t="s">
        <v>102</v>
      </c>
      <c r="X201" s="50" t="s">
        <v>103</v>
      </c>
      <c r="Y201" s="50" t="s">
        <v>104</v>
      </c>
      <c r="AA201" s="50" t="s">
        <v>11927</v>
      </c>
      <c r="AB201" s="50" t="s">
        <v>17542</v>
      </c>
      <c r="AC201" s="50" t="s">
        <v>12084</v>
      </c>
      <c r="AD201" s="50" t="s">
        <v>17542</v>
      </c>
      <c r="AE201" s="50" t="s">
        <v>109</v>
      </c>
      <c r="AF201" s="50" t="s">
        <v>102</v>
      </c>
      <c r="AG201" s="50" t="s">
        <v>109</v>
      </c>
      <c r="AH201" s="50" t="s">
        <v>102</v>
      </c>
      <c r="AI201" s="50" t="s">
        <v>102</v>
      </c>
      <c r="AJ201" s="50" t="s">
        <v>11932</v>
      </c>
      <c r="AK201" s="50" t="s">
        <v>11932</v>
      </c>
      <c r="AL201" s="50" t="s">
        <v>17543</v>
      </c>
      <c r="AM201" s="50" t="s">
        <v>6290</v>
      </c>
      <c r="AN201" s="50" t="s">
        <v>17544</v>
      </c>
      <c r="AO201" s="50" t="s">
        <v>5046</v>
      </c>
      <c r="AP201" s="50" t="s">
        <v>15396</v>
      </c>
      <c r="AT201" s="50" t="s">
        <v>169</v>
      </c>
      <c r="AU201" s="50" t="s">
        <v>102</v>
      </c>
      <c r="AW201" s="50" t="s">
        <v>155</v>
      </c>
      <c r="AX201" s="50" t="s">
        <v>119</v>
      </c>
      <c r="AY201" s="50" t="s">
        <v>170</v>
      </c>
      <c r="AZ201" s="50" t="s">
        <v>118</v>
      </c>
      <c r="BB201" s="50" t="s">
        <v>120</v>
      </c>
      <c r="BC201" s="50" t="s">
        <v>17545</v>
      </c>
      <c r="BD201" s="50" t="s">
        <v>211</v>
      </c>
      <c r="BE201" s="50" t="s">
        <v>212</v>
      </c>
      <c r="BF201" s="50" t="s">
        <v>213</v>
      </c>
      <c r="BG201" s="50" t="s">
        <v>124</v>
      </c>
      <c r="BH201" s="50" t="s">
        <v>12492</v>
      </c>
      <c r="BI201" s="50" t="s">
        <v>11889</v>
      </c>
      <c r="BJ201" s="50" t="s">
        <v>127</v>
      </c>
      <c r="BK201" s="50" t="s">
        <v>17546</v>
      </c>
      <c r="BL201" s="50" t="s">
        <v>8228</v>
      </c>
      <c r="BM201" s="50" t="s">
        <v>17547</v>
      </c>
      <c r="BN201" s="50" t="s">
        <v>6177</v>
      </c>
      <c r="BO201" s="50" t="s">
        <v>1309</v>
      </c>
      <c r="BP201" s="50" t="s">
        <v>180</v>
      </c>
      <c r="BQ201" s="50" t="s">
        <v>1310</v>
      </c>
      <c r="BR201" s="50" t="s">
        <v>1311</v>
      </c>
      <c r="BS201" s="50" t="s">
        <v>1312</v>
      </c>
      <c r="BT201" s="50" t="s">
        <v>2151</v>
      </c>
      <c r="BU201" s="50" t="s">
        <v>17548</v>
      </c>
      <c r="BV201" s="50" t="s">
        <v>8231</v>
      </c>
      <c r="BW201" s="50" t="s">
        <v>138</v>
      </c>
      <c r="BX201" s="50" t="s">
        <v>8232</v>
      </c>
      <c r="BY201" s="50" t="s">
        <v>8233</v>
      </c>
      <c r="BZ201" s="50" t="s">
        <v>8232</v>
      </c>
      <c r="CA201" s="50" t="s">
        <v>8231</v>
      </c>
      <c r="CB201" s="50" t="s">
        <v>8232</v>
      </c>
      <c r="CC201" s="50" t="s">
        <v>8233</v>
      </c>
      <c r="CD201" s="50" t="s">
        <v>8231</v>
      </c>
      <c r="CE201" s="50" t="s">
        <v>8232</v>
      </c>
      <c r="CF201" s="50" t="s">
        <v>8233</v>
      </c>
      <c r="CG201" s="50" t="s">
        <v>8234</v>
      </c>
      <c r="CH201" s="50" t="s">
        <v>8237</v>
      </c>
      <c r="CJ201" s="50" t="s">
        <v>8236</v>
      </c>
      <c r="CK201" s="50" t="s">
        <v>17549</v>
      </c>
      <c r="CL201" s="50" t="s">
        <v>17545</v>
      </c>
      <c r="CM201" s="50" t="s">
        <v>211</v>
      </c>
      <c r="CN201" s="50" t="s">
        <v>8236</v>
      </c>
      <c r="CP201" s="50" t="s">
        <v>8237</v>
      </c>
      <c r="CQ201" s="50" t="s">
        <v>8237</v>
      </c>
      <c r="CR201" s="50" t="s">
        <v>26042</v>
      </c>
    </row>
    <row r="202" spans="1:96">
      <c r="A202" s="95" t="s">
        <v>149</v>
      </c>
      <c r="B202" s="50">
        <v>4064726</v>
      </c>
      <c r="C202" s="50" t="s">
        <v>12018</v>
      </c>
      <c r="D202" s="50" t="s">
        <v>8658</v>
      </c>
      <c r="E202" s="50" t="e">
        <f>VLOOKUP(B202,aa!B:F,5,0)</f>
        <v>#N/A</v>
      </c>
      <c r="F202" s="50" t="e">
        <f>VLOOKUP(B202,aa!B:J,9,0)</f>
        <v>#N/A</v>
      </c>
      <c r="G202" s="50" t="e">
        <f>VLOOKUP(B202,aa!B:L,11,0)</f>
        <v>#N/A</v>
      </c>
      <c r="H202" s="50" t="e">
        <f>VLOOKUP(B202,aa!B:O,14,0)</f>
        <v>#N/A</v>
      </c>
      <c r="I202" s="50" t="e">
        <f>VLOOKUP(B202,aa!B:R,17,0)</f>
        <v>#N/A</v>
      </c>
      <c r="K202" s="50" t="s">
        <v>152</v>
      </c>
      <c r="L202" s="50">
        <v>709800</v>
      </c>
      <c r="M202" s="50">
        <v>709800</v>
      </c>
      <c r="N202" s="50">
        <v>0</v>
      </c>
      <c r="O202" s="50">
        <v>0</v>
      </c>
      <c r="Q202" s="50">
        <v>709800</v>
      </c>
      <c r="R202" s="50">
        <v>455</v>
      </c>
      <c r="S202" s="50" t="s">
        <v>544</v>
      </c>
      <c r="T202" s="50">
        <v>0</v>
      </c>
      <c r="U202" s="50">
        <v>0</v>
      </c>
      <c r="W202" s="50" t="s">
        <v>102</v>
      </c>
      <c r="X202" s="50" t="s">
        <v>103</v>
      </c>
      <c r="Y202" s="50" t="s">
        <v>155</v>
      </c>
      <c r="AA202" s="50" t="s">
        <v>16918</v>
      </c>
      <c r="AB202" s="50" t="s">
        <v>18031</v>
      </c>
      <c r="AC202" s="50" t="s">
        <v>1547</v>
      </c>
      <c r="AD202" s="50" t="s">
        <v>18031</v>
      </c>
      <c r="AE202" s="50" t="s">
        <v>13110</v>
      </c>
      <c r="AF202" s="50" t="s">
        <v>18031</v>
      </c>
      <c r="AG202" s="50" t="s">
        <v>11930</v>
      </c>
      <c r="AH202" s="50" t="s">
        <v>18031</v>
      </c>
      <c r="AI202" s="50" t="s">
        <v>102</v>
      </c>
      <c r="AJ202" s="50" t="s">
        <v>12838</v>
      </c>
      <c r="AK202" s="50" t="s">
        <v>12838</v>
      </c>
      <c r="AL202" s="50" t="s">
        <v>18032</v>
      </c>
      <c r="AM202" s="50" t="s">
        <v>18033</v>
      </c>
      <c r="AN202" s="50" t="s">
        <v>18034</v>
      </c>
      <c r="AO202" s="50" t="s">
        <v>554</v>
      </c>
      <c r="AP202" s="50" t="s">
        <v>554</v>
      </c>
      <c r="AU202" s="50" t="s">
        <v>102</v>
      </c>
      <c r="AW202" s="50" t="s">
        <v>155</v>
      </c>
      <c r="AX202" s="50" t="s">
        <v>447</v>
      </c>
      <c r="AY202" s="50" t="s">
        <v>170</v>
      </c>
      <c r="AZ202" s="50" t="s">
        <v>118</v>
      </c>
      <c r="BB202" s="50" t="s">
        <v>120</v>
      </c>
      <c r="BC202" s="50" t="s">
        <v>8667</v>
      </c>
      <c r="BD202" s="50" t="s">
        <v>345</v>
      </c>
      <c r="BE202" s="50" t="s">
        <v>122</v>
      </c>
      <c r="BF202" s="50" t="s">
        <v>346</v>
      </c>
      <c r="BG202" s="50" t="s">
        <v>124</v>
      </c>
      <c r="BH202" s="50" t="s">
        <v>12023</v>
      </c>
      <c r="BI202" s="50" t="s">
        <v>11889</v>
      </c>
      <c r="BJ202" s="50" t="s">
        <v>127</v>
      </c>
      <c r="BK202" s="50" t="s">
        <v>18035</v>
      </c>
      <c r="BL202" s="50" t="s">
        <v>8669</v>
      </c>
      <c r="BM202" s="50" t="s">
        <v>18036</v>
      </c>
      <c r="BN202" s="50" t="s">
        <v>5755</v>
      </c>
      <c r="BO202" s="50" t="s">
        <v>593</v>
      </c>
      <c r="BP202" s="50" t="s">
        <v>132</v>
      </c>
      <c r="BQ202" s="50" t="s">
        <v>594</v>
      </c>
      <c r="BR202" s="50" t="s">
        <v>595</v>
      </c>
      <c r="BS202" s="50" t="s">
        <v>328</v>
      </c>
      <c r="BU202" s="50" t="s">
        <v>18037</v>
      </c>
      <c r="BV202" s="50" t="s">
        <v>18038</v>
      </c>
      <c r="BW202" s="50" t="s">
        <v>354</v>
      </c>
      <c r="BX202" s="50" t="s">
        <v>18039</v>
      </c>
      <c r="BY202" s="50" t="s">
        <v>18040</v>
      </c>
      <c r="BZ202" s="50" t="s">
        <v>8673</v>
      </c>
      <c r="CA202" s="50" t="s">
        <v>18038</v>
      </c>
      <c r="CB202" s="50" t="s">
        <v>18039</v>
      </c>
      <c r="CC202" s="50" t="s">
        <v>18040</v>
      </c>
      <c r="CD202" s="50" t="s">
        <v>18041</v>
      </c>
      <c r="CE202" s="50" t="s">
        <v>18039</v>
      </c>
      <c r="CF202" s="50" t="s">
        <v>18042</v>
      </c>
      <c r="CG202" s="50" t="s">
        <v>102</v>
      </c>
      <c r="CH202" s="50" t="s">
        <v>8675</v>
      </c>
      <c r="CJ202" s="50" t="s">
        <v>8676</v>
      </c>
      <c r="CL202" s="50" t="s">
        <v>8667</v>
      </c>
      <c r="CM202" s="50" t="s">
        <v>345</v>
      </c>
      <c r="CN202" s="50" t="s">
        <v>8676</v>
      </c>
      <c r="CP202" s="50" t="s">
        <v>8675</v>
      </c>
      <c r="CQ202" s="50" t="s">
        <v>8675</v>
      </c>
    </row>
    <row r="203" spans="1:96">
      <c r="A203" s="95" t="s">
        <v>149</v>
      </c>
      <c r="B203" s="50">
        <v>971627</v>
      </c>
      <c r="C203" s="50" t="s">
        <v>1279</v>
      </c>
      <c r="D203" s="50" t="s">
        <v>11820</v>
      </c>
      <c r="E203" s="50" t="str">
        <f>VLOOKUP(B203,aa!B:F,5,0)</f>
        <v>Ei CARES, Ei Mindspark</v>
      </c>
      <c r="F203" s="50">
        <f>VLOOKUP(B203,aa!B:J,9,0)</f>
        <v>1328404</v>
      </c>
      <c r="G203" s="50">
        <f>VLOOKUP(B203,aa!B:L,11,0)</f>
        <v>0</v>
      </c>
      <c r="H203" s="50">
        <f>VLOOKUP(B203,aa!B:O,14,0)</f>
        <v>856826</v>
      </c>
      <c r="I203" s="50">
        <f>VLOOKUP(B203,aa!B:R,17,0)</f>
        <v>471578</v>
      </c>
      <c r="K203" s="50" t="s">
        <v>643</v>
      </c>
      <c r="L203" s="50">
        <v>1140040</v>
      </c>
      <c r="M203" s="50">
        <v>1214422</v>
      </c>
      <c r="N203" s="50">
        <v>0</v>
      </c>
      <c r="O203" s="50">
        <v>0</v>
      </c>
      <c r="Q203" s="50">
        <v>726808</v>
      </c>
      <c r="R203" s="50">
        <v>395</v>
      </c>
      <c r="S203" s="50" t="s">
        <v>21629</v>
      </c>
      <c r="T203" s="50">
        <v>413232</v>
      </c>
      <c r="U203" s="50">
        <v>265</v>
      </c>
      <c r="V203" s="50" t="s">
        <v>21630</v>
      </c>
      <c r="W203" s="50" t="s">
        <v>102</v>
      </c>
      <c r="X203" s="50" t="s">
        <v>103</v>
      </c>
      <c r="Y203" s="50" t="s">
        <v>104</v>
      </c>
      <c r="AA203" s="50" t="s">
        <v>13680</v>
      </c>
      <c r="AB203" s="50" t="s">
        <v>21631</v>
      </c>
      <c r="AC203" s="50" t="s">
        <v>12082</v>
      </c>
      <c r="AD203" s="50" t="s">
        <v>21632</v>
      </c>
      <c r="AE203" s="50" t="s">
        <v>109</v>
      </c>
      <c r="AF203" s="50" t="s">
        <v>102</v>
      </c>
      <c r="AG203" s="50" t="s">
        <v>109</v>
      </c>
      <c r="AH203" s="50" t="s">
        <v>102</v>
      </c>
      <c r="AI203" s="50" t="s">
        <v>102</v>
      </c>
      <c r="AJ203" s="50" t="s">
        <v>8537</v>
      </c>
      <c r="AK203" s="50" t="s">
        <v>12816</v>
      </c>
      <c r="AL203" s="50" t="s">
        <v>21633</v>
      </c>
      <c r="AM203" s="50" t="s">
        <v>21634</v>
      </c>
      <c r="AN203" s="50" t="s">
        <v>21635</v>
      </c>
      <c r="AO203" s="50" t="s">
        <v>21636</v>
      </c>
      <c r="AP203" s="50" t="s">
        <v>21636</v>
      </c>
      <c r="AU203" s="50" t="s">
        <v>102</v>
      </c>
      <c r="AW203" s="50" t="s">
        <v>655</v>
      </c>
      <c r="AX203" s="50" t="s">
        <v>119</v>
      </c>
      <c r="AY203" s="50" t="s">
        <v>1138</v>
      </c>
      <c r="AZ203" s="50" t="s">
        <v>118</v>
      </c>
      <c r="BA203" s="50" t="s">
        <v>250</v>
      </c>
      <c r="BB203" s="50" t="s">
        <v>209</v>
      </c>
      <c r="BC203" s="50" t="s">
        <v>623</v>
      </c>
      <c r="BD203" s="50" t="s">
        <v>621</v>
      </c>
      <c r="BE203" s="50" t="s">
        <v>622</v>
      </c>
      <c r="BF203" s="50" t="s">
        <v>623</v>
      </c>
      <c r="BG203" s="50" t="s">
        <v>124</v>
      </c>
      <c r="BH203" s="50" t="s">
        <v>12023</v>
      </c>
      <c r="BI203" s="50" t="s">
        <v>12963</v>
      </c>
      <c r="BJ203" s="50" t="s">
        <v>127</v>
      </c>
      <c r="BK203" s="50" t="s">
        <v>21637</v>
      </c>
      <c r="BL203" s="50" t="s">
        <v>11830</v>
      </c>
      <c r="BM203" s="50" t="s">
        <v>21638</v>
      </c>
      <c r="BN203" s="50" t="s">
        <v>21628</v>
      </c>
      <c r="BO203" s="50" t="s">
        <v>629</v>
      </c>
      <c r="BP203" s="50" t="s">
        <v>2901</v>
      </c>
      <c r="BQ203" s="50" t="s">
        <v>630</v>
      </c>
      <c r="BR203" s="50" t="s">
        <v>631</v>
      </c>
      <c r="BS203" s="50" t="s">
        <v>8262</v>
      </c>
      <c r="BU203" s="50" t="s">
        <v>21639</v>
      </c>
      <c r="BV203" s="50" t="s">
        <v>21640</v>
      </c>
      <c r="BX203" s="50" t="s">
        <v>11834</v>
      </c>
      <c r="BY203" s="50" t="s">
        <v>11835</v>
      </c>
      <c r="BZ203" s="50" t="s">
        <v>11834</v>
      </c>
      <c r="CA203" s="50" t="s">
        <v>21640</v>
      </c>
      <c r="CB203" s="50" t="s">
        <v>11834</v>
      </c>
      <c r="CC203" s="50" t="s">
        <v>11835</v>
      </c>
      <c r="CD203" s="50" t="s">
        <v>21641</v>
      </c>
      <c r="CE203" s="50" t="s">
        <v>21642</v>
      </c>
      <c r="CF203" s="50" t="s">
        <v>11841</v>
      </c>
      <c r="CG203" s="50" t="s">
        <v>11842</v>
      </c>
      <c r="CH203" s="50" t="s">
        <v>11843</v>
      </c>
      <c r="CJ203" s="50" t="s">
        <v>11844</v>
      </c>
      <c r="CL203" s="50" t="s">
        <v>623</v>
      </c>
      <c r="CM203" s="50" t="s">
        <v>621</v>
      </c>
      <c r="CN203" s="50" t="s">
        <v>11844</v>
      </c>
      <c r="CP203" s="50" t="s">
        <v>11843</v>
      </c>
      <c r="CQ203" s="50" t="s">
        <v>11843</v>
      </c>
    </row>
    <row r="204" spans="1:96">
      <c r="A204" s="95" t="s">
        <v>149</v>
      </c>
      <c r="B204" s="50">
        <v>1163014</v>
      </c>
      <c r="C204" s="50" t="s">
        <v>12030</v>
      </c>
      <c r="D204" s="50" t="s">
        <v>577</v>
      </c>
      <c r="E204" s="50" t="str">
        <f>VLOOKUP(B204,aa!B:F,5,0)</f>
        <v>Ei ASSET, Ei CARES, Ei Mindspark</v>
      </c>
      <c r="F204" s="50">
        <f>VLOOKUP(B204,aa!B:J,9,0)</f>
        <v>1319804</v>
      </c>
      <c r="G204" s="50">
        <f>VLOOKUP(B204,aa!B:L,11,0)</f>
        <v>422334</v>
      </c>
      <c r="H204" s="50">
        <f>VLOOKUP(B204,aa!B:O,14,0)</f>
        <v>571109</v>
      </c>
      <c r="I204" s="50">
        <f>VLOOKUP(B204,aa!B:R,17,0)</f>
        <v>326361</v>
      </c>
      <c r="K204" s="50" t="s">
        <v>193</v>
      </c>
      <c r="L204" s="50">
        <v>1785621</v>
      </c>
      <c r="M204" s="50">
        <v>1887997</v>
      </c>
      <c r="N204" s="50">
        <v>1216866</v>
      </c>
      <c r="O204" s="50">
        <v>887</v>
      </c>
      <c r="P204" s="50" t="s">
        <v>12193</v>
      </c>
      <c r="Q204" s="50">
        <v>0</v>
      </c>
      <c r="R204" s="50">
        <v>0</v>
      </c>
      <c r="T204" s="50">
        <v>568755</v>
      </c>
      <c r="U204" s="50">
        <v>244</v>
      </c>
      <c r="V204" s="50" t="s">
        <v>581</v>
      </c>
      <c r="W204" s="50" t="s">
        <v>102</v>
      </c>
      <c r="X204" s="50" t="s">
        <v>275</v>
      </c>
      <c r="Z204" s="50" t="s">
        <v>12194</v>
      </c>
      <c r="AA204" s="50" t="s">
        <v>109</v>
      </c>
      <c r="AB204" s="50" t="s">
        <v>102</v>
      </c>
      <c r="AC204" s="50" t="s">
        <v>109</v>
      </c>
      <c r="AD204" s="50" t="s">
        <v>102</v>
      </c>
      <c r="AE204" s="50" t="s">
        <v>109</v>
      </c>
      <c r="AF204" s="50" t="s">
        <v>102</v>
      </c>
      <c r="AG204" s="50" t="s">
        <v>109</v>
      </c>
      <c r="AH204" s="50" t="s">
        <v>102</v>
      </c>
      <c r="AI204" s="50" t="s">
        <v>12195</v>
      </c>
      <c r="AJ204" s="50" t="s">
        <v>6895</v>
      </c>
      <c r="AK204" s="50" t="s">
        <v>6895</v>
      </c>
      <c r="AL204" s="50" t="s">
        <v>12196</v>
      </c>
      <c r="AM204" s="50" t="s">
        <v>12197</v>
      </c>
      <c r="AN204" s="50" t="s">
        <v>12198</v>
      </c>
      <c r="AO204" s="50" t="s">
        <v>12199</v>
      </c>
      <c r="AP204" s="50" t="s">
        <v>12199</v>
      </c>
      <c r="AU204" s="50" t="s">
        <v>588</v>
      </c>
      <c r="AV204" s="50" t="s">
        <v>118</v>
      </c>
      <c r="AW204" s="50" t="s">
        <v>102</v>
      </c>
      <c r="AX204" s="50" t="s">
        <v>119</v>
      </c>
      <c r="BA204" s="50" t="s">
        <v>250</v>
      </c>
      <c r="BB204" s="50" t="s">
        <v>120</v>
      </c>
      <c r="BC204" s="50" t="s">
        <v>589</v>
      </c>
      <c r="BD204" s="50" t="s">
        <v>320</v>
      </c>
      <c r="BE204" s="50" t="s">
        <v>122</v>
      </c>
      <c r="BF204" s="50" t="s">
        <v>123</v>
      </c>
      <c r="BG204" s="50" t="s">
        <v>124</v>
      </c>
      <c r="BH204" s="50" t="s">
        <v>12023</v>
      </c>
      <c r="BI204" s="50" t="s">
        <v>11889</v>
      </c>
      <c r="BJ204" s="50" t="s">
        <v>127</v>
      </c>
      <c r="BK204" s="50" t="s">
        <v>12200</v>
      </c>
      <c r="BL204" s="50" t="s">
        <v>591</v>
      </c>
      <c r="BM204" s="50" t="s">
        <v>12201</v>
      </c>
      <c r="BN204" s="50" t="s">
        <v>12192</v>
      </c>
      <c r="BO204" s="50" t="s">
        <v>593</v>
      </c>
      <c r="BP204" s="50" t="s">
        <v>350</v>
      </c>
      <c r="BQ204" s="50" t="s">
        <v>594</v>
      </c>
      <c r="BR204" s="50" t="s">
        <v>595</v>
      </c>
      <c r="BS204" s="50" t="s">
        <v>328</v>
      </c>
      <c r="BU204" s="50" t="s">
        <v>12202</v>
      </c>
      <c r="BV204" s="50" t="s">
        <v>12203</v>
      </c>
      <c r="BW204" s="50" t="s">
        <v>9092</v>
      </c>
      <c r="BX204" s="50" t="s">
        <v>12204</v>
      </c>
      <c r="BY204" s="50" t="s">
        <v>12205</v>
      </c>
      <c r="BZ204" s="50" t="s">
        <v>601</v>
      </c>
      <c r="CA204" s="50" t="s">
        <v>12206</v>
      </c>
      <c r="CB204" s="50" t="s">
        <v>12207</v>
      </c>
      <c r="CC204" s="50" t="s">
        <v>12205</v>
      </c>
      <c r="CD204" s="50" t="s">
        <v>12203</v>
      </c>
      <c r="CE204" s="50" t="s">
        <v>12204</v>
      </c>
      <c r="CF204" s="50" t="s">
        <v>12205</v>
      </c>
      <c r="CG204" s="50" t="s">
        <v>102</v>
      </c>
      <c r="CH204" s="50" t="s">
        <v>602</v>
      </c>
      <c r="CJ204" s="50" t="s">
        <v>603</v>
      </c>
      <c r="CL204" s="50" t="s">
        <v>589</v>
      </c>
      <c r="CM204" s="50" t="s">
        <v>320</v>
      </c>
      <c r="CN204" s="50" t="s">
        <v>603</v>
      </c>
      <c r="CO204" s="50" t="s">
        <v>604</v>
      </c>
      <c r="CP204" s="50" t="s">
        <v>602</v>
      </c>
      <c r="CQ204" s="50" t="s">
        <v>602</v>
      </c>
    </row>
    <row r="205" spans="1:96">
      <c r="A205" s="95" t="s">
        <v>149</v>
      </c>
      <c r="B205" s="50">
        <v>2476940</v>
      </c>
      <c r="C205" s="50" t="s">
        <v>418</v>
      </c>
      <c r="D205" s="50" t="s">
        <v>3691</v>
      </c>
      <c r="E205" s="50" t="e">
        <f>VLOOKUP(B205,aa!B:F,5,0)</f>
        <v>#N/A</v>
      </c>
      <c r="F205" s="50" t="e">
        <f>VLOOKUP(B205,aa!B:J,9,0)</f>
        <v>#N/A</v>
      </c>
      <c r="G205" s="50" t="e">
        <f>VLOOKUP(B205,aa!B:L,11,0)</f>
        <v>#N/A</v>
      </c>
      <c r="H205" s="50" t="e">
        <f>VLOOKUP(B205,aa!B:O,14,0)</f>
        <v>#N/A</v>
      </c>
      <c r="I205" s="50" t="e">
        <f>VLOOKUP(B205,aa!B:R,17,0)</f>
        <v>#N/A</v>
      </c>
      <c r="K205" s="50" t="s">
        <v>97</v>
      </c>
      <c r="L205" s="50">
        <v>399860</v>
      </c>
      <c r="M205" s="50">
        <v>399860</v>
      </c>
      <c r="N205" s="50">
        <v>399860</v>
      </c>
      <c r="O205" s="50">
        <v>475</v>
      </c>
      <c r="P205" s="50" t="s">
        <v>14206</v>
      </c>
      <c r="Q205" s="50">
        <v>0</v>
      </c>
      <c r="R205" s="50">
        <v>0</v>
      </c>
      <c r="T205" s="50">
        <v>0</v>
      </c>
      <c r="U205" s="50">
        <v>0</v>
      </c>
      <c r="W205" s="50" t="s">
        <v>102</v>
      </c>
      <c r="X205" s="50" t="s">
        <v>103</v>
      </c>
      <c r="Y205" s="50" t="s">
        <v>104</v>
      </c>
      <c r="AA205" s="50" t="s">
        <v>1165</v>
      </c>
      <c r="AB205" s="50" t="s">
        <v>14207</v>
      </c>
      <c r="AC205" s="50" t="s">
        <v>12888</v>
      </c>
      <c r="AD205" s="50" t="s">
        <v>14208</v>
      </c>
      <c r="AE205" s="50" t="s">
        <v>109</v>
      </c>
      <c r="AF205" s="50" t="s">
        <v>102</v>
      </c>
      <c r="AG205" s="50" t="s">
        <v>109</v>
      </c>
      <c r="AH205" s="50" t="s">
        <v>102</v>
      </c>
      <c r="AI205" s="50" t="s">
        <v>14209</v>
      </c>
      <c r="AJ205" s="50" t="s">
        <v>14210</v>
      </c>
      <c r="AK205" s="50" t="s">
        <v>14210</v>
      </c>
      <c r="AL205" s="50" t="s">
        <v>14211</v>
      </c>
      <c r="AM205" s="50" t="s">
        <v>14212</v>
      </c>
      <c r="AN205" s="50" t="s">
        <v>14213</v>
      </c>
      <c r="AO205" s="50" t="s">
        <v>14214</v>
      </c>
      <c r="AP205" s="50" t="s">
        <v>14214</v>
      </c>
      <c r="AU205" s="50" t="s">
        <v>318</v>
      </c>
      <c r="AV205" s="50" t="s">
        <v>118</v>
      </c>
      <c r="AW205" s="50" t="s">
        <v>102</v>
      </c>
      <c r="AX205" s="50" t="s">
        <v>119</v>
      </c>
      <c r="BB205" s="50" t="s">
        <v>120</v>
      </c>
      <c r="BC205" s="50" t="s">
        <v>409</v>
      </c>
      <c r="BD205" s="50" t="s">
        <v>410</v>
      </c>
      <c r="BE205" s="50" t="s">
        <v>212</v>
      </c>
      <c r="BF205" s="50" t="s">
        <v>410</v>
      </c>
      <c r="BG205" s="50" t="s">
        <v>124</v>
      </c>
      <c r="BH205" s="50" t="s">
        <v>12082</v>
      </c>
      <c r="BI205" s="50" t="s">
        <v>11889</v>
      </c>
      <c r="BJ205" s="50" t="s">
        <v>127</v>
      </c>
      <c r="BK205" s="50" t="s">
        <v>14215</v>
      </c>
      <c r="BL205" s="50" t="s">
        <v>3702</v>
      </c>
      <c r="BM205" s="50" t="s">
        <v>14216</v>
      </c>
      <c r="BN205" s="50" t="s">
        <v>6443</v>
      </c>
      <c r="BO205" s="50" t="s">
        <v>866</v>
      </c>
      <c r="BP205" s="50" t="s">
        <v>132</v>
      </c>
      <c r="BQ205" s="50" t="s">
        <v>867</v>
      </c>
      <c r="BR205" s="50" t="s">
        <v>868</v>
      </c>
      <c r="BS205" s="50" t="s">
        <v>418</v>
      </c>
      <c r="BU205" s="50" t="s">
        <v>14217</v>
      </c>
      <c r="BV205" s="50" t="s">
        <v>3585</v>
      </c>
      <c r="BW205" s="50" t="s">
        <v>598</v>
      </c>
      <c r="BX205" s="50" t="s">
        <v>225</v>
      </c>
      <c r="BY205" s="50" t="s">
        <v>10475</v>
      </c>
      <c r="BZ205" s="50" t="s">
        <v>3705</v>
      </c>
      <c r="CA205" s="50" t="s">
        <v>14218</v>
      </c>
      <c r="CB205" s="50" t="s">
        <v>14219</v>
      </c>
      <c r="CC205" s="50" t="s">
        <v>14220</v>
      </c>
      <c r="CD205" s="50" t="s">
        <v>14221</v>
      </c>
      <c r="CE205" s="50" t="s">
        <v>14222</v>
      </c>
      <c r="CF205" s="50" t="s">
        <v>14223</v>
      </c>
      <c r="CG205" s="50" t="s">
        <v>102</v>
      </c>
      <c r="CH205" s="50" t="s">
        <v>3706</v>
      </c>
      <c r="CJ205" s="50" t="s">
        <v>3707</v>
      </c>
      <c r="CL205" s="50" t="s">
        <v>409</v>
      </c>
      <c r="CM205" s="50" t="s">
        <v>410</v>
      </c>
      <c r="CN205" s="50" t="s">
        <v>3707</v>
      </c>
      <c r="CO205" s="50" t="s">
        <v>3589</v>
      </c>
      <c r="CP205" s="50" t="s">
        <v>3706</v>
      </c>
      <c r="CQ205" s="50" t="s">
        <v>3706</v>
      </c>
      <c r="CR205" s="50" t="s">
        <v>26040</v>
      </c>
    </row>
    <row r="206" spans="1:96">
      <c r="A206" s="95" t="s">
        <v>149</v>
      </c>
      <c r="B206" s="50">
        <v>381519</v>
      </c>
      <c r="C206" s="50" t="s">
        <v>384</v>
      </c>
      <c r="D206" s="50" t="s">
        <v>7526</v>
      </c>
      <c r="E206" s="50" t="str">
        <f>VLOOKUP(B206,aa!B:F,5,0)</f>
        <v>Ei Mindspark</v>
      </c>
      <c r="F206" s="50">
        <f>VLOOKUP(B206,aa!B:J,9,0)</f>
        <v>1233873</v>
      </c>
      <c r="G206" s="50">
        <f>VLOOKUP(B206,aa!B:L,11,0)</f>
        <v>0</v>
      </c>
      <c r="H206" s="50">
        <f>VLOOKUP(B206,aa!B:O,14,0)</f>
        <v>0</v>
      </c>
      <c r="I206" s="50">
        <f>VLOOKUP(B206,aa!B:R,17,0)</f>
        <v>1233873</v>
      </c>
      <c r="K206" s="50" t="s">
        <v>848</v>
      </c>
      <c r="L206" s="50">
        <v>1360648</v>
      </c>
      <c r="M206" s="50">
        <v>1605565</v>
      </c>
      <c r="N206" s="50">
        <v>0</v>
      </c>
      <c r="O206" s="50">
        <v>0</v>
      </c>
      <c r="Q206" s="50">
        <v>0</v>
      </c>
      <c r="R206" s="50">
        <v>0</v>
      </c>
      <c r="T206" s="50">
        <v>1360648</v>
      </c>
      <c r="U206" s="50">
        <v>720</v>
      </c>
      <c r="V206" s="50" t="s">
        <v>7528</v>
      </c>
      <c r="W206" s="50" t="s">
        <v>102</v>
      </c>
      <c r="X206" s="50" t="s">
        <v>103</v>
      </c>
      <c r="Y206" s="50" t="s">
        <v>155</v>
      </c>
      <c r="AA206" s="50" t="s">
        <v>1941</v>
      </c>
      <c r="AB206" s="50" t="s">
        <v>17032</v>
      </c>
      <c r="AC206" s="50" t="s">
        <v>12040</v>
      </c>
      <c r="AD206" s="50" t="s">
        <v>17032</v>
      </c>
      <c r="AE206" s="50" t="s">
        <v>12099</v>
      </c>
      <c r="AF206" s="50" t="s">
        <v>17032</v>
      </c>
      <c r="AG206" s="50" t="s">
        <v>11886</v>
      </c>
      <c r="AH206" s="50" t="s">
        <v>17032</v>
      </c>
      <c r="AI206" s="50" t="s">
        <v>17033</v>
      </c>
      <c r="AJ206" s="50" t="s">
        <v>12711</v>
      </c>
      <c r="AK206" s="50" t="s">
        <v>16844</v>
      </c>
      <c r="AL206" s="50" t="s">
        <v>17034</v>
      </c>
      <c r="AM206" s="50" t="s">
        <v>17035</v>
      </c>
      <c r="AN206" s="50" t="s">
        <v>17036</v>
      </c>
      <c r="AO206" s="50" t="s">
        <v>7535</v>
      </c>
      <c r="AP206" s="50" t="s">
        <v>7535</v>
      </c>
      <c r="AU206" s="50" t="s">
        <v>102</v>
      </c>
      <c r="AW206" s="50" t="s">
        <v>102</v>
      </c>
      <c r="AX206" s="50" t="s">
        <v>119</v>
      </c>
      <c r="BA206" s="50" t="s">
        <v>250</v>
      </c>
      <c r="BB206" s="50" t="s">
        <v>120</v>
      </c>
      <c r="BC206" s="50" t="s">
        <v>375</v>
      </c>
      <c r="BD206" s="50" t="s">
        <v>376</v>
      </c>
      <c r="BE206" s="50" t="s">
        <v>174</v>
      </c>
      <c r="BF206" s="50" t="s">
        <v>376</v>
      </c>
      <c r="BG206" s="50" t="s">
        <v>124</v>
      </c>
      <c r="BH206" s="50" t="s">
        <v>12926</v>
      </c>
      <c r="BI206" s="50" t="s">
        <v>11889</v>
      </c>
      <c r="BJ206" s="50" t="s">
        <v>127</v>
      </c>
      <c r="BK206" s="50" t="s">
        <v>17037</v>
      </c>
      <c r="BL206" s="50" t="s">
        <v>7537</v>
      </c>
      <c r="BM206" s="50" t="s">
        <v>17038</v>
      </c>
      <c r="BN206" s="50" t="s">
        <v>6443</v>
      </c>
      <c r="BO206" s="50" t="s">
        <v>1917</v>
      </c>
      <c r="BP206" s="50" t="s">
        <v>180</v>
      </c>
      <c r="BQ206" s="50" t="s">
        <v>1918</v>
      </c>
      <c r="BR206" s="50" t="s">
        <v>1919</v>
      </c>
      <c r="BS206" s="50" t="s">
        <v>384</v>
      </c>
      <c r="BU206" s="50" t="s">
        <v>17039</v>
      </c>
      <c r="BV206" s="50" t="s">
        <v>17040</v>
      </c>
      <c r="BX206" s="50" t="s">
        <v>7545</v>
      </c>
      <c r="BY206" s="50" t="s">
        <v>7546</v>
      </c>
      <c r="BZ206" s="50" t="s">
        <v>7543</v>
      </c>
      <c r="CA206" s="50" t="s">
        <v>17040</v>
      </c>
      <c r="CB206" s="50" t="s">
        <v>7545</v>
      </c>
      <c r="CC206" s="50" t="s">
        <v>7546</v>
      </c>
      <c r="CD206" s="50" t="s">
        <v>17040</v>
      </c>
      <c r="CE206" s="50" t="s">
        <v>7545</v>
      </c>
      <c r="CF206" s="50" t="s">
        <v>7546</v>
      </c>
      <c r="CG206" s="50" t="s">
        <v>102</v>
      </c>
      <c r="CH206" s="50" t="s">
        <v>17041</v>
      </c>
      <c r="CJ206" s="50" t="s">
        <v>7551</v>
      </c>
      <c r="CL206" s="50" t="s">
        <v>375</v>
      </c>
      <c r="CM206" s="50" t="s">
        <v>376</v>
      </c>
      <c r="CN206" s="50" t="s">
        <v>7551</v>
      </c>
      <c r="CO206" s="50" t="s">
        <v>7552</v>
      </c>
      <c r="CP206" s="50" t="s">
        <v>7550</v>
      </c>
      <c r="CQ206" s="50" t="s">
        <v>7550</v>
      </c>
    </row>
    <row r="207" spans="1:96">
      <c r="A207" s="50" t="s">
        <v>93</v>
      </c>
      <c r="B207" s="50">
        <v>950643</v>
      </c>
      <c r="C207" s="50" t="s">
        <v>11898</v>
      </c>
      <c r="D207" s="50" t="s">
        <v>21584</v>
      </c>
      <c r="E207" s="50" t="e">
        <f>VLOOKUP(B207,aa!B:F,5,0)</f>
        <v>#N/A</v>
      </c>
      <c r="F207" s="50" t="e">
        <f>VLOOKUP(B207,aa!B:J,9,0)</f>
        <v>#N/A</v>
      </c>
      <c r="G207" s="50" t="e">
        <f>VLOOKUP(B207,aa!B:L,11,0)</f>
        <v>#N/A</v>
      </c>
      <c r="H207" s="50" t="e">
        <f>VLOOKUP(B207,aa!B:O,14,0)</f>
        <v>#N/A</v>
      </c>
      <c r="I207" s="50" t="e">
        <f>VLOOKUP(B207,aa!B:R,17,0)</f>
        <v>#N/A</v>
      </c>
      <c r="K207" s="50" t="s">
        <v>152</v>
      </c>
      <c r="L207" s="50">
        <v>250016</v>
      </c>
      <c r="M207" s="50">
        <v>250016</v>
      </c>
      <c r="N207" s="50">
        <v>0</v>
      </c>
      <c r="O207" s="50">
        <v>0</v>
      </c>
      <c r="Q207" s="50">
        <v>250016</v>
      </c>
      <c r="R207" s="50">
        <v>490</v>
      </c>
      <c r="S207" s="50" t="s">
        <v>21585</v>
      </c>
      <c r="T207" s="50">
        <v>0</v>
      </c>
      <c r="U207" s="50">
        <v>0</v>
      </c>
      <c r="W207" s="50" t="s">
        <v>102</v>
      </c>
      <c r="X207" s="50" t="s">
        <v>275</v>
      </c>
      <c r="Z207" s="50" t="s">
        <v>126</v>
      </c>
      <c r="AA207" s="50" t="s">
        <v>109</v>
      </c>
      <c r="AB207" s="50" t="s">
        <v>102</v>
      </c>
      <c r="AC207" s="50" t="s">
        <v>109</v>
      </c>
      <c r="AD207" s="50" t="s">
        <v>102</v>
      </c>
      <c r="AE207" s="50" t="s">
        <v>109</v>
      </c>
      <c r="AF207" s="50" t="s">
        <v>102</v>
      </c>
      <c r="AG207" s="50" t="s">
        <v>109</v>
      </c>
      <c r="AH207" s="50" t="s">
        <v>102</v>
      </c>
      <c r="AI207" s="50" t="s">
        <v>102</v>
      </c>
      <c r="AJ207" s="50" t="s">
        <v>7145</v>
      </c>
      <c r="AK207" s="50" t="s">
        <v>7145</v>
      </c>
      <c r="AL207" s="50" t="s">
        <v>21586</v>
      </c>
      <c r="AM207" s="50" t="s">
        <v>21586</v>
      </c>
      <c r="AN207" s="50" t="s">
        <v>102</v>
      </c>
      <c r="AO207" s="50" t="s">
        <v>21587</v>
      </c>
      <c r="AP207" s="50" t="s">
        <v>21588</v>
      </c>
      <c r="AQ207" s="50" t="s">
        <v>343</v>
      </c>
      <c r="AU207" s="50" t="s">
        <v>102</v>
      </c>
      <c r="AW207" s="50" t="s">
        <v>104</v>
      </c>
      <c r="AX207" s="50" t="s">
        <v>447</v>
      </c>
      <c r="AY207" s="50" t="s">
        <v>1138</v>
      </c>
      <c r="AZ207" s="50" t="s">
        <v>118</v>
      </c>
      <c r="BB207" s="50" t="s">
        <v>120</v>
      </c>
      <c r="BC207" s="50" t="s">
        <v>121</v>
      </c>
      <c r="BD207" s="50" t="s">
        <v>121</v>
      </c>
      <c r="BE207" s="50" t="s">
        <v>122</v>
      </c>
      <c r="BF207" s="50" t="s">
        <v>123</v>
      </c>
      <c r="BG207" s="50" t="s">
        <v>124</v>
      </c>
      <c r="BH207" s="50" t="s">
        <v>12023</v>
      </c>
      <c r="BI207" s="50" t="s">
        <v>11889</v>
      </c>
      <c r="BJ207" s="50" t="s">
        <v>127</v>
      </c>
      <c r="BK207" s="50" t="s">
        <v>21589</v>
      </c>
      <c r="BL207" s="50" t="s">
        <v>21590</v>
      </c>
      <c r="BM207" s="50" t="s">
        <v>21591</v>
      </c>
      <c r="BN207" s="50" t="s">
        <v>6443</v>
      </c>
      <c r="BO207" s="50" t="s">
        <v>7005</v>
      </c>
      <c r="BP207" s="50" t="s">
        <v>350</v>
      </c>
      <c r="BQ207" s="50" t="s">
        <v>7006</v>
      </c>
      <c r="BR207" s="50" t="s">
        <v>7007</v>
      </c>
      <c r="BS207" s="50" t="s">
        <v>7008</v>
      </c>
      <c r="BU207" s="50" t="s">
        <v>21592</v>
      </c>
      <c r="BV207" s="50" t="s">
        <v>21593</v>
      </c>
      <c r="BW207" s="50" t="s">
        <v>138</v>
      </c>
      <c r="BX207" s="50" t="s">
        <v>21594</v>
      </c>
      <c r="BY207" s="50" t="s">
        <v>21595</v>
      </c>
      <c r="BZ207" s="50" t="s">
        <v>21594</v>
      </c>
      <c r="CA207" s="50" t="s">
        <v>21593</v>
      </c>
      <c r="CB207" s="50" t="s">
        <v>21594</v>
      </c>
      <c r="CC207" s="50" t="s">
        <v>21595</v>
      </c>
      <c r="CD207" s="50" t="s">
        <v>21593</v>
      </c>
      <c r="CE207" s="50" t="s">
        <v>21594</v>
      </c>
      <c r="CF207" s="50" t="s">
        <v>21595</v>
      </c>
      <c r="CG207" s="50" t="s">
        <v>9277</v>
      </c>
      <c r="CH207" s="50" t="s">
        <v>21584</v>
      </c>
      <c r="CJ207" s="50" t="s">
        <v>5311</v>
      </c>
      <c r="CK207" s="50" t="s">
        <v>21584</v>
      </c>
      <c r="CL207" s="50" t="s">
        <v>121</v>
      </c>
      <c r="CM207" s="50" t="s">
        <v>2226</v>
      </c>
      <c r="CN207" s="50" t="s">
        <v>5311</v>
      </c>
      <c r="CP207" s="50" t="s">
        <v>21596</v>
      </c>
      <c r="CQ207" s="50" t="s">
        <v>21596</v>
      </c>
    </row>
    <row r="208" spans="1:96">
      <c r="A208" s="95" t="s">
        <v>149</v>
      </c>
      <c r="B208" s="50">
        <v>4002148</v>
      </c>
      <c r="C208" s="50" t="s">
        <v>12155</v>
      </c>
      <c r="D208" s="50" t="s">
        <v>8549</v>
      </c>
      <c r="E208" s="50" t="str">
        <f>VLOOKUP(B208,aa!B:F,5,0)</f>
        <v>Ei ASSET, Ei CARES</v>
      </c>
      <c r="F208" s="50">
        <f>VLOOKUP(B208,aa!B:J,9,0)</f>
        <v>992909</v>
      </c>
      <c r="G208" s="50">
        <f>VLOOKUP(B208,aa!B:L,11,0)</f>
        <v>338052</v>
      </c>
      <c r="H208" s="50">
        <f>VLOOKUP(B208,aa!B:O,14,0)</f>
        <v>654857</v>
      </c>
      <c r="I208" s="50">
        <f>VLOOKUP(B208,aa!B:R,17,0)</f>
        <v>0</v>
      </c>
      <c r="K208" s="50" t="s">
        <v>675</v>
      </c>
      <c r="L208" s="50">
        <v>877471</v>
      </c>
      <c r="M208" s="50">
        <v>877471</v>
      </c>
      <c r="N208" s="50">
        <v>321799</v>
      </c>
      <c r="O208" s="50">
        <v>495</v>
      </c>
      <c r="P208" s="50" t="s">
        <v>1122</v>
      </c>
      <c r="Q208" s="50">
        <v>555672</v>
      </c>
      <c r="R208" s="50">
        <v>411</v>
      </c>
      <c r="S208" s="50" t="s">
        <v>17934</v>
      </c>
      <c r="T208" s="50">
        <v>0</v>
      </c>
      <c r="U208" s="50">
        <v>0</v>
      </c>
      <c r="W208" s="50" t="s">
        <v>102</v>
      </c>
      <c r="X208" s="50" t="s">
        <v>103</v>
      </c>
      <c r="Y208" s="50" t="s">
        <v>801</v>
      </c>
      <c r="AA208" s="50" t="s">
        <v>17935</v>
      </c>
      <c r="AB208" s="50" t="s">
        <v>17936</v>
      </c>
      <c r="AC208" s="50" t="s">
        <v>17937</v>
      </c>
      <c r="AD208" s="50" t="s">
        <v>17938</v>
      </c>
      <c r="AE208" s="50" t="s">
        <v>17939</v>
      </c>
      <c r="AF208" s="50" t="s">
        <v>17940</v>
      </c>
      <c r="AG208" s="50" t="s">
        <v>12216</v>
      </c>
      <c r="AH208" s="50" t="s">
        <v>17940</v>
      </c>
      <c r="AI208" s="50" t="s">
        <v>17941</v>
      </c>
      <c r="AJ208" s="50" t="s">
        <v>17942</v>
      </c>
      <c r="AK208" s="50" t="s">
        <v>17943</v>
      </c>
      <c r="AL208" s="50" t="s">
        <v>17944</v>
      </c>
      <c r="AM208" s="50" t="s">
        <v>17945</v>
      </c>
      <c r="AN208" s="50" t="s">
        <v>17946</v>
      </c>
      <c r="AO208" s="50" t="s">
        <v>17947</v>
      </c>
      <c r="AP208" s="50" t="s">
        <v>17947</v>
      </c>
      <c r="AU208" s="50" t="s">
        <v>207</v>
      </c>
      <c r="AV208" s="50" t="s">
        <v>118</v>
      </c>
      <c r="AW208" s="50" t="s">
        <v>655</v>
      </c>
      <c r="AX208" s="50" t="s">
        <v>119</v>
      </c>
      <c r="AY208" s="50" t="s">
        <v>170</v>
      </c>
      <c r="AZ208" s="50" t="s">
        <v>118</v>
      </c>
      <c r="BB208" s="50" t="s">
        <v>120</v>
      </c>
      <c r="BC208" s="50" t="s">
        <v>1036</v>
      </c>
      <c r="BD208" s="50" t="s">
        <v>173</v>
      </c>
      <c r="BE208" s="50" t="s">
        <v>174</v>
      </c>
      <c r="BF208" s="50" t="s">
        <v>173</v>
      </c>
      <c r="BG208" s="50" t="s">
        <v>124</v>
      </c>
      <c r="BH208" s="50" t="s">
        <v>6177</v>
      </c>
      <c r="BI208" s="50" t="s">
        <v>11889</v>
      </c>
      <c r="BJ208" s="50" t="s">
        <v>127</v>
      </c>
      <c r="BK208" s="50" t="s">
        <v>17948</v>
      </c>
      <c r="BL208" s="50" t="s">
        <v>8564</v>
      </c>
      <c r="BM208" s="50" t="s">
        <v>17949</v>
      </c>
      <c r="BN208" s="50" t="s">
        <v>17933</v>
      </c>
      <c r="BO208" s="50" t="s">
        <v>12557</v>
      </c>
      <c r="BP208" s="50" t="s">
        <v>180</v>
      </c>
      <c r="BQ208" s="50" t="s">
        <v>12558</v>
      </c>
      <c r="BR208" s="50" t="s">
        <v>12559</v>
      </c>
      <c r="BS208" s="50" t="s">
        <v>183</v>
      </c>
      <c r="BU208" s="50" t="s">
        <v>17950</v>
      </c>
      <c r="BV208" s="50" t="s">
        <v>17951</v>
      </c>
      <c r="BW208" s="50" t="s">
        <v>138</v>
      </c>
      <c r="BX208" s="50" t="s">
        <v>17952</v>
      </c>
      <c r="BY208" s="50" t="s">
        <v>17953</v>
      </c>
      <c r="BZ208" s="50" t="s">
        <v>8568</v>
      </c>
      <c r="CA208" s="50" t="s">
        <v>17951</v>
      </c>
      <c r="CB208" s="50" t="s">
        <v>17952</v>
      </c>
      <c r="CC208" s="50" t="s">
        <v>17953</v>
      </c>
      <c r="CD208" s="50" t="s">
        <v>17954</v>
      </c>
      <c r="CE208" s="50" t="s">
        <v>17952</v>
      </c>
      <c r="CF208" s="50" t="s">
        <v>17955</v>
      </c>
      <c r="CG208" s="50" t="s">
        <v>102</v>
      </c>
      <c r="CH208" s="50" t="s">
        <v>17956</v>
      </c>
      <c r="CJ208" s="50" t="s">
        <v>8571</v>
      </c>
      <c r="CK208" s="50" t="s">
        <v>17956</v>
      </c>
      <c r="CL208" s="50" t="s">
        <v>1036</v>
      </c>
      <c r="CM208" s="50" t="s">
        <v>173</v>
      </c>
      <c r="CN208" s="50" t="s">
        <v>8571</v>
      </c>
      <c r="CO208" s="50" t="s">
        <v>8572</v>
      </c>
      <c r="CP208" s="50" t="s">
        <v>8570</v>
      </c>
      <c r="CQ208" s="50" t="s">
        <v>8570</v>
      </c>
    </row>
    <row r="209" spans="1:96">
      <c r="A209" s="95" t="s">
        <v>149</v>
      </c>
      <c r="B209" s="50">
        <v>3249655</v>
      </c>
      <c r="C209" s="50" t="s">
        <v>3562</v>
      </c>
      <c r="D209" s="50" t="s">
        <v>5060</v>
      </c>
      <c r="E209" s="50" t="str">
        <f>VLOOKUP(B209,aa!B:F,5,0)</f>
        <v>Ei ASSET</v>
      </c>
      <c r="F209" s="50">
        <f>VLOOKUP(B209,aa!B:J,9,0)</f>
        <v>863977</v>
      </c>
      <c r="G209" s="50">
        <f>VLOOKUP(B209,aa!B:L,11,0)</f>
        <v>863977</v>
      </c>
      <c r="H209" s="50">
        <f>VLOOKUP(B209,aa!B:O,14,0)</f>
        <v>0</v>
      </c>
      <c r="I209" s="50">
        <f>VLOOKUP(B209,aa!B:R,17,0)</f>
        <v>0</v>
      </c>
      <c r="K209" s="50" t="s">
        <v>2044</v>
      </c>
      <c r="L209" s="50">
        <v>1660443</v>
      </c>
      <c r="M209" s="50">
        <v>1660443</v>
      </c>
      <c r="N209" s="50">
        <v>802179</v>
      </c>
      <c r="O209" s="50">
        <v>1190</v>
      </c>
      <c r="P209" s="50" t="s">
        <v>15249</v>
      </c>
      <c r="Q209" s="50">
        <v>858264</v>
      </c>
      <c r="R209" s="50">
        <v>1061</v>
      </c>
      <c r="S209" s="50" t="s">
        <v>15250</v>
      </c>
      <c r="T209" s="50">
        <v>0</v>
      </c>
      <c r="U209" s="50">
        <v>0</v>
      </c>
      <c r="W209" s="50" t="s">
        <v>102</v>
      </c>
      <c r="X209" s="50" t="s">
        <v>103</v>
      </c>
      <c r="Y209" s="50" t="s">
        <v>104</v>
      </c>
      <c r="AA209" s="50" t="s">
        <v>12023</v>
      </c>
      <c r="AB209" s="50" t="s">
        <v>15251</v>
      </c>
      <c r="AC209" s="50" t="s">
        <v>1427</v>
      </c>
      <c r="AD209" s="50" t="s">
        <v>15252</v>
      </c>
      <c r="AE209" s="50" t="s">
        <v>109</v>
      </c>
      <c r="AF209" s="50" t="s">
        <v>102</v>
      </c>
      <c r="AG209" s="50" t="s">
        <v>109</v>
      </c>
      <c r="AH209" s="50" t="s">
        <v>102</v>
      </c>
      <c r="AI209" s="50" t="s">
        <v>15253</v>
      </c>
      <c r="AJ209" s="50" t="s">
        <v>7145</v>
      </c>
      <c r="AK209" s="50" t="s">
        <v>12211</v>
      </c>
      <c r="AL209" s="50" t="s">
        <v>15254</v>
      </c>
      <c r="AM209" s="50" t="s">
        <v>15255</v>
      </c>
      <c r="AN209" s="50" t="s">
        <v>15256</v>
      </c>
      <c r="AO209" s="50" t="s">
        <v>15257</v>
      </c>
      <c r="AP209" s="50" t="s">
        <v>15258</v>
      </c>
      <c r="AR209" s="50" t="s">
        <v>169</v>
      </c>
      <c r="AS209" s="50" t="s">
        <v>169</v>
      </c>
      <c r="AT209" s="50" t="s">
        <v>169</v>
      </c>
      <c r="AU209" s="50" t="s">
        <v>318</v>
      </c>
      <c r="AV209" s="50" t="s">
        <v>118</v>
      </c>
      <c r="AW209" s="50" t="s">
        <v>155</v>
      </c>
      <c r="AX209" s="50" t="s">
        <v>119</v>
      </c>
      <c r="AY209" s="50" t="s">
        <v>170</v>
      </c>
      <c r="AZ209" s="50" t="s">
        <v>118</v>
      </c>
      <c r="BB209" s="50" t="s">
        <v>171</v>
      </c>
      <c r="BC209" s="50" t="s">
        <v>5071</v>
      </c>
      <c r="BD209" s="50" t="s">
        <v>730</v>
      </c>
      <c r="BE209" s="50" t="s">
        <v>622</v>
      </c>
      <c r="BF209" s="50" t="s">
        <v>730</v>
      </c>
      <c r="BG209" s="50" t="s">
        <v>124</v>
      </c>
      <c r="BH209" s="50" t="s">
        <v>12023</v>
      </c>
      <c r="BI209" s="50" t="s">
        <v>11889</v>
      </c>
      <c r="BJ209" s="50" t="s">
        <v>127</v>
      </c>
      <c r="BK209" s="50" t="s">
        <v>15259</v>
      </c>
      <c r="BL209" s="50" t="s">
        <v>5073</v>
      </c>
      <c r="BM209" s="50" t="s">
        <v>15260</v>
      </c>
      <c r="BN209" s="50" t="s">
        <v>1305</v>
      </c>
      <c r="BO209" s="50" t="s">
        <v>3606</v>
      </c>
      <c r="BP209" s="50" t="s">
        <v>350</v>
      </c>
      <c r="BQ209" s="50" t="s">
        <v>3607</v>
      </c>
      <c r="BR209" s="50" t="s">
        <v>3608</v>
      </c>
      <c r="BS209" s="50" t="s">
        <v>3562</v>
      </c>
      <c r="BU209" s="50" t="s">
        <v>15261</v>
      </c>
      <c r="BV209" s="50" t="s">
        <v>5076</v>
      </c>
      <c r="BW209" s="50" t="s">
        <v>138</v>
      </c>
      <c r="BX209" s="50" t="s">
        <v>5077</v>
      </c>
      <c r="BY209" s="50" t="s">
        <v>5078</v>
      </c>
      <c r="BZ209" s="50" t="s">
        <v>5079</v>
      </c>
      <c r="CA209" s="50" t="s">
        <v>5076</v>
      </c>
      <c r="CB209" s="50" t="s">
        <v>5077</v>
      </c>
      <c r="CC209" s="50" t="s">
        <v>5078</v>
      </c>
      <c r="CD209" s="50" t="s">
        <v>5080</v>
      </c>
      <c r="CE209" s="50" t="s">
        <v>5081</v>
      </c>
      <c r="CF209" s="50" t="s">
        <v>5082</v>
      </c>
      <c r="CG209" s="50" t="s">
        <v>102</v>
      </c>
      <c r="CH209" s="50" t="s">
        <v>5083</v>
      </c>
      <c r="CJ209" s="50" t="s">
        <v>5084</v>
      </c>
      <c r="CL209" s="50" t="s">
        <v>5071</v>
      </c>
      <c r="CM209" s="50" t="s">
        <v>730</v>
      </c>
      <c r="CN209" s="50" t="s">
        <v>5084</v>
      </c>
      <c r="CO209" s="50" t="s">
        <v>5085</v>
      </c>
      <c r="CP209" s="50" t="s">
        <v>5083</v>
      </c>
      <c r="CQ209" s="50" t="s">
        <v>5083</v>
      </c>
    </row>
    <row r="210" spans="1:96">
      <c r="A210" s="95" t="s">
        <v>149</v>
      </c>
      <c r="B210" s="50">
        <v>374785</v>
      </c>
      <c r="C210" s="50" t="s">
        <v>222</v>
      </c>
      <c r="D210" s="50" t="s">
        <v>7283</v>
      </c>
      <c r="E210" s="50" t="e">
        <f>VLOOKUP(B210,aa!B:F,5,0)</f>
        <v>#N/A</v>
      </c>
      <c r="F210" s="50" t="e">
        <f>VLOOKUP(B210,aa!B:J,9,0)</f>
        <v>#N/A</v>
      </c>
      <c r="G210" s="50" t="e">
        <f>VLOOKUP(B210,aa!B:L,11,0)</f>
        <v>#N/A</v>
      </c>
      <c r="H210" s="50" t="e">
        <f>VLOOKUP(B210,aa!B:O,14,0)</f>
        <v>#N/A</v>
      </c>
      <c r="I210" s="50" t="e">
        <f>VLOOKUP(B210,aa!B:R,17,0)</f>
        <v>#N/A</v>
      </c>
      <c r="K210" s="50" t="s">
        <v>3549</v>
      </c>
      <c r="L210" s="50">
        <v>1021314</v>
      </c>
      <c r="M210" s="50">
        <v>1162948</v>
      </c>
      <c r="N210" s="50">
        <v>234456</v>
      </c>
      <c r="O210" s="50">
        <v>160</v>
      </c>
      <c r="P210" s="50" t="s">
        <v>16829</v>
      </c>
      <c r="Q210" s="50">
        <v>0</v>
      </c>
      <c r="R210" s="50">
        <v>0</v>
      </c>
      <c r="T210" s="50">
        <v>786858</v>
      </c>
      <c r="U210" s="50">
        <v>264</v>
      </c>
      <c r="V210" s="50" t="s">
        <v>16830</v>
      </c>
      <c r="W210" s="50" t="s">
        <v>102</v>
      </c>
      <c r="X210" s="50" t="s">
        <v>103</v>
      </c>
      <c r="Y210" s="50" t="s">
        <v>398</v>
      </c>
      <c r="AA210" s="50" t="s">
        <v>625</v>
      </c>
      <c r="AB210" s="50" t="s">
        <v>16831</v>
      </c>
      <c r="AC210" s="50" t="s">
        <v>3679</v>
      </c>
      <c r="AD210" s="50" t="s">
        <v>16832</v>
      </c>
      <c r="AE210" s="50" t="s">
        <v>1427</v>
      </c>
      <c r="AF210" s="50" t="s">
        <v>16832</v>
      </c>
      <c r="AG210" s="50" t="s">
        <v>109</v>
      </c>
      <c r="AH210" s="50" t="s">
        <v>102</v>
      </c>
      <c r="AI210" s="50" t="s">
        <v>16833</v>
      </c>
      <c r="AJ210" s="50" t="s">
        <v>12923</v>
      </c>
      <c r="AK210" s="50" t="s">
        <v>13245</v>
      </c>
      <c r="AL210" s="50" t="s">
        <v>16834</v>
      </c>
      <c r="AM210" s="50" t="s">
        <v>16835</v>
      </c>
      <c r="AN210" s="50" t="s">
        <v>16836</v>
      </c>
      <c r="AO210" s="50" t="s">
        <v>16837</v>
      </c>
      <c r="AP210" s="50" t="s">
        <v>16837</v>
      </c>
      <c r="AU210" s="50" t="s">
        <v>117</v>
      </c>
      <c r="AV210" s="50" t="s">
        <v>118</v>
      </c>
      <c r="AW210" s="50" t="s">
        <v>102</v>
      </c>
      <c r="AX210" s="50" t="s">
        <v>119</v>
      </c>
      <c r="BA210" s="50" t="s">
        <v>250</v>
      </c>
      <c r="BB210" s="50" t="s">
        <v>171</v>
      </c>
      <c r="BC210" s="50" t="s">
        <v>920</v>
      </c>
      <c r="BD210" s="50" t="s">
        <v>211</v>
      </c>
      <c r="BE210" s="50" t="s">
        <v>212</v>
      </c>
      <c r="BF210" s="50" t="s">
        <v>213</v>
      </c>
      <c r="BG210" s="50" t="s">
        <v>124</v>
      </c>
      <c r="BH210" s="50" t="s">
        <v>11959</v>
      </c>
      <c r="BI210" s="50" t="s">
        <v>11889</v>
      </c>
      <c r="BJ210" s="50" t="s">
        <v>127</v>
      </c>
      <c r="BK210" s="50" t="s">
        <v>16838</v>
      </c>
      <c r="BL210" s="50" t="s">
        <v>7299</v>
      </c>
      <c r="BM210" s="50" t="s">
        <v>16839</v>
      </c>
      <c r="BN210" s="50" t="s">
        <v>1305</v>
      </c>
      <c r="BO210" s="50" t="s">
        <v>7108</v>
      </c>
      <c r="BP210" s="50" t="s">
        <v>132</v>
      </c>
      <c r="BQ210" s="50" t="s">
        <v>7109</v>
      </c>
      <c r="BR210" s="50" t="s">
        <v>2151</v>
      </c>
      <c r="BS210" s="50" t="s">
        <v>2151</v>
      </c>
      <c r="BU210" s="50" t="s">
        <v>16840</v>
      </c>
      <c r="BV210" s="50" t="s">
        <v>16841</v>
      </c>
      <c r="BW210" s="50" t="s">
        <v>598</v>
      </c>
      <c r="BX210" s="50" t="s">
        <v>7310</v>
      </c>
      <c r="BY210" s="50" t="s">
        <v>7311</v>
      </c>
      <c r="BZ210" s="50" t="s">
        <v>7308</v>
      </c>
      <c r="CA210" s="50" t="s">
        <v>16841</v>
      </c>
      <c r="CB210" s="50" t="s">
        <v>7310</v>
      </c>
      <c r="CC210" s="50" t="s">
        <v>7311</v>
      </c>
      <c r="CD210" s="50" t="s">
        <v>16841</v>
      </c>
      <c r="CE210" s="50" t="s">
        <v>7310</v>
      </c>
      <c r="CF210" s="50" t="s">
        <v>7311</v>
      </c>
      <c r="CG210" s="50" t="s">
        <v>102</v>
      </c>
      <c r="CH210" s="50" t="s">
        <v>7312</v>
      </c>
      <c r="CJ210" s="50" t="s">
        <v>7313</v>
      </c>
      <c r="CL210" s="50" t="s">
        <v>920</v>
      </c>
      <c r="CM210" s="50" t="s">
        <v>2474</v>
      </c>
      <c r="CN210" s="50" t="s">
        <v>7313</v>
      </c>
      <c r="CO210" s="50" t="s">
        <v>7314</v>
      </c>
      <c r="CP210" s="50" t="s">
        <v>7312</v>
      </c>
      <c r="CQ210" s="50" t="s">
        <v>7312</v>
      </c>
      <c r="CR210" s="50" t="s">
        <v>26043</v>
      </c>
    </row>
    <row r="211" spans="1:96">
      <c r="A211" s="95" t="s">
        <v>149</v>
      </c>
      <c r="B211" s="50">
        <v>5015734</v>
      </c>
      <c r="C211" s="50" t="s">
        <v>985</v>
      </c>
      <c r="D211" s="50" t="s">
        <v>9475</v>
      </c>
      <c r="E211" s="50" t="str">
        <f>VLOOKUP(B211,aa!B:F,5,0)</f>
        <v>Ei ASSET,Ei CARES,Ei Mindspark</v>
      </c>
      <c r="F211" s="50">
        <f>VLOOKUP(B211,aa!B:J,9,0)</f>
        <v>480522</v>
      </c>
      <c r="G211" s="50">
        <f>VLOOKUP(B211,aa!B:L,11,0)</f>
        <v>66393</v>
      </c>
      <c r="H211" s="50">
        <f>VLOOKUP(B211,aa!B:O,14,0)</f>
        <v>132787</v>
      </c>
      <c r="I211" s="50">
        <f>VLOOKUP(B211,aa!B:R,17,0)</f>
        <v>281342</v>
      </c>
      <c r="K211" s="50" t="s">
        <v>1746</v>
      </c>
      <c r="L211" s="50">
        <v>427858</v>
      </c>
      <c r="M211" s="50">
        <v>476296</v>
      </c>
      <c r="N211" s="50">
        <v>52920</v>
      </c>
      <c r="O211" s="50">
        <v>147</v>
      </c>
      <c r="P211" s="50" t="s">
        <v>16964</v>
      </c>
      <c r="Q211" s="50">
        <v>105840</v>
      </c>
      <c r="R211" s="50">
        <v>147</v>
      </c>
      <c r="S211" s="50" t="s">
        <v>995</v>
      </c>
      <c r="T211" s="50">
        <v>269098</v>
      </c>
      <c r="U211" s="50">
        <v>147</v>
      </c>
      <c r="V211" s="50" t="s">
        <v>18713</v>
      </c>
      <c r="W211" s="50" t="s">
        <v>102</v>
      </c>
      <c r="X211" s="50" t="s">
        <v>103</v>
      </c>
      <c r="Y211" s="50" t="s">
        <v>398</v>
      </c>
      <c r="AA211" s="50" t="s">
        <v>411</v>
      </c>
      <c r="AB211" s="50" t="s">
        <v>18714</v>
      </c>
      <c r="AC211" s="50" t="s">
        <v>12888</v>
      </c>
      <c r="AD211" s="50" t="s">
        <v>18715</v>
      </c>
      <c r="AE211" s="50" t="s">
        <v>11886</v>
      </c>
      <c r="AF211" s="50" t="s">
        <v>18715</v>
      </c>
      <c r="AG211" s="50" t="s">
        <v>109</v>
      </c>
      <c r="AH211" s="50" t="s">
        <v>102</v>
      </c>
      <c r="AI211" s="50" t="s">
        <v>102</v>
      </c>
      <c r="AJ211" s="50" t="s">
        <v>11599</v>
      </c>
      <c r="AK211" s="50" t="s">
        <v>8060</v>
      </c>
      <c r="AL211" s="50" t="s">
        <v>18716</v>
      </c>
      <c r="AM211" s="50" t="s">
        <v>18717</v>
      </c>
      <c r="AN211" s="50" t="s">
        <v>18718</v>
      </c>
      <c r="AO211" s="50" t="s">
        <v>17879</v>
      </c>
      <c r="AP211" s="50" t="s">
        <v>317</v>
      </c>
      <c r="AS211" s="50" t="s">
        <v>169</v>
      </c>
      <c r="AT211" s="50" t="s">
        <v>169</v>
      </c>
      <c r="AU211" s="50" t="s">
        <v>117</v>
      </c>
      <c r="AV211" s="50" t="s">
        <v>250</v>
      </c>
      <c r="AW211" s="50" t="s">
        <v>155</v>
      </c>
      <c r="AX211" s="50" t="s">
        <v>119</v>
      </c>
      <c r="AZ211" s="50" t="s">
        <v>250</v>
      </c>
      <c r="BA211" s="50" t="s">
        <v>250</v>
      </c>
      <c r="BB211" s="50" t="s">
        <v>1242</v>
      </c>
      <c r="BC211" s="50" t="s">
        <v>9483</v>
      </c>
      <c r="BD211" s="50" t="s">
        <v>621</v>
      </c>
      <c r="BE211" s="50" t="s">
        <v>622</v>
      </c>
      <c r="BF211" s="50" t="s">
        <v>976</v>
      </c>
      <c r="BG211" s="50" t="s">
        <v>124</v>
      </c>
      <c r="BH211" s="50" t="s">
        <v>12023</v>
      </c>
      <c r="BI211" s="50" t="s">
        <v>11889</v>
      </c>
      <c r="BJ211" s="50" t="s">
        <v>127</v>
      </c>
      <c r="BK211" s="50" t="s">
        <v>18719</v>
      </c>
      <c r="BL211" s="50" t="s">
        <v>9485</v>
      </c>
      <c r="BM211" s="50" t="s">
        <v>18720</v>
      </c>
      <c r="BN211" s="50" t="s">
        <v>1305</v>
      </c>
      <c r="BO211" s="50" t="s">
        <v>350</v>
      </c>
      <c r="BP211" s="50" t="s">
        <v>350</v>
      </c>
      <c r="BQ211" s="50" t="s">
        <v>2440</v>
      </c>
      <c r="BR211" s="50" t="s">
        <v>18721</v>
      </c>
      <c r="BS211" s="50" t="s">
        <v>984</v>
      </c>
      <c r="BU211" s="50" t="s">
        <v>18722</v>
      </c>
      <c r="BV211" s="50" t="s">
        <v>9488</v>
      </c>
      <c r="BW211" s="50" t="s">
        <v>138</v>
      </c>
      <c r="BX211" s="50" t="s">
        <v>2440</v>
      </c>
      <c r="BY211" s="50" t="s">
        <v>9490</v>
      </c>
      <c r="BZ211" s="50" t="s">
        <v>9491</v>
      </c>
      <c r="CA211" s="50" t="s">
        <v>9488</v>
      </c>
      <c r="CB211" s="50" t="s">
        <v>18723</v>
      </c>
      <c r="CC211" s="50" t="s">
        <v>18724</v>
      </c>
      <c r="CD211" s="50" t="s">
        <v>9492</v>
      </c>
      <c r="CE211" s="50" t="s">
        <v>18725</v>
      </c>
      <c r="CF211" s="50" t="s">
        <v>9494</v>
      </c>
      <c r="CG211" s="50" t="s">
        <v>102</v>
      </c>
      <c r="CH211" s="50" t="s">
        <v>18726</v>
      </c>
      <c r="CJ211" s="50" t="s">
        <v>9496</v>
      </c>
      <c r="CL211" s="50" t="s">
        <v>9483</v>
      </c>
      <c r="CM211" s="50" t="s">
        <v>621</v>
      </c>
      <c r="CN211" s="50" t="s">
        <v>9496</v>
      </c>
      <c r="CP211" s="50" t="s">
        <v>9495</v>
      </c>
      <c r="CQ211" s="50" t="s">
        <v>9495</v>
      </c>
    </row>
    <row r="212" spans="1:96">
      <c r="A212" s="95" t="s">
        <v>149</v>
      </c>
      <c r="B212" s="50">
        <v>19872</v>
      </c>
      <c r="C212" s="50" t="s">
        <v>418</v>
      </c>
      <c r="D212" s="50" t="s">
        <v>2297</v>
      </c>
      <c r="E212" s="50" t="e">
        <f>VLOOKUP(B212,aa!B:F,5,0)</f>
        <v>#N/A</v>
      </c>
      <c r="F212" s="50" t="e">
        <f>VLOOKUP(B212,aa!B:J,9,0)</f>
        <v>#N/A</v>
      </c>
      <c r="G212" s="50" t="e">
        <f>VLOOKUP(B212,aa!B:L,11,0)</f>
        <v>#N/A</v>
      </c>
      <c r="H212" s="50" t="e">
        <f>VLOOKUP(B212,aa!B:O,14,0)</f>
        <v>#N/A</v>
      </c>
      <c r="I212" s="50" t="e">
        <f>VLOOKUP(B212,aa!B:R,17,0)</f>
        <v>#N/A</v>
      </c>
      <c r="K212" s="50" t="s">
        <v>97</v>
      </c>
      <c r="L212" s="50">
        <v>1040396</v>
      </c>
      <c r="M212" s="50">
        <v>1040396</v>
      </c>
      <c r="N212" s="50">
        <v>1040396</v>
      </c>
      <c r="O212" s="50">
        <v>2081</v>
      </c>
      <c r="P212" s="50" t="s">
        <v>364</v>
      </c>
      <c r="Q212" s="50">
        <v>0</v>
      </c>
      <c r="R212" s="50">
        <v>0</v>
      </c>
      <c r="T212" s="50">
        <v>0</v>
      </c>
      <c r="U212" s="50">
        <v>0</v>
      </c>
      <c r="W212" s="50" t="s">
        <v>102</v>
      </c>
      <c r="X212" s="50" t="s">
        <v>103</v>
      </c>
      <c r="Y212" s="50" t="s">
        <v>104</v>
      </c>
      <c r="AA212" s="50" t="s">
        <v>8708</v>
      </c>
      <c r="AB212" s="50" t="s">
        <v>13217</v>
      </c>
      <c r="AC212" s="50" t="s">
        <v>5651</v>
      </c>
      <c r="AD212" s="50" t="s">
        <v>13218</v>
      </c>
      <c r="AE212" s="50" t="s">
        <v>109</v>
      </c>
      <c r="AF212" s="50" t="s">
        <v>102</v>
      </c>
      <c r="AG212" s="50" t="s">
        <v>109</v>
      </c>
      <c r="AH212" s="50" t="s">
        <v>102</v>
      </c>
      <c r="AI212" s="50" t="s">
        <v>13219</v>
      </c>
      <c r="AJ212" s="50" t="s">
        <v>12019</v>
      </c>
      <c r="AK212" s="50" t="s">
        <v>11899</v>
      </c>
      <c r="AL212" s="50" t="s">
        <v>13220</v>
      </c>
      <c r="AM212" s="50" t="s">
        <v>13221</v>
      </c>
      <c r="AN212" s="50" t="s">
        <v>13222</v>
      </c>
      <c r="AO212" s="50" t="s">
        <v>2307</v>
      </c>
      <c r="AP212" s="50" t="s">
        <v>2307</v>
      </c>
      <c r="AU212" s="50" t="s">
        <v>318</v>
      </c>
      <c r="AV212" s="50" t="s">
        <v>118</v>
      </c>
      <c r="AW212" s="50" t="s">
        <v>102</v>
      </c>
      <c r="AX212" s="50" t="s">
        <v>119</v>
      </c>
      <c r="BB212" s="50" t="s">
        <v>120</v>
      </c>
      <c r="BC212" s="50" t="s">
        <v>409</v>
      </c>
      <c r="BD212" s="50" t="s">
        <v>410</v>
      </c>
      <c r="BE212" s="50" t="s">
        <v>212</v>
      </c>
      <c r="BF212" s="50" t="s">
        <v>410</v>
      </c>
      <c r="BG212" s="50" t="s">
        <v>124</v>
      </c>
      <c r="BH212" s="50" t="s">
        <v>5351</v>
      </c>
      <c r="BI212" s="50" t="s">
        <v>12250</v>
      </c>
      <c r="BJ212" s="50" t="s">
        <v>127</v>
      </c>
      <c r="BK212" s="50" t="s">
        <v>13223</v>
      </c>
      <c r="BL212" s="50" t="s">
        <v>2309</v>
      </c>
      <c r="BM212" s="50" t="s">
        <v>13224</v>
      </c>
      <c r="BN212" s="50" t="s">
        <v>13216</v>
      </c>
      <c r="BO212" s="50" t="s">
        <v>866</v>
      </c>
      <c r="BP212" s="50" t="s">
        <v>132</v>
      </c>
      <c r="BQ212" s="50" t="s">
        <v>867</v>
      </c>
      <c r="BR212" s="50" t="s">
        <v>868</v>
      </c>
      <c r="BS212" s="50" t="s">
        <v>222</v>
      </c>
      <c r="BU212" s="50" t="s">
        <v>13225</v>
      </c>
      <c r="BV212" s="50" t="s">
        <v>2312</v>
      </c>
      <c r="BW212" s="50" t="s">
        <v>598</v>
      </c>
      <c r="BX212" s="50" t="s">
        <v>2313</v>
      </c>
      <c r="BY212" s="50" t="s">
        <v>2314</v>
      </c>
      <c r="BZ212" s="50" t="s">
        <v>2315</v>
      </c>
      <c r="CA212" s="50" t="s">
        <v>13226</v>
      </c>
      <c r="CB212" s="50" t="s">
        <v>2316</v>
      </c>
      <c r="CC212" s="50" t="s">
        <v>13227</v>
      </c>
      <c r="CD212" s="50" t="s">
        <v>13226</v>
      </c>
      <c r="CE212" s="50" t="s">
        <v>2316</v>
      </c>
      <c r="CF212" s="50" t="s">
        <v>13227</v>
      </c>
      <c r="CG212" s="50" t="s">
        <v>102</v>
      </c>
      <c r="CH212" s="50" t="s">
        <v>2317</v>
      </c>
      <c r="CJ212" s="50" t="s">
        <v>2318</v>
      </c>
      <c r="CL212" s="50" t="s">
        <v>409</v>
      </c>
      <c r="CM212" s="50" t="s">
        <v>410</v>
      </c>
      <c r="CN212" s="50" t="s">
        <v>2318</v>
      </c>
      <c r="CO212" s="50" t="s">
        <v>2319</v>
      </c>
      <c r="CP212" s="50" t="s">
        <v>2317</v>
      </c>
      <c r="CQ212" s="50" t="s">
        <v>2317</v>
      </c>
      <c r="CR212" s="50" t="s">
        <v>26040</v>
      </c>
    </row>
    <row r="213" spans="1:96">
      <c r="A213" s="95" t="s">
        <v>149</v>
      </c>
      <c r="B213" s="50">
        <v>19966</v>
      </c>
      <c r="C213" s="50" t="s">
        <v>418</v>
      </c>
      <c r="D213" s="50" t="s">
        <v>13228</v>
      </c>
      <c r="E213" s="50" t="e">
        <f>VLOOKUP(B213,aa!B:F,5,0)</f>
        <v>#N/A</v>
      </c>
      <c r="F213" s="50" t="e">
        <f>VLOOKUP(B213,aa!B:J,9,0)</f>
        <v>#N/A</v>
      </c>
      <c r="G213" s="50" t="e">
        <f>VLOOKUP(B213,aa!B:L,11,0)</f>
        <v>#N/A</v>
      </c>
      <c r="H213" s="50" t="e">
        <f>VLOOKUP(B213,aa!B:O,14,0)</f>
        <v>#N/A</v>
      </c>
      <c r="I213" s="50" t="e">
        <f>VLOOKUP(B213,aa!B:R,17,0)</f>
        <v>#N/A</v>
      </c>
      <c r="K213" s="50" t="s">
        <v>97</v>
      </c>
      <c r="L213" s="50">
        <v>61994</v>
      </c>
      <c r="M213" s="50">
        <v>61994</v>
      </c>
      <c r="N213" s="50">
        <v>61994</v>
      </c>
      <c r="O213" s="50">
        <v>124</v>
      </c>
      <c r="P213" s="50" t="s">
        <v>364</v>
      </c>
      <c r="Q213" s="50">
        <v>0</v>
      </c>
      <c r="R213" s="50">
        <v>0</v>
      </c>
      <c r="T213" s="50">
        <v>0</v>
      </c>
      <c r="U213" s="50">
        <v>0</v>
      </c>
      <c r="W213" s="50" t="s">
        <v>102</v>
      </c>
      <c r="X213" s="50" t="s">
        <v>103</v>
      </c>
      <c r="Y213" s="50" t="s">
        <v>104</v>
      </c>
      <c r="AA213" s="50" t="s">
        <v>8708</v>
      </c>
      <c r="AB213" s="50" t="s">
        <v>13229</v>
      </c>
      <c r="AC213" s="50" t="s">
        <v>5651</v>
      </c>
      <c r="AD213" s="50" t="s">
        <v>13230</v>
      </c>
      <c r="AE213" s="50" t="s">
        <v>109</v>
      </c>
      <c r="AF213" s="50" t="s">
        <v>102</v>
      </c>
      <c r="AG213" s="50" t="s">
        <v>109</v>
      </c>
      <c r="AH213" s="50" t="s">
        <v>102</v>
      </c>
      <c r="AI213" s="50" t="s">
        <v>13231</v>
      </c>
      <c r="AJ213" s="50" t="s">
        <v>12737</v>
      </c>
      <c r="AK213" s="50" t="s">
        <v>11911</v>
      </c>
      <c r="AL213" s="50" t="s">
        <v>13232</v>
      </c>
      <c r="AM213" s="50" t="s">
        <v>13233</v>
      </c>
      <c r="AN213" s="50" t="s">
        <v>102</v>
      </c>
      <c r="AO213" s="50" t="s">
        <v>2307</v>
      </c>
      <c r="AP213" s="50" t="s">
        <v>2307</v>
      </c>
      <c r="AU213" s="50" t="s">
        <v>318</v>
      </c>
      <c r="AV213" s="50" t="s">
        <v>118</v>
      </c>
      <c r="AW213" s="50" t="s">
        <v>102</v>
      </c>
      <c r="AX213" s="50" t="s">
        <v>119</v>
      </c>
      <c r="BB213" s="50" t="s">
        <v>120</v>
      </c>
      <c r="BC213" s="50" t="s">
        <v>409</v>
      </c>
      <c r="BD213" s="50" t="s">
        <v>410</v>
      </c>
      <c r="BE213" s="50" t="s">
        <v>212</v>
      </c>
      <c r="BF213" s="50" t="s">
        <v>410</v>
      </c>
      <c r="BG213" s="50" t="s">
        <v>124</v>
      </c>
      <c r="BH213" s="50" t="s">
        <v>11932</v>
      </c>
      <c r="BI213" s="50" t="s">
        <v>12047</v>
      </c>
      <c r="BJ213" s="50" t="s">
        <v>127</v>
      </c>
      <c r="BK213" s="50" t="s">
        <v>13234</v>
      </c>
      <c r="BL213" s="50" t="s">
        <v>2355</v>
      </c>
      <c r="BM213" s="50" t="s">
        <v>13235</v>
      </c>
      <c r="BN213" s="50" t="s">
        <v>13216</v>
      </c>
      <c r="BO213" s="50" t="s">
        <v>866</v>
      </c>
      <c r="BP213" s="50" t="s">
        <v>132</v>
      </c>
      <c r="BQ213" s="50" t="s">
        <v>867</v>
      </c>
      <c r="BR213" s="50" t="s">
        <v>868</v>
      </c>
      <c r="BS213" s="50" t="s">
        <v>222</v>
      </c>
      <c r="BU213" s="50" t="s">
        <v>13236</v>
      </c>
      <c r="BV213" s="50" t="s">
        <v>2312</v>
      </c>
      <c r="BW213" s="50" t="s">
        <v>598</v>
      </c>
      <c r="BX213" s="50" t="s">
        <v>2313</v>
      </c>
      <c r="BY213" s="50" t="s">
        <v>2314</v>
      </c>
      <c r="BZ213" s="50" t="s">
        <v>2358</v>
      </c>
      <c r="CA213" s="50" t="s">
        <v>13237</v>
      </c>
      <c r="CB213" s="50" t="s">
        <v>13238</v>
      </c>
      <c r="CC213" s="50" t="s">
        <v>13239</v>
      </c>
      <c r="CD213" s="50" t="s">
        <v>13237</v>
      </c>
      <c r="CE213" s="50" t="s">
        <v>13238</v>
      </c>
      <c r="CF213" s="50" t="s">
        <v>13239</v>
      </c>
      <c r="CG213" s="50" t="s">
        <v>102</v>
      </c>
      <c r="CH213" s="50" t="s">
        <v>2359</v>
      </c>
      <c r="CJ213" s="50" t="s">
        <v>2360</v>
      </c>
      <c r="CL213" s="50" t="s">
        <v>409</v>
      </c>
      <c r="CM213" s="50" t="s">
        <v>410</v>
      </c>
      <c r="CN213" s="50" t="s">
        <v>2360</v>
      </c>
      <c r="CO213" s="50" t="s">
        <v>2319</v>
      </c>
      <c r="CP213" s="50" t="s">
        <v>2359</v>
      </c>
      <c r="CQ213" s="50" t="s">
        <v>2359</v>
      </c>
      <c r="CR213" s="50" t="s">
        <v>26040</v>
      </c>
    </row>
    <row r="214" spans="1:96">
      <c r="A214" s="95" t="s">
        <v>149</v>
      </c>
      <c r="B214" s="50">
        <v>2509576</v>
      </c>
      <c r="C214" s="50" t="s">
        <v>12491</v>
      </c>
      <c r="D214" s="50" t="s">
        <v>3845</v>
      </c>
      <c r="E214" s="50" t="str">
        <f>VLOOKUP(B214,aa!B:F,5,0)</f>
        <v>Ei CARES</v>
      </c>
      <c r="F214" s="50">
        <f>VLOOKUP(B214,aa!B:J,9,0)</f>
        <v>668678</v>
      </c>
      <c r="G214" s="50">
        <f>VLOOKUP(B214,aa!B:L,11,0)</f>
        <v>0</v>
      </c>
      <c r="H214" s="50">
        <f>VLOOKUP(B214,aa!B:O,14,0)</f>
        <v>668678</v>
      </c>
      <c r="I214" s="50">
        <f>VLOOKUP(B214,aa!B:R,17,0)</f>
        <v>0</v>
      </c>
      <c r="K214" s="50" t="s">
        <v>152</v>
      </c>
      <c r="L214" s="50">
        <v>622634</v>
      </c>
      <c r="M214" s="50">
        <v>622634</v>
      </c>
      <c r="N214" s="50">
        <v>0</v>
      </c>
      <c r="O214" s="50">
        <v>0</v>
      </c>
      <c r="Q214" s="50">
        <v>622634</v>
      </c>
      <c r="R214" s="50">
        <v>566</v>
      </c>
      <c r="S214" s="50" t="s">
        <v>466</v>
      </c>
      <c r="T214" s="50">
        <v>0</v>
      </c>
      <c r="U214" s="50">
        <v>0</v>
      </c>
      <c r="W214" s="50" t="s">
        <v>102</v>
      </c>
      <c r="X214" s="50" t="s">
        <v>103</v>
      </c>
      <c r="Y214" s="50" t="s">
        <v>155</v>
      </c>
      <c r="AA214" s="50" t="s">
        <v>411</v>
      </c>
      <c r="AB214" s="50" t="s">
        <v>14316</v>
      </c>
      <c r="AC214" s="50" t="s">
        <v>11976</v>
      </c>
      <c r="AD214" s="50" t="s">
        <v>14316</v>
      </c>
      <c r="AE214" s="50" t="s">
        <v>11888</v>
      </c>
      <c r="AF214" s="50" t="s">
        <v>14316</v>
      </c>
      <c r="AG214" s="50" t="s">
        <v>6895</v>
      </c>
      <c r="AH214" s="50" t="s">
        <v>14316</v>
      </c>
      <c r="AI214" s="50" t="s">
        <v>102</v>
      </c>
      <c r="AL214" s="50" t="s">
        <v>14317</v>
      </c>
      <c r="AM214" s="50" t="s">
        <v>102</v>
      </c>
      <c r="AN214" s="50" t="s">
        <v>14317</v>
      </c>
      <c r="AO214" s="50" t="s">
        <v>3853</v>
      </c>
      <c r="AP214" s="50" t="s">
        <v>3853</v>
      </c>
      <c r="AU214" s="50" t="s">
        <v>102</v>
      </c>
      <c r="AW214" s="50" t="s">
        <v>155</v>
      </c>
      <c r="AX214" s="50" t="s">
        <v>447</v>
      </c>
      <c r="AY214" s="50" t="s">
        <v>1138</v>
      </c>
      <c r="AZ214" s="50" t="s">
        <v>118</v>
      </c>
      <c r="BB214" s="50" t="s">
        <v>120</v>
      </c>
      <c r="BC214" s="50" t="s">
        <v>3854</v>
      </c>
      <c r="BD214" s="50" t="s">
        <v>449</v>
      </c>
      <c r="BE214" s="50" t="s">
        <v>122</v>
      </c>
      <c r="BF214" s="50" t="s">
        <v>450</v>
      </c>
      <c r="BG214" s="50" t="s">
        <v>124</v>
      </c>
      <c r="BH214" s="50" t="s">
        <v>12023</v>
      </c>
      <c r="BI214" s="50" t="s">
        <v>11889</v>
      </c>
      <c r="BJ214" s="50" t="s">
        <v>127</v>
      </c>
      <c r="BK214" s="50" t="s">
        <v>14318</v>
      </c>
      <c r="BL214" s="50" t="s">
        <v>3856</v>
      </c>
      <c r="BM214" s="50" t="s">
        <v>14319</v>
      </c>
      <c r="BN214" s="50" t="s">
        <v>13216</v>
      </c>
      <c r="BO214" s="50" t="s">
        <v>8788</v>
      </c>
      <c r="BP214" s="50" t="s">
        <v>350</v>
      </c>
      <c r="BQ214" s="50" t="s">
        <v>8789</v>
      </c>
      <c r="BR214" s="50" t="s">
        <v>8790</v>
      </c>
      <c r="BS214" s="50" t="s">
        <v>1006</v>
      </c>
      <c r="BU214" s="50" t="s">
        <v>14320</v>
      </c>
      <c r="BV214" s="50" t="s">
        <v>3859</v>
      </c>
      <c r="BW214" s="50" t="s">
        <v>138</v>
      </c>
      <c r="BX214" s="50" t="s">
        <v>3860</v>
      </c>
      <c r="BY214" s="50" t="s">
        <v>3861</v>
      </c>
      <c r="BZ214" s="50" t="s">
        <v>3862</v>
      </c>
      <c r="CA214" s="50" t="s">
        <v>3859</v>
      </c>
      <c r="CB214" s="50" t="s">
        <v>3860</v>
      </c>
      <c r="CC214" s="50" t="s">
        <v>3861</v>
      </c>
      <c r="CD214" s="50" t="s">
        <v>3859</v>
      </c>
      <c r="CE214" s="50" t="s">
        <v>3860</v>
      </c>
      <c r="CF214" s="50" t="s">
        <v>3861</v>
      </c>
      <c r="CG214" s="50" t="s">
        <v>102</v>
      </c>
      <c r="CH214" s="50" t="s">
        <v>3863</v>
      </c>
      <c r="CJ214" s="50" t="s">
        <v>3864</v>
      </c>
      <c r="CL214" s="50" t="s">
        <v>3854</v>
      </c>
      <c r="CM214" s="50" t="s">
        <v>449</v>
      </c>
      <c r="CN214" s="50" t="s">
        <v>3864</v>
      </c>
      <c r="CO214" s="50" t="s">
        <v>3865</v>
      </c>
      <c r="CP214" s="50" t="s">
        <v>3863</v>
      </c>
      <c r="CQ214" s="50" t="s">
        <v>3863</v>
      </c>
    </row>
    <row r="215" spans="1:96">
      <c r="A215" s="95" t="s">
        <v>149</v>
      </c>
      <c r="B215" s="50">
        <v>2548143</v>
      </c>
      <c r="C215" s="50" t="s">
        <v>418</v>
      </c>
      <c r="D215" s="50" t="s">
        <v>4007</v>
      </c>
      <c r="E215" s="50" t="e">
        <f>VLOOKUP(B215,aa!B:F,5,0)</f>
        <v>#N/A</v>
      </c>
      <c r="F215" s="50" t="e">
        <f>VLOOKUP(B215,aa!B:J,9,0)</f>
        <v>#N/A</v>
      </c>
      <c r="G215" s="50" t="e">
        <f>VLOOKUP(B215,aa!B:L,11,0)</f>
        <v>#N/A</v>
      </c>
      <c r="H215" s="50" t="e">
        <f>VLOOKUP(B215,aa!B:O,14,0)</f>
        <v>#N/A</v>
      </c>
      <c r="I215" s="50" t="e">
        <f>VLOOKUP(B215,aa!B:R,17,0)</f>
        <v>#N/A</v>
      </c>
      <c r="K215" s="50" t="s">
        <v>97</v>
      </c>
      <c r="L215" s="50">
        <v>393461</v>
      </c>
      <c r="M215" s="50">
        <v>393461</v>
      </c>
      <c r="N215" s="50">
        <v>393461</v>
      </c>
      <c r="O215" s="50">
        <v>787</v>
      </c>
      <c r="P215" s="50" t="s">
        <v>364</v>
      </c>
      <c r="Q215" s="50">
        <v>0</v>
      </c>
      <c r="R215" s="50">
        <v>0</v>
      </c>
      <c r="T215" s="50">
        <v>0</v>
      </c>
      <c r="U215" s="50">
        <v>0</v>
      </c>
      <c r="W215" s="50" t="s">
        <v>102</v>
      </c>
      <c r="X215" s="50" t="s">
        <v>103</v>
      </c>
      <c r="Y215" s="50" t="s">
        <v>104</v>
      </c>
      <c r="AA215" s="50" t="s">
        <v>8708</v>
      </c>
      <c r="AB215" s="50" t="s">
        <v>14467</v>
      </c>
      <c r="AC215" s="50" t="s">
        <v>5651</v>
      </c>
      <c r="AD215" s="50" t="s">
        <v>14468</v>
      </c>
      <c r="AE215" s="50" t="s">
        <v>109</v>
      </c>
      <c r="AF215" s="50" t="s">
        <v>102</v>
      </c>
      <c r="AG215" s="50" t="s">
        <v>109</v>
      </c>
      <c r="AH215" s="50" t="s">
        <v>102</v>
      </c>
      <c r="AI215" s="50" t="s">
        <v>14469</v>
      </c>
      <c r="AJ215" s="50" t="s">
        <v>12019</v>
      </c>
      <c r="AK215" s="50" t="s">
        <v>12430</v>
      </c>
      <c r="AL215" s="50" t="s">
        <v>14470</v>
      </c>
      <c r="AM215" s="50" t="s">
        <v>14471</v>
      </c>
      <c r="AN215" s="50" t="s">
        <v>14472</v>
      </c>
      <c r="AO215" s="50" t="s">
        <v>2307</v>
      </c>
      <c r="AP215" s="50" t="s">
        <v>2307</v>
      </c>
      <c r="AU215" s="50" t="s">
        <v>318</v>
      </c>
      <c r="AV215" s="50" t="s">
        <v>118</v>
      </c>
      <c r="AW215" s="50" t="s">
        <v>102</v>
      </c>
      <c r="AX215" s="50" t="s">
        <v>119</v>
      </c>
      <c r="BB215" s="50" t="s">
        <v>120</v>
      </c>
      <c r="BC215" s="50" t="s">
        <v>409</v>
      </c>
      <c r="BD215" s="50" t="s">
        <v>410</v>
      </c>
      <c r="BE215" s="50" t="s">
        <v>212</v>
      </c>
      <c r="BF215" s="50" t="s">
        <v>410</v>
      </c>
      <c r="BG215" s="50" t="s">
        <v>124</v>
      </c>
      <c r="BH215" s="50" t="s">
        <v>5351</v>
      </c>
      <c r="BI215" s="50" t="s">
        <v>12250</v>
      </c>
      <c r="BJ215" s="50" t="s">
        <v>127</v>
      </c>
      <c r="BK215" s="50" t="s">
        <v>14473</v>
      </c>
      <c r="BL215" s="50" t="s">
        <v>4016</v>
      </c>
      <c r="BM215" s="50" t="s">
        <v>14474</v>
      </c>
      <c r="BN215" s="50" t="s">
        <v>13216</v>
      </c>
      <c r="BO215" s="50" t="s">
        <v>866</v>
      </c>
      <c r="BP215" s="50" t="s">
        <v>132</v>
      </c>
      <c r="BQ215" s="50" t="s">
        <v>867</v>
      </c>
      <c r="BR215" s="50" t="s">
        <v>868</v>
      </c>
      <c r="BS215" s="50" t="s">
        <v>222</v>
      </c>
      <c r="BU215" s="50" t="s">
        <v>14475</v>
      </c>
      <c r="BV215" s="50" t="s">
        <v>2312</v>
      </c>
      <c r="BW215" s="50" t="s">
        <v>598</v>
      </c>
      <c r="BX215" s="50" t="s">
        <v>2313</v>
      </c>
      <c r="BY215" s="50" t="s">
        <v>2314</v>
      </c>
      <c r="BZ215" s="50" t="s">
        <v>4019</v>
      </c>
      <c r="CA215" s="50" t="s">
        <v>14476</v>
      </c>
      <c r="CB215" s="50" t="s">
        <v>4020</v>
      </c>
      <c r="CC215" s="50" t="s">
        <v>14477</v>
      </c>
      <c r="CD215" s="50" t="s">
        <v>14476</v>
      </c>
      <c r="CE215" s="50" t="s">
        <v>4020</v>
      </c>
      <c r="CF215" s="50" t="s">
        <v>14477</v>
      </c>
      <c r="CG215" s="50" t="s">
        <v>102</v>
      </c>
      <c r="CH215" s="50" t="s">
        <v>4021</v>
      </c>
      <c r="CJ215" s="50" t="s">
        <v>4022</v>
      </c>
      <c r="CL215" s="50" t="s">
        <v>409</v>
      </c>
      <c r="CM215" s="50" t="s">
        <v>410</v>
      </c>
      <c r="CN215" s="50" t="s">
        <v>4022</v>
      </c>
      <c r="CO215" s="50" t="s">
        <v>2319</v>
      </c>
      <c r="CP215" s="50" t="s">
        <v>4021</v>
      </c>
      <c r="CQ215" s="50" t="s">
        <v>4021</v>
      </c>
      <c r="CR215" s="50" t="s">
        <v>26040</v>
      </c>
    </row>
    <row r="216" spans="1:96">
      <c r="A216" s="95" t="s">
        <v>149</v>
      </c>
      <c r="B216" s="50">
        <v>366777</v>
      </c>
      <c r="C216" s="50" t="s">
        <v>2525</v>
      </c>
      <c r="D216" s="50" t="s">
        <v>7048</v>
      </c>
      <c r="E216" s="50" t="str">
        <f>VLOOKUP(B216,aa!B:F,5,0)</f>
        <v>Ei ASSET,Ei CARES</v>
      </c>
      <c r="F216" s="50">
        <f>VLOOKUP(B216,aa!B:J,9,0)</f>
        <v>1030249</v>
      </c>
      <c r="G216" s="50">
        <f>VLOOKUP(B216,aa!B:L,11,0)</f>
        <v>423781</v>
      </c>
      <c r="H216" s="50">
        <f>VLOOKUP(B216,aa!B:O,14,0)</f>
        <v>606468</v>
      </c>
      <c r="I216" s="50">
        <f>VLOOKUP(B216,aa!B:R,17,0)</f>
        <v>0</v>
      </c>
      <c r="K216" s="50" t="s">
        <v>2044</v>
      </c>
      <c r="L216" s="50">
        <v>969368</v>
      </c>
      <c r="M216" s="50">
        <v>969368</v>
      </c>
      <c r="N216" s="50">
        <v>412296</v>
      </c>
      <c r="O216" s="50">
        <v>636</v>
      </c>
      <c r="P216" s="50" t="s">
        <v>16722</v>
      </c>
      <c r="Q216" s="50">
        <v>557072</v>
      </c>
      <c r="R216" s="50">
        <v>354</v>
      </c>
      <c r="S216" s="50" t="s">
        <v>16723</v>
      </c>
      <c r="T216" s="50">
        <v>0</v>
      </c>
      <c r="U216" s="50">
        <v>0</v>
      </c>
      <c r="W216" s="50" t="s">
        <v>102</v>
      </c>
      <c r="X216" s="50" t="s">
        <v>275</v>
      </c>
      <c r="Z216" s="50" t="s">
        <v>126</v>
      </c>
      <c r="AA216" s="50" t="s">
        <v>109</v>
      </c>
      <c r="AB216" s="50" t="s">
        <v>102</v>
      </c>
      <c r="AC216" s="50" t="s">
        <v>109</v>
      </c>
      <c r="AD216" s="50" t="s">
        <v>102</v>
      </c>
      <c r="AE216" s="50" t="s">
        <v>109</v>
      </c>
      <c r="AF216" s="50" t="s">
        <v>102</v>
      </c>
      <c r="AG216" s="50" t="s">
        <v>109</v>
      </c>
      <c r="AH216" s="50" t="s">
        <v>102</v>
      </c>
      <c r="AI216" s="50" t="s">
        <v>16724</v>
      </c>
      <c r="AJ216" s="50" t="s">
        <v>13202</v>
      </c>
      <c r="AK216" s="50" t="s">
        <v>13202</v>
      </c>
      <c r="AL216" s="50" t="s">
        <v>16725</v>
      </c>
      <c r="AM216" s="50" t="s">
        <v>16726</v>
      </c>
      <c r="AN216" s="50" t="s">
        <v>16727</v>
      </c>
      <c r="AO216" s="50" t="s">
        <v>16728</v>
      </c>
      <c r="AP216" s="50" t="s">
        <v>16729</v>
      </c>
      <c r="AQ216" s="50" t="s">
        <v>343</v>
      </c>
      <c r="AS216" s="50" t="s">
        <v>169</v>
      </c>
      <c r="AT216" s="50" t="s">
        <v>169</v>
      </c>
      <c r="AU216" s="50" t="s">
        <v>117</v>
      </c>
      <c r="AV216" s="50" t="s">
        <v>118</v>
      </c>
      <c r="AW216" s="50" t="s">
        <v>1384</v>
      </c>
      <c r="AX216" s="50" t="s">
        <v>119</v>
      </c>
      <c r="AY216" s="50" t="s">
        <v>1138</v>
      </c>
      <c r="AZ216" s="50" t="s">
        <v>118</v>
      </c>
      <c r="BB216" s="50" t="s">
        <v>120</v>
      </c>
      <c r="BC216" s="50" t="s">
        <v>2327</v>
      </c>
      <c r="BD216" s="50" t="s">
        <v>730</v>
      </c>
      <c r="BE216" s="50" t="s">
        <v>622</v>
      </c>
      <c r="BF216" s="50" t="s">
        <v>730</v>
      </c>
      <c r="BG216" s="50" t="s">
        <v>124</v>
      </c>
      <c r="BH216" s="50" t="s">
        <v>12023</v>
      </c>
      <c r="BI216" s="50" t="s">
        <v>11889</v>
      </c>
      <c r="BJ216" s="50" t="s">
        <v>127</v>
      </c>
      <c r="BK216" s="50" t="s">
        <v>16730</v>
      </c>
      <c r="BL216" s="50" t="s">
        <v>7057</v>
      </c>
      <c r="BM216" s="50" t="s">
        <v>16731</v>
      </c>
      <c r="BN216" s="50" t="s">
        <v>13216</v>
      </c>
      <c r="BO216" s="50" t="s">
        <v>3606</v>
      </c>
      <c r="BP216" s="50" t="s">
        <v>350</v>
      </c>
      <c r="BQ216" s="50" t="s">
        <v>3607</v>
      </c>
      <c r="BR216" s="50" t="s">
        <v>3608</v>
      </c>
      <c r="BS216" s="50" t="s">
        <v>2525</v>
      </c>
      <c r="BU216" s="50" t="s">
        <v>16732</v>
      </c>
      <c r="BV216" s="50" t="s">
        <v>7060</v>
      </c>
      <c r="BW216" s="50" t="s">
        <v>138</v>
      </c>
      <c r="BX216" s="50" t="s">
        <v>7061</v>
      </c>
      <c r="BY216" s="50" t="s">
        <v>16733</v>
      </c>
      <c r="BZ216" s="50" t="s">
        <v>7061</v>
      </c>
      <c r="CA216" s="50" t="s">
        <v>7060</v>
      </c>
      <c r="CB216" s="50" t="s">
        <v>7061</v>
      </c>
      <c r="CC216" s="50" t="s">
        <v>16733</v>
      </c>
      <c r="CD216" s="50" t="s">
        <v>16734</v>
      </c>
      <c r="CE216" s="50" t="s">
        <v>7061</v>
      </c>
      <c r="CF216" s="50" t="s">
        <v>16735</v>
      </c>
      <c r="CG216" s="50" t="s">
        <v>102</v>
      </c>
      <c r="CH216" s="50" t="s">
        <v>7062</v>
      </c>
      <c r="CJ216" s="50" t="s">
        <v>2532</v>
      </c>
      <c r="CL216" s="50" t="s">
        <v>2327</v>
      </c>
      <c r="CM216" s="50" t="s">
        <v>730</v>
      </c>
      <c r="CN216" s="50" t="s">
        <v>2532</v>
      </c>
      <c r="CO216" s="50" t="s">
        <v>7063</v>
      </c>
      <c r="CP216" s="50" t="s">
        <v>7062</v>
      </c>
      <c r="CQ216" s="50" t="s">
        <v>7062</v>
      </c>
    </row>
    <row r="217" spans="1:96">
      <c r="A217" s="95" t="s">
        <v>149</v>
      </c>
      <c r="B217" s="50">
        <v>47745</v>
      </c>
      <c r="C217" s="50" t="s">
        <v>12491</v>
      </c>
      <c r="D217" s="50" t="s">
        <v>8992</v>
      </c>
      <c r="E217" s="50" t="str">
        <f>VLOOKUP(B217,aa!B:F,5,0)</f>
        <v>Ei ASSET</v>
      </c>
      <c r="F217" s="50">
        <f>VLOOKUP(B217,aa!B:J,9,0)</f>
        <v>1039920</v>
      </c>
      <c r="G217" s="50">
        <f>VLOOKUP(B217,aa!B:L,11,0)</f>
        <v>1039920</v>
      </c>
      <c r="H217" s="50">
        <f>VLOOKUP(B217,aa!B:O,14,0)</f>
        <v>0</v>
      </c>
      <c r="I217" s="50">
        <f>VLOOKUP(B217,aa!B:R,17,0)</f>
        <v>0</v>
      </c>
      <c r="K217" s="50" t="s">
        <v>97</v>
      </c>
      <c r="L217" s="50">
        <v>1026271</v>
      </c>
      <c r="M217" s="50">
        <v>1026271</v>
      </c>
      <c r="N217" s="50">
        <v>1026271</v>
      </c>
      <c r="O217" s="50">
        <v>1579</v>
      </c>
      <c r="P217" s="50" t="s">
        <v>1122</v>
      </c>
      <c r="Q217" s="50">
        <v>0</v>
      </c>
      <c r="R217" s="50">
        <v>0</v>
      </c>
      <c r="T217" s="50">
        <v>0</v>
      </c>
      <c r="U217" s="50">
        <v>0</v>
      </c>
      <c r="W217" s="50" t="s">
        <v>102</v>
      </c>
      <c r="X217" s="50" t="s">
        <v>103</v>
      </c>
      <c r="Y217" s="50" t="s">
        <v>104</v>
      </c>
      <c r="AA217" s="50" t="s">
        <v>14250</v>
      </c>
      <c r="AB217" s="50" t="s">
        <v>18407</v>
      </c>
      <c r="AC217" s="50" t="s">
        <v>11929</v>
      </c>
      <c r="AD217" s="50" t="s">
        <v>18408</v>
      </c>
      <c r="AE217" s="50" t="s">
        <v>109</v>
      </c>
      <c r="AF217" s="50" t="s">
        <v>102</v>
      </c>
      <c r="AG217" s="50" t="s">
        <v>109</v>
      </c>
      <c r="AH217" s="50" t="s">
        <v>102</v>
      </c>
      <c r="AI217" s="50" t="s">
        <v>18409</v>
      </c>
      <c r="AJ217" s="50" t="s">
        <v>15939</v>
      </c>
      <c r="AK217" s="50" t="s">
        <v>946</v>
      </c>
      <c r="AL217" s="50" t="s">
        <v>18410</v>
      </c>
      <c r="AM217" s="50" t="s">
        <v>18411</v>
      </c>
      <c r="AN217" s="50" t="s">
        <v>18412</v>
      </c>
      <c r="AO217" s="50" t="s">
        <v>5355</v>
      </c>
      <c r="AP217" s="50" t="s">
        <v>5355</v>
      </c>
      <c r="AU217" s="50" t="s">
        <v>318</v>
      </c>
      <c r="AV217" s="50" t="s">
        <v>118</v>
      </c>
      <c r="AW217" s="50" t="s">
        <v>102</v>
      </c>
      <c r="AX217" s="50" t="s">
        <v>119</v>
      </c>
      <c r="BB217" s="50" t="s">
        <v>120</v>
      </c>
      <c r="BC217" s="50" t="s">
        <v>2204</v>
      </c>
      <c r="BD217" s="50" t="s">
        <v>121</v>
      </c>
      <c r="BE217" s="50" t="s">
        <v>122</v>
      </c>
      <c r="BF217" s="50" t="s">
        <v>123</v>
      </c>
      <c r="BG217" s="50" t="s">
        <v>124</v>
      </c>
      <c r="BH217" s="50" t="s">
        <v>12023</v>
      </c>
      <c r="BI217" s="50" t="s">
        <v>11889</v>
      </c>
      <c r="BJ217" s="50" t="s">
        <v>127</v>
      </c>
      <c r="BK217" s="50" t="s">
        <v>18413</v>
      </c>
      <c r="BL217" s="50" t="s">
        <v>9001</v>
      </c>
      <c r="BM217" s="50" t="s">
        <v>18414</v>
      </c>
      <c r="BN217" s="50" t="s">
        <v>13216</v>
      </c>
      <c r="BO217" s="50" t="s">
        <v>8788</v>
      </c>
      <c r="BP217" s="50" t="s">
        <v>350</v>
      </c>
      <c r="BQ217" s="50" t="s">
        <v>8789</v>
      </c>
      <c r="BR217" s="50" t="s">
        <v>8790</v>
      </c>
      <c r="BS217" s="50" t="s">
        <v>1006</v>
      </c>
      <c r="BU217" s="50" t="s">
        <v>18415</v>
      </c>
      <c r="BV217" s="50" t="s">
        <v>9004</v>
      </c>
      <c r="BW217" s="50" t="s">
        <v>138</v>
      </c>
      <c r="BX217" s="50" t="s">
        <v>9005</v>
      </c>
      <c r="BY217" s="50" t="s">
        <v>9006</v>
      </c>
      <c r="BZ217" s="50" t="s">
        <v>9007</v>
      </c>
      <c r="CA217" s="50" t="s">
        <v>9004</v>
      </c>
      <c r="CB217" s="50" t="s">
        <v>9005</v>
      </c>
      <c r="CC217" s="50" t="s">
        <v>9006</v>
      </c>
      <c r="CD217" s="50" t="s">
        <v>18416</v>
      </c>
      <c r="CE217" s="50" t="s">
        <v>9009</v>
      </c>
      <c r="CF217" s="50" t="s">
        <v>9010</v>
      </c>
      <c r="CG217" s="50" t="s">
        <v>102</v>
      </c>
      <c r="CH217" s="50" t="s">
        <v>9011</v>
      </c>
      <c r="CJ217" s="50" t="s">
        <v>5311</v>
      </c>
      <c r="CL217" s="50" t="s">
        <v>2204</v>
      </c>
      <c r="CM217" s="50" t="s">
        <v>121</v>
      </c>
      <c r="CN217" s="50" t="s">
        <v>5311</v>
      </c>
      <c r="CP217" s="50" t="s">
        <v>9011</v>
      </c>
      <c r="CQ217" s="50" t="s">
        <v>9011</v>
      </c>
    </row>
    <row r="218" spans="1:96">
      <c r="A218" s="95" t="s">
        <v>149</v>
      </c>
      <c r="B218" s="50">
        <v>6019</v>
      </c>
      <c r="C218" s="50" t="s">
        <v>418</v>
      </c>
      <c r="D218" s="50" t="s">
        <v>11266</v>
      </c>
      <c r="E218" s="50" t="e">
        <f>VLOOKUP(B218,aa!B:F,5,0)</f>
        <v>#N/A</v>
      </c>
      <c r="F218" s="50" t="e">
        <f>VLOOKUP(B218,aa!B:J,9,0)</f>
        <v>#N/A</v>
      </c>
      <c r="G218" s="50" t="e">
        <f>VLOOKUP(B218,aa!B:L,11,0)</f>
        <v>#N/A</v>
      </c>
      <c r="H218" s="50" t="e">
        <f>VLOOKUP(B218,aa!B:O,14,0)</f>
        <v>#N/A</v>
      </c>
      <c r="I218" s="50" t="e">
        <f>VLOOKUP(B218,aa!B:R,17,0)</f>
        <v>#N/A</v>
      </c>
      <c r="K218" s="50" t="s">
        <v>97</v>
      </c>
      <c r="L218" s="50">
        <v>349965</v>
      </c>
      <c r="M218" s="50">
        <v>349965</v>
      </c>
      <c r="N218" s="50">
        <v>349965</v>
      </c>
      <c r="O218" s="50">
        <v>700</v>
      </c>
      <c r="P218" s="50" t="s">
        <v>364</v>
      </c>
      <c r="Q218" s="50">
        <v>0</v>
      </c>
      <c r="R218" s="50">
        <v>0</v>
      </c>
      <c r="T218" s="50">
        <v>0</v>
      </c>
      <c r="U218" s="50">
        <v>0</v>
      </c>
      <c r="W218" s="50" t="s">
        <v>102</v>
      </c>
      <c r="X218" s="50" t="s">
        <v>103</v>
      </c>
      <c r="Y218" s="50" t="s">
        <v>104</v>
      </c>
      <c r="AA218" s="50" t="s">
        <v>8708</v>
      </c>
      <c r="AB218" s="50" t="s">
        <v>21211</v>
      </c>
      <c r="AC218" s="50" t="s">
        <v>5651</v>
      </c>
      <c r="AD218" s="50" t="s">
        <v>21212</v>
      </c>
      <c r="AE218" s="50" t="s">
        <v>109</v>
      </c>
      <c r="AF218" s="50" t="s">
        <v>102</v>
      </c>
      <c r="AG218" s="50" t="s">
        <v>109</v>
      </c>
      <c r="AH218" s="50" t="s">
        <v>102</v>
      </c>
      <c r="AI218" s="50" t="s">
        <v>21213</v>
      </c>
      <c r="AJ218" s="50" t="s">
        <v>12019</v>
      </c>
      <c r="AK218" s="50" t="s">
        <v>21214</v>
      </c>
      <c r="AL218" s="50" t="s">
        <v>21215</v>
      </c>
      <c r="AM218" s="50" t="s">
        <v>21216</v>
      </c>
      <c r="AN218" s="50" t="s">
        <v>21217</v>
      </c>
      <c r="AO218" s="50" t="s">
        <v>2307</v>
      </c>
      <c r="AP218" s="50" t="s">
        <v>2307</v>
      </c>
      <c r="AU218" s="50" t="s">
        <v>318</v>
      </c>
      <c r="AV218" s="50" t="s">
        <v>118</v>
      </c>
      <c r="AW218" s="50" t="s">
        <v>102</v>
      </c>
      <c r="AX218" s="50" t="s">
        <v>119</v>
      </c>
      <c r="BB218" s="50" t="s">
        <v>120</v>
      </c>
      <c r="BC218" s="50" t="s">
        <v>409</v>
      </c>
      <c r="BD218" s="50" t="s">
        <v>410</v>
      </c>
      <c r="BE218" s="50" t="s">
        <v>212</v>
      </c>
      <c r="BF218" s="50" t="s">
        <v>410</v>
      </c>
      <c r="BG218" s="50" t="s">
        <v>124</v>
      </c>
      <c r="BH218" s="50" t="s">
        <v>5351</v>
      </c>
      <c r="BI218" s="50" t="s">
        <v>12250</v>
      </c>
      <c r="BJ218" s="50" t="s">
        <v>127</v>
      </c>
      <c r="BK218" s="50" t="s">
        <v>21218</v>
      </c>
      <c r="BL218" s="50" t="s">
        <v>11275</v>
      </c>
      <c r="BM218" s="50" t="s">
        <v>21219</v>
      </c>
      <c r="BN218" s="50" t="s">
        <v>13216</v>
      </c>
      <c r="BO218" s="50" t="s">
        <v>866</v>
      </c>
      <c r="BP218" s="50" t="s">
        <v>132</v>
      </c>
      <c r="BQ218" s="50" t="s">
        <v>867</v>
      </c>
      <c r="BR218" s="50" t="s">
        <v>868</v>
      </c>
      <c r="BS218" s="50" t="s">
        <v>222</v>
      </c>
      <c r="BU218" s="50" t="s">
        <v>21220</v>
      </c>
      <c r="BV218" s="50" t="s">
        <v>2312</v>
      </c>
      <c r="BW218" s="50" t="s">
        <v>598</v>
      </c>
      <c r="BX218" s="50" t="s">
        <v>2313</v>
      </c>
      <c r="BY218" s="50" t="s">
        <v>2314</v>
      </c>
      <c r="BZ218" s="50" t="s">
        <v>11278</v>
      </c>
      <c r="CA218" s="50" t="s">
        <v>21221</v>
      </c>
      <c r="CB218" s="50" t="s">
        <v>11278</v>
      </c>
      <c r="CC218" s="50" t="s">
        <v>21222</v>
      </c>
      <c r="CD218" s="50" t="s">
        <v>21221</v>
      </c>
      <c r="CE218" s="50" t="s">
        <v>11278</v>
      </c>
      <c r="CF218" s="50" t="s">
        <v>21222</v>
      </c>
      <c r="CG218" s="50" t="s">
        <v>102</v>
      </c>
      <c r="CH218" s="50" t="s">
        <v>11279</v>
      </c>
      <c r="CJ218" s="50" t="s">
        <v>6687</v>
      </c>
      <c r="CL218" s="50" t="s">
        <v>409</v>
      </c>
      <c r="CM218" s="50" t="s">
        <v>410</v>
      </c>
      <c r="CN218" s="50" t="s">
        <v>6687</v>
      </c>
      <c r="CO218" s="50" t="s">
        <v>2319</v>
      </c>
      <c r="CP218" s="50" t="s">
        <v>11279</v>
      </c>
      <c r="CQ218" s="50" t="s">
        <v>11279</v>
      </c>
      <c r="CR218" s="50" t="s">
        <v>26040</v>
      </c>
    </row>
    <row r="219" spans="1:96">
      <c r="A219" s="95" t="s">
        <v>149</v>
      </c>
      <c r="B219" s="50">
        <v>282495</v>
      </c>
      <c r="C219" s="50" t="s">
        <v>3562</v>
      </c>
      <c r="D219" s="50" t="s">
        <v>4444</v>
      </c>
      <c r="E219" s="50" t="e">
        <f>VLOOKUP(B219,aa!B:F,5,0)</f>
        <v>#N/A</v>
      </c>
      <c r="F219" s="50" t="e">
        <f>VLOOKUP(B219,aa!B:J,9,0)</f>
        <v>#N/A</v>
      </c>
      <c r="G219" s="50" t="e">
        <f>VLOOKUP(B219,aa!B:L,11,0)</f>
        <v>#N/A</v>
      </c>
      <c r="H219" s="50" t="e">
        <f>VLOOKUP(B219,aa!B:O,14,0)</f>
        <v>#N/A</v>
      </c>
      <c r="I219" s="50" t="e">
        <f>VLOOKUP(B219,aa!B:R,17,0)</f>
        <v>#N/A</v>
      </c>
      <c r="K219" s="50" t="s">
        <v>848</v>
      </c>
      <c r="L219" s="50">
        <v>600117</v>
      </c>
      <c r="M219" s="50">
        <v>708138</v>
      </c>
      <c r="N219" s="50">
        <v>0</v>
      </c>
      <c r="O219" s="50">
        <v>0</v>
      </c>
      <c r="Q219" s="50">
        <v>0</v>
      </c>
      <c r="R219" s="50">
        <v>0</v>
      </c>
      <c r="T219" s="50">
        <v>600117</v>
      </c>
      <c r="U219" s="50">
        <v>472</v>
      </c>
      <c r="V219" s="50" t="s">
        <v>14731</v>
      </c>
      <c r="W219" s="50" t="s">
        <v>102</v>
      </c>
      <c r="X219" s="50" t="s">
        <v>275</v>
      </c>
      <c r="Z219" s="50" t="s">
        <v>14732</v>
      </c>
      <c r="AA219" s="50" t="s">
        <v>109</v>
      </c>
      <c r="AB219" s="50" t="s">
        <v>102</v>
      </c>
      <c r="AC219" s="50" t="s">
        <v>109</v>
      </c>
      <c r="AD219" s="50" t="s">
        <v>102</v>
      </c>
      <c r="AE219" s="50" t="s">
        <v>109</v>
      </c>
      <c r="AF219" s="50" t="s">
        <v>102</v>
      </c>
      <c r="AG219" s="50" t="s">
        <v>109</v>
      </c>
      <c r="AH219" s="50" t="s">
        <v>102</v>
      </c>
      <c r="AI219" s="50" t="s">
        <v>102</v>
      </c>
      <c r="AJ219" s="50" t="s">
        <v>1941</v>
      </c>
      <c r="AK219" s="50" t="s">
        <v>1941</v>
      </c>
      <c r="AL219" s="50" t="s">
        <v>14733</v>
      </c>
      <c r="AM219" s="50" t="s">
        <v>14734</v>
      </c>
      <c r="AN219" s="50" t="s">
        <v>14735</v>
      </c>
      <c r="AO219" s="50" t="s">
        <v>14736</v>
      </c>
      <c r="AP219" s="50" t="s">
        <v>14736</v>
      </c>
      <c r="AU219" s="50" t="s">
        <v>102</v>
      </c>
      <c r="AW219" s="50" t="s">
        <v>102</v>
      </c>
      <c r="AX219" s="50" t="s">
        <v>119</v>
      </c>
      <c r="BA219" s="50" t="s">
        <v>250</v>
      </c>
      <c r="BB219" s="50" t="s">
        <v>120</v>
      </c>
      <c r="BC219" s="50" t="s">
        <v>1729</v>
      </c>
      <c r="BD219" s="50" t="s">
        <v>730</v>
      </c>
      <c r="BE219" s="50" t="s">
        <v>622</v>
      </c>
      <c r="BF219" s="50" t="s">
        <v>730</v>
      </c>
      <c r="BG219" s="50" t="s">
        <v>124</v>
      </c>
      <c r="BH219" s="50" t="s">
        <v>12636</v>
      </c>
      <c r="BI219" s="50" t="s">
        <v>12637</v>
      </c>
      <c r="BJ219" s="50" t="s">
        <v>127</v>
      </c>
      <c r="BK219" s="50" t="s">
        <v>14737</v>
      </c>
      <c r="BL219" s="50" t="s">
        <v>4452</v>
      </c>
      <c r="BM219" s="50" t="s">
        <v>14738</v>
      </c>
      <c r="BN219" s="50" t="s">
        <v>14730</v>
      </c>
      <c r="BO219" s="50" t="s">
        <v>3910</v>
      </c>
      <c r="BP219" s="50" t="s">
        <v>505</v>
      </c>
      <c r="BQ219" s="50" t="s">
        <v>3911</v>
      </c>
      <c r="BR219" s="50" t="s">
        <v>3912</v>
      </c>
      <c r="BS219" s="50" t="s">
        <v>2569</v>
      </c>
      <c r="BU219" s="50" t="s">
        <v>14739</v>
      </c>
      <c r="BV219" s="50" t="s">
        <v>14740</v>
      </c>
      <c r="BW219" s="50" t="s">
        <v>14741</v>
      </c>
      <c r="BX219" s="50" t="s">
        <v>14742</v>
      </c>
      <c r="BY219" s="50" t="s">
        <v>14743</v>
      </c>
      <c r="BZ219" s="50" t="s">
        <v>4458</v>
      </c>
      <c r="CA219" s="50" t="s">
        <v>14744</v>
      </c>
      <c r="CB219" s="50" t="s">
        <v>14742</v>
      </c>
      <c r="CC219" s="50" t="s">
        <v>14745</v>
      </c>
      <c r="CD219" s="50" t="s">
        <v>14746</v>
      </c>
      <c r="CE219" s="50" t="s">
        <v>14747</v>
      </c>
      <c r="CF219" s="50" t="s">
        <v>14748</v>
      </c>
      <c r="CG219" s="50" t="s">
        <v>1594</v>
      </c>
      <c r="CH219" s="50" t="s">
        <v>14749</v>
      </c>
      <c r="CJ219" s="50" t="s">
        <v>1743</v>
      </c>
      <c r="CK219" s="50" t="s">
        <v>4459</v>
      </c>
      <c r="CL219" s="50" t="s">
        <v>1729</v>
      </c>
      <c r="CM219" s="50" t="s">
        <v>730</v>
      </c>
      <c r="CN219" s="50" t="s">
        <v>1743</v>
      </c>
      <c r="CP219" s="50" t="s">
        <v>4459</v>
      </c>
      <c r="CQ219" s="50" t="s">
        <v>4459</v>
      </c>
      <c r="CR219" s="50" t="s">
        <v>26047</v>
      </c>
    </row>
    <row r="220" spans="1:96">
      <c r="A220" s="95" t="s">
        <v>149</v>
      </c>
      <c r="B220" s="50">
        <v>3495131</v>
      </c>
      <c r="C220" s="50" t="s">
        <v>11995</v>
      </c>
      <c r="D220" s="50" t="s">
        <v>6374</v>
      </c>
      <c r="E220" s="50" t="str">
        <f>VLOOKUP(B220,aa!B:F,5,0)</f>
        <v>Ei Mindspark</v>
      </c>
      <c r="F220" s="50">
        <f>VLOOKUP(B220,aa!B:J,9,0)</f>
        <v>1600981</v>
      </c>
      <c r="G220" s="50">
        <f>VLOOKUP(B220,aa!B:L,11,0)</f>
        <v>0</v>
      </c>
      <c r="H220" s="50">
        <f>VLOOKUP(B220,aa!B:O,14,0)</f>
        <v>0</v>
      </c>
      <c r="I220" s="50">
        <f>VLOOKUP(B220,aa!B:R,17,0)</f>
        <v>1600981</v>
      </c>
      <c r="K220" s="50" t="s">
        <v>193</v>
      </c>
      <c r="L220" s="50">
        <v>2405136</v>
      </c>
      <c r="M220" s="50">
        <v>2725470</v>
      </c>
      <c r="N220" s="50">
        <v>625500</v>
      </c>
      <c r="O220" s="50">
        <v>834</v>
      </c>
      <c r="P220" s="50" t="s">
        <v>101</v>
      </c>
      <c r="Q220" s="50">
        <v>0</v>
      </c>
      <c r="R220" s="50">
        <v>0</v>
      </c>
      <c r="T220" s="50">
        <v>1779636</v>
      </c>
      <c r="U220" s="50">
        <v>840</v>
      </c>
      <c r="V220" s="50" t="s">
        <v>2166</v>
      </c>
      <c r="W220" s="50" t="s">
        <v>102</v>
      </c>
      <c r="X220" s="50" t="s">
        <v>103</v>
      </c>
      <c r="Y220" s="50" t="s">
        <v>5317</v>
      </c>
      <c r="AA220" s="50" t="s">
        <v>8708</v>
      </c>
      <c r="AB220" s="50" t="s">
        <v>16251</v>
      </c>
      <c r="AC220" s="50" t="s">
        <v>16252</v>
      </c>
      <c r="AD220" s="50" t="s">
        <v>16253</v>
      </c>
      <c r="AE220" s="50" t="s">
        <v>13263</v>
      </c>
      <c r="AF220" s="50" t="s">
        <v>16254</v>
      </c>
      <c r="AG220" s="50" t="s">
        <v>109</v>
      </c>
      <c r="AH220" s="50" t="s">
        <v>102</v>
      </c>
      <c r="AI220" s="50" t="s">
        <v>16255</v>
      </c>
      <c r="AJ220" s="50" t="s">
        <v>16256</v>
      </c>
      <c r="AK220" s="50" t="s">
        <v>16257</v>
      </c>
      <c r="AL220" s="50" t="s">
        <v>16258</v>
      </c>
      <c r="AM220" s="50" t="s">
        <v>16259</v>
      </c>
      <c r="AN220" s="50" t="s">
        <v>16260</v>
      </c>
      <c r="AO220" s="50" t="s">
        <v>16261</v>
      </c>
      <c r="AP220" s="50" t="s">
        <v>16261</v>
      </c>
      <c r="AU220" s="50" t="s">
        <v>247</v>
      </c>
      <c r="AV220" s="50" t="s">
        <v>118</v>
      </c>
      <c r="AW220" s="50" t="s">
        <v>102</v>
      </c>
      <c r="AX220" s="50" t="s">
        <v>119</v>
      </c>
      <c r="BA220" s="50" t="s">
        <v>250</v>
      </c>
      <c r="BB220" s="50" t="s">
        <v>120</v>
      </c>
      <c r="BC220" s="50" t="s">
        <v>6389</v>
      </c>
      <c r="BD220" s="50" t="s">
        <v>6390</v>
      </c>
      <c r="BE220" s="50" t="s">
        <v>212</v>
      </c>
      <c r="BF220" s="50" t="s">
        <v>286</v>
      </c>
      <c r="BG220" s="50" t="s">
        <v>124</v>
      </c>
      <c r="BH220" s="50" t="s">
        <v>12023</v>
      </c>
      <c r="BI220" s="50" t="s">
        <v>11889</v>
      </c>
      <c r="BJ220" s="50" t="s">
        <v>127</v>
      </c>
      <c r="BK220" s="50" t="s">
        <v>16262</v>
      </c>
      <c r="BL220" s="50" t="s">
        <v>6393</v>
      </c>
      <c r="BM220" s="50" t="s">
        <v>16263</v>
      </c>
      <c r="BN220" s="50" t="s">
        <v>16250</v>
      </c>
      <c r="BO220" s="50" t="s">
        <v>290</v>
      </c>
      <c r="BP220" s="50" t="s">
        <v>132</v>
      </c>
      <c r="BQ220" s="50" t="s">
        <v>291</v>
      </c>
      <c r="BR220" s="50" t="s">
        <v>292</v>
      </c>
      <c r="BS220" s="50" t="s">
        <v>4765</v>
      </c>
      <c r="BU220" s="50" t="s">
        <v>16264</v>
      </c>
      <c r="BV220" s="50" t="s">
        <v>16265</v>
      </c>
      <c r="BW220" s="50" t="s">
        <v>354</v>
      </c>
      <c r="BX220" s="50" t="s">
        <v>16266</v>
      </c>
      <c r="BY220" s="50" t="s">
        <v>16267</v>
      </c>
      <c r="BZ220" s="50" t="s">
        <v>6399</v>
      </c>
      <c r="CA220" s="50" t="s">
        <v>6396</v>
      </c>
      <c r="CB220" s="50" t="s">
        <v>6399</v>
      </c>
      <c r="CC220" s="50" t="s">
        <v>16268</v>
      </c>
      <c r="CD220" s="50" t="s">
        <v>16269</v>
      </c>
      <c r="CE220" s="50" t="s">
        <v>16270</v>
      </c>
      <c r="CF220" s="50" t="s">
        <v>16268</v>
      </c>
      <c r="CG220" s="50" t="s">
        <v>6401</v>
      </c>
      <c r="CH220" s="50" t="s">
        <v>16271</v>
      </c>
      <c r="CJ220" s="50" t="s">
        <v>6403</v>
      </c>
      <c r="CK220" s="50" t="s">
        <v>6402</v>
      </c>
      <c r="CL220" s="50" t="s">
        <v>6389</v>
      </c>
      <c r="CM220" s="50" t="s">
        <v>6390</v>
      </c>
      <c r="CN220" s="50" t="s">
        <v>6403</v>
      </c>
      <c r="CO220" s="50" t="s">
        <v>6404</v>
      </c>
      <c r="CP220" s="50" t="s">
        <v>6405</v>
      </c>
      <c r="CQ220" s="50" t="s">
        <v>6402</v>
      </c>
    </row>
    <row r="221" spans="1:96">
      <c r="A221" s="95" t="s">
        <v>149</v>
      </c>
      <c r="B221" s="50">
        <v>3187497</v>
      </c>
      <c r="C221" s="50" t="s">
        <v>418</v>
      </c>
      <c r="D221" s="50" t="s">
        <v>4939</v>
      </c>
      <c r="E221" s="50" t="str">
        <f>VLOOKUP(B221,aa!B:F,5,0)</f>
        <v>Ei ASSET, Ei CARES</v>
      </c>
      <c r="F221" s="50">
        <f>VLOOKUP(B221,aa!B:J,9,0)</f>
        <v>1307820</v>
      </c>
      <c r="G221" s="50">
        <f>VLOOKUP(B221,aa!B:L,11,0)</f>
        <v>967624</v>
      </c>
      <c r="H221" s="50">
        <f>VLOOKUP(B221,aa!B:O,14,0)</f>
        <v>340196</v>
      </c>
      <c r="I221" s="50">
        <f>VLOOKUP(B221,aa!B:R,17,0)</f>
        <v>0</v>
      </c>
      <c r="K221" s="50" t="s">
        <v>97</v>
      </c>
      <c r="L221" s="50">
        <v>1113742</v>
      </c>
      <c r="M221" s="50">
        <v>1113742</v>
      </c>
      <c r="N221" s="50">
        <v>1113742</v>
      </c>
      <c r="O221" s="50">
        <v>742</v>
      </c>
      <c r="P221" s="50" t="s">
        <v>15175</v>
      </c>
      <c r="Q221" s="50">
        <v>0</v>
      </c>
      <c r="R221" s="50">
        <v>0</v>
      </c>
      <c r="T221" s="50">
        <v>0</v>
      </c>
      <c r="U221" s="50">
        <v>0</v>
      </c>
      <c r="W221" s="50" t="s">
        <v>102</v>
      </c>
      <c r="X221" s="50" t="s">
        <v>103</v>
      </c>
      <c r="Y221" s="50" t="s">
        <v>104</v>
      </c>
      <c r="AA221" s="50" t="s">
        <v>1941</v>
      </c>
      <c r="AB221" s="50" t="s">
        <v>15176</v>
      </c>
      <c r="AC221" s="50" t="s">
        <v>15177</v>
      </c>
      <c r="AD221" s="50" t="s">
        <v>15176</v>
      </c>
      <c r="AE221" s="50" t="s">
        <v>109</v>
      </c>
      <c r="AF221" s="50" t="s">
        <v>102</v>
      </c>
      <c r="AG221" s="50" t="s">
        <v>109</v>
      </c>
      <c r="AH221" s="50" t="s">
        <v>102</v>
      </c>
      <c r="AI221" s="50" t="s">
        <v>15178</v>
      </c>
      <c r="AJ221" s="50" t="s">
        <v>15179</v>
      </c>
      <c r="AK221" s="50" t="s">
        <v>15179</v>
      </c>
      <c r="AL221" s="50" t="s">
        <v>15180</v>
      </c>
      <c r="AM221" s="50" t="s">
        <v>15181</v>
      </c>
      <c r="AN221" s="50" t="s">
        <v>15176</v>
      </c>
      <c r="AO221" s="50" t="s">
        <v>15182</v>
      </c>
      <c r="AP221" s="50" t="s">
        <v>15182</v>
      </c>
      <c r="AU221" s="50" t="s">
        <v>318</v>
      </c>
      <c r="AV221" s="50" t="s">
        <v>118</v>
      </c>
      <c r="AW221" s="50" t="s">
        <v>102</v>
      </c>
      <c r="AX221" s="50" t="s">
        <v>119</v>
      </c>
      <c r="BB221" s="50" t="s">
        <v>120</v>
      </c>
      <c r="BC221" s="50" t="s">
        <v>4951</v>
      </c>
      <c r="BD221" s="50" t="s">
        <v>410</v>
      </c>
      <c r="BE221" s="50" t="s">
        <v>212</v>
      </c>
      <c r="BF221" s="50" t="s">
        <v>410</v>
      </c>
      <c r="BG221" s="50" t="s">
        <v>124</v>
      </c>
      <c r="BH221" s="50" t="s">
        <v>12023</v>
      </c>
      <c r="BI221" s="50" t="s">
        <v>11889</v>
      </c>
      <c r="BJ221" s="50" t="s">
        <v>127</v>
      </c>
      <c r="BK221" s="50" t="s">
        <v>15183</v>
      </c>
      <c r="BL221" s="50" t="s">
        <v>4953</v>
      </c>
      <c r="BM221" s="50" t="s">
        <v>15184</v>
      </c>
      <c r="BN221" s="50" t="s">
        <v>1941</v>
      </c>
      <c r="BO221" s="50" t="s">
        <v>4955</v>
      </c>
      <c r="BP221" s="50" t="s">
        <v>132</v>
      </c>
      <c r="BQ221" s="50" t="s">
        <v>4956</v>
      </c>
      <c r="BR221" s="50" t="s">
        <v>4957</v>
      </c>
      <c r="BS221" s="50" t="s">
        <v>1702</v>
      </c>
      <c r="BU221" s="50" t="s">
        <v>15185</v>
      </c>
      <c r="BV221" s="50" t="s">
        <v>15186</v>
      </c>
      <c r="BW221" s="50" t="s">
        <v>138</v>
      </c>
      <c r="BX221" s="50" t="s">
        <v>4960</v>
      </c>
      <c r="BY221" s="50" t="s">
        <v>15187</v>
      </c>
      <c r="BZ221" s="50" t="s">
        <v>4962</v>
      </c>
      <c r="CA221" s="50" t="s">
        <v>4959</v>
      </c>
      <c r="CB221" s="50" t="s">
        <v>4960</v>
      </c>
      <c r="CC221" s="50" t="s">
        <v>4961</v>
      </c>
      <c r="CD221" s="50" t="s">
        <v>15188</v>
      </c>
      <c r="CE221" s="50" t="s">
        <v>4960</v>
      </c>
      <c r="CF221" s="50" t="s">
        <v>15189</v>
      </c>
      <c r="CG221" s="50" t="s">
        <v>2270</v>
      </c>
      <c r="CH221" s="50" t="s">
        <v>15190</v>
      </c>
      <c r="CJ221" s="50" t="s">
        <v>4964</v>
      </c>
      <c r="CK221" s="50" t="s">
        <v>15190</v>
      </c>
      <c r="CL221" s="50" t="s">
        <v>4951</v>
      </c>
      <c r="CM221" s="50" t="s">
        <v>410</v>
      </c>
      <c r="CN221" s="50" t="s">
        <v>4964</v>
      </c>
      <c r="CP221" s="50" t="s">
        <v>4963</v>
      </c>
      <c r="CQ221" s="50" t="s">
        <v>4963</v>
      </c>
    </row>
    <row r="222" spans="1:96">
      <c r="A222" s="95" t="s">
        <v>149</v>
      </c>
      <c r="B222" s="50">
        <v>3999846</v>
      </c>
      <c r="C222" s="50" t="s">
        <v>418</v>
      </c>
      <c r="D222" s="50" t="s">
        <v>8501</v>
      </c>
      <c r="E222" s="50" t="str">
        <f>VLOOKUP(B222,aa!B:F,5,0)</f>
        <v>Ei ASSET</v>
      </c>
      <c r="F222" s="50">
        <f>VLOOKUP(B222,aa!B:J,9,0)</f>
        <v>452250</v>
      </c>
      <c r="G222" s="50">
        <f>VLOOKUP(B222,aa!B:L,11,0)</f>
        <v>452250</v>
      </c>
      <c r="H222" s="50">
        <f>VLOOKUP(B222,aa!B:O,14,0)</f>
        <v>0</v>
      </c>
      <c r="I222" s="50">
        <f>VLOOKUP(B222,aa!B:R,17,0)</f>
        <v>0</v>
      </c>
      <c r="K222" s="50" t="s">
        <v>97</v>
      </c>
      <c r="L222" s="50">
        <v>339187</v>
      </c>
      <c r="M222" s="50">
        <v>339187</v>
      </c>
      <c r="N222" s="50">
        <v>339187</v>
      </c>
      <c r="O222" s="50">
        <v>675</v>
      </c>
      <c r="P222" s="50" t="s">
        <v>17855</v>
      </c>
      <c r="Q222" s="50">
        <v>0</v>
      </c>
      <c r="R222" s="50">
        <v>0</v>
      </c>
      <c r="T222" s="50">
        <v>0</v>
      </c>
      <c r="U222" s="50">
        <v>0</v>
      </c>
      <c r="W222" s="50" t="s">
        <v>102</v>
      </c>
      <c r="X222" s="50" t="s">
        <v>103</v>
      </c>
      <c r="Y222" s="50" t="s">
        <v>104</v>
      </c>
      <c r="AA222" s="50" t="s">
        <v>1097</v>
      </c>
      <c r="AB222" s="50" t="s">
        <v>17856</v>
      </c>
      <c r="AC222" s="50" t="s">
        <v>6895</v>
      </c>
      <c r="AD222" s="50" t="s">
        <v>17856</v>
      </c>
      <c r="AE222" s="50" t="s">
        <v>109</v>
      </c>
      <c r="AF222" s="50" t="s">
        <v>102</v>
      </c>
      <c r="AG222" s="50" t="s">
        <v>109</v>
      </c>
      <c r="AH222" s="50" t="s">
        <v>102</v>
      </c>
      <c r="AI222" s="50" t="s">
        <v>17857</v>
      </c>
      <c r="AJ222" s="50" t="s">
        <v>1604</v>
      </c>
      <c r="AK222" s="50" t="s">
        <v>12573</v>
      </c>
      <c r="AL222" s="50" t="s">
        <v>17858</v>
      </c>
      <c r="AM222" s="50" t="s">
        <v>17859</v>
      </c>
      <c r="AN222" s="50" t="s">
        <v>102</v>
      </c>
      <c r="AO222" s="50" t="s">
        <v>17860</v>
      </c>
      <c r="AP222" s="50" t="s">
        <v>17860</v>
      </c>
      <c r="AU222" s="50" t="s">
        <v>117</v>
      </c>
      <c r="AV222" s="50" t="s">
        <v>118</v>
      </c>
      <c r="AW222" s="50" t="s">
        <v>102</v>
      </c>
      <c r="AX222" s="50" t="s">
        <v>119</v>
      </c>
      <c r="BB222" s="50" t="s">
        <v>120</v>
      </c>
      <c r="BC222" s="50" t="s">
        <v>8509</v>
      </c>
      <c r="BD222" s="50" t="s">
        <v>410</v>
      </c>
      <c r="BE222" s="50" t="s">
        <v>212</v>
      </c>
      <c r="BF222" s="50" t="s">
        <v>410</v>
      </c>
      <c r="BG222" s="50" t="s">
        <v>124</v>
      </c>
      <c r="BH222" s="50" t="s">
        <v>12023</v>
      </c>
      <c r="BI222" s="50" t="s">
        <v>11889</v>
      </c>
      <c r="BJ222" s="50" t="s">
        <v>127</v>
      </c>
      <c r="BK222" s="50" t="s">
        <v>17861</v>
      </c>
      <c r="BL222" s="50" t="s">
        <v>8511</v>
      </c>
      <c r="BM222" s="50" t="s">
        <v>17862</v>
      </c>
      <c r="BN222" s="50" t="s">
        <v>1097</v>
      </c>
      <c r="BO222" s="50" t="s">
        <v>4955</v>
      </c>
      <c r="BP222" s="50" t="s">
        <v>132</v>
      </c>
      <c r="BQ222" s="50" t="s">
        <v>4956</v>
      </c>
      <c r="BR222" s="50" t="s">
        <v>4957</v>
      </c>
      <c r="BS222" s="50" t="s">
        <v>1702</v>
      </c>
      <c r="BT222" s="50" t="s">
        <v>900</v>
      </c>
      <c r="BU222" s="50" t="s">
        <v>17863</v>
      </c>
      <c r="BV222" s="50" t="s">
        <v>17864</v>
      </c>
      <c r="BW222" s="50" t="s">
        <v>138</v>
      </c>
      <c r="BX222" s="50" t="s">
        <v>8515</v>
      </c>
      <c r="BY222" s="50" t="s">
        <v>17865</v>
      </c>
      <c r="BZ222" s="50" t="s">
        <v>8517</v>
      </c>
      <c r="CA222" s="50" t="s">
        <v>17866</v>
      </c>
      <c r="CB222" s="50" t="s">
        <v>17867</v>
      </c>
      <c r="CC222" s="50" t="s">
        <v>8516</v>
      </c>
      <c r="CD222" s="50" t="s">
        <v>17868</v>
      </c>
      <c r="CE222" s="50" t="s">
        <v>17867</v>
      </c>
      <c r="CF222" s="50" t="s">
        <v>17869</v>
      </c>
      <c r="CG222" s="50" t="s">
        <v>3968</v>
      </c>
      <c r="CH222" s="50" t="s">
        <v>8518</v>
      </c>
      <c r="CJ222" s="50" t="s">
        <v>8519</v>
      </c>
      <c r="CK222" s="50" t="s">
        <v>17870</v>
      </c>
      <c r="CL222" s="50" t="s">
        <v>8509</v>
      </c>
      <c r="CM222" s="50" t="s">
        <v>410</v>
      </c>
      <c r="CN222" s="50" t="s">
        <v>8519</v>
      </c>
      <c r="CO222" s="50" t="s">
        <v>8520</v>
      </c>
      <c r="CP222" s="50" t="s">
        <v>8518</v>
      </c>
      <c r="CQ222" s="50" t="s">
        <v>8518</v>
      </c>
      <c r="CR222" s="50" t="s">
        <v>26040</v>
      </c>
    </row>
    <row r="223" spans="1:96">
      <c r="A223" s="95" t="s">
        <v>149</v>
      </c>
      <c r="B223" s="50">
        <v>173767</v>
      </c>
      <c r="C223" s="50" t="s">
        <v>183</v>
      </c>
      <c r="D223" s="50" t="s">
        <v>1623</v>
      </c>
      <c r="E223" s="50" t="str">
        <f>VLOOKUP(B223,aa!B:F,5,0)</f>
        <v>Ei Mindspark</v>
      </c>
      <c r="F223" s="50">
        <f>VLOOKUP(B223,aa!B:J,9,0)</f>
        <v>2325658</v>
      </c>
      <c r="G223" s="50">
        <f>VLOOKUP(B223,aa!B:L,11,0)</f>
        <v>0</v>
      </c>
      <c r="H223" s="50">
        <f>VLOOKUP(B223,aa!B:O,14,0)</f>
        <v>0</v>
      </c>
      <c r="I223" s="50">
        <f>VLOOKUP(B223,aa!B:R,17,0)</f>
        <v>2325658</v>
      </c>
      <c r="K223" s="50" t="s">
        <v>848</v>
      </c>
      <c r="L223" s="50">
        <v>2158338</v>
      </c>
      <c r="M223" s="50">
        <v>2546839</v>
      </c>
      <c r="N223" s="50">
        <v>0</v>
      </c>
      <c r="O223" s="50">
        <v>0</v>
      </c>
      <c r="Q223" s="50">
        <v>0</v>
      </c>
      <c r="R223" s="50">
        <v>0</v>
      </c>
      <c r="T223" s="50">
        <v>2158338</v>
      </c>
      <c r="U223" s="50">
        <v>815</v>
      </c>
      <c r="V223" s="50" t="s">
        <v>12871</v>
      </c>
      <c r="W223" s="50" t="s">
        <v>102</v>
      </c>
      <c r="X223" s="50" t="s">
        <v>103</v>
      </c>
      <c r="Y223" s="50" t="s">
        <v>155</v>
      </c>
      <c r="AA223" s="50" t="s">
        <v>4813</v>
      </c>
      <c r="AB223" s="50" t="s">
        <v>12872</v>
      </c>
      <c r="AC223" s="50" t="s">
        <v>12541</v>
      </c>
      <c r="AD223" s="50" t="s">
        <v>12872</v>
      </c>
      <c r="AE223" s="50" t="s">
        <v>12873</v>
      </c>
      <c r="AF223" s="50" t="s">
        <v>12872</v>
      </c>
      <c r="AG223" s="50" t="s">
        <v>11886</v>
      </c>
      <c r="AH223" s="50" t="s">
        <v>12872</v>
      </c>
      <c r="AI223" s="50" t="s">
        <v>12874</v>
      </c>
      <c r="AJ223" s="50" t="s">
        <v>4520</v>
      </c>
      <c r="AK223" s="50" t="s">
        <v>12875</v>
      </c>
      <c r="AL223" s="50" t="s">
        <v>12876</v>
      </c>
      <c r="AM223" s="50" t="s">
        <v>12877</v>
      </c>
      <c r="AN223" s="50" t="s">
        <v>12878</v>
      </c>
      <c r="AO223" s="50" t="s">
        <v>12879</v>
      </c>
      <c r="AP223" s="50" t="s">
        <v>12879</v>
      </c>
      <c r="AU223" s="50" t="s">
        <v>102</v>
      </c>
      <c r="AW223" s="50" t="s">
        <v>102</v>
      </c>
      <c r="AX223" s="50" t="s">
        <v>119</v>
      </c>
      <c r="BA223" s="50" t="s">
        <v>250</v>
      </c>
      <c r="BB223" s="50" t="s">
        <v>171</v>
      </c>
      <c r="BC223" s="50" t="s">
        <v>375</v>
      </c>
      <c r="BD223" s="50" t="s">
        <v>376</v>
      </c>
      <c r="BE223" s="50" t="s">
        <v>174</v>
      </c>
      <c r="BF223" s="50" t="s">
        <v>376</v>
      </c>
      <c r="BG223" s="50" t="s">
        <v>124</v>
      </c>
      <c r="BH223" s="50" t="s">
        <v>1403</v>
      </c>
      <c r="BI223" s="50" t="s">
        <v>11889</v>
      </c>
      <c r="BJ223" s="50" t="s">
        <v>127</v>
      </c>
      <c r="BK223" s="50" t="s">
        <v>12880</v>
      </c>
      <c r="BL223" s="50" t="s">
        <v>1637</v>
      </c>
      <c r="BM223" s="50" t="s">
        <v>12881</v>
      </c>
      <c r="BN223" s="50" t="s">
        <v>1403</v>
      </c>
      <c r="BO223" s="50" t="s">
        <v>179</v>
      </c>
      <c r="BP223" s="50" t="s">
        <v>180</v>
      </c>
      <c r="BQ223" s="50" t="s">
        <v>181</v>
      </c>
      <c r="BR223" s="50" t="s">
        <v>182</v>
      </c>
      <c r="BS223" s="50" t="s">
        <v>183</v>
      </c>
      <c r="BU223" s="50" t="s">
        <v>12882</v>
      </c>
      <c r="BV223" s="50" t="s">
        <v>1640</v>
      </c>
      <c r="BW223" s="50" t="s">
        <v>138</v>
      </c>
      <c r="BX223" s="50" t="s">
        <v>1641</v>
      </c>
      <c r="BY223" s="50" t="s">
        <v>1642</v>
      </c>
      <c r="BZ223" s="50" t="s">
        <v>1641</v>
      </c>
      <c r="CA223" s="50" t="s">
        <v>1640</v>
      </c>
      <c r="CB223" s="50" t="s">
        <v>1641</v>
      </c>
      <c r="CC223" s="50" t="s">
        <v>1642</v>
      </c>
      <c r="CD223" s="50" t="s">
        <v>12883</v>
      </c>
      <c r="CE223" s="50" t="s">
        <v>12884</v>
      </c>
      <c r="CF223" s="50" t="s">
        <v>12885</v>
      </c>
      <c r="CG223" s="50" t="s">
        <v>102</v>
      </c>
      <c r="CH223" s="50" t="s">
        <v>12886</v>
      </c>
      <c r="CJ223" s="50" t="s">
        <v>1644</v>
      </c>
      <c r="CL223" s="50" t="s">
        <v>375</v>
      </c>
      <c r="CM223" s="50" t="s">
        <v>376</v>
      </c>
      <c r="CN223" s="50" t="s">
        <v>1644</v>
      </c>
      <c r="CO223" s="50" t="s">
        <v>1645</v>
      </c>
      <c r="CP223" s="50" t="s">
        <v>1646</v>
      </c>
      <c r="CQ223" s="50" t="s">
        <v>1643</v>
      </c>
    </row>
    <row r="224" spans="1:96">
      <c r="A224" s="50" t="s">
        <v>93</v>
      </c>
      <c r="B224" s="50">
        <v>5016190</v>
      </c>
      <c r="C224" s="50" t="s">
        <v>11882</v>
      </c>
      <c r="D224" s="50" t="s">
        <v>18801</v>
      </c>
      <c r="E224" s="50" t="str">
        <f>VLOOKUP(B224,aa!B:F,5,0)</f>
        <v>Ei ASSET</v>
      </c>
      <c r="F224" s="50">
        <f>VLOOKUP(B224,aa!B:J,9,0)</f>
        <v>260040</v>
      </c>
      <c r="G224" s="50">
        <f>VLOOKUP(B224,aa!B:L,11,0)</f>
        <v>260040</v>
      </c>
      <c r="H224" s="50">
        <f>VLOOKUP(B224,aa!B:O,14,0)</f>
        <v>0</v>
      </c>
      <c r="I224" s="50">
        <f>VLOOKUP(B224,aa!B:R,17,0)</f>
        <v>0</v>
      </c>
      <c r="K224" s="50" t="s">
        <v>97</v>
      </c>
      <c r="L224" s="50">
        <v>231000</v>
      </c>
      <c r="M224" s="50">
        <v>231000</v>
      </c>
      <c r="N224" s="50">
        <v>231000</v>
      </c>
      <c r="O224" s="50">
        <v>385</v>
      </c>
      <c r="P224" s="50" t="s">
        <v>310</v>
      </c>
      <c r="Q224" s="50">
        <v>0</v>
      </c>
      <c r="R224" s="50">
        <v>0</v>
      </c>
      <c r="T224" s="50">
        <v>0</v>
      </c>
      <c r="U224" s="50">
        <v>0</v>
      </c>
      <c r="W224" s="50" t="s">
        <v>102</v>
      </c>
      <c r="X224" s="50" t="s">
        <v>103</v>
      </c>
      <c r="Y224" s="50" t="s">
        <v>398</v>
      </c>
      <c r="AA224" s="50" t="s">
        <v>4813</v>
      </c>
      <c r="AB224" s="50" t="s">
        <v>18802</v>
      </c>
      <c r="AC224" s="50" t="s">
        <v>13886</v>
      </c>
      <c r="AD224" s="50" t="s">
        <v>18803</v>
      </c>
      <c r="AE224" s="50" t="s">
        <v>8488</v>
      </c>
      <c r="AF224" s="50" t="s">
        <v>18803</v>
      </c>
      <c r="AG224" s="50" t="s">
        <v>109</v>
      </c>
      <c r="AH224" s="50" t="s">
        <v>102</v>
      </c>
      <c r="AI224" s="50" t="s">
        <v>102</v>
      </c>
      <c r="AJ224" s="50" t="s">
        <v>8783</v>
      </c>
      <c r="AK224" s="50" t="s">
        <v>14267</v>
      </c>
      <c r="AL224" s="50" t="s">
        <v>18804</v>
      </c>
      <c r="AM224" s="50" t="s">
        <v>18805</v>
      </c>
      <c r="AN224" s="50" t="s">
        <v>18806</v>
      </c>
      <c r="AO224" s="50" t="s">
        <v>317</v>
      </c>
      <c r="AP224" s="50" t="s">
        <v>317</v>
      </c>
      <c r="AU224" s="50" t="s">
        <v>318</v>
      </c>
      <c r="AV224" s="50" t="s">
        <v>118</v>
      </c>
      <c r="AW224" s="50" t="s">
        <v>102</v>
      </c>
      <c r="AX224" s="50" t="s">
        <v>119</v>
      </c>
      <c r="BB224" s="50" t="s">
        <v>120</v>
      </c>
      <c r="BC224" s="50" t="s">
        <v>3854</v>
      </c>
      <c r="BD224" s="50" t="s">
        <v>449</v>
      </c>
      <c r="BE224" s="50" t="s">
        <v>122</v>
      </c>
      <c r="BF224" s="50" t="s">
        <v>450</v>
      </c>
      <c r="BG224" s="50" t="s">
        <v>124</v>
      </c>
      <c r="BH224" s="50" t="s">
        <v>4813</v>
      </c>
      <c r="BI224" s="50" t="s">
        <v>11889</v>
      </c>
      <c r="BJ224" s="50" t="s">
        <v>127</v>
      </c>
      <c r="BK224" s="50" t="s">
        <v>18807</v>
      </c>
      <c r="BL224" s="50" t="s">
        <v>18808</v>
      </c>
      <c r="BM224" s="50" t="s">
        <v>18809</v>
      </c>
      <c r="BN224" s="50" t="s">
        <v>1403</v>
      </c>
      <c r="BO224" s="50" t="s">
        <v>131</v>
      </c>
      <c r="BP224" s="50" t="s">
        <v>505</v>
      </c>
      <c r="BQ224" s="50" t="s">
        <v>133</v>
      </c>
      <c r="BR224" s="50" t="s">
        <v>134</v>
      </c>
      <c r="BS224" s="50" t="s">
        <v>455</v>
      </c>
      <c r="BU224" s="50" t="s">
        <v>18810</v>
      </c>
      <c r="BV224" s="50" t="s">
        <v>18811</v>
      </c>
      <c r="BW224" s="50" t="s">
        <v>138</v>
      </c>
      <c r="BX224" s="50" t="s">
        <v>18812</v>
      </c>
      <c r="BY224" s="50" t="s">
        <v>18813</v>
      </c>
      <c r="BZ224" s="50" t="s">
        <v>18814</v>
      </c>
      <c r="CA224" s="50" t="s">
        <v>18811</v>
      </c>
      <c r="CB224" s="50" t="s">
        <v>18812</v>
      </c>
      <c r="CC224" s="50" t="s">
        <v>18813</v>
      </c>
      <c r="CD224" s="50" t="s">
        <v>18815</v>
      </c>
      <c r="CE224" s="50" t="s">
        <v>18816</v>
      </c>
      <c r="CF224" s="50" t="s">
        <v>18817</v>
      </c>
      <c r="CG224" s="50" t="s">
        <v>18818</v>
      </c>
      <c r="CH224" s="50" t="s">
        <v>18819</v>
      </c>
      <c r="CJ224" s="50" t="s">
        <v>7472</v>
      </c>
      <c r="CK224" s="50" t="s">
        <v>18819</v>
      </c>
      <c r="CL224" s="50" t="s">
        <v>3854</v>
      </c>
      <c r="CM224" s="50" t="s">
        <v>449</v>
      </c>
      <c r="CN224" s="50" t="s">
        <v>7472</v>
      </c>
      <c r="CP224" s="50" t="s">
        <v>18820</v>
      </c>
      <c r="CQ224" s="50" t="s">
        <v>18820</v>
      </c>
    </row>
    <row r="225" spans="1:96">
      <c r="A225" s="50" t="s">
        <v>93</v>
      </c>
      <c r="B225" s="50">
        <v>5042511</v>
      </c>
      <c r="C225" s="50" t="s">
        <v>11898</v>
      </c>
      <c r="D225" s="50" t="s">
        <v>20353</v>
      </c>
      <c r="E225" s="50" t="str">
        <f>VLOOKUP(B225,aa!B:F,5,0)</f>
        <v>Ei ASSET</v>
      </c>
      <c r="F225" s="50">
        <f>VLOOKUP(B225,aa!B:J,9,0)</f>
        <v>684900</v>
      </c>
      <c r="G225" s="50">
        <f>VLOOKUP(B225,aa!B:L,11,0)</f>
        <v>684900</v>
      </c>
      <c r="H225" s="50">
        <f>VLOOKUP(B225,aa!B:O,14,0)</f>
        <v>0</v>
      </c>
      <c r="I225" s="50">
        <f>VLOOKUP(B225,aa!B:R,17,0)</f>
        <v>0</v>
      </c>
      <c r="K225" s="50" t="s">
        <v>97</v>
      </c>
      <c r="L225" s="50">
        <v>625530</v>
      </c>
      <c r="M225" s="50">
        <v>625530</v>
      </c>
      <c r="N225" s="50">
        <v>625530</v>
      </c>
      <c r="O225" s="50">
        <v>719</v>
      </c>
      <c r="P225" s="50" t="s">
        <v>154</v>
      </c>
      <c r="Q225" s="50">
        <v>0</v>
      </c>
      <c r="R225" s="50">
        <v>0</v>
      </c>
      <c r="T225" s="50">
        <v>0</v>
      </c>
      <c r="U225" s="50">
        <v>0</v>
      </c>
      <c r="W225" s="50" t="s">
        <v>102</v>
      </c>
      <c r="X225" s="50" t="s">
        <v>275</v>
      </c>
      <c r="Z225" s="50" t="s">
        <v>16740</v>
      </c>
      <c r="AA225" s="50" t="s">
        <v>109</v>
      </c>
      <c r="AB225" s="50" t="s">
        <v>102</v>
      </c>
      <c r="AC225" s="50" t="s">
        <v>109</v>
      </c>
      <c r="AD225" s="50" t="s">
        <v>102</v>
      </c>
      <c r="AE225" s="50" t="s">
        <v>109</v>
      </c>
      <c r="AF225" s="50" t="s">
        <v>102</v>
      </c>
      <c r="AG225" s="50" t="s">
        <v>109</v>
      </c>
      <c r="AH225" s="50" t="s">
        <v>102</v>
      </c>
      <c r="AI225" s="50" t="s">
        <v>20354</v>
      </c>
      <c r="AJ225" s="50" t="s">
        <v>4813</v>
      </c>
      <c r="AK225" s="50" t="s">
        <v>4813</v>
      </c>
      <c r="AL225" s="50" t="s">
        <v>20355</v>
      </c>
      <c r="AM225" s="50" t="s">
        <v>20356</v>
      </c>
      <c r="AN225" s="50" t="s">
        <v>102</v>
      </c>
      <c r="AO225" s="50" t="s">
        <v>20357</v>
      </c>
      <c r="AP225" s="50" t="s">
        <v>20357</v>
      </c>
      <c r="AU225" s="50" t="s">
        <v>318</v>
      </c>
      <c r="AV225" s="50" t="s">
        <v>250</v>
      </c>
      <c r="AW225" s="50" t="s">
        <v>102</v>
      </c>
      <c r="AX225" s="50" t="s">
        <v>119</v>
      </c>
      <c r="BB225" s="50" t="s">
        <v>120</v>
      </c>
      <c r="BC225" s="50" t="s">
        <v>20358</v>
      </c>
      <c r="BD225" s="50" t="s">
        <v>320</v>
      </c>
      <c r="BE225" s="50" t="s">
        <v>122</v>
      </c>
      <c r="BF225" s="50" t="s">
        <v>123</v>
      </c>
      <c r="BG225" s="50" t="s">
        <v>124</v>
      </c>
      <c r="BH225" s="50" t="s">
        <v>12023</v>
      </c>
      <c r="BI225" s="50" t="s">
        <v>11889</v>
      </c>
      <c r="BJ225" s="50" t="s">
        <v>127</v>
      </c>
      <c r="BK225" s="50" t="s">
        <v>20359</v>
      </c>
      <c r="BL225" s="50" t="s">
        <v>20360</v>
      </c>
      <c r="BM225" s="50" t="s">
        <v>20361</v>
      </c>
      <c r="BN225" s="50" t="s">
        <v>1403</v>
      </c>
      <c r="BO225" s="50" t="s">
        <v>7005</v>
      </c>
      <c r="BP225" s="50" t="s">
        <v>350</v>
      </c>
      <c r="BQ225" s="50" t="s">
        <v>7006</v>
      </c>
      <c r="BR225" s="50" t="s">
        <v>7007</v>
      </c>
      <c r="BS225" s="50" t="s">
        <v>7008</v>
      </c>
      <c r="BU225" s="50" t="s">
        <v>20362</v>
      </c>
      <c r="BV225" s="50" t="s">
        <v>20363</v>
      </c>
      <c r="BW225" s="50" t="s">
        <v>354</v>
      </c>
      <c r="BX225" s="50" t="s">
        <v>20364</v>
      </c>
      <c r="BY225" s="50" t="s">
        <v>20365</v>
      </c>
      <c r="BZ225" s="50" t="s">
        <v>20366</v>
      </c>
      <c r="CA225" s="50" t="s">
        <v>20367</v>
      </c>
      <c r="CB225" s="50" t="s">
        <v>20368</v>
      </c>
      <c r="CC225" s="50" t="s">
        <v>20369</v>
      </c>
      <c r="CD225" s="50" t="s">
        <v>20370</v>
      </c>
      <c r="CE225" s="50" t="s">
        <v>20366</v>
      </c>
      <c r="CF225" s="50" t="s">
        <v>20365</v>
      </c>
      <c r="CG225" s="50" t="s">
        <v>2555</v>
      </c>
      <c r="CH225" s="50" t="s">
        <v>20371</v>
      </c>
      <c r="CJ225" s="50" t="s">
        <v>20372</v>
      </c>
      <c r="CK225" s="50" t="s">
        <v>20373</v>
      </c>
      <c r="CL225" s="50" t="s">
        <v>20358</v>
      </c>
      <c r="CM225" s="50" t="s">
        <v>320</v>
      </c>
      <c r="CN225" s="50" t="s">
        <v>20372</v>
      </c>
      <c r="CP225" s="50" t="s">
        <v>20374</v>
      </c>
      <c r="CQ225" s="50" t="s">
        <v>20374</v>
      </c>
    </row>
    <row r="226" spans="1:96">
      <c r="A226" s="95" t="s">
        <v>149</v>
      </c>
      <c r="B226" s="50">
        <v>1524162</v>
      </c>
      <c r="C226" s="50" t="s">
        <v>12155</v>
      </c>
      <c r="D226" s="50" t="s">
        <v>1021</v>
      </c>
      <c r="E226" s="50" t="str">
        <f>VLOOKUP(B226,aa!B:F,5,0)</f>
        <v>Ei ASSET, Ei Mindspark</v>
      </c>
      <c r="F226" s="50">
        <f>VLOOKUP(B226,aa!B:J,9,0)</f>
        <v>1551114</v>
      </c>
      <c r="G226" s="50">
        <f>VLOOKUP(B226,aa!B:L,11,0)</f>
        <v>1306354</v>
      </c>
      <c r="H226" s="50">
        <f>VLOOKUP(B226,aa!B:O,14,0)</f>
        <v>0</v>
      </c>
      <c r="I226" s="50">
        <f>VLOOKUP(B226,aa!B:R,17,0)</f>
        <v>244760</v>
      </c>
      <c r="K226" s="50" t="s">
        <v>193</v>
      </c>
      <c r="L226" s="50">
        <v>1750677</v>
      </c>
      <c r="M226" s="50">
        <v>1858546</v>
      </c>
      <c r="N226" s="50">
        <v>1151400</v>
      </c>
      <c r="O226" s="50">
        <v>1919</v>
      </c>
      <c r="P226" s="50" t="s">
        <v>310</v>
      </c>
      <c r="Q226" s="50">
        <v>0</v>
      </c>
      <c r="R226" s="50">
        <v>0</v>
      </c>
      <c r="T226" s="50">
        <v>599277</v>
      </c>
      <c r="U226" s="50">
        <v>580</v>
      </c>
      <c r="V226" s="50" t="s">
        <v>12540</v>
      </c>
      <c r="W226" s="50" t="s">
        <v>102</v>
      </c>
      <c r="X226" s="50" t="s">
        <v>679</v>
      </c>
      <c r="Y226" s="50" t="s">
        <v>155</v>
      </c>
      <c r="Z226" s="50" t="s">
        <v>12541</v>
      </c>
      <c r="AA226" s="50" t="s">
        <v>12542</v>
      </c>
      <c r="AB226" s="50" t="s">
        <v>12543</v>
      </c>
      <c r="AC226" s="50" t="s">
        <v>12544</v>
      </c>
      <c r="AD226" s="50" t="s">
        <v>12543</v>
      </c>
      <c r="AE226" s="50" t="s">
        <v>12545</v>
      </c>
      <c r="AF226" s="50" t="s">
        <v>12543</v>
      </c>
      <c r="AG226" s="50" t="s">
        <v>12216</v>
      </c>
      <c r="AH226" s="50" t="s">
        <v>12543</v>
      </c>
      <c r="AI226" s="50" t="s">
        <v>12546</v>
      </c>
      <c r="AJ226" s="50" t="s">
        <v>12547</v>
      </c>
      <c r="AK226" s="50" t="s">
        <v>12548</v>
      </c>
      <c r="AL226" s="50" t="s">
        <v>12549</v>
      </c>
      <c r="AM226" s="50" t="s">
        <v>12550</v>
      </c>
      <c r="AN226" s="50" t="s">
        <v>12551</v>
      </c>
      <c r="AO226" s="50" t="s">
        <v>12552</v>
      </c>
      <c r="AP226" s="50" t="s">
        <v>12552</v>
      </c>
      <c r="AU226" s="50" t="s">
        <v>247</v>
      </c>
      <c r="AV226" s="50" t="s">
        <v>118</v>
      </c>
      <c r="AW226" s="50" t="s">
        <v>102</v>
      </c>
      <c r="AX226" s="50" t="s">
        <v>119</v>
      </c>
      <c r="BA226" s="50" t="s">
        <v>250</v>
      </c>
      <c r="BB226" s="50" t="s">
        <v>120</v>
      </c>
      <c r="BC226" s="50" t="s">
        <v>1036</v>
      </c>
      <c r="BD226" s="50" t="s">
        <v>173</v>
      </c>
      <c r="BE226" s="50" t="s">
        <v>174</v>
      </c>
      <c r="BF226" s="50" t="s">
        <v>173</v>
      </c>
      <c r="BG226" s="50" t="s">
        <v>124</v>
      </c>
      <c r="BH226" s="50" t="s">
        <v>12553</v>
      </c>
      <c r="BI226" s="50" t="s">
        <v>12554</v>
      </c>
      <c r="BJ226" s="50" t="s">
        <v>127</v>
      </c>
      <c r="BK226" s="50" t="s">
        <v>12555</v>
      </c>
      <c r="BL226" s="50" t="s">
        <v>1040</v>
      </c>
      <c r="BM226" s="50" t="s">
        <v>12556</v>
      </c>
      <c r="BN226" s="50" t="s">
        <v>12539</v>
      </c>
      <c r="BO226" s="50" t="s">
        <v>12557</v>
      </c>
      <c r="BP226" s="50" t="s">
        <v>180</v>
      </c>
      <c r="BQ226" s="50" t="s">
        <v>12558</v>
      </c>
      <c r="BR226" s="50" t="s">
        <v>12559</v>
      </c>
      <c r="BS226" s="50" t="s">
        <v>183</v>
      </c>
      <c r="BU226" s="50" t="s">
        <v>12560</v>
      </c>
      <c r="BV226" s="50" t="s">
        <v>1043</v>
      </c>
      <c r="BW226" s="50" t="s">
        <v>569</v>
      </c>
      <c r="BX226" s="50" t="s">
        <v>1044</v>
      </c>
      <c r="BY226" s="50" t="s">
        <v>1045</v>
      </c>
      <c r="BZ226" s="50" t="s">
        <v>1046</v>
      </c>
      <c r="CA226" s="50" t="s">
        <v>12561</v>
      </c>
      <c r="CB226" s="50" t="s">
        <v>1048</v>
      </c>
      <c r="CC226" s="50" t="s">
        <v>1049</v>
      </c>
      <c r="CD226" s="50" t="s">
        <v>1050</v>
      </c>
      <c r="CE226" s="50" t="s">
        <v>1051</v>
      </c>
      <c r="CF226" s="50" t="s">
        <v>1052</v>
      </c>
      <c r="CG226" s="50" t="s">
        <v>102</v>
      </c>
      <c r="CH226" s="50" t="s">
        <v>12562</v>
      </c>
      <c r="CJ226" s="50" t="s">
        <v>1054</v>
      </c>
      <c r="CK226" s="50" t="s">
        <v>12563</v>
      </c>
      <c r="CL226" s="50" t="s">
        <v>1036</v>
      </c>
      <c r="CM226" s="50" t="s">
        <v>173</v>
      </c>
      <c r="CN226" s="50" t="s">
        <v>1054</v>
      </c>
      <c r="CO226" s="50" t="s">
        <v>1055</v>
      </c>
      <c r="CP226" s="50" t="s">
        <v>1056</v>
      </c>
      <c r="CQ226" s="50" t="s">
        <v>1057</v>
      </c>
    </row>
    <row r="227" spans="1:96">
      <c r="A227" s="95" t="s">
        <v>149</v>
      </c>
      <c r="B227" s="50">
        <v>3605584</v>
      </c>
      <c r="C227" s="50" t="s">
        <v>12155</v>
      </c>
      <c r="D227" s="50" t="s">
        <v>6888</v>
      </c>
      <c r="E227" s="50" t="str">
        <f>VLOOKUP(B227,aa!B:F,5,0)</f>
        <v>Ei ASSET, Ei Mindspark</v>
      </c>
      <c r="F227" s="50">
        <f>VLOOKUP(B227,aa!B:J,9,0)</f>
        <v>450561</v>
      </c>
      <c r="G227" s="50">
        <f>VLOOKUP(B227,aa!B:L,11,0)</f>
        <v>126885</v>
      </c>
      <c r="H227" s="50">
        <f>VLOOKUP(B227,aa!B:O,14,0)</f>
        <v>0</v>
      </c>
      <c r="I227" s="50">
        <f>VLOOKUP(B227,aa!B:R,17,0)</f>
        <v>323676</v>
      </c>
      <c r="K227" s="50" t="s">
        <v>193</v>
      </c>
      <c r="L227" s="50">
        <v>395516</v>
      </c>
      <c r="M227" s="50">
        <v>446837</v>
      </c>
      <c r="N227" s="50">
        <v>110400</v>
      </c>
      <c r="O227" s="50">
        <v>184</v>
      </c>
      <c r="P227" s="50" t="s">
        <v>310</v>
      </c>
      <c r="Q227" s="50">
        <v>0</v>
      </c>
      <c r="R227" s="50">
        <v>0</v>
      </c>
      <c r="T227" s="50">
        <v>285116</v>
      </c>
      <c r="U227" s="50">
        <v>210</v>
      </c>
      <c r="V227" s="50" t="s">
        <v>10022</v>
      </c>
      <c r="W227" s="50" t="s">
        <v>102</v>
      </c>
      <c r="X227" s="50" t="s">
        <v>679</v>
      </c>
      <c r="Y227" s="50" t="s">
        <v>155</v>
      </c>
      <c r="Z227" s="50" t="s">
        <v>12541</v>
      </c>
      <c r="AA227" s="50" t="s">
        <v>12542</v>
      </c>
      <c r="AB227" s="50" t="s">
        <v>16630</v>
      </c>
      <c r="AC227" s="50" t="s">
        <v>12544</v>
      </c>
      <c r="AD227" s="50" t="s">
        <v>16630</v>
      </c>
      <c r="AE227" s="50" t="s">
        <v>12545</v>
      </c>
      <c r="AF227" s="50" t="s">
        <v>16630</v>
      </c>
      <c r="AG227" s="50" t="s">
        <v>12216</v>
      </c>
      <c r="AH227" s="50" t="s">
        <v>16630</v>
      </c>
      <c r="AI227" s="50" t="s">
        <v>16631</v>
      </c>
      <c r="AJ227" s="50" t="s">
        <v>16632</v>
      </c>
      <c r="AK227" s="50" t="s">
        <v>16633</v>
      </c>
      <c r="AL227" s="50" t="s">
        <v>16634</v>
      </c>
      <c r="AM227" s="50" t="s">
        <v>16635</v>
      </c>
      <c r="AN227" s="50" t="s">
        <v>16636</v>
      </c>
      <c r="AO227" s="50" t="s">
        <v>16637</v>
      </c>
      <c r="AP227" s="50" t="s">
        <v>16637</v>
      </c>
      <c r="AU227" s="50" t="s">
        <v>247</v>
      </c>
      <c r="AV227" s="50" t="s">
        <v>118</v>
      </c>
      <c r="AW227" s="50" t="s">
        <v>102</v>
      </c>
      <c r="AX227" s="50" t="s">
        <v>119</v>
      </c>
      <c r="BA227" s="50" t="s">
        <v>250</v>
      </c>
      <c r="BB227" s="50" t="s">
        <v>120</v>
      </c>
      <c r="BC227" s="50" t="s">
        <v>6900</v>
      </c>
      <c r="BD227" s="50" t="s">
        <v>173</v>
      </c>
      <c r="BE227" s="50" t="s">
        <v>174</v>
      </c>
      <c r="BF227" s="50" t="s">
        <v>173</v>
      </c>
      <c r="BG227" s="50" t="s">
        <v>124</v>
      </c>
      <c r="BH227" s="50" t="s">
        <v>12553</v>
      </c>
      <c r="BI227" s="50" t="s">
        <v>12554</v>
      </c>
      <c r="BJ227" s="50" t="s">
        <v>127</v>
      </c>
      <c r="BK227" s="50" t="s">
        <v>16638</v>
      </c>
      <c r="BL227" s="50" t="s">
        <v>6902</v>
      </c>
      <c r="BM227" s="50" t="s">
        <v>16639</v>
      </c>
      <c r="BN227" s="50" t="s">
        <v>12539</v>
      </c>
      <c r="BO227" s="50" t="s">
        <v>12557</v>
      </c>
      <c r="BP227" s="50" t="s">
        <v>180</v>
      </c>
      <c r="BQ227" s="50" t="s">
        <v>12558</v>
      </c>
      <c r="BR227" s="50" t="s">
        <v>12559</v>
      </c>
      <c r="BS227" s="50" t="s">
        <v>183</v>
      </c>
      <c r="BU227" s="50" t="s">
        <v>16640</v>
      </c>
      <c r="BV227" s="50" t="s">
        <v>1043</v>
      </c>
      <c r="BW227" s="50" t="s">
        <v>569</v>
      </c>
      <c r="BX227" s="50" t="s">
        <v>1044</v>
      </c>
      <c r="BY227" s="50" t="s">
        <v>1045</v>
      </c>
      <c r="BZ227" s="50" t="s">
        <v>6905</v>
      </c>
      <c r="CA227" s="50" t="s">
        <v>12561</v>
      </c>
      <c r="CB227" s="50" t="s">
        <v>16641</v>
      </c>
      <c r="CC227" s="50" t="s">
        <v>1049</v>
      </c>
      <c r="CD227" s="50" t="s">
        <v>16642</v>
      </c>
      <c r="CE227" s="50" t="s">
        <v>16643</v>
      </c>
      <c r="CF227" s="50" t="s">
        <v>16644</v>
      </c>
      <c r="CG227" s="50" t="s">
        <v>102</v>
      </c>
      <c r="CH227" s="50" t="s">
        <v>16645</v>
      </c>
      <c r="CJ227" s="50" t="s">
        <v>6913</v>
      </c>
      <c r="CK227" s="50" t="s">
        <v>16646</v>
      </c>
      <c r="CL227" s="50" t="s">
        <v>6900</v>
      </c>
      <c r="CM227" s="50" t="s">
        <v>173</v>
      </c>
      <c r="CN227" s="50" t="s">
        <v>6913</v>
      </c>
      <c r="CO227" s="50" t="s">
        <v>1055</v>
      </c>
      <c r="CP227" s="50" t="s">
        <v>6914</v>
      </c>
      <c r="CQ227" s="50" t="s">
        <v>6915</v>
      </c>
    </row>
    <row r="228" spans="1:96">
      <c r="A228" s="95" t="s">
        <v>149</v>
      </c>
      <c r="B228" s="50">
        <v>2844474</v>
      </c>
      <c r="C228" s="50" t="s">
        <v>418</v>
      </c>
      <c r="D228" s="50" t="s">
        <v>4475</v>
      </c>
      <c r="E228" s="50" t="e">
        <f>VLOOKUP(B228,aa!B:F,5,0)</f>
        <v>#N/A</v>
      </c>
      <c r="F228" s="50" t="e">
        <f>VLOOKUP(B228,aa!B:J,9,0)</f>
        <v>#N/A</v>
      </c>
      <c r="G228" s="50" t="e">
        <f>VLOOKUP(B228,aa!B:L,11,0)</f>
        <v>#N/A</v>
      </c>
      <c r="H228" s="50" t="e">
        <f>VLOOKUP(B228,aa!B:O,14,0)</f>
        <v>#N/A</v>
      </c>
      <c r="I228" s="50" t="e">
        <f>VLOOKUP(B228,aa!B:R,17,0)</f>
        <v>#N/A</v>
      </c>
      <c r="K228" s="50" t="s">
        <v>97</v>
      </c>
      <c r="L228" s="50">
        <v>458263</v>
      </c>
      <c r="M228" s="50">
        <v>458263</v>
      </c>
      <c r="N228" s="50">
        <v>458263</v>
      </c>
      <c r="O228" s="50">
        <v>536</v>
      </c>
      <c r="P228" s="50" t="s">
        <v>14775</v>
      </c>
      <c r="Q228" s="50">
        <v>0</v>
      </c>
      <c r="R228" s="50">
        <v>0</v>
      </c>
      <c r="T228" s="50">
        <v>0</v>
      </c>
      <c r="U228" s="50">
        <v>0</v>
      </c>
      <c r="W228" s="50" t="s">
        <v>102</v>
      </c>
      <c r="X228" s="50" t="s">
        <v>103</v>
      </c>
      <c r="Y228" s="50" t="s">
        <v>104</v>
      </c>
      <c r="AA228" s="50" t="s">
        <v>1165</v>
      </c>
      <c r="AB228" s="50" t="s">
        <v>14776</v>
      </c>
      <c r="AC228" s="50" t="s">
        <v>12888</v>
      </c>
      <c r="AD228" s="50" t="s">
        <v>14776</v>
      </c>
      <c r="AE228" s="50" t="s">
        <v>109</v>
      </c>
      <c r="AF228" s="50" t="s">
        <v>102</v>
      </c>
      <c r="AG228" s="50" t="s">
        <v>109</v>
      </c>
      <c r="AH228" s="50" t="s">
        <v>102</v>
      </c>
      <c r="AI228" s="50" t="s">
        <v>14777</v>
      </c>
      <c r="AJ228" s="50" t="s">
        <v>12063</v>
      </c>
      <c r="AK228" s="50" t="s">
        <v>13675</v>
      </c>
      <c r="AL228" s="50" t="s">
        <v>14778</v>
      </c>
      <c r="AM228" s="50" t="s">
        <v>14779</v>
      </c>
      <c r="AN228" s="50" t="s">
        <v>115</v>
      </c>
      <c r="AO228" s="50" t="s">
        <v>14780</v>
      </c>
      <c r="AP228" s="50" t="s">
        <v>14780</v>
      </c>
      <c r="AU228" s="50" t="s">
        <v>318</v>
      </c>
      <c r="AV228" s="50" t="s">
        <v>118</v>
      </c>
      <c r="AW228" s="50" t="s">
        <v>102</v>
      </c>
      <c r="AX228" s="50" t="s">
        <v>119</v>
      </c>
      <c r="BB228" s="50" t="s">
        <v>120</v>
      </c>
      <c r="BC228" s="50" t="s">
        <v>920</v>
      </c>
      <c r="BD228" s="50" t="s">
        <v>211</v>
      </c>
      <c r="BE228" s="50" t="s">
        <v>212</v>
      </c>
      <c r="BF228" s="50" t="s">
        <v>213</v>
      </c>
      <c r="BG228" s="50" t="s">
        <v>124</v>
      </c>
      <c r="BH228" s="50" t="s">
        <v>11959</v>
      </c>
      <c r="BI228" s="50" t="s">
        <v>11960</v>
      </c>
      <c r="BJ228" s="50" t="s">
        <v>127</v>
      </c>
      <c r="BK228" s="50" t="s">
        <v>14781</v>
      </c>
      <c r="BL228" s="50" t="s">
        <v>4486</v>
      </c>
      <c r="BM228" s="50" t="s">
        <v>14782</v>
      </c>
      <c r="BN228" s="50" t="s">
        <v>12100</v>
      </c>
      <c r="BO228" s="50" t="s">
        <v>7108</v>
      </c>
      <c r="BP228" s="50" t="s">
        <v>180</v>
      </c>
      <c r="BQ228" s="50" t="s">
        <v>7109</v>
      </c>
      <c r="BR228" s="50" t="s">
        <v>2151</v>
      </c>
      <c r="BS228" s="50" t="s">
        <v>2151</v>
      </c>
      <c r="BU228" s="50" t="s">
        <v>14783</v>
      </c>
      <c r="BV228" s="50" t="s">
        <v>3585</v>
      </c>
      <c r="BW228" s="50" t="s">
        <v>598</v>
      </c>
      <c r="BX228" s="50" t="s">
        <v>225</v>
      </c>
      <c r="BY228" s="50" t="s">
        <v>8332</v>
      </c>
      <c r="BZ228" s="50" t="s">
        <v>4489</v>
      </c>
      <c r="CA228" s="50" t="s">
        <v>14784</v>
      </c>
      <c r="CB228" s="50" t="s">
        <v>14785</v>
      </c>
      <c r="CC228" s="50" t="s">
        <v>14786</v>
      </c>
      <c r="CD228" s="50" t="s">
        <v>14787</v>
      </c>
      <c r="CE228" s="50" t="s">
        <v>14788</v>
      </c>
      <c r="CF228" s="50" t="s">
        <v>14786</v>
      </c>
      <c r="CG228" s="50" t="s">
        <v>102</v>
      </c>
      <c r="CH228" s="50" t="s">
        <v>4490</v>
      </c>
      <c r="CJ228" s="50" t="s">
        <v>4491</v>
      </c>
      <c r="CL228" s="50" t="s">
        <v>920</v>
      </c>
      <c r="CM228" s="50" t="s">
        <v>211</v>
      </c>
      <c r="CN228" s="50" t="s">
        <v>4491</v>
      </c>
      <c r="CO228" s="50" t="s">
        <v>3589</v>
      </c>
      <c r="CP228" s="50" t="s">
        <v>4490</v>
      </c>
      <c r="CQ228" s="50" t="s">
        <v>4490</v>
      </c>
      <c r="CR228" s="50" t="s">
        <v>26040</v>
      </c>
    </row>
    <row r="229" spans="1:96">
      <c r="A229" s="95" t="s">
        <v>149</v>
      </c>
      <c r="B229" s="50">
        <v>3693693</v>
      </c>
      <c r="C229" s="50" t="s">
        <v>2151</v>
      </c>
      <c r="D229" s="50" t="s">
        <v>7097</v>
      </c>
      <c r="E229" s="50" t="e">
        <f>VLOOKUP(B229,aa!B:F,5,0)</f>
        <v>#N/A</v>
      </c>
      <c r="F229" s="50" t="e">
        <f>VLOOKUP(B229,aa!B:J,9,0)</f>
        <v>#N/A</v>
      </c>
      <c r="G229" s="50" t="e">
        <f>VLOOKUP(B229,aa!B:L,11,0)</f>
        <v>#N/A</v>
      </c>
      <c r="H229" s="50" t="e">
        <f>VLOOKUP(B229,aa!B:O,14,0)</f>
        <v>#N/A</v>
      </c>
      <c r="I229" s="50" t="e">
        <f>VLOOKUP(B229,aa!B:R,17,0)</f>
        <v>#N/A</v>
      </c>
      <c r="K229" s="50" t="s">
        <v>3549</v>
      </c>
      <c r="L229" s="50">
        <v>80660</v>
      </c>
      <c r="M229" s="50">
        <v>91613</v>
      </c>
      <c r="N229" s="50">
        <v>19811</v>
      </c>
      <c r="O229" s="50">
        <v>28</v>
      </c>
      <c r="P229" s="50" t="s">
        <v>16736</v>
      </c>
      <c r="Q229" s="50">
        <v>0</v>
      </c>
      <c r="R229" s="50">
        <v>0</v>
      </c>
      <c r="T229" s="50">
        <v>60849</v>
      </c>
      <c r="U229" s="50">
        <v>30</v>
      </c>
      <c r="V229" s="50" t="s">
        <v>16737</v>
      </c>
      <c r="W229" s="50" t="s">
        <v>102</v>
      </c>
      <c r="X229" s="50" t="s">
        <v>275</v>
      </c>
      <c r="Z229" s="50" t="s">
        <v>411</v>
      </c>
      <c r="AA229" s="50" t="s">
        <v>109</v>
      </c>
      <c r="AB229" s="50" t="s">
        <v>102</v>
      </c>
      <c r="AC229" s="50" t="s">
        <v>109</v>
      </c>
      <c r="AD229" s="50" t="s">
        <v>102</v>
      </c>
      <c r="AE229" s="50" t="s">
        <v>109</v>
      </c>
      <c r="AF229" s="50" t="s">
        <v>102</v>
      </c>
      <c r="AG229" s="50" t="s">
        <v>109</v>
      </c>
      <c r="AH229" s="50" t="s">
        <v>102</v>
      </c>
      <c r="AI229" s="50" t="s">
        <v>102</v>
      </c>
      <c r="AJ229" s="50" t="s">
        <v>1604</v>
      </c>
      <c r="AK229" s="50" t="s">
        <v>10167</v>
      </c>
      <c r="AL229" s="50" t="s">
        <v>16738</v>
      </c>
      <c r="AM229" s="50" t="s">
        <v>6693</v>
      </c>
      <c r="AN229" s="50" t="s">
        <v>16739</v>
      </c>
      <c r="AO229" s="50" t="s">
        <v>1853</v>
      </c>
      <c r="AP229" s="50" t="s">
        <v>1853</v>
      </c>
      <c r="AU229" s="50" t="s">
        <v>318</v>
      </c>
      <c r="AV229" s="50" t="s">
        <v>118</v>
      </c>
      <c r="AW229" s="50" t="s">
        <v>102</v>
      </c>
      <c r="AX229" s="50" t="s">
        <v>119</v>
      </c>
      <c r="BA229" s="50" t="s">
        <v>250</v>
      </c>
      <c r="BB229" s="50" t="s">
        <v>120</v>
      </c>
      <c r="BC229" s="50" t="s">
        <v>920</v>
      </c>
      <c r="BD229" s="50" t="s">
        <v>211</v>
      </c>
      <c r="BE229" s="50" t="s">
        <v>212</v>
      </c>
      <c r="BF229" s="50" t="s">
        <v>213</v>
      </c>
      <c r="BG229" s="50" t="s">
        <v>124</v>
      </c>
      <c r="BH229" s="50" t="s">
        <v>16740</v>
      </c>
      <c r="BI229" s="50" t="s">
        <v>11960</v>
      </c>
      <c r="BJ229" s="50" t="s">
        <v>127</v>
      </c>
      <c r="BK229" s="50" t="s">
        <v>16741</v>
      </c>
      <c r="BL229" s="50" t="s">
        <v>7106</v>
      </c>
      <c r="BM229" s="50" t="s">
        <v>16742</v>
      </c>
      <c r="BN229" s="50" t="s">
        <v>12100</v>
      </c>
      <c r="BO229" s="50" t="s">
        <v>7108</v>
      </c>
      <c r="BP229" s="50" t="s">
        <v>180</v>
      </c>
      <c r="BQ229" s="50" t="s">
        <v>7109</v>
      </c>
      <c r="BR229" s="50" t="s">
        <v>2151</v>
      </c>
      <c r="BS229" s="50" t="s">
        <v>2151</v>
      </c>
      <c r="BU229" s="50" t="s">
        <v>16743</v>
      </c>
      <c r="BV229" s="50" t="s">
        <v>7111</v>
      </c>
      <c r="BW229" s="50" t="s">
        <v>598</v>
      </c>
      <c r="BX229" s="50" t="s">
        <v>7112</v>
      </c>
      <c r="BY229" s="50" t="s">
        <v>7113</v>
      </c>
      <c r="BZ229" s="50" t="s">
        <v>7114</v>
      </c>
      <c r="CA229" s="50" t="s">
        <v>7111</v>
      </c>
      <c r="CB229" s="50" t="s">
        <v>7112</v>
      </c>
      <c r="CC229" s="50" t="s">
        <v>7113</v>
      </c>
      <c r="CD229" s="50" t="s">
        <v>16744</v>
      </c>
      <c r="CE229" s="50" t="s">
        <v>7116</v>
      </c>
      <c r="CF229" s="50" t="s">
        <v>7117</v>
      </c>
      <c r="CG229" s="50" t="s">
        <v>102</v>
      </c>
      <c r="CH229" s="50" t="s">
        <v>7118</v>
      </c>
      <c r="CJ229" s="50" t="s">
        <v>5392</v>
      </c>
      <c r="CL229" s="50" t="s">
        <v>920</v>
      </c>
      <c r="CM229" s="50" t="s">
        <v>211</v>
      </c>
      <c r="CN229" s="50" t="s">
        <v>5392</v>
      </c>
      <c r="CP229" s="50" t="s">
        <v>7118</v>
      </c>
      <c r="CQ229" s="50" t="s">
        <v>7118</v>
      </c>
      <c r="CR229" s="50" t="s">
        <v>26040</v>
      </c>
    </row>
    <row r="230" spans="1:96">
      <c r="A230" s="95" t="s">
        <v>149</v>
      </c>
      <c r="B230" s="50">
        <v>3944825</v>
      </c>
      <c r="C230" s="50" t="s">
        <v>2525</v>
      </c>
      <c r="D230" s="50" t="s">
        <v>7916</v>
      </c>
      <c r="E230" s="50" t="str">
        <f>VLOOKUP(B230,aa!B:F,5,0)</f>
        <v>Ei ASSET</v>
      </c>
      <c r="F230" s="50">
        <f>VLOOKUP(B230,aa!B:J,9,0)</f>
        <v>919074</v>
      </c>
      <c r="G230" s="50">
        <f>VLOOKUP(B230,aa!B:L,11,0)</f>
        <v>919074</v>
      </c>
      <c r="H230" s="50">
        <f>VLOOKUP(B230,aa!B:O,14,0)</f>
        <v>0</v>
      </c>
      <c r="I230" s="50">
        <f>VLOOKUP(B230,aa!B:R,17,0)</f>
        <v>0</v>
      </c>
      <c r="K230" s="50" t="s">
        <v>97</v>
      </c>
      <c r="L230" s="50">
        <v>789063</v>
      </c>
      <c r="M230" s="50">
        <v>789063</v>
      </c>
      <c r="N230" s="50">
        <v>789063</v>
      </c>
      <c r="O230" s="50">
        <v>789</v>
      </c>
      <c r="P230" s="50" t="s">
        <v>5042</v>
      </c>
      <c r="Q230" s="50">
        <v>0</v>
      </c>
      <c r="R230" s="50">
        <v>0</v>
      </c>
      <c r="T230" s="50">
        <v>0</v>
      </c>
      <c r="U230" s="50">
        <v>0</v>
      </c>
      <c r="W230" s="50" t="s">
        <v>102</v>
      </c>
      <c r="X230" s="50" t="s">
        <v>275</v>
      </c>
      <c r="Z230" s="50" t="s">
        <v>126</v>
      </c>
      <c r="AA230" s="50" t="s">
        <v>109</v>
      </c>
      <c r="AB230" s="50" t="s">
        <v>102</v>
      </c>
      <c r="AC230" s="50" t="s">
        <v>109</v>
      </c>
      <c r="AD230" s="50" t="s">
        <v>102</v>
      </c>
      <c r="AE230" s="50" t="s">
        <v>109</v>
      </c>
      <c r="AF230" s="50" t="s">
        <v>102</v>
      </c>
      <c r="AG230" s="50" t="s">
        <v>109</v>
      </c>
      <c r="AH230" s="50" t="s">
        <v>102</v>
      </c>
      <c r="AI230" s="50" t="s">
        <v>102</v>
      </c>
      <c r="AJ230" s="50" t="s">
        <v>7145</v>
      </c>
      <c r="AK230" s="50" t="s">
        <v>7145</v>
      </c>
      <c r="AL230" s="50" t="s">
        <v>17357</v>
      </c>
      <c r="AM230" s="50" t="s">
        <v>17358</v>
      </c>
      <c r="AN230" s="50" t="s">
        <v>17359</v>
      </c>
      <c r="AO230" s="50" t="s">
        <v>17360</v>
      </c>
      <c r="AP230" s="50" t="s">
        <v>17361</v>
      </c>
      <c r="AQ230" s="50" t="s">
        <v>343</v>
      </c>
      <c r="AR230" s="50" t="s">
        <v>169</v>
      </c>
      <c r="AT230" s="50" t="s">
        <v>169</v>
      </c>
      <c r="AU230" s="50" t="s">
        <v>318</v>
      </c>
      <c r="AV230" s="50" t="s">
        <v>118</v>
      </c>
      <c r="AW230" s="50" t="s">
        <v>102</v>
      </c>
      <c r="AX230" s="50" t="s">
        <v>119</v>
      </c>
      <c r="BB230" s="50" t="s">
        <v>120</v>
      </c>
      <c r="BC230" s="50" t="s">
        <v>1729</v>
      </c>
      <c r="BD230" s="50" t="s">
        <v>730</v>
      </c>
      <c r="BE230" s="50" t="s">
        <v>622</v>
      </c>
      <c r="BF230" s="50" t="s">
        <v>730</v>
      </c>
      <c r="BG230" s="50" t="s">
        <v>124</v>
      </c>
      <c r="BH230" s="50" t="s">
        <v>12023</v>
      </c>
      <c r="BI230" s="50" t="s">
        <v>11889</v>
      </c>
      <c r="BJ230" s="50" t="s">
        <v>127</v>
      </c>
      <c r="BK230" s="50" t="s">
        <v>17362</v>
      </c>
      <c r="BL230" s="50" t="s">
        <v>7922</v>
      </c>
      <c r="BM230" s="50" t="s">
        <v>17363</v>
      </c>
      <c r="BN230" s="50" t="s">
        <v>12100</v>
      </c>
      <c r="BO230" s="50" t="s">
        <v>3606</v>
      </c>
      <c r="BP230" s="50" t="s">
        <v>350</v>
      </c>
      <c r="BQ230" s="50" t="s">
        <v>3607</v>
      </c>
      <c r="BR230" s="50" t="s">
        <v>3608</v>
      </c>
      <c r="BS230" s="50" t="s">
        <v>2569</v>
      </c>
      <c r="BU230" s="50" t="s">
        <v>17364</v>
      </c>
      <c r="BV230" s="50" t="s">
        <v>17365</v>
      </c>
      <c r="BW230" s="50" t="s">
        <v>138</v>
      </c>
      <c r="BX230" s="50" t="s">
        <v>7926</v>
      </c>
      <c r="BY230" s="50" t="s">
        <v>17366</v>
      </c>
      <c r="BZ230" s="50" t="s">
        <v>7928</v>
      </c>
      <c r="CA230" s="50" t="s">
        <v>17365</v>
      </c>
      <c r="CB230" s="50" t="s">
        <v>7926</v>
      </c>
      <c r="CC230" s="50" t="s">
        <v>17366</v>
      </c>
      <c r="CD230" s="50" t="s">
        <v>17365</v>
      </c>
      <c r="CE230" s="50" t="s">
        <v>7926</v>
      </c>
      <c r="CF230" s="50" t="s">
        <v>17366</v>
      </c>
      <c r="CG230" s="50" t="s">
        <v>3841</v>
      </c>
      <c r="CH230" s="50" t="s">
        <v>7933</v>
      </c>
      <c r="CJ230" s="50" t="s">
        <v>7930</v>
      </c>
      <c r="CK230" s="50" t="s">
        <v>17367</v>
      </c>
      <c r="CL230" s="50" t="s">
        <v>1729</v>
      </c>
      <c r="CM230" s="50" t="s">
        <v>730</v>
      </c>
      <c r="CN230" s="50" t="s">
        <v>7932</v>
      </c>
      <c r="CP230" s="50" t="s">
        <v>7933</v>
      </c>
      <c r="CQ230" s="50" t="s">
        <v>7931</v>
      </c>
    </row>
    <row r="231" spans="1:96">
      <c r="A231" s="95" t="s">
        <v>149</v>
      </c>
      <c r="B231" s="50">
        <v>5002735</v>
      </c>
      <c r="C231" s="50" t="s">
        <v>985</v>
      </c>
      <c r="D231" s="50" t="s">
        <v>18498</v>
      </c>
      <c r="E231" s="50" t="e">
        <f>VLOOKUP(B231,aa!B:F,5,0)</f>
        <v>#N/A</v>
      </c>
      <c r="F231" s="50" t="e">
        <f>VLOOKUP(B231,aa!B:J,9,0)</f>
        <v>#N/A</v>
      </c>
      <c r="G231" s="50" t="e">
        <f>VLOOKUP(B231,aa!B:L,11,0)</f>
        <v>#N/A</v>
      </c>
      <c r="H231" s="50" t="e">
        <f>VLOOKUP(B231,aa!B:O,14,0)</f>
        <v>#N/A</v>
      </c>
      <c r="I231" s="50" t="e">
        <f>VLOOKUP(B231,aa!B:R,17,0)</f>
        <v>#N/A</v>
      </c>
      <c r="K231" s="50" t="s">
        <v>97</v>
      </c>
      <c r="L231" s="50">
        <v>399714</v>
      </c>
      <c r="M231" s="50">
        <v>399714</v>
      </c>
      <c r="N231" s="50">
        <v>399714</v>
      </c>
      <c r="O231" s="50">
        <v>363</v>
      </c>
      <c r="P231" s="50" t="s">
        <v>6782</v>
      </c>
      <c r="Q231" s="50">
        <v>0</v>
      </c>
      <c r="R231" s="50">
        <v>0</v>
      </c>
      <c r="T231" s="50">
        <v>0</v>
      </c>
      <c r="U231" s="50">
        <v>0</v>
      </c>
      <c r="W231" s="50" t="s">
        <v>102</v>
      </c>
      <c r="X231" s="50" t="s">
        <v>103</v>
      </c>
      <c r="Y231" s="50" t="s">
        <v>104</v>
      </c>
      <c r="AA231" s="50" t="s">
        <v>12923</v>
      </c>
      <c r="AB231" s="50" t="s">
        <v>18499</v>
      </c>
      <c r="AC231" s="50" t="s">
        <v>3679</v>
      </c>
      <c r="AD231" s="50" t="s">
        <v>18499</v>
      </c>
      <c r="AE231" s="50" t="s">
        <v>109</v>
      </c>
      <c r="AF231" s="50" t="s">
        <v>102</v>
      </c>
      <c r="AG231" s="50" t="s">
        <v>109</v>
      </c>
      <c r="AH231" s="50" t="s">
        <v>102</v>
      </c>
      <c r="AI231" s="50" t="s">
        <v>102</v>
      </c>
      <c r="AJ231" s="50" t="s">
        <v>11929</v>
      </c>
      <c r="AK231" s="50" t="s">
        <v>11929</v>
      </c>
      <c r="AL231" s="50" t="s">
        <v>18500</v>
      </c>
      <c r="AM231" s="50" t="s">
        <v>18501</v>
      </c>
      <c r="AN231" s="50" t="s">
        <v>18502</v>
      </c>
      <c r="AO231" s="50" t="s">
        <v>18503</v>
      </c>
      <c r="AP231" s="50" t="s">
        <v>18503</v>
      </c>
      <c r="AU231" s="50" t="s">
        <v>318</v>
      </c>
      <c r="AV231" s="50" t="s">
        <v>118</v>
      </c>
      <c r="AW231" s="50" t="s">
        <v>102</v>
      </c>
      <c r="AX231" s="50" t="s">
        <v>119</v>
      </c>
      <c r="BB231" s="50" t="s">
        <v>120</v>
      </c>
      <c r="BC231" s="50" t="s">
        <v>2127</v>
      </c>
      <c r="BD231" s="50" t="s">
        <v>621</v>
      </c>
      <c r="BE231" s="50" t="s">
        <v>622</v>
      </c>
      <c r="BF231" s="50" t="s">
        <v>976</v>
      </c>
      <c r="BG231" s="50" t="s">
        <v>124</v>
      </c>
      <c r="BH231" s="50" t="s">
        <v>12082</v>
      </c>
      <c r="BI231" s="50" t="s">
        <v>12289</v>
      </c>
      <c r="BJ231" s="50" t="s">
        <v>127</v>
      </c>
      <c r="BK231" s="50" t="s">
        <v>18504</v>
      </c>
      <c r="BL231" s="50" t="s">
        <v>9159</v>
      </c>
      <c r="BM231" s="50" t="s">
        <v>18505</v>
      </c>
      <c r="BN231" s="50" t="s">
        <v>12100</v>
      </c>
      <c r="BO231" s="50" t="s">
        <v>18506</v>
      </c>
      <c r="BP231" s="50" t="s">
        <v>350</v>
      </c>
      <c r="BQ231" s="50" t="s">
        <v>18507</v>
      </c>
      <c r="BR231" s="50" t="s">
        <v>18508</v>
      </c>
      <c r="BS231" s="50" t="s">
        <v>984</v>
      </c>
      <c r="BU231" s="50" t="s">
        <v>18509</v>
      </c>
      <c r="BV231" s="50" t="s">
        <v>18510</v>
      </c>
      <c r="BW231" s="50" t="s">
        <v>138</v>
      </c>
      <c r="BX231" s="50" t="s">
        <v>9163</v>
      </c>
      <c r="BY231" s="50" t="s">
        <v>9164</v>
      </c>
      <c r="BZ231" s="50" t="s">
        <v>9165</v>
      </c>
      <c r="CA231" s="50" t="s">
        <v>18510</v>
      </c>
      <c r="CB231" s="50" t="s">
        <v>9163</v>
      </c>
      <c r="CC231" s="50" t="s">
        <v>9164</v>
      </c>
      <c r="CD231" s="50" t="s">
        <v>18510</v>
      </c>
      <c r="CE231" s="50" t="s">
        <v>9163</v>
      </c>
      <c r="CF231" s="50" t="s">
        <v>9164</v>
      </c>
      <c r="CG231" s="50" t="s">
        <v>2270</v>
      </c>
      <c r="CH231" s="50" t="s">
        <v>18511</v>
      </c>
      <c r="CJ231" s="50" t="s">
        <v>9167</v>
      </c>
      <c r="CK231" s="50" t="s">
        <v>18512</v>
      </c>
      <c r="CL231" s="50" t="s">
        <v>2127</v>
      </c>
      <c r="CM231" s="50" t="s">
        <v>621</v>
      </c>
      <c r="CN231" s="50" t="s">
        <v>9167</v>
      </c>
      <c r="CP231" s="50" t="s">
        <v>9166</v>
      </c>
      <c r="CQ231" s="50" t="s">
        <v>9166</v>
      </c>
      <c r="CR231" s="50" t="s">
        <v>26044</v>
      </c>
    </row>
    <row r="232" spans="1:96">
      <c r="A232" s="50" t="s">
        <v>93</v>
      </c>
      <c r="B232" s="50">
        <v>5018144</v>
      </c>
      <c r="C232" s="50" t="s">
        <v>16575</v>
      </c>
      <c r="D232" s="50" t="s">
        <v>19400</v>
      </c>
      <c r="E232" s="50" t="e">
        <f>VLOOKUP(B232,aa!B:F,5,0)</f>
        <v>#N/A</v>
      </c>
      <c r="F232" s="50" t="e">
        <f>VLOOKUP(B232,aa!B:J,9,0)</f>
        <v>#N/A</v>
      </c>
      <c r="G232" s="50" t="e">
        <f>VLOOKUP(B232,aa!B:L,11,0)</f>
        <v>#N/A</v>
      </c>
      <c r="H232" s="50" t="e">
        <f>VLOOKUP(B232,aa!B:O,14,0)</f>
        <v>#N/A</v>
      </c>
      <c r="I232" s="50" t="e">
        <f>VLOOKUP(B232,aa!B:R,17,0)</f>
        <v>#N/A</v>
      </c>
      <c r="K232" s="50" t="s">
        <v>2163</v>
      </c>
      <c r="L232" s="50">
        <v>1244273</v>
      </c>
      <c r="M232" s="50">
        <v>1378822</v>
      </c>
      <c r="N232" s="50">
        <v>202653</v>
      </c>
      <c r="O232" s="50">
        <v>253</v>
      </c>
      <c r="P232" s="50" t="s">
        <v>19169</v>
      </c>
      <c r="Q232" s="50">
        <v>294125</v>
      </c>
      <c r="R232" s="50">
        <v>245</v>
      </c>
      <c r="S232" s="50" t="s">
        <v>19156</v>
      </c>
      <c r="T232" s="50">
        <v>747495</v>
      </c>
      <c r="U232" s="50">
        <v>245</v>
      </c>
      <c r="V232" s="50" t="s">
        <v>1652</v>
      </c>
      <c r="W232" s="50" t="s">
        <v>102</v>
      </c>
      <c r="X232" s="50" t="s">
        <v>103</v>
      </c>
      <c r="Y232" s="50" t="s">
        <v>938</v>
      </c>
      <c r="AA232" s="50" t="s">
        <v>16918</v>
      </c>
      <c r="AB232" s="50" t="s">
        <v>19401</v>
      </c>
      <c r="AC232" s="50" t="s">
        <v>11976</v>
      </c>
      <c r="AD232" s="50" t="s">
        <v>19401</v>
      </c>
      <c r="AE232" s="50" t="s">
        <v>5651</v>
      </c>
      <c r="AF232" s="50" t="s">
        <v>19402</v>
      </c>
      <c r="AG232" s="50" t="s">
        <v>12595</v>
      </c>
      <c r="AH232" s="50" t="s">
        <v>19403</v>
      </c>
      <c r="AI232" s="50" t="s">
        <v>19404</v>
      </c>
      <c r="AJ232" s="50" t="s">
        <v>4813</v>
      </c>
      <c r="AK232" s="50" t="s">
        <v>19174</v>
      </c>
      <c r="AL232" s="50" t="s">
        <v>19405</v>
      </c>
      <c r="AM232" s="50" t="s">
        <v>19406</v>
      </c>
      <c r="AN232" s="50" t="s">
        <v>19407</v>
      </c>
      <c r="AO232" s="50" t="s">
        <v>19408</v>
      </c>
      <c r="AP232" s="50" t="s">
        <v>19408</v>
      </c>
      <c r="AU232" s="50" t="s">
        <v>247</v>
      </c>
      <c r="AV232" s="50" t="s">
        <v>118</v>
      </c>
      <c r="AW232" s="50" t="s">
        <v>1103</v>
      </c>
      <c r="AX232" s="50" t="s">
        <v>249</v>
      </c>
      <c r="AY232" s="50" t="s">
        <v>170</v>
      </c>
      <c r="AZ232" s="50" t="s">
        <v>118</v>
      </c>
      <c r="BA232" s="50" t="s">
        <v>208</v>
      </c>
      <c r="BB232" s="50" t="s">
        <v>1964</v>
      </c>
      <c r="BC232" s="50" t="s">
        <v>375</v>
      </c>
      <c r="BD232" s="50" t="s">
        <v>376</v>
      </c>
      <c r="BE232" s="50" t="s">
        <v>174</v>
      </c>
      <c r="BF232" s="50" t="s">
        <v>376</v>
      </c>
      <c r="BG232" s="50" t="s">
        <v>124</v>
      </c>
      <c r="BH232" s="50" t="s">
        <v>19409</v>
      </c>
      <c r="BI232" s="50" t="s">
        <v>19180</v>
      </c>
      <c r="BJ232" s="50" t="s">
        <v>127</v>
      </c>
      <c r="BK232" s="50" t="s">
        <v>19410</v>
      </c>
      <c r="BL232" s="50" t="s">
        <v>19411</v>
      </c>
      <c r="BM232" s="50" t="s">
        <v>19412</v>
      </c>
      <c r="BN232" s="50" t="s">
        <v>12100</v>
      </c>
      <c r="BO232" s="50" t="s">
        <v>13780</v>
      </c>
      <c r="BP232" s="50" t="s">
        <v>180</v>
      </c>
      <c r="BQ232" s="50" t="s">
        <v>13781</v>
      </c>
      <c r="BR232" s="50" t="s">
        <v>13782</v>
      </c>
      <c r="BS232" s="50" t="s">
        <v>13783</v>
      </c>
      <c r="BU232" s="50" t="s">
        <v>19413</v>
      </c>
      <c r="BV232" s="50" t="s">
        <v>16588</v>
      </c>
      <c r="BW232" s="50" t="s">
        <v>354</v>
      </c>
      <c r="BX232" s="50" t="s">
        <v>16589</v>
      </c>
      <c r="BY232" s="50" t="s">
        <v>16590</v>
      </c>
      <c r="BZ232" s="50" t="s">
        <v>6802</v>
      </c>
      <c r="CA232" s="50" t="s">
        <v>16588</v>
      </c>
      <c r="CB232" s="50" t="s">
        <v>16589</v>
      </c>
      <c r="CC232" s="50" t="s">
        <v>16590</v>
      </c>
      <c r="CD232" s="50" t="s">
        <v>16588</v>
      </c>
      <c r="CE232" s="50" t="s">
        <v>16589</v>
      </c>
      <c r="CF232" s="50" t="s">
        <v>16590</v>
      </c>
      <c r="CG232" s="50" t="s">
        <v>1538</v>
      </c>
      <c r="CH232" s="50" t="s">
        <v>19414</v>
      </c>
      <c r="CJ232" s="50" t="s">
        <v>14371</v>
      </c>
      <c r="CK232" s="50" t="s">
        <v>19415</v>
      </c>
      <c r="CL232" s="50" t="s">
        <v>375</v>
      </c>
      <c r="CM232" s="50" t="s">
        <v>376</v>
      </c>
      <c r="CN232" s="50" t="s">
        <v>14371</v>
      </c>
      <c r="CO232" s="50" t="s">
        <v>6808</v>
      </c>
      <c r="CP232" s="50" t="s">
        <v>19415</v>
      </c>
      <c r="CQ232" s="50" t="s">
        <v>19415</v>
      </c>
      <c r="CR232" s="50" t="s">
        <v>26043</v>
      </c>
    </row>
    <row r="233" spans="1:96">
      <c r="A233" s="95" t="s">
        <v>26356</v>
      </c>
      <c r="B233" s="50">
        <v>226552</v>
      </c>
      <c r="C233" s="50" t="s">
        <v>11882</v>
      </c>
      <c r="D233" s="50" t="s">
        <v>2906</v>
      </c>
      <c r="E233" s="50" t="str">
        <f>VLOOKUP(B233,aa!B:F,5,0)</f>
        <v>Ei ASSET, Ei Mindspark</v>
      </c>
      <c r="F233" s="50">
        <f>VLOOKUP(B233,aa!B:J,9,0)</f>
        <v>536715</v>
      </c>
      <c r="G233" s="50">
        <f>VLOOKUP(B233,aa!B:L,11,0)</f>
        <v>228171</v>
      </c>
      <c r="H233" s="50">
        <f>VLOOKUP(B233,aa!B:O,14,0)</f>
        <v>0</v>
      </c>
      <c r="I233" s="50">
        <f>VLOOKUP(B233,aa!B:R,17,0)</f>
        <v>308544</v>
      </c>
      <c r="K233" s="50" t="s">
        <v>193</v>
      </c>
      <c r="L233" s="50">
        <v>520670</v>
      </c>
      <c r="M233" s="50">
        <v>577166</v>
      </c>
      <c r="N233" s="50">
        <v>206806</v>
      </c>
      <c r="O233" s="50">
        <v>213</v>
      </c>
      <c r="P233" s="50" t="s">
        <v>13650</v>
      </c>
      <c r="Q233" s="50">
        <v>0</v>
      </c>
      <c r="R233" s="50">
        <v>0</v>
      </c>
      <c r="T233" s="50">
        <v>313864</v>
      </c>
      <c r="U233" s="50">
        <v>118</v>
      </c>
      <c r="V233" s="50" t="s">
        <v>13651</v>
      </c>
      <c r="W233" s="50" t="s">
        <v>102</v>
      </c>
      <c r="X233" s="50" t="s">
        <v>103</v>
      </c>
      <c r="Y233" s="50" t="s">
        <v>801</v>
      </c>
      <c r="AA233" s="50" t="s">
        <v>13652</v>
      </c>
      <c r="AB233" s="50" t="s">
        <v>13653</v>
      </c>
      <c r="AC233" s="50" t="s">
        <v>11976</v>
      </c>
      <c r="AD233" s="50" t="s">
        <v>13653</v>
      </c>
      <c r="AE233" s="50" t="s">
        <v>12571</v>
      </c>
      <c r="AF233" s="50" t="s">
        <v>13654</v>
      </c>
      <c r="AG233" s="50" t="s">
        <v>12595</v>
      </c>
      <c r="AH233" s="50" t="s">
        <v>13654</v>
      </c>
      <c r="AI233" s="50" t="s">
        <v>13655</v>
      </c>
      <c r="AJ233" s="50" t="s">
        <v>8783</v>
      </c>
      <c r="AK233" s="50" t="s">
        <v>13656</v>
      </c>
      <c r="AL233" s="50" t="s">
        <v>13657</v>
      </c>
      <c r="AM233" s="50" t="s">
        <v>13658</v>
      </c>
      <c r="AN233" s="50" t="s">
        <v>13659</v>
      </c>
      <c r="AO233" s="50" t="s">
        <v>13660</v>
      </c>
      <c r="AP233" s="50" t="s">
        <v>13660</v>
      </c>
      <c r="AU233" s="50" t="s">
        <v>207</v>
      </c>
      <c r="AV233" s="50" t="s">
        <v>118</v>
      </c>
      <c r="AW233" s="50" t="s">
        <v>102</v>
      </c>
      <c r="AX233" s="50" t="s">
        <v>119</v>
      </c>
      <c r="BA233" s="50" t="s">
        <v>250</v>
      </c>
      <c r="BB233" s="50" t="s">
        <v>120</v>
      </c>
      <c r="BC233" s="50" t="s">
        <v>2204</v>
      </c>
      <c r="BD233" s="50" t="s">
        <v>121</v>
      </c>
      <c r="BE233" s="50" t="s">
        <v>122</v>
      </c>
      <c r="BF233" s="50" t="s">
        <v>123</v>
      </c>
      <c r="BG233" s="50" t="s">
        <v>124</v>
      </c>
      <c r="BH233" s="50" t="s">
        <v>13661</v>
      </c>
      <c r="BI233" s="50" t="s">
        <v>13662</v>
      </c>
      <c r="BJ233" s="50" t="s">
        <v>127</v>
      </c>
      <c r="BK233" s="50" t="s">
        <v>13663</v>
      </c>
      <c r="BL233" s="50" t="s">
        <v>2925</v>
      </c>
      <c r="BM233" s="50" t="s">
        <v>13664</v>
      </c>
      <c r="BN233" s="50" t="s">
        <v>13649</v>
      </c>
      <c r="BO233" s="50" t="s">
        <v>3267</v>
      </c>
      <c r="BP233" s="50" t="s">
        <v>350</v>
      </c>
      <c r="BQ233" s="50" t="s">
        <v>3268</v>
      </c>
      <c r="BR233" s="50" t="s">
        <v>3269</v>
      </c>
      <c r="BS233" s="50" t="s">
        <v>135</v>
      </c>
      <c r="BT233" s="50" t="s">
        <v>135</v>
      </c>
      <c r="BU233" s="50" t="s">
        <v>13665</v>
      </c>
      <c r="BV233" s="50" t="s">
        <v>2932</v>
      </c>
      <c r="BW233" s="50" t="s">
        <v>296</v>
      </c>
      <c r="BX233" s="50" t="s">
        <v>2933</v>
      </c>
      <c r="BY233" s="50" t="s">
        <v>2934</v>
      </c>
      <c r="BZ233" s="50" t="s">
        <v>2935</v>
      </c>
      <c r="CA233" s="50" t="s">
        <v>13666</v>
      </c>
      <c r="CB233" s="50" t="s">
        <v>13667</v>
      </c>
      <c r="CC233" s="50" t="s">
        <v>2934</v>
      </c>
      <c r="CD233" s="50" t="s">
        <v>13666</v>
      </c>
      <c r="CE233" s="50" t="s">
        <v>13667</v>
      </c>
      <c r="CF233" s="50" t="s">
        <v>2934</v>
      </c>
      <c r="CG233" s="50" t="s">
        <v>102</v>
      </c>
      <c r="CH233" s="50" t="s">
        <v>13668</v>
      </c>
      <c r="CJ233" s="50" t="s">
        <v>2942</v>
      </c>
      <c r="CL233" s="50" t="s">
        <v>2204</v>
      </c>
      <c r="CM233" s="50" t="s">
        <v>121</v>
      </c>
      <c r="CN233" s="50" t="s">
        <v>2942</v>
      </c>
      <c r="CP233" s="50" t="s">
        <v>2941</v>
      </c>
      <c r="CQ233" s="50" t="s">
        <v>2941</v>
      </c>
    </row>
    <row r="234" spans="1:96">
      <c r="A234" s="95" t="s">
        <v>149</v>
      </c>
      <c r="B234" s="50">
        <v>4930</v>
      </c>
      <c r="C234" s="50" t="s">
        <v>2151</v>
      </c>
      <c r="D234" s="50" t="s">
        <v>9025</v>
      </c>
      <c r="E234" s="50" t="e">
        <f>VLOOKUP(B234,aa!B:F,5,0)</f>
        <v>#N/A</v>
      </c>
      <c r="F234" s="50" t="e">
        <f>VLOOKUP(B234,aa!B:J,9,0)</f>
        <v>#N/A</v>
      </c>
      <c r="G234" s="50" t="e">
        <f>VLOOKUP(B234,aa!B:L,11,0)</f>
        <v>#N/A</v>
      </c>
      <c r="H234" s="50" t="e">
        <f>VLOOKUP(B234,aa!B:O,14,0)</f>
        <v>#N/A</v>
      </c>
      <c r="I234" s="50" t="e">
        <f>VLOOKUP(B234,aa!B:R,17,0)</f>
        <v>#N/A</v>
      </c>
      <c r="K234" s="50" t="s">
        <v>18418</v>
      </c>
      <c r="L234" s="50">
        <v>2640685</v>
      </c>
      <c r="M234" s="50">
        <v>2902199</v>
      </c>
      <c r="N234" s="50">
        <v>668239</v>
      </c>
      <c r="O234" s="50">
        <v>892</v>
      </c>
      <c r="P234" s="50" t="s">
        <v>18419</v>
      </c>
      <c r="Q234" s="50">
        <v>519590</v>
      </c>
      <c r="R234" s="50">
        <v>1118</v>
      </c>
      <c r="S234" s="50" t="s">
        <v>18420</v>
      </c>
      <c r="T234" s="50">
        <v>1452856</v>
      </c>
      <c r="U234" s="50">
        <v>753</v>
      </c>
      <c r="V234" s="50" t="s">
        <v>18421</v>
      </c>
      <c r="W234" s="50" t="s">
        <v>102</v>
      </c>
      <c r="X234" s="50" t="s">
        <v>275</v>
      </c>
      <c r="Z234" s="50" t="s">
        <v>18422</v>
      </c>
      <c r="AA234" s="50" t="s">
        <v>109</v>
      </c>
      <c r="AB234" s="50" t="s">
        <v>102</v>
      </c>
      <c r="AC234" s="50" t="s">
        <v>109</v>
      </c>
      <c r="AD234" s="50" t="s">
        <v>102</v>
      </c>
      <c r="AE234" s="50" t="s">
        <v>109</v>
      </c>
      <c r="AF234" s="50" t="s">
        <v>102</v>
      </c>
      <c r="AG234" s="50" t="s">
        <v>109</v>
      </c>
      <c r="AH234" s="50" t="s">
        <v>102</v>
      </c>
      <c r="AI234" s="50" t="s">
        <v>102</v>
      </c>
      <c r="AJ234" s="50" t="s">
        <v>1604</v>
      </c>
      <c r="AK234" s="50" t="s">
        <v>10167</v>
      </c>
      <c r="AL234" s="50" t="s">
        <v>18423</v>
      </c>
      <c r="AM234" s="50" t="s">
        <v>18424</v>
      </c>
      <c r="AN234" s="50" t="s">
        <v>18425</v>
      </c>
      <c r="AO234" s="50" t="s">
        <v>18426</v>
      </c>
      <c r="AP234" s="50" t="s">
        <v>18426</v>
      </c>
      <c r="AU234" s="50" t="s">
        <v>247</v>
      </c>
      <c r="AV234" s="50" t="s">
        <v>118</v>
      </c>
      <c r="AW234" s="50" t="s">
        <v>655</v>
      </c>
      <c r="AX234" s="50" t="s">
        <v>249</v>
      </c>
      <c r="AY234" s="50" t="s">
        <v>170</v>
      </c>
      <c r="AZ234" s="50" t="s">
        <v>118</v>
      </c>
      <c r="BA234" s="50" t="s">
        <v>250</v>
      </c>
      <c r="BB234" s="50" t="s">
        <v>120</v>
      </c>
      <c r="BC234" s="50" t="s">
        <v>920</v>
      </c>
      <c r="BD234" s="50" t="s">
        <v>211</v>
      </c>
      <c r="BE234" s="50" t="s">
        <v>212</v>
      </c>
      <c r="BF234" s="50" t="s">
        <v>213</v>
      </c>
      <c r="BG234" s="50" t="s">
        <v>124</v>
      </c>
      <c r="BH234" s="50" t="s">
        <v>16740</v>
      </c>
      <c r="BI234" s="50" t="s">
        <v>11960</v>
      </c>
      <c r="BJ234" s="50" t="s">
        <v>127</v>
      </c>
      <c r="BK234" s="50" t="s">
        <v>18427</v>
      </c>
      <c r="BL234" s="50" t="s">
        <v>9036</v>
      </c>
      <c r="BM234" s="50" t="s">
        <v>18428</v>
      </c>
      <c r="BN234" s="50" t="s">
        <v>18417</v>
      </c>
      <c r="BO234" s="50" t="s">
        <v>18429</v>
      </c>
      <c r="BP234" s="50" t="s">
        <v>7992</v>
      </c>
      <c r="BQ234" s="50" t="s">
        <v>18430</v>
      </c>
      <c r="BR234" s="50" t="s">
        <v>18431</v>
      </c>
      <c r="BS234" s="50" t="s">
        <v>2151</v>
      </c>
      <c r="BU234" s="50" t="s">
        <v>18432</v>
      </c>
      <c r="BV234" s="50" t="s">
        <v>18433</v>
      </c>
      <c r="BW234" s="50" t="s">
        <v>18434</v>
      </c>
      <c r="BX234" s="50" t="s">
        <v>9043</v>
      </c>
      <c r="BY234" s="50" t="s">
        <v>18435</v>
      </c>
      <c r="BZ234" s="50" t="s">
        <v>7114</v>
      </c>
      <c r="CA234" s="50" t="s">
        <v>18433</v>
      </c>
      <c r="CB234" s="50" t="s">
        <v>9043</v>
      </c>
      <c r="CC234" s="50" t="s">
        <v>18435</v>
      </c>
      <c r="CD234" s="50" t="s">
        <v>18436</v>
      </c>
      <c r="CE234" s="50" t="s">
        <v>9048</v>
      </c>
      <c r="CF234" s="50" t="s">
        <v>18437</v>
      </c>
      <c r="CG234" s="50" t="s">
        <v>102</v>
      </c>
      <c r="CH234" s="50" t="s">
        <v>9049</v>
      </c>
      <c r="CJ234" s="50" t="s">
        <v>9050</v>
      </c>
      <c r="CL234" s="50" t="s">
        <v>920</v>
      </c>
      <c r="CM234" s="50" t="s">
        <v>211</v>
      </c>
      <c r="CN234" s="50" t="s">
        <v>9050</v>
      </c>
      <c r="CP234" s="50" t="s">
        <v>9049</v>
      </c>
      <c r="CQ234" s="50" t="s">
        <v>9049</v>
      </c>
      <c r="CR234" s="50" t="s">
        <v>26040</v>
      </c>
    </row>
    <row r="235" spans="1:96">
      <c r="A235" s="95" t="s">
        <v>149</v>
      </c>
      <c r="B235" s="50">
        <v>104830</v>
      </c>
      <c r="C235" s="50" t="s">
        <v>418</v>
      </c>
      <c r="D235" s="50" t="s">
        <v>394</v>
      </c>
      <c r="E235" s="50" t="e">
        <f>VLOOKUP(B235,aa!B:F,5,0)</f>
        <v>#N/A</v>
      </c>
      <c r="F235" s="50" t="e">
        <f>VLOOKUP(B235,aa!B:J,9,0)</f>
        <v>#N/A</v>
      </c>
      <c r="G235" s="50" t="e">
        <f>VLOOKUP(B235,aa!B:L,11,0)</f>
        <v>#N/A</v>
      </c>
      <c r="H235" s="50" t="e">
        <f>VLOOKUP(B235,aa!B:O,14,0)</f>
        <v>#N/A</v>
      </c>
      <c r="I235" s="50" t="e">
        <f>VLOOKUP(B235,aa!B:R,17,0)</f>
        <v>#N/A</v>
      </c>
      <c r="K235" s="50" t="s">
        <v>152</v>
      </c>
      <c r="L235" s="50">
        <v>1559158</v>
      </c>
      <c r="M235" s="50">
        <v>1559158</v>
      </c>
      <c r="N235" s="50">
        <v>0</v>
      </c>
      <c r="O235" s="50">
        <v>0</v>
      </c>
      <c r="Q235" s="50">
        <v>1559158</v>
      </c>
      <c r="R235" s="50">
        <v>1155</v>
      </c>
      <c r="S235" s="50" t="s">
        <v>397</v>
      </c>
      <c r="T235" s="50">
        <v>0</v>
      </c>
      <c r="U235" s="50">
        <v>0</v>
      </c>
      <c r="W235" s="50" t="s">
        <v>102</v>
      </c>
      <c r="X235" s="50" t="s">
        <v>103</v>
      </c>
      <c r="Y235" s="50" t="s">
        <v>398</v>
      </c>
      <c r="AA235" s="50" t="s">
        <v>11959</v>
      </c>
      <c r="AB235" s="50" t="s">
        <v>12081</v>
      </c>
      <c r="AC235" s="50" t="s">
        <v>12082</v>
      </c>
      <c r="AD235" s="50" t="s">
        <v>12083</v>
      </c>
      <c r="AE235" s="50" t="s">
        <v>12084</v>
      </c>
      <c r="AF235" s="50" t="s">
        <v>12083</v>
      </c>
      <c r="AG235" s="50" t="s">
        <v>109</v>
      </c>
      <c r="AH235" s="50" t="s">
        <v>102</v>
      </c>
      <c r="AI235" s="50" t="s">
        <v>12085</v>
      </c>
      <c r="AJ235" s="50" t="s">
        <v>12040</v>
      </c>
      <c r="AK235" s="50" t="s">
        <v>12086</v>
      </c>
      <c r="AL235" s="50" t="s">
        <v>12087</v>
      </c>
      <c r="AM235" s="50" t="s">
        <v>12088</v>
      </c>
      <c r="AN235" s="50" t="s">
        <v>12089</v>
      </c>
      <c r="AO235" s="50" t="s">
        <v>408</v>
      </c>
      <c r="AP235" s="50" t="s">
        <v>408</v>
      </c>
      <c r="AU235" s="50" t="s">
        <v>102</v>
      </c>
      <c r="AW235" s="50" t="s">
        <v>155</v>
      </c>
      <c r="AX235" s="50" t="s">
        <v>119</v>
      </c>
      <c r="AY235" s="50" t="s">
        <v>170</v>
      </c>
      <c r="AZ235" s="50" t="s">
        <v>118</v>
      </c>
      <c r="BB235" s="50" t="s">
        <v>120</v>
      </c>
      <c r="BC235" s="50" t="s">
        <v>409</v>
      </c>
      <c r="BD235" s="50" t="s">
        <v>410</v>
      </c>
      <c r="BE235" s="50" t="s">
        <v>212</v>
      </c>
      <c r="BF235" s="50" t="s">
        <v>410</v>
      </c>
      <c r="BG235" s="50" t="s">
        <v>124</v>
      </c>
      <c r="BH235" s="50" t="s">
        <v>11959</v>
      </c>
      <c r="BI235" s="50" t="s">
        <v>12047</v>
      </c>
      <c r="BJ235" s="50" t="s">
        <v>127</v>
      </c>
      <c r="BK235" s="50" t="s">
        <v>12090</v>
      </c>
      <c r="BL235" s="50" t="s">
        <v>413</v>
      </c>
      <c r="BM235" s="50" t="s">
        <v>12091</v>
      </c>
      <c r="BN235" s="50" t="s">
        <v>4813</v>
      </c>
      <c r="BO235" s="50" t="s">
        <v>866</v>
      </c>
      <c r="BP235" s="50" t="s">
        <v>132</v>
      </c>
      <c r="BQ235" s="50" t="s">
        <v>867</v>
      </c>
      <c r="BR235" s="50" t="s">
        <v>868</v>
      </c>
      <c r="BS235" s="50" t="s">
        <v>418</v>
      </c>
      <c r="BU235" s="50" t="s">
        <v>12092</v>
      </c>
      <c r="BV235" s="50" t="s">
        <v>12093</v>
      </c>
      <c r="BW235" s="50" t="s">
        <v>138</v>
      </c>
      <c r="BX235" s="50" t="s">
        <v>423</v>
      </c>
      <c r="BY235" s="50" t="s">
        <v>422</v>
      </c>
      <c r="BZ235" s="50" t="s">
        <v>423</v>
      </c>
      <c r="CA235" s="50" t="s">
        <v>12093</v>
      </c>
      <c r="CB235" s="50" t="s">
        <v>423</v>
      </c>
      <c r="CC235" s="50" t="s">
        <v>422</v>
      </c>
      <c r="CD235" s="50" t="s">
        <v>12094</v>
      </c>
      <c r="CE235" s="50" t="s">
        <v>425</v>
      </c>
      <c r="CF235" s="50" t="s">
        <v>426</v>
      </c>
      <c r="CG235" s="50" t="s">
        <v>102</v>
      </c>
      <c r="CH235" s="50" t="s">
        <v>427</v>
      </c>
      <c r="CJ235" s="50" t="s">
        <v>428</v>
      </c>
      <c r="CL235" s="50" t="s">
        <v>409</v>
      </c>
      <c r="CM235" s="50" t="s">
        <v>410</v>
      </c>
      <c r="CN235" s="50" t="s">
        <v>428</v>
      </c>
      <c r="CO235" s="50" t="s">
        <v>429</v>
      </c>
      <c r="CP235" s="50" t="s">
        <v>427</v>
      </c>
      <c r="CQ235" s="50" t="s">
        <v>427</v>
      </c>
      <c r="CR235" s="50" t="s">
        <v>26040</v>
      </c>
    </row>
    <row r="236" spans="1:96">
      <c r="A236" s="95" t="s">
        <v>149</v>
      </c>
      <c r="B236" s="50">
        <v>2758617</v>
      </c>
      <c r="C236" s="50" t="s">
        <v>985</v>
      </c>
      <c r="D236" s="50" t="s">
        <v>4369</v>
      </c>
      <c r="E236" s="50" t="str">
        <f>VLOOKUP(B236,aa!B:F,5,0)</f>
        <v>Ei CARES</v>
      </c>
      <c r="F236" s="50">
        <f>VLOOKUP(B236,aa!B:J,9,0)</f>
        <v>1975038</v>
      </c>
      <c r="G236" s="50">
        <f>VLOOKUP(B236,aa!B:L,11,0)</f>
        <v>0</v>
      </c>
      <c r="H236" s="50">
        <f>VLOOKUP(B236,aa!B:O,14,0)</f>
        <v>1975038</v>
      </c>
      <c r="I236" s="50">
        <f>VLOOKUP(B236,aa!B:R,17,0)</f>
        <v>0</v>
      </c>
      <c r="K236" s="50" t="s">
        <v>152</v>
      </c>
      <c r="L236" s="50">
        <v>1892496</v>
      </c>
      <c r="M236" s="50">
        <v>1892496</v>
      </c>
      <c r="N236" s="50">
        <v>0</v>
      </c>
      <c r="O236" s="50">
        <v>0</v>
      </c>
      <c r="Q236" s="50">
        <v>1892496</v>
      </c>
      <c r="R236" s="50">
        <v>757</v>
      </c>
      <c r="S236" s="50" t="s">
        <v>3499</v>
      </c>
      <c r="T236" s="50">
        <v>0</v>
      </c>
      <c r="U236" s="50">
        <v>0</v>
      </c>
      <c r="W236" s="50" t="s">
        <v>102</v>
      </c>
      <c r="X236" s="50" t="s">
        <v>103</v>
      </c>
      <c r="Y236" s="50" t="s">
        <v>155</v>
      </c>
      <c r="AA236" s="50" t="s">
        <v>12425</v>
      </c>
      <c r="AB236" s="50" t="s">
        <v>14704</v>
      </c>
      <c r="AC236" s="50" t="s">
        <v>12659</v>
      </c>
      <c r="AD236" s="50" t="s">
        <v>14704</v>
      </c>
      <c r="AE236" s="50" t="s">
        <v>12099</v>
      </c>
      <c r="AF236" s="50" t="s">
        <v>14704</v>
      </c>
      <c r="AG236" s="50" t="s">
        <v>12713</v>
      </c>
      <c r="AH236" s="50" t="s">
        <v>14704</v>
      </c>
      <c r="AI236" s="50" t="s">
        <v>102</v>
      </c>
      <c r="AJ236" s="50" t="s">
        <v>14705</v>
      </c>
      <c r="AK236" s="50" t="s">
        <v>12927</v>
      </c>
      <c r="AL236" s="50" t="s">
        <v>14706</v>
      </c>
      <c r="AM236" s="50" t="s">
        <v>14707</v>
      </c>
      <c r="AN236" s="50" t="s">
        <v>14708</v>
      </c>
      <c r="AO236" s="50" t="s">
        <v>14709</v>
      </c>
      <c r="AP236" s="50" t="s">
        <v>14709</v>
      </c>
      <c r="AU236" s="50" t="s">
        <v>102</v>
      </c>
      <c r="AW236" s="50" t="s">
        <v>155</v>
      </c>
      <c r="AX236" s="50" t="s">
        <v>447</v>
      </c>
      <c r="AY236" s="50" t="s">
        <v>170</v>
      </c>
      <c r="AZ236" s="50" t="s">
        <v>118</v>
      </c>
      <c r="BB236" s="50" t="s">
        <v>120</v>
      </c>
      <c r="BC236" s="50" t="s">
        <v>2127</v>
      </c>
      <c r="BD236" s="50" t="s">
        <v>621</v>
      </c>
      <c r="BE236" s="50" t="s">
        <v>622</v>
      </c>
      <c r="BF236" s="50" t="s">
        <v>976</v>
      </c>
      <c r="BG236" s="50" t="s">
        <v>124</v>
      </c>
      <c r="BH236" s="50" t="s">
        <v>13680</v>
      </c>
      <c r="BI236" s="50" t="s">
        <v>12047</v>
      </c>
      <c r="BJ236" s="50" t="s">
        <v>127</v>
      </c>
      <c r="BK236" s="50" t="s">
        <v>14710</v>
      </c>
      <c r="BL236" s="50" t="s">
        <v>4380</v>
      </c>
      <c r="BM236" s="50" t="s">
        <v>14711</v>
      </c>
      <c r="BN236" s="50" t="s">
        <v>4813</v>
      </c>
      <c r="BO236" s="50" t="s">
        <v>981</v>
      </c>
      <c r="BP236" s="50" t="s">
        <v>132</v>
      </c>
      <c r="BQ236" s="50" t="s">
        <v>982</v>
      </c>
      <c r="BR236" s="50" t="s">
        <v>983</v>
      </c>
      <c r="BS236" s="50" t="s">
        <v>984</v>
      </c>
      <c r="BU236" s="50" t="s">
        <v>14712</v>
      </c>
      <c r="BV236" s="50" t="s">
        <v>14713</v>
      </c>
      <c r="BW236" s="50" t="s">
        <v>138</v>
      </c>
      <c r="BX236" s="50" t="s">
        <v>4389</v>
      </c>
      <c r="BY236" s="50" t="s">
        <v>14714</v>
      </c>
      <c r="BZ236" s="50" t="s">
        <v>4389</v>
      </c>
      <c r="CA236" s="50" t="s">
        <v>14713</v>
      </c>
      <c r="CB236" s="50" t="s">
        <v>4389</v>
      </c>
      <c r="CC236" s="50" t="s">
        <v>14714</v>
      </c>
      <c r="CD236" s="50" t="s">
        <v>14715</v>
      </c>
      <c r="CE236" s="50" t="s">
        <v>14716</v>
      </c>
      <c r="CF236" s="50" t="s">
        <v>14717</v>
      </c>
      <c r="CG236" s="50" t="s">
        <v>4390</v>
      </c>
      <c r="CH236" s="50" t="s">
        <v>14718</v>
      </c>
      <c r="CJ236" s="50" t="s">
        <v>4392</v>
      </c>
      <c r="CK236" s="50" t="s">
        <v>14719</v>
      </c>
      <c r="CL236" s="50" t="s">
        <v>2127</v>
      </c>
      <c r="CM236" s="50" t="s">
        <v>621</v>
      </c>
      <c r="CN236" s="50" t="s">
        <v>4392</v>
      </c>
      <c r="CP236" s="50" t="s">
        <v>4391</v>
      </c>
      <c r="CQ236" s="50" t="s">
        <v>4391</v>
      </c>
    </row>
    <row r="237" spans="1:96">
      <c r="A237" s="95" t="s">
        <v>149</v>
      </c>
      <c r="B237" s="50">
        <v>5014915</v>
      </c>
      <c r="C237" s="50" t="s">
        <v>2525</v>
      </c>
      <c r="D237" s="50" t="s">
        <v>9387</v>
      </c>
      <c r="E237" s="50" t="str">
        <f>VLOOKUP(B237,aa!B:F,5,0)</f>
        <v>Ei Mindspark</v>
      </c>
      <c r="F237" s="50">
        <f>VLOOKUP(B237,aa!B:J,9,0)</f>
        <v>344113</v>
      </c>
      <c r="G237" s="50">
        <f>VLOOKUP(B237,aa!B:L,11,0)</f>
        <v>0</v>
      </c>
      <c r="H237" s="50">
        <f>VLOOKUP(B237,aa!B:O,14,0)</f>
        <v>0</v>
      </c>
      <c r="I237" s="50">
        <f>VLOOKUP(B237,aa!B:R,17,0)</f>
        <v>344113</v>
      </c>
      <c r="K237" s="50" t="s">
        <v>848</v>
      </c>
      <c r="L237" s="50">
        <v>476307</v>
      </c>
      <c r="M237" s="50">
        <v>562042</v>
      </c>
      <c r="N237" s="50">
        <v>0</v>
      </c>
      <c r="O237" s="50">
        <v>0</v>
      </c>
      <c r="Q237" s="50">
        <v>0</v>
      </c>
      <c r="R237" s="50">
        <v>0</v>
      </c>
      <c r="T237" s="50">
        <v>476307</v>
      </c>
      <c r="U237" s="50">
        <v>281</v>
      </c>
      <c r="V237" s="50" t="s">
        <v>2007</v>
      </c>
      <c r="W237" s="50" t="s">
        <v>102</v>
      </c>
      <c r="X237" s="50" t="s">
        <v>275</v>
      </c>
      <c r="Z237" s="50" t="s">
        <v>126</v>
      </c>
      <c r="AA237" s="50" t="s">
        <v>109</v>
      </c>
      <c r="AB237" s="50" t="s">
        <v>102</v>
      </c>
      <c r="AC237" s="50" t="s">
        <v>109</v>
      </c>
      <c r="AD237" s="50" t="s">
        <v>102</v>
      </c>
      <c r="AE237" s="50" t="s">
        <v>109</v>
      </c>
      <c r="AF237" s="50" t="s">
        <v>102</v>
      </c>
      <c r="AG237" s="50" t="s">
        <v>109</v>
      </c>
      <c r="AH237" s="50" t="s">
        <v>102</v>
      </c>
      <c r="AI237" s="50" t="s">
        <v>102</v>
      </c>
      <c r="AJ237" s="50" t="s">
        <v>12911</v>
      </c>
      <c r="AK237" s="50" t="s">
        <v>18671</v>
      </c>
      <c r="AL237" s="50" t="s">
        <v>18672</v>
      </c>
      <c r="AM237" s="50" t="s">
        <v>18673</v>
      </c>
      <c r="AN237" s="50" t="s">
        <v>18674</v>
      </c>
      <c r="AO237" s="50" t="s">
        <v>18675</v>
      </c>
      <c r="AP237" s="50" t="s">
        <v>18676</v>
      </c>
      <c r="AQ237" s="50" t="s">
        <v>343</v>
      </c>
      <c r="AT237" s="50" t="s">
        <v>169</v>
      </c>
      <c r="AU237" s="50" t="s">
        <v>102</v>
      </c>
      <c r="AW237" s="50" t="s">
        <v>102</v>
      </c>
      <c r="AX237" s="50" t="s">
        <v>119</v>
      </c>
      <c r="BA237" s="50" t="s">
        <v>250</v>
      </c>
      <c r="BB237" s="50" t="s">
        <v>120</v>
      </c>
      <c r="BC237" s="50" t="s">
        <v>1729</v>
      </c>
      <c r="BD237" s="50" t="s">
        <v>730</v>
      </c>
      <c r="BE237" s="50" t="s">
        <v>622</v>
      </c>
      <c r="BF237" s="50" t="s">
        <v>730</v>
      </c>
      <c r="BG237" s="50" t="s">
        <v>124</v>
      </c>
      <c r="BH237" s="50" t="s">
        <v>12023</v>
      </c>
      <c r="BI237" s="50" t="s">
        <v>11889</v>
      </c>
      <c r="BJ237" s="50" t="s">
        <v>127</v>
      </c>
      <c r="BK237" s="50" t="s">
        <v>18677</v>
      </c>
      <c r="BL237" s="50" t="s">
        <v>9396</v>
      </c>
      <c r="BM237" s="50" t="s">
        <v>18678</v>
      </c>
      <c r="BN237" s="50" t="s">
        <v>4813</v>
      </c>
      <c r="BO237" s="50" t="s">
        <v>3606</v>
      </c>
      <c r="BP237" s="50" t="s">
        <v>180</v>
      </c>
      <c r="BQ237" s="50" t="s">
        <v>3607</v>
      </c>
      <c r="BR237" s="50" t="s">
        <v>3608</v>
      </c>
      <c r="BS237" s="50" t="s">
        <v>2525</v>
      </c>
      <c r="BU237" s="50" t="s">
        <v>18679</v>
      </c>
      <c r="BV237" s="50" t="s">
        <v>18680</v>
      </c>
      <c r="BW237" s="50" t="s">
        <v>354</v>
      </c>
      <c r="BX237" s="50" t="s">
        <v>9402</v>
      </c>
      <c r="BY237" s="50" t="s">
        <v>18681</v>
      </c>
      <c r="BZ237" s="50" t="s">
        <v>9402</v>
      </c>
      <c r="CA237" s="50" t="s">
        <v>18682</v>
      </c>
      <c r="CB237" s="50" t="s">
        <v>9402</v>
      </c>
      <c r="CC237" s="50" t="s">
        <v>9404</v>
      </c>
      <c r="CD237" s="50" t="s">
        <v>18680</v>
      </c>
      <c r="CE237" s="50" t="s">
        <v>9402</v>
      </c>
      <c r="CF237" s="50" t="s">
        <v>18681</v>
      </c>
      <c r="CG237" s="50" t="s">
        <v>102</v>
      </c>
      <c r="CH237" s="50" t="s">
        <v>9405</v>
      </c>
      <c r="CJ237" s="50" t="s">
        <v>1743</v>
      </c>
      <c r="CL237" s="50" t="s">
        <v>1729</v>
      </c>
      <c r="CM237" s="50" t="s">
        <v>730</v>
      </c>
      <c r="CN237" s="50" t="s">
        <v>9406</v>
      </c>
      <c r="CP237" s="50" t="s">
        <v>9405</v>
      </c>
      <c r="CQ237" s="50" t="s">
        <v>9405</v>
      </c>
      <c r="CR237" s="50" t="s">
        <v>26040</v>
      </c>
    </row>
    <row r="238" spans="1:96">
      <c r="A238" s="95" t="s">
        <v>149</v>
      </c>
      <c r="B238" s="50">
        <v>5017529</v>
      </c>
      <c r="C238" s="50" t="s">
        <v>1111</v>
      </c>
      <c r="D238" s="50" t="s">
        <v>9990</v>
      </c>
      <c r="E238" s="50" t="str">
        <f>VLOOKUP(B238,aa!B:F,5,0)</f>
        <v>Ei CARES</v>
      </c>
      <c r="F238" s="50">
        <f>VLOOKUP(B238,aa!B:J,9,0)</f>
        <v>245675</v>
      </c>
      <c r="G238" s="50">
        <f>VLOOKUP(B238,aa!B:L,11,0)</f>
        <v>0</v>
      </c>
      <c r="H238" s="50">
        <f>VLOOKUP(B238,aa!B:O,14,0)</f>
        <v>245675</v>
      </c>
      <c r="I238" s="50">
        <f>VLOOKUP(B238,aa!B:R,17,0)</f>
        <v>0</v>
      </c>
      <c r="K238" s="50" t="s">
        <v>8024</v>
      </c>
      <c r="L238" s="50">
        <v>316904</v>
      </c>
      <c r="M238" s="50">
        <v>343471</v>
      </c>
      <c r="N238" s="50">
        <v>0</v>
      </c>
      <c r="O238" s="50">
        <v>0</v>
      </c>
      <c r="Q238" s="50">
        <v>169312</v>
      </c>
      <c r="R238" s="50">
        <v>129</v>
      </c>
      <c r="S238" s="50" t="s">
        <v>14834</v>
      </c>
      <c r="T238" s="50">
        <v>147592</v>
      </c>
      <c r="U238" s="50">
        <v>129</v>
      </c>
      <c r="V238" s="50" t="s">
        <v>15151</v>
      </c>
      <c r="W238" s="50" t="s">
        <v>102</v>
      </c>
      <c r="X238" s="50" t="s">
        <v>275</v>
      </c>
      <c r="Z238" s="50" t="s">
        <v>411</v>
      </c>
      <c r="AA238" s="50" t="s">
        <v>109</v>
      </c>
      <c r="AB238" s="50" t="s">
        <v>102</v>
      </c>
      <c r="AC238" s="50" t="s">
        <v>109</v>
      </c>
      <c r="AD238" s="50" t="s">
        <v>102</v>
      </c>
      <c r="AE238" s="50" t="s">
        <v>109</v>
      </c>
      <c r="AF238" s="50" t="s">
        <v>102</v>
      </c>
      <c r="AG238" s="50" t="s">
        <v>109</v>
      </c>
      <c r="AH238" s="50" t="s">
        <v>102</v>
      </c>
      <c r="AI238" s="50" t="s">
        <v>102</v>
      </c>
      <c r="AJ238" s="50" t="s">
        <v>14292</v>
      </c>
      <c r="AK238" s="50" t="s">
        <v>13075</v>
      </c>
      <c r="AL238" s="50" t="s">
        <v>19064</v>
      </c>
      <c r="AM238" s="50" t="s">
        <v>2980</v>
      </c>
      <c r="AN238" s="50" t="s">
        <v>19065</v>
      </c>
      <c r="AO238" s="50" t="s">
        <v>15155</v>
      </c>
      <c r="AP238" s="50" t="s">
        <v>15155</v>
      </c>
      <c r="AU238" s="50" t="s">
        <v>102</v>
      </c>
      <c r="AW238" s="50" t="s">
        <v>155</v>
      </c>
      <c r="AX238" s="50" t="s">
        <v>119</v>
      </c>
      <c r="AY238" s="50" t="s">
        <v>170</v>
      </c>
      <c r="AZ238" s="50" t="s">
        <v>118</v>
      </c>
      <c r="BA238" s="50" t="s">
        <v>250</v>
      </c>
      <c r="BB238" s="50" t="s">
        <v>598</v>
      </c>
      <c r="BC238" s="50" t="s">
        <v>6594</v>
      </c>
      <c r="BD238" s="50" t="s">
        <v>6595</v>
      </c>
      <c r="BE238" s="50" t="s">
        <v>174</v>
      </c>
      <c r="BF238" s="50" t="s">
        <v>4405</v>
      </c>
      <c r="BG238" s="50" t="s">
        <v>124</v>
      </c>
      <c r="BH238" s="50" t="s">
        <v>12023</v>
      </c>
      <c r="BI238" s="50" t="s">
        <v>11889</v>
      </c>
      <c r="BJ238" s="50" t="s">
        <v>127</v>
      </c>
      <c r="BK238" s="50" t="s">
        <v>19066</v>
      </c>
      <c r="BL238" s="50" t="s">
        <v>10007</v>
      </c>
      <c r="BM238" s="50" t="s">
        <v>19067</v>
      </c>
      <c r="BN238" s="50" t="s">
        <v>4813</v>
      </c>
      <c r="BO238" s="50" t="s">
        <v>5531</v>
      </c>
      <c r="BP238" s="50" t="s">
        <v>180</v>
      </c>
      <c r="BQ238" s="50" t="s">
        <v>5532</v>
      </c>
      <c r="BR238" s="50" t="s">
        <v>5533</v>
      </c>
      <c r="BS238" s="50" t="s">
        <v>4413</v>
      </c>
      <c r="BU238" s="50" t="s">
        <v>19068</v>
      </c>
      <c r="BV238" s="50" t="s">
        <v>10010</v>
      </c>
      <c r="BW238" s="50" t="s">
        <v>354</v>
      </c>
      <c r="BX238" s="50" t="s">
        <v>10011</v>
      </c>
      <c r="BY238" s="50" t="s">
        <v>10012</v>
      </c>
      <c r="BZ238" s="50" t="s">
        <v>10011</v>
      </c>
      <c r="CA238" s="50" t="s">
        <v>10010</v>
      </c>
      <c r="CB238" s="50" t="s">
        <v>10011</v>
      </c>
      <c r="CC238" s="50" t="s">
        <v>10012</v>
      </c>
      <c r="CD238" s="50" t="s">
        <v>10010</v>
      </c>
      <c r="CE238" s="50" t="s">
        <v>10011</v>
      </c>
      <c r="CF238" s="50" t="s">
        <v>10012</v>
      </c>
      <c r="CG238" s="50" t="s">
        <v>10017</v>
      </c>
      <c r="CH238" s="50" t="s">
        <v>10018</v>
      </c>
      <c r="CJ238" s="50" t="s">
        <v>10019</v>
      </c>
      <c r="CK238" s="50" t="s">
        <v>10018</v>
      </c>
      <c r="CL238" s="50" t="s">
        <v>6594</v>
      </c>
      <c r="CM238" s="50" t="s">
        <v>6595</v>
      </c>
      <c r="CN238" s="50" t="s">
        <v>10019</v>
      </c>
      <c r="CP238" s="50" t="s">
        <v>10018</v>
      </c>
      <c r="CQ238" s="50" t="s">
        <v>10018</v>
      </c>
    </row>
    <row r="239" spans="1:96">
      <c r="A239" s="95" t="s">
        <v>149</v>
      </c>
      <c r="B239" s="50">
        <v>3992941</v>
      </c>
      <c r="C239" s="50" t="s">
        <v>632</v>
      </c>
      <c r="D239" s="50" t="s">
        <v>8249</v>
      </c>
      <c r="E239" s="50" t="e">
        <f>VLOOKUP(B239,aa!B:F,5,0)</f>
        <v>#N/A</v>
      </c>
      <c r="F239" s="50" t="e">
        <f>VLOOKUP(B239,aa!B:J,9,0)</f>
        <v>#N/A</v>
      </c>
      <c r="G239" s="50" t="e">
        <f>VLOOKUP(B239,aa!B:L,11,0)</f>
        <v>#N/A</v>
      </c>
      <c r="H239" s="50" t="e">
        <f>VLOOKUP(B239,aa!B:O,14,0)</f>
        <v>#N/A</v>
      </c>
      <c r="I239" s="50" t="e">
        <f>VLOOKUP(B239,aa!B:R,17,0)</f>
        <v>#N/A</v>
      </c>
      <c r="K239" s="50" t="s">
        <v>2163</v>
      </c>
      <c r="L239" s="50">
        <v>2981269</v>
      </c>
      <c r="M239" s="50">
        <v>3360203</v>
      </c>
      <c r="N239" s="50">
        <v>437784</v>
      </c>
      <c r="O239" s="50">
        <v>488</v>
      </c>
      <c r="P239" s="50" t="s">
        <v>17621</v>
      </c>
      <c r="Q239" s="50">
        <v>438295</v>
      </c>
      <c r="R239" s="50">
        <v>487</v>
      </c>
      <c r="S239" s="50" t="s">
        <v>2451</v>
      </c>
      <c r="T239" s="50">
        <v>2105190</v>
      </c>
      <c r="U239" s="50">
        <v>552</v>
      </c>
      <c r="V239" s="50" t="s">
        <v>17622</v>
      </c>
      <c r="W239" s="50" t="s">
        <v>102</v>
      </c>
      <c r="X239" s="50" t="s">
        <v>103</v>
      </c>
      <c r="Y239" s="50" t="s">
        <v>5317</v>
      </c>
      <c r="AA239" s="50" t="s">
        <v>17623</v>
      </c>
      <c r="AB239" s="50" t="s">
        <v>17624</v>
      </c>
      <c r="AC239" s="50" t="s">
        <v>17625</v>
      </c>
      <c r="AD239" s="50" t="s">
        <v>17624</v>
      </c>
      <c r="AE239" s="50" t="s">
        <v>13263</v>
      </c>
      <c r="AF239" s="50" t="s">
        <v>17626</v>
      </c>
      <c r="AG239" s="50" t="s">
        <v>109</v>
      </c>
      <c r="AH239" s="50" t="s">
        <v>102</v>
      </c>
      <c r="AI239" s="50" t="s">
        <v>17627</v>
      </c>
      <c r="AJ239" s="50" t="s">
        <v>17628</v>
      </c>
      <c r="AK239" s="50" t="s">
        <v>17629</v>
      </c>
      <c r="AL239" s="50" t="s">
        <v>17630</v>
      </c>
      <c r="AM239" s="50" t="s">
        <v>17631</v>
      </c>
      <c r="AN239" s="50" t="s">
        <v>17632</v>
      </c>
      <c r="AO239" s="50" t="s">
        <v>17633</v>
      </c>
      <c r="AP239" s="50" t="s">
        <v>17633</v>
      </c>
      <c r="AU239" s="50" t="s">
        <v>247</v>
      </c>
      <c r="AV239" s="50" t="s">
        <v>118</v>
      </c>
      <c r="AW239" s="50" t="s">
        <v>1103</v>
      </c>
      <c r="AX239" s="50" t="s">
        <v>119</v>
      </c>
      <c r="AY239" s="50" t="s">
        <v>170</v>
      </c>
      <c r="AZ239" s="50" t="s">
        <v>118</v>
      </c>
      <c r="BA239" s="50" t="s">
        <v>250</v>
      </c>
      <c r="BB239" s="50" t="s">
        <v>120</v>
      </c>
      <c r="BC239" s="50" t="s">
        <v>623</v>
      </c>
      <c r="BD239" s="50" t="s">
        <v>621</v>
      </c>
      <c r="BE239" s="50" t="s">
        <v>622</v>
      </c>
      <c r="BF239" s="50" t="s">
        <v>623</v>
      </c>
      <c r="BG239" s="50" t="s">
        <v>124</v>
      </c>
      <c r="BH239" s="50" t="s">
        <v>17634</v>
      </c>
      <c r="BI239" s="50" t="s">
        <v>17635</v>
      </c>
      <c r="BJ239" s="50" t="s">
        <v>127</v>
      </c>
      <c r="BK239" s="50" t="s">
        <v>17636</v>
      </c>
      <c r="BL239" s="50" t="s">
        <v>8260</v>
      </c>
      <c r="BM239" s="50" t="s">
        <v>17637</v>
      </c>
      <c r="BN239" s="50" t="s">
        <v>17620</v>
      </c>
      <c r="BO239" s="50" t="s">
        <v>2284</v>
      </c>
      <c r="BP239" s="50" t="s">
        <v>132</v>
      </c>
      <c r="BQ239" s="50" t="s">
        <v>2285</v>
      </c>
      <c r="BR239" s="50" t="s">
        <v>2286</v>
      </c>
      <c r="BS239" s="50" t="s">
        <v>8262</v>
      </c>
      <c r="BU239" s="50" t="s">
        <v>17638</v>
      </c>
      <c r="BV239" s="50" t="s">
        <v>17639</v>
      </c>
      <c r="BW239" s="50" t="s">
        <v>3121</v>
      </c>
      <c r="BX239" s="50" t="s">
        <v>17640</v>
      </c>
      <c r="BY239" s="50" t="s">
        <v>17641</v>
      </c>
      <c r="BZ239" s="50" t="s">
        <v>8267</v>
      </c>
      <c r="CA239" s="50" t="s">
        <v>17642</v>
      </c>
      <c r="CB239" s="50" t="s">
        <v>17640</v>
      </c>
      <c r="CC239" s="50" t="s">
        <v>17641</v>
      </c>
      <c r="CD239" s="50" t="s">
        <v>17643</v>
      </c>
      <c r="CE239" s="50" t="s">
        <v>17640</v>
      </c>
      <c r="CF239" s="50" t="s">
        <v>17641</v>
      </c>
      <c r="CG239" s="50" t="s">
        <v>907</v>
      </c>
      <c r="CH239" s="50" t="s">
        <v>8268</v>
      </c>
      <c r="CJ239" s="50" t="s">
        <v>8269</v>
      </c>
      <c r="CK239" s="50" t="s">
        <v>17644</v>
      </c>
      <c r="CL239" s="50" t="s">
        <v>623</v>
      </c>
      <c r="CM239" s="50" t="s">
        <v>621</v>
      </c>
      <c r="CN239" s="50" t="s">
        <v>8269</v>
      </c>
      <c r="CO239" s="50" t="s">
        <v>8270</v>
      </c>
      <c r="CP239" s="50" t="s">
        <v>8268</v>
      </c>
      <c r="CQ239" s="50" t="s">
        <v>8268</v>
      </c>
      <c r="CR239" s="50" t="s">
        <v>26040</v>
      </c>
    </row>
    <row r="240" spans="1:96">
      <c r="A240" s="95" t="s">
        <v>149</v>
      </c>
      <c r="B240" s="50">
        <v>175250</v>
      </c>
      <c r="C240" s="50" t="s">
        <v>222</v>
      </c>
      <c r="D240" s="50" t="s">
        <v>1744</v>
      </c>
      <c r="E240" s="50" t="e">
        <f>VLOOKUP(B240,aa!B:F,5,0)</f>
        <v>#N/A</v>
      </c>
      <c r="F240" s="50" t="e">
        <f>VLOOKUP(B240,aa!B:J,9,0)</f>
        <v>#N/A</v>
      </c>
      <c r="G240" s="50" t="e">
        <f>VLOOKUP(B240,aa!B:L,11,0)</f>
        <v>#N/A</v>
      </c>
      <c r="H240" s="50" t="e">
        <f>VLOOKUP(B240,aa!B:O,14,0)</f>
        <v>#N/A</v>
      </c>
      <c r="I240" s="50" t="e">
        <f>VLOOKUP(B240,aa!B:R,17,0)</f>
        <v>#N/A</v>
      </c>
      <c r="K240" s="50" t="s">
        <v>1746</v>
      </c>
      <c r="L240" s="50">
        <v>4988059</v>
      </c>
      <c r="M240" s="50">
        <v>5236780</v>
      </c>
      <c r="N240" s="50">
        <v>681431</v>
      </c>
      <c r="O240" s="50">
        <v>2284</v>
      </c>
      <c r="P240" s="50" t="s">
        <v>3592</v>
      </c>
      <c r="Q240" s="50">
        <v>2924844</v>
      </c>
      <c r="R240" s="50">
        <v>2277</v>
      </c>
      <c r="S240" s="50" t="s">
        <v>12907</v>
      </c>
      <c r="T240" s="50">
        <v>1381784</v>
      </c>
      <c r="U240" s="50">
        <v>2277</v>
      </c>
      <c r="V240" s="50" t="s">
        <v>12908</v>
      </c>
      <c r="W240" s="50" t="s">
        <v>102</v>
      </c>
      <c r="X240" s="50" t="s">
        <v>103</v>
      </c>
      <c r="Y240" s="50" t="s">
        <v>155</v>
      </c>
      <c r="AA240" s="50" t="s">
        <v>11959</v>
      </c>
      <c r="AB240" s="50" t="s">
        <v>12909</v>
      </c>
      <c r="AC240" s="50" t="s">
        <v>5651</v>
      </c>
      <c r="AD240" s="50" t="s">
        <v>12909</v>
      </c>
      <c r="AE240" s="50" t="s">
        <v>12084</v>
      </c>
      <c r="AF240" s="50" t="s">
        <v>12909</v>
      </c>
      <c r="AG240" s="50" t="s">
        <v>11886</v>
      </c>
      <c r="AH240" s="50" t="s">
        <v>12909</v>
      </c>
      <c r="AI240" s="50" t="s">
        <v>12910</v>
      </c>
      <c r="AJ240" s="50" t="s">
        <v>12911</v>
      </c>
      <c r="AK240" s="50" t="s">
        <v>12912</v>
      </c>
      <c r="AL240" s="50" t="s">
        <v>12913</v>
      </c>
      <c r="AM240" s="50" t="s">
        <v>12914</v>
      </c>
      <c r="AN240" s="50" t="s">
        <v>12915</v>
      </c>
      <c r="AO240" s="50" t="s">
        <v>12916</v>
      </c>
      <c r="AP240" s="50" t="s">
        <v>12916</v>
      </c>
      <c r="AU240" s="50" t="s">
        <v>117</v>
      </c>
      <c r="AV240" s="50" t="s">
        <v>118</v>
      </c>
      <c r="AW240" s="50" t="s">
        <v>1384</v>
      </c>
      <c r="AX240" s="50" t="s">
        <v>119</v>
      </c>
      <c r="AY240" s="50" t="s">
        <v>170</v>
      </c>
      <c r="AZ240" s="50" t="s">
        <v>118</v>
      </c>
      <c r="BA240" s="50" t="s">
        <v>250</v>
      </c>
      <c r="BB240" s="50" t="s">
        <v>209</v>
      </c>
      <c r="BC240" s="50" t="s">
        <v>1759</v>
      </c>
      <c r="BD240" s="50" t="s">
        <v>410</v>
      </c>
      <c r="BE240" s="50" t="s">
        <v>212</v>
      </c>
      <c r="BF240" s="50" t="s">
        <v>410</v>
      </c>
      <c r="BG240" s="50" t="s">
        <v>124</v>
      </c>
      <c r="BH240" s="50" t="s">
        <v>11959</v>
      </c>
      <c r="BI240" s="50" t="s">
        <v>11960</v>
      </c>
      <c r="BJ240" s="50" t="s">
        <v>127</v>
      </c>
      <c r="BK240" s="50" t="s">
        <v>12917</v>
      </c>
      <c r="BL240" s="50" t="s">
        <v>1763</v>
      </c>
      <c r="BM240" s="50" t="s">
        <v>12918</v>
      </c>
      <c r="BN240" s="50" t="s">
        <v>7145</v>
      </c>
      <c r="BO240" s="50" t="s">
        <v>1880</v>
      </c>
      <c r="BP240" s="50" t="s">
        <v>132</v>
      </c>
      <c r="BQ240" s="50" t="s">
        <v>1882</v>
      </c>
      <c r="BR240" s="50" t="s">
        <v>1883</v>
      </c>
      <c r="BS240" s="50" t="s">
        <v>222</v>
      </c>
      <c r="BU240" s="50" t="s">
        <v>12919</v>
      </c>
      <c r="BV240" s="50" t="s">
        <v>1766</v>
      </c>
      <c r="BW240" s="50" t="s">
        <v>138</v>
      </c>
      <c r="BX240" s="50" t="s">
        <v>1767</v>
      </c>
      <c r="BY240" s="50" t="s">
        <v>1768</v>
      </c>
      <c r="BZ240" s="50" t="s">
        <v>1769</v>
      </c>
      <c r="CA240" s="50" t="s">
        <v>12920</v>
      </c>
      <c r="CB240" s="50" t="s">
        <v>1767</v>
      </c>
      <c r="CC240" s="50" t="s">
        <v>1768</v>
      </c>
      <c r="CD240" s="50" t="s">
        <v>12921</v>
      </c>
      <c r="CE240" s="50" t="s">
        <v>1771</v>
      </c>
      <c r="CF240" s="50" t="s">
        <v>1772</v>
      </c>
      <c r="CG240" s="50" t="s">
        <v>102</v>
      </c>
      <c r="CH240" s="50" t="s">
        <v>1773</v>
      </c>
      <c r="CJ240" s="50" t="s">
        <v>1774</v>
      </c>
      <c r="CK240" s="50" t="s">
        <v>1773</v>
      </c>
      <c r="CL240" s="50" t="s">
        <v>1759</v>
      </c>
      <c r="CM240" s="50" t="s">
        <v>410</v>
      </c>
      <c r="CN240" s="50" t="s">
        <v>1774</v>
      </c>
      <c r="CO240" s="50" t="s">
        <v>1775</v>
      </c>
      <c r="CP240" s="50" t="s">
        <v>1773</v>
      </c>
      <c r="CQ240" s="50" t="s">
        <v>1773</v>
      </c>
      <c r="CR240" s="50" t="s">
        <v>26040</v>
      </c>
    </row>
    <row r="241" spans="1:96">
      <c r="A241" s="95" t="s">
        <v>149</v>
      </c>
      <c r="B241" s="50">
        <v>181976</v>
      </c>
      <c r="C241" s="50" t="s">
        <v>11898</v>
      </c>
      <c r="D241" s="50" t="s">
        <v>1952</v>
      </c>
      <c r="E241" s="50" t="str">
        <f>VLOOKUP(B241,aa!B:F,5,0)</f>
        <v>Ei CARES</v>
      </c>
      <c r="F241" s="50">
        <f>VLOOKUP(B241,aa!B:J,9,0)</f>
        <v>790312</v>
      </c>
      <c r="G241" s="50">
        <f>VLOOKUP(B241,aa!B:L,11,0)</f>
        <v>0</v>
      </c>
      <c r="H241" s="50">
        <f>VLOOKUP(B241,aa!B:O,14,0)</f>
        <v>790312</v>
      </c>
      <c r="I241" s="50">
        <f>VLOOKUP(B241,aa!B:R,17,0)</f>
        <v>0</v>
      </c>
      <c r="K241" s="50" t="s">
        <v>152</v>
      </c>
      <c r="L241" s="50">
        <v>761974</v>
      </c>
      <c r="M241" s="50">
        <v>761974</v>
      </c>
      <c r="N241" s="50">
        <v>0</v>
      </c>
      <c r="O241" s="50">
        <v>0</v>
      </c>
      <c r="Q241" s="50">
        <v>761974</v>
      </c>
      <c r="R241" s="50">
        <v>1027</v>
      </c>
      <c r="S241" s="50" t="s">
        <v>12972</v>
      </c>
      <c r="T241" s="50">
        <v>0</v>
      </c>
      <c r="U241" s="50">
        <v>0</v>
      </c>
      <c r="W241" s="50" t="s">
        <v>102</v>
      </c>
      <c r="X241" s="50" t="s">
        <v>103</v>
      </c>
      <c r="Y241" s="50" t="s">
        <v>104</v>
      </c>
      <c r="AA241" s="50" t="s">
        <v>11927</v>
      </c>
      <c r="AB241" s="50" t="s">
        <v>12973</v>
      </c>
      <c r="AC241" s="50" t="s">
        <v>11884</v>
      </c>
      <c r="AD241" s="50" t="s">
        <v>12973</v>
      </c>
      <c r="AE241" s="50" t="s">
        <v>109</v>
      </c>
      <c r="AF241" s="50" t="s">
        <v>102</v>
      </c>
      <c r="AG241" s="50" t="s">
        <v>109</v>
      </c>
      <c r="AH241" s="50" t="s">
        <v>102</v>
      </c>
      <c r="AI241" s="50" t="s">
        <v>12974</v>
      </c>
      <c r="AJ241" s="50" t="s">
        <v>9460</v>
      </c>
      <c r="AK241" s="50" t="s">
        <v>12975</v>
      </c>
      <c r="AL241" s="50" t="s">
        <v>12976</v>
      </c>
      <c r="AM241" s="50" t="s">
        <v>12977</v>
      </c>
      <c r="AN241" s="50" t="s">
        <v>12978</v>
      </c>
      <c r="AO241" s="50" t="s">
        <v>11871</v>
      </c>
      <c r="AP241" s="50" t="s">
        <v>11872</v>
      </c>
      <c r="AR241" s="50" t="s">
        <v>169</v>
      </c>
      <c r="AU241" s="50" t="s">
        <v>102</v>
      </c>
      <c r="AW241" s="50" t="s">
        <v>155</v>
      </c>
      <c r="AX241" s="50" t="s">
        <v>447</v>
      </c>
      <c r="AY241" s="50" t="s">
        <v>170</v>
      </c>
      <c r="AZ241" s="50" t="s">
        <v>118</v>
      </c>
      <c r="BB241" s="50" t="s">
        <v>1964</v>
      </c>
      <c r="BC241" s="50" t="s">
        <v>448</v>
      </c>
      <c r="BD241" s="50" t="s">
        <v>449</v>
      </c>
      <c r="BE241" s="50" t="s">
        <v>122</v>
      </c>
      <c r="BF241" s="50" t="s">
        <v>450</v>
      </c>
      <c r="BG241" s="50" t="s">
        <v>124</v>
      </c>
      <c r="BH241" s="50" t="s">
        <v>12023</v>
      </c>
      <c r="BI241" s="50" t="s">
        <v>11889</v>
      </c>
      <c r="BJ241" s="50" t="s">
        <v>127</v>
      </c>
      <c r="BK241" s="50" t="s">
        <v>12979</v>
      </c>
      <c r="BL241" s="50" t="s">
        <v>1966</v>
      </c>
      <c r="BM241" s="50" t="s">
        <v>12980</v>
      </c>
      <c r="BN241" s="50" t="s">
        <v>7145</v>
      </c>
      <c r="BO241" s="50" t="s">
        <v>8788</v>
      </c>
      <c r="BP241" s="50" t="s">
        <v>350</v>
      </c>
      <c r="BQ241" s="50" t="s">
        <v>8789</v>
      </c>
      <c r="BR241" s="50" t="s">
        <v>8790</v>
      </c>
      <c r="BS241" s="50" t="s">
        <v>261</v>
      </c>
      <c r="BU241" s="50" t="s">
        <v>12981</v>
      </c>
      <c r="BV241" s="50" t="s">
        <v>1969</v>
      </c>
      <c r="BW241" s="50" t="s">
        <v>138</v>
      </c>
      <c r="BX241" s="50" t="s">
        <v>1970</v>
      </c>
      <c r="BY241" s="50" t="s">
        <v>1971</v>
      </c>
      <c r="BZ241" s="50" t="s">
        <v>1972</v>
      </c>
      <c r="CA241" s="50" t="s">
        <v>12982</v>
      </c>
      <c r="CB241" s="50" t="s">
        <v>1970</v>
      </c>
      <c r="CC241" s="50" t="s">
        <v>1971</v>
      </c>
      <c r="CD241" s="50" t="s">
        <v>1973</v>
      </c>
      <c r="CE241" s="50" t="s">
        <v>1970</v>
      </c>
      <c r="CF241" s="50" t="s">
        <v>1975</v>
      </c>
      <c r="CG241" s="50" t="s">
        <v>334</v>
      </c>
      <c r="CH241" s="50" t="s">
        <v>1976</v>
      </c>
      <c r="CJ241" s="50" t="s">
        <v>1977</v>
      </c>
      <c r="CK241" s="50" t="s">
        <v>12983</v>
      </c>
      <c r="CL241" s="50" t="s">
        <v>448</v>
      </c>
      <c r="CM241" s="50" t="s">
        <v>449</v>
      </c>
      <c r="CN241" s="50" t="s">
        <v>1977</v>
      </c>
      <c r="CO241" s="50" t="s">
        <v>1979</v>
      </c>
      <c r="CP241" s="50" t="s">
        <v>1976</v>
      </c>
      <c r="CQ241" s="50" t="s">
        <v>1978</v>
      </c>
    </row>
    <row r="242" spans="1:96">
      <c r="A242" s="95" t="s">
        <v>149</v>
      </c>
      <c r="B242" s="50">
        <v>210666</v>
      </c>
      <c r="C242" s="50" t="s">
        <v>12423</v>
      </c>
      <c r="D242" s="50" t="s">
        <v>2711</v>
      </c>
      <c r="E242" s="50" t="e">
        <f>VLOOKUP(B242,aa!B:F,5,0)</f>
        <v>#N/A</v>
      </c>
      <c r="F242" s="50" t="e">
        <f>VLOOKUP(B242,aa!B:J,9,0)</f>
        <v>#N/A</v>
      </c>
      <c r="G242" s="50" t="e">
        <f>VLOOKUP(B242,aa!B:L,11,0)</f>
        <v>#N/A</v>
      </c>
      <c r="H242" s="50" t="e">
        <f>VLOOKUP(B242,aa!B:O,14,0)</f>
        <v>#N/A</v>
      </c>
      <c r="I242" s="50" t="e">
        <f>VLOOKUP(B242,aa!B:R,17,0)</f>
        <v>#N/A</v>
      </c>
      <c r="K242" s="50" t="s">
        <v>2713</v>
      </c>
      <c r="L242" s="50">
        <v>809581</v>
      </c>
      <c r="M242" s="50">
        <v>851907</v>
      </c>
      <c r="N242" s="50">
        <v>574437</v>
      </c>
      <c r="O242" s="50">
        <v>1149</v>
      </c>
      <c r="P242" s="50" t="s">
        <v>364</v>
      </c>
      <c r="Q242" s="50">
        <v>0</v>
      </c>
      <c r="R242" s="50">
        <v>0</v>
      </c>
      <c r="T242" s="50">
        <v>235144</v>
      </c>
      <c r="U242" s="50">
        <v>185</v>
      </c>
      <c r="V242" s="50" t="s">
        <v>850</v>
      </c>
      <c r="W242" s="50" t="s">
        <v>102</v>
      </c>
      <c r="X242" s="50" t="s">
        <v>103</v>
      </c>
      <c r="Y242" s="50" t="s">
        <v>155</v>
      </c>
      <c r="AA242" s="50" t="s">
        <v>11959</v>
      </c>
      <c r="AB242" s="50" t="s">
        <v>13553</v>
      </c>
      <c r="AC242" s="50" t="s">
        <v>5651</v>
      </c>
      <c r="AD242" s="50" t="s">
        <v>13553</v>
      </c>
      <c r="AE242" s="50" t="s">
        <v>12084</v>
      </c>
      <c r="AF242" s="50" t="s">
        <v>13553</v>
      </c>
      <c r="AG242" s="50" t="s">
        <v>11886</v>
      </c>
      <c r="AH242" s="50" t="s">
        <v>13553</v>
      </c>
      <c r="AI242" s="50" t="s">
        <v>13554</v>
      </c>
      <c r="AJ242" s="50" t="s">
        <v>12425</v>
      </c>
      <c r="AK242" s="50" t="s">
        <v>13555</v>
      </c>
      <c r="AL242" s="50" t="s">
        <v>13556</v>
      </c>
      <c r="AM242" s="50" t="s">
        <v>13557</v>
      </c>
      <c r="AN242" s="50" t="s">
        <v>13558</v>
      </c>
      <c r="AO242" s="50" t="s">
        <v>13559</v>
      </c>
      <c r="AP242" s="50" t="s">
        <v>13559</v>
      </c>
      <c r="AU242" s="50" t="s">
        <v>117</v>
      </c>
      <c r="AV242" s="50" t="s">
        <v>118</v>
      </c>
      <c r="AW242" s="50" t="s">
        <v>102</v>
      </c>
      <c r="AX242" s="50" t="s">
        <v>119</v>
      </c>
      <c r="BA242" s="50" t="s">
        <v>250</v>
      </c>
      <c r="BB242" s="50" t="s">
        <v>171</v>
      </c>
      <c r="BC242" s="50" t="s">
        <v>1759</v>
      </c>
      <c r="BD242" s="50" t="s">
        <v>410</v>
      </c>
      <c r="BE242" s="50" t="s">
        <v>212</v>
      </c>
      <c r="BF242" s="50" t="s">
        <v>410</v>
      </c>
      <c r="BG242" s="50" t="s">
        <v>124</v>
      </c>
      <c r="BH242" s="50" t="s">
        <v>11959</v>
      </c>
      <c r="BI242" s="50" t="s">
        <v>11960</v>
      </c>
      <c r="BJ242" s="50" t="s">
        <v>127</v>
      </c>
      <c r="BK242" s="50" t="s">
        <v>13560</v>
      </c>
      <c r="BL242" s="50" t="s">
        <v>2730</v>
      </c>
      <c r="BM242" s="50" t="s">
        <v>13561</v>
      </c>
      <c r="BN242" s="50" t="s">
        <v>7145</v>
      </c>
      <c r="BO242" s="50" t="s">
        <v>1880</v>
      </c>
      <c r="BP242" s="50" t="s">
        <v>132</v>
      </c>
      <c r="BQ242" s="50" t="s">
        <v>1882</v>
      </c>
      <c r="BR242" s="50" t="s">
        <v>1883</v>
      </c>
      <c r="BS242" s="50" t="s">
        <v>222</v>
      </c>
      <c r="BU242" s="50" t="s">
        <v>13562</v>
      </c>
      <c r="BV242" s="50" t="s">
        <v>13563</v>
      </c>
      <c r="BW242" s="50" t="s">
        <v>138</v>
      </c>
      <c r="BX242" s="50" t="s">
        <v>2734</v>
      </c>
      <c r="BY242" s="50" t="s">
        <v>13564</v>
      </c>
      <c r="BZ242" s="50" t="s">
        <v>2734</v>
      </c>
      <c r="CA242" s="50" t="s">
        <v>13563</v>
      </c>
      <c r="CB242" s="50" t="s">
        <v>2734</v>
      </c>
      <c r="CC242" s="50" t="s">
        <v>13564</v>
      </c>
      <c r="CD242" s="50" t="s">
        <v>13565</v>
      </c>
      <c r="CE242" s="50" t="s">
        <v>13566</v>
      </c>
      <c r="CF242" s="50" t="s">
        <v>13567</v>
      </c>
      <c r="CG242" s="50" t="s">
        <v>102</v>
      </c>
      <c r="CH242" s="50" t="s">
        <v>2711</v>
      </c>
      <c r="CJ242" s="50" t="s">
        <v>2740</v>
      </c>
      <c r="CK242" s="50" t="s">
        <v>13568</v>
      </c>
      <c r="CL242" s="50" t="s">
        <v>1759</v>
      </c>
      <c r="CM242" s="50" t="s">
        <v>410</v>
      </c>
      <c r="CN242" s="50" t="s">
        <v>2740</v>
      </c>
      <c r="CO242" s="50" t="s">
        <v>1775</v>
      </c>
      <c r="CP242" s="50" t="s">
        <v>2739</v>
      </c>
      <c r="CQ242" s="50" t="s">
        <v>1773</v>
      </c>
      <c r="CR242" s="50" t="s">
        <v>26040</v>
      </c>
    </row>
    <row r="243" spans="1:96">
      <c r="A243" s="95" t="s">
        <v>149</v>
      </c>
      <c r="B243" s="50">
        <v>2952557</v>
      </c>
      <c r="C243" s="50" t="s">
        <v>1279</v>
      </c>
      <c r="D243" s="50" t="s">
        <v>4533</v>
      </c>
      <c r="E243" s="50" t="e">
        <f>VLOOKUP(B243,aa!B:F,5,0)</f>
        <v>#N/A</v>
      </c>
      <c r="F243" s="50" t="e">
        <f>VLOOKUP(B243,aa!B:J,9,0)</f>
        <v>#N/A</v>
      </c>
      <c r="G243" s="50" t="e">
        <f>VLOOKUP(B243,aa!B:L,11,0)</f>
        <v>#N/A</v>
      </c>
      <c r="H243" s="50" t="e">
        <f>VLOOKUP(B243,aa!B:O,14,0)</f>
        <v>#N/A</v>
      </c>
      <c r="I243" s="50" t="e">
        <f>VLOOKUP(B243,aa!B:R,17,0)</f>
        <v>#N/A</v>
      </c>
      <c r="K243" s="50" t="s">
        <v>97</v>
      </c>
      <c r="L243" s="50">
        <v>246675</v>
      </c>
      <c r="M243" s="50">
        <v>246675</v>
      </c>
      <c r="N243" s="50">
        <v>246675</v>
      </c>
      <c r="O243" s="50">
        <v>299</v>
      </c>
      <c r="P243" s="50" t="s">
        <v>3811</v>
      </c>
      <c r="Q243" s="50">
        <v>0</v>
      </c>
      <c r="R243" s="50">
        <v>0</v>
      </c>
      <c r="T243" s="50">
        <v>0</v>
      </c>
      <c r="U243" s="50">
        <v>0</v>
      </c>
      <c r="W243" s="50" t="s">
        <v>102</v>
      </c>
      <c r="X243" s="50" t="s">
        <v>103</v>
      </c>
      <c r="Y243" s="50" t="s">
        <v>104</v>
      </c>
      <c r="AA243" s="50" t="s">
        <v>7145</v>
      </c>
      <c r="AB243" s="50" t="s">
        <v>14822</v>
      </c>
      <c r="AC243" s="50" t="s">
        <v>1427</v>
      </c>
      <c r="AD243" s="50" t="s">
        <v>14823</v>
      </c>
      <c r="AE243" s="50" t="s">
        <v>109</v>
      </c>
      <c r="AF243" s="50" t="s">
        <v>102</v>
      </c>
      <c r="AG243" s="50" t="s">
        <v>109</v>
      </c>
      <c r="AH243" s="50" t="s">
        <v>102</v>
      </c>
      <c r="AI243" s="50" t="s">
        <v>14824</v>
      </c>
      <c r="AJ243" s="50" t="s">
        <v>11976</v>
      </c>
      <c r="AK243" s="50" t="s">
        <v>14825</v>
      </c>
      <c r="AL243" s="50" t="s">
        <v>14826</v>
      </c>
      <c r="AM243" s="50" t="s">
        <v>14827</v>
      </c>
      <c r="AN243" s="50" t="s">
        <v>115</v>
      </c>
      <c r="AO243" s="50" t="s">
        <v>1826</v>
      </c>
      <c r="AP243" s="50" t="s">
        <v>1826</v>
      </c>
      <c r="AU243" s="50" t="s">
        <v>117</v>
      </c>
      <c r="AV243" s="50" t="s">
        <v>118</v>
      </c>
      <c r="AW243" s="50" t="s">
        <v>102</v>
      </c>
      <c r="AX243" s="50" t="s">
        <v>119</v>
      </c>
      <c r="BB243" s="50" t="s">
        <v>3678</v>
      </c>
      <c r="BC243" s="50" t="s">
        <v>623</v>
      </c>
      <c r="BD243" s="50" t="s">
        <v>621</v>
      </c>
      <c r="BE243" s="50" t="s">
        <v>622</v>
      </c>
      <c r="BF243" s="50" t="s">
        <v>623</v>
      </c>
      <c r="BG243" s="50" t="s">
        <v>124</v>
      </c>
      <c r="BH243" s="50" t="s">
        <v>11976</v>
      </c>
      <c r="BI243" s="50" t="s">
        <v>12720</v>
      </c>
      <c r="BJ243" s="50" t="s">
        <v>127</v>
      </c>
      <c r="BK243" s="50" t="s">
        <v>14828</v>
      </c>
      <c r="BL243" s="50" t="s">
        <v>4542</v>
      </c>
      <c r="BM243" s="50" t="s">
        <v>14829</v>
      </c>
      <c r="BN243" s="50" t="s">
        <v>7145</v>
      </c>
      <c r="BO243" s="50" t="s">
        <v>629</v>
      </c>
      <c r="BP243" s="50" t="s">
        <v>132</v>
      </c>
      <c r="BQ243" s="50" t="s">
        <v>630</v>
      </c>
      <c r="BR243" s="50" t="s">
        <v>631</v>
      </c>
      <c r="BS243" s="50" t="s">
        <v>1279</v>
      </c>
      <c r="BU243" s="50" t="s">
        <v>14830</v>
      </c>
      <c r="BV243" s="50" t="s">
        <v>4545</v>
      </c>
      <c r="BX243" s="50" t="s">
        <v>4546</v>
      </c>
      <c r="BY243" s="50" t="s">
        <v>4547</v>
      </c>
      <c r="BZ243" s="50" t="s">
        <v>4548</v>
      </c>
      <c r="CA243" s="50" t="s">
        <v>4545</v>
      </c>
      <c r="CB243" s="50" t="s">
        <v>4546</v>
      </c>
      <c r="CC243" s="50" t="s">
        <v>4547</v>
      </c>
      <c r="CD243" s="50" t="s">
        <v>14831</v>
      </c>
      <c r="CE243" s="50" t="s">
        <v>14832</v>
      </c>
      <c r="CF243" s="50" t="s">
        <v>14833</v>
      </c>
      <c r="CG243" s="50" t="s">
        <v>102</v>
      </c>
      <c r="CH243" s="50" t="s">
        <v>4549</v>
      </c>
      <c r="CJ243" s="50" t="s">
        <v>4550</v>
      </c>
      <c r="CL243" s="50" t="s">
        <v>623</v>
      </c>
      <c r="CM243" s="50" t="s">
        <v>621</v>
      </c>
      <c r="CN243" s="50" t="s">
        <v>4550</v>
      </c>
      <c r="CO243" s="50" t="s">
        <v>4551</v>
      </c>
      <c r="CP243" s="50" t="s">
        <v>4549</v>
      </c>
      <c r="CQ243" s="50" t="s">
        <v>4549</v>
      </c>
      <c r="CR243" s="50" t="s">
        <v>26054</v>
      </c>
    </row>
    <row r="244" spans="1:96">
      <c r="A244" s="95" t="s">
        <v>149</v>
      </c>
      <c r="B244" s="50">
        <v>3455532</v>
      </c>
      <c r="C244" s="50" t="s">
        <v>1279</v>
      </c>
      <c r="D244" s="50" t="s">
        <v>6109</v>
      </c>
      <c r="E244" s="50" t="e">
        <f>VLOOKUP(B244,aa!B:F,5,0)</f>
        <v>#N/A</v>
      </c>
      <c r="F244" s="50" t="e">
        <f>VLOOKUP(B244,aa!B:J,9,0)</f>
        <v>#N/A</v>
      </c>
      <c r="G244" s="50" t="e">
        <f>VLOOKUP(B244,aa!B:L,11,0)</f>
        <v>#N/A</v>
      </c>
      <c r="H244" s="50" t="e">
        <f>VLOOKUP(B244,aa!B:O,14,0)</f>
        <v>#N/A</v>
      </c>
      <c r="I244" s="50" t="e">
        <f>VLOOKUP(B244,aa!B:R,17,0)</f>
        <v>#N/A</v>
      </c>
      <c r="K244" s="50" t="s">
        <v>97</v>
      </c>
      <c r="L244" s="50">
        <v>450846</v>
      </c>
      <c r="M244" s="50">
        <v>450846</v>
      </c>
      <c r="N244" s="50">
        <v>450846</v>
      </c>
      <c r="O244" s="50">
        <v>828</v>
      </c>
      <c r="P244" s="50" t="s">
        <v>16052</v>
      </c>
      <c r="Q244" s="50">
        <v>0</v>
      </c>
      <c r="R244" s="50">
        <v>0</v>
      </c>
      <c r="T244" s="50">
        <v>0</v>
      </c>
      <c r="U244" s="50">
        <v>0</v>
      </c>
      <c r="W244" s="50" t="s">
        <v>102</v>
      </c>
      <c r="X244" s="50" t="s">
        <v>275</v>
      </c>
      <c r="Z244" s="50" t="s">
        <v>7145</v>
      </c>
      <c r="AA244" s="50" t="s">
        <v>109</v>
      </c>
      <c r="AB244" s="50" t="s">
        <v>102</v>
      </c>
      <c r="AC244" s="50" t="s">
        <v>109</v>
      </c>
      <c r="AD244" s="50" t="s">
        <v>102</v>
      </c>
      <c r="AE244" s="50" t="s">
        <v>109</v>
      </c>
      <c r="AF244" s="50" t="s">
        <v>102</v>
      </c>
      <c r="AG244" s="50" t="s">
        <v>109</v>
      </c>
      <c r="AH244" s="50" t="s">
        <v>102</v>
      </c>
      <c r="AI244" s="50" t="s">
        <v>16053</v>
      </c>
      <c r="AJ244" s="50" t="s">
        <v>16054</v>
      </c>
      <c r="AK244" s="50" t="s">
        <v>16054</v>
      </c>
      <c r="AL244" s="50" t="s">
        <v>16055</v>
      </c>
      <c r="AM244" s="50" t="s">
        <v>16056</v>
      </c>
      <c r="AN244" s="50" t="s">
        <v>16057</v>
      </c>
      <c r="AO244" s="50" t="s">
        <v>16058</v>
      </c>
      <c r="AP244" s="50" t="s">
        <v>16058</v>
      </c>
      <c r="AU244" s="50" t="s">
        <v>318</v>
      </c>
      <c r="AV244" s="50" t="s">
        <v>118</v>
      </c>
      <c r="AW244" s="50" t="s">
        <v>102</v>
      </c>
      <c r="AX244" s="50" t="s">
        <v>119</v>
      </c>
      <c r="BB244" s="50" t="s">
        <v>120</v>
      </c>
      <c r="BC244" s="50" t="s">
        <v>4864</v>
      </c>
      <c r="BD244" s="50" t="s">
        <v>621</v>
      </c>
      <c r="BE244" s="50" t="s">
        <v>622</v>
      </c>
      <c r="BF244" s="50" t="s">
        <v>623</v>
      </c>
      <c r="BG244" s="50" t="s">
        <v>124</v>
      </c>
      <c r="BH244" s="50" t="s">
        <v>12023</v>
      </c>
      <c r="BI244" s="50" t="s">
        <v>11889</v>
      </c>
      <c r="BJ244" s="50" t="s">
        <v>127</v>
      </c>
      <c r="BK244" s="50" t="s">
        <v>16059</v>
      </c>
      <c r="BL244" s="50" t="s">
        <v>6118</v>
      </c>
      <c r="BM244" s="50" t="s">
        <v>16060</v>
      </c>
      <c r="BN244" s="50" t="s">
        <v>7145</v>
      </c>
      <c r="BO244" s="50" t="s">
        <v>629</v>
      </c>
      <c r="BP244" s="50" t="s">
        <v>180</v>
      </c>
      <c r="BQ244" s="50" t="s">
        <v>630</v>
      </c>
      <c r="BR244" s="50" t="s">
        <v>631</v>
      </c>
      <c r="BS244" s="50" t="s">
        <v>1279</v>
      </c>
      <c r="BU244" s="50" t="s">
        <v>16061</v>
      </c>
      <c r="BV244" s="50" t="s">
        <v>6121</v>
      </c>
      <c r="BW244" s="50" t="s">
        <v>138</v>
      </c>
      <c r="BX244" s="50" t="s">
        <v>6122</v>
      </c>
      <c r="BY244" s="50" t="s">
        <v>6123</v>
      </c>
      <c r="BZ244" s="50" t="s">
        <v>6124</v>
      </c>
      <c r="CA244" s="50" t="s">
        <v>6121</v>
      </c>
      <c r="CB244" s="50" t="s">
        <v>6122</v>
      </c>
      <c r="CC244" s="50" t="s">
        <v>6123</v>
      </c>
      <c r="CD244" s="50" t="s">
        <v>16062</v>
      </c>
      <c r="CE244" s="50" t="s">
        <v>6126</v>
      </c>
      <c r="CF244" s="50" t="s">
        <v>16063</v>
      </c>
      <c r="CG244" s="50" t="s">
        <v>102</v>
      </c>
      <c r="CH244" s="50" t="s">
        <v>6127</v>
      </c>
      <c r="CJ244" s="50" t="s">
        <v>6128</v>
      </c>
      <c r="CL244" s="50" t="s">
        <v>4864</v>
      </c>
      <c r="CM244" s="50" t="s">
        <v>621</v>
      </c>
      <c r="CN244" s="50" t="s">
        <v>6128</v>
      </c>
      <c r="CP244" s="50" t="s">
        <v>6127</v>
      </c>
      <c r="CQ244" s="50" t="s">
        <v>6127</v>
      </c>
      <c r="CR244" s="50" t="s">
        <v>26047</v>
      </c>
    </row>
    <row r="245" spans="1:96">
      <c r="A245" s="95" t="s">
        <v>149</v>
      </c>
      <c r="B245" s="50">
        <v>3998876</v>
      </c>
      <c r="C245" s="50" t="s">
        <v>418</v>
      </c>
      <c r="D245" s="50" t="s">
        <v>8392</v>
      </c>
      <c r="E245" s="50" t="e">
        <f>VLOOKUP(B245,aa!B:F,5,0)</f>
        <v>#N/A</v>
      </c>
      <c r="F245" s="50" t="e">
        <f>VLOOKUP(B245,aa!B:J,9,0)</f>
        <v>#N/A</v>
      </c>
      <c r="G245" s="50" t="e">
        <f>VLOOKUP(B245,aa!B:L,11,0)</f>
        <v>#N/A</v>
      </c>
      <c r="H245" s="50" t="e">
        <f>VLOOKUP(B245,aa!B:O,14,0)</f>
        <v>#N/A</v>
      </c>
      <c r="I245" s="50" t="e">
        <f>VLOOKUP(B245,aa!B:R,17,0)</f>
        <v>#N/A</v>
      </c>
      <c r="K245" s="50" t="s">
        <v>17790</v>
      </c>
      <c r="L245" s="50">
        <v>2006118</v>
      </c>
      <c r="M245" s="50">
        <v>2112753</v>
      </c>
      <c r="N245" s="50">
        <v>0</v>
      </c>
      <c r="O245" s="50">
        <v>0</v>
      </c>
      <c r="Q245" s="50">
        <v>1413699</v>
      </c>
      <c r="R245" s="50">
        <v>1749</v>
      </c>
      <c r="S245" s="50" t="s">
        <v>17791</v>
      </c>
      <c r="T245" s="50">
        <v>592419</v>
      </c>
      <c r="U245" s="50">
        <v>440</v>
      </c>
      <c r="V245" s="50" t="s">
        <v>17792</v>
      </c>
      <c r="W245" s="50" t="s">
        <v>102</v>
      </c>
      <c r="X245" s="50" t="s">
        <v>103</v>
      </c>
      <c r="Y245" s="50" t="s">
        <v>104</v>
      </c>
      <c r="AA245" s="50" t="s">
        <v>1604</v>
      </c>
      <c r="AB245" s="50" t="s">
        <v>17793</v>
      </c>
      <c r="AC245" s="50" t="s">
        <v>16372</v>
      </c>
      <c r="AD245" s="50" t="s">
        <v>17793</v>
      </c>
      <c r="AE245" s="50" t="s">
        <v>109</v>
      </c>
      <c r="AF245" s="50" t="s">
        <v>102</v>
      </c>
      <c r="AG245" s="50" t="s">
        <v>109</v>
      </c>
      <c r="AH245" s="50" t="s">
        <v>102</v>
      </c>
      <c r="AI245" s="50" t="s">
        <v>17794</v>
      </c>
      <c r="AJ245" s="50" t="s">
        <v>11976</v>
      </c>
      <c r="AK245" s="50" t="s">
        <v>17795</v>
      </c>
      <c r="AL245" s="50" t="s">
        <v>17796</v>
      </c>
      <c r="AM245" s="50" t="s">
        <v>17797</v>
      </c>
      <c r="AN245" s="50" t="s">
        <v>17798</v>
      </c>
      <c r="AO245" s="50" t="s">
        <v>17799</v>
      </c>
      <c r="AP245" s="50" t="s">
        <v>17799</v>
      </c>
      <c r="AU245" s="50" t="s">
        <v>102</v>
      </c>
      <c r="AW245" s="50" t="s">
        <v>104</v>
      </c>
      <c r="AX245" s="50" t="s">
        <v>119</v>
      </c>
      <c r="AY245" s="50" t="s">
        <v>170</v>
      </c>
      <c r="AZ245" s="50" t="s">
        <v>118</v>
      </c>
      <c r="BA245" s="50" t="s">
        <v>250</v>
      </c>
      <c r="BB245" s="50" t="s">
        <v>171</v>
      </c>
      <c r="BC245" s="50" t="s">
        <v>409</v>
      </c>
      <c r="BD245" s="50" t="s">
        <v>410</v>
      </c>
      <c r="BE245" s="50" t="s">
        <v>212</v>
      </c>
      <c r="BF245" s="50" t="s">
        <v>410</v>
      </c>
      <c r="BG245" s="50" t="s">
        <v>124</v>
      </c>
      <c r="BH245" s="50" t="s">
        <v>11927</v>
      </c>
      <c r="BI245" s="50" t="s">
        <v>12047</v>
      </c>
      <c r="BJ245" s="50" t="s">
        <v>127</v>
      </c>
      <c r="BK245" s="50" t="s">
        <v>17800</v>
      </c>
      <c r="BL245" s="50" t="s">
        <v>8405</v>
      </c>
      <c r="BM245" s="50" t="s">
        <v>17801</v>
      </c>
      <c r="BN245" s="50" t="s">
        <v>7145</v>
      </c>
      <c r="BO245" s="50" t="s">
        <v>415</v>
      </c>
      <c r="BP245" s="50" t="s">
        <v>180</v>
      </c>
      <c r="BQ245" s="50" t="s">
        <v>416</v>
      </c>
      <c r="BR245" s="50" t="s">
        <v>417</v>
      </c>
      <c r="BS245" s="50" t="s">
        <v>222</v>
      </c>
      <c r="BU245" s="50" t="s">
        <v>17802</v>
      </c>
      <c r="BV245" s="50" t="s">
        <v>8408</v>
      </c>
      <c r="BW245" s="50" t="s">
        <v>138</v>
      </c>
      <c r="BX245" s="50" t="s">
        <v>8409</v>
      </c>
      <c r="BY245" s="50" t="s">
        <v>8410</v>
      </c>
      <c r="BZ245" s="50" t="s">
        <v>8411</v>
      </c>
      <c r="CA245" s="50" t="s">
        <v>8408</v>
      </c>
      <c r="CB245" s="50" t="s">
        <v>17803</v>
      </c>
      <c r="CC245" s="50" t="s">
        <v>17804</v>
      </c>
      <c r="CD245" s="50" t="s">
        <v>8408</v>
      </c>
      <c r="CE245" s="50" t="s">
        <v>17803</v>
      </c>
      <c r="CF245" s="50" t="s">
        <v>17804</v>
      </c>
      <c r="CG245" s="50" t="s">
        <v>3841</v>
      </c>
      <c r="CH245" s="50" t="s">
        <v>8412</v>
      </c>
      <c r="CJ245" s="50" t="s">
        <v>4204</v>
      </c>
      <c r="CK245" s="50" t="s">
        <v>8412</v>
      </c>
      <c r="CL245" s="50" t="s">
        <v>409</v>
      </c>
      <c r="CM245" s="50" t="s">
        <v>410</v>
      </c>
      <c r="CN245" s="50" t="s">
        <v>4204</v>
      </c>
      <c r="CO245" s="50" t="s">
        <v>8413</v>
      </c>
      <c r="CP245" s="50" t="s">
        <v>8412</v>
      </c>
      <c r="CQ245" s="50" t="s">
        <v>8412</v>
      </c>
      <c r="CR245" s="50" t="s">
        <v>26040</v>
      </c>
    </row>
    <row r="246" spans="1:96">
      <c r="A246" s="95" t="s">
        <v>149</v>
      </c>
      <c r="B246" s="50">
        <v>440751</v>
      </c>
      <c r="C246" s="50" t="s">
        <v>1111</v>
      </c>
      <c r="D246" s="50" t="s">
        <v>8967</v>
      </c>
      <c r="E246" s="50" t="str">
        <f>VLOOKUP(B246,aa!B:F,5,0)</f>
        <v>Ei CARES, Ei Mindspark</v>
      </c>
      <c r="F246" s="50">
        <f>VLOOKUP(B246,aa!B:J,9,0)</f>
        <v>1450859</v>
      </c>
      <c r="G246" s="50">
        <f>VLOOKUP(B246,aa!B:L,11,0)</f>
        <v>0</v>
      </c>
      <c r="H246" s="50">
        <f>VLOOKUP(B246,aa!B:O,14,0)</f>
        <v>782444</v>
      </c>
      <c r="I246" s="50">
        <f>VLOOKUP(B246,aa!B:R,17,0)</f>
        <v>668415</v>
      </c>
      <c r="K246" s="50" t="s">
        <v>643</v>
      </c>
      <c r="L246" s="50">
        <v>1125872</v>
      </c>
      <c r="M246" s="50">
        <v>1216042</v>
      </c>
      <c r="N246" s="50">
        <v>0</v>
      </c>
      <c r="O246" s="50">
        <v>0</v>
      </c>
      <c r="Q246" s="50">
        <v>624930</v>
      </c>
      <c r="R246" s="50">
        <v>253</v>
      </c>
      <c r="S246" s="50" t="s">
        <v>18335</v>
      </c>
      <c r="T246" s="50">
        <v>500942</v>
      </c>
      <c r="U246" s="50">
        <v>319</v>
      </c>
      <c r="V246" s="50" t="s">
        <v>18336</v>
      </c>
      <c r="W246" s="50" t="s">
        <v>102</v>
      </c>
      <c r="X246" s="50" t="s">
        <v>103</v>
      </c>
      <c r="Y246" s="50" t="s">
        <v>155</v>
      </c>
      <c r="AA246" s="50" t="s">
        <v>18337</v>
      </c>
      <c r="AB246" s="50" t="s">
        <v>18338</v>
      </c>
      <c r="AC246" s="50" t="s">
        <v>13033</v>
      </c>
      <c r="AD246" s="50" t="s">
        <v>18338</v>
      </c>
      <c r="AE246" s="50" t="s">
        <v>13863</v>
      </c>
      <c r="AF246" s="50" t="s">
        <v>18338</v>
      </c>
      <c r="AG246" s="50" t="s">
        <v>11886</v>
      </c>
      <c r="AH246" s="50" t="s">
        <v>18338</v>
      </c>
      <c r="AI246" s="50" t="s">
        <v>18339</v>
      </c>
      <c r="AJ246" s="50" t="s">
        <v>13769</v>
      </c>
      <c r="AK246" s="50" t="s">
        <v>12330</v>
      </c>
      <c r="AL246" s="50" t="s">
        <v>18340</v>
      </c>
      <c r="AM246" s="50" t="s">
        <v>18341</v>
      </c>
      <c r="AN246" s="50" t="s">
        <v>18342</v>
      </c>
      <c r="AO246" s="50" t="s">
        <v>18343</v>
      </c>
      <c r="AP246" s="50" t="s">
        <v>18343</v>
      </c>
      <c r="AU246" s="50" t="s">
        <v>102</v>
      </c>
      <c r="AW246" s="50" t="s">
        <v>3536</v>
      </c>
      <c r="AX246" s="50" t="s">
        <v>249</v>
      </c>
      <c r="AY246" s="50" t="s">
        <v>170</v>
      </c>
      <c r="AZ246" s="50" t="s">
        <v>250</v>
      </c>
      <c r="BA246" s="50" t="s">
        <v>250</v>
      </c>
      <c r="BB246" s="50" t="s">
        <v>120</v>
      </c>
      <c r="BC246" s="50" t="s">
        <v>8978</v>
      </c>
      <c r="BD246" s="50" t="s">
        <v>5879</v>
      </c>
      <c r="BE246" s="50" t="s">
        <v>174</v>
      </c>
      <c r="BF246" s="50" t="s">
        <v>4405</v>
      </c>
      <c r="BG246" s="50" t="s">
        <v>124</v>
      </c>
      <c r="BH246" s="50" t="s">
        <v>7145</v>
      </c>
      <c r="BI246" s="50" t="s">
        <v>11889</v>
      </c>
      <c r="BJ246" s="50" t="s">
        <v>127</v>
      </c>
      <c r="BK246" s="50" t="s">
        <v>18344</v>
      </c>
      <c r="BL246" s="50" t="s">
        <v>8980</v>
      </c>
      <c r="BM246" s="50" t="s">
        <v>18345</v>
      </c>
      <c r="BN246" s="50" t="s">
        <v>7145</v>
      </c>
      <c r="BO246" s="50" t="s">
        <v>1108</v>
      </c>
      <c r="BP246" s="50" t="s">
        <v>180</v>
      </c>
      <c r="BQ246" s="50" t="s">
        <v>1109</v>
      </c>
      <c r="BR246" s="50" t="s">
        <v>1110</v>
      </c>
      <c r="BS246" s="50" t="s">
        <v>1111</v>
      </c>
      <c r="BU246" s="50" t="s">
        <v>18346</v>
      </c>
      <c r="BV246" s="50" t="s">
        <v>8983</v>
      </c>
      <c r="BW246" s="50" t="s">
        <v>138</v>
      </c>
      <c r="BX246" s="50" t="s">
        <v>8984</v>
      </c>
      <c r="BY246" s="50" t="s">
        <v>8985</v>
      </c>
      <c r="BZ246" s="50" t="s">
        <v>8984</v>
      </c>
      <c r="CA246" s="50" t="s">
        <v>8983</v>
      </c>
      <c r="CB246" s="50" t="s">
        <v>8984</v>
      </c>
      <c r="CC246" s="50" t="s">
        <v>8985</v>
      </c>
      <c r="CD246" s="50" t="s">
        <v>18347</v>
      </c>
      <c r="CE246" s="50" t="s">
        <v>8984</v>
      </c>
      <c r="CF246" s="50" t="s">
        <v>18348</v>
      </c>
      <c r="CG246" s="50" t="s">
        <v>102</v>
      </c>
      <c r="CH246" s="50" t="s">
        <v>18349</v>
      </c>
      <c r="CJ246" s="50" t="s">
        <v>8989</v>
      </c>
      <c r="CL246" s="50" t="s">
        <v>8978</v>
      </c>
      <c r="CM246" s="50" t="s">
        <v>5879</v>
      </c>
      <c r="CN246" s="50" t="s">
        <v>8989</v>
      </c>
      <c r="CO246" s="50" t="s">
        <v>8990</v>
      </c>
      <c r="CP246" s="50" t="s">
        <v>8991</v>
      </c>
      <c r="CQ246" s="50" t="s">
        <v>8988</v>
      </c>
    </row>
    <row r="247" spans="1:96">
      <c r="A247" s="95" t="s">
        <v>149</v>
      </c>
      <c r="B247" s="50">
        <v>395483</v>
      </c>
      <c r="C247" s="50" t="s">
        <v>11882</v>
      </c>
      <c r="D247" s="50" t="s">
        <v>8001</v>
      </c>
      <c r="E247" s="50" t="str">
        <f>VLOOKUP(B247,aa!B:F,5,0)</f>
        <v>Ei ASSET, Ei CARES, Ei Mindspark</v>
      </c>
      <c r="F247" s="50">
        <f>VLOOKUP(B247,aa!B:J,9,0)</f>
        <v>3006489</v>
      </c>
      <c r="G247" s="50">
        <f>VLOOKUP(B247,aa!B:L,11,0)</f>
        <v>494349</v>
      </c>
      <c r="H247" s="50">
        <f>VLOOKUP(B247,aa!B:O,14,0)</f>
        <v>1882912</v>
      </c>
      <c r="I247" s="50">
        <f>VLOOKUP(B247,aa!B:R,17,0)</f>
        <v>629228</v>
      </c>
      <c r="K247" s="50" t="s">
        <v>2163</v>
      </c>
      <c r="L247" s="50">
        <v>2613567</v>
      </c>
      <c r="M247" s="50">
        <v>2736553</v>
      </c>
      <c r="N247" s="50">
        <v>504778</v>
      </c>
      <c r="O247" s="50">
        <v>1127</v>
      </c>
      <c r="P247" s="50" t="s">
        <v>4186</v>
      </c>
      <c r="Q247" s="50">
        <v>1425536</v>
      </c>
      <c r="R247" s="50">
        <v>920</v>
      </c>
      <c r="S247" s="50" t="s">
        <v>15716</v>
      </c>
      <c r="T247" s="50">
        <v>683253</v>
      </c>
      <c r="U247" s="50">
        <v>1692</v>
      </c>
      <c r="V247" s="50" t="s">
        <v>5670</v>
      </c>
      <c r="W247" s="50" t="s">
        <v>102</v>
      </c>
      <c r="X247" s="50" t="s">
        <v>103</v>
      </c>
      <c r="Y247" s="50" t="s">
        <v>155</v>
      </c>
      <c r="AA247" s="50" t="s">
        <v>13680</v>
      </c>
      <c r="AB247" s="50" t="s">
        <v>17379</v>
      </c>
      <c r="AC247" s="50" t="s">
        <v>11976</v>
      </c>
      <c r="AD247" s="50" t="s">
        <v>17379</v>
      </c>
      <c r="AE247" s="50" t="s">
        <v>11888</v>
      </c>
      <c r="AF247" s="50" t="s">
        <v>17379</v>
      </c>
      <c r="AG247" s="50" t="s">
        <v>12084</v>
      </c>
      <c r="AH247" s="50" t="s">
        <v>17379</v>
      </c>
      <c r="AI247" s="50" t="s">
        <v>17380</v>
      </c>
      <c r="AJ247" s="50" t="s">
        <v>12923</v>
      </c>
      <c r="AK247" s="50" t="s">
        <v>17381</v>
      </c>
      <c r="AL247" s="50" t="s">
        <v>17382</v>
      </c>
      <c r="AM247" s="50" t="s">
        <v>17383</v>
      </c>
      <c r="AN247" s="50" t="s">
        <v>17384</v>
      </c>
      <c r="AO247" s="50" t="s">
        <v>17385</v>
      </c>
      <c r="AP247" s="50" t="s">
        <v>17386</v>
      </c>
      <c r="AR247" s="50" t="s">
        <v>169</v>
      </c>
      <c r="AT247" s="50" t="s">
        <v>169</v>
      </c>
      <c r="AU247" s="50" t="s">
        <v>247</v>
      </c>
      <c r="AV247" s="50" t="s">
        <v>118</v>
      </c>
      <c r="AW247" s="50" t="s">
        <v>5675</v>
      </c>
      <c r="AX247" s="50" t="s">
        <v>119</v>
      </c>
      <c r="AY247" s="50" t="s">
        <v>1138</v>
      </c>
      <c r="AZ247" s="50" t="s">
        <v>118</v>
      </c>
      <c r="BA247" s="50" t="s">
        <v>250</v>
      </c>
      <c r="BB247" s="50" t="s">
        <v>120</v>
      </c>
      <c r="BC247" s="50" t="s">
        <v>448</v>
      </c>
      <c r="BD247" s="50" t="s">
        <v>449</v>
      </c>
      <c r="BE247" s="50" t="s">
        <v>122</v>
      </c>
      <c r="BF247" s="50" t="s">
        <v>450</v>
      </c>
      <c r="BG247" s="50" t="s">
        <v>124</v>
      </c>
      <c r="BH247" s="50" t="s">
        <v>17387</v>
      </c>
      <c r="BI247" s="50" t="s">
        <v>11889</v>
      </c>
      <c r="BJ247" s="50" t="s">
        <v>127</v>
      </c>
      <c r="BK247" s="50" t="s">
        <v>17388</v>
      </c>
      <c r="BL247" s="50" t="s">
        <v>8012</v>
      </c>
      <c r="BM247" s="50" t="s">
        <v>17389</v>
      </c>
      <c r="BN247" s="50" t="s">
        <v>17378</v>
      </c>
      <c r="BO247" s="50" t="s">
        <v>3267</v>
      </c>
      <c r="BP247" s="50" t="s">
        <v>350</v>
      </c>
      <c r="BQ247" s="50" t="s">
        <v>3268</v>
      </c>
      <c r="BR247" s="50" t="s">
        <v>3269</v>
      </c>
      <c r="BS247" s="50" t="s">
        <v>135</v>
      </c>
      <c r="BU247" s="50" t="s">
        <v>17390</v>
      </c>
      <c r="BV247" s="50" t="s">
        <v>17391</v>
      </c>
      <c r="BW247" s="50" t="s">
        <v>138</v>
      </c>
      <c r="BX247" s="50" t="s">
        <v>17392</v>
      </c>
      <c r="BY247" s="50" t="s">
        <v>17393</v>
      </c>
      <c r="BZ247" s="50" t="s">
        <v>8015</v>
      </c>
      <c r="CA247" s="50" t="s">
        <v>17394</v>
      </c>
      <c r="CB247" s="50" t="s">
        <v>17395</v>
      </c>
      <c r="CC247" s="50" t="s">
        <v>17393</v>
      </c>
      <c r="CD247" s="50" t="s">
        <v>17394</v>
      </c>
      <c r="CE247" s="50" t="s">
        <v>17395</v>
      </c>
      <c r="CF247" s="50" t="s">
        <v>17393</v>
      </c>
      <c r="CG247" s="50" t="s">
        <v>102</v>
      </c>
      <c r="CH247" s="50" t="s">
        <v>17396</v>
      </c>
      <c r="CJ247" s="50" t="s">
        <v>8000</v>
      </c>
      <c r="CL247" s="50" t="s">
        <v>448</v>
      </c>
      <c r="CM247" s="50" t="s">
        <v>449</v>
      </c>
      <c r="CN247" s="50" t="s">
        <v>8000</v>
      </c>
      <c r="CO247" s="50" t="s">
        <v>5687</v>
      </c>
      <c r="CP247" s="50" t="s">
        <v>8021</v>
      </c>
      <c r="CQ247" s="50" t="s">
        <v>8020</v>
      </c>
    </row>
    <row r="248" spans="1:96">
      <c r="A248" s="95" t="s">
        <v>149</v>
      </c>
      <c r="B248" s="50">
        <v>4156856</v>
      </c>
      <c r="C248" s="50" t="s">
        <v>11882</v>
      </c>
      <c r="D248" s="50" t="s">
        <v>8764</v>
      </c>
      <c r="E248" s="50" t="str">
        <f>VLOOKUP(B248,aa!B:F,5,0)</f>
        <v>Ei ASSET, Ei CARES, Ei Mindspark</v>
      </c>
      <c r="F248" s="50">
        <f>VLOOKUP(B248,aa!B:J,9,0)</f>
        <v>284834</v>
      </c>
      <c r="G248" s="50">
        <f>VLOOKUP(B248,aa!B:L,11,0)</f>
        <v>50482</v>
      </c>
      <c r="H248" s="50">
        <f>VLOOKUP(B248,aa!B:O,14,0)</f>
        <v>156493</v>
      </c>
      <c r="I248" s="50">
        <f>VLOOKUP(B248,aa!B:R,17,0)</f>
        <v>77859</v>
      </c>
      <c r="K248" s="50" t="s">
        <v>2163</v>
      </c>
      <c r="L248" s="50">
        <v>230831</v>
      </c>
      <c r="M248" s="50">
        <v>242837</v>
      </c>
      <c r="N248" s="50">
        <v>35528</v>
      </c>
      <c r="O248" s="50">
        <v>91</v>
      </c>
      <c r="P248" s="50" t="s">
        <v>18188</v>
      </c>
      <c r="Q248" s="50">
        <v>128603</v>
      </c>
      <c r="R248" s="50">
        <v>83</v>
      </c>
      <c r="S248" s="50" t="s">
        <v>18189</v>
      </c>
      <c r="T248" s="50">
        <v>66700</v>
      </c>
      <c r="U248" s="50">
        <v>101</v>
      </c>
      <c r="V248" s="50" t="s">
        <v>18190</v>
      </c>
      <c r="W248" s="50" t="s">
        <v>102</v>
      </c>
      <c r="X248" s="50" t="s">
        <v>103</v>
      </c>
      <c r="Y248" s="50" t="s">
        <v>155</v>
      </c>
      <c r="AA248" s="50" t="s">
        <v>18191</v>
      </c>
      <c r="AB248" s="50" t="s">
        <v>18192</v>
      </c>
      <c r="AC248" s="50" t="s">
        <v>18193</v>
      </c>
      <c r="AD248" s="50" t="s">
        <v>18192</v>
      </c>
      <c r="AE248" s="50" t="s">
        <v>11888</v>
      </c>
      <c r="AF248" s="50" t="s">
        <v>18192</v>
      </c>
      <c r="AG248" s="50" t="s">
        <v>12084</v>
      </c>
      <c r="AH248" s="50" t="s">
        <v>18192</v>
      </c>
      <c r="AI248" s="50" t="s">
        <v>8004</v>
      </c>
      <c r="AJ248" s="50" t="s">
        <v>12923</v>
      </c>
      <c r="AK248" s="50" t="s">
        <v>12923</v>
      </c>
      <c r="AL248" s="50" t="s">
        <v>18194</v>
      </c>
      <c r="AM248" s="50" t="s">
        <v>18195</v>
      </c>
      <c r="AN248" s="50" t="s">
        <v>18196</v>
      </c>
      <c r="AO248" s="50" t="s">
        <v>18197</v>
      </c>
      <c r="AP248" s="50" t="s">
        <v>18198</v>
      </c>
      <c r="AT248" s="50" t="s">
        <v>169</v>
      </c>
      <c r="AU248" s="50" t="s">
        <v>247</v>
      </c>
      <c r="AV248" s="50" t="s">
        <v>118</v>
      </c>
      <c r="AW248" s="50" t="s">
        <v>3536</v>
      </c>
      <c r="AX248" s="50" t="s">
        <v>119</v>
      </c>
      <c r="AY248" s="50" t="s">
        <v>3384</v>
      </c>
      <c r="AZ248" s="50" t="s">
        <v>118</v>
      </c>
      <c r="BA248" s="50" t="s">
        <v>250</v>
      </c>
      <c r="BB248" s="50" t="s">
        <v>1664</v>
      </c>
      <c r="BC248" s="50" t="s">
        <v>448</v>
      </c>
      <c r="BD248" s="50" t="s">
        <v>449</v>
      </c>
      <c r="BE248" s="50" t="s">
        <v>122</v>
      </c>
      <c r="BF248" s="50" t="s">
        <v>450</v>
      </c>
      <c r="BG248" s="50" t="s">
        <v>124</v>
      </c>
      <c r="BH248" s="50" t="s">
        <v>18199</v>
      </c>
      <c r="BI248" s="50" t="s">
        <v>11889</v>
      </c>
      <c r="BJ248" s="50" t="s">
        <v>127</v>
      </c>
      <c r="BK248" s="50" t="s">
        <v>18200</v>
      </c>
      <c r="BL248" s="50" t="s">
        <v>8774</v>
      </c>
      <c r="BM248" s="50" t="s">
        <v>18201</v>
      </c>
      <c r="BN248" s="50" t="s">
        <v>18187</v>
      </c>
      <c r="BO248" s="50" t="s">
        <v>3267</v>
      </c>
      <c r="BP248" s="50" t="s">
        <v>350</v>
      </c>
      <c r="BQ248" s="50" t="s">
        <v>3268</v>
      </c>
      <c r="BR248" s="50" t="s">
        <v>3269</v>
      </c>
      <c r="BS248" s="50" t="s">
        <v>135</v>
      </c>
      <c r="BU248" s="50" t="s">
        <v>18202</v>
      </c>
      <c r="BV248" s="50" t="s">
        <v>17391</v>
      </c>
      <c r="BW248" s="50" t="s">
        <v>3121</v>
      </c>
      <c r="BX248" s="50" t="s">
        <v>17392</v>
      </c>
      <c r="BY248" s="50" t="s">
        <v>17393</v>
      </c>
      <c r="BZ248" s="50" t="s">
        <v>8015</v>
      </c>
      <c r="CA248" s="50" t="s">
        <v>18203</v>
      </c>
      <c r="CB248" s="50" t="s">
        <v>18204</v>
      </c>
      <c r="CC248" s="50" t="s">
        <v>17393</v>
      </c>
      <c r="CD248" s="50" t="s">
        <v>18203</v>
      </c>
      <c r="CE248" s="50" t="s">
        <v>18204</v>
      </c>
      <c r="CF248" s="50" t="s">
        <v>17393</v>
      </c>
      <c r="CG248" s="50" t="s">
        <v>102</v>
      </c>
      <c r="CH248" s="50" t="s">
        <v>18205</v>
      </c>
      <c r="CJ248" s="50" t="s">
        <v>8000</v>
      </c>
      <c r="CL248" s="50" t="s">
        <v>448</v>
      </c>
      <c r="CM248" s="50" t="s">
        <v>449</v>
      </c>
      <c r="CN248" s="50" t="s">
        <v>8000</v>
      </c>
      <c r="CO248" s="50" t="s">
        <v>5687</v>
      </c>
      <c r="CP248" s="50" t="s">
        <v>8781</v>
      </c>
      <c r="CQ248" s="50" t="s">
        <v>8781</v>
      </c>
    </row>
    <row r="249" spans="1:96">
      <c r="A249" s="95" t="s">
        <v>149</v>
      </c>
      <c r="B249" s="50">
        <v>3362563</v>
      </c>
      <c r="C249" s="50" t="s">
        <v>11882</v>
      </c>
      <c r="D249" s="50" t="s">
        <v>5666</v>
      </c>
      <c r="E249" s="50" t="str">
        <f>VLOOKUP(B249,aa!B:F,5,0)</f>
        <v>Ei ASSET, Ei CARES, Ei Mindspark</v>
      </c>
      <c r="F249" s="50">
        <f>VLOOKUP(B249,aa!B:J,9,0)</f>
        <v>312327</v>
      </c>
      <c r="G249" s="50">
        <f>VLOOKUP(B249,aa!B:L,11,0)</f>
        <v>65226</v>
      </c>
      <c r="H249" s="50">
        <f>VLOOKUP(B249,aa!B:O,14,0)</f>
        <v>174009</v>
      </c>
      <c r="I249" s="50">
        <f>VLOOKUP(B249,aa!B:R,17,0)</f>
        <v>73092</v>
      </c>
      <c r="K249" s="50" t="s">
        <v>2163</v>
      </c>
      <c r="L249" s="50">
        <v>247437</v>
      </c>
      <c r="M249" s="50">
        <v>257734</v>
      </c>
      <c r="N249" s="50">
        <v>47683</v>
      </c>
      <c r="O249" s="50">
        <v>106</v>
      </c>
      <c r="P249" s="50" t="s">
        <v>5668</v>
      </c>
      <c r="Q249" s="50">
        <v>142551</v>
      </c>
      <c r="R249" s="50">
        <v>92</v>
      </c>
      <c r="S249" s="50" t="s">
        <v>15716</v>
      </c>
      <c r="T249" s="50">
        <v>57203</v>
      </c>
      <c r="U249" s="50">
        <v>117</v>
      </c>
      <c r="V249" s="50" t="s">
        <v>5670</v>
      </c>
      <c r="W249" s="50" t="s">
        <v>102</v>
      </c>
      <c r="X249" s="50" t="s">
        <v>679</v>
      </c>
      <c r="Y249" s="50" t="s">
        <v>155</v>
      </c>
      <c r="Z249" s="50" t="s">
        <v>15717</v>
      </c>
      <c r="AA249" s="50" t="s">
        <v>15718</v>
      </c>
      <c r="AB249" s="50" t="s">
        <v>15719</v>
      </c>
      <c r="AC249" s="50" t="s">
        <v>12570</v>
      </c>
      <c r="AD249" s="50" t="s">
        <v>15719</v>
      </c>
      <c r="AE249" s="50" t="s">
        <v>12571</v>
      </c>
      <c r="AF249" s="50" t="s">
        <v>15719</v>
      </c>
      <c r="AG249" s="50" t="s">
        <v>12595</v>
      </c>
      <c r="AH249" s="50" t="s">
        <v>15719</v>
      </c>
      <c r="AI249" s="50" t="s">
        <v>102</v>
      </c>
      <c r="AJ249" s="50" t="s">
        <v>12923</v>
      </c>
      <c r="AK249" s="50" t="s">
        <v>12923</v>
      </c>
      <c r="AL249" s="50" t="s">
        <v>15720</v>
      </c>
      <c r="AM249" s="50" t="s">
        <v>15721</v>
      </c>
      <c r="AN249" s="50" t="s">
        <v>15722</v>
      </c>
      <c r="AO249" s="50" t="s">
        <v>15723</v>
      </c>
      <c r="AP249" s="50" t="s">
        <v>15724</v>
      </c>
      <c r="AT249" s="50" t="s">
        <v>169</v>
      </c>
      <c r="AU249" s="50" t="s">
        <v>247</v>
      </c>
      <c r="AV249" s="50" t="s">
        <v>118</v>
      </c>
      <c r="AW249" s="50" t="s">
        <v>5675</v>
      </c>
      <c r="AX249" s="50" t="s">
        <v>119</v>
      </c>
      <c r="AY249" s="50" t="s">
        <v>1138</v>
      </c>
      <c r="AZ249" s="50" t="s">
        <v>118</v>
      </c>
      <c r="BA249" s="50" t="s">
        <v>250</v>
      </c>
      <c r="BB249" s="50" t="s">
        <v>120</v>
      </c>
      <c r="BC249" s="50" t="s">
        <v>3854</v>
      </c>
      <c r="BD249" s="50" t="s">
        <v>449</v>
      </c>
      <c r="BE249" s="50" t="s">
        <v>122</v>
      </c>
      <c r="BF249" s="50" t="s">
        <v>450</v>
      </c>
      <c r="BG249" s="50" t="s">
        <v>124</v>
      </c>
      <c r="BH249" s="50" t="s">
        <v>15725</v>
      </c>
      <c r="BI249" s="50" t="s">
        <v>11889</v>
      </c>
      <c r="BJ249" s="50" t="s">
        <v>127</v>
      </c>
      <c r="BK249" s="50" t="s">
        <v>15726</v>
      </c>
      <c r="BL249" s="50" t="s">
        <v>5677</v>
      </c>
      <c r="BM249" s="50" t="s">
        <v>15727</v>
      </c>
      <c r="BN249" s="50" t="s">
        <v>15715</v>
      </c>
      <c r="BO249" s="50" t="s">
        <v>3267</v>
      </c>
      <c r="BP249" s="50" t="s">
        <v>696</v>
      </c>
      <c r="BQ249" s="50" t="s">
        <v>3268</v>
      </c>
      <c r="BR249" s="50" t="s">
        <v>3269</v>
      </c>
      <c r="BS249" s="50" t="s">
        <v>135</v>
      </c>
      <c r="BU249" s="50" t="s">
        <v>15728</v>
      </c>
      <c r="BV249" s="50" t="s">
        <v>5680</v>
      </c>
      <c r="BW249" s="50" t="s">
        <v>354</v>
      </c>
      <c r="BX249" s="50" t="s">
        <v>5681</v>
      </c>
      <c r="BY249" s="50" t="s">
        <v>5682</v>
      </c>
      <c r="BZ249" s="50" t="s">
        <v>5683</v>
      </c>
      <c r="CA249" s="50" t="s">
        <v>5680</v>
      </c>
      <c r="CB249" s="50" t="s">
        <v>5681</v>
      </c>
      <c r="CC249" s="50" t="s">
        <v>5682</v>
      </c>
      <c r="CD249" s="50" t="s">
        <v>5680</v>
      </c>
      <c r="CE249" s="50" t="s">
        <v>5681</v>
      </c>
      <c r="CF249" s="50" t="s">
        <v>5682</v>
      </c>
      <c r="CG249" s="50" t="s">
        <v>102</v>
      </c>
      <c r="CH249" s="50" t="s">
        <v>15729</v>
      </c>
      <c r="CJ249" s="50" t="s">
        <v>4271</v>
      </c>
      <c r="CL249" s="50" t="s">
        <v>3854</v>
      </c>
      <c r="CM249" s="50" t="s">
        <v>449</v>
      </c>
      <c r="CN249" s="50" t="s">
        <v>4271</v>
      </c>
      <c r="CO249" s="50" t="s">
        <v>5687</v>
      </c>
      <c r="CP249" s="50" t="s">
        <v>5686</v>
      </c>
      <c r="CQ249" s="50" t="s">
        <v>5686</v>
      </c>
    </row>
    <row r="250" spans="1:96">
      <c r="A250" s="95" t="s">
        <v>26356</v>
      </c>
      <c r="B250" s="50">
        <v>3505875</v>
      </c>
      <c r="C250" s="50" t="s">
        <v>11882</v>
      </c>
      <c r="D250" s="50" t="s">
        <v>6422</v>
      </c>
      <c r="E250" s="50" t="str">
        <f>VLOOKUP(B250,aa!B:F,5,0)</f>
        <v>Ei ASSET, Ei Mindspark</v>
      </c>
      <c r="F250" s="50">
        <f>VLOOKUP(B250,aa!B:J,9,0)</f>
        <v>830993</v>
      </c>
      <c r="G250" s="50">
        <f>VLOOKUP(B250,aa!B:L,11,0)</f>
        <v>349558</v>
      </c>
      <c r="H250" s="50">
        <f>VLOOKUP(B250,aa!B:O,14,0)</f>
        <v>0</v>
      </c>
      <c r="I250" s="50">
        <f>VLOOKUP(B250,aa!B:R,17,0)</f>
        <v>481435</v>
      </c>
      <c r="K250" s="50" t="s">
        <v>193</v>
      </c>
      <c r="L250" s="50">
        <v>825003</v>
      </c>
      <c r="M250" s="50">
        <v>910704</v>
      </c>
      <c r="N250" s="50">
        <v>348888</v>
      </c>
      <c r="O250" s="50">
        <v>359</v>
      </c>
      <c r="P250" s="50" t="s">
        <v>3951</v>
      </c>
      <c r="Q250" s="50">
        <v>0</v>
      </c>
      <c r="R250" s="50">
        <v>0</v>
      </c>
      <c r="T250" s="50">
        <v>476115</v>
      </c>
      <c r="U250" s="50">
        <v>179</v>
      </c>
      <c r="V250" s="50" t="s">
        <v>13651</v>
      </c>
      <c r="W250" s="50" t="s">
        <v>102</v>
      </c>
      <c r="X250" s="50" t="s">
        <v>103</v>
      </c>
      <c r="Y250" s="50" t="s">
        <v>801</v>
      </c>
      <c r="AA250" s="50" t="s">
        <v>13652</v>
      </c>
      <c r="AB250" s="50" t="s">
        <v>16282</v>
      </c>
      <c r="AC250" s="50" t="s">
        <v>11976</v>
      </c>
      <c r="AD250" s="50" t="s">
        <v>16282</v>
      </c>
      <c r="AE250" s="50" t="s">
        <v>12571</v>
      </c>
      <c r="AF250" s="50" t="s">
        <v>16283</v>
      </c>
      <c r="AG250" s="50" t="s">
        <v>12595</v>
      </c>
      <c r="AH250" s="50" t="s">
        <v>16283</v>
      </c>
      <c r="AI250" s="50" t="s">
        <v>16284</v>
      </c>
      <c r="AJ250" s="50" t="s">
        <v>13769</v>
      </c>
      <c r="AK250" s="50" t="s">
        <v>1165</v>
      </c>
      <c r="AL250" s="50" t="s">
        <v>16285</v>
      </c>
      <c r="AM250" s="50" t="s">
        <v>16286</v>
      </c>
      <c r="AN250" s="50" t="s">
        <v>16287</v>
      </c>
      <c r="AO250" s="50" t="s">
        <v>16288</v>
      </c>
      <c r="AP250" s="50" t="s">
        <v>16288</v>
      </c>
      <c r="AU250" s="50" t="s">
        <v>207</v>
      </c>
      <c r="AV250" s="50" t="s">
        <v>118</v>
      </c>
      <c r="AW250" s="50" t="s">
        <v>102</v>
      </c>
      <c r="AX250" s="50" t="s">
        <v>119</v>
      </c>
      <c r="BA250" s="50" t="s">
        <v>250</v>
      </c>
      <c r="BB250" s="50" t="s">
        <v>120</v>
      </c>
      <c r="BC250" s="50" t="s">
        <v>4153</v>
      </c>
      <c r="BD250" s="50" t="s">
        <v>320</v>
      </c>
      <c r="BE250" s="50" t="s">
        <v>122</v>
      </c>
      <c r="BF250" s="50" t="s">
        <v>123</v>
      </c>
      <c r="BG250" s="50" t="s">
        <v>124</v>
      </c>
      <c r="BH250" s="50" t="s">
        <v>16289</v>
      </c>
      <c r="BI250" s="50" t="s">
        <v>13662</v>
      </c>
      <c r="BJ250" s="50" t="s">
        <v>127</v>
      </c>
      <c r="BK250" s="50" t="s">
        <v>16290</v>
      </c>
      <c r="BL250" s="50" t="s">
        <v>6433</v>
      </c>
      <c r="BM250" s="50" t="s">
        <v>16291</v>
      </c>
      <c r="BN250" s="50" t="s">
        <v>16281</v>
      </c>
      <c r="BO250" s="50" t="s">
        <v>3267</v>
      </c>
      <c r="BP250" s="50" t="s">
        <v>696</v>
      </c>
      <c r="BQ250" s="50" t="s">
        <v>3268</v>
      </c>
      <c r="BR250" s="50" t="s">
        <v>3269</v>
      </c>
      <c r="BS250" s="50" t="s">
        <v>135</v>
      </c>
      <c r="BT250" s="50" t="s">
        <v>135</v>
      </c>
      <c r="BU250" s="50" t="s">
        <v>16292</v>
      </c>
      <c r="BV250" s="50" t="s">
        <v>2932</v>
      </c>
      <c r="BW250" s="50" t="s">
        <v>296</v>
      </c>
      <c r="BX250" s="50" t="s">
        <v>2933</v>
      </c>
      <c r="BY250" s="50" t="s">
        <v>2934</v>
      </c>
      <c r="BZ250" s="50" t="s">
        <v>6436</v>
      </c>
      <c r="CA250" s="50" t="s">
        <v>16293</v>
      </c>
      <c r="CB250" s="50" t="s">
        <v>6436</v>
      </c>
      <c r="CC250" s="50" t="s">
        <v>2934</v>
      </c>
      <c r="CD250" s="50" t="s">
        <v>16293</v>
      </c>
      <c r="CE250" s="50" t="s">
        <v>6436</v>
      </c>
      <c r="CF250" s="50" t="s">
        <v>2934</v>
      </c>
      <c r="CG250" s="50" t="s">
        <v>102</v>
      </c>
      <c r="CH250" s="50" t="s">
        <v>16294</v>
      </c>
      <c r="CJ250" s="50" t="s">
        <v>5161</v>
      </c>
      <c r="CL250" s="50" t="s">
        <v>4153</v>
      </c>
      <c r="CM250" s="50" t="s">
        <v>320</v>
      </c>
      <c r="CN250" s="50" t="s">
        <v>5161</v>
      </c>
      <c r="CP250" s="50" t="s">
        <v>6437</v>
      </c>
      <c r="CQ250" s="50" t="s">
        <v>6438</v>
      </c>
    </row>
    <row r="251" spans="1:96">
      <c r="A251" s="95" t="s">
        <v>26356</v>
      </c>
      <c r="B251" s="50">
        <v>364480</v>
      </c>
      <c r="C251" s="50" t="s">
        <v>11882</v>
      </c>
      <c r="D251" s="50" t="s">
        <v>6974</v>
      </c>
      <c r="E251" s="50" t="str">
        <f>VLOOKUP(B251,aa!B:F,5,0)</f>
        <v>Ei ASSET, Ei Mindspark</v>
      </c>
      <c r="F251" s="50">
        <f>VLOOKUP(B251,aa!B:J,9,0)</f>
        <v>1638854</v>
      </c>
      <c r="G251" s="50">
        <f>VLOOKUP(B251,aa!B:L,11,0)</f>
        <v>689283</v>
      </c>
      <c r="H251" s="50">
        <f>VLOOKUP(B251,aa!B:O,14,0)</f>
        <v>0</v>
      </c>
      <c r="I251" s="50">
        <f>VLOOKUP(B251,aa!B:R,17,0)</f>
        <v>949571</v>
      </c>
      <c r="K251" s="50" t="s">
        <v>193</v>
      </c>
      <c r="L251" s="50">
        <v>1174629</v>
      </c>
      <c r="M251" s="50">
        <v>1260809</v>
      </c>
      <c r="N251" s="50">
        <v>695854</v>
      </c>
      <c r="O251" s="50">
        <v>716</v>
      </c>
      <c r="P251" s="50" t="s">
        <v>3951</v>
      </c>
      <c r="Q251" s="50">
        <v>0</v>
      </c>
      <c r="R251" s="50">
        <v>0</v>
      </c>
      <c r="T251" s="50">
        <v>478775</v>
      </c>
      <c r="U251" s="50">
        <v>180</v>
      </c>
      <c r="V251" s="50" t="s">
        <v>13651</v>
      </c>
      <c r="W251" s="50" t="s">
        <v>102</v>
      </c>
      <c r="X251" s="50" t="s">
        <v>103</v>
      </c>
      <c r="Y251" s="50" t="s">
        <v>155</v>
      </c>
      <c r="AA251" s="50" t="s">
        <v>13652</v>
      </c>
      <c r="AB251" s="50" t="s">
        <v>16697</v>
      </c>
      <c r="AC251" s="50" t="s">
        <v>11976</v>
      </c>
      <c r="AD251" s="50" t="s">
        <v>16697</v>
      </c>
      <c r="AE251" s="50" t="s">
        <v>11888</v>
      </c>
      <c r="AF251" s="50" t="s">
        <v>16697</v>
      </c>
      <c r="AG251" s="50" t="s">
        <v>12084</v>
      </c>
      <c r="AH251" s="50" t="s">
        <v>16697</v>
      </c>
      <c r="AI251" s="50" t="s">
        <v>16698</v>
      </c>
      <c r="AJ251" s="50" t="s">
        <v>8783</v>
      </c>
      <c r="AK251" s="50" t="s">
        <v>11902</v>
      </c>
      <c r="AL251" s="50" t="s">
        <v>16699</v>
      </c>
      <c r="AM251" s="50" t="s">
        <v>16700</v>
      </c>
      <c r="AN251" s="50" t="s">
        <v>16701</v>
      </c>
      <c r="AO251" s="50" t="s">
        <v>16702</v>
      </c>
      <c r="AP251" s="50" t="s">
        <v>16702</v>
      </c>
      <c r="AU251" s="50" t="s">
        <v>207</v>
      </c>
      <c r="AV251" s="50" t="s">
        <v>118</v>
      </c>
      <c r="AW251" s="50" t="s">
        <v>102</v>
      </c>
      <c r="AX251" s="50" t="s">
        <v>119</v>
      </c>
      <c r="BA251" s="50" t="s">
        <v>250</v>
      </c>
      <c r="BB251" s="50" t="s">
        <v>120</v>
      </c>
      <c r="BC251" s="50" t="s">
        <v>4153</v>
      </c>
      <c r="BD251" s="50" t="s">
        <v>320</v>
      </c>
      <c r="BE251" s="50" t="s">
        <v>122</v>
      </c>
      <c r="BF251" s="50" t="s">
        <v>123</v>
      </c>
      <c r="BG251" s="50" t="s">
        <v>124</v>
      </c>
      <c r="BH251" s="50" t="s">
        <v>16703</v>
      </c>
      <c r="BI251" s="50" t="s">
        <v>13662</v>
      </c>
      <c r="BJ251" s="50" t="s">
        <v>127</v>
      </c>
      <c r="BK251" s="50" t="s">
        <v>16704</v>
      </c>
      <c r="BL251" s="50" t="s">
        <v>6983</v>
      </c>
      <c r="BM251" s="50" t="s">
        <v>16705</v>
      </c>
      <c r="BN251" s="50" t="s">
        <v>16696</v>
      </c>
      <c r="BO251" s="50" t="s">
        <v>3267</v>
      </c>
      <c r="BP251" s="50" t="s">
        <v>350</v>
      </c>
      <c r="BQ251" s="50" t="s">
        <v>3268</v>
      </c>
      <c r="BR251" s="50" t="s">
        <v>3269</v>
      </c>
      <c r="BS251" s="50" t="s">
        <v>135</v>
      </c>
      <c r="BU251" s="50" t="s">
        <v>16706</v>
      </c>
      <c r="BV251" s="50" t="s">
        <v>2932</v>
      </c>
      <c r="BW251" s="50" t="s">
        <v>296</v>
      </c>
      <c r="BX251" s="50" t="s">
        <v>2933</v>
      </c>
      <c r="BY251" s="50" t="s">
        <v>2934</v>
      </c>
      <c r="BZ251" s="50" t="s">
        <v>6986</v>
      </c>
      <c r="CA251" s="50" t="s">
        <v>16707</v>
      </c>
      <c r="CB251" s="50" t="s">
        <v>16708</v>
      </c>
      <c r="CC251" s="50" t="s">
        <v>16709</v>
      </c>
      <c r="CD251" s="50" t="s">
        <v>16710</v>
      </c>
      <c r="CE251" s="50" t="s">
        <v>16711</v>
      </c>
      <c r="CF251" s="50" t="s">
        <v>16709</v>
      </c>
      <c r="CG251" s="50" t="s">
        <v>102</v>
      </c>
      <c r="CH251" s="50" t="s">
        <v>16712</v>
      </c>
      <c r="CJ251" s="50" t="s">
        <v>5161</v>
      </c>
      <c r="CL251" s="50" t="s">
        <v>4153</v>
      </c>
      <c r="CM251" s="50" t="s">
        <v>320</v>
      </c>
      <c r="CN251" s="50" t="s">
        <v>5161</v>
      </c>
      <c r="CO251" s="50" t="s">
        <v>3178</v>
      </c>
      <c r="CP251" s="50" t="s">
        <v>6992</v>
      </c>
      <c r="CQ251" s="50" t="s">
        <v>6992</v>
      </c>
    </row>
    <row r="252" spans="1:96">
      <c r="A252" s="95" t="s">
        <v>26356</v>
      </c>
      <c r="B252" s="50">
        <v>559045</v>
      </c>
      <c r="C252" s="50" t="s">
        <v>11882</v>
      </c>
      <c r="D252" s="50" t="s">
        <v>11124</v>
      </c>
      <c r="E252" s="50" t="str">
        <f>VLOOKUP(B252,aa!B:F,5,0)</f>
        <v>Ei ASSET, Ei Mindspark</v>
      </c>
      <c r="F252" s="50">
        <f>VLOOKUP(B252,aa!B:J,9,0)</f>
        <v>1028968</v>
      </c>
      <c r="G252" s="50">
        <f>VLOOKUP(B252,aa!B:L,11,0)</f>
        <v>608710</v>
      </c>
      <c r="H252" s="50">
        <f>VLOOKUP(B252,aa!B:O,14,0)</f>
        <v>0</v>
      </c>
      <c r="I252" s="50">
        <f>VLOOKUP(B252,aa!B:R,17,0)</f>
        <v>420258</v>
      </c>
      <c r="K252" s="50" t="s">
        <v>193</v>
      </c>
      <c r="L252" s="50">
        <v>1013161</v>
      </c>
      <c r="M252" s="50">
        <v>1086892</v>
      </c>
      <c r="N252" s="50">
        <v>603542</v>
      </c>
      <c r="O252" s="50">
        <v>621</v>
      </c>
      <c r="P252" s="50" t="s">
        <v>3951</v>
      </c>
      <c r="Q252" s="50">
        <v>0</v>
      </c>
      <c r="R252" s="50">
        <v>0</v>
      </c>
      <c r="T252" s="50">
        <v>409619</v>
      </c>
      <c r="U252" s="50">
        <v>154</v>
      </c>
      <c r="V252" s="50" t="s">
        <v>13651</v>
      </c>
      <c r="W252" s="50" t="s">
        <v>102</v>
      </c>
      <c r="X252" s="50" t="s">
        <v>103</v>
      </c>
      <c r="Y252" s="50" t="s">
        <v>155</v>
      </c>
      <c r="AA252" s="50" t="s">
        <v>13652</v>
      </c>
      <c r="AB252" s="50" t="s">
        <v>21116</v>
      </c>
      <c r="AC252" s="50" t="s">
        <v>11976</v>
      </c>
      <c r="AD252" s="50" t="s">
        <v>21116</v>
      </c>
      <c r="AE252" s="50" t="s">
        <v>11888</v>
      </c>
      <c r="AF252" s="50" t="s">
        <v>21116</v>
      </c>
      <c r="AG252" s="50" t="s">
        <v>12084</v>
      </c>
      <c r="AH252" s="50" t="s">
        <v>21116</v>
      </c>
      <c r="AI252" s="50" t="s">
        <v>21117</v>
      </c>
      <c r="AJ252" s="50" t="s">
        <v>8783</v>
      </c>
      <c r="AK252" s="50" t="s">
        <v>21118</v>
      </c>
      <c r="AL252" s="50" t="s">
        <v>21119</v>
      </c>
      <c r="AM252" s="50" t="s">
        <v>21120</v>
      </c>
      <c r="AN252" s="50" t="s">
        <v>21121</v>
      </c>
      <c r="AO252" s="50" t="s">
        <v>21122</v>
      </c>
      <c r="AP252" s="50" t="s">
        <v>21122</v>
      </c>
      <c r="AU252" s="50" t="s">
        <v>207</v>
      </c>
      <c r="AV252" s="50" t="s">
        <v>118</v>
      </c>
      <c r="AW252" s="50" t="s">
        <v>102</v>
      </c>
      <c r="AX252" s="50" t="s">
        <v>119</v>
      </c>
      <c r="BA252" s="50" t="s">
        <v>14957</v>
      </c>
      <c r="BB252" s="50" t="s">
        <v>120</v>
      </c>
      <c r="BC252" s="50" t="s">
        <v>4153</v>
      </c>
      <c r="BD252" s="50" t="s">
        <v>320</v>
      </c>
      <c r="BE252" s="50" t="s">
        <v>122</v>
      </c>
      <c r="BF252" s="50" t="s">
        <v>123</v>
      </c>
      <c r="BG252" s="50" t="s">
        <v>124</v>
      </c>
      <c r="BH252" s="50" t="s">
        <v>16703</v>
      </c>
      <c r="BI252" s="50" t="s">
        <v>21123</v>
      </c>
      <c r="BJ252" s="50" t="s">
        <v>127</v>
      </c>
      <c r="BK252" s="50" t="s">
        <v>21124</v>
      </c>
      <c r="BL252" s="50" t="s">
        <v>11133</v>
      </c>
      <c r="BM252" s="50" t="s">
        <v>21125</v>
      </c>
      <c r="BN252" s="50" t="s">
        <v>16696</v>
      </c>
      <c r="BO252" s="50" t="s">
        <v>3267</v>
      </c>
      <c r="BP252" s="50" t="s">
        <v>350</v>
      </c>
      <c r="BQ252" s="50" t="s">
        <v>3268</v>
      </c>
      <c r="BR252" s="50" t="s">
        <v>3269</v>
      </c>
      <c r="BS252" s="50" t="s">
        <v>135</v>
      </c>
      <c r="BT252" s="50" t="s">
        <v>135</v>
      </c>
      <c r="BU252" s="50" t="s">
        <v>21126</v>
      </c>
      <c r="BV252" s="50" t="s">
        <v>2932</v>
      </c>
      <c r="BW252" s="50" t="s">
        <v>296</v>
      </c>
      <c r="BX252" s="50" t="s">
        <v>2933</v>
      </c>
      <c r="BY252" s="50" t="s">
        <v>2934</v>
      </c>
      <c r="BZ252" s="50" t="s">
        <v>11136</v>
      </c>
      <c r="CA252" s="50" t="s">
        <v>21127</v>
      </c>
      <c r="CB252" s="50" t="s">
        <v>21128</v>
      </c>
      <c r="CC252" s="50" t="s">
        <v>2934</v>
      </c>
      <c r="CD252" s="50" t="s">
        <v>21127</v>
      </c>
      <c r="CE252" s="50" t="s">
        <v>21128</v>
      </c>
      <c r="CF252" s="50" t="s">
        <v>2934</v>
      </c>
      <c r="CG252" s="50" t="s">
        <v>102</v>
      </c>
      <c r="CH252" s="50" t="s">
        <v>11124</v>
      </c>
      <c r="CJ252" s="50" t="s">
        <v>5161</v>
      </c>
      <c r="CL252" s="50" t="s">
        <v>4153</v>
      </c>
      <c r="CM252" s="50" t="s">
        <v>320</v>
      </c>
      <c r="CN252" s="50" t="s">
        <v>5161</v>
      </c>
      <c r="CO252" s="50" t="s">
        <v>3178</v>
      </c>
      <c r="CP252" s="50" t="s">
        <v>11142</v>
      </c>
      <c r="CQ252" s="50" t="s">
        <v>11142</v>
      </c>
    </row>
    <row r="253" spans="1:96">
      <c r="A253" s="95" t="s">
        <v>149</v>
      </c>
      <c r="B253" s="50">
        <v>401650</v>
      </c>
      <c r="C253" s="50" t="s">
        <v>183</v>
      </c>
      <c r="D253" s="50" t="s">
        <v>8573</v>
      </c>
      <c r="E253" s="50" t="e">
        <f>VLOOKUP(B253,aa!B:F,5,0)</f>
        <v>#N/A</v>
      </c>
      <c r="F253" s="50" t="e">
        <f>VLOOKUP(B253,aa!B:J,9,0)</f>
        <v>#N/A</v>
      </c>
      <c r="G253" s="50" t="e">
        <f>VLOOKUP(B253,aa!B:L,11,0)</f>
        <v>#N/A</v>
      </c>
      <c r="H253" s="50" t="e">
        <f>VLOOKUP(B253,aa!B:O,14,0)</f>
        <v>#N/A</v>
      </c>
      <c r="I253" s="50" t="e">
        <f>VLOOKUP(B253,aa!B:R,17,0)</f>
        <v>#N/A</v>
      </c>
      <c r="K253" s="50" t="s">
        <v>152</v>
      </c>
      <c r="L253" s="50">
        <v>901803</v>
      </c>
      <c r="M253" s="50">
        <v>901803</v>
      </c>
      <c r="N253" s="50">
        <v>0</v>
      </c>
      <c r="O253" s="50">
        <v>0</v>
      </c>
      <c r="Q253" s="50">
        <v>901803</v>
      </c>
      <c r="R253" s="50">
        <v>936</v>
      </c>
      <c r="S253" s="50" t="s">
        <v>17971</v>
      </c>
      <c r="T253" s="50">
        <v>0</v>
      </c>
      <c r="U253" s="50">
        <v>0</v>
      </c>
      <c r="W253" s="50" t="s">
        <v>102</v>
      </c>
      <c r="X253" s="50" t="s">
        <v>103</v>
      </c>
      <c r="Y253" s="50" t="s">
        <v>155</v>
      </c>
      <c r="AA253" s="50" t="s">
        <v>13680</v>
      </c>
      <c r="AB253" s="50" t="s">
        <v>17972</v>
      </c>
      <c r="AC253" s="50" t="s">
        <v>11976</v>
      </c>
      <c r="AD253" s="50" t="s">
        <v>17972</v>
      </c>
      <c r="AE253" s="50" t="s">
        <v>11888</v>
      </c>
      <c r="AF253" s="50" t="s">
        <v>17972</v>
      </c>
      <c r="AG253" s="50" t="s">
        <v>11886</v>
      </c>
      <c r="AH253" s="50" t="s">
        <v>17972</v>
      </c>
      <c r="AI253" s="50" t="s">
        <v>102</v>
      </c>
      <c r="AL253" s="50" t="s">
        <v>17973</v>
      </c>
      <c r="AM253" s="50" t="s">
        <v>102</v>
      </c>
      <c r="AN253" s="50" t="s">
        <v>17973</v>
      </c>
      <c r="AO253" s="50" t="s">
        <v>17974</v>
      </c>
      <c r="AP253" s="50" t="s">
        <v>17974</v>
      </c>
      <c r="AU253" s="50" t="s">
        <v>102</v>
      </c>
      <c r="AW253" s="50" t="s">
        <v>104</v>
      </c>
      <c r="AX253" s="50" t="s">
        <v>447</v>
      </c>
      <c r="AY253" s="50" t="s">
        <v>170</v>
      </c>
      <c r="AZ253" s="50" t="s">
        <v>118</v>
      </c>
      <c r="BB253" s="50" t="s">
        <v>171</v>
      </c>
      <c r="BC253" s="50" t="s">
        <v>375</v>
      </c>
      <c r="BD253" s="50" t="s">
        <v>376</v>
      </c>
      <c r="BE253" s="50" t="s">
        <v>174</v>
      </c>
      <c r="BF253" s="50" t="s">
        <v>376</v>
      </c>
      <c r="BG253" s="50" t="s">
        <v>124</v>
      </c>
      <c r="BH253" s="50" t="s">
        <v>13680</v>
      </c>
      <c r="BI253" s="50" t="s">
        <v>11889</v>
      </c>
      <c r="BJ253" s="50" t="s">
        <v>127</v>
      </c>
      <c r="BK253" s="50" t="s">
        <v>17975</v>
      </c>
      <c r="BL253" s="50" t="s">
        <v>8584</v>
      </c>
      <c r="BM253" s="50" t="s">
        <v>17976</v>
      </c>
      <c r="BN253" s="50" t="s">
        <v>8783</v>
      </c>
      <c r="BO253" s="50" t="s">
        <v>179</v>
      </c>
      <c r="BP253" s="50" t="s">
        <v>180</v>
      </c>
      <c r="BQ253" s="50" t="s">
        <v>181</v>
      </c>
      <c r="BR253" s="50" t="s">
        <v>182</v>
      </c>
      <c r="BS253" s="50" t="s">
        <v>5177</v>
      </c>
      <c r="BU253" s="50" t="s">
        <v>17977</v>
      </c>
      <c r="BV253" s="50" t="s">
        <v>17978</v>
      </c>
      <c r="BW253" s="50" t="s">
        <v>569</v>
      </c>
      <c r="BX253" s="50" t="s">
        <v>8590</v>
      </c>
      <c r="BY253" s="50" t="s">
        <v>17979</v>
      </c>
      <c r="BZ253" s="50" t="s">
        <v>8590</v>
      </c>
      <c r="CA253" s="50" t="s">
        <v>17980</v>
      </c>
      <c r="CB253" s="50" t="s">
        <v>8590</v>
      </c>
      <c r="CC253" s="50" t="s">
        <v>17981</v>
      </c>
      <c r="CD253" s="50" t="s">
        <v>17980</v>
      </c>
      <c r="CE253" s="50" t="s">
        <v>8590</v>
      </c>
      <c r="CF253" s="50" t="s">
        <v>17981</v>
      </c>
      <c r="CG253" s="50" t="s">
        <v>334</v>
      </c>
      <c r="CH253" s="50" t="s">
        <v>8573</v>
      </c>
      <c r="CJ253" s="50" t="s">
        <v>8592</v>
      </c>
      <c r="CK253" s="50" t="s">
        <v>8591</v>
      </c>
      <c r="CL253" s="50" t="s">
        <v>375</v>
      </c>
      <c r="CM253" s="50" t="s">
        <v>376</v>
      </c>
      <c r="CN253" s="50" t="s">
        <v>8592</v>
      </c>
      <c r="CO253" s="50" t="s">
        <v>8593</v>
      </c>
      <c r="CP253" s="50" t="s">
        <v>8591</v>
      </c>
      <c r="CQ253" s="50" t="s">
        <v>8591</v>
      </c>
      <c r="CR253" s="50" t="s">
        <v>26051</v>
      </c>
    </row>
    <row r="254" spans="1:96">
      <c r="A254" s="95" t="s">
        <v>149</v>
      </c>
      <c r="B254" s="50">
        <v>5014840</v>
      </c>
      <c r="C254" s="50" t="s">
        <v>418</v>
      </c>
      <c r="D254" s="50" t="s">
        <v>18628</v>
      </c>
      <c r="E254" s="50" t="str">
        <f>VLOOKUP(B254,aa!B:F,5,0)</f>
        <v>Ei ASSET, Ei CARES</v>
      </c>
      <c r="F254" s="50">
        <f>VLOOKUP(B254,aa!B:J,9,0)</f>
        <v>696125</v>
      </c>
      <c r="G254" s="50">
        <f>VLOOKUP(B254,aa!B:L,11,0)</f>
        <v>521975</v>
      </c>
      <c r="H254" s="50">
        <f>VLOOKUP(B254,aa!B:O,14,0)</f>
        <v>174150</v>
      </c>
      <c r="I254" s="50">
        <f>VLOOKUP(B254,aa!B:R,17,0)</f>
        <v>0</v>
      </c>
      <c r="K254" s="50" t="s">
        <v>675</v>
      </c>
      <c r="L254" s="50">
        <v>597818</v>
      </c>
      <c r="M254" s="50">
        <v>597818</v>
      </c>
      <c r="N254" s="50">
        <v>492518</v>
      </c>
      <c r="O254" s="50">
        <v>535</v>
      </c>
      <c r="P254" s="50" t="s">
        <v>18630</v>
      </c>
      <c r="Q254" s="50">
        <v>105300</v>
      </c>
      <c r="R254" s="50">
        <v>130</v>
      </c>
      <c r="S254" s="50" t="s">
        <v>6750</v>
      </c>
      <c r="T254" s="50">
        <v>0</v>
      </c>
      <c r="U254" s="50">
        <v>0</v>
      </c>
      <c r="W254" s="50" t="s">
        <v>102</v>
      </c>
      <c r="X254" s="50" t="s">
        <v>103</v>
      </c>
      <c r="Y254" s="50" t="s">
        <v>104</v>
      </c>
      <c r="AA254" s="50" t="s">
        <v>11927</v>
      </c>
      <c r="AB254" s="50" t="s">
        <v>18631</v>
      </c>
      <c r="AC254" s="50" t="s">
        <v>12695</v>
      </c>
      <c r="AD254" s="50" t="s">
        <v>18632</v>
      </c>
      <c r="AE254" s="50" t="s">
        <v>109</v>
      </c>
      <c r="AF254" s="50" t="s">
        <v>102</v>
      </c>
      <c r="AG254" s="50" t="s">
        <v>109</v>
      </c>
      <c r="AH254" s="50" t="s">
        <v>102</v>
      </c>
      <c r="AI254" s="50" t="s">
        <v>18633</v>
      </c>
      <c r="AJ254" s="50" t="s">
        <v>13511</v>
      </c>
      <c r="AK254" s="50" t="s">
        <v>2050</v>
      </c>
      <c r="AL254" s="50" t="s">
        <v>18634</v>
      </c>
      <c r="AM254" s="50" t="s">
        <v>18635</v>
      </c>
      <c r="AN254" s="50" t="s">
        <v>18636</v>
      </c>
      <c r="AO254" s="50" t="s">
        <v>18637</v>
      </c>
      <c r="AP254" s="50" t="s">
        <v>18637</v>
      </c>
      <c r="AU254" s="50" t="s">
        <v>247</v>
      </c>
      <c r="AV254" s="50" t="s">
        <v>118</v>
      </c>
      <c r="AW254" s="50" t="s">
        <v>1103</v>
      </c>
      <c r="AX254" s="50" t="s">
        <v>119</v>
      </c>
      <c r="AY254" s="50" t="s">
        <v>170</v>
      </c>
      <c r="AZ254" s="50" t="s">
        <v>118</v>
      </c>
      <c r="BB254" s="50" t="s">
        <v>120</v>
      </c>
      <c r="BC254" s="50" t="s">
        <v>4951</v>
      </c>
      <c r="BD254" s="50" t="s">
        <v>410</v>
      </c>
      <c r="BE254" s="50" t="s">
        <v>212</v>
      </c>
      <c r="BF254" s="50" t="s">
        <v>410</v>
      </c>
      <c r="BG254" s="50" t="s">
        <v>124</v>
      </c>
      <c r="BH254" s="50" t="s">
        <v>8783</v>
      </c>
      <c r="BI254" s="50" t="s">
        <v>12047</v>
      </c>
      <c r="BJ254" s="50" t="s">
        <v>127</v>
      </c>
      <c r="BK254" s="50" t="s">
        <v>18638</v>
      </c>
      <c r="BL254" s="50" t="s">
        <v>9332</v>
      </c>
      <c r="BM254" s="50" t="s">
        <v>18639</v>
      </c>
      <c r="BN254" s="50" t="s">
        <v>18629</v>
      </c>
      <c r="BO254" s="50" t="s">
        <v>866</v>
      </c>
      <c r="BP254" s="50" t="s">
        <v>132</v>
      </c>
      <c r="BQ254" s="50" t="s">
        <v>867</v>
      </c>
      <c r="BR254" s="50" t="s">
        <v>868</v>
      </c>
      <c r="BS254" s="50" t="s">
        <v>9337</v>
      </c>
      <c r="BU254" s="50" t="s">
        <v>18640</v>
      </c>
      <c r="BV254" s="50" t="s">
        <v>18641</v>
      </c>
      <c r="BW254" s="50" t="s">
        <v>138</v>
      </c>
      <c r="BX254" s="50" t="s">
        <v>9342</v>
      </c>
      <c r="BY254" s="50" t="s">
        <v>18642</v>
      </c>
      <c r="BZ254" s="50" t="s">
        <v>9342</v>
      </c>
      <c r="CA254" s="50" t="s">
        <v>18641</v>
      </c>
      <c r="CB254" s="50" t="s">
        <v>9342</v>
      </c>
      <c r="CC254" s="50" t="s">
        <v>18642</v>
      </c>
      <c r="CD254" s="50" t="s">
        <v>18643</v>
      </c>
      <c r="CE254" s="50" t="s">
        <v>18644</v>
      </c>
      <c r="CF254" s="50" t="s">
        <v>9345</v>
      </c>
      <c r="CG254" s="50" t="s">
        <v>102</v>
      </c>
      <c r="CH254" s="50" t="s">
        <v>9349</v>
      </c>
      <c r="CJ254" s="50" t="s">
        <v>9348</v>
      </c>
      <c r="CK254" s="50" t="s">
        <v>9349</v>
      </c>
      <c r="CL254" s="50" t="s">
        <v>4951</v>
      </c>
      <c r="CM254" s="50" t="s">
        <v>410</v>
      </c>
      <c r="CN254" s="50" t="s">
        <v>9348</v>
      </c>
      <c r="CO254" s="50" t="s">
        <v>4205</v>
      </c>
      <c r="CP254" s="50" t="s">
        <v>9349</v>
      </c>
      <c r="CQ254" s="50" t="s">
        <v>9349</v>
      </c>
    </row>
    <row r="255" spans="1:96">
      <c r="A255" s="95" t="s">
        <v>149</v>
      </c>
      <c r="B255" s="50">
        <v>2451376</v>
      </c>
      <c r="C255" s="50" t="s">
        <v>12423</v>
      </c>
      <c r="D255" s="50" t="s">
        <v>3412</v>
      </c>
      <c r="E255" s="50" t="e">
        <f>VLOOKUP(B255,aa!B:F,5,0)</f>
        <v>#N/A</v>
      </c>
      <c r="F255" s="50" t="e">
        <f>VLOOKUP(B255,aa!B:J,9,0)</f>
        <v>#N/A</v>
      </c>
      <c r="G255" s="50" t="e">
        <f>VLOOKUP(B255,aa!B:L,11,0)</f>
        <v>#N/A</v>
      </c>
      <c r="H255" s="50" t="e">
        <f>VLOOKUP(B255,aa!B:O,14,0)</f>
        <v>#N/A</v>
      </c>
      <c r="I255" s="50" t="e">
        <f>VLOOKUP(B255,aa!B:R,17,0)</f>
        <v>#N/A</v>
      </c>
      <c r="K255" s="50" t="s">
        <v>97</v>
      </c>
      <c r="L255" s="50">
        <v>125487</v>
      </c>
      <c r="M255" s="50">
        <v>125487</v>
      </c>
      <c r="N255" s="50">
        <v>125487</v>
      </c>
      <c r="O255" s="50">
        <v>251</v>
      </c>
      <c r="P255" s="50" t="s">
        <v>364</v>
      </c>
      <c r="Q255" s="50">
        <v>0</v>
      </c>
      <c r="R255" s="50">
        <v>0</v>
      </c>
      <c r="T255" s="50">
        <v>0</v>
      </c>
      <c r="U255" s="50">
        <v>0</v>
      </c>
      <c r="W255" s="50" t="s">
        <v>102</v>
      </c>
      <c r="X255" s="50" t="s">
        <v>103</v>
      </c>
      <c r="Y255" s="50" t="s">
        <v>104</v>
      </c>
      <c r="AA255" s="50" t="s">
        <v>11976</v>
      </c>
      <c r="AB255" s="50" t="s">
        <v>14001</v>
      </c>
      <c r="AC255" s="50" t="s">
        <v>12084</v>
      </c>
      <c r="AD255" s="50" t="s">
        <v>14001</v>
      </c>
      <c r="AE255" s="50" t="s">
        <v>109</v>
      </c>
      <c r="AF255" s="50" t="s">
        <v>102</v>
      </c>
      <c r="AG255" s="50" t="s">
        <v>109</v>
      </c>
      <c r="AH255" s="50" t="s">
        <v>102</v>
      </c>
      <c r="AI255" s="50" t="s">
        <v>14002</v>
      </c>
      <c r="AJ255" s="50" t="s">
        <v>13832</v>
      </c>
      <c r="AK255" s="50" t="s">
        <v>14003</v>
      </c>
      <c r="AL255" s="50" t="s">
        <v>14004</v>
      </c>
      <c r="AM255" s="50" t="s">
        <v>14005</v>
      </c>
      <c r="AN255" s="50" t="s">
        <v>102</v>
      </c>
      <c r="AO255" s="50" t="s">
        <v>2307</v>
      </c>
      <c r="AP255" s="50" t="s">
        <v>2307</v>
      </c>
      <c r="AU255" s="50" t="s">
        <v>117</v>
      </c>
      <c r="AV255" s="50" t="s">
        <v>118</v>
      </c>
      <c r="AW255" s="50" t="s">
        <v>102</v>
      </c>
      <c r="AX255" s="50" t="s">
        <v>119</v>
      </c>
      <c r="BB255" s="50" t="s">
        <v>209</v>
      </c>
      <c r="BC255" s="50" t="s">
        <v>1759</v>
      </c>
      <c r="BD255" s="50" t="s">
        <v>410</v>
      </c>
      <c r="BE255" s="50" t="s">
        <v>212</v>
      </c>
      <c r="BF255" s="50" t="s">
        <v>410</v>
      </c>
      <c r="BG255" s="50" t="s">
        <v>124</v>
      </c>
      <c r="BH255" s="50" t="s">
        <v>11959</v>
      </c>
      <c r="BI255" s="50" t="s">
        <v>12047</v>
      </c>
      <c r="BJ255" s="50" t="s">
        <v>127</v>
      </c>
      <c r="BK255" s="50" t="s">
        <v>14006</v>
      </c>
      <c r="BL255" s="50" t="s">
        <v>3421</v>
      </c>
      <c r="BM255" s="50" t="s">
        <v>14007</v>
      </c>
      <c r="BN255" s="50" t="s">
        <v>14000</v>
      </c>
      <c r="BO255" s="50" t="s">
        <v>415</v>
      </c>
      <c r="BP255" s="50" t="s">
        <v>350</v>
      </c>
      <c r="BQ255" s="50" t="s">
        <v>416</v>
      </c>
      <c r="BR255" s="50" t="s">
        <v>417</v>
      </c>
      <c r="BS255" s="50" t="s">
        <v>222</v>
      </c>
      <c r="BU255" s="50" t="s">
        <v>14008</v>
      </c>
      <c r="BV255" s="50" t="s">
        <v>3424</v>
      </c>
      <c r="BW255" s="50" t="s">
        <v>138</v>
      </c>
      <c r="BX255" s="50" t="s">
        <v>3425</v>
      </c>
      <c r="BY255" s="50" t="s">
        <v>3426</v>
      </c>
      <c r="BZ255" s="50" t="s">
        <v>3427</v>
      </c>
      <c r="CA255" s="50" t="s">
        <v>3424</v>
      </c>
      <c r="CB255" s="50" t="s">
        <v>3425</v>
      </c>
      <c r="CC255" s="50" t="s">
        <v>3426</v>
      </c>
      <c r="CD255" s="50" t="s">
        <v>3424</v>
      </c>
      <c r="CE255" s="50" t="s">
        <v>3425</v>
      </c>
      <c r="CF255" s="50" t="s">
        <v>3426</v>
      </c>
      <c r="CG255" s="50" t="s">
        <v>102</v>
      </c>
      <c r="CH255" s="50" t="s">
        <v>3428</v>
      </c>
      <c r="CJ255" s="50" t="s">
        <v>2740</v>
      </c>
      <c r="CL255" s="50" t="s">
        <v>1759</v>
      </c>
      <c r="CM255" s="50" t="s">
        <v>410</v>
      </c>
      <c r="CN255" s="50" t="s">
        <v>2740</v>
      </c>
      <c r="CO255" s="50" t="s">
        <v>1775</v>
      </c>
      <c r="CP255" s="50" t="s">
        <v>3428</v>
      </c>
      <c r="CQ255" s="50" t="s">
        <v>3428</v>
      </c>
      <c r="CR255" s="50" t="s">
        <v>26040</v>
      </c>
    </row>
    <row r="256" spans="1:96">
      <c r="A256" s="50" t="s">
        <v>93</v>
      </c>
      <c r="B256" s="50">
        <v>3469794</v>
      </c>
      <c r="C256" s="50" t="s">
        <v>12507</v>
      </c>
      <c r="D256" s="50" t="s">
        <v>16112</v>
      </c>
      <c r="E256" s="50" t="str">
        <f>VLOOKUP(B256,aa!B:F,5,0)</f>
        <v>Ei ASSET,Ei CARES</v>
      </c>
      <c r="F256" s="50">
        <f>VLOOKUP(B256,aa!B:J,9,0)</f>
        <v>1030509</v>
      </c>
      <c r="G256" s="50">
        <f>VLOOKUP(B256,aa!B:L,11,0)</f>
        <v>552058</v>
      </c>
      <c r="H256" s="50">
        <f>VLOOKUP(B256,aa!B:O,14,0)</f>
        <v>478451</v>
      </c>
      <c r="I256" s="50">
        <f>VLOOKUP(B256,aa!B:R,17,0)</f>
        <v>0</v>
      </c>
      <c r="K256" s="50" t="s">
        <v>2044</v>
      </c>
      <c r="L256" s="50">
        <v>837322</v>
      </c>
      <c r="M256" s="50">
        <v>837322</v>
      </c>
      <c r="N256" s="50">
        <v>315315</v>
      </c>
      <c r="O256" s="50">
        <v>735</v>
      </c>
      <c r="P256" s="50" t="s">
        <v>16113</v>
      </c>
      <c r="Q256" s="50">
        <v>522007</v>
      </c>
      <c r="R256" s="50">
        <v>702</v>
      </c>
      <c r="S256" s="50" t="s">
        <v>11865</v>
      </c>
      <c r="T256" s="50">
        <v>0</v>
      </c>
      <c r="U256" s="50">
        <v>0</v>
      </c>
      <c r="W256" s="50" t="s">
        <v>102</v>
      </c>
      <c r="X256" s="50" t="s">
        <v>103</v>
      </c>
      <c r="Y256" s="50" t="s">
        <v>155</v>
      </c>
      <c r="AA256" s="50" t="s">
        <v>14000</v>
      </c>
      <c r="AB256" s="50" t="s">
        <v>16114</v>
      </c>
      <c r="AC256" s="50" t="s">
        <v>12312</v>
      </c>
      <c r="AD256" s="50" t="s">
        <v>16114</v>
      </c>
      <c r="AE256" s="50" t="s">
        <v>14210</v>
      </c>
      <c r="AF256" s="50" t="s">
        <v>16114</v>
      </c>
      <c r="AG256" s="50" t="s">
        <v>16007</v>
      </c>
      <c r="AH256" s="50" t="s">
        <v>16114</v>
      </c>
      <c r="AI256" s="50" t="s">
        <v>5007</v>
      </c>
      <c r="AJ256" s="50" t="s">
        <v>5015</v>
      </c>
      <c r="AK256" s="50" t="s">
        <v>12931</v>
      </c>
      <c r="AL256" s="50" t="s">
        <v>16115</v>
      </c>
      <c r="AM256" s="50" t="s">
        <v>16116</v>
      </c>
      <c r="AN256" s="50" t="s">
        <v>16117</v>
      </c>
      <c r="AO256" s="50" t="s">
        <v>16118</v>
      </c>
      <c r="AP256" s="50" t="s">
        <v>16118</v>
      </c>
      <c r="AU256" s="50" t="s">
        <v>318</v>
      </c>
      <c r="AV256" s="50" t="s">
        <v>118</v>
      </c>
      <c r="AW256" s="50" t="s">
        <v>155</v>
      </c>
      <c r="AX256" s="50" t="s">
        <v>119</v>
      </c>
      <c r="AY256" s="50" t="s">
        <v>170</v>
      </c>
      <c r="AZ256" s="50" t="s">
        <v>118</v>
      </c>
      <c r="BB256" s="50" t="s">
        <v>120</v>
      </c>
      <c r="BC256" s="50" t="s">
        <v>7324</v>
      </c>
      <c r="BD256" s="50" t="s">
        <v>556</v>
      </c>
      <c r="BE256" s="50" t="s">
        <v>122</v>
      </c>
      <c r="BF256" s="50" t="s">
        <v>557</v>
      </c>
      <c r="BG256" s="50" t="s">
        <v>124</v>
      </c>
      <c r="BH256" s="50" t="s">
        <v>12023</v>
      </c>
      <c r="BI256" s="50" t="s">
        <v>11889</v>
      </c>
      <c r="BJ256" s="50" t="s">
        <v>127</v>
      </c>
      <c r="BK256" s="50" t="s">
        <v>16119</v>
      </c>
      <c r="BL256" s="50" t="s">
        <v>16120</v>
      </c>
      <c r="BM256" s="50" t="s">
        <v>16121</v>
      </c>
      <c r="BN256" s="50" t="s">
        <v>14000</v>
      </c>
      <c r="BO256" s="50" t="s">
        <v>1071</v>
      </c>
      <c r="BP256" s="50" t="s">
        <v>350</v>
      </c>
      <c r="BQ256" s="50" t="s">
        <v>1072</v>
      </c>
      <c r="BR256" s="50" t="s">
        <v>1073</v>
      </c>
      <c r="BS256" s="50" t="s">
        <v>1074</v>
      </c>
      <c r="BU256" s="50" t="s">
        <v>16122</v>
      </c>
      <c r="BV256" s="50" t="s">
        <v>16123</v>
      </c>
      <c r="BW256" s="50" t="s">
        <v>354</v>
      </c>
      <c r="BX256" s="50" t="s">
        <v>16124</v>
      </c>
      <c r="BY256" s="50" t="s">
        <v>16125</v>
      </c>
      <c r="BZ256" s="50" t="s">
        <v>16126</v>
      </c>
      <c r="CA256" s="50" t="s">
        <v>16127</v>
      </c>
      <c r="CB256" s="50" t="s">
        <v>16124</v>
      </c>
      <c r="CC256" s="50" t="s">
        <v>16125</v>
      </c>
      <c r="CD256" s="50" t="s">
        <v>16127</v>
      </c>
      <c r="CE256" s="50" t="s">
        <v>16124</v>
      </c>
      <c r="CF256" s="50" t="s">
        <v>16125</v>
      </c>
      <c r="CG256" s="50" t="s">
        <v>16128</v>
      </c>
      <c r="CH256" s="50" t="s">
        <v>16129</v>
      </c>
      <c r="CJ256" s="50" t="s">
        <v>7334</v>
      </c>
      <c r="CK256" s="50" t="s">
        <v>16130</v>
      </c>
      <c r="CL256" s="50" t="s">
        <v>7324</v>
      </c>
      <c r="CM256" s="50" t="s">
        <v>556</v>
      </c>
      <c r="CN256" s="50" t="s">
        <v>7334</v>
      </c>
      <c r="CP256" s="50" t="s">
        <v>16131</v>
      </c>
      <c r="CQ256" s="50" t="s">
        <v>16131</v>
      </c>
    </row>
    <row r="257" spans="1:96">
      <c r="A257" s="50" t="s">
        <v>93</v>
      </c>
      <c r="B257" s="50">
        <v>3992445</v>
      </c>
      <c r="C257" s="50" t="s">
        <v>12423</v>
      </c>
      <c r="D257" s="50" t="s">
        <v>17520</v>
      </c>
      <c r="E257" s="50" t="e">
        <f>VLOOKUP(B257,aa!B:F,5,0)</f>
        <v>#N/A</v>
      </c>
      <c r="F257" s="50" t="e">
        <f>VLOOKUP(B257,aa!B:J,9,0)</f>
        <v>#N/A</v>
      </c>
      <c r="G257" s="50" t="e">
        <f>VLOOKUP(B257,aa!B:L,11,0)</f>
        <v>#N/A</v>
      </c>
      <c r="H257" s="50" t="e">
        <f>VLOOKUP(B257,aa!B:O,14,0)</f>
        <v>#N/A</v>
      </c>
      <c r="I257" s="50" t="e">
        <f>VLOOKUP(B257,aa!B:R,17,0)</f>
        <v>#N/A</v>
      </c>
      <c r="K257" s="50" t="s">
        <v>848</v>
      </c>
      <c r="L257" s="50">
        <v>349244</v>
      </c>
      <c r="M257" s="50">
        <v>412108</v>
      </c>
      <c r="N257" s="50">
        <v>0</v>
      </c>
      <c r="O257" s="50">
        <v>0</v>
      </c>
      <c r="Q257" s="50">
        <v>0</v>
      </c>
      <c r="R257" s="50">
        <v>0</v>
      </c>
      <c r="T257" s="50">
        <v>349244</v>
      </c>
      <c r="U257" s="50">
        <v>317</v>
      </c>
      <c r="V257" s="50" t="s">
        <v>17521</v>
      </c>
      <c r="W257" s="50" t="s">
        <v>102</v>
      </c>
      <c r="X257" s="50" t="s">
        <v>103</v>
      </c>
      <c r="Y257" s="50" t="s">
        <v>155</v>
      </c>
      <c r="AA257" s="50" t="s">
        <v>411</v>
      </c>
      <c r="AB257" s="50" t="s">
        <v>17522</v>
      </c>
      <c r="AC257" s="50" t="s">
        <v>12480</v>
      </c>
      <c r="AD257" s="50" t="s">
        <v>17522</v>
      </c>
      <c r="AE257" s="50" t="s">
        <v>12289</v>
      </c>
      <c r="AF257" s="50" t="s">
        <v>17522</v>
      </c>
      <c r="AG257" s="50" t="s">
        <v>6895</v>
      </c>
      <c r="AH257" s="50" t="s">
        <v>17522</v>
      </c>
      <c r="AI257" s="50" t="s">
        <v>102</v>
      </c>
      <c r="AJ257" s="50" t="s">
        <v>411</v>
      </c>
      <c r="AK257" s="50" t="s">
        <v>14040</v>
      </c>
      <c r="AL257" s="50" t="s">
        <v>17523</v>
      </c>
      <c r="AM257" s="50" t="s">
        <v>17524</v>
      </c>
      <c r="AN257" s="50" t="s">
        <v>17525</v>
      </c>
      <c r="AO257" s="50" t="s">
        <v>17526</v>
      </c>
      <c r="AP257" s="50" t="s">
        <v>17526</v>
      </c>
      <c r="AU257" s="50" t="s">
        <v>102</v>
      </c>
      <c r="AW257" s="50" t="s">
        <v>102</v>
      </c>
      <c r="AX257" s="50" t="s">
        <v>119</v>
      </c>
      <c r="BA257" s="50" t="s">
        <v>250</v>
      </c>
      <c r="BB257" s="50" t="s">
        <v>120</v>
      </c>
      <c r="BC257" s="50" t="s">
        <v>1552</v>
      </c>
      <c r="BD257" s="50" t="s">
        <v>410</v>
      </c>
      <c r="BE257" s="50" t="s">
        <v>212</v>
      </c>
      <c r="BF257" s="50" t="s">
        <v>410</v>
      </c>
      <c r="BG257" s="50" t="s">
        <v>124</v>
      </c>
      <c r="BH257" s="50" t="s">
        <v>12023</v>
      </c>
      <c r="BI257" s="50" t="s">
        <v>11889</v>
      </c>
      <c r="BJ257" s="50" t="s">
        <v>127</v>
      </c>
      <c r="BK257" s="50" t="s">
        <v>17527</v>
      </c>
      <c r="BL257" s="50" t="s">
        <v>17528</v>
      </c>
      <c r="BM257" s="50" t="s">
        <v>17529</v>
      </c>
      <c r="BN257" s="50" t="s">
        <v>14000</v>
      </c>
      <c r="BO257" s="50" t="s">
        <v>4053</v>
      </c>
      <c r="BP257" s="50" t="s">
        <v>132</v>
      </c>
      <c r="BQ257" s="50" t="s">
        <v>4054</v>
      </c>
      <c r="BR257" s="50" t="s">
        <v>4055</v>
      </c>
      <c r="BS257" s="50" t="s">
        <v>4056</v>
      </c>
      <c r="BU257" s="50" t="s">
        <v>17530</v>
      </c>
      <c r="BV257" s="50" t="s">
        <v>17531</v>
      </c>
      <c r="BX257" s="50" t="s">
        <v>17532</v>
      </c>
      <c r="BY257" s="50" t="s">
        <v>17533</v>
      </c>
      <c r="BZ257" s="50" t="s">
        <v>17534</v>
      </c>
      <c r="CA257" s="50" t="s">
        <v>17535</v>
      </c>
      <c r="CB257" s="50" t="s">
        <v>17536</v>
      </c>
      <c r="CC257" s="50" t="s">
        <v>17537</v>
      </c>
      <c r="CD257" s="50" t="s">
        <v>17535</v>
      </c>
      <c r="CE257" s="50" t="s">
        <v>17536</v>
      </c>
      <c r="CF257" s="50" t="s">
        <v>17537</v>
      </c>
      <c r="CG257" s="50" t="s">
        <v>3841</v>
      </c>
      <c r="CH257" s="50" t="s">
        <v>17538</v>
      </c>
      <c r="CJ257" s="50" t="s">
        <v>17539</v>
      </c>
      <c r="CK257" s="50" t="s">
        <v>17540</v>
      </c>
      <c r="CL257" s="50" t="s">
        <v>1552</v>
      </c>
      <c r="CM257" s="50" t="s">
        <v>410</v>
      </c>
      <c r="CN257" s="50" t="s">
        <v>17539</v>
      </c>
      <c r="CP257" s="50" t="s">
        <v>17541</v>
      </c>
      <c r="CQ257" s="50" t="s">
        <v>17541</v>
      </c>
      <c r="CR257" s="50" t="s">
        <v>26047</v>
      </c>
    </row>
    <row r="258" spans="1:96">
      <c r="A258" s="50" t="s">
        <v>93</v>
      </c>
      <c r="B258" s="50">
        <v>5044289</v>
      </c>
      <c r="C258" s="50" t="s">
        <v>12423</v>
      </c>
      <c r="D258" s="50" t="s">
        <v>20390</v>
      </c>
      <c r="E258" s="50" t="e">
        <f>VLOOKUP(B258,aa!B:F,5,0)</f>
        <v>#N/A</v>
      </c>
      <c r="F258" s="50" t="e">
        <f>VLOOKUP(B258,aa!B:J,9,0)</f>
        <v>#N/A</v>
      </c>
      <c r="G258" s="50" t="e">
        <f>VLOOKUP(B258,aa!B:L,11,0)</f>
        <v>#N/A</v>
      </c>
      <c r="H258" s="50" t="e">
        <f>VLOOKUP(B258,aa!B:O,14,0)</f>
        <v>#N/A</v>
      </c>
      <c r="I258" s="50" t="e">
        <f>VLOOKUP(B258,aa!B:R,17,0)</f>
        <v>#N/A</v>
      </c>
      <c r="K258" s="50" t="s">
        <v>848</v>
      </c>
      <c r="L258" s="50">
        <v>176275</v>
      </c>
      <c r="M258" s="50">
        <v>208005</v>
      </c>
      <c r="N258" s="50">
        <v>0</v>
      </c>
      <c r="O258" s="50">
        <v>0</v>
      </c>
      <c r="Q258" s="50">
        <v>0</v>
      </c>
      <c r="R258" s="50">
        <v>0</v>
      </c>
      <c r="T258" s="50">
        <v>176275</v>
      </c>
      <c r="U258" s="50">
        <v>160</v>
      </c>
      <c r="V258" s="50" t="s">
        <v>17521</v>
      </c>
      <c r="W258" s="50" t="s">
        <v>102</v>
      </c>
      <c r="X258" s="50" t="s">
        <v>103</v>
      </c>
      <c r="Y258" s="50" t="s">
        <v>155</v>
      </c>
      <c r="AA258" s="50" t="s">
        <v>411</v>
      </c>
      <c r="AB258" s="50" t="s">
        <v>20391</v>
      </c>
      <c r="AC258" s="50" t="s">
        <v>12480</v>
      </c>
      <c r="AD258" s="50" t="s">
        <v>20391</v>
      </c>
      <c r="AE258" s="50" t="s">
        <v>12041</v>
      </c>
      <c r="AF258" s="50" t="s">
        <v>20391</v>
      </c>
      <c r="AG258" s="50" t="s">
        <v>6895</v>
      </c>
      <c r="AH258" s="50" t="s">
        <v>20391</v>
      </c>
      <c r="AI258" s="50" t="s">
        <v>102</v>
      </c>
      <c r="AJ258" s="50" t="s">
        <v>411</v>
      </c>
      <c r="AK258" s="50" t="s">
        <v>14040</v>
      </c>
      <c r="AL258" s="50" t="s">
        <v>20392</v>
      </c>
      <c r="AM258" s="50" t="s">
        <v>20393</v>
      </c>
      <c r="AN258" s="50" t="s">
        <v>20394</v>
      </c>
      <c r="AO258" s="50" t="s">
        <v>17526</v>
      </c>
      <c r="AP258" s="50" t="s">
        <v>17526</v>
      </c>
      <c r="AU258" s="50" t="s">
        <v>102</v>
      </c>
      <c r="AW258" s="50" t="s">
        <v>102</v>
      </c>
      <c r="AX258" s="50" t="s">
        <v>119</v>
      </c>
      <c r="BA258" s="50" t="s">
        <v>250</v>
      </c>
      <c r="BB258" s="50" t="s">
        <v>120</v>
      </c>
      <c r="BC258" s="50" t="s">
        <v>4049</v>
      </c>
      <c r="BD258" s="50" t="s">
        <v>410</v>
      </c>
      <c r="BE258" s="50" t="s">
        <v>212</v>
      </c>
      <c r="BF258" s="50" t="s">
        <v>410</v>
      </c>
      <c r="BG258" s="50" t="s">
        <v>124</v>
      </c>
      <c r="BH258" s="50" t="s">
        <v>12023</v>
      </c>
      <c r="BI258" s="50" t="s">
        <v>11889</v>
      </c>
      <c r="BJ258" s="50" t="s">
        <v>127</v>
      </c>
      <c r="BK258" s="50" t="s">
        <v>20395</v>
      </c>
      <c r="BL258" s="50" t="s">
        <v>20396</v>
      </c>
      <c r="BM258" s="50" t="s">
        <v>20397</v>
      </c>
      <c r="BN258" s="50" t="s">
        <v>14000</v>
      </c>
      <c r="BO258" s="50" t="s">
        <v>4053</v>
      </c>
      <c r="BP258" s="50" t="s">
        <v>132</v>
      </c>
      <c r="BQ258" s="50" t="s">
        <v>4054</v>
      </c>
      <c r="BR258" s="50" t="s">
        <v>4055</v>
      </c>
      <c r="BS258" s="50" t="s">
        <v>8846</v>
      </c>
      <c r="BU258" s="50" t="s">
        <v>20398</v>
      </c>
      <c r="BV258" s="50" t="s">
        <v>20399</v>
      </c>
      <c r="BW258" s="50" t="s">
        <v>354</v>
      </c>
      <c r="BX258" s="50" t="s">
        <v>20400</v>
      </c>
      <c r="BY258" s="50" t="s">
        <v>20401</v>
      </c>
      <c r="BZ258" s="50" t="s">
        <v>20400</v>
      </c>
      <c r="CA258" s="50" t="s">
        <v>20402</v>
      </c>
      <c r="CB258" s="50" t="s">
        <v>20403</v>
      </c>
      <c r="CC258" s="50" t="s">
        <v>20404</v>
      </c>
      <c r="CD258" s="50" t="s">
        <v>20402</v>
      </c>
      <c r="CE258" s="50" t="s">
        <v>20403</v>
      </c>
      <c r="CF258" s="50" t="s">
        <v>20404</v>
      </c>
      <c r="CG258" s="50" t="s">
        <v>4062</v>
      </c>
      <c r="CH258" s="50" t="s">
        <v>4049</v>
      </c>
      <c r="CJ258" s="50" t="s">
        <v>20405</v>
      </c>
      <c r="CK258" s="50" t="s">
        <v>4049</v>
      </c>
      <c r="CL258" s="50" t="s">
        <v>20406</v>
      </c>
      <c r="CM258" s="50" t="s">
        <v>20407</v>
      </c>
      <c r="CN258" s="50" t="s">
        <v>20405</v>
      </c>
      <c r="CP258" s="50" t="s">
        <v>4049</v>
      </c>
      <c r="CQ258" s="50" t="s">
        <v>20408</v>
      </c>
      <c r="CR258" s="50" t="s">
        <v>26047</v>
      </c>
    </row>
    <row r="259" spans="1:96">
      <c r="A259" s="95" t="s">
        <v>149</v>
      </c>
      <c r="B259" s="50">
        <v>3520543</v>
      </c>
      <c r="C259" s="50" t="s">
        <v>985</v>
      </c>
      <c r="D259" s="50" t="s">
        <v>6524</v>
      </c>
      <c r="E259" s="50" t="e">
        <f>VLOOKUP(B259,aa!B:F,5,0)</f>
        <v>#N/A</v>
      </c>
      <c r="F259" s="50" t="e">
        <f>VLOOKUP(B259,aa!B:J,9,0)</f>
        <v>#N/A</v>
      </c>
      <c r="G259" s="50" t="e">
        <f>VLOOKUP(B259,aa!B:L,11,0)</f>
        <v>#N/A</v>
      </c>
      <c r="H259" s="50" t="e">
        <f>VLOOKUP(B259,aa!B:O,14,0)</f>
        <v>#N/A</v>
      </c>
      <c r="I259" s="50" t="e">
        <f>VLOOKUP(B259,aa!B:R,17,0)</f>
        <v>#N/A</v>
      </c>
      <c r="K259" s="50" t="s">
        <v>97</v>
      </c>
      <c r="L259" s="50">
        <v>813894</v>
      </c>
      <c r="M259" s="50">
        <v>813894</v>
      </c>
      <c r="N259" s="50">
        <v>813894</v>
      </c>
      <c r="O259" s="50">
        <v>1011</v>
      </c>
      <c r="P259" s="50" t="s">
        <v>2141</v>
      </c>
      <c r="Q259" s="50">
        <v>0</v>
      </c>
      <c r="R259" s="50">
        <v>0</v>
      </c>
      <c r="T259" s="50">
        <v>0</v>
      </c>
      <c r="U259" s="50">
        <v>0</v>
      </c>
      <c r="W259" s="50" t="s">
        <v>102</v>
      </c>
      <c r="X259" s="50" t="s">
        <v>103</v>
      </c>
      <c r="Y259" s="50" t="s">
        <v>104</v>
      </c>
      <c r="AA259" s="50" t="s">
        <v>11976</v>
      </c>
      <c r="AB259" s="50" t="s">
        <v>16383</v>
      </c>
      <c r="AC259" s="50" t="s">
        <v>5651</v>
      </c>
      <c r="AD259" s="50" t="s">
        <v>16383</v>
      </c>
      <c r="AE259" s="50" t="s">
        <v>109</v>
      </c>
      <c r="AF259" s="50" t="s">
        <v>102</v>
      </c>
      <c r="AG259" s="50" t="s">
        <v>109</v>
      </c>
      <c r="AH259" s="50" t="s">
        <v>102</v>
      </c>
      <c r="AI259" s="50" t="s">
        <v>102</v>
      </c>
      <c r="AJ259" s="50" t="s">
        <v>12838</v>
      </c>
      <c r="AK259" s="50" t="s">
        <v>12041</v>
      </c>
      <c r="AL259" s="50" t="s">
        <v>16384</v>
      </c>
      <c r="AM259" s="50" t="s">
        <v>16385</v>
      </c>
      <c r="AN259" s="50" t="s">
        <v>16386</v>
      </c>
      <c r="AO259" s="50" t="s">
        <v>16387</v>
      </c>
      <c r="AP259" s="50" t="s">
        <v>16387</v>
      </c>
      <c r="AU259" s="50" t="s">
        <v>318</v>
      </c>
      <c r="AV259" s="50" t="s">
        <v>118</v>
      </c>
      <c r="AW259" s="50" t="s">
        <v>102</v>
      </c>
      <c r="AX259" s="50" t="s">
        <v>119</v>
      </c>
      <c r="BB259" s="50" t="s">
        <v>120</v>
      </c>
      <c r="BC259" s="50" t="s">
        <v>2127</v>
      </c>
      <c r="BD259" s="50" t="s">
        <v>621</v>
      </c>
      <c r="BE259" s="50" t="s">
        <v>622</v>
      </c>
      <c r="BF259" s="50" t="s">
        <v>976</v>
      </c>
      <c r="BG259" s="50" t="s">
        <v>124</v>
      </c>
      <c r="BH259" s="50" t="s">
        <v>13680</v>
      </c>
      <c r="BI259" s="50" t="s">
        <v>11889</v>
      </c>
      <c r="BJ259" s="50" t="s">
        <v>127</v>
      </c>
      <c r="BK259" s="50" t="s">
        <v>16388</v>
      </c>
      <c r="BL259" s="50" t="s">
        <v>6532</v>
      </c>
      <c r="BM259" s="50" t="s">
        <v>16389</v>
      </c>
      <c r="BN259" s="50" t="s">
        <v>16382</v>
      </c>
      <c r="BO259" s="50" t="s">
        <v>981</v>
      </c>
      <c r="BP259" s="50" t="s">
        <v>505</v>
      </c>
      <c r="BQ259" s="50" t="s">
        <v>982</v>
      </c>
      <c r="BR259" s="50" t="s">
        <v>983</v>
      </c>
      <c r="BS259" s="50" t="s">
        <v>984</v>
      </c>
      <c r="BU259" s="50" t="s">
        <v>16390</v>
      </c>
      <c r="BV259" s="50" t="s">
        <v>6535</v>
      </c>
      <c r="BW259" s="50" t="s">
        <v>138</v>
      </c>
      <c r="BX259" s="50" t="s">
        <v>6536</v>
      </c>
      <c r="BY259" s="50" t="s">
        <v>6537</v>
      </c>
      <c r="BZ259" s="50" t="s">
        <v>6538</v>
      </c>
      <c r="CA259" s="50" t="s">
        <v>16391</v>
      </c>
      <c r="CB259" s="50" t="s">
        <v>6536</v>
      </c>
      <c r="CC259" s="50" t="s">
        <v>6537</v>
      </c>
      <c r="CD259" s="50" t="s">
        <v>16392</v>
      </c>
      <c r="CE259" s="50" t="s">
        <v>16393</v>
      </c>
      <c r="CF259" s="50" t="s">
        <v>16394</v>
      </c>
      <c r="CG259" s="50" t="s">
        <v>102</v>
      </c>
      <c r="CH259" s="50" t="s">
        <v>16395</v>
      </c>
      <c r="CJ259" s="50" t="s">
        <v>6540</v>
      </c>
      <c r="CL259" s="50" t="s">
        <v>2127</v>
      </c>
      <c r="CM259" s="50" t="s">
        <v>621</v>
      </c>
      <c r="CN259" s="50" t="s">
        <v>6540</v>
      </c>
      <c r="CP259" s="50" t="s">
        <v>6539</v>
      </c>
      <c r="CQ259" s="50" t="s">
        <v>6539</v>
      </c>
      <c r="CR259" s="50" t="s">
        <v>26043</v>
      </c>
    </row>
    <row r="260" spans="1:96">
      <c r="A260" s="95" t="s">
        <v>149</v>
      </c>
      <c r="B260" s="50">
        <v>34097</v>
      </c>
      <c r="C260" s="50" t="s">
        <v>11882</v>
      </c>
      <c r="D260" s="50" t="s">
        <v>5938</v>
      </c>
      <c r="E260" s="50" t="str">
        <f>VLOOKUP(B260,aa!B:F,5,0)</f>
        <v>Ei Mindspark</v>
      </c>
      <c r="F260" s="50">
        <f>VLOOKUP(B260,aa!B:J,9,0)</f>
        <v>508297</v>
      </c>
      <c r="G260" s="50">
        <f>VLOOKUP(B260,aa!B:L,11,0)</f>
        <v>0</v>
      </c>
      <c r="H260" s="50">
        <f>VLOOKUP(B260,aa!B:O,14,0)</f>
        <v>0</v>
      </c>
      <c r="I260" s="50">
        <f>VLOOKUP(B260,aa!B:R,17,0)</f>
        <v>508297</v>
      </c>
      <c r="K260" s="50" t="s">
        <v>848</v>
      </c>
      <c r="L260" s="50">
        <v>561152</v>
      </c>
      <c r="M260" s="50">
        <v>662159</v>
      </c>
      <c r="N260" s="50">
        <v>0</v>
      </c>
      <c r="O260" s="50">
        <v>0</v>
      </c>
      <c r="Q260" s="50">
        <v>0</v>
      </c>
      <c r="R260" s="50">
        <v>0</v>
      </c>
      <c r="T260" s="50">
        <v>561152</v>
      </c>
      <c r="U260" s="50">
        <v>234</v>
      </c>
      <c r="V260" s="50" t="s">
        <v>14168</v>
      </c>
      <c r="W260" s="50" t="s">
        <v>102</v>
      </c>
      <c r="X260" s="50" t="s">
        <v>103</v>
      </c>
      <c r="Y260" s="50" t="s">
        <v>155</v>
      </c>
      <c r="AA260" s="50" t="s">
        <v>13680</v>
      </c>
      <c r="AB260" s="50" t="s">
        <v>15919</v>
      </c>
      <c r="AC260" s="50" t="s">
        <v>11976</v>
      </c>
      <c r="AD260" s="50" t="s">
        <v>15919</v>
      </c>
      <c r="AE260" s="50" t="s">
        <v>5651</v>
      </c>
      <c r="AF260" s="50" t="s">
        <v>15919</v>
      </c>
      <c r="AG260" s="50" t="s">
        <v>12084</v>
      </c>
      <c r="AH260" s="50" t="s">
        <v>15919</v>
      </c>
      <c r="AI260" s="50" t="s">
        <v>15920</v>
      </c>
      <c r="AJ260" s="50" t="s">
        <v>13496</v>
      </c>
      <c r="AK260" s="50" t="s">
        <v>6895</v>
      </c>
      <c r="AL260" s="50" t="s">
        <v>15921</v>
      </c>
      <c r="AM260" s="50" t="s">
        <v>15922</v>
      </c>
      <c r="AN260" s="50" t="s">
        <v>15923</v>
      </c>
      <c r="AO260" s="50" t="s">
        <v>14174</v>
      </c>
      <c r="AP260" s="50" t="s">
        <v>14175</v>
      </c>
      <c r="AT260" s="50" t="s">
        <v>169</v>
      </c>
      <c r="AU260" s="50" t="s">
        <v>102</v>
      </c>
      <c r="AW260" s="50" t="s">
        <v>102</v>
      </c>
      <c r="AX260" s="50" t="s">
        <v>119</v>
      </c>
      <c r="BA260" s="50" t="s">
        <v>250</v>
      </c>
      <c r="BB260" s="50" t="s">
        <v>120</v>
      </c>
      <c r="BC260" s="50" t="s">
        <v>2840</v>
      </c>
      <c r="BD260" s="50" t="s">
        <v>449</v>
      </c>
      <c r="BE260" s="50" t="s">
        <v>122</v>
      </c>
      <c r="BF260" s="50" t="s">
        <v>253</v>
      </c>
      <c r="BG260" s="50" t="s">
        <v>124</v>
      </c>
      <c r="BH260" s="50" t="s">
        <v>14000</v>
      </c>
      <c r="BI260" s="50" t="s">
        <v>11889</v>
      </c>
      <c r="BJ260" s="50" t="s">
        <v>127</v>
      </c>
      <c r="BK260" s="50" t="s">
        <v>15924</v>
      </c>
      <c r="BL260" s="50" t="s">
        <v>5946</v>
      </c>
      <c r="BM260" s="50" t="s">
        <v>15925</v>
      </c>
      <c r="BN260" s="50" t="s">
        <v>13036</v>
      </c>
      <c r="BO260" s="50" t="s">
        <v>3267</v>
      </c>
      <c r="BP260" s="50" t="s">
        <v>350</v>
      </c>
      <c r="BQ260" s="50" t="s">
        <v>3268</v>
      </c>
      <c r="BR260" s="50" t="s">
        <v>3269</v>
      </c>
      <c r="BS260" s="50" t="s">
        <v>135</v>
      </c>
      <c r="BU260" s="50" t="s">
        <v>15926</v>
      </c>
      <c r="BV260" s="50" t="s">
        <v>14179</v>
      </c>
      <c r="BW260" s="50" t="s">
        <v>569</v>
      </c>
      <c r="BX260" s="50" t="s">
        <v>14180</v>
      </c>
      <c r="BY260" s="50" t="s">
        <v>3633</v>
      </c>
      <c r="BZ260" s="50" t="s">
        <v>5949</v>
      </c>
      <c r="CA260" s="50" t="s">
        <v>14179</v>
      </c>
      <c r="CB260" s="50" t="s">
        <v>14180</v>
      </c>
      <c r="CC260" s="50" t="s">
        <v>3633</v>
      </c>
      <c r="CD260" s="50" t="s">
        <v>14179</v>
      </c>
      <c r="CE260" s="50" t="s">
        <v>14180</v>
      </c>
      <c r="CF260" s="50" t="s">
        <v>3633</v>
      </c>
      <c r="CG260" s="50" t="s">
        <v>102</v>
      </c>
      <c r="CH260" s="50" t="s">
        <v>15927</v>
      </c>
      <c r="CJ260" s="50" t="s">
        <v>5951</v>
      </c>
      <c r="CL260" s="50" t="s">
        <v>2840</v>
      </c>
      <c r="CM260" s="50" t="s">
        <v>449</v>
      </c>
      <c r="CN260" s="50" t="s">
        <v>5951</v>
      </c>
      <c r="CO260" s="50" t="s">
        <v>3637</v>
      </c>
      <c r="CP260" s="50" t="s">
        <v>5950</v>
      </c>
      <c r="CQ260" s="50" t="s">
        <v>5950</v>
      </c>
    </row>
    <row r="261" spans="1:96">
      <c r="A261" s="95" t="s">
        <v>149</v>
      </c>
      <c r="B261" s="50">
        <v>1204891</v>
      </c>
      <c r="C261" s="50" t="s">
        <v>632</v>
      </c>
      <c r="D261" s="50" t="s">
        <v>605</v>
      </c>
      <c r="E261" s="50" t="str">
        <f>VLOOKUP(B261,aa!B:F,5,0)</f>
        <v>Ei ASSET, Ei Mindspark</v>
      </c>
      <c r="F261" s="50">
        <f>VLOOKUP(B261,aa!B:J,9,0)</f>
        <v>2328416</v>
      </c>
      <c r="G261" s="50">
        <f>VLOOKUP(B261,aa!B:L,11,0)</f>
        <v>1550411</v>
      </c>
      <c r="H261" s="50">
        <f>VLOOKUP(B261,aa!B:O,14,0)</f>
        <v>0</v>
      </c>
      <c r="I261" s="50">
        <f>VLOOKUP(B261,aa!B:R,17,0)</f>
        <v>778005</v>
      </c>
      <c r="K261" s="50" t="s">
        <v>193</v>
      </c>
      <c r="L261" s="50">
        <v>1939351</v>
      </c>
      <c r="M261" s="50">
        <v>2049214</v>
      </c>
      <c r="N261" s="50">
        <v>1329000</v>
      </c>
      <c r="O261" s="50">
        <v>2215</v>
      </c>
      <c r="P261" s="50" t="s">
        <v>310</v>
      </c>
      <c r="Q261" s="50">
        <v>0</v>
      </c>
      <c r="R261" s="50">
        <v>0</v>
      </c>
      <c r="T261" s="50">
        <v>610351</v>
      </c>
      <c r="U261" s="50">
        <v>277</v>
      </c>
      <c r="V261" s="50" t="s">
        <v>608</v>
      </c>
      <c r="W261" s="50" t="s">
        <v>102</v>
      </c>
      <c r="X261" s="50" t="s">
        <v>103</v>
      </c>
      <c r="Y261" s="50" t="s">
        <v>104</v>
      </c>
      <c r="AA261" s="50" t="s">
        <v>11932</v>
      </c>
      <c r="AB261" s="50" t="s">
        <v>12267</v>
      </c>
      <c r="AC261" s="50" t="s">
        <v>1427</v>
      </c>
      <c r="AD261" s="50" t="s">
        <v>12268</v>
      </c>
      <c r="AE261" s="50" t="s">
        <v>109</v>
      </c>
      <c r="AF261" s="50" t="s">
        <v>102</v>
      </c>
      <c r="AG261" s="50" t="s">
        <v>109</v>
      </c>
      <c r="AH261" s="50" t="s">
        <v>102</v>
      </c>
      <c r="AI261" s="50" t="s">
        <v>12269</v>
      </c>
      <c r="AJ261" s="50" t="s">
        <v>12270</v>
      </c>
      <c r="AK261" s="50" t="s">
        <v>12271</v>
      </c>
      <c r="AL261" s="50" t="s">
        <v>12272</v>
      </c>
      <c r="AM261" s="50" t="s">
        <v>12273</v>
      </c>
      <c r="AN261" s="50" t="s">
        <v>12274</v>
      </c>
      <c r="AO261" s="50" t="s">
        <v>619</v>
      </c>
      <c r="AP261" s="50" t="s">
        <v>619</v>
      </c>
      <c r="AU261" s="50" t="s">
        <v>247</v>
      </c>
      <c r="AV261" s="50" t="s">
        <v>118</v>
      </c>
      <c r="AW261" s="50" t="s">
        <v>102</v>
      </c>
      <c r="AX261" s="50" t="s">
        <v>119</v>
      </c>
      <c r="BA261" s="50" t="s">
        <v>250</v>
      </c>
      <c r="BB261" s="50" t="s">
        <v>120</v>
      </c>
      <c r="BC261" s="50" t="s">
        <v>620</v>
      </c>
      <c r="BD261" s="50" t="s">
        <v>621</v>
      </c>
      <c r="BE261" s="50" t="s">
        <v>622</v>
      </c>
      <c r="BF261" s="50" t="s">
        <v>623</v>
      </c>
      <c r="BG261" s="50" t="s">
        <v>124</v>
      </c>
      <c r="BH261" s="50" t="s">
        <v>12275</v>
      </c>
      <c r="BI261" s="50" t="s">
        <v>12276</v>
      </c>
      <c r="BJ261" s="50" t="s">
        <v>127</v>
      </c>
      <c r="BK261" s="50" t="s">
        <v>12277</v>
      </c>
      <c r="BL261" s="50" t="s">
        <v>627</v>
      </c>
      <c r="BM261" s="50" t="s">
        <v>12278</v>
      </c>
      <c r="BN261" s="50" t="s">
        <v>12266</v>
      </c>
      <c r="BO261" s="50" t="s">
        <v>1339</v>
      </c>
      <c r="BP261" s="50" t="s">
        <v>350</v>
      </c>
      <c r="BQ261" s="50" t="s">
        <v>1340</v>
      </c>
      <c r="BR261" s="50" t="s">
        <v>1341</v>
      </c>
      <c r="BS261" s="50" t="s">
        <v>632</v>
      </c>
      <c r="BU261" s="50" t="s">
        <v>12279</v>
      </c>
      <c r="BV261" s="50" t="s">
        <v>12280</v>
      </c>
      <c r="BW261" s="50" t="s">
        <v>138</v>
      </c>
      <c r="BX261" s="50" t="s">
        <v>12281</v>
      </c>
      <c r="BY261" s="50" t="s">
        <v>12282</v>
      </c>
      <c r="BZ261" s="50" t="s">
        <v>637</v>
      </c>
      <c r="CA261" s="50" t="s">
        <v>12283</v>
      </c>
      <c r="CB261" s="50" t="s">
        <v>12281</v>
      </c>
      <c r="CC261" s="50" t="s">
        <v>12284</v>
      </c>
      <c r="CD261" s="50" t="s">
        <v>12285</v>
      </c>
      <c r="CE261" s="50" t="s">
        <v>12286</v>
      </c>
      <c r="CF261" s="50" t="s">
        <v>12284</v>
      </c>
      <c r="CG261" s="50" t="s">
        <v>102</v>
      </c>
      <c r="CH261" s="50" t="s">
        <v>639</v>
      </c>
      <c r="CJ261" s="50" t="s">
        <v>640</v>
      </c>
      <c r="CL261" s="50" t="s">
        <v>620</v>
      </c>
      <c r="CM261" s="50" t="s">
        <v>621</v>
      </c>
      <c r="CN261" s="50" t="s">
        <v>640</v>
      </c>
      <c r="CO261" s="50" t="s">
        <v>148</v>
      </c>
      <c r="CP261" s="50" t="s">
        <v>639</v>
      </c>
      <c r="CQ261" s="50" t="s">
        <v>639</v>
      </c>
    </row>
    <row r="262" spans="1:96">
      <c r="A262" s="50" t="s">
        <v>26356</v>
      </c>
      <c r="B262" s="50">
        <v>5018164</v>
      </c>
      <c r="C262" s="50" t="s">
        <v>11995</v>
      </c>
      <c r="D262" s="50" t="s">
        <v>10552</v>
      </c>
      <c r="E262" s="50" t="str">
        <f>VLOOKUP(B262,aa!B:F,5,0)</f>
        <v>Ei Mindspark</v>
      </c>
      <c r="F262" s="50">
        <f>VLOOKUP(B262,aa!B:J,9,0)</f>
        <v>286260</v>
      </c>
      <c r="G262" s="50">
        <f>VLOOKUP(B262,aa!B:L,11,0)</f>
        <v>0</v>
      </c>
      <c r="H262" s="50">
        <f>VLOOKUP(B262,aa!B:O,14,0)</f>
        <v>0</v>
      </c>
      <c r="I262" s="50">
        <f>VLOOKUP(B262,aa!B:R,17,0)</f>
        <v>286260</v>
      </c>
      <c r="K262" s="50" t="s">
        <v>193</v>
      </c>
      <c r="L262" s="50">
        <v>579460</v>
      </c>
      <c r="M262" s="50">
        <v>656493</v>
      </c>
      <c r="N262" s="50">
        <v>151500</v>
      </c>
      <c r="O262" s="50">
        <v>202</v>
      </c>
      <c r="P262" s="50" t="s">
        <v>101</v>
      </c>
      <c r="Q262" s="50">
        <v>0</v>
      </c>
      <c r="R262" s="50">
        <v>0</v>
      </c>
      <c r="T262" s="50">
        <v>427960</v>
      </c>
      <c r="U262" s="50">
        <v>202</v>
      </c>
      <c r="V262" s="50" t="s">
        <v>2166</v>
      </c>
      <c r="W262" s="50" t="s">
        <v>102</v>
      </c>
      <c r="X262" s="50" t="s">
        <v>103</v>
      </c>
      <c r="Y262" s="50" t="s">
        <v>5317</v>
      </c>
      <c r="AA262" s="50" t="s">
        <v>8708</v>
      </c>
      <c r="AB262" s="50" t="s">
        <v>19457</v>
      </c>
      <c r="AC262" s="50" t="s">
        <v>19458</v>
      </c>
      <c r="AD262" s="50" t="s">
        <v>19459</v>
      </c>
      <c r="AE262" s="50" t="s">
        <v>13263</v>
      </c>
      <c r="AF262" s="50" t="s">
        <v>19460</v>
      </c>
      <c r="AG262" s="50" t="s">
        <v>109</v>
      </c>
      <c r="AH262" s="50" t="s">
        <v>102</v>
      </c>
      <c r="AI262" s="50" t="s">
        <v>102</v>
      </c>
      <c r="AL262" s="50" t="s">
        <v>19461</v>
      </c>
      <c r="AM262" s="50" t="s">
        <v>102</v>
      </c>
      <c r="AN262" s="50" t="s">
        <v>19461</v>
      </c>
      <c r="AO262" s="50" t="s">
        <v>19462</v>
      </c>
      <c r="AP262" s="50" t="s">
        <v>19462</v>
      </c>
      <c r="AU262" s="50" t="s">
        <v>247</v>
      </c>
      <c r="AV262" s="50" t="s">
        <v>118</v>
      </c>
      <c r="AW262" s="50" t="s">
        <v>102</v>
      </c>
      <c r="AX262" s="50" t="s">
        <v>119</v>
      </c>
      <c r="BA262" s="50" t="s">
        <v>250</v>
      </c>
      <c r="BB262" s="50" t="s">
        <v>120</v>
      </c>
      <c r="BC262" s="50" t="s">
        <v>6389</v>
      </c>
      <c r="BD262" s="50" t="s">
        <v>6390</v>
      </c>
      <c r="BE262" s="50" t="s">
        <v>212</v>
      </c>
      <c r="BF262" s="50" t="s">
        <v>286</v>
      </c>
      <c r="BG262" s="50" t="s">
        <v>124</v>
      </c>
      <c r="BH262" s="50" t="s">
        <v>12636</v>
      </c>
      <c r="BI262" s="50" t="s">
        <v>12637</v>
      </c>
      <c r="BJ262" s="50" t="s">
        <v>127</v>
      </c>
      <c r="BK262" s="50" t="s">
        <v>19463</v>
      </c>
      <c r="BL262" s="50" t="s">
        <v>10563</v>
      </c>
      <c r="BM262" s="50" t="s">
        <v>19464</v>
      </c>
      <c r="BN262" s="50" t="s">
        <v>19456</v>
      </c>
      <c r="BO262" s="50" t="s">
        <v>12008</v>
      </c>
      <c r="BP262" s="50" t="s">
        <v>132</v>
      </c>
      <c r="BQ262" s="50" t="s">
        <v>12009</v>
      </c>
      <c r="BR262" s="50" t="s">
        <v>12010</v>
      </c>
      <c r="BS262" s="50" t="s">
        <v>737</v>
      </c>
      <c r="BU262" s="50" t="s">
        <v>19465</v>
      </c>
      <c r="BV262" s="50" t="s">
        <v>10566</v>
      </c>
      <c r="BW262" s="50" t="s">
        <v>138</v>
      </c>
      <c r="BX262" s="50" t="s">
        <v>10567</v>
      </c>
      <c r="BY262" s="50" t="s">
        <v>19466</v>
      </c>
      <c r="BZ262" s="50" t="s">
        <v>10567</v>
      </c>
      <c r="CA262" s="50" t="s">
        <v>10566</v>
      </c>
      <c r="CB262" s="50" t="s">
        <v>10567</v>
      </c>
      <c r="CC262" s="50" t="s">
        <v>19466</v>
      </c>
      <c r="CD262" s="50" t="s">
        <v>10566</v>
      </c>
      <c r="CE262" s="50" t="s">
        <v>10567</v>
      </c>
      <c r="CF262" s="50" t="s">
        <v>19466</v>
      </c>
      <c r="CG262" s="50" t="s">
        <v>7248</v>
      </c>
      <c r="CH262" s="50" t="s">
        <v>19467</v>
      </c>
      <c r="CJ262" s="50" t="s">
        <v>102</v>
      </c>
      <c r="CK262" s="50" t="s">
        <v>19468</v>
      </c>
      <c r="CL262" s="50" t="s">
        <v>6389</v>
      </c>
      <c r="CM262" s="50" t="s">
        <v>6390</v>
      </c>
      <c r="CN262" s="50" t="s">
        <v>102</v>
      </c>
      <c r="CP262" s="50" t="s">
        <v>10569</v>
      </c>
      <c r="CQ262" s="50" t="s">
        <v>10570</v>
      </c>
    </row>
    <row r="263" spans="1:96">
      <c r="A263" s="95" t="s">
        <v>149</v>
      </c>
      <c r="B263" s="50">
        <v>3303259</v>
      </c>
      <c r="C263" s="50" t="s">
        <v>12507</v>
      </c>
      <c r="D263" s="50" t="s">
        <v>5415</v>
      </c>
      <c r="E263" s="50" t="str">
        <f>VLOOKUP(B263,aa!B:F,5,0)</f>
        <v>Ei ASSET</v>
      </c>
      <c r="F263" s="50">
        <f>VLOOKUP(B263,aa!B:J,9,0)</f>
        <v>123207</v>
      </c>
      <c r="G263" s="50">
        <f>VLOOKUP(B263,aa!B:L,11,0)</f>
        <v>123207</v>
      </c>
      <c r="H263" s="50">
        <f>VLOOKUP(B263,aa!B:O,14,0)</f>
        <v>0</v>
      </c>
      <c r="I263" s="50">
        <f>VLOOKUP(B263,aa!B:R,17,0)</f>
        <v>0</v>
      </c>
      <c r="K263" s="50" t="s">
        <v>97</v>
      </c>
      <c r="L263" s="50">
        <v>124087</v>
      </c>
      <c r="M263" s="50">
        <v>124087</v>
      </c>
      <c r="N263" s="50">
        <v>124087</v>
      </c>
      <c r="O263" s="50">
        <v>141</v>
      </c>
      <c r="P263" s="50" t="s">
        <v>12942</v>
      </c>
      <c r="Q263" s="50">
        <v>0</v>
      </c>
      <c r="R263" s="50">
        <v>0</v>
      </c>
      <c r="T263" s="50">
        <v>0</v>
      </c>
      <c r="U263" s="50">
        <v>0</v>
      </c>
      <c r="W263" s="50" t="s">
        <v>102</v>
      </c>
      <c r="X263" s="50" t="s">
        <v>679</v>
      </c>
      <c r="Y263" s="50" t="s">
        <v>398</v>
      </c>
      <c r="Z263" s="50" t="s">
        <v>12395</v>
      </c>
      <c r="AA263" s="50" t="s">
        <v>15484</v>
      </c>
      <c r="AB263" s="50" t="s">
        <v>15485</v>
      </c>
      <c r="AC263" s="50" t="s">
        <v>15486</v>
      </c>
      <c r="AD263" s="50" t="s">
        <v>15487</v>
      </c>
      <c r="AE263" s="50" t="s">
        <v>15488</v>
      </c>
      <c r="AF263" s="50" t="s">
        <v>15487</v>
      </c>
      <c r="AG263" s="50" t="s">
        <v>109</v>
      </c>
      <c r="AH263" s="50" t="s">
        <v>102</v>
      </c>
      <c r="AI263" s="50" t="s">
        <v>102</v>
      </c>
      <c r="AJ263" s="50" t="s">
        <v>6715</v>
      </c>
      <c r="AK263" s="50" t="s">
        <v>15489</v>
      </c>
      <c r="AL263" s="50" t="s">
        <v>15490</v>
      </c>
      <c r="AM263" s="50" t="s">
        <v>15491</v>
      </c>
      <c r="AN263" s="50" t="s">
        <v>15492</v>
      </c>
      <c r="AO263" s="50" t="s">
        <v>13068</v>
      </c>
      <c r="AP263" s="50" t="s">
        <v>13069</v>
      </c>
      <c r="AT263" s="50" t="s">
        <v>169</v>
      </c>
      <c r="AU263" s="50" t="s">
        <v>117</v>
      </c>
      <c r="AV263" s="50" t="s">
        <v>118</v>
      </c>
      <c r="AW263" s="50" t="s">
        <v>102</v>
      </c>
      <c r="AX263" s="50" t="s">
        <v>119</v>
      </c>
      <c r="BB263" s="50" t="s">
        <v>120</v>
      </c>
      <c r="BC263" s="50" t="s">
        <v>5423</v>
      </c>
      <c r="BD263" s="50" t="s">
        <v>2543</v>
      </c>
      <c r="BE263" s="50" t="s">
        <v>122</v>
      </c>
      <c r="BF263" s="50" t="s">
        <v>557</v>
      </c>
      <c r="BG263" s="50" t="s">
        <v>124</v>
      </c>
      <c r="BH263" s="50" t="s">
        <v>12023</v>
      </c>
      <c r="BI263" s="50" t="s">
        <v>11889</v>
      </c>
      <c r="BJ263" s="50" t="s">
        <v>127</v>
      </c>
      <c r="BK263" s="50" t="s">
        <v>15493</v>
      </c>
      <c r="BL263" s="50" t="s">
        <v>5425</v>
      </c>
      <c r="BM263" s="50" t="s">
        <v>15494</v>
      </c>
      <c r="BN263" s="50" t="s">
        <v>15483</v>
      </c>
      <c r="BO263" s="50" t="s">
        <v>12743</v>
      </c>
      <c r="BP263" s="50" t="s">
        <v>350</v>
      </c>
      <c r="BQ263" s="50" t="s">
        <v>12744</v>
      </c>
      <c r="BR263" s="50" t="s">
        <v>12745</v>
      </c>
      <c r="BS263" s="50" t="s">
        <v>1075</v>
      </c>
      <c r="BU263" s="50" t="s">
        <v>15495</v>
      </c>
      <c r="BV263" s="50" t="s">
        <v>5428</v>
      </c>
      <c r="BW263" s="50" t="s">
        <v>138</v>
      </c>
      <c r="BX263" s="50" t="s">
        <v>5429</v>
      </c>
      <c r="BY263" s="50" t="s">
        <v>5430</v>
      </c>
      <c r="BZ263" s="50" t="s">
        <v>5431</v>
      </c>
      <c r="CA263" s="50" t="s">
        <v>5428</v>
      </c>
      <c r="CB263" s="50" t="s">
        <v>5431</v>
      </c>
      <c r="CC263" s="50" t="s">
        <v>15496</v>
      </c>
      <c r="CD263" s="50" t="s">
        <v>5428</v>
      </c>
      <c r="CE263" s="50" t="s">
        <v>5431</v>
      </c>
      <c r="CF263" s="50" t="s">
        <v>15496</v>
      </c>
      <c r="CG263" s="50" t="s">
        <v>573</v>
      </c>
      <c r="CH263" s="50" t="s">
        <v>2831</v>
      </c>
      <c r="CJ263" s="50" t="s">
        <v>5433</v>
      </c>
      <c r="CK263" s="50" t="s">
        <v>5432</v>
      </c>
      <c r="CL263" s="50" t="s">
        <v>5423</v>
      </c>
      <c r="CM263" s="50" t="s">
        <v>2543</v>
      </c>
      <c r="CN263" s="50" t="s">
        <v>5433</v>
      </c>
      <c r="CP263" s="50" t="s">
        <v>5432</v>
      </c>
      <c r="CQ263" s="50" t="s">
        <v>5432</v>
      </c>
    </row>
    <row r="264" spans="1:96">
      <c r="A264" s="50" t="s">
        <v>93</v>
      </c>
      <c r="B264" s="50">
        <v>1173541</v>
      </c>
      <c r="C264" s="50" t="s">
        <v>12018</v>
      </c>
      <c r="D264" s="50" t="s">
        <v>12208</v>
      </c>
      <c r="E264" s="50" t="str">
        <f>VLOOKUP(B264,aa!B:F,5,0)</f>
        <v>Ei CARES</v>
      </c>
      <c r="F264" s="50">
        <f>VLOOKUP(B264,aa!B:J,9,0)</f>
        <v>194386</v>
      </c>
      <c r="G264" s="50">
        <f>VLOOKUP(B264,aa!B:L,11,0)</f>
        <v>0</v>
      </c>
      <c r="H264" s="50">
        <f>VLOOKUP(B264,aa!B:O,14,0)</f>
        <v>194386</v>
      </c>
      <c r="I264" s="50">
        <f>VLOOKUP(B264,aa!B:R,17,0)</f>
        <v>0</v>
      </c>
      <c r="K264" s="50" t="s">
        <v>152</v>
      </c>
      <c r="L264" s="50">
        <v>218100</v>
      </c>
      <c r="M264" s="50">
        <v>218100</v>
      </c>
      <c r="N264" s="50">
        <v>0</v>
      </c>
      <c r="O264" s="50">
        <v>0</v>
      </c>
      <c r="Q264" s="50">
        <v>218100</v>
      </c>
      <c r="R264" s="50">
        <v>368</v>
      </c>
      <c r="S264" s="50" t="s">
        <v>12210</v>
      </c>
      <c r="T264" s="50">
        <v>0</v>
      </c>
      <c r="U264" s="50">
        <v>0</v>
      </c>
      <c r="W264" s="50" t="s">
        <v>102</v>
      </c>
      <c r="X264" s="50" t="s">
        <v>679</v>
      </c>
      <c r="Y264" s="50" t="s">
        <v>155</v>
      </c>
      <c r="Z264" s="50" t="s">
        <v>12211</v>
      </c>
      <c r="AA264" s="50" t="s">
        <v>12212</v>
      </c>
      <c r="AB264" s="50" t="s">
        <v>12213</v>
      </c>
      <c r="AC264" s="50" t="s">
        <v>12214</v>
      </c>
      <c r="AD264" s="50" t="s">
        <v>12213</v>
      </c>
      <c r="AE264" s="50" t="s">
        <v>12215</v>
      </c>
      <c r="AF264" s="50" t="s">
        <v>12213</v>
      </c>
      <c r="AG264" s="50" t="s">
        <v>12216</v>
      </c>
      <c r="AH264" s="50" t="s">
        <v>12213</v>
      </c>
      <c r="AI264" s="50" t="s">
        <v>102</v>
      </c>
      <c r="AJ264" s="50" t="s">
        <v>12217</v>
      </c>
      <c r="AK264" s="50" t="s">
        <v>12217</v>
      </c>
      <c r="AL264" s="50" t="s">
        <v>12218</v>
      </c>
      <c r="AM264" s="50" t="s">
        <v>12219</v>
      </c>
      <c r="AN264" s="50" t="s">
        <v>12220</v>
      </c>
      <c r="AO264" s="50" t="s">
        <v>12221</v>
      </c>
      <c r="AP264" s="50" t="s">
        <v>12221</v>
      </c>
      <c r="AU264" s="50" t="s">
        <v>102</v>
      </c>
      <c r="AW264" s="50" t="s">
        <v>12222</v>
      </c>
      <c r="AX264" s="50" t="s">
        <v>447</v>
      </c>
      <c r="AY264" s="50" t="s">
        <v>1138</v>
      </c>
      <c r="AZ264" s="50" t="s">
        <v>250</v>
      </c>
      <c r="BB264" s="50" t="s">
        <v>209</v>
      </c>
      <c r="BC264" s="50" t="s">
        <v>3490</v>
      </c>
      <c r="BD264" s="50" t="s">
        <v>345</v>
      </c>
      <c r="BE264" s="50" t="s">
        <v>122</v>
      </c>
      <c r="BF264" s="50" t="s">
        <v>346</v>
      </c>
      <c r="BG264" s="50" t="s">
        <v>124</v>
      </c>
      <c r="BH264" s="50" t="s">
        <v>12023</v>
      </c>
      <c r="BI264" s="50" t="s">
        <v>11889</v>
      </c>
      <c r="BJ264" s="50" t="s">
        <v>127</v>
      </c>
      <c r="BK264" s="50" t="s">
        <v>12223</v>
      </c>
      <c r="BL264" s="50" t="s">
        <v>12224</v>
      </c>
      <c r="BM264" s="50" t="s">
        <v>12225</v>
      </c>
      <c r="BN264" s="50" t="s">
        <v>12209</v>
      </c>
      <c r="BO264" s="50" t="s">
        <v>12226</v>
      </c>
      <c r="BP264" s="50" t="s">
        <v>12227</v>
      </c>
      <c r="BQ264" s="50" t="s">
        <v>12228</v>
      </c>
      <c r="BR264" s="50" t="s">
        <v>12229</v>
      </c>
      <c r="BS264" s="50" t="s">
        <v>8623</v>
      </c>
      <c r="BU264" s="50" t="s">
        <v>12230</v>
      </c>
      <c r="BV264" s="50" t="s">
        <v>12231</v>
      </c>
      <c r="BW264" s="50" t="s">
        <v>354</v>
      </c>
      <c r="BX264" s="50" t="s">
        <v>12232</v>
      </c>
      <c r="BY264" s="50" t="s">
        <v>12233</v>
      </c>
      <c r="BZ264" s="50" t="s">
        <v>12234</v>
      </c>
      <c r="CA264" s="50" t="s">
        <v>12235</v>
      </c>
      <c r="CB264" s="50" t="s">
        <v>12234</v>
      </c>
      <c r="CC264" s="50" t="s">
        <v>12236</v>
      </c>
      <c r="CD264" s="50" t="s">
        <v>12237</v>
      </c>
      <c r="CE264" s="50" t="s">
        <v>12238</v>
      </c>
      <c r="CF264" s="50" t="s">
        <v>12239</v>
      </c>
      <c r="CG264" s="50" t="s">
        <v>4937</v>
      </c>
      <c r="CH264" s="50" t="s">
        <v>3490</v>
      </c>
      <c r="CJ264" s="50" t="s">
        <v>12240</v>
      </c>
      <c r="CK264" s="50" t="s">
        <v>12241</v>
      </c>
      <c r="CL264" s="50" t="s">
        <v>3490</v>
      </c>
      <c r="CM264" s="50" t="s">
        <v>345</v>
      </c>
      <c r="CN264" s="50" t="s">
        <v>12240</v>
      </c>
      <c r="CP264" s="50" t="s">
        <v>12242</v>
      </c>
      <c r="CQ264" s="50" t="s">
        <v>12242</v>
      </c>
    </row>
    <row r="265" spans="1:96">
      <c r="A265" s="50" t="s">
        <v>93</v>
      </c>
      <c r="B265" s="50">
        <v>2508568</v>
      </c>
      <c r="C265" s="50" t="s">
        <v>12018</v>
      </c>
      <c r="D265" s="50" t="s">
        <v>14300</v>
      </c>
      <c r="E265" s="50" t="str">
        <f>VLOOKUP(B265,aa!B:F,5,0)</f>
        <v>Ei CARES</v>
      </c>
      <c r="F265" s="50">
        <f>VLOOKUP(B265,aa!B:J,9,0)</f>
        <v>405266</v>
      </c>
      <c r="G265" s="50">
        <f>VLOOKUP(B265,aa!B:L,11,0)</f>
        <v>0</v>
      </c>
      <c r="H265" s="50">
        <f>VLOOKUP(B265,aa!B:O,14,0)</f>
        <v>405266</v>
      </c>
      <c r="I265" s="50">
        <f>VLOOKUP(B265,aa!B:R,17,0)</f>
        <v>0</v>
      </c>
      <c r="K265" s="50" t="s">
        <v>152</v>
      </c>
      <c r="L265" s="50">
        <v>498000</v>
      </c>
      <c r="M265" s="50">
        <v>498000</v>
      </c>
      <c r="N265" s="50">
        <v>0</v>
      </c>
      <c r="O265" s="50">
        <v>0</v>
      </c>
      <c r="Q265" s="50">
        <v>498000</v>
      </c>
      <c r="R265" s="50">
        <v>678</v>
      </c>
      <c r="S265" s="50" t="s">
        <v>14301</v>
      </c>
      <c r="T265" s="50">
        <v>0</v>
      </c>
      <c r="U265" s="50">
        <v>0</v>
      </c>
      <c r="W265" s="50" t="s">
        <v>102</v>
      </c>
      <c r="X265" s="50" t="s">
        <v>679</v>
      </c>
      <c r="Y265" s="50" t="s">
        <v>155</v>
      </c>
      <c r="Z265" s="50" t="s">
        <v>12211</v>
      </c>
      <c r="AA265" s="50" t="s">
        <v>12212</v>
      </c>
      <c r="AB265" s="50" t="s">
        <v>14302</v>
      </c>
      <c r="AC265" s="50" t="s">
        <v>12214</v>
      </c>
      <c r="AD265" s="50" t="s">
        <v>14302</v>
      </c>
      <c r="AE265" s="50" t="s">
        <v>12215</v>
      </c>
      <c r="AF265" s="50" t="s">
        <v>14302</v>
      </c>
      <c r="AG265" s="50" t="s">
        <v>12216</v>
      </c>
      <c r="AH265" s="50" t="s">
        <v>14302</v>
      </c>
      <c r="AI265" s="50" t="s">
        <v>102</v>
      </c>
      <c r="AJ265" s="50" t="s">
        <v>12217</v>
      </c>
      <c r="AK265" s="50" t="s">
        <v>12217</v>
      </c>
      <c r="AL265" s="50" t="s">
        <v>14303</v>
      </c>
      <c r="AM265" s="50" t="s">
        <v>14304</v>
      </c>
      <c r="AN265" s="50" t="s">
        <v>14305</v>
      </c>
      <c r="AO265" s="50" t="s">
        <v>12221</v>
      </c>
      <c r="AP265" s="50" t="s">
        <v>12221</v>
      </c>
      <c r="AU265" s="50" t="s">
        <v>102</v>
      </c>
      <c r="AW265" s="50" t="s">
        <v>12222</v>
      </c>
      <c r="AX265" s="50" t="s">
        <v>447</v>
      </c>
      <c r="AZ265" s="50" t="s">
        <v>250</v>
      </c>
      <c r="BB265" s="50" t="s">
        <v>120</v>
      </c>
      <c r="BC265" s="50" t="s">
        <v>3490</v>
      </c>
      <c r="BD265" s="50" t="s">
        <v>345</v>
      </c>
      <c r="BE265" s="50" t="s">
        <v>122</v>
      </c>
      <c r="BF265" s="50" t="s">
        <v>346</v>
      </c>
      <c r="BG265" s="50" t="s">
        <v>124</v>
      </c>
      <c r="BH265" s="50" t="s">
        <v>12023</v>
      </c>
      <c r="BI265" s="50" t="s">
        <v>11889</v>
      </c>
      <c r="BJ265" s="50" t="s">
        <v>127</v>
      </c>
      <c r="BK265" s="50" t="s">
        <v>14306</v>
      </c>
      <c r="BL265" s="50" t="s">
        <v>14307</v>
      </c>
      <c r="BM265" s="50" t="s">
        <v>14308</v>
      </c>
      <c r="BN265" s="50" t="s">
        <v>12209</v>
      </c>
      <c r="BO265" s="50" t="s">
        <v>12226</v>
      </c>
      <c r="BP265" s="50" t="s">
        <v>5833</v>
      </c>
      <c r="BQ265" s="50" t="s">
        <v>12228</v>
      </c>
      <c r="BR265" s="50" t="s">
        <v>12229</v>
      </c>
      <c r="BS265" s="50" t="s">
        <v>8623</v>
      </c>
      <c r="BU265" s="50" t="s">
        <v>14309</v>
      </c>
      <c r="BV265" s="50" t="s">
        <v>12231</v>
      </c>
      <c r="BW265" s="50" t="s">
        <v>354</v>
      </c>
      <c r="BX265" s="50" t="s">
        <v>12232</v>
      </c>
      <c r="BY265" s="50" t="s">
        <v>12233</v>
      </c>
      <c r="BZ265" s="50" t="s">
        <v>14310</v>
      </c>
      <c r="CA265" s="50" t="s">
        <v>12235</v>
      </c>
      <c r="CB265" s="50" t="s">
        <v>14311</v>
      </c>
      <c r="CC265" s="50" t="s">
        <v>12236</v>
      </c>
      <c r="CD265" s="50" t="s">
        <v>12237</v>
      </c>
      <c r="CE265" s="50" t="s">
        <v>14312</v>
      </c>
      <c r="CF265" s="50" t="s">
        <v>12239</v>
      </c>
      <c r="CG265" s="50" t="s">
        <v>907</v>
      </c>
      <c r="CH265" s="50" t="s">
        <v>14313</v>
      </c>
      <c r="CJ265" s="50" t="s">
        <v>14314</v>
      </c>
      <c r="CK265" s="50" t="s">
        <v>14313</v>
      </c>
      <c r="CL265" s="50" t="s">
        <v>3490</v>
      </c>
      <c r="CM265" s="50" t="s">
        <v>345</v>
      </c>
      <c r="CN265" s="50" t="s">
        <v>14314</v>
      </c>
      <c r="CP265" s="50" t="s">
        <v>14315</v>
      </c>
      <c r="CQ265" s="50" t="s">
        <v>14315</v>
      </c>
    </row>
    <row r="266" spans="1:96">
      <c r="A266" s="50" t="s">
        <v>93</v>
      </c>
      <c r="B266" s="50">
        <v>3857130</v>
      </c>
      <c r="C266" s="50" t="s">
        <v>12018</v>
      </c>
      <c r="D266" s="50" t="s">
        <v>17173</v>
      </c>
      <c r="E266" s="50" t="str">
        <f>VLOOKUP(B266,aa!B:F,5,0)</f>
        <v>Ei CARES</v>
      </c>
      <c r="F266" s="50">
        <f>VLOOKUP(B266,aa!B:J,9,0)</f>
        <v>272673</v>
      </c>
      <c r="G266" s="50">
        <f>VLOOKUP(B266,aa!B:L,11,0)</f>
        <v>0</v>
      </c>
      <c r="H266" s="50">
        <f>VLOOKUP(B266,aa!B:O,14,0)</f>
        <v>272673</v>
      </c>
      <c r="I266" s="50">
        <f>VLOOKUP(B266,aa!B:R,17,0)</f>
        <v>0</v>
      </c>
      <c r="K266" s="50" t="s">
        <v>152</v>
      </c>
      <c r="L266" s="50">
        <v>263100</v>
      </c>
      <c r="M266" s="50">
        <v>263100</v>
      </c>
      <c r="N266" s="50">
        <v>0</v>
      </c>
      <c r="O266" s="50">
        <v>0</v>
      </c>
      <c r="Q266" s="50">
        <v>263100</v>
      </c>
      <c r="R266" s="50">
        <v>364</v>
      </c>
      <c r="S266" s="50" t="s">
        <v>17174</v>
      </c>
      <c r="T266" s="50">
        <v>0</v>
      </c>
      <c r="U266" s="50">
        <v>0</v>
      </c>
      <c r="W266" s="50" t="s">
        <v>102</v>
      </c>
      <c r="X266" s="50" t="s">
        <v>679</v>
      </c>
      <c r="Y266" s="50" t="s">
        <v>155</v>
      </c>
      <c r="Z266" s="50" t="s">
        <v>12211</v>
      </c>
      <c r="AA266" s="50" t="s">
        <v>12212</v>
      </c>
      <c r="AB266" s="50" t="s">
        <v>17175</v>
      </c>
      <c r="AC266" s="50" t="s">
        <v>17047</v>
      </c>
      <c r="AD266" s="50" t="s">
        <v>17175</v>
      </c>
      <c r="AE266" s="50" t="s">
        <v>12215</v>
      </c>
      <c r="AF266" s="50" t="s">
        <v>17175</v>
      </c>
      <c r="AG266" s="50" t="s">
        <v>12216</v>
      </c>
      <c r="AH266" s="50" t="s">
        <v>17175</v>
      </c>
      <c r="AI266" s="50" t="s">
        <v>102</v>
      </c>
      <c r="AJ266" s="50" t="s">
        <v>12217</v>
      </c>
      <c r="AK266" s="50" t="s">
        <v>12217</v>
      </c>
      <c r="AL266" s="50" t="s">
        <v>17176</v>
      </c>
      <c r="AM266" s="50" t="s">
        <v>17177</v>
      </c>
      <c r="AN266" s="50" t="s">
        <v>17178</v>
      </c>
      <c r="AO266" s="50" t="s">
        <v>12221</v>
      </c>
      <c r="AP266" s="50" t="s">
        <v>12221</v>
      </c>
      <c r="AU266" s="50" t="s">
        <v>102</v>
      </c>
      <c r="AW266" s="50" t="s">
        <v>12222</v>
      </c>
      <c r="AX266" s="50" t="s">
        <v>447</v>
      </c>
      <c r="AZ266" s="50" t="s">
        <v>250</v>
      </c>
      <c r="BB266" s="50" t="s">
        <v>120</v>
      </c>
      <c r="BC266" s="50" t="s">
        <v>17179</v>
      </c>
      <c r="BD266" s="50" t="s">
        <v>345</v>
      </c>
      <c r="BE266" s="50" t="s">
        <v>122</v>
      </c>
      <c r="BF266" s="50" t="s">
        <v>346</v>
      </c>
      <c r="BG266" s="50" t="s">
        <v>124</v>
      </c>
      <c r="BH266" s="50" t="s">
        <v>12023</v>
      </c>
      <c r="BI266" s="50" t="s">
        <v>11889</v>
      </c>
      <c r="BJ266" s="50" t="s">
        <v>127</v>
      </c>
      <c r="BK266" s="50" t="s">
        <v>17180</v>
      </c>
      <c r="BL266" s="50" t="s">
        <v>17181</v>
      </c>
      <c r="BM266" s="50" t="s">
        <v>17182</v>
      </c>
      <c r="BN266" s="50" t="s">
        <v>12209</v>
      </c>
      <c r="BO266" s="50" t="s">
        <v>12226</v>
      </c>
      <c r="BP266" s="50" t="s">
        <v>5833</v>
      </c>
      <c r="BQ266" s="50" t="s">
        <v>12228</v>
      </c>
      <c r="BR266" s="50" t="s">
        <v>12229</v>
      </c>
      <c r="BS266" s="50" t="s">
        <v>8623</v>
      </c>
      <c r="BU266" s="50" t="s">
        <v>17183</v>
      </c>
      <c r="BV266" s="50" t="s">
        <v>12231</v>
      </c>
      <c r="BW266" s="50" t="s">
        <v>354</v>
      </c>
      <c r="BX266" s="50" t="s">
        <v>12232</v>
      </c>
      <c r="BY266" s="50" t="s">
        <v>12233</v>
      </c>
      <c r="BZ266" s="50" t="s">
        <v>12234</v>
      </c>
      <c r="CA266" s="50" t="s">
        <v>12235</v>
      </c>
      <c r="CB266" s="50" t="s">
        <v>12234</v>
      </c>
      <c r="CC266" s="50" t="s">
        <v>12236</v>
      </c>
      <c r="CD266" s="50" t="s">
        <v>12237</v>
      </c>
      <c r="CE266" s="50" t="s">
        <v>12238</v>
      </c>
      <c r="CF266" s="50" t="s">
        <v>12239</v>
      </c>
      <c r="CG266" s="50" t="s">
        <v>907</v>
      </c>
      <c r="CH266" s="50" t="s">
        <v>17184</v>
      </c>
      <c r="CJ266" s="50" t="s">
        <v>17185</v>
      </c>
      <c r="CK266" s="50" t="s">
        <v>17184</v>
      </c>
      <c r="CL266" s="50" t="s">
        <v>17179</v>
      </c>
      <c r="CM266" s="50" t="s">
        <v>345</v>
      </c>
      <c r="CN266" s="50" t="s">
        <v>17185</v>
      </c>
      <c r="CP266" s="50" t="s">
        <v>17186</v>
      </c>
      <c r="CQ266" s="50" t="s">
        <v>17186</v>
      </c>
    </row>
    <row r="267" spans="1:96">
      <c r="A267" s="50" t="s">
        <v>93</v>
      </c>
      <c r="B267" s="50">
        <v>3857260</v>
      </c>
      <c r="C267" s="50" t="s">
        <v>12018</v>
      </c>
      <c r="D267" s="50" t="s">
        <v>17187</v>
      </c>
      <c r="E267" s="50" t="str">
        <f>VLOOKUP(B267,aa!B:F,5,0)</f>
        <v>Ei CARES</v>
      </c>
      <c r="F267" s="50">
        <f>VLOOKUP(B267,aa!B:J,9,0)</f>
        <v>240808</v>
      </c>
      <c r="G267" s="50">
        <f>VLOOKUP(B267,aa!B:L,11,0)</f>
        <v>0</v>
      </c>
      <c r="H267" s="50">
        <f>VLOOKUP(B267,aa!B:O,14,0)</f>
        <v>240808</v>
      </c>
      <c r="I267" s="50">
        <f>VLOOKUP(B267,aa!B:R,17,0)</f>
        <v>0</v>
      </c>
      <c r="K267" s="50" t="s">
        <v>152</v>
      </c>
      <c r="L267" s="50">
        <v>260100</v>
      </c>
      <c r="M267" s="50">
        <v>260100</v>
      </c>
      <c r="N267" s="50">
        <v>0</v>
      </c>
      <c r="O267" s="50">
        <v>0</v>
      </c>
      <c r="Q267" s="50">
        <v>260100</v>
      </c>
      <c r="R267" s="50">
        <v>356</v>
      </c>
      <c r="S267" s="50" t="s">
        <v>17188</v>
      </c>
      <c r="T267" s="50">
        <v>0</v>
      </c>
      <c r="U267" s="50">
        <v>0</v>
      </c>
      <c r="W267" s="50" t="s">
        <v>102</v>
      </c>
      <c r="X267" s="50" t="s">
        <v>679</v>
      </c>
      <c r="Y267" s="50" t="s">
        <v>155</v>
      </c>
      <c r="Z267" s="50" t="s">
        <v>12211</v>
      </c>
      <c r="AA267" s="50" t="s">
        <v>12212</v>
      </c>
      <c r="AB267" s="50" t="s">
        <v>17189</v>
      </c>
      <c r="AC267" s="50" t="s">
        <v>17047</v>
      </c>
      <c r="AD267" s="50" t="s">
        <v>17189</v>
      </c>
      <c r="AE267" s="50" t="s">
        <v>12215</v>
      </c>
      <c r="AF267" s="50" t="s">
        <v>17189</v>
      </c>
      <c r="AG267" s="50" t="s">
        <v>12216</v>
      </c>
      <c r="AH267" s="50" t="s">
        <v>17189</v>
      </c>
      <c r="AI267" s="50" t="s">
        <v>102</v>
      </c>
      <c r="AL267" s="50" t="s">
        <v>17190</v>
      </c>
      <c r="AM267" s="50" t="s">
        <v>102</v>
      </c>
      <c r="AN267" s="50" t="s">
        <v>17190</v>
      </c>
      <c r="AO267" s="50" t="s">
        <v>12221</v>
      </c>
      <c r="AP267" s="50" t="s">
        <v>12221</v>
      </c>
      <c r="AU267" s="50" t="s">
        <v>102</v>
      </c>
      <c r="AW267" s="50" t="s">
        <v>12222</v>
      </c>
      <c r="AX267" s="50" t="s">
        <v>447</v>
      </c>
      <c r="AZ267" s="50" t="s">
        <v>250</v>
      </c>
      <c r="BB267" s="50" t="s">
        <v>120</v>
      </c>
      <c r="BC267" s="50" t="s">
        <v>3490</v>
      </c>
      <c r="BD267" s="50" t="s">
        <v>345</v>
      </c>
      <c r="BE267" s="50" t="s">
        <v>122</v>
      </c>
      <c r="BF267" s="50" t="s">
        <v>346</v>
      </c>
      <c r="BG267" s="50" t="s">
        <v>124</v>
      </c>
      <c r="BH267" s="50" t="s">
        <v>12023</v>
      </c>
      <c r="BI267" s="50" t="s">
        <v>11889</v>
      </c>
      <c r="BJ267" s="50" t="s">
        <v>127</v>
      </c>
      <c r="BK267" s="50" t="s">
        <v>17191</v>
      </c>
      <c r="BL267" s="50" t="s">
        <v>17192</v>
      </c>
      <c r="BM267" s="50" t="s">
        <v>17193</v>
      </c>
      <c r="BN267" s="50" t="s">
        <v>12209</v>
      </c>
      <c r="BO267" s="50" t="s">
        <v>12226</v>
      </c>
      <c r="BP267" s="50" t="s">
        <v>5833</v>
      </c>
      <c r="BQ267" s="50" t="s">
        <v>12228</v>
      </c>
      <c r="BR267" s="50" t="s">
        <v>12229</v>
      </c>
      <c r="BS267" s="50" t="s">
        <v>8623</v>
      </c>
      <c r="BU267" s="50" t="s">
        <v>17194</v>
      </c>
      <c r="BV267" s="50" t="s">
        <v>12231</v>
      </c>
      <c r="BW267" s="50" t="s">
        <v>354</v>
      </c>
      <c r="BX267" s="50" t="s">
        <v>12232</v>
      </c>
      <c r="BY267" s="50" t="s">
        <v>12233</v>
      </c>
      <c r="BZ267" s="50" t="s">
        <v>12232</v>
      </c>
      <c r="CA267" s="50" t="s">
        <v>12235</v>
      </c>
      <c r="CB267" s="50" t="s">
        <v>12234</v>
      </c>
      <c r="CC267" s="50" t="s">
        <v>12236</v>
      </c>
      <c r="CD267" s="50" t="s">
        <v>12237</v>
      </c>
      <c r="CE267" s="50" t="s">
        <v>12238</v>
      </c>
      <c r="CF267" s="50" t="s">
        <v>12239</v>
      </c>
      <c r="CG267" s="50" t="s">
        <v>907</v>
      </c>
      <c r="CH267" s="50" t="s">
        <v>17195</v>
      </c>
      <c r="CJ267" s="50" t="s">
        <v>17196</v>
      </c>
      <c r="CK267" s="50" t="s">
        <v>17195</v>
      </c>
      <c r="CL267" s="50" t="s">
        <v>3490</v>
      </c>
      <c r="CM267" s="50" t="s">
        <v>345</v>
      </c>
      <c r="CN267" s="50" t="s">
        <v>17196</v>
      </c>
      <c r="CP267" s="50" t="s">
        <v>17197</v>
      </c>
      <c r="CQ267" s="50" t="s">
        <v>17198</v>
      </c>
    </row>
    <row r="268" spans="1:96">
      <c r="A268" s="50" t="s">
        <v>26356</v>
      </c>
      <c r="B268" s="50">
        <v>172149</v>
      </c>
      <c r="C268" s="50" t="s">
        <v>12834</v>
      </c>
      <c r="D268" s="50" t="s">
        <v>12833</v>
      </c>
      <c r="E268" s="50" t="e">
        <f>VLOOKUP(B268,aa!B:F,5,0)</f>
        <v>#N/A</v>
      </c>
      <c r="F268" s="50" t="e">
        <f>VLOOKUP(B268,aa!B:J,9,0)</f>
        <v>#N/A</v>
      </c>
      <c r="G268" s="50" t="e">
        <f>VLOOKUP(B268,aa!B:L,11,0)</f>
        <v>#N/A</v>
      </c>
      <c r="H268" s="50" t="e">
        <f>VLOOKUP(B268,aa!B:O,14,0)</f>
        <v>#N/A</v>
      </c>
      <c r="I268" s="50" t="e">
        <f>VLOOKUP(B268,aa!B:R,17,0)</f>
        <v>#N/A</v>
      </c>
      <c r="K268" s="50" t="s">
        <v>97</v>
      </c>
      <c r="L268" s="50">
        <v>575400</v>
      </c>
      <c r="M268" s="50">
        <v>575400</v>
      </c>
      <c r="N268" s="50">
        <v>575400</v>
      </c>
      <c r="O268" s="50">
        <v>959</v>
      </c>
      <c r="P268" s="50" t="s">
        <v>310</v>
      </c>
      <c r="Q268" s="50">
        <v>0</v>
      </c>
      <c r="R268" s="50">
        <v>0</v>
      </c>
      <c r="T268" s="50">
        <v>0</v>
      </c>
      <c r="U268" s="50">
        <v>0</v>
      </c>
      <c r="W268" s="50" t="s">
        <v>102</v>
      </c>
      <c r="X268" s="50" t="s">
        <v>103</v>
      </c>
      <c r="Y268" s="50" t="s">
        <v>398</v>
      </c>
      <c r="AA268" s="50" t="s">
        <v>12128</v>
      </c>
      <c r="AB268" s="50" t="s">
        <v>12835</v>
      </c>
      <c r="AC268" s="50" t="s">
        <v>12836</v>
      </c>
      <c r="AD268" s="50" t="s">
        <v>12837</v>
      </c>
      <c r="AE268" s="50" t="s">
        <v>12838</v>
      </c>
      <c r="AF268" s="50" t="s">
        <v>12837</v>
      </c>
      <c r="AG268" s="50" t="s">
        <v>109</v>
      </c>
      <c r="AH268" s="50" t="s">
        <v>102</v>
      </c>
      <c r="AI268" s="50" t="s">
        <v>102</v>
      </c>
      <c r="AL268" s="50" t="s">
        <v>12839</v>
      </c>
      <c r="AM268" s="50" t="s">
        <v>102</v>
      </c>
      <c r="AN268" s="50" t="s">
        <v>12839</v>
      </c>
      <c r="AO268" s="50" t="s">
        <v>317</v>
      </c>
      <c r="AP268" s="50" t="s">
        <v>317</v>
      </c>
      <c r="AU268" s="50" t="s">
        <v>318</v>
      </c>
      <c r="AV268" s="50" t="s">
        <v>118</v>
      </c>
      <c r="AW268" s="50" t="s">
        <v>102</v>
      </c>
      <c r="AX268" s="50" t="s">
        <v>119</v>
      </c>
      <c r="BB268" s="50" t="s">
        <v>1964</v>
      </c>
      <c r="BC268" s="50" t="s">
        <v>920</v>
      </c>
      <c r="BD268" s="50" t="s">
        <v>211</v>
      </c>
      <c r="BE268" s="50" t="s">
        <v>212</v>
      </c>
      <c r="BF268" s="50" t="s">
        <v>213</v>
      </c>
      <c r="BG268" s="50" t="s">
        <v>124</v>
      </c>
      <c r="BH268" s="50" t="s">
        <v>12023</v>
      </c>
      <c r="BI268" s="50" t="s">
        <v>11889</v>
      </c>
      <c r="BJ268" s="50" t="s">
        <v>127</v>
      </c>
      <c r="BK268" s="50" t="s">
        <v>12840</v>
      </c>
      <c r="BL268" s="50" t="s">
        <v>12841</v>
      </c>
      <c r="BM268" s="50" t="s">
        <v>12842</v>
      </c>
      <c r="BN268" s="50" t="s">
        <v>411</v>
      </c>
      <c r="BO268" s="50" t="s">
        <v>480</v>
      </c>
      <c r="BP268" s="50" t="s">
        <v>505</v>
      </c>
      <c r="BQ268" s="50" t="s">
        <v>481</v>
      </c>
      <c r="BR268" s="50" t="s">
        <v>482</v>
      </c>
      <c r="BS268" s="50" t="s">
        <v>2593</v>
      </c>
      <c r="BT268" s="50" t="s">
        <v>4997</v>
      </c>
      <c r="BU268" s="50" t="s">
        <v>12843</v>
      </c>
      <c r="BV268" s="50" t="s">
        <v>12844</v>
      </c>
      <c r="BW268" s="50" t="s">
        <v>138</v>
      </c>
      <c r="BX268" s="50" t="s">
        <v>481</v>
      </c>
      <c r="BY268" s="50" t="s">
        <v>12845</v>
      </c>
      <c r="BZ268" s="50" t="s">
        <v>12846</v>
      </c>
      <c r="CA268" s="50" t="s">
        <v>7309</v>
      </c>
      <c r="CB268" s="50" t="s">
        <v>12847</v>
      </c>
      <c r="CC268" s="50" t="s">
        <v>12848</v>
      </c>
      <c r="CD268" s="50" t="s">
        <v>12849</v>
      </c>
      <c r="CE268" s="50" t="s">
        <v>12850</v>
      </c>
      <c r="CF268" s="50" t="s">
        <v>12851</v>
      </c>
      <c r="CG268" s="50" t="s">
        <v>12852</v>
      </c>
      <c r="CH268" s="50" t="s">
        <v>12853</v>
      </c>
      <c r="CJ268" s="50" t="s">
        <v>12854</v>
      </c>
      <c r="CK268" s="50" t="s">
        <v>12853</v>
      </c>
      <c r="CL268" s="50" t="s">
        <v>920</v>
      </c>
      <c r="CM268" s="50" t="s">
        <v>211</v>
      </c>
      <c r="CN268" s="50" t="s">
        <v>12854</v>
      </c>
      <c r="CP268" s="50" t="s">
        <v>12855</v>
      </c>
      <c r="CQ268" s="50" t="s">
        <v>12855</v>
      </c>
    </row>
    <row r="269" spans="1:96">
      <c r="A269" s="50" t="s">
        <v>26356</v>
      </c>
      <c r="B269" s="50">
        <v>185694</v>
      </c>
      <c r="C269" s="50" t="s">
        <v>12834</v>
      </c>
      <c r="D269" s="50" t="s">
        <v>13045</v>
      </c>
      <c r="E269" s="50" t="e">
        <f>VLOOKUP(B269,aa!B:F,5,0)</f>
        <v>#N/A</v>
      </c>
      <c r="F269" s="50" t="e">
        <f>VLOOKUP(B269,aa!B:J,9,0)</f>
        <v>#N/A</v>
      </c>
      <c r="G269" s="50" t="e">
        <f>VLOOKUP(B269,aa!B:L,11,0)</f>
        <v>#N/A</v>
      </c>
      <c r="H269" s="50" t="e">
        <f>VLOOKUP(B269,aa!B:O,14,0)</f>
        <v>#N/A</v>
      </c>
      <c r="I269" s="50" t="e">
        <f>VLOOKUP(B269,aa!B:R,17,0)</f>
        <v>#N/A</v>
      </c>
      <c r="K269" s="50" t="s">
        <v>97</v>
      </c>
      <c r="L269" s="50">
        <v>462600</v>
      </c>
      <c r="M269" s="50">
        <v>462600</v>
      </c>
      <c r="N269" s="50">
        <v>462600</v>
      </c>
      <c r="O269" s="50">
        <v>771</v>
      </c>
      <c r="P269" s="50" t="s">
        <v>310</v>
      </c>
      <c r="Q269" s="50">
        <v>0</v>
      </c>
      <c r="R269" s="50">
        <v>0</v>
      </c>
      <c r="T269" s="50">
        <v>0</v>
      </c>
      <c r="U269" s="50">
        <v>0</v>
      </c>
      <c r="W269" s="50" t="s">
        <v>102</v>
      </c>
      <c r="X269" s="50" t="s">
        <v>103</v>
      </c>
      <c r="Y269" s="50" t="s">
        <v>398</v>
      </c>
      <c r="AA269" s="50" t="s">
        <v>12128</v>
      </c>
      <c r="AB269" s="50" t="s">
        <v>13046</v>
      </c>
      <c r="AC269" s="50" t="s">
        <v>12836</v>
      </c>
      <c r="AD269" s="50" t="s">
        <v>13047</v>
      </c>
      <c r="AE269" s="50" t="s">
        <v>12838</v>
      </c>
      <c r="AF269" s="50" t="s">
        <v>13047</v>
      </c>
      <c r="AG269" s="50" t="s">
        <v>109</v>
      </c>
      <c r="AH269" s="50" t="s">
        <v>102</v>
      </c>
      <c r="AI269" s="50" t="s">
        <v>102</v>
      </c>
      <c r="AL269" s="50" t="s">
        <v>13048</v>
      </c>
      <c r="AM269" s="50" t="s">
        <v>102</v>
      </c>
      <c r="AN269" s="50" t="s">
        <v>13048</v>
      </c>
      <c r="AO269" s="50" t="s">
        <v>317</v>
      </c>
      <c r="AP269" s="50" t="s">
        <v>317</v>
      </c>
      <c r="AU269" s="50" t="s">
        <v>318</v>
      </c>
      <c r="AV269" s="50" t="s">
        <v>118</v>
      </c>
      <c r="AW269" s="50" t="s">
        <v>102</v>
      </c>
      <c r="AX269" s="50" t="s">
        <v>119</v>
      </c>
      <c r="BB269" s="50" t="s">
        <v>1964</v>
      </c>
      <c r="BC269" s="50" t="s">
        <v>7718</v>
      </c>
      <c r="BD269" s="50" t="s">
        <v>211</v>
      </c>
      <c r="BE269" s="50" t="s">
        <v>212</v>
      </c>
      <c r="BF269" s="50" t="s">
        <v>213</v>
      </c>
      <c r="BG269" s="50" t="s">
        <v>124</v>
      </c>
      <c r="BH269" s="50" t="s">
        <v>12023</v>
      </c>
      <c r="BI269" s="50" t="s">
        <v>11889</v>
      </c>
      <c r="BJ269" s="50" t="s">
        <v>127</v>
      </c>
      <c r="BK269" s="50" t="s">
        <v>13049</v>
      </c>
      <c r="BL269" s="50" t="s">
        <v>13050</v>
      </c>
      <c r="BM269" s="50" t="s">
        <v>13051</v>
      </c>
      <c r="BN269" s="50" t="s">
        <v>411</v>
      </c>
      <c r="BO269" s="50" t="s">
        <v>480</v>
      </c>
      <c r="BP269" s="50" t="s">
        <v>505</v>
      </c>
      <c r="BQ269" s="50" t="s">
        <v>481</v>
      </c>
      <c r="BR269" s="50" t="s">
        <v>482</v>
      </c>
      <c r="BS269" s="50" t="s">
        <v>2593</v>
      </c>
      <c r="BU269" s="50" t="s">
        <v>13052</v>
      </c>
      <c r="BV269" s="50" t="s">
        <v>13053</v>
      </c>
      <c r="BW269" s="50" t="s">
        <v>138</v>
      </c>
      <c r="BX269" s="50" t="s">
        <v>481</v>
      </c>
      <c r="BY269" s="50" t="s">
        <v>12845</v>
      </c>
      <c r="BZ269" s="50" t="s">
        <v>13054</v>
      </c>
      <c r="CA269" s="50" t="s">
        <v>13055</v>
      </c>
      <c r="CB269" s="50" t="s">
        <v>13056</v>
      </c>
      <c r="CC269" s="50" t="s">
        <v>13057</v>
      </c>
      <c r="CD269" s="50" t="s">
        <v>13058</v>
      </c>
      <c r="CE269" s="50" t="s">
        <v>13059</v>
      </c>
      <c r="CF269" s="50" t="s">
        <v>13060</v>
      </c>
      <c r="CG269" s="50" t="s">
        <v>5581</v>
      </c>
      <c r="CH269" s="50" t="s">
        <v>13061</v>
      </c>
      <c r="CJ269" s="50" t="s">
        <v>13062</v>
      </c>
      <c r="CK269" s="50" t="s">
        <v>13061</v>
      </c>
      <c r="CL269" s="50" t="s">
        <v>7718</v>
      </c>
      <c r="CM269" s="50" t="s">
        <v>211</v>
      </c>
      <c r="CN269" s="50" t="s">
        <v>13062</v>
      </c>
      <c r="CP269" s="50" t="s">
        <v>7718</v>
      </c>
      <c r="CQ269" s="50" t="s">
        <v>13063</v>
      </c>
    </row>
    <row r="270" spans="1:96">
      <c r="A270" s="50" t="s">
        <v>26356</v>
      </c>
      <c r="B270" s="50">
        <v>203718</v>
      </c>
      <c r="C270" s="50" t="s">
        <v>12834</v>
      </c>
      <c r="D270" s="50" t="s">
        <v>13364</v>
      </c>
      <c r="E270" s="50" t="e">
        <f>VLOOKUP(B270,aa!B:F,5,0)</f>
        <v>#N/A</v>
      </c>
      <c r="F270" s="50" t="e">
        <f>VLOOKUP(B270,aa!B:J,9,0)</f>
        <v>#N/A</v>
      </c>
      <c r="G270" s="50" t="e">
        <f>VLOOKUP(B270,aa!B:L,11,0)</f>
        <v>#N/A</v>
      </c>
      <c r="H270" s="50" t="e">
        <f>VLOOKUP(B270,aa!B:O,14,0)</f>
        <v>#N/A</v>
      </c>
      <c r="I270" s="50" t="e">
        <f>VLOOKUP(B270,aa!B:R,17,0)</f>
        <v>#N/A</v>
      </c>
      <c r="K270" s="50" t="s">
        <v>97</v>
      </c>
      <c r="L270" s="50">
        <v>141000</v>
      </c>
      <c r="M270" s="50">
        <v>141000</v>
      </c>
      <c r="N270" s="50">
        <v>141000</v>
      </c>
      <c r="O270" s="50">
        <v>235</v>
      </c>
      <c r="P270" s="50" t="s">
        <v>310</v>
      </c>
      <c r="Q270" s="50">
        <v>0</v>
      </c>
      <c r="R270" s="50">
        <v>0</v>
      </c>
      <c r="T270" s="50">
        <v>0</v>
      </c>
      <c r="U270" s="50">
        <v>0</v>
      </c>
      <c r="W270" s="50" t="s">
        <v>102</v>
      </c>
      <c r="X270" s="50" t="s">
        <v>103</v>
      </c>
      <c r="Y270" s="50" t="s">
        <v>398</v>
      </c>
      <c r="AA270" s="50" t="s">
        <v>12128</v>
      </c>
      <c r="AB270" s="50" t="s">
        <v>13365</v>
      </c>
      <c r="AC270" s="50" t="s">
        <v>12836</v>
      </c>
      <c r="AD270" s="50" t="s">
        <v>13366</v>
      </c>
      <c r="AE270" s="50" t="s">
        <v>12838</v>
      </c>
      <c r="AF270" s="50" t="s">
        <v>13366</v>
      </c>
      <c r="AG270" s="50" t="s">
        <v>109</v>
      </c>
      <c r="AH270" s="50" t="s">
        <v>102</v>
      </c>
      <c r="AI270" s="50" t="s">
        <v>102</v>
      </c>
      <c r="AL270" s="50" t="s">
        <v>13367</v>
      </c>
      <c r="AM270" s="50" t="s">
        <v>102</v>
      </c>
      <c r="AN270" s="50" t="s">
        <v>13367</v>
      </c>
      <c r="AO270" s="50" t="s">
        <v>317</v>
      </c>
      <c r="AP270" s="50" t="s">
        <v>317</v>
      </c>
      <c r="AU270" s="50" t="s">
        <v>318</v>
      </c>
      <c r="AV270" s="50" t="s">
        <v>118</v>
      </c>
      <c r="AW270" s="50" t="s">
        <v>102</v>
      </c>
      <c r="AX270" s="50" t="s">
        <v>119</v>
      </c>
      <c r="BB270" s="50" t="s">
        <v>120</v>
      </c>
      <c r="BC270" s="50" t="s">
        <v>13368</v>
      </c>
      <c r="BD270" s="50" t="s">
        <v>211</v>
      </c>
      <c r="BE270" s="50" t="s">
        <v>212</v>
      </c>
      <c r="BF270" s="50" t="s">
        <v>213</v>
      </c>
      <c r="BG270" s="50" t="s">
        <v>124</v>
      </c>
      <c r="BH270" s="50" t="s">
        <v>12023</v>
      </c>
      <c r="BI270" s="50" t="s">
        <v>11889</v>
      </c>
      <c r="BJ270" s="50" t="s">
        <v>127</v>
      </c>
      <c r="BK270" s="50" t="s">
        <v>13369</v>
      </c>
      <c r="BL270" s="50" t="s">
        <v>13370</v>
      </c>
      <c r="BM270" s="50" t="s">
        <v>13371</v>
      </c>
      <c r="BN270" s="50" t="s">
        <v>411</v>
      </c>
      <c r="BO270" s="50" t="s">
        <v>480</v>
      </c>
      <c r="BP270" s="50" t="s">
        <v>505</v>
      </c>
      <c r="BQ270" s="50" t="s">
        <v>481</v>
      </c>
      <c r="BR270" s="50" t="s">
        <v>482</v>
      </c>
      <c r="BS270" s="50" t="s">
        <v>2593</v>
      </c>
      <c r="BT270" s="50" t="s">
        <v>4997</v>
      </c>
      <c r="BU270" s="50" t="s">
        <v>13372</v>
      </c>
      <c r="BV270" s="50" t="s">
        <v>13373</v>
      </c>
      <c r="BW270" s="50" t="s">
        <v>138</v>
      </c>
      <c r="BX270" s="50" t="s">
        <v>481</v>
      </c>
      <c r="BY270" s="50" t="s">
        <v>12845</v>
      </c>
      <c r="BZ270" s="50" t="s">
        <v>13374</v>
      </c>
      <c r="CA270" s="50" t="s">
        <v>13375</v>
      </c>
      <c r="CB270" s="50" t="s">
        <v>13374</v>
      </c>
      <c r="CC270" s="50" t="s">
        <v>13376</v>
      </c>
      <c r="CD270" s="50" t="s">
        <v>13377</v>
      </c>
      <c r="CE270" s="50" t="s">
        <v>13378</v>
      </c>
      <c r="CF270" s="50" t="s">
        <v>13379</v>
      </c>
      <c r="CG270" s="50" t="s">
        <v>5581</v>
      </c>
      <c r="CH270" s="50" t="s">
        <v>13380</v>
      </c>
      <c r="CJ270" s="50" t="s">
        <v>13381</v>
      </c>
      <c r="CK270" s="50" t="s">
        <v>13380</v>
      </c>
      <c r="CL270" s="50" t="s">
        <v>13368</v>
      </c>
      <c r="CM270" s="50" t="s">
        <v>211</v>
      </c>
      <c r="CN270" s="50" t="s">
        <v>13381</v>
      </c>
      <c r="CP270" s="50" t="s">
        <v>13382</v>
      </c>
      <c r="CQ270" s="50" t="s">
        <v>13382</v>
      </c>
    </row>
    <row r="271" spans="1:96">
      <c r="A271" s="50" t="s">
        <v>26356</v>
      </c>
      <c r="B271" s="50">
        <v>2379583</v>
      </c>
      <c r="C271" s="50" t="s">
        <v>12834</v>
      </c>
      <c r="D271" s="50" t="s">
        <v>13804</v>
      </c>
      <c r="E271" s="50" t="e">
        <f>VLOOKUP(B271,aa!B:F,5,0)</f>
        <v>#N/A</v>
      </c>
      <c r="F271" s="50" t="e">
        <f>VLOOKUP(B271,aa!B:J,9,0)</f>
        <v>#N/A</v>
      </c>
      <c r="G271" s="50" t="e">
        <f>VLOOKUP(B271,aa!B:L,11,0)</f>
        <v>#N/A</v>
      </c>
      <c r="H271" s="50" t="e">
        <f>VLOOKUP(B271,aa!B:O,14,0)</f>
        <v>#N/A</v>
      </c>
      <c r="I271" s="50" t="e">
        <f>VLOOKUP(B271,aa!B:R,17,0)</f>
        <v>#N/A</v>
      </c>
      <c r="K271" s="50" t="s">
        <v>97</v>
      </c>
      <c r="L271" s="50">
        <v>408000</v>
      </c>
      <c r="M271" s="50">
        <v>408000</v>
      </c>
      <c r="N271" s="50">
        <v>408000</v>
      </c>
      <c r="O271" s="50">
        <v>680</v>
      </c>
      <c r="P271" s="50" t="s">
        <v>310</v>
      </c>
      <c r="Q271" s="50">
        <v>0</v>
      </c>
      <c r="R271" s="50">
        <v>0</v>
      </c>
      <c r="T271" s="50">
        <v>0</v>
      </c>
      <c r="U271" s="50">
        <v>0</v>
      </c>
      <c r="W271" s="50" t="s">
        <v>102</v>
      </c>
      <c r="X271" s="50" t="s">
        <v>103</v>
      </c>
      <c r="Y271" s="50" t="s">
        <v>398</v>
      </c>
      <c r="AA271" s="50" t="s">
        <v>12128</v>
      </c>
      <c r="AB271" s="50" t="s">
        <v>13805</v>
      </c>
      <c r="AC271" s="50" t="s">
        <v>12836</v>
      </c>
      <c r="AD271" s="50" t="s">
        <v>13806</v>
      </c>
      <c r="AE271" s="50" t="s">
        <v>12838</v>
      </c>
      <c r="AF271" s="50" t="s">
        <v>13806</v>
      </c>
      <c r="AG271" s="50" t="s">
        <v>109</v>
      </c>
      <c r="AH271" s="50" t="s">
        <v>102</v>
      </c>
      <c r="AI271" s="50" t="s">
        <v>102</v>
      </c>
      <c r="AL271" s="50" t="s">
        <v>13807</v>
      </c>
      <c r="AM271" s="50" t="s">
        <v>102</v>
      </c>
      <c r="AN271" s="50" t="s">
        <v>13807</v>
      </c>
      <c r="AO271" s="50" t="s">
        <v>317</v>
      </c>
      <c r="AP271" s="50" t="s">
        <v>317</v>
      </c>
      <c r="AU271" s="50" t="s">
        <v>318</v>
      </c>
      <c r="AV271" s="50" t="s">
        <v>118</v>
      </c>
      <c r="AW271" s="50" t="s">
        <v>102</v>
      </c>
      <c r="AX271" s="50" t="s">
        <v>119</v>
      </c>
      <c r="BB271" s="50" t="s">
        <v>120</v>
      </c>
      <c r="BC271" s="50" t="s">
        <v>920</v>
      </c>
      <c r="BD271" s="50" t="s">
        <v>211</v>
      </c>
      <c r="BE271" s="50" t="s">
        <v>212</v>
      </c>
      <c r="BF271" s="50" t="s">
        <v>213</v>
      </c>
      <c r="BG271" s="50" t="s">
        <v>124</v>
      </c>
      <c r="BH271" s="50" t="s">
        <v>12023</v>
      </c>
      <c r="BI271" s="50" t="s">
        <v>11889</v>
      </c>
      <c r="BJ271" s="50" t="s">
        <v>127</v>
      </c>
      <c r="BK271" s="50" t="s">
        <v>13808</v>
      </c>
      <c r="BL271" s="50" t="s">
        <v>13809</v>
      </c>
      <c r="BM271" s="50" t="s">
        <v>13810</v>
      </c>
      <c r="BN271" s="50" t="s">
        <v>411</v>
      </c>
      <c r="BO271" s="50" t="s">
        <v>480</v>
      </c>
      <c r="BP271" s="50" t="s">
        <v>505</v>
      </c>
      <c r="BQ271" s="50" t="s">
        <v>481</v>
      </c>
      <c r="BR271" s="50" t="s">
        <v>482</v>
      </c>
      <c r="BS271" s="50" t="s">
        <v>2593</v>
      </c>
      <c r="BT271" s="50" t="s">
        <v>4997</v>
      </c>
      <c r="BU271" s="50" t="s">
        <v>13811</v>
      </c>
      <c r="BV271" s="50" t="s">
        <v>13812</v>
      </c>
      <c r="BW271" s="50" t="s">
        <v>138</v>
      </c>
      <c r="BX271" s="50" t="s">
        <v>481</v>
      </c>
      <c r="BY271" s="50" t="s">
        <v>12845</v>
      </c>
      <c r="BZ271" s="50" t="s">
        <v>13813</v>
      </c>
      <c r="CA271" s="50" t="s">
        <v>13055</v>
      </c>
      <c r="CB271" s="50" t="s">
        <v>13814</v>
      </c>
      <c r="CC271" s="50" t="s">
        <v>13057</v>
      </c>
      <c r="CD271" s="50" t="s">
        <v>13815</v>
      </c>
      <c r="CE271" s="50" t="s">
        <v>13816</v>
      </c>
      <c r="CF271" s="50" t="s">
        <v>13817</v>
      </c>
      <c r="CG271" s="50" t="s">
        <v>5581</v>
      </c>
      <c r="CH271" s="50" t="s">
        <v>13818</v>
      </c>
      <c r="CJ271" s="50" t="s">
        <v>13819</v>
      </c>
      <c r="CK271" s="50" t="s">
        <v>13818</v>
      </c>
      <c r="CL271" s="50" t="s">
        <v>920</v>
      </c>
      <c r="CM271" s="50" t="s">
        <v>211</v>
      </c>
      <c r="CN271" s="50" t="s">
        <v>13819</v>
      </c>
      <c r="CP271" s="50" t="s">
        <v>13820</v>
      </c>
      <c r="CQ271" s="50" t="s">
        <v>13820</v>
      </c>
    </row>
    <row r="272" spans="1:96">
      <c r="A272" s="50" t="s">
        <v>26356</v>
      </c>
      <c r="B272" s="50">
        <v>3153272</v>
      </c>
      <c r="C272" s="50" t="s">
        <v>12834</v>
      </c>
      <c r="D272" s="50" t="s">
        <v>15035</v>
      </c>
      <c r="E272" s="50" t="e">
        <f>VLOOKUP(B272,aa!B:F,5,0)</f>
        <v>#N/A</v>
      </c>
      <c r="F272" s="50" t="e">
        <f>VLOOKUP(B272,aa!B:J,9,0)</f>
        <v>#N/A</v>
      </c>
      <c r="G272" s="50" t="e">
        <f>VLOOKUP(B272,aa!B:L,11,0)</f>
        <v>#N/A</v>
      </c>
      <c r="H272" s="50" t="e">
        <f>VLOOKUP(B272,aa!B:O,14,0)</f>
        <v>#N/A</v>
      </c>
      <c r="I272" s="50" t="e">
        <f>VLOOKUP(B272,aa!B:R,17,0)</f>
        <v>#N/A</v>
      </c>
      <c r="K272" s="50" t="s">
        <v>97</v>
      </c>
      <c r="L272" s="50">
        <v>417600</v>
      </c>
      <c r="M272" s="50">
        <v>417600</v>
      </c>
      <c r="N272" s="50">
        <v>417600</v>
      </c>
      <c r="O272" s="50">
        <v>696</v>
      </c>
      <c r="P272" s="50" t="s">
        <v>310</v>
      </c>
      <c r="Q272" s="50">
        <v>0</v>
      </c>
      <c r="R272" s="50">
        <v>0</v>
      </c>
      <c r="T272" s="50">
        <v>0</v>
      </c>
      <c r="U272" s="50">
        <v>0</v>
      </c>
      <c r="W272" s="50" t="s">
        <v>102</v>
      </c>
      <c r="X272" s="50" t="s">
        <v>103</v>
      </c>
      <c r="Y272" s="50" t="s">
        <v>398</v>
      </c>
      <c r="AA272" s="50" t="s">
        <v>12128</v>
      </c>
      <c r="AB272" s="50" t="s">
        <v>15036</v>
      </c>
      <c r="AC272" s="50" t="s">
        <v>12836</v>
      </c>
      <c r="AD272" s="50" t="s">
        <v>15037</v>
      </c>
      <c r="AE272" s="50" t="s">
        <v>12838</v>
      </c>
      <c r="AF272" s="50" t="s">
        <v>15037</v>
      </c>
      <c r="AG272" s="50" t="s">
        <v>109</v>
      </c>
      <c r="AH272" s="50" t="s">
        <v>102</v>
      </c>
      <c r="AI272" s="50" t="s">
        <v>102</v>
      </c>
      <c r="AL272" s="50" t="s">
        <v>15038</v>
      </c>
      <c r="AM272" s="50" t="s">
        <v>102</v>
      </c>
      <c r="AN272" s="50" t="s">
        <v>15038</v>
      </c>
      <c r="AO272" s="50" t="s">
        <v>317</v>
      </c>
      <c r="AP272" s="50" t="s">
        <v>317</v>
      </c>
      <c r="AU272" s="50" t="s">
        <v>318</v>
      </c>
      <c r="AV272" s="50" t="s">
        <v>118</v>
      </c>
      <c r="AW272" s="50" t="s">
        <v>102</v>
      </c>
      <c r="AX272" s="50" t="s">
        <v>119</v>
      </c>
      <c r="BB272" s="50" t="s">
        <v>120</v>
      </c>
      <c r="BC272" s="50" t="s">
        <v>920</v>
      </c>
      <c r="BD272" s="50" t="s">
        <v>211</v>
      </c>
      <c r="BE272" s="50" t="s">
        <v>212</v>
      </c>
      <c r="BF272" s="50" t="s">
        <v>213</v>
      </c>
      <c r="BG272" s="50" t="s">
        <v>124</v>
      </c>
      <c r="BH272" s="50" t="s">
        <v>12023</v>
      </c>
      <c r="BI272" s="50" t="s">
        <v>11889</v>
      </c>
      <c r="BJ272" s="50" t="s">
        <v>127</v>
      </c>
      <c r="BK272" s="50" t="s">
        <v>15039</v>
      </c>
      <c r="BL272" s="50" t="s">
        <v>15040</v>
      </c>
      <c r="BM272" s="50" t="s">
        <v>15041</v>
      </c>
      <c r="BN272" s="50" t="s">
        <v>411</v>
      </c>
      <c r="BO272" s="50" t="s">
        <v>480</v>
      </c>
      <c r="BP272" s="50" t="s">
        <v>505</v>
      </c>
      <c r="BQ272" s="50" t="s">
        <v>481</v>
      </c>
      <c r="BR272" s="50" t="s">
        <v>482</v>
      </c>
      <c r="BS272" s="50" t="s">
        <v>2593</v>
      </c>
      <c r="BT272" s="50" t="s">
        <v>15042</v>
      </c>
      <c r="BU272" s="50" t="s">
        <v>15043</v>
      </c>
      <c r="BV272" s="50" t="s">
        <v>15044</v>
      </c>
      <c r="BW272" s="50" t="s">
        <v>138</v>
      </c>
      <c r="BX272" s="50" t="s">
        <v>481</v>
      </c>
      <c r="BY272" s="50" t="s">
        <v>12845</v>
      </c>
      <c r="BZ272" s="50" t="s">
        <v>15045</v>
      </c>
      <c r="CA272" s="50" t="s">
        <v>15044</v>
      </c>
      <c r="CB272" s="50" t="s">
        <v>15045</v>
      </c>
      <c r="CC272" s="50" t="s">
        <v>15046</v>
      </c>
      <c r="CD272" s="50" t="s">
        <v>15047</v>
      </c>
      <c r="CE272" s="50" t="s">
        <v>15048</v>
      </c>
      <c r="CF272" s="50" t="s">
        <v>15049</v>
      </c>
      <c r="CG272" s="50" t="s">
        <v>12852</v>
      </c>
      <c r="CH272" s="50" t="s">
        <v>15050</v>
      </c>
      <c r="CJ272" s="50" t="s">
        <v>9228</v>
      </c>
      <c r="CK272" s="50" t="s">
        <v>15050</v>
      </c>
      <c r="CL272" s="50" t="s">
        <v>920</v>
      </c>
      <c r="CM272" s="50" t="s">
        <v>211</v>
      </c>
      <c r="CN272" s="50" t="s">
        <v>9228</v>
      </c>
      <c r="CP272" s="50" t="s">
        <v>15051</v>
      </c>
      <c r="CQ272" s="50" t="s">
        <v>15051</v>
      </c>
    </row>
    <row r="273" spans="1:96">
      <c r="A273" s="95" t="s">
        <v>149</v>
      </c>
      <c r="B273" s="50">
        <v>3294066</v>
      </c>
      <c r="C273" s="50" t="s">
        <v>418</v>
      </c>
      <c r="D273" s="50" t="s">
        <v>5367</v>
      </c>
      <c r="E273" s="50" t="e">
        <f>VLOOKUP(B273,aa!B:F,5,0)</f>
        <v>#N/A</v>
      </c>
      <c r="F273" s="50" t="e">
        <f>VLOOKUP(B273,aa!B:J,9,0)</f>
        <v>#N/A</v>
      </c>
      <c r="G273" s="50" t="e">
        <f>VLOOKUP(B273,aa!B:L,11,0)</f>
        <v>#N/A</v>
      </c>
      <c r="H273" s="50" t="e">
        <f>VLOOKUP(B273,aa!B:O,14,0)</f>
        <v>#N/A</v>
      </c>
      <c r="I273" s="50" t="e">
        <f>VLOOKUP(B273,aa!B:R,17,0)</f>
        <v>#N/A</v>
      </c>
      <c r="K273" s="50" t="s">
        <v>1746</v>
      </c>
      <c r="L273" s="50">
        <v>2873818</v>
      </c>
      <c r="M273" s="50">
        <v>3151864</v>
      </c>
      <c r="N273" s="50">
        <v>438392</v>
      </c>
      <c r="O273" s="50">
        <v>401</v>
      </c>
      <c r="P273" s="50" t="s">
        <v>15416</v>
      </c>
      <c r="Q273" s="50">
        <v>890724</v>
      </c>
      <c r="R273" s="50">
        <v>475</v>
      </c>
      <c r="S273" s="50" t="s">
        <v>15417</v>
      </c>
      <c r="T273" s="50">
        <v>1544702</v>
      </c>
      <c r="U273" s="50">
        <v>546</v>
      </c>
      <c r="V273" s="50" t="s">
        <v>15418</v>
      </c>
      <c r="W273" s="50" t="s">
        <v>102</v>
      </c>
      <c r="X273" s="50" t="s">
        <v>103</v>
      </c>
      <c r="Y273" s="50" t="s">
        <v>155</v>
      </c>
      <c r="AA273" s="50" t="s">
        <v>13202</v>
      </c>
      <c r="AB273" s="50" t="s">
        <v>15419</v>
      </c>
      <c r="AC273" s="50" t="s">
        <v>12800</v>
      </c>
      <c r="AD273" s="50" t="s">
        <v>15419</v>
      </c>
      <c r="AE273" s="50" t="s">
        <v>13395</v>
      </c>
      <c r="AF273" s="50" t="s">
        <v>15419</v>
      </c>
      <c r="AG273" s="50" t="s">
        <v>11886</v>
      </c>
      <c r="AH273" s="50" t="s">
        <v>15419</v>
      </c>
      <c r="AI273" s="50" t="s">
        <v>15420</v>
      </c>
      <c r="AJ273" s="50" t="s">
        <v>15421</v>
      </c>
      <c r="AK273" s="50" t="s">
        <v>15422</v>
      </c>
      <c r="AL273" s="50" t="s">
        <v>15423</v>
      </c>
      <c r="AM273" s="50" t="s">
        <v>15424</v>
      </c>
      <c r="AN273" s="50" t="s">
        <v>15425</v>
      </c>
      <c r="AO273" s="50" t="s">
        <v>15426</v>
      </c>
      <c r="AP273" s="50" t="s">
        <v>15426</v>
      </c>
      <c r="AU273" s="50" t="s">
        <v>318</v>
      </c>
      <c r="AV273" s="50" t="s">
        <v>118</v>
      </c>
      <c r="AW273" s="50" t="s">
        <v>155</v>
      </c>
      <c r="AX273" s="50" t="s">
        <v>119</v>
      </c>
      <c r="AZ273" s="50" t="s">
        <v>250</v>
      </c>
      <c r="BA273" s="50" t="s">
        <v>250</v>
      </c>
      <c r="BB273" s="50" t="s">
        <v>120</v>
      </c>
      <c r="BC273" s="50" t="s">
        <v>920</v>
      </c>
      <c r="BD273" s="50" t="s">
        <v>211</v>
      </c>
      <c r="BE273" s="50" t="s">
        <v>212</v>
      </c>
      <c r="BF273" s="50" t="s">
        <v>213</v>
      </c>
      <c r="BG273" s="50" t="s">
        <v>124</v>
      </c>
      <c r="BH273" s="50" t="s">
        <v>11959</v>
      </c>
      <c r="BI273" s="50" t="s">
        <v>11960</v>
      </c>
      <c r="BJ273" s="50" t="s">
        <v>127</v>
      </c>
      <c r="BK273" s="50" t="s">
        <v>15427</v>
      </c>
      <c r="BL273" s="50" t="s">
        <v>5380</v>
      </c>
      <c r="BM273" s="50" t="s">
        <v>15428</v>
      </c>
      <c r="BN273" s="50" t="s">
        <v>411</v>
      </c>
      <c r="BO273" s="50" t="s">
        <v>7108</v>
      </c>
      <c r="BP273" s="50" t="s">
        <v>350</v>
      </c>
      <c r="BQ273" s="50" t="s">
        <v>7109</v>
      </c>
      <c r="BR273" s="50" t="s">
        <v>2151</v>
      </c>
      <c r="BS273" s="50" t="s">
        <v>2151</v>
      </c>
      <c r="BU273" s="50" t="s">
        <v>15429</v>
      </c>
      <c r="BV273" s="50" t="s">
        <v>5383</v>
      </c>
      <c r="BW273" s="50" t="s">
        <v>598</v>
      </c>
      <c r="BX273" s="50" t="s">
        <v>5384</v>
      </c>
      <c r="BY273" s="50" t="s">
        <v>5385</v>
      </c>
      <c r="BZ273" s="50" t="s">
        <v>5386</v>
      </c>
      <c r="CA273" s="50" t="s">
        <v>5383</v>
      </c>
      <c r="CB273" s="50" t="s">
        <v>5384</v>
      </c>
      <c r="CC273" s="50" t="s">
        <v>5385</v>
      </c>
      <c r="CD273" s="50" t="s">
        <v>15430</v>
      </c>
      <c r="CE273" s="50" t="s">
        <v>15431</v>
      </c>
      <c r="CF273" s="50" t="s">
        <v>15432</v>
      </c>
      <c r="CG273" s="50" t="s">
        <v>102</v>
      </c>
      <c r="CH273" s="50" t="s">
        <v>5391</v>
      </c>
      <c r="CJ273" s="50" t="s">
        <v>5392</v>
      </c>
      <c r="CL273" s="50" t="s">
        <v>920</v>
      </c>
      <c r="CM273" s="50" t="s">
        <v>211</v>
      </c>
      <c r="CN273" s="50" t="s">
        <v>5392</v>
      </c>
      <c r="CO273" s="50" t="s">
        <v>5393</v>
      </c>
      <c r="CP273" s="50" t="s">
        <v>5391</v>
      </c>
      <c r="CQ273" s="50" t="s">
        <v>5391</v>
      </c>
      <c r="CR273" s="50" t="s">
        <v>26040</v>
      </c>
    </row>
    <row r="274" spans="1:96">
      <c r="A274" s="95" t="s">
        <v>149</v>
      </c>
      <c r="B274" s="50">
        <v>3394135</v>
      </c>
      <c r="C274" s="50" t="s">
        <v>2151</v>
      </c>
      <c r="D274" s="50" t="s">
        <v>5815</v>
      </c>
      <c r="E274" s="50" t="e">
        <f>VLOOKUP(B274,aa!B:F,5,0)</f>
        <v>#N/A</v>
      </c>
      <c r="F274" s="50" t="e">
        <f>VLOOKUP(B274,aa!B:J,9,0)</f>
        <v>#N/A</v>
      </c>
      <c r="G274" s="50" t="e">
        <f>VLOOKUP(B274,aa!B:L,11,0)</f>
        <v>#N/A</v>
      </c>
      <c r="H274" s="50" t="e">
        <f>VLOOKUP(B274,aa!B:O,14,0)</f>
        <v>#N/A</v>
      </c>
      <c r="I274" s="50" t="e">
        <f>VLOOKUP(B274,aa!B:R,17,0)</f>
        <v>#N/A</v>
      </c>
      <c r="K274" s="50" t="s">
        <v>3549</v>
      </c>
      <c r="L274" s="50">
        <v>3585053</v>
      </c>
      <c r="M274" s="50">
        <v>4010614</v>
      </c>
      <c r="N274" s="50">
        <v>1220827</v>
      </c>
      <c r="O274" s="50">
        <v>1460</v>
      </c>
      <c r="P274" s="50" t="s">
        <v>10216</v>
      </c>
      <c r="Q274" s="50">
        <v>0</v>
      </c>
      <c r="R274" s="50">
        <v>0</v>
      </c>
      <c r="T274" s="50">
        <v>2364226</v>
      </c>
      <c r="U274" s="50">
        <v>1630</v>
      </c>
      <c r="V274" s="50" t="s">
        <v>15787</v>
      </c>
      <c r="W274" s="50" t="s">
        <v>102</v>
      </c>
      <c r="X274" s="50" t="s">
        <v>103</v>
      </c>
      <c r="Y274" s="50" t="s">
        <v>398</v>
      </c>
      <c r="AA274" s="50" t="s">
        <v>12480</v>
      </c>
      <c r="AB274" s="50" t="s">
        <v>15788</v>
      </c>
      <c r="AC274" s="50" t="s">
        <v>12289</v>
      </c>
      <c r="AD274" s="50" t="s">
        <v>15789</v>
      </c>
      <c r="AE274" s="50" t="s">
        <v>11886</v>
      </c>
      <c r="AF274" s="50" t="s">
        <v>15789</v>
      </c>
      <c r="AG274" s="50" t="s">
        <v>109</v>
      </c>
      <c r="AH274" s="50" t="s">
        <v>102</v>
      </c>
      <c r="AI274" s="50" t="s">
        <v>15790</v>
      </c>
      <c r="AJ274" s="50" t="s">
        <v>15791</v>
      </c>
      <c r="AK274" s="50" t="s">
        <v>13867</v>
      </c>
      <c r="AL274" s="50" t="s">
        <v>15792</v>
      </c>
      <c r="AM274" s="50" t="s">
        <v>15793</v>
      </c>
      <c r="AN274" s="50" t="s">
        <v>15794</v>
      </c>
      <c r="AO274" s="50" t="s">
        <v>15795</v>
      </c>
      <c r="AP274" s="50" t="s">
        <v>15795</v>
      </c>
      <c r="AU274" s="50" t="s">
        <v>318</v>
      </c>
      <c r="AV274" s="50" t="s">
        <v>118</v>
      </c>
      <c r="AW274" s="50" t="s">
        <v>102</v>
      </c>
      <c r="AX274" s="50" t="s">
        <v>119</v>
      </c>
      <c r="BA274" s="50" t="s">
        <v>250</v>
      </c>
      <c r="BB274" s="50" t="s">
        <v>171</v>
      </c>
      <c r="BC274" s="50" t="s">
        <v>920</v>
      </c>
      <c r="BD274" s="50" t="s">
        <v>211</v>
      </c>
      <c r="BE274" s="50" t="s">
        <v>212</v>
      </c>
      <c r="BF274" s="50" t="s">
        <v>213</v>
      </c>
      <c r="BG274" s="50" t="s">
        <v>124</v>
      </c>
      <c r="BH274" s="50" t="s">
        <v>11959</v>
      </c>
      <c r="BI274" s="50" t="s">
        <v>11960</v>
      </c>
      <c r="BJ274" s="50" t="s">
        <v>127</v>
      </c>
      <c r="BK274" s="50" t="s">
        <v>15796</v>
      </c>
      <c r="BL274" s="50" t="s">
        <v>5831</v>
      </c>
      <c r="BM274" s="50" t="s">
        <v>15797</v>
      </c>
      <c r="BN274" s="50" t="s">
        <v>411</v>
      </c>
      <c r="BO274" s="50" t="s">
        <v>7108</v>
      </c>
      <c r="BP274" s="50" t="s">
        <v>180</v>
      </c>
      <c r="BQ274" s="50" t="s">
        <v>7109</v>
      </c>
      <c r="BR274" s="50" t="s">
        <v>2151</v>
      </c>
      <c r="BS274" s="50" t="s">
        <v>2151</v>
      </c>
      <c r="BU274" s="50" t="s">
        <v>15798</v>
      </c>
      <c r="BV274" s="50" t="s">
        <v>5835</v>
      </c>
      <c r="BW274" s="50" t="s">
        <v>138</v>
      </c>
      <c r="BX274" s="50" t="s">
        <v>5836</v>
      </c>
      <c r="BY274" s="50" t="s">
        <v>5837</v>
      </c>
      <c r="BZ274" s="50" t="s">
        <v>5838</v>
      </c>
      <c r="CA274" s="50" t="s">
        <v>15799</v>
      </c>
      <c r="CB274" s="50" t="s">
        <v>5836</v>
      </c>
      <c r="CC274" s="50" t="s">
        <v>5837</v>
      </c>
      <c r="CD274" s="50" t="s">
        <v>15800</v>
      </c>
      <c r="CE274" s="50" t="s">
        <v>5840</v>
      </c>
      <c r="CF274" s="50" t="s">
        <v>5841</v>
      </c>
      <c r="CG274" s="50" t="s">
        <v>5842</v>
      </c>
      <c r="CH274" s="50" t="s">
        <v>5843</v>
      </c>
      <c r="CJ274" s="50" t="s">
        <v>5844</v>
      </c>
      <c r="CK274" s="50" t="s">
        <v>5843</v>
      </c>
      <c r="CL274" s="50" t="s">
        <v>920</v>
      </c>
      <c r="CM274" s="50" t="s">
        <v>211</v>
      </c>
      <c r="CN274" s="50" t="s">
        <v>5844</v>
      </c>
      <c r="CO274" s="50" t="s">
        <v>5845</v>
      </c>
      <c r="CP274" s="50" t="s">
        <v>5843</v>
      </c>
      <c r="CQ274" s="50" t="s">
        <v>5843</v>
      </c>
      <c r="CR274" s="50" t="s">
        <v>26040</v>
      </c>
    </row>
    <row r="275" spans="1:96">
      <c r="A275" s="95" t="s">
        <v>149</v>
      </c>
      <c r="B275" s="50">
        <v>3799725</v>
      </c>
      <c r="C275" s="50" t="s">
        <v>11898</v>
      </c>
      <c r="D275" s="50" t="s">
        <v>7449</v>
      </c>
      <c r="E275" s="50" t="str">
        <f>VLOOKUP(B275,aa!B:F,5,0)</f>
        <v>Ei ASSET,Ei CARES</v>
      </c>
      <c r="F275" s="50">
        <f>VLOOKUP(B275,aa!B:J,9,0)</f>
        <v>1602182</v>
      </c>
      <c r="G275" s="50">
        <f>VLOOKUP(B275,aa!B:L,11,0)</f>
        <v>624897</v>
      </c>
      <c r="H275" s="50">
        <f>VLOOKUP(B275,aa!B:O,14,0)</f>
        <v>977285</v>
      </c>
      <c r="I275" s="50">
        <f>VLOOKUP(B275,aa!B:R,17,0)</f>
        <v>0</v>
      </c>
      <c r="K275" s="50" t="s">
        <v>2044</v>
      </c>
      <c r="L275" s="50">
        <v>1050181</v>
      </c>
      <c r="M275" s="50">
        <v>1050181</v>
      </c>
      <c r="N275" s="50">
        <v>409800</v>
      </c>
      <c r="O275" s="50">
        <v>500</v>
      </c>
      <c r="P275" s="50" t="s">
        <v>17018</v>
      </c>
      <c r="Q275" s="50">
        <v>640381</v>
      </c>
      <c r="R275" s="50">
        <v>500</v>
      </c>
      <c r="S275" s="50" t="s">
        <v>10554</v>
      </c>
      <c r="T275" s="50">
        <v>0</v>
      </c>
      <c r="U275" s="50">
        <v>0</v>
      </c>
      <c r="W275" s="50" t="s">
        <v>102</v>
      </c>
      <c r="X275" s="50" t="s">
        <v>103</v>
      </c>
      <c r="Y275" s="50" t="s">
        <v>155</v>
      </c>
      <c r="AA275" s="50" t="s">
        <v>13680</v>
      </c>
      <c r="AB275" s="50" t="s">
        <v>17019</v>
      </c>
      <c r="AC275" s="50" t="s">
        <v>11976</v>
      </c>
      <c r="AD275" s="50" t="s">
        <v>17019</v>
      </c>
      <c r="AE275" s="50" t="s">
        <v>11888</v>
      </c>
      <c r="AF275" s="50" t="s">
        <v>17019</v>
      </c>
      <c r="AG275" s="50" t="s">
        <v>12084</v>
      </c>
      <c r="AH275" s="50" t="s">
        <v>17019</v>
      </c>
      <c r="AI275" s="50" t="s">
        <v>17020</v>
      </c>
      <c r="AJ275" s="50" t="s">
        <v>13602</v>
      </c>
      <c r="AK275" s="50" t="s">
        <v>17021</v>
      </c>
      <c r="AL275" s="50" t="s">
        <v>17022</v>
      </c>
      <c r="AM275" s="50" t="s">
        <v>17023</v>
      </c>
      <c r="AN275" s="50" t="s">
        <v>17024</v>
      </c>
      <c r="AO275" s="50" t="s">
        <v>17025</v>
      </c>
      <c r="AP275" s="50" t="s">
        <v>17026</v>
      </c>
      <c r="AT275" s="50" t="s">
        <v>169</v>
      </c>
      <c r="AU275" s="50" t="s">
        <v>318</v>
      </c>
      <c r="AV275" s="50" t="s">
        <v>118</v>
      </c>
      <c r="AW275" s="50" t="s">
        <v>104</v>
      </c>
      <c r="AX275" s="50" t="s">
        <v>447</v>
      </c>
      <c r="AY275" s="50" t="s">
        <v>170</v>
      </c>
      <c r="AZ275" s="50" t="s">
        <v>118</v>
      </c>
      <c r="BB275" s="50" t="s">
        <v>120</v>
      </c>
      <c r="BC275" s="50" t="s">
        <v>3854</v>
      </c>
      <c r="BD275" s="50" t="s">
        <v>449</v>
      </c>
      <c r="BE275" s="50" t="s">
        <v>122</v>
      </c>
      <c r="BF275" s="50" t="s">
        <v>450</v>
      </c>
      <c r="BG275" s="50" t="s">
        <v>124</v>
      </c>
      <c r="BH275" s="50" t="s">
        <v>13036</v>
      </c>
      <c r="BI275" s="50" t="s">
        <v>11889</v>
      </c>
      <c r="BJ275" s="50" t="s">
        <v>127</v>
      </c>
      <c r="BK275" s="50" t="s">
        <v>17027</v>
      </c>
      <c r="BL275" s="50" t="s">
        <v>7461</v>
      </c>
      <c r="BM275" s="50" t="s">
        <v>17028</v>
      </c>
      <c r="BN275" s="50" t="s">
        <v>411</v>
      </c>
      <c r="BO275" s="50" t="s">
        <v>3267</v>
      </c>
      <c r="BP275" s="50" t="s">
        <v>350</v>
      </c>
      <c r="BQ275" s="50" t="s">
        <v>3268</v>
      </c>
      <c r="BR275" s="50" t="s">
        <v>3269</v>
      </c>
      <c r="BS275" s="50" t="s">
        <v>261</v>
      </c>
      <c r="BU275" s="50" t="s">
        <v>17029</v>
      </c>
      <c r="BV275" s="50" t="s">
        <v>7464</v>
      </c>
      <c r="BW275" s="50" t="s">
        <v>138</v>
      </c>
      <c r="BX275" s="50" t="s">
        <v>7465</v>
      </c>
      <c r="BY275" s="50" t="s">
        <v>7466</v>
      </c>
      <c r="BZ275" s="50" t="s">
        <v>7467</v>
      </c>
      <c r="CA275" s="50" t="s">
        <v>7464</v>
      </c>
      <c r="CB275" s="50" t="s">
        <v>7465</v>
      </c>
      <c r="CC275" s="50" t="s">
        <v>7466</v>
      </c>
      <c r="CD275" s="50" t="s">
        <v>7464</v>
      </c>
      <c r="CE275" s="50" t="s">
        <v>7465</v>
      </c>
      <c r="CF275" s="50" t="s">
        <v>7466</v>
      </c>
      <c r="CG275" s="50" t="s">
        <v>5768</v>
      </c>
      <c r="CH275" s="50" t="s">
        <v>17030</v>
      </c>
      <c r="CJ275" s="50" t="s">
        <v>7472</v>
      </c>
      <c r="CK275" s="50" t="s">
        <v>17031</v>
      </c>
      <c r="CL275" s="50" t="s">
        <v>3854</v>
      </c>
      <c r="CM275" s="50" t="s">
        <v>449</v>
      </c>
      <c r="CN275" s="50" t="s">
        <v>7472</v>
      </c>
      <c r="CO275" s="50" t="s">
        <v>7473</v>
      </c>
      <c r="CP275" s="50" t="s">
        <v>7471</v>
      </c>
      <c r="CQ275" s="50" t="s">
        <v>7471</v>
      </c>
    </row>
    <row r="276" spans="1:96">
      <c r="A276" s="95" t="s">
        <v>149</v>
      </c>
      <c r="B276" s="50">
        <v>5016913</v>
      </c>
      <c r="C276" s="50" t="s">
        <v>12155</v>
      </c>
      <c r="D276" s="50" t="s">
        <v>9811</v>
      </c>
      <c r="E276" s="50" t="str">
        <f>VLOOKUP(B276,aa!B:F,5,0)</f>
        <v>Ei CARES</v>
      </c>
      <c r="F276" s="50">
        <f>VLOOKUP(B276,aa!B:J,9,0)</f>
        <v>352369</v>
      </c>
      <c r="G276" s="50">
        <f>VLOOKUP(B276,aa!B:L,11,0)</f>
        <v>0</v>
      </c>
      <c r="H276" s="50">
        <f>VLOOKUP(B276,aa!B:O,14,0)</f>
        <v>352369</v>
      </c>
      <c r="I276" s="50">
        <f>VLOOKUP(B276,aa!B:R,17,0)</f>
        <v>0</v>
      </c>
      <c r="K276" s="50" t="s">
        <v>152</v>
      </c>
      <c r="L276" s="50">
        <v>312058</v>
      </c>
      <c r="M276" s="50">
        <v>312058</v>
      </c>
      <c r="N276" s="50">
        <v>0</v>
      </c>
      <c r="O276" s="50">
        <v>0</v>
      </c>
      <c r="Q276" s="50">
        <v>312058</v>
      </c>
      <c r="R276" s="50">
        <v>237</v>
      </c>
      <c r="S276" s="50" t="s">
        <v>5240</v>
      </c>
      <c r="T276" s="50">
        <v>0</v>
      </c>
      <c r="U276" s="50">
        <v>0</v>
      </c>
      <c r="W276" s="50" t="s">
        <v>102</v>
      </c>
      <c r="X276" s="50" t="s">
        <v>103</v>
      </c>
      <c r="Y276" s="50" t="s">
        <v>155</v>
      </c>
      <c r="AA276" s="50" t="s">
        <v>12492</v>
      </c>
      <c r="AB276" s="50" t="s">
        <v>18958</v>
      </c>
      <c r="AC276" s="50" t="s">
        <v>13672</v>
      </c>
      <c r="AD276" s="50" t="s">
        <v>18958</v>
      </c>
      <c r="AE276" s="50" t="s">
        <v>12099</v>
      </c>
      <c r="AF276" s="50" t="s">
        <v>18958</v>
      </c>
      <c r="AG276" s="50" t="s">
        <v>11886</v>
      </c>
      <c r="AH276" s="50" t="s">
        <v>18958</v>
      </c>
      <c r="AI276" s="50" t="s">
        <v>102</v>
      </c>
      <c r="AJ276" s="50" t="s">
        <v>12711</v>
      </c>
      <c r="AK276" s="50" t="s">
        <v>16007</v>
      </c>
      <c r="AL276" s="50" t="s">
        <v>18959</v>
      </c>
      <c r="AM276" s="50" t="s">
        <v>18960</v>
      </c>
      <c r="AN276" s="50" t="s">
        <v>18961</v>
      </c>
      <c r="AO276" s="50" t="s">
        <v>18962</v>
      </c>
      <c r="AP276" s="50" t="s">
        <v>18962</v>
      </c>
      <c r="AU276" s="50" t="s">
        <v>102</v>
      </c>
      <c r="AW276" s="50" t="s">
        <v>155</v>
      </c>
      <c r="AX276" s="50" t="s">
        <v>447</v>
      </c>
      <c r="AY276" s="50" t="s">
        <v>1138</v>
      </c>
      <c r="AZ276" s="50" t="s">
        <v>118</v>
      </c>
      <c r="BB276" s="50" t="s">
        <v>120</v>
      </c>
      <c r="BC276" s="50" t="s">
        <v>18963</v>
      </c>
      <c r="BD276" s="50" t="s">
        <v>173</v>
      </c>
      <c r="BE276" s="50" t="s">
        <v>174</v>
      </c>
      <c r="BF276" s="50" t="s">
        <v>173</v>
      </c>
      <c r="BG276" s="50" t="s">
        <v>124</v>
      </c>
      <c r="BH276" s="50" t="s">
        <v>16382</v>
      </c>
      <c r="BI276" s="50" t="s">
        <v>18964</v>
      </c>
      <c r="BJ276" s="50" t="s">
        <v>127</v>
      </c>
      <c r="BK276" s="50" t="s">
        <v>18965</v>
      </c>
      <c r="BL276" s="50" t="s">
        <v>9821</v>
      </c>
      <c r="BM276" s="50" t="s">
        <v>18966</v>
      </c>
      <c r="BN276" s="50" t="s">
        <v>411</v>
      </c>
      <c r="BO276" s="50" t="s">
        <v>12557</v>
      </c>
      <c r="BP276" s="50" t="s">
        <v>180</v>
      </c>
      <c r="BQ276" s="50" t="s">
        <v>12558</v>
      </c>
      <c r="BR276" s="50" t="s">
        <v>12559</v>
      </c>
      <c r="BS276" s="50" t="s">
        <v>1176</v>
      </c>
      <c r="BU276" s="50" t="s">
        <v>18967</v>
      </c>
      <c r="BV276" s="50" t="s">
        <v>9827</v>
      </c>
      <c r="BW276" s="50" t="s">
        <v>138</v>
      </c>
      <c r="BX276" s="50" t="s">
        <v>9828</v>
      </c>
      <c r="BY276" s="50" t="s">
        <v>18968</v>
      </c>
      <c r="BZ276" s="50" t="s">
        <v>9830</v>
      </c>
      <c r="CA276" s="50" t="s">
        <v>9827</v>
      </c>
      <c r="CB276" s="50" t="s">
        <v>9828</v>
      </c>
      <c r="CC276" s="50" t="s">
        <v>18968</v>
      </c>
      <c r="CD276" s="50" t="s">
        <v>18969</v>
      </c>
      <c r="CE276" s="50" t="s">
        <v>9828</v>
      </c>
      <c r="CF276" s="50" t="s">
        <v>18968</v>
      </c>
      <c r="CG276" s="50" t="s">
        <v>9831</v>
      </c>
      <c r="CH276" s="50" t="s">
        <v>18970</v>
      </c>
      <c r="CJ276" s="50" t="s">
        <v>9833</v>
      </c>
      <c r="CK276" s="50" t="s">
        <v>18970</v>
      </c>
      <c r="CL276" s="50" t="s">
        <v>18963</v>
      </c>
      <c r="CM276" s="50" t="s">
        <v>173</v>
      </c>
      <c r="CN276" s="50" t="s">
        <v>9833</v>
      </c>
      <c r="CP276" s="50" t="s">
        <v>9834</v>
      </c>
      <c r="CQ276" s="50" t="s">
        <v>9834</v>
      </c>
    </row>
    <row r="277" spans="1:96">
      <c r="A277" s="50" t="s">
        <v>26356</v>
      </c>
      <c r="B277" s="50">
        <v>5045366</v>
      </c>
      <c r="C277" s="50" t="s">
        <v>12834</v>
      </c>
      <c r="D277" s="50" t="s">
        <v>20439</v>
      </c>
      <c r="E277" s="50" t="e">
        <f>VLOOKUP(B277,aa!B:F,5,0)</f>
        <v>#N/A</v>
      </c>
      <c r="F277" s="50" t="e">
        <f>VLOOKUP(B277,aa!B:J,9,0)</f>
        <v>#N/A</v>
      </c>
      <c r="G277" s="50" t="e">
        <f>VLOOKUP(B277,aa!B:L,11,0)</f>
        <v>#N/A</v>
      </c>
      <c r="H277" s="50" t="e">
        <f>VLOOKUP(B277,aa!B:O,14,0)</f>
        <v>#N/A</v>
      </c>
      <c r="I277" s="50" t="e">
        <f>VLOOKUP(B277,aa!B:R,17,0)</f>
        <v>#N/A</v>
      </c>
      <c r="K277" s="50" t="s">
        <v>97</v>
      </c>
      <c r="L277" s="50">
        <v>228600</v>
      </c>
      <c r="M277" s="50">
        <v>228600</v>
      </c>
      <c r="N277" s="50">
        <v>228600</v>
      </c>
      <c r="O277" s="50">
        <v>381</v>
      </c>
      <c r="P277" s="50" t="s">
        <v>310</v>
      </c>
      <c r="Q277" s="50">
        <v>0</v>
      </c>
      <c r="R277" s="50">
        <v>0</v>
      </c>
      <c r="T277" s="50">
        <v>0</v>
      </c>
      <c r="U277" s="50">
        <v>0</v>
      </c>
      <c r="W277" s="50" t="s">
        <v>102</v>
      </c>
      <c r="X277" s="50" t="s">
        <v>103</v>
      </c>
      <c r="Y277" s="50" t="s">
        <v>398</v>
      </c>
      <c r="AA277" s="50" t="s">
        <v>12128</v>
      </c>
      <c r="AB277" s="50" t="s">
        <v>20440</v>
      </c>
      <c r="AC277" s="50" t="s">
        <v>12836</v>
      </c>
      <c r="AD277" s="50" t="s">
        <v>20441</v>
      </c>
      <c r="AE277" s="50" t="s">
        <v>12838</v>
      </c>
      <c r="AF277" s="50" t="s">
        <v>20441</v>
      </c>
      <c r="AG277" s="50" t="s">
        <v>109</v>
      </c>
      <c r="AH277" s="50" t="s">
        <v>102</v>
      </c>
      <c r="AI277" s="50" t="s">
        <v>102</v>
      </c>
      <c r="AL277" s="50" t="s">
        <v>20442</v>
      </c>
      <c r="AM277" s="50" t="s">
        <v>102</v>
      </c>
      <c r="AN277" s="50" t="s">
        <v>20442</v>
      </c>
      <c r="AO277" s="50" t="s">
        <v>317</v>
      </c>
      <c r="AP277" s="50" t="s">
        <v>317</v>
      </c>
      <c r="AU277" s="50" t="s">
        <v>318</v>
      </c>
      <c r="AV277" s="50" t="s">
        <v>118</v>
      </c>
      <c r="AW277" s="50" t="s">
        <v>102</v>
      </c>
      <c r="AX277" s="50" t="s">
        <v>119</v>
      </c>
      <c r="BB277" s="50" t="s">
        <v>1964</v>
      </c>
      <c r="BC277" s="50" t="s">
        <v>7718</v>
      </c>
      <c r="BD277" s="50" t="s">
        <v>211</v>
      </c>
      <c r="BE277" s="50" t="s">
        <v>212</v>
      </c>
      <c r="BF277" s="50" t="s">
        <v>213</v>
      </c>
      <c r="BG277" s="50" t="s">
        <v>124</v>
      </c>
      <c r="BH277" s="50" t="s">
        <v>12023</v>
      </c>
      <c r="BI277" s="50" t="s">
        <v>11889</v>
      </c>
      <c r="BJ277" s="50" t="s">
        <v>127</v>
      </c>
      <c r="BK277" s="50" t="s">
        <v>20443</v>
      </c>
      <c r="BL277" s="50" t="s">
        <v>20444</v>
      </c>
      <c r="BM277" s="50" t="s">
        <v>20445</v>
      </c>
      <c r="BN277" s="50" t="s">
        <v>411</v>
      </c>
      <c r="BO277" s="50" t="s">
        <v>480</v>
      </c>
      <c r="BP277" s="50" t="s">
        <v>505</v>
      </c>
      <c r="BQ277" s="50" t="s">
        <v>481</v>
      </c>
      <c r="BR277" s="50" t="s">
        <v>482</v>
      </c>
      <c r="BS277" s="50" t="s">
        <v>2593</v>
      </c>
      <c r="BU277" s="50" t="s">
        <v>20446</v>
      </c>
      <c r="BV277" s="50" t="s">
        <v>20447</v>
      </c>
      <c r="BW277" s="50" t="s">
        <v>138</v>
      </c>
      <c r="BX277" s="50" t="s">
        <v>481</v>
      </c>
      <c r="BY277" s="50" t="s">
        <v>12845</v>
      </c>
      <c r="BZ277" s="50" t="s">
        <v>20448</v>
      </c>
      <c r="CA277" s="50" t="s">
        <v>20447</v>
      </c>
      <c r="CB277" s="50" t="s">
        <v>20448</v>
      </c>
      <c r="CC277" s="50" t="s">
        <v>20449</v>
      </c>
      <c r="CD277" s="50" t="s">
        <v>20450</v>
      </c>
      <c r="CE277" s="50" t="s">
        <v>20451</v>
      </c>
      <c r="CF277" s="50" t="s">
        <v>20452</v>
      </c>
      <c r="CG277" s="50" t="s">
        <v>20453</v>
      </c>
      <c r="CH277" s="50" t="s">
        <v>20454</v>
      </c>
      <c r="CJ277" s="50" t="s">
        <v>20455</v>
      </c>
      <c r="CK277" s="50" t="s">
        <v>20456</v>
      </c>
      <c r="CL277" s="50" t="s">
        <v>7718</v>
      </c>
      <c r="CM277" s="50" t="s">
        <v>211</v>
      </c>
      <c r="CN277" s="50" t="s">
        <v>20455</v>
      </c>
      <c r="CP277" s="50" t="s">
        <v>20457</v>
      </c>
      <c r="CQ277" s="50" t="s">
        <v>20457</v>
      </c>
    </row>
    <row r="278" spans="1:96">
      <c r="A278" s="50" t="s">
        <v>26356</v>
      </c>
      <c r="B278" s="50">
        <v>559960</v>
      </c>
      <c r="C278" s="50" t="s">
        <v>23397</v>
      </c>
      <c r="D278" s="50" t="s">
        <v>21129</v>
      </c>
      <c r="E278" s="50" t="e">
        <f>VLOOKUP(B278,aa!B:F,5,0)</f>
        <v>#N/A</v>
      </c>
      <c r="F278" s="50" t="e">
        <f>VLOOKUP(B278,aa!B:J,9,0)</f>
        <v>#N/A</v>
      </c>
      <c r="G278" s="50" t="e">
        <f>VLOOKUP(B278,aa!B:L,11,0)</f>
        <v>#N/A</v>
      </c>
      <c r="H278" s="50" t="e">
        <f>VLOOKUP(B278,aa!B:O,14,0)</f>
        <v>#N/A</v>
      </c>
      <c r="I278" s="50" t="e">
        <f>VLOOKUP(B278,aa!B:R,17,0)</f>
        <v>#N/A</v>
      </c>
      <c r="K278" s="50" t="s">
        <v>97</v>
      </c>
      <c r="L278" s="50">
        <v>495000</v>
      </c>
      <c r="M278" s="50">
        <v>495000</v>
      </c>
      <c r="N278" s="50">
        <v>495000</v>
      </c>
      <c r="O278" s="50">
        <v>825</v>
      </c>
      <c r="P278" s="50" t="s">
        <v>310</v>
      </c>
      <c r="Q278" s="50">
        <v>0</v>
      </c>
      <c r="R278" s="50">
        <v>0</v>
      </c>
      <c r="T278" s="50">
        <v>0</v>
      </c>
      <c r="U278" s="50">
        <v>0</v>
      </c>
      <c r="W278" s="50" t="s">
        <v>102</v>
      </c>
      <c r="X278" s="50" t="s">
        <v>103</v>
      </c>
      <c r="Y278" s="50" t="s">
        <v>398</v>
      </c>
      <c r="AA278" s="50" t="s">
        <v>12128</v>
      </c>
      <c r="AB278" s="50" t="s">
        <v>21130</v>
      </c>
      <c r="AC278" s="50" t="s">
        <v>12836</v>
      </c>
      <c r="AD278" s="50" t="s">
        <v>21131</v>
      </c>
      <c r="AE278" s="50" t="s">
        <v>12838</v>
      </c>
      <c r="AF278" s="50" t="s">
        <v>21131</v>
      </c>
      <c r="AG278" s="50" t="s">
        <v>109</v>
      </c>
      <c r="AH278" s="50" t="s">
        <v>102</v>
      </c>
      <c r="AI278" s="50" t="s">
        <v>102</v>
      </c>
      <c r="AL278" s="50" t="s">
        <v>21132</v>
      </c>
      <c r="AM278" s="50" t="s">
        <v>102</v>
      </c>
      <c r="AN278" s="50" t="s">
        <v>21132</v>
      </c>
      <c r="AO278" s="50" t="s">
        <v>317</v>
      </c>
      <c r="AP278" s="50" t="s">
        <v>317</v>
      </c>
      <c r="AU278" s="50" t="s">
        <v>318</v>
      </c>
      <c r="AV278" s="50" t="s">
        <v>118</v>
      </c>
      <c r="AW278" s="50" t="s">
        <v>102</v>
      </c>
      <c r="AX278" s="50" t="s">
        <v>119</v>
      </c>
      <c r="BB278" s="50" t="s">
        <v>120</v>
      </c>
      <c r="BC278" s="50" t="s">
        <v>920</v>
      </c>
      <c r="BD278" s="50" t="s">
        <v>211</v>
      </c>
      <c r="BE278" s="50" t="s">
        <v>212</v>
      </c>
      <c r="BF278" s="50" t="s">
        <v>213</v>
      </c>
      <c r="BG278" s="50" t="s">
        <v>124</v>
      </c>
      <c r="BH278" s="50" t="s">
        <v>12023</v>
      </c>
      <c r="BI278" s="50" t="s">
        <v>11889</v>
      </c>
      <c r="BJ278" s="50" t="s">
        <v>127</v>
      </c>
      <c r="BK278" s="50" t="s">
        <v>21133</v>
      </c>
      <c r="BL278" s="50" t="s">
        <v>21134</v>
      </c>
      <c r="BM278" s="50" t="s">
        <v>21135</v>
      </c>
      <c r="BN278" s="50" t="s">
        <v>411</v>
      </c>
      <c r="BO278" s="50" t="s">
        <v>480</v>
      </c>
      <c r="BP278" s="50" t="s">
        <v>505</v>
      </c>
      <c r="BQ278" s="50" t="s">
        <v>481</v>
      </c>
      <c r="BR278" s="50" t="s">
        <v>482</v>
      </c>
      <c r="BS278" s="50" t="s">
        <v>2593</v>
      </c>
      <c r="BT278" s="50" t="s">
        <v>4997</v>
      </c>
      <c r="BU278" s="50" t="s">
        <v>21136</v>
      </c>
      <c r="BV278" s="50" t="s">
        <v>21137</v>
      </c>
      <c r="BW278" s="50" t="s">
        <v>138</v>
      </c>
      <c r="BX278" s="50" t="s">
        <v>481</v>
      </c>
      <c r="BY278" s="50" t="s">
        <v>12845</v>
      </c>
      <c r="BZ278" s="50" t="s">
        <v>21138</v>
      </c>
      <c r="CA278" s="50" t="s">
        <v>21139</v>
      </c>
      <c r="CB278" s="50" t="s">
        <v>21140</v>
      </c>
      <c r="CC278" s="50" t="s">
        <v>21141</v>
      </c>
      <c r="CD278" s="50" t="s">
        <v>21142</v>
      </c>
      <c r="CE278" s="50" t="s">
        <v>21143</v>
      </c>
      <c r="CF278" s="50" t="s">
        <v>21144</v>
      </c>
      <c r="CG278" s="50" t="s">
        <v>5581</v>
      </c>
      <c r="CH278" s="50" t="s">
        <v>21145</v>
      </c>
      <c r="CJ278" s="50" t="s">
        <v>21146</v>
      </c>
      <c r="CK278" s="50" t="s">
        <v>21145</v>
      </c>
      <c r="CL278" s="50" t="s">
        <v>920</v>
      </c>
      <c r="CM278" s="50" t="s">
        <v>211</v>
      </c>
      <c r="CN278" s="50" t="s">
        <v>21146</v>
      </c>
      <c r="CP278" s="50" t="s">
        <v>21147</v>
      </c>
      <c r="CQ278" s="50" t="s">
        <v>21147</v>
      </c>
    </row>
    <row r="279" spans="1:96">
      <c r="A279" s="95" t="s">
        <v>149</v>
      </c>
      <c r="B279" s="50">
        <v>10251</v>
      </c>
      <c r="C279" s="50" t="s">
        <v>11995</v>
      </c>
      <c r="D279" s="50" t="s">
        <v>271</v>
      </c>
      <c r="E279" s="50" t="str">
        <f>VLOOKUP(B279,aa!B:F,5,0)</f>
        <v>Ei CARES</v>
      </c>
      <c r="F279" s="50">
        <f>VLOOKUP(B279,aa!B:J,9,0)</f>
        <v>1110525</v>
      </c>
      <c r="G279" s="50">
        <f>VLOOKUP(B279,aa!B:L,11,0)</f>
        <v>0</v>
      </c>
      <c r="H279" s="50">
        <f>VLOOKUP(B279,aa!B:O,14,0)</f>
        <v>1110525</v>
      </c>
      <c r="I279" s="50">
        <f>VLOOKUP(B279,aa!B:R,17,0)</f>
        <v>0</v>
      </c>
      <c r="K279" s="50" t="s">
        <v>152</v>
      </c>
      <c r="L279" s="50">
        <v>992708</v>
      </c>
      <c r="M279" s="50">
        <v>992708</v>
      </c>
      <c r="N279" s="50">
        <v>0</v>
      </c>
      <c r="O279" s="50">
        <v>0</v>
      </c>
      <c r="Q279" s="50">
        <v>992708</v>
      </c>
      <c r="R279" s="50">
        <v>737</v>
      </c>
      <c r="S279" s="50" t="s">
        <v>11997</v>
      </c>
      <c r="T279" s="50">
        <v>0</v>
      </c>
      <c r="U279" s="50">
        <v>0</v>
      </c>
      <c r="W279" s="50" t="s">
        <v>102</v>
      </c>
      <c r="X279" s="50" t="s">
        <v>275</v>
      </c>
      <c r="Z279" s="50" t="s">
        <v>126</v>
      </c>
      <c r="AA279" s="50" t="s">
        <v>109</v>
      </c>
      <c r="AB279" s="50" t="s">
        <v>102</v>
      </c>
      <c r="AC279" s="50" t="s">
        <v>109</v>
      </c>
      <c r="AD279" s="50" t="s">
        <v>102</v>
      </c>
      <c r="AE279" s="50" t="s">
        <v>109</v>
      </c>
      <c r="AF279" s="50" t="s">
        <v>102</v>
      </c>
      <c r="AG279" s="50" t="s">
        <v>109</v>
      </c>
      <c r="AH279" s="50" t="s">
        <v>102</v>
      </c>
      <c r="AI279" s="50" t="s">
        <v>11998</v>
      </c>
      <c r="AJ279" s="50" t="s">
        <v>11999</v>
      </c>
      <c r="AK279" s="50" t="s">
        <v>11999</v>
      </c>
      <c r="AL279" s="50" t="s">
        <v>12000</v>
      </c>
      <c r="AM279" s="50" t="s">
        <v>12001</v>
      </c>
      <c r="AN279" s="50" t="s">
        <v>12002</v>
      </c>
      <c r="AO279" s="50" t="s">
        <v>12003</v>
      </c>
      <c r="AP279" s="50" t="s">
        <v>12004</v>
      </c>
      <c r="AQ279" s="50" t="s">
        <v>169</v>
      </c>
      <c r="AU279" s="50" t="s">
        <v>102</v>
      </c>
      <c r="AW279" s="50" t="s">
        <v>283</v>
      </c>
      <c r="AX279" s="50" t="s">
        <v>119</v>
      </c>
      <c r="AZ279" s="50" t="s">
        <v>250</v>
      </c>
      <c r="BB279" s="50" t="s">
        <v>171</v>
      </c>
      <c r="BC279" s="50" t="s">
        <v>284</v>
      </c>
      <c r="BD279" s="50" t="s">
        <v>285</v>
      </c>
      <c r="BE279" s="50" t="s">
        <v>212</v>
      </c>
      <c r="BF279" s="50" t="s">
        <v>286</v>
      </c>
      <c r="BG279" s="50" t="s">
        <v>124</v>
      </c>
      <c r="BH279" s="50" t="s">
        <v>12005</v>
      </c>
      <c r="BI279" s="50" t="s">
        <v>11889</v>
      </c>
      <c r="BJ279" s="50" t="s">
        <v>127</v>
      </c>
      <c r="BK279" s="50" t="s">
        <v>12006</v>
      </c>
      <c r="BL279" s="50" t="s">
        <v>288</v>
      </c>
      <c r="BM279" s="50" t="s">
        <v>12007</v>
      </c>
      <c r="BN279" s="50" t="s">
        <v>11996</v>
      </c>
      <c r="BO279" s="50" t="s">
        <v>12008</v>
      </c>
      <c r="BP279" s="50" t="s">
        <v>132</v>
      </c>
      <c r="BQ279" s="50" t="s">
        <v>12009</v>
      </c>
      <c r="BR279" s="50" t="s">
        <v>12010</v>
      </c>
      <c r="BS279" s="50" t="s">
        <v>293</v>
      </c>
      <c r="BU279" s="50" t="s">
        <v>12011</v>
      </c>
      <c r="BV279" s="50" t="s">
        <v>295</v>
      </c>
      <c r="BW279" s="50" t="s">
        <v>296</v>
      </c>
      <c r="BX279" s="50" t="s">
        <v>297</v>
      </c>
      <c r="BY279" s="50" t="s">
        <v>298</v>
      </c>
      <c r="CA279" s="50" t="s">
        <v>12012</v>
      </c>
      <c r="CB279" s="50" t="s">
        <v>300</v>
      </c>
      <c r="CC279" s="50" t="s">
        <v>12013</v>
      </c>
      <c r="CD279" s="50" t="s">
        <v>12014</v>
      </c>
      <c r="CE279" s="50" t="s">
        <v>12015</v>
      </c>
      <c r="CF279" s="50" t="s">
        <v>12016</v>
      </c>
      <c r="CG279" s="50" t="s">
        <v>102</v>
      </c>
      <c r="CH279" s="50" t="s">
        <v>12017</v>
      </c>
      <c r="CJ279" s="50" t="s">
        <v>305</v>
      </c>
      <c r="CL279" s="50" t="s">
        <v>284</v>
      </c>
      <c r="CM279" s="50" t="s">
        <v>285</v>
      </c>
      <c r="CN279" s="50" t="s">
        <v>305</v>
      </c>
      <c r="CO279" s="50" t="s">
        <v>306</v>
      </c>
      <c r="CP279" s="50" t="s">
        <v>307</v>
      </c>
      <c r="CQ279" s="50" t="s">
        <v>307</v>
      </c>
    </row>
    <row r="280" spans="1:96">
      <c r="A280" s="95" t="s">
        <v>149</v>
      </c>
      <c r="B280" s="50">
        <v>17080</v>
      </c>
      <c r="C280" s="50" t="s">
        <v>418</v>
      </c>
      <c r="D280" s="50" t="s">
        <v>1541</v>
      </c>
      <c r="E280" s="50" t="str">
        <f>VLOOKUP(B280,aa!B:F,5,0)</f>
        <v>Ei CARES,Ei Mindspark</v>
      </c>
      <c r="F280" s="50">
        <f>VLOOKUP(B280,aa!B:J,9,0)</f>
        <v>1704124</v>
      </c>
      <c r="G280" s="50">
        <f>VLOOKUP(B280,aa!B:L,11,0)</f>
        <v>0</v>
      </c>
      <c r="H280" s="50">
        <f>VLOOKUP(B280,aa!B:O,14,0)</f>
        <v>846651</v>
      </c>
      <c r="I280" s="50">
        <f>VLOOKUP(B280,aa!B:R,17,0)</f>
        <v>857473</v>
      </c>
      <c r="K280" s="50" t="s">
        <v>8024</v>
      </c>
      <c r="L280" s="50">
        <v>2060619</v>
      </c>
      <c r="M280" s="50">
        <v>2293901</v>
      </c>
      <c r="N280" s="50">
        <v>0</v>
      </c>
      <c r="O280" s="50">
        <v>0</v>
      </c>
      <c r="Q280" s="50">
        <v>764608</v>
      </c>
      <c r="R280" s="50">
        <v>1358</v>
      </c>
      <c r="S280" s="50" t="s">
        <v>12799</v>
      </c>
      <c r="T280" s="50">
        <v>1296011</v>
      </c>
      <c r="U280" s="50">
        <v>1358</v>
      </c>
      <c r="V280" s="50" t="s">
        <v>6010</v>
      </c>
      <c r="W280" s="50" t="s">
        <v>102</v>
      </c>
      <c r="X280" s="50" t="s">
        <v>103</v>
      </c>
      <c r="Y280" s="50" t="s">
        <v>104</v>
      </c>
      <c r="AA280" s="50" t="s">
        <v>12800</v>
      </c>
      <c r="AB280" s="50" t="s">
        <v>12801</v>
      </c>
      <c r="AC280" s="50" t="s">
        <v>11886</v>
      </c>
      <c r="AD280" s="50" t="s">
        <v>12801</v>
      </c>
      <c r="AE280" s="50" t="s">
        <v>109</v>
      </c>
      <c r="AF280" s="50" t="s">
        <v>102</v>
      </c>
      <c r="AG280" s="50" t="s">
        <v>109</v>
      </c>
      <c r="AH280" s="50" t="s">
        <v>102</v>
      </c>
      <c r="AI280" s="50" t="s">
        <v>12802</v>
      </c>
      <c r="AJ280" s="50" t="s">
        <v>8060</v>
      </c>
      <c r="AK280" s="50" t="s">
        <v>8060</v>
      </c>
      <c r="AL280" s="50" t="s">
        <v>12803</v>
      </c>
      <c r="AM280" s="50" t="s">
        <v>12804</v>
      </c>
      <c r="AN280" s="50" t="s">
        <v>12805</v>
      </c>
      <c r="AO280" s="50" t="s">
        <v>12806</v>
      </c>
      <c r="AP280" s="50" t="s">
        <v>12806</v>
      </c>
      <c r="AU280" s="50" t="s">
        <v>102</v>
      </c>
      <c r="AW280" s="50" t="s">
        <v>1758</v>
      </c>
      <c r="AX280" s="50" t="s">
        <v>119</v>
      </c>
      <c r="AZ280" s="50" t="s">
        <v>250</v>
      </c>
      <c r="BA280" s="50" t="s">
        <v>250</v>
      </c>
      <c r="BB280" s="50" t="s">
        <v>120</v>
      </c>
      <c r="BC280" s="50" t="s">
        <v>1552</v>
      </c>
      <c r="BD280" s="50" t="s">
        <v>410</v>
      </c>
      <c r="BE280" s="50" t="s">
        <v>212</v>
      </c>
      <c r="BF280" s="50" t="s">
        <v>410</v>
      </c>
      <c r="BG280" s="50" t="s">
        <v>124</v>
      </c>
      <c r="BH280" s="50" t="s">
        <v>11959</v>
      </c>
      <c r="BI280" s="50" t="s">
        <v>11960</v>
      </c>
      <c r="BJ280" s="50" t="s">
        <v>127</v>
      </c>
      <c r="BK280" s="50" t="s">
        <v>12807</v>
      </c>
      <c r="BL280" s="50" t="s">
        <v>1554</v>
      </c>
      <c r="BM280" s="50" t="s">
        <v>12808</v>
      </c>
      <c r="BN280" s="50" t="s">
        <v>12496</v>
      </c>
      <c r="BO280" s="50" t="s">
        <v>866</v>
      </c>
      <c r="BP280" s="50" t="s">
        <v>132</v>
      </c>
      <c r="BQ280" s="50" t="s">
        <v>867</v>
      </c>
      <c r="BR280" s="50" t="s">
        <v>868</v>
      </c>
      <c r="BS280" s="50" t="s">
        <v>418</v>
      </c>
      <c r="BU280" s="50" t="s">
        <v>12809</v>
      </c>
      <c r="BV280" s="50" t="s">
        <v>1557</v>
      </c>
      <c r="BX280" s="50" t="s">
        <v>1558</v>
      </c>
      <c r="BY280" s="50" t="s">
        <v>12810</v>
      </c>
      <c r="BZ280" s="50" t="s">
        <v>1560</v>
      </c>
      <c r="CA280" s="50" t="s">
        <v>12811</v>
      </c>
      <c r="CB280" s="50" t="s">
        <v>12812</v>
      </c>
      <c r="CC280" s="50" t="s">
        <v>12813</v>
      </c>
      <c r="CD280" s="50" t="s">
        <v>12814</v>
      </c>
      <c r="CE280" s="50" t="s">
        <v>1562</v>
      </c>
      <c r="CF280" s="50" t="s">
        <v>1563</v>
      </c>
      <c r="CG280" s="50" t="s">
        <v>102</v>
      </c>
      <c r="CH280" s="50" t="s">
        <v>1564</v>
      </c>
      <c r="CJ280" s="50" t="s">
        <v>1565</v>
      </c>
      <c r="CK280" s="50" t="s">
        <v>1564</v>
      </c>
      <c r="CL280" s="50" t="s">
        <v>1552</v>
      </c>
      <c r="CM280" s="50" t="s">
        <v>410</v>
      </c>
      <c r="CN280" s="50" t="s">
        <v>1565</v>
      </c>
      <c r="CO280" s="50" t="s">
        <v>1566</v>
      </c>
      <c r="CP280" s="50" t="s">
        <v>1564</v>
      </c>
      <c r="CQ280" s="50" t="s">
        <v>1564</v>
      </c>
    </row>
    <row r="281" spans="1:96">
      <c r="A281" s="50" t="s">
        <v>93</v>
      </c>
      <c r="B281" s="50">
        <v>214868</v>
      </c>
      <c r="C281" s="50" t="s">
        <v>183</v>
      </c>
      <c r="D281" s="50" t="s">
        <v>13600</v>
      </c>
      <c r="E281" s="50" t="e">
        <f>VLOOKUP(B281,aa!B:F,5,0)</f>
        <v>#N/A</v>
      </c>
      <c r="F281" s="50" t="e">
        <f>VLOOKUP(B281,aa!B:J,9,0)</f>
        <v>#N/A</v>
      </c>
      <c r="G281" s="50" t="e">
        <f>VLOOKUP(B281,aa!B:L,11,0)</f>
        <v>#N/A</v>
      </c>
      <c r="H281" s="50" t="e">
        <f>VLOOKUP(B281,aa!B:O,14,0)</f>
        <v>#N/A</v>
      </c>
      <c r="I281" s="50" t="e">
        <f>VLOOKUP(B281,aa!B:R,17,0)</f>
        <v>#N/A</v>
      </c>
      <c r="K281" s="50" t="s">
        <v>97</v>
      </c>
      <c r="L281" s="50">
        <v>335820</v>
      </c>
      <c r="M281" s="50">
        <v>335820</v>
      </c>
      <c r="N281" s="50">
        <v>335820</v>
      </c>
      <c r="O281" s="50">
        <v>580</v>
      </c>
      <c r="P281" s="50" t="s">
        <v>13601</v>
      </c>
      <c r="Q281" s="50">
        <v>0</v>
      </c>
      <c r="R281" s="50">
        <v>0</v>
      </c>
      <c r="T281" s="50">
        <v>0</v>
      </c>
      <c r="U281" s="50">
        <v>0</v>
      </c>
      <c r="W281" s="50" t="s">
        <v>102</v>
      </c>
      <c r="X281" s="50" t="s">
        <v>103</v>
      </c>
      <c r="Y281" s="50" t="s">
        <v>104</v>
      </c>
      <c r="AA281" s="50" t="s">
        <v>13602</v>
      </c>
      <c r="AB281" s="50" t="s">
        <v>13603</v>
      </c>
      <c r="AC281" s="50" t="s">
        <v>8708</v>
      </c>
      <c r="AD281" s="50" t="s">
        <v>13604</v>
      </c>
      <c r="AE281" s="50" t="s">
        <v>109</v>
      </c>
      <c r="AF281" s="50" t="s">
        <v>102</v>
      </c>
      <c r="AG281" s="50" t="s">
        <v>109</v>
      </c>
      <c r="AH281" s="50" t="s">
        <v>102</v>
      </c>
      <c r="AI281" s="50" t="s">
        <v>102</v>
      </c>
      <c r="AJ281" s="50" t="s">
        <v>8488</v>
      </c>
      <c r="AK281" s="50" t="s">
        <v>8488</v>
      </c>
      <c r="AL281" s="50" t="s">
        <v>13605</v>
      </c>
      <c r="AM281" s="50" t="s">
        <v>13606</v>
      </c>
      <c r="AN281" s="50" t="s">
        <v>13607</v>
      </c>
      <c r="AO281" s="50" t="s">
        <v>13608</v>
      </c>
      <c r="AP281" s="50" t="s">
        <v>13608</v>
      </c>
      <c r="AU281" s="50" t="s">
        <v>318</v>
      </c>
      <c r="AV281" s="50" t="s">
        <v>118</v>
      </c>
      <c r="AW281" s="50" t="s">
        <v>102</v>
      </c>
      <c r="AX281" s="50" t="s">
        <v>119</v>
      </c>
      <c r="BB281" s="50" t="s">
        <v>171</v>
      </c>
      <c r="BC281" s="50" t="s">
        <v>8802</v>
      </c>
      <c r="BD281" s="50" t="s">
        <v>6595</v>
      </c>
      <c r="BE281" s="50" t="s">
        <v>174</v>
      </c>
      <c r="BF281" s="50" t="s">
        <v>4405</v>
      </c>
      <c r="BG281" s="50" t="s">
        <v>124</v>
      </c>
      <c r="BH281" s="50" t="s">
        <v>5694</v>
      </c>
      <c r="BI281" s="50" t="s">
        <v>11886</v>
      </c>
      <c r="BJ281" s="50" t="s">
        <v>127</v>
      </c>
      <c r="BK281" s="50" t="s">
        <v>13609</v>
      </c>
      <c r="BL281" s="50" t="s">
        <v>13610</v>
      </c>
      <c r="BM281" s="50" t="s">
        <v>13611</v>
      </c>
      <c r="BN281" s="50" t="s">
        <v>12496</v>
      </c>
      <c r="BO281" s="50" t="s">
        <v>5531</v>
      </c>
      <c r="BP281" s="50" t="s">
        <v>180</v>
      </c>
      <c r="BQ281" s="50" t="s">
        <v>5532</v>
      </c>
      <c r="BR281" s="50" t="s">
        <v>5533</v>
      </c>
      <c r="BS281" s="50" t="s">
        <v>4413</v>
      </c>
      <c r="BT281" s="50" t="s">
        <v>13612</v>
      </c>
      <c r="BU281" s="50" t="s">
        <v>13613</v>
      </c>
      <c r="BV281" s="50" t="s">
        <v>13614</v>
      </c>
      <c r="BW281" s="50" t="s">
        <v>138</v>
      </c>
      <c r="BX281" s="50" t="s">
        <v>13615</v>
      </c>
      <c r="BY281" s="50" t="s">
        <v>13616</v>
      </c>
      <c r="BZ281" s="50" t="s">
        <v>13617</v>
      </c>
      <c r="CA281" s="50" t="s">
        <v>13614</v>
      </c>
      <c r="CB281" s="50" t="s">
        <v>13615</v>
      </c>
      <c r="CC281" s="50" t="s">
        <v>13616</v>
      </c>
      <c r="CD281" s="50" t="s">
        <v>13614</v>
      </c>
      <c r="CE281" s="50" t="s">
        <v>13615</v>
      </c>
      <c r="CF281" s="50" t="s">
        <v>13616</v>
      </c>
      <c r="CG281" s="50" t="s">
        <v>13618</v>
      </c>
      <c r="CH281" s="50" t="s">
        <v>8802</v>
      </c>
      <c r="CJ281" s="50" t="s">
        <v>13619</v>
      </c>
      <c r="CK281" s="50" t="s">
        <v>13620</v>
      </c>
      <c r="CL281" s="50" t="s">
        <v>8802</v>
      </c>
      <c r="CM281" s="50" t="s">
        <v>6595</v>
      </c>
      <c r="CN281" s="50" t="s">
        <v>13619</v>
      </c>
      <c r="CP281" s="50" t="s">
        <v>13621</v>
      </c>
      <c r="CQ281" s="50" t="s">
        <v>13621</v>
      </c>
      <c r="CR281" s="50" t="s">
        <v>26043</v>
      </c>
    </row>
    <row r="282" spans="1:96">
      <c r="A282" s="95" t="s">
        <v>149</v>
      </c>
      <c r="B282" s="50">
        <v>3292556</v>
      </c>
      <c r="C282" s="50" t="s">
        <v>12491</v>
      </c>
      <c r="D282" s="50" t="s">
        <v>5347</v>
      </c>
      <c r="E282" s="50" t="str">
        <f>VLOOKUP(B282,aa!B:F,5,0)</f>
        <v>Ei ASSET</v>
      </c>
      <c r="F282" s="50">
        <f>VLOOKUP(B282,aa!B:J,9,0)</f>
        <v>519474</v>
      </c>
      <c r="G282" s="50">
        <f>VLOOKUP(B282,aa!B:L,11,0)</f>
        <v>519474</v>
      </c>
      <c r="H282" s="50">
        <f>VLOOKUP(B282,aa!B:O,14,0)</f>
        <v>0</v>
      </c>
      <c r="I282" s="50">
        <f>VLOOKUP(B282,aa!B:R,17,0)</f>
        <v>0</v>
      </c>
      <c r="K282" s="50" t="s">
        <v>97</v>
      </c>
      <c r="L282" s="50">
        <v>510402</v>
      </c>
      <c r="M282" s="50">
        <v>510402</v>
      </c>
      <c r="N282" s="50">
        <v>510402</v>
      </c>
      <c r="O282" s="50">
        <v>645</v>
      </c>
      <c r="P282" s="50" t="s">
        <v>15401</v>
      </c>
      <c r="Q282" s="50">
        <v>0</v>
      </c>
      <c r="R282" s="50">
        <v>0</v>
      </c>
      <c r="T282" s="50">
        <v>0</v>
      </c>
      <c r="U282" s="50">
        <v>0</v>
      </c>
      <c r="W282" s="50" t="s">
        <v>102</v>
      </c>
      <c r="X282" s="50" t="s">
        <v>103</v>
      </c>
      <c r="Y282" s="50" t="s">
        <v>104</v>
      </c>
      <c r="AA282" s="50" t="s">
        <v>11959</v>
      </c>
      <c r="AB282" s="50" t="s">
        <v>15402</v>
      </c>
      <c r="AC282" s="50" t="s">
        <v>5651</v>
      </c>
      <c r="AD282" s="50" t="s">
        <v>15402</v>
      </c>
      <c r="AE282" s="50" t="s">
        <v>109</v>
      </c>
      <c r="AF282" s="50" t="s">
        <v>102</v>
      </c>
      <c r="AG282" s="50" t="s">
        <v>109</v>
      </c>
      <c r="AH282" s="50" t="s">
        <v>102</v>
      </c>
      <c r="AI282" s="50" t="s">
        <v>102</v>
      </c>
      <c r="AJ282" s="50" t="s">
        <v>5351</v>
      </c>
      <c r="AK282" s="50" t="s">
        <v>12327</v>
      </c>
      <c r="AL282" s="50" t="s">
        <v>15403</v>
      </c>
      <c r="AM282" s="50" t="s">
        <v>15404</v>
      </c>
      <c r="AN282" s="50" t="s">
        <v>15405</v>
      </c>
      <c r="AO282" s="50" t="s">
        <v>15406</v>
      </c>
      <c r="AP282" s="50" t="s">
        <v>15406</v>
      </c>
      <c r="AU282" s="50" t="s">
        <v>318</v>
      </c>
      <c r="AV282" s="50" t="s">
        <v>118</v>
      </c>
      <c r="AW282" s="50" t="s">
        <v>102</v>
      </c>
      <c r="AX282" s="50" t="s">
        <v>119</v>
      </c>
      <c r="BB282" s="50" t="s">
        <v>120</v>
      </c>
      <c r="BC282" s="50" t="s">
        <v>4153</v>
      </c>
      <c r="BD282" s="50" t="s">
        <v>320</v>
      </c>
      <c r="BE282" s="50" t="s">
        <v>122</v>
      </c>
      <c r="BF282" s="50" t="s">
        <v>123</v>
      </c>
      <c r="BG282" s="50" t="s">
        <v>124</v>
      </c>
      <c r="BH282" s="50" t="s">
        <v>12023</v>
      </c>
      <c r="BI282" s="50" t="s">
        <v>11889</v>
      </c>
      <c r="BJ282" s="50" t="s">
        <v>127</v>
      </c>
      <c r="BK282" s="50" t="s">
        <v>15407</v>
      </c>
      <c r="BL282" s="50" t="s">
        <v>5358</v>
      </c>
      <c r="BM282" s="50" t="s">
        <v>15408</v>
      </c>
      <c r="BN282" s="50" t="s">
        <v>12496</v>
      </c>
      <c r="BO282" s="50" t="s">
        <v>8788</v>
      </c>
      <c r="BP282" s="50" t="s">
        <v>180</v>
      </c>
      <c r="BQ282" s="50" t="s">
        <v>8789</v>
      </c>
      <c r="BR282" s="50" t="s">
        <v>8790</v>
      </c>
      <c r="BS282" s="50" t="s">
        <v>1006</v>
      </c>
      <c r="BU282" s="50" t="s">
        <v>15409</v>
      </c>
      <c r="BV282" s="50" t="s">
        <v>15410</v>
      </c>
      <c r="BW282" s="50" t="s">
        <v>598</v>
      </c>
      <c r="BX282" s="50" t="s">
        <v>15411</v>
      </c>
      <c r="BY282" s="50" t="s">
        <v>15412</v>
      </c>
      <c r="BZ282" s="50" t="s">
        <v>5364</v>
      </c>
      <c r="CA282" s="50" t="s">
        <v>15413</v>
      </c>
      <c r="CB282" s="50" t="s">
        <v>15414</v>
      </c>
      <c r="CC282" s="50" t="s">
        <v>15412</v>
      </c>
      <c r="CD282" s="50" t="s">
        <v>15415</v>
      </c>
      <c r="CE282" s="50" t="s">
        <v>15411</v>
      </c>
      <c r="CF282" s="50" t="s">
        <v>15412</v>
      </c>
      <c r="CG282" s="50" t="s">
        <v>102</v>
      </c>
      <c r="CH282" s="50" t="s">
        <v>5365</v>
      </c>
      <c r="CJ282" s="50" t="s">
        <v>5366</v>
      </c>
      <c r="CL282" s="50" t="s">
        <v>4153</v>
      </c>
      <c r="CM282" s="50" t="s">
        <v>320</v>
      </c>
      <c r="CN282" s="50" t="s">
        <v>5366</v>
      </c>
      <c r="CP282" s="50" t="s">
        <v>5365</v>
      </c>
      <c r="CQ282" s="50" t="s">
        <v>5365</v>
      </c>
    </row>
    <row r="283" spans="1:96">
      <c r="A283" s="95" t="s">
        <v>26356</v>
      </c>
      <c r="B283" s="50">
        <v>5018044</v>
      </c>
      <c r="C283" s="50" t="s">
        <v>13158</v>
      </c>
      <c r="D283" s="50" t="s">
        <v>10434</v>
      </c>
      <c r="E283" s="50" t="e">
        <f>VLOOKUP(B283,aa!B:F,5,0)</f>
        <v>#N/A</v>
      </c>
      <c r="F283" s="50" t="e">
        <f>VLOOKUP(B283,aa!B:J,9,0)</f>
        <v>#N/A</v>
      </c>
      <c r="G283" s="50" t="e">
        <f>VLOOKUP(B283,aa!B:L,11,0)</f>
        <v>#N/A</v>
      </c>
      <c r="H283" s="50" t="e">
        <f>VLOOKUP(B283,aa!B:O,14,0)</f>
        <v>#N/A</v>
      </c>
      <c r="I283" s="50" t="e">
        <f>VLOOKUP(B283,aa!B:R,17,0)</f>
        <v>#N/A</v>
      </c>
      <c r="K283" s="50" t="s">
        <v>1746</v>
      </c>
      <c r="L283" s="50">
        <v>1824750</v>
      </c>
      <c r="M283" s="50">
        <v>2006430</v>
      </c>
      <c r="N283" s="50">
        <v>323274</v>
      </c>
      <c r="O283" s="50">
        <v>864</v>
      </c>
      <c r="P283" s="50" t="s">
        <v>19364</v>
      </c>
      <c r="Q283" s="50">
        <v>492145</v>
      </c>
      <c r="R283" s="50">
        <v>864</v>
      </c>
      <c r="S283" s="50" t="s">
        <v>519</v>
      </c>
      <c r="T283" s="50">
        <v>1009331</v>
      </c>
      <c r="U283" s="50">
        <v>1061</v>
      </c>
      <c r="V283" s="50" t="s">
        <v>19365</v>
      </c>
      <c r="W283" s="50" t="s">
        <v>102</v>
      </c>
      <c r="X283" s="50" t="s">
        <v>103</v>
      </c>
      <c r="Y283" s="50" t="s">
        <v>155</v>
      </c>
      <c r="AA283" s="50" t="s">
        <v>12692</v>
      </c>
      <c r="AB283" s="50" t="s">
        <v>19366</v>
      </c>
      <c r="AC283" s="50" t="s">
        <v>10729</v>
      </c>
      <c r="AD283" s="50" t="s">
        <v>19366</v>
      </c>
      <c r="AE283" s="50" t="s">
        <v>15295</v>
      </c>
      <c r="AF283" s="50" t="s">
        <v>19366</v>
      </c>
      <c r="AG283" s="50" t="s">
        <v>15295</v>
      </c>
      <c r="AH283" s="50" t="s">
        <v>19366</v>
      </c>
      <c r="AI283" s="50" t="s">
        <v>102</v>
      </c>
      <c r="AJ283" s="50" t="s">
        <v>13863</v>
      </c>
      <c r="AK283" s="50" t="s">
        <v>13863</v>
      </c>
      <c r="AL283" s="50" t="s">
        <v>19367</v>
      </c>
      <c r="AM283" s="50" t="s">
        <v>19368</v>
      </c>
      <c r="AN283" s="50" t="s">
        <v>19369</v>
      </c>
      <c r="AO283" s="50" t="s">
        <v>19370</v>
      </c>
      <c r="AP283" s="50" t="s">
        <v>19370</v>
      </c>
      <c r="AU283" s="50" t="s">
        <v>6700</v>
      </c>
      <c r="AV283" s="50" t="s">
        <v>250</v>
      </c>
      <c r="AW283" s="50" t="s">
        <v>155</v>
      </c>
      <c r="AX283" s="50" t="s">
        <v>119</v>
      </c>
      <c r="AZ283" s="50" t="s">
        <v>250</v>
      </c>
      <c r="BA283" s="50" t="s">
        <v>250</v>
      </c>
      <c r="BB283" s="50" t="s">
        <v>120</v>
      </c>
      <c r="BC283" s="50" t="s">
        <v>19371</v>
      </c>
      <c r="BD283" s="50" t="s">
        <v>19372</v>
      </c>
      <c r="BE283" s="50" t="s">
        <v>122</v>
      </c>
      <c r="BF283" s="50" t="s">
        <v>1244</v>
      </c>
      <c r="BG283" s="50" t="s">
        <v>124</v>
      </c>
      <c r="BH283" s="50" t="s">
        <v>6715</v>
      </c>
      <c r="BI283" s="50" t="s">
        <v>11889</v>
      </c>
      <c r="BJ283" s="50" t="s">
        <v>127</v>
      </c>
      <c r="BK283" s="50" t="s">
        <v>19373</v>
      </c>
      <c r="BL283" s="50" t="s">
        <v>10444</v>
      </c>
      <c r="BM283" s="50" t="s">
        <v>19374</v>
      </c>
      <c r="BN283" s="50" t="s">
        <v>12496</v>
      </c>
      <c r="BO283" s="50" t="s">
        <v>1142</v>
      </c>
      <c r="BP283" s="50" t="s">
        <v>258</v>
      </c>
      <c r="BQ283" s="50" t="s">
        <v>1143</v>
      </c>
      <c r="BR283" s="50" t="s">
        <v>1144</v>
      </c>
      <c r="BS283" s="50" t="s">
        <v>566</v>
      </c>
      <c r="BU283" s="50" t="s">
        <v>19375</v>
      </c>
      <c r="BV283" s="50" t="s">
        <v>10447</v>
      </c>
      <c r="BW283" s="50" t="s">
        <v>354</v>
      </c>
      <c r="BX283" s="50" t="s">
        <v>10448</v>
      </c>
      <c r="BY283" s="50" t="s">
        <v>9098</v>
      </c>
      <c r="BZ283" s="50" t="s">
        <v>10448</v>
      </c>
      <c r="CA283" s="50" t="s">
        <v>10447</v>
      </c>
      <c r="CB283" s="50" t="s">
        <v>10448</v>
      </c>
      <c r="CC283" s="50" t="s">
        <v>9098</v>
      </c>
      <c r="CD283" s="50" t="s">
        <v>10447</v>
      </c>
      <c r="CE283" s="50" t="s">
        <v>10448</v>
      </c>
      <c r="CF283" s="50" t="s">
        <v>9098</v>
      </c>
      <c r="CG283" s="50" t="s">
        <v>102</v>
      </c>
      <c r="CH283" s="50" t="s">
        <v>19376</v>
      </c>
      <c r="CJ283" s="50" t="s">
        <v>19377</v>
      </c>
      <c r="CL283" s="50" t="s">
        <v>19371</v>
      </c>
      <c r="CM283" s="50" t="s">
        <v>19372</v>
      </c>
      <c r="CN283" s="50" t="s">
        <v>19377</v>
      </c>
      <c r="CP283" s="50" t="s">
        <v>10451</v>
      </c>
      <c r="CQ283" s="50" t="s">
        <v>10451</v>
      </c>
    </row>
    <row r="284" spans="1:96">
      <c r="A284" s="95" t="s">
        <v>149</v>
      </c>
      <c r="B284" s="50">
        <v>2470596</v>
      </c>
      <c r="C284" s="50" t="s">
        <v>12423</v>
      </c>
      <c r="D284" s="50" t="s">
        <v>3522</v>
      </c>
      <c r="E284" s="50" t="str">
        <f>VLOOKUP(B284,aa!B:F,5,0)</f>
        <v>Ei ASSET,Ei CARES,Ei Mindspark, Ei Mindspark</v>
      </c>
      <c r="F284" s="50">
        <f>VLOOKUP(B284,aa!B:J,9,0)</f>
        <v>1523364</v>
      </c>
      <c r="G284" s="50">
        <f>VLOOKUP(B284,aa!B:L,11,0)</f>
        <v>163139</v>
      </c>
      <c r="H284" s="50">
        <f>VLOOKUP(B284,aa!B:O,14,0)</f>
        <v>556940</v>
      </c>
      <c r="I284" s="50">
        <f>VLOOKUP(B284,aa!B:R,17,0)</f>
        <v>803285</v>
      </c>
      <c r="K284" s="50" t="s">
        <v>1086</v>
      </c>
      <c r="L284" s="50">
        <v>1203995</v>
      </c>
      <c r="M284" s="50">
        <v>1328052</v>
      </c>
      <c r="N284" s="50">
        <v>116293</v>
      </c>
      <c r="O284" s="50">
        <v>381</v>
      </c>
      <c r="P284" s="50" t="s">
        <v>14107</v>
      </c>
      <c r="Q284" s="50">
        <v>398496</v>
      </c>
      <c r="R284" s="50">
        <v>381</v>
      </c>
      <c r="S284" s="50" t="s">
        <v>14108</v>
      </c>
      <c r="T284" s="50">
        <v>689206</v>
      </c>
      <c r="U284" s="50">
        <v>518</v>
      </c>
      <c r="V284" s="50" t="s">
        <v>14109</v>
      </c>
      <c r="W284" s="50" t="s">
        <v>102</v>
      </c>
      <c r="X284" s="50" t="s">
        <v>103</v>
      </c>
      <c r="Y284" s="50" t="s">
        <v>104</v>
      </c>
      <c r="AA284" s="50" t="s">
        <v>8708</v>
      </c>
      <c r="AB284" s="50" t="s">
        <v>14110</v>
      </c>
      <c r="AC284" s="50" t="s">
        <v>11886</v>
      </c>
      <c r="AD284" s="50" t="s">
        <v>14110</v>
      </c>
      <c r="AE284" s="50" t="s">
        <v>109</v>
      </c>
      <c r="AF284" s="50" t="s">
        <v>102</v>
      </c>
      <c r="AG284" s="50" t="s">
        <v>109</v>
      </c>
      <c r="AH284" s="50" t="s">
        <v>102</v>
      </c>
      <c r="AI284" s="50" t="s">
        <v>14111</v>
      </c>
      <c r="AJ284" s="50" t="s">
        <v>12923</v>
      </c>
      <c r="AK284" s="50" t="s">
        <v>12923</v>
      </c>
      <c r="AL284" s="50" t="s">
        <v>14112</v>
      </c>
      <c r="AM284" s="50" t="s">
        <v>14113</v>
      </c>
      <c r="AN284" s="50" t="s">
        <v>14114</v>
      </c>
      <c r="AO284" s="50" t="s">
        <v>14115</v>
      </c>
      <c r="AP284" s="50" t="s">
        <v>14115</v>
      </c>
      <c r="AU284" s="50" t="s">
        <v>207</v>
      </c>
      <c r="AV284" s="50" t="s">
        <v>250</v>
      </c>
      <c r="AW284" s="50" t="s">
        <v>3536</v>
      </c>
      <c r="AX284" s="50" t="s">
        <v>119</v>
      </c>
      <c r="AZ284" s="50" t="s">
        <v>250</v>
      </c>
      <c r="BA284" s="50" t="s">
        <v>250</v>
      </c>
      <c r="BB284" s="50" t="s">
        <v>171</v>
      </c>
      <c r="BC284" s="50" t="s">
        <v>3537</v>
      </c>
      <c r="BD284" s="50" t="s">
        <v>410</v>
      </c>
      <c r="BE284" s="50" t="s">
        <v>212</v>
      </c>
      <c r="BF284" s="50" t="s">
        <v>410</v>
      </c>
      <c r="BG284" s="50" t="s">
        <v>124</v>
      </c>
      <c r="BH284" s="50" t="s">
        <v>11959</v>
      </c>
      <c r="BI284" s="50" t="s">
        <v>11960</v>
      </c>
      <c r="BJ284" s="50" t="s">
        <v>127</v>
      </c>
      <c r="BK284" s="50" t="s">
        <v>14116</v>
      </c>
      <c r="BL284" s="50" t="s">
        <v>3539</v>
      </c>
      <c r="BM284" s="50" t="s">
        <v>14117</v>
      </c>
      <c r="BN284" s="50" t="s">
        <v>13202</v>
      </c>
      <c r="BO284" s="50" t="s">
        <v>866</v>
      </c>
      <c r="BP284" s="50" t="s">
        <v>13875</v>
      </c>
      <c r="BQ284" s="50" t="s">
        <v>867</v>
      </c>
      <c r="BR284" s="50" t="s">
        <v>868</v>
      </c>
      <c r="BS284" s="50" t="s">
        <v>418</v>
      </c>
      <c r="BU284" s="50" t="s">
        <v>14118</v>
      </c>
      <c r="BV284" s="50" t="s">
        <v>14119</v>
      </c>
      <c r="BX284" s="50" t="s">
        <v>3545</v>
      </c>
      <c r="BY284" s="50" t="s">
        <v>14120</v>
      </c>
      <c r="BZ284" s="50" t="s">
        <v>3545</v>
      </c>
      <c r="CA284" s="50" t="s">
        <v>14119</v>
      </c>
      <c r="CB284" s="50" t="s">
        <v>3545</v>
      </c>
      <c r="CC284" s="50" t="s">
        <v>14120</v>
      </c>
      <c r="CD284" s="50" t="s">
        <v>14121</v>
      </c>
      <c r="CE284" s="50" t="s">
        <v>3545</v>
      </c>
      <c r="CF284" s="50" t="s">
        <v>14120</v>
      </c>
      <c r="CG284" s="50" t="s">
        <v>102</v>
      </c>
      <c r="CH284" s="50" t="s">
        <v>3546</v>
      </c>
      <c r="CJ284" s="50" t="s">
        <v>3547</v>
      </c>
      <c r="CL284" s="50" t="s">
        <v>3537</v>
      </c>
      <c r="CM284" s="50" t="s">
        <v>410</v>
      </c>
      <c r="CN284" s="50" t="s">
        <v>3547</v>
      </c>
      <c r="CP284" s="50" t="s">
        <v>3546</v>
      </c>
      <c r="CQ284" s="50" t="s">
        <v>3546</v>
      </c>
      <c r="CR284" s="50" t="s">
        <v>26040</v>
      </c>
    </row>
    <row r="285" spans="1:96">
      <c r="A285" s="95" t="s">
        <v>149</v>
      </c>
      <c r="B285" s="50">
        <v>3438724</v>
      </c>
      <c r="C285" s="50" t="s">
        <v>384</v>
      </c>
      <c r="D285" s="50" t="s">
        <v>6026</v>
      </c>
      <c r="E285" s="50" t="str">
        <f>VLOOKUP(B285,aa!B:F,5,0)</f>
        <v>Ei CARES</v>
      </c>
      <c r="F285" s="50">
        <f>VLOOKUP(B285,aa!B:J,9,0)</f>
        <v>84445</v>
      </c>
      <c r="G285" s="50">
        <f>VLOOKUP(B285,aa!B:L,11,0)</f>
        <v>0</v>
      </c>
      <c r="H285" s="50">
        <f>VLOOKUP(B285,aa!B:O,14,0)</f>
        <v>84445</v>
      </c>
      <c r="I285" s="50">
        <f>VLOOKUP(B285,aa!B:R,17,0)</f>
        <v>0</v>
      </c>
      <c r="K285" s="50" t="s">
        <v>152</v>
      </c>
      <c r="L285" s="50">
        <v>334512</v>
      </c>
      <c r="M285" s="50">
        <v>334512</v>
      </c>
      <c r="N285" s="50">
        <v>0</v>
      </c>
      <c r="O285" s="50">
        <v>0</v>
      </c>
      <c r="Q285" s="50">
        <v>334512</v>
      </c>
      <c r="R285" s="50">
        <v>244</v>
      </c>
      <c r="S285" s="50" t="s">
        <v>15977</v>
      </c>
      <c r="T285" s="50">
        <v>0</v>
      </c>
      <c r="U285" s="50">
        <v>0</v>
      </c>
      <c r="W285" s="50" t="s">
        <v>102</v>
      </c>
      <c r="X285" s="50" t="s">
        <v>103</v>
      </c>
      <c r="Y285" s="50" t="s">
        <v>104</v>
      </c>
      <c r="AA285" s="50" t="s">
        <v>14272</v>
      </c>
      <c r="AB285" s="50" t="s">
        <v>15978</v>
      </c>
      <c r="AC285" s="50" t="s">
        <v>12289</v>
      </c>
      <c r="AD285" s="50" t="s">
        <v>15978</v>
      </c>
      <c r="AE285" s="50" t="s">
        <v>109</v>
      </c>
      <c r="AF285" s="50" t="s">
        <v>102</v>
      </c>
      <c r="AG285" s="50" t="s">
        <v>109</v>
      </c>
      <c r="AH285" s="50" t="s">
        <v>102</v>
      </c>
      <c r="AI285" s="50" t="s">
        <v>15979</v>
      </c>
      <c r="AJ285" s="50" t="s">
        <v>14292</v>
      </c>
      <c r="AK285" s="50" t="s">
        <v>13034</v>
      </c>
      <c r="AL285" s="50" t="s">
        <v>15980</v>
      </c>
      <c r="AM285" s="50" t="s">
        <v>15981</v>
      </c>
      <c r="AN285" s="50" t="s">
        <v>15982</v>
      </c>
      <c r="AO285" s="50" t="s">
        <v>15983</v>
      </c>
      <c r="AP285" s="50" t="s">
        <v>15983</v>
      </c>
      <c r="AU285" s="50" t="s">
        <v>102</v>
      </c>
      <c r="AW285" s="50" t="s">
        <v>155</v>
      </c>
      <c r="AX285" s="50" t="s">
        <v>447</v>
      </c>
      <c r="AY285" s="50" t="s">
        <v>170</v>
      </c>
      <c r="AZ285" s="50" t="s">
        <v>118</v>
      </c>
      <c r="BB285" s="50" t="s">
        <v>120</v>
      </c>
      <c r="BC285" s="50" t="s">
        <v>375</v>
      </c>
      <c r="BD285" s="50" t="s">
        <v>376</v>
      </c>
      <c r="BE285" s="50" t="s">
        <v>174</v>
      </c>
      <c r="BF285" s="50" t="s">
        <v>376</v>
      </c>
      <c r="BG285" s="50" t="s">
        <v>124</v>
      </c>
      <c r="BH285" s="50" t="s">
        <v>13202</v>
      </c>
      <c r="BI285" s="50" t="s">
        <v>11889</v>
      </c>
      <c r="BJ285" s="50" t="s">
        <v>127</v>
      </c>
      <c r="BK285" s="50" t="s">
        <v>15984</v>
      </c>
      <c r="BL285" s="50" t="s">
        <v>6036</v>
      </c>
      <c r="BM285" s="50" t="s">
        <v>15985</v>
      </c>
      <c r="BN285" s="50" t="s">
        <v>13202</v>
      </c>
      <c r="BO285" s="50" t="s">
        <v>1917</v>
      </c>
      <c r="BP285" s="50" t="s">
        <v>350</v>
      </c>
      <c r="BQ285" s="50" t="s">
        <v>1918</v>
      </c>
      <c r="BR285" s="50" t="s">
        <v>1919</v>
      </c>
      <c r="BS285" s="50" t="s">
        <v>384</v>
      </c>
      <c r="BU285" s="50" t="s">
        <v>15986</v>
      </c>
      <c r="BV285" s="50" t="s">
        <v>6039</v>
      </c>
      <c r="BW285" s="50" t="s">
        <v>138</v>
      </c>
      <c r="BX285" s="50" t="s">
        <v>6040</v>
      </c>
      <c r="BY285" s="50" t="s">
        <v>6041</v>
      </c>
      <c r="BZ285" s="50" t="s">
        <v>6040</v>
      </c>
      <c r="CA285" s="50" t="s">
        <v>6039</v>
      </c>
      <c r="CB285" s="50" t="s">
        <v>6040</v>
      </c>
      <c r="CC285" s="50" t="s">
        <v>6041</v>
      </c>
      <c r="CD285" s="50" t="s">
        <v>6039</v>
      </c>
      <c r="CE285" s="50" t="s">
        <v>6040</v>
      </c>
      <c r="CF285" s="50" t="s">
        <v>6041</v>
      </c>
      <c r="CG285" s="50" t="s">
        <v>102</v>
      </c>
      <c r="CH285" s="50" t="s">
        <v>6026</v>
      </c>
      <c r="CJ285" s="50" t="s">
        <v>6046</v>
      </c>
      <c r="CL285" s="50" t="s">
        <v>375</v>
      </c>
      <c r="CM285" s="50" t="s">
        <v>376</v>
      </c>
      <c r="CN285" s="50" t="s">
        <v>6046</v>
      </c>
      <c r="CO285" s="50" t="s">
        <v>6047</v>
      </c>
      <c r="CP285" s="50" t="s">
        <v>6048</v>
      </c>
      <c r="CQ285" s="50" t="s">
        <v>6048</v>
      </c>
    </row>
    <row r="286" spans="1:96">
      <c r="A286" s="95" t="s">
        <v>149</v>
      </c>
      <c r="B286" s="50">
        <v>3478771</v>
      </c>
      <c r="C286" s="50" t="s">
        <v>12030</v>
      </c>
      <c r="D286" s="50" t="s">
        <v>6317</v>
      </c>
      <c r="E286" s="50" t="str">
        <f>VLOOKUP(B286,aa!B:F,5,0)</f>
        <v>Ei CARES</v>
      </c>
      <c r="F286" s="50">
        <f>VLOOKUP(B286,aa!B:J,9,0)</f>
        <v>609577</v>
      </c>
      <c r="G286" s="50">
        <f>VLOOKUP(B286,aa!B:L,11,0)</f>
        <v>0</v>
      </c>
      <c r="H286" s="50">
        <f>VLOOKUP(B286,aa!B:O,14,0)</f>
        <v>609577</v>
      </c>
      <c r="I286" s="50">
        <f>VLOOKUP(B286,aa!B:R,17,0)</f>
        <v>0</v>
      </c>
      <c r="K286" s="50" t="s">
        <v>152</v>
      </c>
      <c r="L286" s="50">
        <v>542330</v>
      </c>
      <c r="M286" s="50">
        <v>542330</v>
      </c>
      <c r="N286" s="50">
        <v>0</v>
      </c>
      <c r="O286" s="50">
        <v>0</v>
      </c>
      <c r="Q286" s="50">
        <v>542330</v>
      </c>
      <c r="R286" s="50">
        <v>493</v>
      </c>
      <c r="S286" s="50" t="s">
        <v>466</v>
      </c>
      <c r="T286" s="50">
        <v>0</v>
      </c>
      <c r="U286" s="50">
        <v>0</v>
      </c>
      <c r="W286" s="50" t="s">
        <v>102</v>
      </c>
      <c r="X286" s="50" t="s">
        <v>103</v>
      </c>
      <c r="Y286" s="50" t="s">
        <v>155</v>
      </c>
      <c r="AA286" s="50" t="s">
        <v>7484</v>
      </c>
      <c r="AB286" s="50" t="s">
        <v>16223</v>
      </c>
      <c r="AC286" s="50" t="s">
        <v>12480</v>
      </c>
      <c r="AD286" s="50" t="s">
        <v>16223</v>
      </c>
      <c r="AE286" s="50" t="s">
        <v>12041</v>
      </c>
      <c r="AF286" s="50" t="s">
        <v>16223</v>
      </c>
      <c r="AG286" s="50" t="s">
        <v>12820</v>
      </c>
      <c r="AH286" s="50" t="s">
        <v>16223</v>
      </c>
      <c r="AI286" s="50" t="s">
        <v>102</v>
      </c>
      <c r="AJ286" s="50" t="s">
        <v>12931</v>
      </c>
      <c r="AK286" s="50" t="s">
        <v>12931</v>
      </c>
      <c r="AL286" s="50" t="s">
        <v>16224</v>
      </c>
      <c r="AM286" s="50" t="s">
        <v>16225</v>
      </c>
      <c r="AN286" s="50" t="s">
        <v>16226</v>
      </c>
      <c r="AO286" s="50" t="s">
        <v>3853</v>
      </c>
      <c r="AP286" s="50" t="s">
        <v>3853</v>
      </c>
      <c r="AU286" s="50" t="s">
        <v>102</v>
      </c>
      <c r="AW286" s="50" t="s">
        <v>155</v>
      </c>
      <c r="AX286" s="50" t="s">
        <v>447</v>
      </c>
      <c r="AY286" s="50" t="s">
        <v>170</v>
      </c>
      <c r="AZ286" s="50" t="s">
        <v>118</v>
      </c>
      <c r="BB286" s="50" t="s">
        <v>120</v>
      </c>
      <c r="BC286" s="50" t="s">
        <v>6323</v>
      </c>
      <c r="BD286" s="50" t="s">
        <v>2800</v>
      </c>
      <c r="BE286" s="50" t="s">
        <v>122</v>
      </c>
      <c r="BF286" s="50" t="s">
        <v>346</v>
      </c>
      <c r="BG286" s="50" t="s">
        <v>124</v>
      </c>
      <c r="BH286" s="50" t="s">
        <v>12023</v>
      </c>
      <c r="BI286" s="50" t="s">
        <v>11889</v>
      </c>
      <c r="BJ286" s="50" t="s">
        <v>127</v>
      </c>
      <c r="BK286" s="50" t="s">
        <v>16227</v>
      </c>
      <c r="BL286" s="50" t="s">
        <v>6325</v>
      </c>
      <c r="BM286" s="50" t="s">
        <v>16228</v>
      </c>
      <c r="BN286" s="50" t="s">
        <v>13202</v>
      </c>
      <c r="BO286" s="50" t="s">
        <v>593</v>
      </c>
      <c r="BP286" s="50" t="s">
        <v>350</v>
      </c>
      <c r="BQ286" s="50" t="s">
        <v>594</v>
      </c>
      <c r="BR286" s="50" t="s">
        <v>595</v>
      </c>
      <c r="BS286" s="50" t="s">
        <v>328</v>
      </c>
      <c r="BU286" s="50" t="s">
        <v>16229</v>
      </c>
      <c r="BV286" s="50" t="s">
        <v>6328</v>
      </c>
      <c r="BW286" s="50" t="s">
        <v>138</v>
      </c>
      <c r="BX286" s="50" t="s">
        <v>6329</v>
      </c>
      <c r="BY286" s="50" t="s">
        <v>6330</v>
      </c>
      <c r="BZ286" s="50" t="s">
        <v>6331</v>
      </c>
      <c r="CA286" s="50" t="s">
        <v>6328</v>
      </c>
      <c r="CB286" s="50" t="s">
        <v>6329</v>
      </c>
      <c r="CC286" s="50" t="s">
        <v>6330</v>
      </c>
      <c r="CD286" s="50" t="s">
        <v>16230</v>
      </c>
      <c r="CE286" s="50" t="s">
        <v>6333</v>
      </c>
      <c r="CF286" s="50" t="s">
        <v>6334</v>
      </c>
      <c r="CG286" s="50" t="s">
        <v>102</v>
      </c>
      <c r="CH286" s="50" t="s">
        <v>6335</v>
      </c>
      <c r="CJ286" s="50" t="s">
        <v>6336</v>
      </c>
      <c r="CL286" s="50" t="s">
        <v>6323</v>
      </c>
      <c r="CM286" s="50" t="s">
        <v>2800</v>
      </c>
      <c r="CN286" s="50" t="s">
        <v>6336</v>
      </c>
      <c r="CP286" s="50" t="s">
        <v>6335</v>
      </c>
      <c r="CQ286" s="50" t="s">
        <v>6335</v>
      </c>
    </row>
    <row r="287" spans="1:96">
      <c r="A287" s="95" t="s">
        <v>149</v>
      </c>
      <c r="B287" s="50">
        <v>5017708</v>
      </c>
      <c r="C287" s="50" t="s">
        <v>12423</v>
      </c>
      <c r="D287" s="50" t="s">
        <v>10141</v>
      </c>
      <c r="E287" s="50" t="e">
        <f>VLOOKUP(B287,aa!B:F,5,0)</f>
        <v>#N/A</v>
      </c>
      <c r="F287" s="50" t="e">
        <f>VLOOKUP(B287,aa!B:J,9,0)</f>
        <v>#N/A</v>
      </c>
      <c r="G287" s="50" t="e">
        <f>VLOOKUP(B287,aa!B:L,11,0)</f>
        <v>#N/A</v>
      </c>
      <c r="H287" s="50" t="e">
        <f>VLOOKUP(B287,aa!B:O,14,0)</f>
        <v>#N/A</v>
      </c>
      <c r="I287" s="50" t="e">
        <f>VLOOKUP(B287,aa!B:R,17,0)</f>
        <v>#N/A</v>
      </c>
      <c r="K287" s="50" t="s">
        <v>8024</v>
      </c>
      <c r="L287" s="50">
        <v>236651</v>
      </c>
      <c r="M287" s="50">
        <v>266521</v>
      </c>
      <c r="N287" s="50">
        <v>0</v>
      </c>
      <c r="O287" s="50">
        <v>0</v>
      </c>
      <c r="Q287" s="50">
        <v>70707</v>
      </c>
      <c r="R287" s="50">
        <v>111</v>
      </c>
      <c r="S287" s="50" t="s">
        <v>10143</v>
      </c>
      <c r="T287" s="50">
        <v>165944</v>
      </c>
      <c r="U287" s="50">
        <v>111</v>
      </c>
      <c r="V287" s="50" t="s">
        <v>10144</v>
      </c>
      <c r="W287" s="50" t="s">
        <v>102</v>
      </c>
      <c r="X287" s="50" t="s">
        <v>103</v>
      </c>
      <c r="Y287" s="50" t="s">
        <v>155</v>
      </c>
      <c r="AA287" s="50" t="s">
        <v>16483</v>
      </c>
      <c r="AB287" s="50" t="s">
        <v>19099</v>
      </c>
      <c r="AC287" s="50" t="s">
        <v>14381</v>
      </c>
      <c r="AD287" s="50" t="s">
        <v>19099</v>
      </c>
      <c r="AE287" s="50" t="s">
        <v>13385</v>
      </c>
      <c r="AF287" s="50" t="s">
        <v>19099</v>
      </c>
      <c r="AG287" s="50" t="s">
        <v>6895</v>
      </c>
      <c r="AH287" s="50" t="s">
        <v>19099</v>
      </c>
      <c r="AI287" s="50" t="s">
        <v>102</v>
      </c>
      <c r="AL287" s="50" t="s">
        <v>19100</v>
      </c>
      <c r="AM287" s="50" t="s">
        <v>102</v>
      </c>
      <c r="AN287" s="50" t="s">
        <v>19100</v>
      </c>
      <c r="AO287" s="50" t="s">
        <v>10148</v>
      </c>
      <c r="AP287" s="50" t="s">
        <v>10148</v>
      </c>
      <c r="AU287" s="50" t="s">
        <v>102</v>
      </c>
      <c r="AW287" s="50" t="s">
        <v>155</v>
      </c>
      <c r="AX287" s="50" t="s">
        <v>119</v>
      </c>
      <c r="AY287" s="50" t="s">
        <v>170</v>
      </c>
      <c r="AZ287" s="50" t="s">
        <v>118</v>
      </c>
      <c r="BA287" s="50" t="s">
        <v>250</v>
      </c>
      <c r="BB287" s="50" t="s">
        <v>120</v>
      </c>
      <c r="BC287" s="50" t="s">
        <v>7718</v>
      </c>
      <c r="BD287" s="50" t="s">
        <v>211</v>
      </c>
      <c r="BE287" s="50" t="s">
        <v>212</v>
      </c>
      <c r="BF287" s="50" t="s">
        <v>213</v>
      </c>
      <c r="BG287" s="50" t="s">
        <v>124</v>
      </c>
      <c r="BH287" s="50" t="s">
        <v>12023</v>
      </c>
      <c r="BI287" s="50" t="s">
        <v>11889</v>
      </c>
      <c r="BJ287" s="50" t="s">
        <v>127</v>
      </c>
      <c r="BK287" s="50" t="s">
        <v>19101</v>
      </c>
      <c r="BL287" s="50" t="s">
        <v>10150</v>
      </c>
      <c r="BM287" s="50" t="s">
        <v>10151</v>
      </c>
      <c r="BN287" s="50" t="s">
        <v>13202</v>
      </c>
      <c r="BO287" s="50" t="s">
        <v>4053</v>
      </c>
      <c r="BP287" s="50" t="s">
        <v>132</v>
      </c>
      <c r="BQ287" s="50" t="s">
        <v>4054</v>
      </c>
      <c r="BR287" s="50" t="s">
        <v>4055</v>
      </c>
      <c r="BS287" s="50" t="s">
        <v>4056</v>
      </c>
      <c r="BT287" s="50" t="s">
        <v>10152</v>
      </c>
      <c r="BU287" s="50" t="s">
        <v>19102</v>
      </c>
      <c r="BV287" s="50" t="s">
        <v>19103</v>
      </c>
      <c r="BW287" s="50" t="s">
        <v>354</v>
      </c>
      <c r="BX287" s="50" t="s">
        <v>1560</v>
      </c>
      <c r="BY287" s="50" t="s">
        <v>1559</v>
      </c>
      <c r="BZ287" s="50" t="s">
        <v>1560</v>
      </c>
      <c r="CA287" s="50" t="s">
        <v>19104</v>
      </c>
      <c r="CB287" s="50" t="s">
        <v>19105</v>
      </c>
      <c r="CC287" s="50" t="s">
        <v>19106</v>
      </c>
      <c r="CD287" s="50" t="s">
        <v>19104</v>
      </c>
      <c r="CE287" s="50" t="s">
        <v>19105</v>
      </c>
      <c r="CF287" s="50" t="s">
        <v>19106</v>
      </c>
      <c r="CG287" s="50" t="s">
        <v>573</v>
      </c>
      <c r="CH287" s="50" t="s">
        <v>19107</v>
      </c>
      <c r="CJ287" s="50" t="s">
        <v>10157</v>
      </c>
      <c r="CK287" s="50" t="s">
        <v>10156</v>
      </c>
      <c r="CL287" s="50" t="s">
        <v>7718</v>
      </c>
      <c r="CM287" s="50" t="s">
        <v>211</v>
      </c>
      <c r="CN287" s="50" t="s">
        <v>10157</v>
      </c>
      <c r="CP287" s="50" t="s">
        <v>10156</v>
      </c>
      <c r="CQ287" s="50" t="s">
        <v>10156</v>
      </c>
      <c r="CR287" s="50" t="s">
        <v>26040</v>
      </c>
    </row>
    <row r="288" spans="1:96">
      <c r="A288" s="50" t="s">
        <v>93</v>
      </c>
      <c r="B288" s="50">
        <v>5017808</v>
      </c>
      <c r="C288" s="50" t="s">
        <v>11995</v>
      </c>
      <c r="D288" s="50" t="s">
        <v>19136</v>
      </c>
      <c r="E288" s="50" t="e">
        <f>VLOOKUP(B288,aa!B:F,5,0)</f>
        <v>#N/A</v>
      </c>
      <c r="F288" s="50" t="e">
        <f>VLOOKUP(B288,aa!B:J,9,0)</f>
        <v>#N/A</v>
      </c>
      <c r="G288" s="50" t="e">
        <f>VLOOKUP(B288,aa!B:L,11,0)</f>
        <v>#N/A</v>
      </c>
      <c r="H288" s="50" t="e">
        <f>VLOOKUP(B288,aa!B:O,14,0)</f>
        <v>#N/A</v>
      </c>
      <c r="I288" s="50" t="e">
        <f>VLOOKUP(B288,aa!B:R,17,0)</f>
        <v>#N/A</v>
      </c>
      <c r="K288" s="50" t="s">
        <v>848</v>
      </c>
      <c r="L288" s="50">
        <v>684324</v>
      </c>
      <c r="M288" s="50">
        <v>807502</v>
      </c>
      <c r="N288" s="50">
        <v>0</v>
      </c>
      <c r="O288" s="50">
        <v>0</v>
      </c>
      <c r="Q288" s="50">
        <v>0</v>
      </c>
      <c r="R288" s="50">
        <v>0</v>
      </c>
      <c r="T288" s="50">
        <v>684324</v>
      </c>
      <c r="U288" s="50">
        <v>342</v>
      </c>
      <c r="V288" s="50" t="s">
        <v>19137</v>
      </c>
      <c r="W288" s="50" t="s">
        <v>102</v>
      </c>
      <c r="X288" s="50" t="s">
        <v>103</v>
      </c>
      <c r="Y288" s="50" t="s">
        <v>398</v>
      </c>
      <c r="AA288" s="50" t="s">
        <v>1408</v>
      </c>
      <c r="AB288" s="50" t="s">
        <v>19138</v>
      </c>
      <c r="AC288" s="50" t="s">
        <v>12041</v>
      </c>
      <c r="AD288" s="50" t="s">
        <v>19139</v>
      </c>
      <c r="AE288" s="50" t="s">
        <v>11886</v>
      </c>
      <c r="AF288" s="50" t="s">
        <v>19139</v>
      </c>
      <c r="AG288" s="50" t="s">
        <v>109</v>
      </c>
      <c r="AH288" s="50" t="s">
        <v>102</v>
      </c>
      <c r="AI288" s="50" t="s">
        <v>102</v>
      </c>
      <c r="AJ288" s="50" t="s">
        <v>13949</v>
      </c>
      <c r="AK288" s="50" t="s">
        <v>12875</v>
      </c>
      <c r="AL288" s="50" t="s">
        <v>19140</v>
      </c>
      <c r="AM288" s="50" t="s">
        <v>1081</v>
      </c>
      <c r="AN288" s="50" t="s">
        <v>19141</v>
      </c>
      <c r="AO288" s="50" t="s">
        <v>19142</v>
      </c>
      <c r="AP288" s="50" t="s">
        <v>19142</v>
      </c>
      <c r="AU288" s="50" t="s">
        <v>102</v>
      </c>
      <c r="AW288" s="50" t="s">
        <v>102</v>
      </c>
      <c r="AX288" s="50" t="s">
        <v>119</v>
      </c>
      <c r="BA288" s="50" t="s">
        <v>250</v>
      </c>
      <c r="BB288" s="50" t="s">
        <v>1242</v>
      </c>
      <c r="BC288" s="50" t="s">
        <v>1609</v>
      </c>
      <c r="BD288" s="50" t="s">
        <v>285</v>
      </c>
      <c r="BE288" s="50" t="s">
        <v>212</v>
      </c>
      <c r="BF288" s="50" t="s">
        <v>286</v>
      </c>
      <c r="BG288" s="50" t="s">
        <v>124</v>
      </c>
      <c r="BH288" s="50" t="s">
        <v>12492</v>
      </c>
      <c r="BI288" s="50" t="s">
        <v>19143</v>
      </c>
      <c r="BJ288" s="50" t="s">
        <v>127</v>
      </c>
      <c r="BK288" s="50" t="s">
        <v>19144</v>
      </c>
      <c r="BL288" s="50" t="s">
        <v>19145</v>
      </c>
      <c r="BM288" s="50" t="s">
        <v>19146</v>
      </c>
      <c r="BN288" s="50" t="s">
        <v>13202</v>
      </c>
      <c r="BO288" s="50" t="s">
        <v>3997</v>
      </c>
      <c r="BP288" s="50" t="s">
        <v>132</v>
      </c>
      <c r="BQ288" s="50" t="s">
        <v>3998</v>
      </c>
      <c r="BR288" s="50" t="s">
        <v>3999</v>
      </c>
      <c r="BS288" s="50" t="s">
        <v>3362</v>
      </c>
      <c r="BU288" s="50" t="s">
        <v>19147</v>
      </c>
      <c r="BV288" s="50" t="s">
        <v>19148</v>
      </c>
      <c r="BW288" s="50" t="s">
        <v>354</v>
      </c>
      <c r="BX288" s="50" t="s">
        <v>1618</v>
      </c>
      <c r="BY288" s="50" t="s">
        <v>1619</v>
      </c>
      <c r="BZ288" s="50" t="s">
        <v>1618</v>
      </c>
      <c r="CA288" s="50" t="s">
        <v>19149</v>
      </c>
      <c r="CB288" s="50" t="s">
        <v>1618</v>
      </c>
      <c r="CC288" s="50" t="s">
        <v>1619</v>
      </c>
      <c r="CD288" s="50" t="s">
        <v>19150</v>
      </c>
      <c r="CE288" s="50" t="s">
        <v>19151</v>
      </c>
      <c r="CF288" s="50" t="s">
        <v>19152</v>
      </c>
      <c r="CG288" s="50" t="s">
        <v>19153</v>
      </c>
      <c r="CH288" s="50" t="s">
        <v>19136</v>
      </c>
      <c r="CJ288" s="50" t="s">
        <v>1622</v>
      </c>
      <c r="CK288" s="50" t="s">
        <v>19154</v>
      </c>
      <c r="CL288" s="50" t="s">
        <v>1609</v>
      </c>
      <c r="CM288" s="50" t="s">
        <v>285</v>
      </c>
      <c r="CN288" s="50" t="s">
        <v>1622</v>
      </c>
      <c r="CP288" s="50" t="s">
        <v>19155</v>
      </c>
      <c r="CQ288" s="50" t="s">
        <v>19155</v>
      </c>
      <c r="CR288" s="50" t="s">
        <v>26043</v>
      </c>
    </row>
    <row r="289" spans="1:96">
      <c r="A289" s="50" t="s">
        <v>93</v>
      </c>
      <c r="B289" s="50">
        <v>700517</v>
      </c>
      <c r="C289" s="50" t="s">
        <v>19847</v>
      </c>
      <c r="D289" s="50" t="s">
        <v>21429</v>
      </c>
      <c r="E289" s="50" t="e">
        <f>VLOOKUP(B289,aa!B:F,5,0)</f>
        <v>#N/A</v>
      </c>
      <c r="F289" s="50" t="e">
        <f>VLOOKUP(B289,aa!B:J,9,0)</f>
        <v>#N/A</v>
      </c>
      <c r="G289" s="50" t="e">
        <f>VLOOKUP(B289,aa!B:L,11,0)</f>
        <v>#N/A</v>
      </c>
      <c r="H289" s="50" t="e">
        <f>VLOOKUP(B289,aa!B:O,14,0)</f>
        <v>#N/A</v>
      </c>
      <c r="I289" s="50" t="e">
        <f>VLOOKUP(B289,aa!B:R,17,0)</f>
        <v>#N/A</v>
      </c>
      <c r="K289" s="50" t="s">
        <v>643</v>
      </c>
      <c r="L289" s="50">
        <v>335764</v>
      </c>
      <c r="M289" s="50">
        <v>361703</v>
      </c>
      <c r="N289" s="50">
        <v>0</v>
      </c>
      <c r="O289" s="50">
        <v>0</v>
      </c>
      <c r="Q289" s="50">
        <v>191660</v>
      </c>
      <c r="R289" s="50">
        <v>152</v>
      </c>
      <c r="S289" s="50" t="s">
        <v>1197</v>
      </c>
      <c r="T289" s="50">
        <v>144104</v>
      </c>
      <c r="U289" s="50">
        <v>170</v>
      </c>
      <c r="V289" s="50" t="s">
        <v>19950</v>
      </c>
      <c r="W289" s="50" t="s">
        <v>102</v>
      </c>
      <c r="X289" s="50" t="s">
        <v>103</v>
      </c>
      <c r="Y289" s="50" t="s">
        <v>155</v>
      </c>
      <c r="AA289" s="50" t="s">
        <v>21430</v>
      </c>
      <c r="AB289" s="50" t="s">
        <v>21431</v>
      </c>
      <c r="AC289" s="50" t="s">
        <v>11976</v>
      </c>
      <c r="AD289" s="50" t="s">
        <v>21432</v>
      </c>
      <c r="AE289" s="50" t="s">
        <v>11888</v>
      </c>
      <c r="AF289" s="50" t="s">
        <v>21432</v>
      </c>
      <c r="AG289" s="50" t="s">
        <v>12084</v>
      </c>
      <c r="AH289" s="50" t="s">
        <v>21433</v>
      </c>
      <c r="AI289" s="50" t="s">
        <v>102</v>
      </c>
      <c r="AJ289" s="50" t="s">
        <v>21434</v>
      </c>
      <c r="AK289" s="50" t="s">
        <v>21435</v>
      </c>
      <c r="AL289" s="50" t="s">
        <v>21436</v>
      </c>
      <c r="AM289" s="50" t="s">
        <v>21437</v>
      </c>
      <c r="AN289" s="50" t="s">
        <v>21438</v>
      </c>
      <c r="AO289" s="50" t="s">
        <v>21439</v>
      </c>
      <c r="AP289" s="50" t="s">
        <v>21439</v>
      </c>
      <c r="AU289" s="50" t="s">
        <v>102</v>
      </c>
      <c r="AW289" s="50" t="s">
        <v>1103</v>
      </c>
      <c r="AX289" s="50" t="s">
        <v>249</v>
      </c>
      <c r="AY289" s="50" t="s">
        <v>170</v>
      </c>
      <c r="AZ289" s="50" t="s">
        <v>118</v>
      </c>
      <c r="BA289" s="50" t="s">
        <v>250</v>
      </c>
      <c r="BB289" s="50" t="s">
        <v>171</v>
      </c>
      <c r="BC289" s="50" t="s">
        <v>13207</v>
      </c>
      <c r="BD289" s="50" t="s">
        <v>376</v>
      </c>
      <c r="BE289" s="50" t="s">
        <v>174</v>
      </c>
      <c r="BF289" s="50" t="s">
        <v>376</v>
      </c>
      <c r="BG289" s="50" t="s">
        <v>124</v>
      </c>
      <c r="BH289" s="50" t="s">
        <v>21440</v>
      </c>
      <c r="BI289" s="50" t="s">
        <v>11889</v>
      </c>
      <c r="BJ289" s="50" t="s">
        <v>127</v>
      </c>
      <c r="BK289" s="50" t="s">
        <v>21441</v>
      </c>
      <c r="BL289" s="50" t="s">
        <v>21442</v>
      </c>
      <c r="BM289" s="50" t="s">
        <v>21443</v>
      </c>
      <c r="BN289" s="50" t="s">
        <v>21430</v>
      </c>
      <c r="BO289" s="50" t="s">
        <v>6926</v>
      </c>
      <c r="BP289" s="50" t="s">
        <v>180</v>
      </c>
      <c r="BQ289" s="50" t="s">
        <v>6927</v>
      </c>
      <c r="BR289" s="50" t="s">
        <v>6928</v>
      </c>
      <c r="BS289" s="50" t="s">
        <v>1858</v>
      </c>
      <c r="BU289" s="50" t="s">
        <v>21444</v>
      </c>
      <c r="BV289" s="50" t="s">
        <v>21445</v>
      </c>
      <c r="BW289" s="50" t="s">
        <v>138</v>
      </c>
      <c r="BX289" s="50" t="s">
        <v>21446</v>
      </c>
      <c r="BY289" s="50" t="s">
        <v>21447</v>
      </c>
      <c r="BZ289" s="50" t="s">
        <v>21448</v>
      </c>
      <c r="CA289" s="50" t="s">
        <v>21445</v>
      </c>
      <c r="CB289" s="50" t="s">
        <v>21446</v>
      </c>
      <c r="CC289" s="50" t="s">
        <v>21447</v>
      </c>
      <c r="CD289" s="50" t="s">
        <v>21445</v>
      </c>
      <c r="CE289" s="50" t="s">
        <v>21446</v>
      </c>
      <c r="CF289" s="50" t="s">
        <v>21447</v>
      </c>
      <c r="CG289" s="50" t="s">
        <v>21449</v>
      </c>
      <c r="CH289" s="50" t="s">
        <v>21450</v>
      </c>
      <c r="CJ289" s="50" t="s">
        <v>21451</v>
      </c>
      <c r="CK289" s="50" t="s">
        <v>21450</v>
      </c>
      <c r="CL289" s="50" t="s">
        <v>13207</v>
      </c>
      <c r="CM289" s="50" t="s">
        <v>376</v>
      </c>
      <c r="CN289" s="50" t="s">
        <v>21451</v>
      </c>
      <c r="CP289" s="50" t="s">
        <v>21450</v>
      </c>
      <c r="CQ289" s="50" t="s">
        <v>21450</v>
      </c>
      <c r="CR289" s="50" t="s">
        <v>26052</v>
      </c>
    </row>
    <row r="290" spans="1:96">
      <c r="A290" s="95" t="s">
        <v>149</v>
      </c>
      <c r="B290" s="50">
        <v>2448365</v>
      </c>
      <c r="C290" s="50" t="s">
        <v>12121</v>
      </c>
      <c r="D290" s="50" t="s">
        <v>3372</v>
      </c>
      <c r="E290" s="50" t="e">
        <f>VLOOKUP(B290,aa!B:F,5,0)</f>
        <v>#N/A</v>
      </c>
      <c r="F290" s="50" t="e">
        <f>VLOOKUP(B290,aa!B:J,9,0)</f>
        <v>#N/A</v>
      </c>
      <c r="G290" s="50" t="e">
        <f>VLOOKUP(B290,aa!B:L,11,0)</f>
        <v>#N/A</v>
      </c>
      <c r="H290" s="50" t="e">
        <f>VLOOKUP(B290,aa!B:O,14,0)</f>
        <v>#N/A</v>
      </c>
      <c r="I290" s="50" t="e">
        <f>VLOOKUP(B290,aa!B:R,17,0)</f>
        <v>#N/A</v>
      </c>
      <c r="K290" s="50" t="s">
        <v>152</v>
      </c>
      <c r="L290" s="50">
        <v>497987</v>
      </c>
      <c r="M290" s="50">
        <v>497987</v>
      </c>
      <c r="N290" s="50">
        <v>0</v>
      </c>
      <c r="O290" s="50">
        <v>0</v>
      </c>
      <c r="Q290" s="50">
        <v>497987</v>
      </c>
      <c r="R290" s="50">
        <v>332</v>
      </c>
      <c r="S290" s="50" t="s">
        <v>6441</v>
      </c>
      <c r="T290" s="50">
        <v>0</v>
      </c>
      <c r="U290" s="50">
        <v>0</v>
      </c>
      <c r="W290" s="50" t="s">
        <v>102</v>
      </c>
      <c r="X290" s="50" t="s">
        <v>103</v>
      </c>
      <c r="Y290" s="50" t="s">
        <v>155</v>
      </c>
      <c r="AA290" s="50" t="s">
        <v>12492</v>
      </c>
      <c r="AB290" s="50" t="s">
        <v>13962</v>
      </c>
      <c r="AC290" s="50" t="s">
        <v>12040</v>
      </c>
      <c r="AD290" s="50" t="s">
        <v>13962</v>
      </c>
      <c r="AE290" s="50" t="s">
        <v>12427</v>
      </c>
      <c r="AF290" s="50" t="s">
        <v>13962</v>
      </c>
      <c r="AG290" s="50" t="s">
        <v>13395</v>
      </c>
      <c r="AH290" s="50" t="s">
        <v>13962</v>
      </c>
      <c r="AI290" s="50" t="s">
        <v>13963</v>
      </c>
      <c r="AJ290" s="50" t="s">
        <v>13174</v>
      </c>
      <c r="AK290" s="50" t="s">
        <v>13964</v>
      </c>
      <c r="AL290" s="50" t="s">
        <v>13965</v>
      </c>
      <c r="AM290" s="50" t="s">
        <v>13966</v>
      </c>
      <c r="AN290" s="50" t="s">
        <v>13967</v>
      </c>
      <c r="AO290" s="50" t="s">
        <v>13968</v>
      </c>
      <c r="AP290" s="50" t="s">
        <v>13968</v>
      </c>
      <c r="AU290" s="50" t="s">
        <v>102</v>
      </c>
      <c r="AW290" s="50" t="s">
        <v>155</v>
      </c>
      <c r="AX290" s="50" t="s">
        <v>119</v>
      </c>
      <c r="AY290" s="50" t="s">
        <v>170</v>
      </c>
      <c r="AZ290" s="50" t="s">
        <v>118</v>
      </c>
      <c r="BB290" s="50" t="s">
        <v>120</v>
      </c>
      <c r="BC290" s="50" t="s">
        <v>1433</v>
      </c>
      <c r="BD290" s="50" t="s">
        <v>556</v>
      </c>
      <c r="BE290" s="50" t="s">
        <v>122</v>
      </c>
      <c r="BF290" s="50" t="s">
        <v>557</v>
      </c>
      <c r="BG290" s="50" t="s">
        <v>124</v>
      </c>
      <c r="BH290" s="50" t="s">
        <v>12023</v>
      </c>
      <c r="BI290" s="50" t="s">
        <v>11889</v>
      </c>
      <c r="BJ290" s="50" t="s">
        <v>127</v>
      </c>
      <c r="BK290" s="50" t="s">
        <v>13969</v>
      </c>
      <c r="BL290" s="50" t="s">
        <v>3386</v>
      </c>
      <c r="BM290" s="50" t="s">
        <v>13970</v>
      </c>
      <c r="BN290" s="50" t="s">
        <v>12692</v>
      </c>
      <c r="BO290" s="50" t="s">
        <v>1142</v>
      </c>
      <c r="BP290" s="50" t="s">
        <v>132</v>
      </c>
      <c r="BQ290" s="50" t="s">
        <v>1143</v>
      </c>
      <c r="BR290" s="50" t="s">
        <v>1144</v>
      </c>
      <c r="BS290" s="50" t="s">
        <v>566</v>
      </c>
      <c r="BU290" s="50" t="s">
        <v>13971</v>
      </c>
      <c r="BV290" s="50" t="s">
        <v>13972</v>
      </c>
      <c r="BW290" s="50" t="s">
        <v>354</v>
      </c>
      <c r="BX290" s="50" t="s">
        <v>13973</v>
      </c>
      <c r="BY290" s="50" t="s">
        <v>3391</v>
      </c>
      <c r="BZ290" s="50" t="s">
        <v>3392</v>
      </c>
      <c r="CA290" s="50" t="s">
        <v>13972</v>
      </c>
      <c r="CB290" s="50" t="s">
        <v>13973</v>
      </c>
      <c r="CC290" s="50" t="s">
        <v>3391</v>
      </c>
      <c r="CD290" s="50" t="s">
        <v>13972</v>
      </c>
      <c r="CE290" s="50" t="s">
        <v>13973</v>
      </c>
      <c r="CF290" s="50" t="s">
        <v>3391</v>
      </c>
      <c r="CG290" s="50" t="s">
        <v>102</v>
      </c>
      <c r="CH290" s="50" t="s">
        <v>13974</v>
      </c>
      <c r="CJ290" s="50" t="s">
        <v>1445</v>
      </c>
      <c r="CL290" s="50" t="s">
        <v>1433</v>
      </c>
      <c r="CM290" s="50" t="s">
        <v>556</v>
      </c>
      <c r="CN290" s="50" t="s">
        <v>1445</v>
      </c>
      <c r="CO290" s="50" t="s">
        <v>3394</v>
      </c>
      <c r="CP290" s="50" t="s">
        <v>3393</v>
      </c>
      <c r="CQ290" s="50" t="s">
        <v>3393</v>
      </c>
    </row>
    <row r="291" spans="1:96">
      <c r="A291" s="95" t="s">
        <v>149</v>
      </c>
      <c r="B291" s="50">
        <v>2562273</v>
      </c>
      <c r="C291" s="50" t="s">
        <v>12121</v>
      </c>
      <c r="D291" s="50" t="s">
        <v>4128</v>
      </c>
      <c r="E291" s="50" t="e">
        <f>VLOOKUP(B291,aa!B:F,5,0)</f>
        <v>#N/A</v>
      </c>
      <c r="F291" s="50" t="e">
        <f>VLOOKUP(B291,aa!B:J,9,0)</f>
        <v>#N/A</v>
      </c>
      <c r="G291" s="50" t="e">
        <f>VLOOKUP(B291,aa!B:L,11,0)</f>
        <v>#N/A</v>
      </c>
      <c r="H291" s="50" t="e">
        <f>VLOOKUP(B291,aa!B:O,14,0)</f>
        <v>#N/A</v>
      </c>
      <c r="I291" s="50" t="e">
        <f>VLOOKUP(B291,aa!B:R,17,0)</f>
        <v>#N/A</v>
      </c>
      <c r="K291" s="50" t="s">
        <v>97</v>
      </c>
      <c r="L291" s="50">
        <v>271678</v>
      </c>
      <c r="M291" s="50">
        <v>271678</v>
      </c>
      <c r="N291" s="50">
        <v>271678</v>
      </c>
      <c r="O291" s="50">
        <v>388</v>
      </c>
      <c r="P291" s="50" t="s">
        <v>799</v>
      </c>
      <c r="Q291" s="50">
        <v>0</v>
      </c>
      <c r="R291" s="50">
        <v>0</v>
      </c>
      <c r="T291" s="50">
        <v>0</v>
      </c>
      <c r="U291" s="50">
        <v>0</v>
      </c>
      <c r="W291" s="50" t="s">
        <v>102</v>
      </c>
      <c r="X291" s="50" t="s">
        <v>275</v>
      </c>
      <c r="Z291" s="50" t="s">
        <v>13949</v>
      </c>
      <c r="AA291" s="50" t="s">
        <v>109</v>
      </c>
      <c r="AB291" s="50" t="s">
        <v>102</v>
      </c>
      <c r="AC291" s="50" t="s">
        <v>109</v>
      </c>
      <c r="AD291" s="50" t="s">
        <v>102</v>
      </c>
      <c r="AE291" s="50" t="s">
        <v>109</v>
      </c>
      <c r="AF291" s="50" t="s">
        <v>102</v>
      </c>
      <c r="AG291" s="50" t="s">
        <v>109</v>
      </c>
      <c r="AH291" s="50" t="s">
        <v>102</v>
      </c>
      <c r="AI291" s="50" t="s">
        <v>14572</v>
      </c>
      <c r="AJ291" s="50" t="s">
        <v>14040</v>
      </c>
      <c r="AK291" s="50" t="s">
        <v>14040</v>
      </c>
      <c r="AL291" s="50" t="s">
        <v>14573</v>
      </c>
      <c r="AM291" s="50" t="s">
        <v>14574</v>
      </c>
      <c r="AN291" s="50" t="s">
        <v>102</v>
      </c>
      <c r="AO291" s="50" t="s">
        <v>14575</v>
      </c>
      <c r="AP291" s="50" t="s">
        <v>14575</v>
      </c>
      <c r="AU291" s="50" t="s">
        <v>318</v>
      </c>
      <c r="AV291" s="50" t="s">
        <v>250</v>
      </c>
      <c r="AW291" s="50" t="s">
        <v>102</v>
      </c>
      <c r="AX291" s="50" t="s">
        <v>119</v>
      </c>
      <c r="BB291" s="50" t="s">
        <v>120</v>
      </c>
      <c r="BC291" s="50" t="s">
        <v>4136</v>
      </c>
      <c r="BD291" s="50" t="s">
        <v>449</v>
      </c>
      <c r="BE291" s="50" t="s">
        <v>122</v>
      </c>
      <c r="BF291" s="50" t="s">
        <v>253</v>
      </c>
      <c r="BG291" s="50" t="s">
        <v>124</v>
      </c>
      <c r="BH291" s="50" t="s">
        <v>13680</v>
      </c>
      <c r="BI291" s="50" t="s">
        <v>11889</v>
      </c>
      <c r="BJ291" s="50" t="s">
        <v>127</v>
      </c>
      <c r="BK291" s="50" t="s">
        <v>14576</v>
      </c>
      <c r="BL291" s="50" t="s">
        <v>4138</v>
      </c>
      <c r="BM291" s="50" t="s">
        <v>14577</v>
      </c>
      <c r="BN291" s="50" t="s">
        <v>12692</v>
      </c>
      <c r="BO291" s="50" t="s">
        <v>1142</v>
      </c>
      <c r="BP291" s="50" t="s">
        <v>350</v>
      </c>
      <c r="BQ291" s="50" t="s">
        <v>1143</v>
      </c>
      <c r="BR291" s="50" t="s">
        <v>1144</v>
      </c>
      <c r="BS291" s="50" t="s">
        <v>566</v>
      </c>
      <c r="BU291" s="50" t="s">
        <v>14578</v>
      </c>
      <c r="BV291" s="50" t="s">
        <v>14579</v>
      </c>
      <c r="BW291" s="50" t="s">
        <v>598</v>
      </c>
      <c r="BX291" s="50" t="s">
        <v>14580</v>
      </c>
      <c r="BY291" s="50" t="s">
        <v>4148</v>
      </c>
      <c r="BZ291" s="50" t="s">
        <v>4144</v>
      </c>
      <c r="CA291" s="50" t="s">
        <v>14579</v>
      </c>
      <c r="CB291" s="50" t="s">
        <v>14580</v>
      </c>
      <c r="CC291" s="50" t="s">
        <v>4148</v>
      </c>
      <c r="CD291" s="50" t="s">
        <v>14579</v>
      </c>
      <c r="CE291" s="50" t="s">
        <v>14580</v>
      </c>
      <c r="CF291" s="50" t="s">
        <v>4148</v>
      </c>
      <c r="CG291" s="50" t="s">
        <v>102</v>
      </c>
      <c r="CH291" s="50" t="s">
        <v>14581</v>
      </c>
      <c r="CJ291" s="50" t="s">
        <v>4150</v>
      </c>
      <c r="CL291" s="50" t="s">
        <v>4136</v>
      </c>
      <c r="CM291" s="50" t="s">
        <v>449</v>
      </c>
      <c r="CN291" s="50" t="s">
        <v>4150</v>
      </c>
      <c r="CO291" s="50" t="s">
        <v>3299</v>
      </c>
      <c r="CP291" s="50" t="s">
        <v>4149</v>
      </c>
      <c r="CQ291" s="50" t="s">
        <v>4149</v>
      </c>
    </row>
    <row r="292" spans="1:96">
      <c r="A292" s="95" t="s">
        <v>149</v>
      </c>
      <c r="B292" s="50">
        <v>24374</v>
      </c>
      <c r="C292" s="50" t="s">
        <v>12423</v>
      </c>
      <c r="D292" s="50" t="s">
        <v>3330</v>
      </c>
      <c r="E292" s="50" t="e">
        <f>VLOOKUP(B292,aa!B:F,5,0)</f>
        <v>#N/A</v>
      </c>
      <c r="F292" s="50" t="e">
        <f>VLOOKUP(B292,aa!B:J,9,0)</f>
        <v>#N/A</v>
      </c>
      <c r="G292" s="50" t="e">
        <f>VLOOKUP(B292,aa!B:L,11,0)</f>
        <v>#N/A</v>
      </c>
      <c r="H292" s="50" t="e">
        <f>VLOOKUP(B292,aa!B:O,14,0)</f>
        <v>#N/A</v>
      </c>
      <c r="I292" s="50" t="e">
        <f>VLOOKUP(B292,aa!B:R,17,0)</f>
        <v>#N/A</v>
      </c>
      <c r="K292" s="50" t="s">
        <v>848</v>
      </c>
      <c r="L292" s="50">
        <v>1360145</v>
      </c>
      <c r="M292" s="50">
        <v>1604971</v>
      </c>
      <c r="N292" s="50">
        <v>0</v>
      </c>
      <c r="O292" s="50">
        <v>0</v>
      </c>
      <c r="Q292" s="50">
        <v>0</v>
      </c>
      <c r="R292" s="50">
        <v>0</v>
      </c>
      <c r="T292" s="50">
        <v>1360145</v>
      </c>
      <c r="U292" s="50">
        <v>783</v>
      </c>
      <c r="V292" s="50" t="s">
        <v>13950</v>
      </c>
      <c r="W292" s="50" t="s">
        <v>102</v>
      </c>
      <c r="X292" s="50" t="s">
        <v>103</v>
      </c>
      <c r="Y292" s="50" t="s">
        <v>104</v>
      </c>
      <c r="AA292" s="50" t="s">
        <v>1408</v>
      </c>
      <c r="AB292" s="50" t="s">
        <v>13951</v>
      </c>
      <c r="AC292" s="50" t="s">
        <v>11886</v>
      </c>
      <c r="AD292" s="50" t="s">
        <v>13951</v>
      </c>
      <c r="AE292" s="50" t="s">
        <v>109</v>
      </c>
      <c r="AF292" s="50" t="s">
        <v>102</v>
      </c>
      <c r="AG292" s="50" t="s">
        <v>109</v>
      </c>
      <c r="AH292" s="50" t="s">
        <v>102</v>
      </c>
      <c r="AI292" s="50" t="s">
        <v>13952</v>
      </c>
      <c r="AJ292" s="50" t="s">
        <v>4294</v>
      </c>
      <c r="AK292" s="50" t="s">
        <v>4294</v>
      </c>
      <c r="AL292" s="50" t="s">
        <v>13953</v>
      </c>
      <c r="AM292" s="50" t="s">
        <v>13954</v>
      </c>
      <c r="AN292" s="50" t="s">
        <v>13951</v>
      </c>
      <c r="AO292" s="50" t="s">
        <v>13955</v>
      </c>
      <c r="AP292" s="50" t="s">
        <v>13955</v>
      </c>
      <c r="AU292" s="50" t="s">
        <v>102</v>
      </c>
      <c r="AW292" s="50" t="s">
        <v>102</v>
      </c>
      <c r="AX292" s="50" t="s">
        <v>119</v>
      </c>
      <c r="BA292" s="50" t="s">
        <v>250</v>
      </c>
      <c r="BB292" s="50" t="s">
        <v>171</v>
      </c>
      <c r="BC292" s="50" t="s">
        <v>3340</v>
      </c>
      <c r="BD292" s="50" t="s">
        <v>410</v>
      </c>
      <c r="BE292" s="50" t="s">
        <v>212</v>
      </c>
      <c r="BF292" s="50" t="s">
        <v>410</v>
      </c>
      <c r="BG292" s="50" t="s">
        <v>124</v>
      </c>
      <c r="BH292" s="50" t="s">
        <v>11976</v>
      </c>
      <c r="BI292" s="50" t="s">
        <v>11960</v>
      </c>
      <c r="BJ292" s="50" t="s">
        <v>127</v>
      </c>
      <c r="BK292" s="50" t="s">
        <v>13956</v>
      </c>
      <c r="BL292" s="50" t="s">
        <v>3342</v>
      </c>
      <c r="BM292" s="50" t="s">
        <v>13957</v>
      </c>
      <c r="BN292" s="50" t="s">
        <v>13949</v>
      </c>
      <c r="BO292" s="50" t="s">
        <v>866</v>
      </c>
      <c r="BP292" s="50" t="s">
        <v>132</v>
      </c>
      <c r="BQ292" s="50" t="s">
        <v>867</v>
      </c>
      <c r="BR292" s="50" t="s">
        <v>868</v>
      </c>
      <c r="BS292" s="50" t="s">
        <v>418</v>
      </c>
      <c r="BU292" s="50" t="s">
        <v>13958</v>
      </c>
      <c r="BV292" s="50" t="s">
        <v>3345</v>
      </c>
      <c r="BX292" s="50" t="s">
        <v>3346</v>
      </c>
      <c r="BY292" s="50" t="s">
        <v>3347</v>
      </c>
      <c r="BZ292" s="50" t="s">
        <v>3348</v>
      </c>
      <c r="CA292" s="50" t="s">
        <v>3345</v>
      </c>
      <c r="CB292" s="50" t="s">
        <v>3346</v>
      </c>
      <c r="CC292" s="50" t="s">
        <v>3347</v>
      </c>
      <c r="CD292" s="50" t="s">
        <v>13959</v>
      </c>
      <c r="CE292" s="50" t="s">
        <v>13960</v>
      </c>
      <c r="CF292" s="50" t="s">
        <v>13961</v>
      </c>
      <c r="CG292" s="50" t="s">
        <v>102</v>
      </c>
      <c r="CH292" s="50" t="s">
        <v>3349</v>
      </c>
      <c r="CJ292" s="50" t="s">
        <v>3350</v>
      </c>
      <c r="CK292" s="50" t="s">
        <v>3349</v>
      </c>
      <c r="CL292" s="50" t="s">
        <v>3340</v>
      </c>
      <c r="CM292" s="50" t="s">
        <v>410</v>
      </c>
      <c r="CN292" s="50" t="s">
        <v>3350</v>
      </c>
      <c r="CP292" s="50" t="s">
        <v>3349</v>
      </c>
      <c r="CQ292" s="50" t="s">
        <v>3349</v>
      </c>
      <c r="CR292" s="50" t="s">
        <v>26043</v>
      </c>
    </row>
    <row r="293" spans="1:96">
      <c r="A293" s="95" t="s">
        <v>149</v>
      </c>
      <c r="B293" s="50">
        <v>3308610</v>
      </c>
      <c r="C293" s="50" t="s">
        <v>12507</v>
      </c>
      <c r="D293" s="50" t="s">
        <v>5474</v>
      </c>
      <c r="E293" s="50" t="str">
        <f>VLOOKUP(B293,aa!B:F,5,0)</f>
        <v>Ei CARES</v>
      </c>
      <c r="F293" s="50">
        <f>VLOOKUP(B293,aa!B:J,9,0)</f>
        <v>1459490</v>
      </c>
      <c r="G293" s="50">
        <f>VLOOKUP(B293,aa!B:L,11,0)</f>
        <v>0</v>
      </c>
      <c r="H293" s="50">
        <f>VLOOKUP(B293,aa!B:O,14,0)</f>
        <v>1459490</v>
      </c>
      <c r="I293" s="50">
        <f>VLOOKUP(B293,aa!B:R,17,0)</f>
        <v>0</v>
      </c>
      <c r="K293" s="50" t="s">
        <v>152</v>
      </c>
      <c r="L293" s="50">
        <v>1357807</v>
      </c>
      <c r="M293" s="50">
        <v>1357807</v>
      </c>
      <c r="N293" s="50">
        <v>0</v>
      </c>
      <c r="O293" s="50">
        <v>0</v>
      </c>
      <c r="Q293" s="50">
        <v>1357807</v>
      </c>
      <c r="R293" s="50">
        <v>875</v>
      </c>
      <c r="S293" s="50" t="s">
        <v>15522</v>
      </c>
      <c r="T293" s="50">
        <v>0</v>
      </c>
      <c r="U293" s="50">
        <v>0</v>
      </c>
      <c r="W293" s="50" t="s">
        <v>102</v>
      </c>
      <c r="X293" s="50" t="s">
        <v>103</v>
      </c>
      <c r="Y293" s="50" t="s">
        <v>155</v>
      </c>
      <c r="AA293" s="50" t="s">
        <v>11927</v>
      </c>
      <c r="AB293" s="50" t="s">
        <v>15523</v>
      </c>
      <c r="AC293" s="50" t="s">
        <v>11929</v>
      </c>
      <c r="AD293" s="50" t="s">
        <v>15523</v>
      </c>
      <c r="AE293" s="50" t="s">
        <v>13110</v>
      </c>
      <c r="AF293" s="50" t="s">
        <v>15523</v>
      </c>
      <c r="AG293" s="50" t="s">
        <v>14024</v>
      </c>
      <c r="AH293" s="50" t="s">
        <v>15523</v>
      </c>
      <c r="AI293" s="50" t="s">
        <v>15524</v>
      </c>
      <c r="AJ293" s="50" t="s">
        <v>13244</v>
      </c>
      <c r="AK293" s="50" t="s">
        <v>12820</v>
      </c>
      <c r="AL293" s="50" t="s">
        <v>15525</v>
      </c>
      <c r="AM293" s="50" t="s">
        <v>15526</v>
      </c>
      <c r="AN293" s="50" t="s">
        <v>15527</v>
      </c>
      <c r="AO293" s="50" t="s">
        <v>5482</v>
      </c>
      <c r="AP293" s="50" t="s">
        <v>5482</v>
      </c>
      <c r="AU293" s="50" t="s">
        <v>102</v>
      </c>
      <c r="AW293" s="50" t="s">
        <v>155</v>
      </c>
      <c r="AX293" s="50" t="s">
        <v>447</v>
      </c>
      <c r="AY293" s="50" t="s">
        <v>170</v>
      </c>
      <c r="AZ293" s="50" t="s">
        <v>118</v>
      </c>
      <c r="BB293" s="50" t="s">
        <v>120</v>
      </c>
      <c r="BC293" s="50" t="s">
        <v>5483</v>
      </c>
      <c r="BD293" s="50" t="s">
        <v>556</v>
      </c>
      <c r="BE293" s="50" t="s">
        <v>122</v>
      </c>
      <c r="BF293" s="50" t="s">
        <v>557</v>
      </c>
      <c r="BG293" s="50" t="s">
        <v>124</v>
      </c>
      <c r="BH293" s="50" t="s">
        <v>12023</v>
      </c>
      <c r="BI293" s="50" t="s">
        <v>11889</v>
      </c>
      <c r="BJ293" s="50" t="s">
        <v>127</v>
      </c>
      <c r="BK293" s="50" t="s">
        <v>15528</v>
      </c>
      <c r="BL293" s="50" t="s">
        <v>5485</v>
      </c>
      <c r="BM293" s="50" t="s">
        <v>15529</v>
      </c>
      <c r="BN293" s="50" t="s">
        <v>13949</v>
      </c>
      <c r="BO293" s="50" t="s">
        <v>12743</v>
      </c>
      <c r="BP293" s="50" t="s">
        <v>350</v>
      </c>
      <c r="BQ293" s="50" t="s">
        <v>12744</v>
      </c>
      <c r="BR293" s="50" t="s">
        <v>12745</v>
      </c>
      <c r="BS293" s="50" t="s">
        <v>1075</v>
      </c>
      <c r="BU293" s="50" t="s">
        <v>15530</v>
      </c>
      <c r="BV293" s="50" t="s">
        <v>15531</v>
      </c>
      <c r="BW293" s="50" t="s">
        <v>354</v>
      </c>
      <c r="BX293" s="50" t="s">
        <v>15532</v>
      </c>
      <c r="BY293" s="50" t="s">
        <v>15533</v>
      </c>
      <c r="BZ293" s="50" t="s">
        <v>5491</v>
      </c>
      <c r="CA293" s="50" t="s">
        <v>15531</v>
      </c>
      <c r="CB293" s="50" t="s">
        <v>15532</v>
      </c>
      <c r="CC293" s="50" t="s">
        <v>15533</v>
      </c>
      <c r="CD293" s="50" t="s">
        <v>15531</v>
      </c>
      <c r="CE293" s="50" t="s">
        <v>15532</v>
      </c>
      <c r="CF293" s="50" t="s">
        <v>15533</v>
      </c>
      <c r="CG293" s="50" t="s">
        <v>5492</v>
      </c>
      <c r="CH293" s="50" t="s">
        <v>15534</v>
      </c>
      <c r="CJ293" s="50" t="s">
        <v>5494</v>
      </c>
      <c r="CK293" s="50" t="s">
        <v>15535</v>
      </c>
      <c r="CL293" s="50" t="s">
        <v>5483</v>
      </c>
      <c r="CM293" s="50" t="s">
        <v>556</v>
      </c>
      <c r="CN293" s="50" t="s">
        <v>5494</v>
      </c>
      <c r="CO293" s="50" t="s">
        <v>5495</v>
      </c>
      <c r="CP293" s="50" t="s">
        <v>5493</v>
      </c>
      <c r="CQ293" s="50" t="s">
        <v>5493</v>
      </c>
    </row>
    <row r="294" spans="1:96">
      <c r="A294" s="50" t="s">
        <v>93</v>
      </c>
      <c r="B294" s="50">
        <v>2378636</v>
      </c>
      <c r="C294" s="50" t="s">
        <v>384</v>
      </c>
      <c r="D294" s="50" t="s">
        <v>13768</v>
      </c>
      <c r="E294" s="50" t="str">
        <f>VLOOKUP(B294,aa!B:F,5,0)</f>
        <v>Ei CARES</v>
      </c>
      <c r="F294" s="50">
        <f>VLOOKUP(B294,aa!B:J,9,0)</f>
        <v>474357</v>
      </c>
      <c r="G294" s="50">
        <f>VLOOKUP(B294,aa!B:L,11,0)</f>
        <v>0</v>
      </c>
      <c r="H294" s="50">
        <f>VLOOKUP(B294,aa!B:O,14,0)</f>
        <v>474357</v>
      </c>
      <c r="I294" s="50">
        <f>VLOOKUP(B294,aa!B:R,17,0)</f>
        <v>0</v>
      </c>
      <c r="K294" s="50" t="s">
        <v>152</v>
      </c>
      <c r="L294" s="50">
        <v>234145</v>
      </c>
      <c r="M294" s="50">
        <v>234145</v>
      </c>
      <c r="N294" s="50">
        <v>0</v>
      </c>
      <c r="O294" s="50">
        <v>0</v>
      </c>
      <c r="Q294" s="50">
        <v>234145</v>
      </c>
      <c r="R294" s="50">
        <v>260</v>
      </c>
      <c r="S294" s="50" t="s">
        <v>13770</v>
      </c>
      <c r="T294" s="50">
        <v>0</v>
      </c>
      <c r="U294" s="50">
        <v>0</v>
      </c>
      <c r="W294" s="50" t="s">
        <v>102</v>
      </c>
      <c r="X294" s="50" t="s">
        <v>103</v>
      </c>
      <c r="Y294" s="50" t="s">
        <v>155</v>
      </c>
      <c r="AA294" s="50" t="s">
        <v>13769</v>
      </c>
      <c r="AB294" s="50" t="s">
        <v>13771</v>
      </c>
      <c r="AC294" s="50" t="s">
        <v>11976</v>
      </c>
      <c r="AD294" s="50" t="s">
        <v>13771</v>
      </c>
      <c r="AE294" s="50" t="s">
        <v>11888</v>
      </c>
      <c r="AF294" s="50" t="s">
        <v>13771</v>
      </c>
      <c r="AG294" s="50" t="s">
        <v>12820</v>
      </c>
      <c r="AH294" s="50" t="s">
        <v>13771</v>
      </c>
      <c r="AI294" s="50" t="s">
        <v>102</v>
      </c>
      <c r="AJ294" s="50" t="s">
        <v>11938</v>
      </c>
      <c r="AK294" s="50" t="s">
        <v>13772</v>
      </c>
      <c r="AL294" s="50" t="s">
        <v>13773</v>
      </c>
      <c r="AM294" s="50" t="s">
        <v>13774</v>
      </c>
      <c r="AN294" s="50" t="s">
        <v>13771</v>
      </c>
      <c r="AO294" s="50" t="s">
        <v>13775</v>
      </c>
      <c r="AP294" s="50" t="s">
        <v>13775</v>
      </c>
      <c r="AU294" s="50" t="s">
        <v>102</v>
      </c>
      <c r="AW294" s="50" t="s">
        <v>104</v>
      </c>
      <c r="AX294" s="50" t="s">
        <v>447</v>
      </c>
      <c r="AY294" s="50" t="s">
        <v>170</v>
      </c>
      <c r="AZ294" s="50" t="s">
        <v>118</v>
      </c>
      <c r="BB294" s="50" t="s">
        <v>120</v>
      </c>
      <c r="BC294" s="50" t="s">
        <v>13776</v>
      </c>
      <c r="BD294" s="50" t="s">
        <v>376</v>
      </c>
      <c r="BE294" s="50" t="s">
        <v>174</v>
      </c>
      <c r="BF294" s="50" t="s">
        <v>376</v>
      </c>
      <c r="BG294" s="50" t="s">
        <v>124</v>
      </c>
      <c r="BH294" s="50" t="s">
        <v>12711</v>
      </c>
      <c r="BI294" s="50" t="s">
        <v>11889</v>
      </c>
      <c r="BJ294" s="50" t="s">
        <v>127</v>
      </c>
      <c r="BK294" s="50" t="s">
        <v>13777</v>
      </c>
      <c r="BL294" s="50" t="s">
        <v>13778</v>
      </c>
      <c r="BM294" s="50" t="s">
        <v>13779</v>
      </c>
      <c r="BN294" s="50" t="s">
        <v>13769</v>
      </c>
      <c r="BO294" s="50" t="s">
        <v>13780</v>
      </c>
      <c r="BP294" s="50" t="s">
        <v>180</v>
      </c>
      <c r="BQ294" s="50" t="s">
        <v>13781</v>
      </c>
      <c r="BR294" s="50" t="s">
        <v>13782</v>
      </c>
      <c r="BS294" s="50" t="s">
        <v>13783</v>
      </c>
      <c r="BU294" s="50" t="s">
        <v>13784</v>
      </c>
      <c r="BV294" s="50" t="s">
        <v>13785</v>
      </c>
      <c r="BW294" s="50" t="s">
        <v>138</v>
      </c>
      <c r="BX294" s="50" t="s">
        <v>13786</v>
      </c>
      <c r="BY294" s="50" t="s">
        <v>13787</v>
      </c>
      <c r="BZ294" s="50" t="s">
        <v>13786</v>
      </c>
      <c r="CA294" s="50" t="s">
        <v>13785</v>
      </c>
      <c r="CB294" s="50" t="s">
        <v>13786</v>
      </c>
      <c r="CC294" s="50" t="s">
        <v>13787</v>
      </c>
      <c r="CD294" s="50" t="s">
        <v>13785</v>
      </c>
      <c r="CE294" s="50" t="s">
        <v>13786</v>
      </c>
      <c r="CF294" s="50" t="s">
        <v>13787</v>
      </c>
      <c r="CG294" s="50" t="s">
        <v>358</v>
      </c>
      <c r="CH294" s="50" t="s">
        <v>13788</v>
      </c>
      <c r="CJ294" s="50" t="s">
        <v>13789</v>
      </c>
      <c r="CK294" s="50" t="s">
        <v>13790</v>
      </c>
      <c r="CL294" s="50" t="s">
        <v>13776</v>
      </c>
      <c r="CM294" s="50" t="s">
        <v>376</v>
      </c>
      <c r="CN294" s="50" t="s">
        <v>13789</v>
      </c>
      <c r="CP294" s="50" t="s">
        <v>13790</v>
      </c>
      <c r="CQ294" s="50" t="s">
        <v>13790</v>
      </c>
    </row>
    <row r="295" spans="1:96">
      <c r="A295" s="95" t="s">
        <v>149</v>
      </c>
      <c r="B295" s="50">
        <v>416793</v>
      </c>
      <c r="C295" s="50" t="s">
        <v>1111</v>
      </c>
      <c r="D295" s="50" t="s">
        <v>8870</v>
      </c>
      <c r="E295" s="50" t="str">
        <f>VLOOKUP(B295,aa!B:F,5,0)</f>
        <v>Ei ASSET, Ei ASSET,Ei CARES</v>
      </c>
      <c r="F295" s="50">
        <f>VLOOKUP(B295,aa!B:J,9,0)</f>
        <v>1132798</v>
      </c>
      <c r="G295" s="50">
        <f>VLOOKUP(B295,aa!B:L,11,0)</f>
        <v>867424</v>
      </c>
      <c r="H295" s="50">
        <f>VLOOKUP(B295,aa!B:O,14,0)</f>
        <v>265374</v>
      </c>
      <c r="I295" s="50">
        <f>VLOOKUP(B295,aa!B:R,17,0)</f>
        <v>0</v>
      </c>
      <c r="K295" s="50" t="s">
        <v>97</v>
      </c>
      <c r="L295" s="50">
        <v>1319828</v>
      </c>
      <c r="M295" s="50">
        <v>1319828</v>
      </c>
      <c r="N295" s="50">
        <v>1319828</v>
      </c>
      <c r="O295" s="50">
        <v>980</v>
      </c>
      <c r="P295" s="50" t="s">
        <v>18273</v>
      </c>
      <c r="Q295" s="50">
        <v>0</v>
      </c>
      <c r="R295" s="50">
        <v>0</v>
      </c>
      <c r="T295" s="50">
        <v>0</v>
      </c>
      <c r="U295" s="50">
        <v>0</v>
      </c>
      <c r="W295" s="50" t="s">
        <v>102</v>
      </c>
      <c r="X295" s="50" t="s">
        <v>275</v>
      </c>
      <c r="Z295" s="50" t="s">
        <v>18274</v>
      </c>
      <c r="AA295" s="50" t="s">
        <v>109</v>
      </c>
      <c r="AB295" s="50" t="s">
        <v>102</v>
      </c>
      <c r="AC295" s="50" t="s">
        <v>109</v>
      </c>
      <c r="AD295" s="50" t="s">
        <v>102</v>
      </c>
      <c r="AE295" s="50" t="s">
        <v>109</v>
      </c>
      <c r="AF295" s="50" t="s">
        <v>102</v>
      </c>
      <c r="AG295" s="50" t="s">
        <v>109</v>
      </c>
      <c r="AH295" s="50" t="s">
        <v>102</v>
      </c>
      <c r="AI295" s="50" t="s">
        <v>102</v>
      </c>
      <c r="AJ295" s="50" t="s">
        <v>7439</v>
      </c>
      <c r="AK295" s="50" t="s">
        <v>7439</v>
      </c>
      <c r="AL295" s="50" t="s">
        <v>18275</v>
      </c>
      <c r="AM295" s="50" t="s">
        <v>18276</v>
      </c>
      <c r="AN295" s="50" t="s">
        <v>18277</v>
      </c>
      <c r="AO295" s="50" t="s">
        <v>18278</v>
      </c>
      <c r="AP295" s="50" t="s">
        <v>18278</v>
      </c>
      <c r="AU295" s="50" t="s">
        <v>318</v>
      </c>
      <c r="AV295" s="50" t="s">
        <v>118</v>
      </c>
      <c r="AW295" s="50" t="s">
        <v>102</v>
      </c>
      <c r="AX295" s="50" t="s">
        <v>119</v>
      </c>
      <c r="BB295" s="50" t="s">
        <v>171</v>
      </c>
      <c r="BC295" s="50" t="s">
        <v>4403</v>
      </c>
      <c r="BD295" s="50" t="s">
        <v>4404</v>
      </c>
      <c r="BE295" s="50" t="s">
        <v>174</v>
      </c>
      <c r="BF295" s="50" t="s">
        <v>4405</v>
      </c>
      <c r="BG295" s="50" t="s">
        <v>124</v>
      </c>
      <c r="BH295" s="50" t="s">
        <v>18279</v>
      </c>
      <c r="BI295" s="50" t="s">
        <v>11889</v>
      </c>
      <c r="BJ295" s="50" t="s">
        <v>127</v>
      </c>
      <c r="BK295" s="50" t="s">
        <v>18280</v>
      </c>
      <c r="BL295" s="50" t="s">
        <v>8880</v>
      </c>
      <c r="BM295" s="50" t="s">
        <v>18281</v>
      </c>
      <c r="BN295" s="50" t="s">
        <v>18272</v>
      </c>
      <c r="BO295" s="50" t="s">
        <v>1108</v>
      </c>
      <c r="BP295" s="50" t="s">
        <v>180</v>
      </c>
      <c r="BQ295" s="50" t="s">
        <v>1109</v>
      </c>
      <c r="BR295" s="50" t="s">
        <v>1110</v>
      </c>
      <c r="BS295" s="50" t="s">
        <v>1111</v>
      </c>
      <c r="BU295" s="50" t="s">
        <v>18282</v>
      </c>
      <c r="BV295" s="50" t="s">
        <v>8883</v>
      </c>
      <c r="BW295" s="50" t="s">
        <v>354</v>
      </c>
      <c r="BX295" s="50" t="s">
        <v>8884</v>
      </c>
      <c r="BY295" s="50" t="s">
        <v>18283</v>
      </c>
      <c r="BZ295" s="50" t="s">
        <v>8884</v>
      </c>
      <c r="CA295" s="50" t="s">
        <v>8883</v>
      </c>
      <c r="CB295" s="50" t="s">
        <v>8884</v>
      </c>
      <c r="CC295" s="50" t="s">
        <v>18283</v>
      </c>
      <c r="CD295" s="50" t="s">
        <v>8883</v>
      </c>
      <c r="CE295" s="50" t="s">
        <v>8884</v>
      </c>
      <c r="CF295" s="50" t="s">
        <v>18283</v>
      </c>
      <c r="CG295" s="50" t="s">
        <v>102</v>
      </c>
      <c r="CH295" s="50" t="s">
        <v>18284</v>
      </c>
      <c r="CJ295" s="50" t="s">
        <v>8893</v>
      </c>
      <c r="CL295" s="50" t="s">
        <v>4403</v>
      </c>
      <c r="CM295" s="50" t="s">
        <v>4404</v>
      </c>
      <c r="CN295" s="50" t="s">
        <v>8893</v>
      </c>
      <c r="CP295" s="50" t="s">
        <v>8892</v>
      </c>
      <c r="CQ295" s="50" t="s">
        <v>8892</v>
      </c>
    </row>
    <row r="296" spans="1:96">
      <c r="A296" s="50" t="s">
        <v>93</v>
      </c>
      <c r="B296" s="50">
        <v>5017849</v>
      </c>
      <c r="C296" s="50" t="s">
        <v>12507</v>
      </c>
      <c r="D296" s="50" t="s">
        <v>19218</v>
      </c>
      <c r="E296" s="50" t="str">
        <f>VLOOKUP(B296,aa!B:F,5,0)</f>
        <v>Ei CARES</v>
      </c>
      <c r="F296" s="50">
        <f>VLOOKUP(B296,aa!B:J,9,0)</f>
        <v>727932</v>
      </c>
      <c r="G296" s="50">
        <f>VLOOKUP(B296,aa!B:L,11,0)</f>
        <v>0</v>
      </c>
      <c r="H296" s="50">
        <f>VLOOKUP(B296,aa!B:O,14,0)</f>
        <v>727932</v>
      </c>
      <c r="I296" s="50">
        <f>VLOOKUP(B296,aa!B:R,17,0)</f>
        <v>0</v>
      </c>
      <c r="K296" s="50" t="s">
        <v>643</v>
      </c>
      <c r="L296" s="50">
        <v>503593</v>
      </c>
      <c r="M296" s="50">
        <v>503593</v>
      </c>
      <c r="N296" s="50">
        <v>0</v>
      </c>
      <c r="O296" s="50">
        <v>0</v>
      </c>
      <c r="Q296" s="50">
        <v>503593</v>
      </c>
      <c r="R296" s="50">
        <v>294</v>
      </c>
      <c r="S296" s="50" t="s">
        <v>16842</v>
      </c>
      <c r="T296" s="50">
        <v>0</v>
      </c>
      <c r="U296" s="50">
        <v>386</v>
      </c>
      <c r="V296" s="50" t="s">
        <v>102</v>
      </c>
      <c r="W296" s="50" t="s">
        <v>102</v>
      </c>
      <c r="X296" s="50" t="s">
        <v>679</v>
      </c>
      <c r="Y296" s="50" t="s">
        <v>155</v>
      </c>
      <c r="Z296" s="50" t="s">
        <v>13769</v>
      </c>
      <c r="AA296" s="50" t="s">
        <v>19220</v>
      </c>
      <c r="AB296" s="50" t="s">
        <v>19221</v>
      </c>
      <c r="AC296" s="50" t="s">
        <v>15488</v>
      </c>
      <c r="AD296" s="50" t="s">
        <v>19221</v>
      </c>
      <c r="AE296" s="50" t="s">
        <v>19222</v>
      </c>
      <c r="AF296" s="50" t="s">
        <v>19221</v>
      </c>
      <c r="AG296" s="50" t="s">
        <v>19223</v>
      </c>
      <c r="AH296" s="50" t="s">
        <v>19221</v>
      </c>
      <c r="AI296" s="50" t="s">
        <v>19224</v>
      </c>
      <c r="AJ296" s="50" t="s">
        <v>10221</v>
      </c>
      <c r="AK296" s="50" t="s">
        <v>16007</v>
      </c>
      <c r="AL296" s="50" t="s">
        <v>19225</v>
      </c>
      <c r="AM296" s="50" t="s">
        <v>19226</v>
      </c>
      <c r="AN296" s="50" t="s">
        <v>19227</v>
      </c>
      <c r="AO296" s="50" t="s">
        <v>19228</v>
      </c>
      <c r="AP296" s="50" t="s">
        <v>19228</v>
      </c>
      <c r="AU296" s="50" t="s">
        <v>102</v>
      </c>
      <c r="AW296" s="50" t="s">
        <v>655</v>
      </c>
      <c r="AX296" s="50" t="s">
        <v>249</v>
      </c>
      <c r="AY296" s="50" t="s">
        <v>170</v>
      </c>
      <c r="AZ296" s="50" t="s">
        <v>118</v>
      </c>
      <c r="BA296" s="50" t="s">
        <v>250</v>
      </c>
      <c r="BB296" s="50" t="s">
        <v>120</v>
      </c>
      <c r="BC296" s="50" t="s">
        <v>7324</v>
      </c>
      <c r="BD296" s="50" t="s">
        <v>556</v>
      </c>
      <c r="BE296" s="50" t="s">
        <v>122</v>
      </c>
      <c r="BF296" s="50" t="s">
        <v>557</v>
      </c>
      <c r="BG296" s="50" t="s">
        <v>124</v>
      </c>
      <c r="BH296" s="50" t="s">
        <v>19229</v>
      </c>
      <c r="BI296" s="50" t="s">
        <v>19230</v>
      </c>
      <c r="BJ296" s="50" t="s">
        <v>127</v>
      </c>
      <c r="BK296" s="50" t="s">
        <v>19231</v>
      </c>
      <c r="BL296" s="50" t="s">
        <v>19232</v>
      </c>
      <c r="BM296" s="50" t="s">
        <v>19233</v>
      </c>
      <c r="BN296" s="50" t="s">
        <v>19219</v>
      </c>
      <c r="BO296" s="50" t="s">
        <v>19234</v>
      </c>
      <c r="BP296" s="50" t="s">
        <v>350</v>
      </c>
      <c r="BQ296" s="50" t="s">
        <v>19235</v>
      </c>
      <c r="BR296" s="50" t="s">
        <v>19236</v>
      </c>
      <c r="BS296" s="50" t="s">
        <v>566</v>
      </c>
      <c r="BU296" s="50" t="s">
        <v>19237</v>
      </c>
      <c r="BV296" s="50" t="s">
        <v>7329</v>
      </c>
      <c r="BW296" s="50" t="s">
        <v>138</v>
      </c>
      <c r="BX296" s="50" t="s">
        <v>19238</v>
      </c>
      <c r="BY296" s="50" t="s">
        <v>7331</v>
      </c>
      <c r="BZ296" s="50" t="s">
        <v>16852</v>
      </c>
      <c r="CA296" s="50" t="s">
        <v>19239</v>
      </c>
      <c r="CB296" s="50" t="s">
        <v>19238</v>
      </c>
      <c r="CC296" s="50" t="s">
        <v>19240</v>
      </c>
      <c r="CD296" s="50" t="s">
        <v>19239</v>
      </c>
      <c r="CE296" s="50" t="s">
        <v>19238</v>
      </c>
      <c r="CF296" s="50" t="s">
        <v>19240</v>
      </c>
      <c r="CG296" s="50" t="s">
        <v>19241</v>
      </c>
      <c r="CH296" s="50" t="s">
        <v>19242</v>
      </c>
      <c r="CJ296" s="50" t="s">
        <v>7334</v>
      </c>
      <c r="CK296" s="50" t="s">
        <v>19243</v>
      </c>
      <c r="CL296" s="50" t="s">
        <v>7324</v>
      </c>
      <c r="CM296" s="50" t="s">
        <v>556</v>
      </c>
      <c r="CN296" s="50" t="s">
        <v>7334</v>
      </c>
      <c r="CO296" s="50" t="s">
        <v>19244</v>
      </c>
      <c r="CP296" s="50" t="s">
        <v>19242</v>
      </c>
      <c r="CQ296" s="50" t="s">
        <v>19242</v>
      </c>
    </row>
    <row r="297" spans="1:96">
      <c r="A297" s="95" t="s">
        <v>149</v>
      </c>
      <c r="B297" s="50">
        <v>3765958</v>
      </c>
      <c r="C297" s="50" t="s">
        <v>12155</v>
      </c>
      <c r="D297" s="50" t="s">
        <v>7367</v>
      </c>
      <c r="E297" s="50" t="e">
        <f>VLOOKUP(B297,aa!B:F,5,0)</f>
        <v>#N/A</v>
      </c>
      <c r="F297" s="50" t="e">
        <f>VLOOKUP(B297,aa!B:J,9,0)</f>
        <v>#N/A</v>
      </c>
      <c r="G297" s="50" t="e">
        <f>VLOOKUP(B297,aa!B:L,11,0)</f>
        <v>#N/A</v>
      </c>
      <c r="H297" s="50" t="e">
        <f>VLOOKUP(B297,aa!B:O,14,0)</f>
        <v>#N/A</v>
      </c>
      <c r="I297" s="50" t="e">
        <f>VLOOKUP(B297,aa!B:R,17,0)</f>
        <v>#N/A</v>
      </c>
      <c r="K297" s="50" t="s">
        <v>152</v>
      </c>
      <c r="L297" s="50">
        <v>1170000</v>
      </c>
      <c r="M297" s="50">
        <v>1170000</v>
      </c>
      <c r="N297" s="50">
        <v>0</v>
      </c>
      <c r="O297" s="50">
        <v>0</v>
      </c>
      <c r="Q297" s="50">
        <v>1170000</v>
      </c>
      <c r="R297" s="50">
        <v>1000</v>
      </c>
      <c r="S297" s="50" t="s">
        <v>16898</v>
      </c>
      <c r="T297" s="50">
        <v>0</v>
      </c>
      <c r="U297" s="50">
        <v>0</v>
      </c>
      <c r="W297" s="50" t="s">
        <v>102</v>
      </c>
      <c r="X297" s="50" t="s">
        <v>103</v>
      </c>
      <c r="Y297" s="50" t="s">
        <v>155</v>
      </c>
      <c r="AA297" s="50" t="s">
        <v>14272</v>
      </c>
      <c r="AB297" s="50" t="s">
        <v>16899</v>
      </c>
      <c r="AC297" s="50" t="s">
        <v>12082</v>
      </c>
      <c r="AD297" s="50" t="s">
        <v>16899</v>
      </c>
      <c r="AE297" s="50" t="s">
        <v>12327</v>
      </c>
      <c r="AF297" s="50" t="s">
        <v>16899</v>
      </c>
      <c r="AG297" s="50" t="s">
        <v>11886</v>
      </c>
      <c r="AH297" s="50" t="s">
        <v>16899</v>
      </c>
      <c r="AI297" s="50" t="s">
        <v>16900</v>
      </c>
      <c r="AJ297" s="50" t="s">
        <v>4520</v>
      </c>
      <c r="AK297" s="50" t="s">
        <v>12680</v>
      </c>
      <c r="AL297" s="50" t="s">
        <v>16901</v>
      </c>
      <c r="AM297" s="50" t="s">
        <v>16902</v>
      </c>
      <c r="AN297" s="50" t="s">
        <v>16903</v>
      </c>
      <c r="AO297" s="50" t="s">
        <v>2147</v>
      </c>
      <c r="AP297" s="50" t="s">
        <v>2147</v>
      </c>
      <c r="AU297" s="50" t="s">
        <v>102</v>
      </c>
      <c r="AW297" s="50" t="s">
        <v>155</v>
      </c>
      <c r="AX297" s="50" t="s">
        <v>119</v>
      </c>
      <c r="AY297" s="50" t="s">
        <v>170</v>
      </c>
      <c r="AZ297" s="50" t="s">
        <v>118</v>
      </c>
      <c r="BB297" s="50" t="s">
        <v>120</v>
      </c>
      <c r="BC297" s="50" t="s">
        <v>1170</v>
      </c>
      <c r="BD297" s="50" t="s">
        <v>1171</v>
      </c>
      <c r="BE297" s="50" t="s">
        <v>174</v>
      </c>
      <c r="BF297" s="50" t="s">
        <v>1172</v>
      </c>
      <c r="BG297" s="50" t="s">
        <v>124</v>
      </c>
      <c r="BH297" s="50" t="s">
        <v>12023</v>
      </c>
      <c r="BI297" s="50" t="s">
        <v>11889</v>
      </c>
      <c r="BJ297" s="50" t="s">
        <v>127</v>
      </c>
      <c r="BK297" s="50" t="s">
        <v>16904</v>
      </c>
      <c r="BL297" s="50" t="s">
        <v>7376</v>
      </c>
      <c r="BM297" s="50" t="s">
        <v>16905</v>
      </c>
      <c r="BN297" s="50" t="s">
        <v>14272</v>
      </c>
      <c r="BO297" s="50" t="s">
        <v>5557</v>
      </c>
      <c r="BP297" s="50" t="s">
        <v>180</v>
      </c>
      <c r="BQ297" s="50" t="s">
        <v>5558</v>
      </c>
      <c r="BR297" s="50" t="s">
        <v>5559</v>
      </c>
      <c r="BS297" s="50" t="s">
        <v>5560</v>
      </c>
      <c r="BT297" s="50" t="s">
        <v>7378</v>
      </c>
      <c r="BU297" s="50" t="s">
        <v>16906</v>
      </c>
      <c r="BV297" s="50" t="s">
        <v>16907</v>
      </c>
      <c r="BW297" s="50" t="s">
        <v>354</v>
      </c>
      <c r="BX297" s="50" t="s">
        <v>7381</v>
      </c>
      <c r="BY297" s="50" t="s">
        <v>7382</v>
      </c>
      <c r="BZ297" s="50" t="s">
        <v>7383</v>
      </c>
      <c r="CA297" s="50" t="s">
        <v>16908</v>
      </c>
      <c r="CB297" s="50" t="s">
        <v>7381</v>
      </c>
      <c r="CC297" s="50" t="s">
        <v>16909</v>
      </c>
      <c r="CD297" s="50" t="s">
        <v>16910</v>
      </c>
      <c r="CE297" s="50" t="s">
        <v>7381</v>
      </c>
      <c r="CF297" s="50" t="s">
        <v>16911</v>
      </c>
      <c r="CG297" s="50" t="s">
        <v>7386</v>
      </c>
      <c r="CH297" s="50" t="s">
        <v>7390</v>
      </c>
      <c r="CJ297" s="50" t="s">
        <v>16912</v>
      </c>
      <c r="CK297" s="50" t="s">
        <v>16913</v>
      </c>
      <c r="CL297" s="50" t="s">
        <v>1170</v>
      </c>
      <c r="CM297" s="50" t="s">
        <v>1171</v>
      </c>
      <c r="CN297" s="50" t="s">
        <v>16912</v>
      </c>
      <c r="CO297" s="50" t="s">
        <v>7389</v>
      </c>
      <c r="CP297" s="50" t="s">
        <v>7390</v>
      </c>
      <c r="CQ297" s="50" t="s">
        <v>7390</v>
      </c>
      <c r="CR297" s="52" t="s">
        <v>26042</v>
      </c>
    </row>
    <row r="298" spans="1:96">
      <c r="A298" s="95" t="s">
        <v>149</v>
      </c>
      <c r="B298" s="50">
        <v>2497679</v>
      </c>
      <c r="C298" s="50" t="s">
        <v>12155</v>
      </c>
      <c r="D298" s="50" t="s">
        <v>3743</v>
      </c>
      <c r="E298" s="50" t="str">
        <f>VLOOKUP(B298,aa!B:F,5,0)</f>
        <v>Ei ASSET,Ei CARES, Ei ASSET,Ei CARES,Ei Mindspark, Ei CARES</v>
      </c>
      <c r="F298" s="50">
        <f>VLOOKUP(B298,aa!B:J,9,0)</f>
        <v>2616819</v>
      </c>
      <c r="G298" s="50">
        <f>VLOOKUP(B298,aa!B:L,11,0)</f>
        <v>393174</v>
      </c>
      <c r="H298" s="50">
        <f>VLOOKUP(B298,aa!B:O,14,0)</f>
        <v>1136898</v>
      </c>
      <c r="I298" s="50">
        <f>VLOOKUP(B298,aa!B:R,17,0)</f>
        <v>1086747</v>
      </c>
      <c r="K298" s="50" t="s">
        <v>1746</v>
      </c>
      <c r="L298" s="50">
        <v>2230424</v>
      </c>
      <c r="M298" s="50">
        <v>2420519</v>
      </c>
      <c r="N298" s="50">
        <v>300394</v>
      </c>
      <c r="O298" s="50">
        <v>928</v>
      </c>
      <c r="P298" s="50" t="s">
        <v>14251</v>
      </c>
      <c r="Q298" s="50">
        <v>873947</v>
      </c>
      <c r="R298" s="50">
        <v>920</v>
      </c>
      <c r="S298" s="50" t="s">
        <v>936</v>
      </c>
      <c r="T298" s="50">
        <v>1056083</v>
      </c>
      <c r="U298" s="50">
        <v>802</v>
      </c>
      <c r="V298" s="50" t="s">
        <v>5240</v>
      </c>
      <c r="W298" s="50" t="s">
        <v>102</v>
      </c>
      <c r="X298" s="50" t="s">
        <v>275</v>
      </c>
      <c r="Z298" s="50" t="s">
        <v>11925</v>
      </c>
      <c r="AA298" s="50" t="s">
        <v>109</v>
      </c>
      <c r="AB298" s="50" t="s">
        <v>102</v>
      </c>
      <c r="AC298" s="50" t="s">
        <v>109</v>
      </c>
      <c r="AD298" s="50" t="s">
        <v>102</v>
      </c>
      <c r="AE298" s="50" t="s">
        <v>109</v>
      </c>
      <c r="AF298" s="50" t="s">
        <v>102</v>
      </c>
      <c r="AG298" s="50" t="s">
        <v>109</v>
      </c>
      <c r="AH298" s="50" t="s">
        <v>102</v>
      </c>
      <c r="AI298" s="50" t="s">
        <v>14252</v>
      </c>
      <c r="AJ298" s="50" t="s">
        <v>13886</v>
      </c>
      <c r="AK298" s="50" t="s">
        <v>4563</v>
      </c>
      <c r="AL298" s="50" t="s">
        <v>14253</v>
      </c>
      <c r="AM298" s="50" t="s">
        <v>14254</v>
      </c>
      <c r="AN298" s="50" t="s">
        <v>14255</v>
      </c>
      <c r="AO298" s="50" t="s">
        <v>14256</v>
      </c>
      <c r="AP298" s="50" t="s">
        <v>14256</v>
      </c>
      <c r="AU298" s="50" t="s">
        <v>117</v>
      </c>
      <c r="AV298" s="50" t="s">
        <v>118</v>
      </c>
      <c r="AW298" s="50" t="s">
        <v>155</v>
      </c>
      <c r="AX298" s="50" t="s">
        <v>447</v>
      </c>
      <c r="AY298" s="50" t="s">
        <v>170</v>
      </c>
      <c r="AZ298" s="50" t="s">
        <v>118</v>
      </c>
      <c r="BA298" s="50" t="s">
        <v>250</v>
      </c>
      <c r="BB298" s="50" t="s">
        <v>120</v>
      </c>
      <c r="BC298" s="50" t="s">
        <v>3754</v>
      </c>
      <c r="BD298" s="50" t="s">
        <v>173</v>
      </c>
      <c r="BE298" s="50" t="s">
        <v>174</v>
      </c>
      <c r="BF298" s="50" t="s">
        <v>173</v>
      </c>
      <c r="BG298" s="50" t="s">
        <v>124</v>
      </c>
      <c r="BH298" s="50" t="s">
        <v>12492</v>
      </c>
      <c r="BI298" s="50" t="s">
        <v>12047</v>
      </c>
      <c r="BJ298" s="50" t="s">
        <v>127</v>
      </c>
      <c r="BK298" s="50" t="s">
        <v>14257</v>
      </c>
      <c r="BL298" s="50" t="s">
        <v>3756</v>
      </c>
      <c r="BM298" s="50" t="s">
        <v>14258</v>
      </c>
      <c r="BN298" s="50" t="s">
        <v>14250</v>
      </c>
      <c r="BO298" s="50" t="s">
        <v>12557</v>
      </c>
      <c r="BP298" s="50" t="s">
        <v>180</v>
      </c>
      <c r="BQ298" s="50" t="s">
        <v>12558</v>
      </c>
      <c r="BR298" s="50" t="s">
        <v>12559</v>
      </c>
      <c r="BS298" s="50" t="s">
        <v>183</v>
      </c>
      <c r="BU298" s="50" t="s">
        <v>14259</v>
      </c>
      <c r="BV298" s="50" t="s">
        <v>14260</v>
      </c>
      <c r="BW298" s="50" t="s">
        <v>138</v>
      </c>
      <c r="BX298" s="50" t="s">
        <v>3762</v>
      </c>
      <c r="BY298" s="50" t="s">
        <v>14261</v>
      </c>
      <c r="BZ298" s="50" t="s">
        <v>3762</v>
      </c>
      <c r="CA298" s="50" t="s">
        <v>14260</v>
      </c>
      <c r="CB298" s="50" t="s">
        <v>3762</v>
      </c>
      <c r="CC298" s="50" t="s">
        <v>14261</v>
      </c>
      <c r="CD298" s="50" t="s">
        <v>3764</v>
      </c>
      <c r="CE298" s="50" t="s">
        <v>3765</v>
      </c>
      <c r="CF298" s="50" t="s">
        <v>14262</v>
      </c>
      <c r="CG298" s="50" t="s">
        <v>102</v>
      </c>
      <c r="CH298" s="50" t="s">
        <v>14263</v>
      </c>
      <c r="CJ298" s="50" t="s">
        <v>3768</v>
      </c>
      <c r="CK298" s="50" t="s">
        <v>14263</v>
      </c>
      <c r="CL298" s="50" t="s">
        <v>3754</v>
      </c>
      <c r="CM298" s="50" t="s">
        <v>173</v>
      </c>
      <c r="CN298" s="50" t="s">
        <v>3768</v>
      </c>
      <c r="CO298" s="50" t="s">
        <v>3769</v>
      </c>
      <c r="CP298" s="50" t="s">
        <v>3770</v>
      </c>
      <c r="CQ298" s="50" t="s">
        <v>3767</v>
      </c>
    </row>
    <row r="299" spans="1:96">
      <c r="A299" s="95" t="s">
        <v>149</v>
      </c>
      <c r="B299" s="50">
        <v>1016619</v>
      </c>
      <c r="C299" s="50" t="s">
        <v>183</v>
      </c>
      <c r="D299" s="50" t="s">
        <v>150</v>
      </c>
      <c r="E299" s="50" t="e">
        <f>VLOOKUP(B299,aa!B:F,5,0)</f>
        <v>#N/A</v>
      </c>
      <c r="F299" s="50" t="e">
        <f>VLOOKUP(B299,aa!B:J,9,0)</f>
        <v>#N/A</v>
      </c>
      <c r="G299" s="50" t="e">
        <f>VLOOKUP(B299,aa!B:L,11,0)</f>
        <v>#N/A</v>
      </c>
      <c r="H299" s="50" t="e">
        <f>VLOOKUP(B299,aa!B:O,14,0)</f>
        <v>#N/A</v>
      </c>
      <c r="I299" s="50" t="e">
        <f>VLOOKUP(B299,aa!B:R,17,0)</f>
        <v>#N/A</v>
      </c>
      <c r="K299" s="50" t="s">
        <v>152</v>
      </c>
      <c r="L299" s="50">
        <v>1522702</v>
      </c>
      <c r="M299" s="50">
        <v>1522702</v>
      </c>
      <c r="N299" s="50">
        <v>0</v>
      </c>
      <c r="O299" s="50">
        <v>0</v>
      </c>
      <c r="Q299" s="50">
        <v>1522702</v>
      </c>
      <c r="R299" s="50">
        <v>1167</v>
      </c>
      <c r="S299" s="50" t="s">
        <v>11926</v>
      </c>
      <c r="T299" s="50">
        <v>0</v>
      </c>
      <c r="U299" s="50">
        <v>0</v>
      </c>
      <c r="W299" s="50" t="s">
        <v>102</v>
      </c>
      <c r="X299" s="50" t="s">
        <v>103</v>
      </c>
      <c r="Y299" s="50" t="s">
        <v>155</v>
      </c>
      <c r="AA299" s="50" t="s">
        <v>11927</v>
      </c>
      <c r="AB299" s="50" t="s">
        <v>11928</v>
      </c>
      <c r="AC299" s="50" t="s">
        <v>11929</v>
      </c>
      <c r="AD299" s="50" t="s">
        <v>11928</v>
      </c>
      <c r="AE299" s="50" t="s">
        <v>11930</v>
      </c>
      <c r="AF299" s="50" t="s">
        <v>11928</v>
      </c>
      <c r="AG299" s="50" t="s">
        <v>11886</v>
      </c>
      <c r="AH299" s="50" t="s">
        <v>11928</v>
      </c>
      <c r="AI299" s="50" t="s">
        <v>11931</v>
      </c>
      <c r="AJ299" s="50" t="s">
        <v>11932</v>
      </c>
      <c r="AK299" s="50" t="s">
        <v>11933</v>
      </c>
      <c r="AL299" s="50" t="s">
        <v>11934</v>
      </c>
      <c r="AM299" s="50" t="s">
        <v>11935</v>
      </c>
      <c r="AN299" s="50" t="s">
        <v>11936</v>
      </c>
      <c r="AO299" s="50" t="s">
        <v>11937</v>
      </c>
      <c r="AP299" s="50" t="s">
        <v>11937</v>
      </c>
      <c r="AU299" s="50" t="s">
        <v>102</v>
      </c>
      <c r="AW299" s="50" t="s">
        <v>155</v>
      </c>
      <c r="AX299" s="50" t="s">
        <v>119</v>
      </c>
      <c r="AY299" s="50" t="s">
        <v>170</v>
      </c>
      <c r="AZ299" s="50" t="s">
        <v>118</v>
      </c>
      <c r="BB299" s="50" t="s">
        <v>171</v>
      </c>
      <c r="BC299" s="50" t="s">
        <v>172</v>
      </c>
      <c r="BD299" s="50" t="s">
        <v>173</v>
      </c>
      <c r="BE299" s="50" t="s">
        <v>174</v>
      </c>
      <c r="BF299" s="50" t="s">
        <v>173</v>
      </c>
      <c r="BG299" s="50" t="s">
        <v>124</v>
      </c>
      <c r="BH299" s="50" t="s">
        <v>11938</v>
      </c>
      <c r="BI299" s="50" t="s">
        <v>11889</v>
      </c>
      <c r="BJ299" s="50" t="s">
        <v>127</v>
      </c>
      <c r="BK299" s="50" t="s">
        <v>11939</v>
      </c>
      <c r="BL299" s="50" t="s">
        <v>177</v>
      </c>
      <c r="BM299" s="50" t="s">
        <v>11940</v>
      </c>
      <c r="BN299" s="50" t="s">
        <v>11925</v>
      </c>
      <c r="BO299" s="50" t="s">
        <v>179</v>
      </c>
      <c r="BP299" s="50" t="s">
        <v>180</v>
      </c>
      <c r="BQ299" s="50" t="s">
        <v>181</v>
      </c>
      <c r="BR299" s="50" t="s">
        <v>182</v>
      </c>
      <c r="BS299" s="50" t="s">
        <v>183</v>
      </c>
      <c r="BU299" s="50" t="s">
        <v>11941</v>
      </c>
      <c r="BV299" s="50" t="s">
        <v>185</v>
      </c>
      <c r="BW299" s="50" t="s">
        <v>138</v>
      </c>
      <c r="BX299" s="50" t="s">
        <v>11942</v>
      </c>
      <c r="BY299" s="50" t="s">
        <v>187</v>
      </c>
      <c r="BZ299" s="50" t="s">
        <v>186</v>
      </c>
      <c r="CA299" s="50" t="s">
        <v>185</v>
      </c>
      <c r="CB299" s="50" t="s">
        <v>11942</v>
      </c>
      <c r="CC299" s="50" t="s">
        <v>187</v>
      </c>
      <c r="CD299" s="50" t="s">
        <v>11943</v>
      </c>
      <c r="CE299" s="50" t="s">
        <v>11944</v>
      </c>
      <c r="CF299" s="50" t="s">
        <v>11945</v>
      </c>
      <c r="CG299" s="50" t="s">
        <v>102</v>
      </c>
      <c r="CH299" s="50" t="s">
        <v>11946</v>
      </c>
      <c r="CJ299" s="50" t="s">
        <v>189</v>
      </c>
      <c r="CK299" s="50" t="s">
        <v>11946</v>
      </c>
      <c r="CL299" s="50" t="s">
        <v>172</v>
      </c>
      <c r="CM299" s="50" t="s">
        <v>173</v>
      </c>
      <c r="CN299" s="50" t="s">
        <v>189</v>
      </c>
      <c r="CO299" s="50" t="s">
        <v>190</v>
      </c>
      <c r="CP299" s="50" t="s">
        <v>188</v>
      </c>
      <c r="CQ299" s="50" t="s">
        <v>188</v>
      </c>
      <c r="CR299" s="50" t="s">
        <v>26047</v>
      </c>
    </row>
    <row r="300" spans="1:96">
      <c r="A300" s="95" t="s">
        <v>149</v>
      </c>
      <c r="B300" s="50">
        <v>2501573</v>
      </c>
      <c r="C300" s="50" t="s">
        <v>12491</v>
      </c>
      <c r="D300" s="50" t="s">
        <v>3771</v>
      </c>
      <c r="E300" s="50" t="str">
        <f>VLOOKUP(B300,aa!B:F,5,0)</f>
        <v>Ei ASSET</v>
      </c>
      <c r="F300" s="50">
        <f>VLOOKUP(B300,aa!B:J,9,0)</f>
        <v>561788</v>
      </c>
      <c r="G300" s="50">
        <f>VLOOKUP(B300,aa!B:L,11,0)</f>
        <v>561788</v>
      </c>
      <c r="H300" s="50">
        <f>VLOOKUP(B300,aa!B:O,14,0)</f>
        <v>0</v>
      </c>
      <c r="I300" s="50">
        <f>VLOOKUP(B300,aa!B:R,17,0)</f>
        <v>0</v>
      </c>
      <c r="K300" s="50" t="s">
        <v>97</v>
      </c>
      <c r="L300" s="50">
        <v>572940</v>
      </c>
      <c r="M300" s="50">
        <v>572940</v>
      </c>
      <c r="N300" s="50">
        <v>572940</v>
      </c>
      <c r="O300" s="50">
        <v>900</v>
      </c>
      <c r="P300" s="50" t="s">
        <v>14264</v>
      </c>
      <c r="Q300" s="50">
        <v>0</v>
      </c>
      <c r="R300" s="50">
        <v>0</v>
      </c>
      <c r="T300" s="50">
        <v>0</v>
      </c>
      <c r="U300" s="50">
        <v>0</v>
      </c>
      <c r="W300" s="50" t="s">
        <v>102</v>
      </c>
      <c r="X300" s="50" t="s">
        <v>275</v>
      </c>
      <c r="Z300" s="50" t="s">
        <v>11938</v>
      </c>
      <c r="AA300" s="50" t="s">
        <v>109</v>
      </c>
      <c r="AB300" s="50" t="s">
        <v>102</v>
      </c>
      <c r="AC300" s="50" t="s">
        <v>109</v>
      </c>
      <c r="AD300" s="50" t="s">
        <v>102</v>
      </c>
      <c r="AE300" s="50" t="s">
        <v>109</v>
      </c>
      <c r="AF300" s="50" t="s">
        <v>102</v>
      </c>
      <c r="AG300" s="50" t="s">
        <v>109</v>
      </c>
      <c r="AH300" s="50" t="s">
        <v>102</v>
      </c>
      <c r="AI300" s="50" t="s">
        <v>14265</v>
      </c>
      <c r="AJ300" s="50" t="s">
        <v>14266</v>
      </c>
      <c r="AK300" s="50" t="s">
        <v>14267</v>
      </c>
      <c r="AL300" s="50" t="s">
        <v>14268</v>
      </c>
      <c r="AM300" s="50" t="s">
        <v>14269</v>
      </c>
      <c r="AN300" s="50" t="s">
        <v>14270</v>
      </c>
      <c r="AO300" s="50" t="s">
        <v>14271</v>
      </c>
      <c r="AP300" s="50" t="s">
        <v>14271</v>
      </c>
      <c r="AU300" s="50" t="s">
        <v>3439</v>
      </c>
      <c r="AV300" s="50" t="s">
        <v>118</v>
      </c>
      <c r="AW300" s="50" t="s">
        <v>102</v>
      </c>
      <c r="AX300" s="50" t="s">
        <v>119</v>
      </c>
      <c r="BB300" s="50" t="s">
        <v>120</v>
      </c>
      <c r="BC300" s="50" t="s">
        <v>1407</v>
      </c>
      <c r="BD300" s="50" t="s">
        <v>449</v>
      </c>
      <c r="BE300" s="50" t="s">
        <v>122</v>
      </c>
      <c r="BF300" s="50" t="s">
        <v>450</v>
      </c>
      <c r="BG300" s="50" t="s">
        <v>124</v>
      </c>
      <c r="BH300" s="50" t="s">
        <v>14272</v>
      </c>
      <c r="BI300" s="50" t="s">
        <v>11889</v>
      </c>
      <c r="BJ300" s="50" t="s">
        <v>127</v>
      </c>
      <c r="BK300" s="50" t="s">
        <v>14273</v>
      </c>
      <c r="BL300" s="50" t="s">
        <v>3779</v>
      </c>
      <c r="BM300" s="50" t="s">
        <v>14274</v>
      </c>
      <c r="BN300" s="50" t="s">
        <v>11925</v>
      </c>
      <c r="BO300" s="50" t="s">
        <v>1108</v>
      </c>
      <c r="BP300" s="50" t="s">
        <v>350</v>
      </c>
      <c r="BQ300" s="50" t="s">
        <v>1109</v>
      </c>
      <c r="BR300" s="50" t="s">
        <v>1110</v>
      </c>
      <c r="BS300" s="50" t="s">
        <v>1111</v>
      </c>
      <c r="BU300" s="50" t="s">
        <v>14275</v>
      </c>
      <c r="BV300" s="50" t="s">
        <v>3782</v>
      </c>
      <c r="BW300" s="50" t="s">
        <v>598</v>
      </c>
      <c r="BX300" s="50" t="s">
        <v>3783</v>
      </c>
      <c r="BY300" s="50" t="s">
        <v>3784</v>
      </c>
      <c r="BZ300" s="50" t="s">
        <v>3783</v>
      </c>
      <c r="CA300" s="50" t="s">
        <v>14276</v>
      </c>
      <c r="CB300" s="50" t="s">
        <v>14277</v>
      </c>
      <c r="CC300" s="50" t="s">
        <v>3784</v>
      </c>
      <c r="CD300" s="50" t="s">
        <v>3782</v>
      </c>
      <c r="CE300" s="50" t="s">
        <v>3783</v>
      </c>
      <c r="CF300" s="50" t="s">
        <v>3784</v>
      </c>
      <c r="CG300" s="50" t="s">
        <v>102</v>
      </c>
      <c r="CH300" s="50" t="s">
        <v>14278</v>
      </c>
      <c r="CJ300" s="50" t="s">
        <v>3786</v>
      </c>
      <c r="CL300" s="50" t="s">
        <v>1407</v>
      </c>
      <c r="CM300" s="50" t="s">
        <v>449</v>
      </c>
      <c r="CN300" s="50" t="s">
        <v>3786</v>
      </c>
      <c r="CP300" s="50" t="s">
        <v>3787</v>
      </c>
      <c r="CQ300" s="50" t="s">
        <v>3785</v>
      </c>
    </row>
    <row r="301" spans="1:96">
      <c r="A301" s="95" t="s">
        <v>149</v>
      </c>
      <c r="B301" s="50">
        <v>258293</v>
      </c>
      <c r="C301" s="50" t="s">
        <v>418</v>
      </c>
      <c r="D301" s="50" t="s">
        <v>4183</v>
      </c>
      <c r="E301" s="50" t="e">
        <f>VLOOKUP(B301,aa!B:F,5,0)</f>
        <v>#N/A</v>
      </c>
      <c r="F301" s="50" t="e">
        <f>VLOOKUP(B301,aa!B:J,9,0)</f>
        <v>#N/A</v>
      </c>
      <c r="G301" s="50" t="e">
        <f>VLOOKUP(B301,aa!B:L,11,0)</f>
        <v>#N/A</v>
      </c>
      <c r="H301" s="50" t="e">
        <f>VLOOKUP(B301,aa!B:O,14,0)</f>
        <v>#N/A</v>
      </c>
      <c r="I301" s="50" t="e">
        <f>VLOOKUP(B301,aa!B:R,17,0)</f>
        <v>#N/A</v>
      </c>
      <c r="K301" s="50" t="s">
        <v>675</v>
      </c>
      <c r="L301" s="50">
        <v>1082287</v>
      </c>
      <c r="M301" s="50">
        <v>1082287</v>
      </c>
      <c r="N301" s="50">
        <v>955927</v>
      </c>
      <c r="O301" s="50">
        <v>1081</v>
      </c>
      <c r="P301" s="50" t="s">
        <v>14605</v>
      </c>
      <c r="Q301" s="50">
        <v>126360</v>
      </c>
      <c r="R301" s="50">
        <v>156</v>
      </c>
      <c r="S301" s="50" t="s">
        <v>6750</v>
      </c>
      <c r="T301" s="50">
        <v>0</v>
      </c>
      <c r="U301" s="50">
        <v>0</v>
      </c>
      <c r="W301" s="50" t="s">
        <v>102</v>
      </c>
      <c r="X301" s="50" t="s">
        <v>103</v>
      </c>
      <c r="Y301" s="50" t="s">
        <v>104</v>
      </c>
      <c r="AA301" s="50" t="s">
        <v>11927</v>
      </c>
      <c r="AB301" s="50" t="s">
        <v>14606</v>
      </c>
      <c r="AC301" s="50" t="s">
        <v>1427</v>
      </c>
      <c r="AD301" s="50" t="s">
        <v>14607</v>
      </c>
      <c r="AE301" s="50" t="s">
        <v>109</v>
      </c>
      <c r="AF301" s="50" t="s">
        <v>102</v>
      </c>
      <c r="AG301" s="50" t="s">
        <v>109</v>
      </c>
      <c r="AH301" s="50" t="s">
        <v>102</v>
      </c>
      <c r="AI301" s="50" t="s">
        <v>14608</v>
      </c>
      <c r="AJ301" s="50" t="s">
        <v>7484</v>
      </c>
      <c r="AK301" s="50" t="s">
        <v>14609</v>
      </c>
      <c r="AL301" s="50" t="s">
        <v>14610</v>
      </c>
      <c r="AM301" s="50" t="s">
        <v>14611</v>
      </c>
      <c r="AN301" s="50" t="s">
        <v>14612</v>
      </c>
      <c r="AO301" s="50" t="s">
        <v>14613</v>
      </c>
      <c r="AP301" s="50" t="s">
        <v>14613</v>
      </c>
      <c r="AU301" s="50" t="s">
        <v>207</v>
      </c>
      <c r="AV301" s="50" t="s">
        <v>118</v>
      </c>
      <c r="AW301" s="50" t="s">
        <v>1103</v>
      </c>
      <c r="AX301" s="50" t="s">
        <v>119</v>
      </c>
      <c r="AY301" s="50" t="s">
        <v>170</v>
      </c>
      <c r="AZ301" s="50" t="s">
        <v>118</v>
      </c>
      <c r="BB301" s="50" t="s">
        <v>120</v>
      </c>
      <c r="BC301" s="50" t="s">
        <v>409</v>
      </c>
      <c r="BD301" s="50" t="s">
        <v>410</v>
      </c>
      <c r="BE301" s="50" t="s">
        <v>212</v>
      </c>
      <c r="BF301" s="50" t="s">
        <v>410</v>
      </c>
      <c r="BG301" s="50" t="s">
        <v>124</v>
      </c>
      <c r="BH301" s="50" t="s">
        <v>11959</v>
      </c>
      <c r="BI301" s="50" t="s">
        <v>12047</v>
      </c>
      <c r="BJ301" s="50" t="s">
        <v>127</v>
      </c>
      <c r="BK301" s="50" t="s">
        <v>14614</v>
      </c>
      <c r="BL301" s="50" t="s">
        <v>4196</v>
      </c>
      <c r="BM301" s="50" t="s">
        <v>14615</v>
      </c>
      <c r="BN301" s="50" t="s">
        <v>11925</v>
      </c>
      <c r="BO301" s="50" t="s">
        <v>866</v>
      </c>
      <c r="BP301" s="50" t="s">
        <v>350</v>
      </c>
      <c r="BQ301" s="50" t="s">
        <v>867</v>
      </c>
      <c r="BR301" s="50" t="s">
        <v>868</v>
      </c>
      <c r="BS301" s="50" t="s">
        <v>418</v>
      </c>
      <c r="BU301" s="50" t="s">
        <v>14616</v>
      </c>
      <c r="BV301" s="50" t="s">
        <v>14617</v>
      </c>
      <c r="BW301" s="50" t="s">
        <v>138</v>
      </c>
      <c r="BX301" s="50" t="s">
        <v>4200</v>
      </c>
      <c r="BY301" s="50" t="s">
        <v>14618</v>
      </c>
      <c r="BZ301" s="50" t="s">
        <v>4202</v>
      </c>
      <c r="CA301" s="50" t="s">
        <v>14617</v>
      </c>
      <c r="CB301" s="50" t="s">
        <v>4200</v>
      </c>
      <c r="CC301" s="50" t="s">
        <v>14618</v>
      </c>
      <c r="CD301" s="50" t="s">
        <v>14619</v>
      </c>
      <c r="CE301" s="50" t="s">
        <v>14620</v>
      </c>
      <c r="CF301" s="50" t="s">
        <v>14621</v>
      </c>
      <c r="CG301" s="50" t="s">
        <v>102</v>
      </c>
      <c r="CH301" s="50" t="s">
        <v>4203</v>
      </c>
      <c r="CJ301" s="50" t="s">
        <v>4204</v>
      </c>
      <c r="CL301" s="50" t="s">
        <v>409</v>
      </c>
      <c r="CM301" s="50" t="s">
        <v>410</v>
      </c>
      <c r="CN301" s="50" t="s">
        <v>4204</v>
      </c>
      <c r="CO301" s="50" t="s">
        <v>4205</v>
      </c>
      <c r="CP301" s="50" t="s">
        <v>4203</v>
      </c>
      <c r="CQ301" s="50" t="s">
        <v>4203</v>
      </c>
      <c r="CR301" s="50" t="s">
        <v>26040</v>
      </c>
    </row>
    <row r="302" spans="1:96">
      <c r="A302" s="95" t="s">
        <v>149</v>
      </c>
      <c r="B302" s="50">
        <v>1797713</v>
      </c>
      <c r="C302" s="50" t="s">
        <v>12423</v>
      </c>
      <c r="D302" s="50" t="s">
        <v>1868</v>
      </c>
      <c r="E302" s="50" t="e">
        <f>VLOOKUP(B302,aa!B:F,5,0)</f>
        <v>#N/A</v>
      </c>
      <c r="F302" s="50" t="e">
        <f>VLOOKUP(B302,aa!B:J,9,0)</f>
        <v>#N/A</v>
      </c>
      <c r="G302" s="50" t="e">
        <f>VLOOKUP(B302,aa!B:L,11,0)</f>
        <v>#N/A</v>
      </c>
      <c r="H302" s="50" t="e">
        <f>VLOOKUP(B302,aa!B:O,14,0)</f>
        <v>#N/A</v>
      </c>
      <c r="I302" s="50" t="e">
        <f>VLOOKUP(B302,aa!B:R,17,0)</f>
        <v>#N/A</v>
      </c>
      <c r="K302" s="50" t="s">
        <v>1870</v>
      </c>
      <c r="L302" s="50">
        <v>588433</v>
      </c>
      <c r="M302" s="50">
        <v>665844</v>
      </c>
      <c r="N302" s="50">
        <v>0</v>
      </c>
      <c r="O302" s="50">
        <v>0</v>
      </c>
      <c r="Q302" s="50">
        <v>158371</v>
      </c>
      <c r="R302" s="50">
        <v>180</v>
      </c>
      <c r="S302" s="50" t="s">
        <v>12942</v>
      </c>
      <c r="T302" s="50">
        <v>430062</v>
      </c>
      <c r="U302" s="50">
        <v>360</v>
      </c>
      <c r="V302" s="50" t="s">
        <v>12943</v>
      </c>
      <c r="W302" s="50" t="s">
        <v>102</v>
      </c>
      <c r="X302" s="50" t="s">
        <v>275</v>
      </c>
      <c r="Z302" s="50" t="s">
        <v>11938</v>
      </c>
      <c r="AA302" s="50" t="s">
        <v>109</v>
      </c>
      <c r="AB302" s="50" t="s">
        <v>102</v>
      </c>
      <c r="AC302" s="50" t="s">
        <v>109</v>
      </c>
      <c r="AD302" s="50" t="s">
        <v>102</v>
      </c>
      <c r="AE302" s="50" t="s">
        <v>109</v>
      </c>
      <c r="AF302" s="50" t="s">
        <v>102</v>
      </c>
      <c r="AG302" s="50" t="s">
        <v>109</v>
      </c>
      <c r="AH302" s="50" t="s">
        <v>102</v>
      </c>
      <c r="AI302" s="50" t="s">
        <v>102</v>
      </c>
      <c r="AJ302" s="50" t="s">
        <v>625</v>
      </c>
      <c r="AK302" s="50" t="s">
        <v>625</v>
      </c>
      <c r="AL302" s="50" t="s">
        <v>12944</v>
      </c>
      <c r="AM302" s="50" t="s">
        <v>12945</v>
      </c>
      <c r="AN302" s="50" t="s">
        <v>12946</v>
      </c>
      <c r="AO302" s="50" t="s">
        <v>12947</v>
      </c>
      <c r="AP302" s="50" t="s">
        <v>12947</v>
      </c>
      <c r="AU302" s="50" t="s">
        <v>102</v>
      </c>
      <c r="AW302" s="50" t="s">
        <v>248</v>
      </c>
      <c r="AX302" s="50" t="s">
        <v>119</v>
      </c>
      <c r="AZ302" s="50" t="s">
        <v>250</v>
      </c>
      <c r="BA302" s="50" t="s">
        <v>250</v>
      </c>
      <c r="BB302" s="50" t="s">
        <v>171</v>
      </c>
      <c r="BC302" s="50" t="s">
        <v>1759</v>
      </c>
      <c r="BD302" s="50" t="s">
        <v>410</v>
      </c>
      <c r="BE302" s="50" t="s">
        <v>212</v>
      </c>
      <c r="BF302" s="50" t="s">
        <v>410</v>
      </c>
      <c r="BG302" s="50" t="s">
        <v>124</v>
      </c>
      <c r="BH302" s="50" t="s">
        <v>11959</v>
      </c>
      <c r="BI302" s="50" t="s">
        <v>11960</v>
      </c>
      <c r="BJ302" s="50" t="s">
        <v>127</v>
      </c>
      <c r="BK302" s="50" t="s">
        <v>12948</v>
      </c>
      <c r="BL302" s="50" t="s">
        <v>1878</v>
      </c>
      <c r="BM302" s="50" t="s">
        <v>12949</v>
      </c>
      <c r="BN302" s="50" t="s">
        <v>12494</v>
      </c>
      <c r="BO302" s="50" t="s">
        <v>866</v>
      </c>
      <c r="BP302" s="50" t="s">
        <v>132</v>
      </c>
      <c r="BQ302" s="50" t="s">
        <v>867</v>
      </c>
      <c r="BR302" s="50" t="s">
        <v>868</v>
      </c>
      <c r="BS302" s="50" t="s">
        <v>418</v>
      </c>
      <c r="BU302" s="50" t="s">
        <v>12950</v>
      </c>
      <c r="BV302" s="50" t="s">
        <v>1885</v>
      </c>
      <c r="BX302" s="50" t="s">
        <v>1886</v>
      </c>
      <c r="BY302" s="50" t="s">
        <v>1887</v>
      </c>
      <c r="BZ302" s="50" t="s">
        <v>1886</v>
      </c>
      <c r="CA302" s="50" t="s">
        <v>12951</v>
      </c>
      <c r="CB302" s="50" t="s">
        <v>12952</v>
      </c>
      <c r="CC302" s="50" t="s">
        <v>1887</v>
      </c>
      <c r="CD302" s="50" t="s">
        <v>12953</v>
      </c>
      <c r="CE302" s="50" t="s">
        <v>12954</v>
      </c>
      <c r="CF302" s="50" t="s">
        <v>12955</v>
      </c>
      <c r="CG302" s="50" t="s">
        <v>102</v>
      </c>
      <c r="CH302" s="50" t="s">
        <v>1888</v>
      </c>
      <c r="CJ302" s="50" t="s">
        <v>1889</v>
      </c>
      <c r="CL302" s="50" t="s">
        <v>1759</v>
      </c>
      <c r="CM302" s="50" t="s">
        <v>410</v>
      </c>
      <c r="CN302" s="50" t="s">
        <v>1889</v>
      </c>
      <c r="CP302" s="50" t="s">
        <v>1888</v>
      </c>
      <c r="CQ302" s="50" t="s">
        <v>1888</v>
      </c>
      <c r="CR302" s="50" t="s">
        <v>26043</v>
      </c>
    </row>
    <row r="303" spans="1:96">
      <c r="A303" s="50" t="s">
        <v>93</v>
      </c>
      <c r="B303" s="50">
        <v>5037530</v>
      </c>
      <c r="C303" s="50" t="s">
        <v>3562</v>
      </c>
      <c r="D303" s="50" t="s">
        <v>20252</v>
      </c>
      <c r="E303" s="50" t="e">
        <f>VLOOKUP(B303,aa!B:F,5,0)</f>
        <v>#N/A</v>
      </c>
      <c r="F303" s="50" t="e">
        <f>VLOOKUP(B303,aa!B:J,9,0)</f>
        <v>#N/A</v>
      </c>
      <c r="G303" s="50" t="e">
        <f>VLOOKUP(B303,aa!B:L,11,0)</f>
        <v>#N/A</v>
      </c>
      <c r="H303" s="50" t="e">
        <f>VLOOKUP(B303,aa!B:O,14,0)</f>
        <v>#N/A</v>
      </c>
      <c r="I303" s="50" t="e">
        <f>VLOOKUP(B303,aa!B:R,17,0)</f>
        <v>#N/A</v>
      </c>
      <c r="K303" s="50" t="s">
        <v>848</v>
      </c>
      <c r="L303" s="50">
        <v>635075</v>
      </c>
      <c r="M303" s="50">
        <v>749389</v>
      </c>
      <c r="N303" s="50">
        <v>0</v>
      </c>
      <c r="O303" s="50">
        <v>0</v>
      </c>
      <c r="Q303" s="50">
        <v>0</v>
      </c>
      <c r="R303" s="50">
        <v>0</v>
      </c>
      <c r="T303" s="50">
        <v>635075</v>
      </c>
      <c r="U303" s="50">
        <v>254</v>
      </c>
      <c r="V303" s="50" t="s">
        <v>3499</v>
      </c>
      <c r="W303" s="50" t="s">
        <v>102</v>
      </c>
      <c r="X303" s="50" t="s">
        <v>103</v>
      </c>
      <c r="Y303" s="50" t="s">
        <v>398</v>
      </c>
      <c r="AA303" s="50" t="s">
        <v>11927</v>
      </c>
      <c r="AB303" s="50" t="s">
        <v>20253</v>
      </c>
      <c r="AC303" s="50" t="s">
        <v>1408</v>
      </c>
      <c r="AD303" s="50" t="s">
        <v>20254</v>
      </c>
      <c r="AE303" s="50" t="s">
        <v>12289</v>
      </c>
      <c r="AF303" s="50" t="s">
        <v>20253</v>
      </c>
      <c r="AG303" s="50" t="s">
        <v>109</v>
      </c>
      <c r="AH303" s="50" t="s">
        <v>102</v>
      </c>
      <c r="AI303" s="50" t="s">
        <v>102</v>
      </c>
      <c r="AJ303" s="50" t="s">
        <v>12128</v>
      </c>
      <c r="AK303" s="50" t="s">
        <v>14238</v>
      </c>
      <c r="AL303" s="50" t="s">
        <v>20255</v>
      </c>
      <c r="AM303" s="50" t="s">
        <v>20256</v>
      </c>
      <c r="AN303" s="50" t="s">
        <v>20257</v>
      </c>
      <c r="AO303" s="50" t="s">
        <v>20258</v>
      </c>
      <c r="AP303" s="50" t="s">
        <v>20258</v>
      </c>
      <c r="AU303" s="50" t="s">
        <v>102</v>
      </c>
      <c r="AW303" s="50" t="s">
        <v>102</v>
      </c>
      <c r="AX303" s="50" t="s">
        <v>119</v>
      </c>
      <c r="BA303" s="50" t="s">
        <v>250</v>
      </c>
      <c r="BB303" s="50" t="s">
        <v>209</v>
      </c>
      <c r="BC303" s="50" t="s">
        <v>1729</v>
      </c>
      <c r="BD303" s="50" t="s">
        <v>730</v>
      </c>
      <c r="BE303" s="50" t="s">
        <v>622</v>
      </c>
      <c r="BF303" s="50" t="s">
        <v>730</v>
      </c>
      <c r="BG303" s="50" t="s">
        <v>124</v>
      </c>
      <c r="BH303" s="50" t="s">
        <v>11959</v>
      </c>
      <c r="BI303" s="50" t="s">
        <v>11960</v>
      </c>
      <c r="BJ303" s="50" t="s">
        <v>127</v>
      </c>
      <c r="BK303" s="50" t="s">
        <v>20259</v>
      </c>
      <c r="BL303" s="50" t="s">
        <v>20260</v>
      </c>
      <c r="BM303" s="50" t="s">
        <v>20261</v>
      </c>
      <c r="BN303" s="50" t="s">
        <v>12494</v>
      </c>
      <c r="BO303" s="50" t="s">
        <v>3910</v>
      </c>
      <c r="BP303" s="50" t="s">
        <v>350</v>
      </c>
      <c r="BQ303" s="50" t="s">
        <v>3911</v>
      </c>
      <c r="BR303" s="50" t="s">
        <v>3912</v>
      </c>
      <c r="BS303" s="50" t="s">
        <v>7862</v>
      </c>
      <c r="BU303" s="50" t="s">
        <v>20262</v>
      </c>
      <c r="BV303" s="50" t="s">
        <v>20263</v>
      </c>
      <c r="BW303" s="50" t="s">
        <v>354</v>
      </c>
      <c r="BX303" s="50" t="s">
        <v>17065</v>
      </c>
      <c r="BY303" s="50" t="s">
        <v>20264</v>
      </c>
      <c r="BZ303" s="50" t="s">
        <v>17065</v>
      </c>
      <c r="CA303" s="50" t="s">
        <v>20265</v>
      </c>
      <c r="CB303" s="50" t="s">
        <v>20266</v>
      </c>
      <c r="CC303" s="50" t="s">
        <v>20267</v>
      </c>
      <c r="CD303" s="50" t="s">
        <v>20265</v>
      </c>
      <c r="CE303" s="50" t="s">
        <v>20266</v>
      </c>
      <c r="CF303" s="50" t="s">
        <v>20267</v>
      </c>
      <c r="CG303" s="50" t="s">
        <v>6457</v>
      </c>
      <c r="CH303" s="50" t="s">
        <v>20268</v>
      </c>
      <c r="CJ303" s="50" t="s">
        <v>6855</v>
      </c>
      <c r="CK303" s="50" t="s">
        <v>20269</v>
      </c>
      <c r="CL303" s="50" t="s">
        <v>1729</v>
      </c>
      <c r="CM303" s="50" t="s">
        <v>730</v>
      </c>
      <c r="CN303" s="50" t="s">
        <v>6855</v>
      </c>
      <c r="CP303" s="50" t="s">
        <v>20270</v>
      </c>
      <c r="CQ303" s="50" t="s">
        <v>20270</v>
      </c>
    </row>
    <row r="304" spans="1:96">
      <c r="A304" s="50" t="s">
        <v>93</v>
      </c>
      <c r="B304" s="50">
        <v>3825980</v>
      </c>
      <c r="C304" s="50" t="s">
        <v>3562</v>
      </c>
      <c r="D304" s="50" t="s">
        <v>17042</v>
      </c>
      <c r="E304" s="50" t="e">
        <f>VLOOKUP(B304,aa!B:F,5,0)</f>
        <v>#N/A</v>
      </c>
      <c r="F304" s="50" t="e">
        <f>VLOOKUP(B304,aa!B:J,9,0)</f>
        <v>#N/A</v>
      </c>
      <c r="G304" s="50" t="e">
        <f>VLOOKUP(B304,aa!B:L,11,0)</f>
        <v>#N/A</v>
      </c>
      <c r="H304" s="50" t="e">
        <f>VLOOKUP(B304,aa!B:O,14,0)</f>
        <v>#N/A</v>
      </c>
      <c r="I304" s="50" t="e">
        <f>VLOOKUP(B304,aa!B:R,17,0)</f>
        <v>#N/A</v>
      </c>
      <c r="K304" s="50" t="s">
        <v>193</v>
      </c>
      <c r="L304" s="50">
        <v>1112265</v>
      </c>
      <c r="M304" s="50">
        <v>1248205</v>
      </c>
      <c r="N304" s="50">
        <v>357045</v>
      </c>
      <c r="O304" s="50">
        <v>595</v>
      </c>
      <c r="P304" s="50" t="s">
        <v>310</v>
      </c>
      <c r="Q304" s="50">
        <v>0</v>
      </c>
      <c r="R304" s="50">
        <v>0</v>
      </c>
      <c r="T304" s="50">
        <v>755220</v>
      </c>
      <c r="U304" s="50">
        <v>302</v>
      </c>
      <c r="V304" s="50" t="s">
        <v>17044</v>
      </c>
      <c r="W304" s="50" t="s">
        <v>102</v>
      </c>
      <c r="X304" s="50" t="s">
        <v>679</v>
      </c>
      <c r="Y304" s="50" t="s">
        <v>398</v>
      </c>
      <c r="Z304" s="50" t="s">
        <v>126</v>
      </c>
      <c r="AA304" s="50" t="s">
        <v>17045</v>
      </c>
      <c r="AB304" s="50" t="s">
        <v>17046</v>
      </c>
      <c r="AC304" s="50" t="s">
        <v>17047</v>
      </c>
      <c r="AD304" s="50" t="s">
        <v>17048</v>
      </c>
      <c r="AE304" s="50" t="s">
        <v>17049</v>
      </c>
      <c r="AF304" s="50" t="s">
        <v>17046</v>
      </c>
      <c r="AG304" s="50" t="s">
        <v>109</v>
      </c>
      <c r="AH304" s="50" t="s">
        <v>102</v>
      </c>
      <c r="AI304" s="50" t="s">
        <v>102</v>
      </c>
      <c r="AJ304" s="50" t="s">
        <v>17050</v>
      </c>
      <c r="AK304" s="50" t="s">
        <v>14238</v>
      </c>
      <c r="AL304" s="50" t="s">
        <v>17051</v>
      </c>
      <c r="AM304" s="50" t="s">
        <v>17052</v>
      </c>
      <c r="AN304" s="50" t="s">
        <v>17053</v>
      </c>
      <c r="AO304" s="50" t="s">
        <v>17054</v>
      </c>
      <c r="AP304" s="50" t="s">
        <v>17055</v>
      </c>
      <c r="AQ304" s="50" t="s">
        <v>343</v>
      </c>
      <c r="AU304" s="50" t="s">
        <v>247</v>
      </c>
      <c r="AV304" s="50" t="s">
        <v>118</v>
      </c>
      <c r="AW304" s="50" t="s">
        <v>102</v>
      </c>
      <c r="AX304" s="50" t="s">
        <v>119</v>
      </c>
      <c r="BA304" s="50" t="s">
        <v>250</v>
      </c>
      <c r="BB304" s="50" t="s">
        <v>120</v>
      </c>
      <c r="BC304" s="50" t="s">
        <v>1729</v>
      </c>
      <c r="BD304" s="50" t="s">
        <v>730</v>
      </c>
      <c r="BE304" s="50" t="s">
        <v>622</v>
      </c>
      <c r="BF304" s="50" t="s">
        <v>730</v>
      </c>
      <c r="BG304" s="50" t="s">
        <v>124</v>
      </c>
      <c r="BH304" s="50" t="s">
        <v>12636</v>
      </c>
      <c r="BI304" s="50" t="s">
        <v>17056</v>
      </c>
      <c r="BJ304" s="50" t="s">
        <v>127</v>
      </c>
      <c r="BK304" s="50" t="s">
        <v>17057</v>
      </c>
      <c r="BL304" s="50" t="s">
        <v>17058</v>
      </c>
      <c r="BM304" s="50" t="s">
        <v>17059</v>
      </c>
      <c r="BN304" s="50" t="s">
        <v>17043</v>
      </c>
      <c r="BO304" s="50" t="s">
        <v>3910</v>
      </c>
      <c r="BP304" s="50" t="s">
        <v>350</v>
      </c>
      <c r="BQ304" s="50" t="s">
        <v>3911</v>
      </c>
      <c r="BR304" s="50" t="s">
        <v>3912</v>
      </c>
      <c r="BS304" s="50" t="s">
        <v>7862</v>
      </c>
      <c r="BU304" s="50" t="s">
        <v>17060</v>
      </c>
      <c r="BV304" s="50" t="s">
        <v>17061</v>
      </c>
      <c r="BW304" s="50" t="s">
        <v>17062</v>
      </c>
      <c r="BX304" s="50" t="s">
        <v>17063</v>
      </c>
      <c r="BY304" s="50" t="s">
        <v>17064</v>
      </c>
      <c r="BZ304" s="50" t="s">
        <v>17065</v>
      </c>
      <c r="CA304" s="50" t="s">
        <v>17066</v>
      </c>
      <c r="CB304" s="50" t="s">
        <v>17067</v>
      </c>
      <c r="CC304" s="50" t="s">
        <v>17068</v>
      </c>
      <c r="CD304" s="50" t="s">
        <v>17069</v>
      </c>
      <c r="CE304" s="50" t="s">
        <v>17070</v>
      </c>
      <c r="CF304" s="50" t="s">
        <v>17071</v>
      </c>
      <c r="CG304" s="50" t="s">
        <v>1016</v>
      </c>
      <c r="CH304" s="50" t="s">
        <v>17072</v>
      </c>
      <c r="CJ304" s="50" t="s">
        <v>6855</v>
      </c>
      <c r="CK304" s="50" t="s">
        <v>17073</v>
      </c>
      <c r="CL304" s="50" t="s">
        <v>1729</v>
      </c>
      <c r="CM304" s="50" t="s">
        <v>730</v>
      </c>
      <c r="CN304" s="50" t="s">
        <v>6855</v>
      </c>
      <c r="CP304" s="50" t="s">
        <v>17074</v>
      </c>
      <c r="CQ304" s="50" t="s">
        <v>17074</v>
      </c>
    </row>
    <row r="305" spans="1:96">
      <c r="A305" s="95" t="s">
        <v>149</v>
      </c>
      <c r="B305" s="50">
        <v>3283922</v>
      </c>
      <c r="C305" s="50" t="s">
        <v>12491</v>
      </c>
      <c r="D305" s="50" t="s">
        <v>5212</v>
      </c>
      <c r="E305" s="50" t="e">
        <f>VLOOKUP(B305,aa!B:F,5,0)</f>
        <v>#N/A</v>
      </c>
      <c r="F305" s="50" t="e">
        <f>VLOOKUP(B305,aa!B:J,9,0)</f>
        <v>#N/A</v>
      </c>
      <c r="G305" s="50" t="e">
        <f>VLOOKUP(B305,aa!B:L,11,0)</f>
        <v>#N/A</v>
      </c>
      <c r="H305" s="50" t="e">
        <f>VLOOKUP(B305,aa!B:O,14,0)</f>
        <v>#N/A</v>
      </c>
      <c r="I305" s="50" t="e">
        <f>VLOOKUP(B305,aa!B:R,17,0)</f>
        <v>#N/A</v>
      </c>
      <c r="K305" s="50" t="s">
        <v>97</v>
      </c>
      <c r="L305" s="50">
        <v>761294</v>
      </c>
      <c r="M305" s="50">
        <v>761294</v>
      </c>
      <c r="N305" s="50">
        <v>761294</v>
      </c>
      <c r="O305" s="50">
        <v>1022</v>
      </c>
      <c r="P305" s="50" t="s">
        <v>15329</v>
      </c>
      <c r="Q305" s="50">
        <v>0</v>
      </c>
      <c r="R305" s="50">
        <v>0</v>
      </c>
      <c r="T305" s="50">
        <v>0</v>
      </c>
      <c r="U305" s="50">
        <v>0</v>
      </c>
      <c r="W305" s="50" t="s">
        <v>102</v>
      </c>
      <c r="X305" s="50" t="s">
        <v>103</v>
      </c>
      <c r="Y305" s="50" t="s">
        <v>104</v>
      </c>
      <c r="AA305" s="50" t="s">
        <v>11938</v>
      </c>
      <c r="AB305" s="50" t="s">
        <v>15330</v>
      </c>
      <c r="AC305" s="50" t="s">
        <v>12082</v>
      </c>
      <c r="AD305" s="50" t="s">
        <v>15330</v>
      </c>
      <c r="AE305" s="50" t="s">
        <v>109</v>
      </c>
      <c r="AF305" s="50" t="s">
        <v>102</v>
      </c>
      <c r="AG305" s="50" t="s">
        <v>109</v>
      </c>
      <c r="AH305" s="50" t="s">
        <v>102</v>
      </c>
      <c r="AI305" s="50" t="s">
        <v>15331</v>
      </c>
      <c r="AJ305" s="50" t="s">
        <v>15332</v>
      </c>
      <c r="AK305" s="50" t="s">
        <v>14415</v>
      </c>
      <c r="AL305" s="50" t="s">
        <v>15333</v>
      </c>
      <c r="AM305" s="50" t="s">
        <v>15334</v>
      </c>
      <c r="AN305" s="50" t="s">
        <v>15335</v>
      </c>
      <c r="AO305" s="50" t="s">
        <v>15336</v>
      </c>
      <c r="AP305" s="50" t="s">
        <v>15336</v>
      </c>
      <c r="AU305" s="50" t="s">
        <v>318</v>
      </c>
      <c r="AV305" s="50" t="s">
        <v>118</v>
      </c>
      <c r="AW305" s="50" t="s">
        <v>102</v>
      </c>
      <c r="AX305" s="50" t="s">
        <v>119</v>
      </c>
      <c r="BB305" s="50" t="s">
        <v>120</v>
      </c>
      <c r="BC305" s="50" t="s">
        <v>1407</v>
      </c>
      <c r="BD305" s="50" t="s">
        <v>449</v>
      </c>
      <c r="BE305" s="50" t="s">
        <v>122</v>
      </c>
      <c r="BF305" s="50" t="s">
        <v>450</v>
      </c>
      <c r="BG305" s="50" t="s">
        <v>124</v>
      </c>
      <c r="BH305" s="50" t="s">
        <v>12023</v>
      </c>
      <c r="BI305" s="50" t="s">
        <v>11889</v>
      </c>
      <c r="BJ305" s="50" t="s">
        <v>127</v>
      </c>
      <c r="BK305" s="50" t="s">
        <v>15337</v>
      </c>
      <c r="BL305" s="50" t="s">
        <v>5227</v>
      </c>
      <c r="BM305" s="50" t="s">
        <v>15338</v>
      </c>
      <c r="BN305" s="50" t="s">
        <v>13602</v>
      </c>
      <c r="BO305" s="50" t="s">
        <v>8788</v>
      </c>
      <c r="BP305" s="50" t="s">
        <v>350</v>
      </c>
      <c r="BQ305" s="50" t="s">
        <v>8789</v>
      </c>
      <c r="BR305" s="50" t="s">
        <v>8790</v>
      </c>
      <c r="BS305" s="50" t="s">
        <v>1006</v>
      </c>
      <c r="BU305" s="50" t="s">
        <v>15339</v>
      </c>
      <c r="BV305" s="50" t="s">
        <v>15340</v>
      </c>
      <c r="BW305" s="50" t="s">
        <v>138</v>
      </c>
      <c r="BX305" s="50" t="s">
        <v>15341</v>
      </c>
      <c r="BY305" s="50" t="s">
        <v>15342</v>
      </c>
      <c r="BZ305" s="50" t="s">
        <v>5233</v>
      </c>
      <c r="CA305" s="50" t="s">
        <v>15340</v>
      </c>
      <c r="CB305" s="50" t="s">
        <v>15341</v>
      </c>
      <c r="CC305" s="50" t="s">
        <v>15342</v>
      </c>
      <c r="CD305" s="50" t="s">
        <v>15343</v>
      </c>
      <c r="CE305" s="50" t="s">
        <v>15344</v>
      </c>
      <c r="CF305" s="50" t="s">
        <v>15345</v>
      </c>
      <c r="CG305" s="50" t="s">
        <v>102</v>
      </c>
      <c r="CH305" s="50" t="s">
        <v>5234</v>
      </c>
      <c r="CJ305" s="50" t="s">
        <v>5235</v>
      </c>
      <c r="CL305" s="50" t="s">
        <v>1407</v>
      </c>
      <c r="CM305" s="50" t="s">
        <v>449</v>
      </c>
      <c r="CN305" s="50" t="s">
        <v>5235</v>
      </c>
      <c r="CO305" s="50" t="s">
        <v>5236</v>
      </c>
      <c r="CP305" s="50" t="s">
        <v>5234</v>
      </c>
      <c r="CQ305" s="50" t="s">
        <v>5234</v>
      </c>
    </row>
    <row r="306" spans="1:96">
      <c r="A306" s="50" t="s">
        <v>93</v>
      </c>
      <c r="B306" s="50">
        <v>5042891</v>
      </c>
      <c r="C306" s="50" t="s">
        <v>985</v>
      </c>
      <c r="D306" s="50" t="s">
        <v>20375</v>
      </c>
      <c r="E306" s="50" t="e">
        <f>VLOOKUP(B306,aa!B:F,5,0)</f>
        <v>#N/A</v>
      </c>
      <c r="F306" s="50" t="e">
        <f>VLOOKUP(B306,aa!B:J,9,0)</f>
        <v>#N/A</v>
      </c>
      <c r="G306" s="50" t="e">
        <f>VLOOKUP(B306,aa!B:L,11,0)</f>
        <v>#N/A</v>
      </c>
      <c r="H306" s="50" t="e">
        <f>VLOOKUP(B306,aa!B:O,14,0)</f>
        <v>#N/A</v>
      </c>
      <c r="I306" s="50" t="e">
        <f>VLOOKUP(B306,aa!B:R,17,0)</f>
        <v>#N/A</v>
      </c>
      <c r="K306" s="50" t="s">
        <v>97</v>
      </c>
      <c r="L306" s="50">
        <v>59389</v>
      </c>
      <c r="M306" s="50">
        <v>59389</v>
      </c>
      <c r="N306" s="50">
        <v>59389</v>
      </c>
      <c r="O306" s="50">
        <v>108</v>
      </c>
      <c r="P306" s="50" t="s">
        <v>3431</v>
      </c>
      <c r="Q306" s="50">
        <v>0</v>
      </c>
      <c r="R306" s="50">
        <v>0</v>
      </c>
      <c r="T306" s="50">
        <v>0</v>
      </c>
      <c r="U306" s="50">
        <v>0</v>
      </c>
      <c r="W306" s="50" t="s">
        <v>102</v>
      </c>
      <c r="X306" s="50" t="s">
        <v>103</v>
      </c>
      <c r="Y306" s="50" t="s">
        <v>104</v>
      </c>
      <c r="AA306" s="50" t="s">
        <v>11888</v>
      </c>
      <c r="AB306" s="50" t="s">
        <v>20376</v>
      </c>
      <c r="AC306" s="50" t="s">
        <v>12327</v>
      </c>
      <c r="AD306" s="50" t="s">
        <v>20376</v>
      </c>
      <c r="AE306" s="50" t="s">
        <v>109</v>
      </c>
      <c r="AF306" s="50" t="s">
        <v>102</v>
      </c>
      <c r="AG306" s="50" t="s">
        <v>109</v>
      </c>
      <c r="AH306" s="50" t="s">
        <v>102</v>
      </c>
      <c r="AI306" s="50" t="s">
        <v>102</v>
      </c>
      <c r="AJ306" s="50" t="s">
        <v>4563</v>
      </c>
      <c r="AK306" s="50" t="s">
        <v>4563</v>
      </c>
      <c r="AL306" s="50" t="s">
        <v>20377</v>
      </c>
      <c r="AM306" s="50" t="s">
        <v>5650</v>
      </c>
      <c r="AN306" s="50" t="s">
        <v>20378</v>
      </c>
      <c r="AO306" s="50" t="s">
        <v>4840</v>
      </c>
      <c r="AP306" s="50" t="s">
        <v>4840</v>
      </c>
      <c r="AU306" s="50" t="s">
        <v>117</v>
      </c>
      <c r="AV306" s="50" t="s">
        <v>118</v>
      </c>
      <c r="AW306" s="50" t="s">
        <v>102</v>
      </c>
      <c r="AX306" s="50" t="s">
        <v>119</v>
      </c>
      <c r="BB306" s="50" t="s">
        <v>120</v>
      </c>
      <c r="BC306" s="50" t="s">
        <v>20379</v>
      </c>
      <c r="BD306" s="50" t="s">
        <v>621</v>
      </c>
      <c r="BE306" s="50" t="s">
        <v>622</v>
      </c>
      <c r="BF306" s="50" t="s">
        <v>976</v>
      </c>
      <c r="BG306" s="50" t="s">
        <v>124</v>
      </c>
      <c r="BH306" s="50" t="s">
        <v>11888</v>
      </c>
      <c r="BI306" s="50" t="s">
        <v>14455</v>
      </c>
      <c r="BJ306" s="50" t="s">
        <v>127</v>
      </c>
      <c r="BK306" s="50" t="s">
        <v>20380</v>
      </c>
      <c r="BL306" s="50" t="s">
        <v>20381</v>
      </c>
      <c r="BM306" s="50" t="s">
        <v>20382</v>
      </c>
      <c r="BN306" s="50" t="s">
        <v>13602</v>
      </c>
      <c r="BO306" s="50" t="s">
        <v>18506</v>
      </c>
      <c r="BP306" s="50" t="s">
        <v>132</v>
      </c>
      <c r="BQ306" s="50" t="s">
        <v>18507</v>
      </c>
      <c r="BR306" s="50" t="s">
        <v>18508</v>
      </c>
      <c r="BS306" s="50" t="s">
        <v>984</v>
      </c>
      <c r="BU306" s="50" t="s">
        <v>20383</v>
      </c>
      <c r="BV306" s="50" t="s">
        <v>20384</v>
      </c>
      <c r="BW306" s="50" t="s">
        <v>138</v>
      </c>
      <c r="BX306" s="50" t="s">
        <v>20385</v>
      </c>
      <c r="BY306" s="50" t="s">
        <v>20386</v>
      </c>
      <c r="BZ306" s="50" t="s">
        <v>20385</v>
      </c>
      <c r="CA306" s="50" t="s">
        <v>20384</v>
      </c>
      <c r="CB306" s="50" t="s">
        <v>20385</v>
      </c>
      <c r="CC306" s="50" t="s">
        <v>20386</v>
      </c>
      <c r="CD306" s="50" t="s">
        <v>20384</v>
      </c>
      <c r="CE306" s="50" t="s">
        <v>20385</v>
      </c>
      <c r="CF306" s="50" t="s">
        <v>20386</v>
      </c>
      <c r="CG306" s="50" t="s">
        <v>1221</v>
      </c>
      <c r="CH306" s="50" t="s">
        <v>20387</v>
      </c>
      <c r="CJ306" s="50" t="s">
        <v>18459</v>
      </c>
      <c r="CK306" s="50" t="s">
        <v>20388</v>
      </c>
      <c r="CL306" s="50" t="s">
        <v>20379</v>
      </c>
      <c r="CM306" s="50" t="s">
        <v>621</v>
      </c>
      <c r="CN306" s="50" t="s">
        <v>18459</v>
      </c>
      <c r="CP306" s="50" t="s">
        <v>20389</v>
      </c>
      <c r="CQ306" s="50" t="s">
        <v>20389</v>
      </c>
      <c r="CR306" s="50" t="s">
        <v>26040</v>
      </c>
    </row>
    <row r="307" spans="1:96">
      <c r="A307" s="95" t="s">
        <v>149</v>
      </c>
      <c r="B307" s="50">
        <v>1644219</v>
      </c>
      <c r="C307" s="50" t="s">
        <v>12030</v>
      </c>
      <c r="D307" s="50" t="s">
        <v>1396</v>
      </c>
      <c r="E307" s="50" t="str">
        <f>VLOOKUP(B307,aa!B:F,5,0)</f>
        <v>Ei Mindspark</v>
      </c>
      <c r="F307" s="50">
        <f>VLOOKUP(B307,aa!B:J,9,0)</f>
        <v>362052</v>
      </c>
      <c r="G307" s="50">
        <f>VLOOKUP(B307,aa!B:L,11,0)</f>
        <v>0</v>
      </c>
      <c r="H307" s="50">
        <f>VLOOKUP(B307,aa!B:O,14,0)</f>
        <v>0</v>
      </c>
      <c r="I307" s="50">
        <f>VLOOKUP(B307,aa!B:R,17,0)</f>
        <v>362052</v>
      </c>
      <c r="K307" s="50" t="s">
        <v>848</v>
      </c>
      <c r="L307" s="50">
        <v>360018</v>
      </c>
      <c r="M307" s="50">
        <v>424821</v>
      </c>
      <c r="N307" s="50">
        <v>0</v>
      </c>
      <c r="O307" s="50">
        <v>0</v>
      </c>
      <c r="Q307" s="50">
        <v>0</v>
      </c>
      <c r="R307" s="50">
        <v>0</v>
      </c>
      <c r="T307" s="50">
        <v>360018</v>
      </c>
      <c r="U307" s="50">
        <v>177</v>
      </c>
      <c r="V307" s="50" t="s">
        <v>1399</v>
      </c>
      <c r="W307" s="50" t="s">
        <v>102</v>
      </c>
      <c r="X307" s="50" t="s">
        <v>103</v>
      </c>
      <c r="Y307" s="50" t="s">
        <v>155</v>
      </c>
      <c r="AA307" s="50" t="s">
        <v>11976</v>
      </c>
      <c r="AB307" s="50" t="s">
        <v>12712</v>
      </c>
      <c r="AC307" s="50" t="s">
        <v>12427</v>
      </c>
      <c r="AD307" s="50" t="s">
        <v>12712</v>
      </c>
      <c r="AE307" s="50" t="s">
        <v>12327</v>
      </c>
      <c r="AF307" s="50" t="s">
        <v>12712</v>
      </c>
      <c r="AG307" s="50" t="s">
        <v>12713</v>
      </c>
      <c r="AH307" s="50" t="s">
        <v>12712</v>
      </c>
      <c r="AI307" s="50" t="s">
        <v>12714</v>
      </c>
      <c r="AJ307" s="50" t="s">
        <v>12715</v>
      </c>
      <c r="AK307" s="50" t="s">
        <v>12716</v>
      </c>
      <c r="AL307" s="50" t="s">
        <v>12717</v>
      </c>
      <c r="AM307" s="50" t="s">
        <v>12718</v>
      </c>
      <c r="AN307" s="50" t="s">
        <v>12719</v>
      </c>
      <c r="AO307" s="50" t="s">
        <v>317</v>
      </c>
      <c r="AP307" s="50" t="s">
        <v>2147</v>
      </c>
      <c r="AT307" s="50" t="s">
        <v>169</v>
      </c>
      <c r="AU307" s="50" t="s">
        <v>102</v>
      </c>
      <c r="AW307" s="50" t="s">
        <v>102</v>
      </c>
      <c r="AX307" s="50" t="s">
        <v>119</v>
      </c>
      <c r="BA307" s="50" t="s">
        <v>250</v>
      </c>
      <c r="BB307" s="50" t="s">
        <v>120</v>
      </c>
      <c r="BC307" s="50" t="s">
        <v>1407</v>
      </c>
      <c r="BD307" s="50" t="s">
        <v>449</v>
      </c>
      <c r="BE307" s="50" t="s">
        <v>122</v>
      </c>
      <c r="BF307" s="50" t="s">
        <v>450</v>
      </c>
      <c r="BG307" s="50" t="s">
        <v>124</v>
      </c>
      <c r="BH307" s="50" t="s">
        <v>11976</v>
      </c>
      <c r="BI307" s="50" t="s">
        <v>12720</v>
      </c>
      <c r="BJ307" s="50" t="s">
        <v>127</v>
      </c>
      <c r="BK307" s="50" t="s">
        <v>12721</v>
      </c>
      <c r="BL307" s="50" t="s">
        <v>1410</v>
      </c>
      <c r="BM307" s="50" t="s">
        <v>12722</v>
      </c>
      <c r="BN307" s="50" t="s">
        <v>12711</v>
      </c>
      <c r="BO307" s="50" t="s">
        <v>131</v>
      </c>
      <c r="BP307" s="50" t="s">
        <v>350</v>
      </c>
      <c r="BQ307" s="50" t="s">
        <v>133</v>
      </c>
      <c r="BR307" s="50" t="s">
        <v>134</v>
      </c>
      <c r="BS307" s="50" t="s">
        <v>328</v>
      </c>
      <c r="BU307" s="50" t="s">
        <v>12723</v>
      </c>
      <c r="BV307" s="50" t="s">
        <v>12724</v>
      </c>
      <c r="BW307" s="50" t="s">
        <v>138</v>
      </c>
      <c r="BX307" s="50" t="s">
        <v>1414</v>
      </c>
      <c r="BY307" s="50" t="s">
        <v>1415</v>
      </c>
      <c r="BZ307" s="50" t="s">
        <v>1416</v>
      </c>
      <c r="CA307" s="50" t="s">
        <v>12724</v>
      </c>
      <c r="CB307" s="50" t="s">
        <v>1414</v>
      </c>
      <c r="CC307" s="50" t="s">
        <v>1415</v>
      </c>
      <c r="CD307" s="50" t="s">
        <v>12724</v>
      </c>
      <c r="CE307" s="50" t="s">
        <v>1414</v>
      </c>
      <c r="CF307" s="50" t="s">
        <v>1415</v>
      </c>
      <c r="CG307" s="50" t="s">
        <v>1417</v>
      </c>
      <c r="CH307" s="50" t="s">
        <v>12725</v>
      </c>
      <c r="CJ307" s="50" t="s">
        <v>1419</v>
      </c>
      <c r="CK307" s="50" t="s">
        <v>12726</v>
      </c>
      <c r="CL307" s="50" t="s">
        <v>1407</v>
      </c>
      <c r="CM307" s="50" t="s">
        <v>449</v>
      </c>
      <c r="CN307" s="50" t="s">
        <v>1419</v>
      </c>
      <c r="CO307" s="50" t="s">
        <v>1420</v>
      </c>
      <c r="CP307" s="50" t="s">
        <v>1418</v>
      </c>
      <c r="CQ307" s="50" t="s">
        <v>1418</v>
      </c>
    </row>
    <row r="308" spans="1:96">
      <c r="A308" s="50" t="s">
        <v>26356</v>
      </c>
      <c r="B308" s="50">
        <v>2984015</v>
      </c>
      <c r="C308" s="50" t="s">
        <v>2525</v>
      </c>
      <c r="D308" s="50" t="s">
        <v>4575</v>
      </c>
      <c r="E308" s="50" t="str">
        <f>VLOOKUP(B308,aa!B:F,5,0)</f>
        <v>Ei Mindspark</v>
      </c>
      <c r="F308" s="50">
        <f>VLOOKUP(B308,aa!B:J,9,0)</f>
        <v>570090</v>
      </c>
      <c r="G308" s="50">
        <f>VLOOKUP(B308,aa!B:L,11,0)</f>
        <v>0</v>
      </c>
      <c r="H308" s="50">
        <f>VLOOKUP(B308,aa!B:O,14,0)</f>
        <v>0</v>
      </c>
      <c r="I308" s="50">
        <f>VLOOKUP(B308,aa!B:R,17,0)</f>
        <v>570090</v>
      </c>
      <c r="K308" s="50" t="s">
        <v>848</v>
      </c>
      <c r="L308" s="50">
        <v>367340</v>
      </c>
      <c r="M308" s="50">
        <v>433461</v>
      </c>
      <c r="N308" s="50">
        <v>0</v>
      </c>
      <c r="O308" s="50">
        <v>0</v>
      </c>
      <c r="Q308" s="50">
        <v>0</v>
      </c>
      <c r="R308" s="50">
        <v>0</v>
      </c>
      <c r="T308" s="50">
        <v>367340</v>
      </c>
      <c r="U308" s="50">
        <v>280</v>
      </c>
      <c r="V308" s="50" t="s">
        <v>14834</v>
      </c>
      <c r="W308" s="50" t="s">
        <v>102</v>
      </c>
      <c r="X308" s="50" t="s">
        <v>103</v>
      </c>
      <c r="Y308" s="50" t="s">
        <v>398</v>
      </c>
      <c r="AA308" s="50" t="s">
        <v>11927</v>
      </c>
      <c r="AB308" s="50" t="s">
        <v>14835</v>
      </c>
      <c r="AC308" s="50" t="s">
        <v>12695</v>
      </c>
      <c r="AD308" s="50" t="s">
        <v>14835</v>
      </c>
      <c r="AE308" s="50" t="s">
        <v>12084</v>
      </c>
      <c r="AF308" s="50" t="s">
        <v>14836</v>
      </c>
      <c r="AG308" s="50" t="s">
        <v>109</v>
      </c>
      <c r="AH308" s="50" t="s">
        <v>102</v>
      </c>
      <c r="AI308" s="50" t="s">
        <v>14837</v>
      </c>
      <c r="AJ308" s="50" t="s">
        <v>8488</v>
      </c>
      <c r="AK308" s="50" t="s">
        <v>12729</v>
      </c>
      <c r="AL308" s="50" t="s">
        <v>14838</v>
      </c>
      <c r="AM308" s="50" t="s">
        <v>14839</v>
      </c>
      <c r="AN308" s="50" t="s">
        <v>14840</v>
      </c>
      <c r="AO308" s="50" t="s">
        <v>14841</v>
      </c>
      <c r="AP308" s="50" t="s">
        <v>14841</v>
      </c>
      <c r="AU308" s="50" t="s">
        <v>102</v>
      </c>
      <c r="AW308" s="50" t="s">
        <v>102</v>
      </c>
      <c r="AX308" s="50" t="s">
        <v>119</v>
      </c>
      <c r="BA308" s="50" t="s">
        <v>250</v>
      </c>
      <c r="BB308" s="50" t="s">
        <v>120</v>
      </c>
      <c r="BC308" s="50" t="s">
        <v>2327</v>
      </c>
      <c r="BD308" s="50" t="s">
        <v>730</v>
      </c>
      <c r="BE308" s="50" t="s">
        <v>622</v>
      </c>
      <c r="BF308" s="50" t="s">
        <v>730</v>
      </c>
      <c r="BG308" s="50" t="s">
        <v>124</v>
      </c>
      <c r="BH308" s="50" t="s">
        <v>12492</v>
      </c>
      <c r="BI308" s="50" t="s">
        <v>14842</v>
      </c>
      <c r="BJ308" s="50" t="s">
        <v>127</v>
      </c>
      <c r="BK308" s="50" t="s">
        <v>14843</v>
      </c>
      <c r="BL308" s="50" t="s">
        <v>4588</v>
      </c>
      <c r="BM308" s="50" t="s">
        <v>14844</v>
      </c>
      <c r="BN308" s="50" t="s">
        <v>12711</v>
      </c>
      <c r="BO308" s="50" t="s">
        <v>734</v>
      </c>
      <c r="BP308" s="50" t="s">
        <v>350</v>
      </c>
      <c r="BQ308" s="50" t="s">
        <v>735</v>
      </c>
      <c r="BR308" s="50" t="s">
        <v>736</v>
      </c>
      <c r="BS308" s="50" t="s">
        <v>737</v>
      </c>
      <c r="BU308" s="50" t="s">
        <v>14845</v>
      </c>
      <c r="BV308" s="50" t="s">
        <v>14846</v>
      </c>
      <c r="BW308" s="50" t="s">
        <v>569</v>
      </c>
      <c r="BX308" s="50" t="s">
        <v>14847</v>
      </c>
      <c r="BY308" s="50" t="s">
        <v>14848</v>
      </c>
      <c r="BZ308" s="50" t="s">
        <v>4594</v>
      </c>
      <c r="CA308" s="50" t="s">
        <v>14849</v>
      </c>
      <c r="CB308" s="50" t="s">
        <v>14850</v>
      </c>
      <c r="CC308" s="50" t="s">
        <v>14851</v>
      </c>
      <c r="CD308" s="50" t="s">
        <v>14849</v>
      </c>
      <c r="CE308" s="50" t="s">
        <v>14850</v>
      </c>
      <c r="CF308" s="50" t="s">
        <v>14851</v>
      </c>
      <c r="CG308" s="50" t="s">
        <v>573</v>
      </c>
      <c r="CH308" s="50" t="s">
        <v>14852</v>
      </c>
      <c r="CJ308" s="50" t="s">
        <v>4602</v>
      </c>
      <c r="CK308" s="50" t="s">
        <v>4604</v>
      </c>
      <c r="CL308" s="50" t="s">
        <v>2327</v>
      </c>
      <c r="CM308" s="50" t="s">
        <v>730</v>
      </c>
      <c r="CN308" s="50" t="s">
        <v>4602</v>
      </c>
      <c r="CO308" s="50" t="s">
        <v>4603</v>
      </c>
      <c r="CP308" s="50" t="s">
        <v>4604</v>
      </c>
      <c r="CQ308" s="50" t="s">
        <v>4604</v>
      </c>
    </row>
    <row r="309" spans="1:96">
      <c r="A309" s="95" t="s">
        <v>149</v>
      </c>
      <c r="B309" s="50">
        <v>3368257</v>
      </c>
      <c r="C309" s="50" t="s">
        <v>11995</v>
      </c>
      <c r="D309" s="50" t="s">
        <v>5688</v>
      </c>
      <c r="E309" s="50" t="e">
        <f>VLOOKUP(B309,aa!B:F,5,0)</f>
        <v>#N/A</v>
      </c>
      <c r="F309" s="50" t="e">
        <f>VLOOKUP(B309,aa!B:J,9,0)</f>
        <v>#N/A</v>
      </c>
      <c r="G309" s="50" t="e">
        <f>VLOOKUP(B309,aa!B:L,11,0)</f>
        <v>#N/A</v>
      </c>
      <c r="H309" s="50" t="e">
        <f>VLOOKUP(B309,aa!B:O,14,0)</f>
        <v>#N/A</v>
      </c>
      <c r="I309" s="50" t="e">
        <f>VLOOKUP(B309,aa!B:R,17,0)</f>
        <v>#N/A</v>
      </c>
      <c r="K309" s="50" t="s">
        <v>2044</v>
      </c>
      <c r="L309" s="50">
        <v>234943</v>
      </c>
      <c r="M309" s="50">
        <v>234943</v>
      </c>
      <c r="N309" s="50">
        <v>99198</v>
      </c>
      <c r="O309" s="50">
        <v>127</v>
      </c>
      <c r="P309" s="50" t="s">
        <v>11321</v>
      </c>
      <c r="Q309" s="50">
        <v>135745</v>
      </c>
      <c r="R309" s="50">
        <v>127</v>
      </c>
      <c r="S309" s="50" t="s">
        <v>15730</v>
      </c>
      <c r="T309" s="50">
        <v>0</v>
      </c>
      <c r="U309" s="50">
        <v>0</v>
      </c>
      <c r="W309" s="50" t="s">
        <v>102</v>
      </c>
      <c r="X309" s="50" t="s">
        <v>103</v>
      </c>
      <c r="Y309" s="50" t="s">
        <v>398</v>
      </c>
      <c r="AA309" s="50" t="s">
        <v>8708</v>
      </c>
      <c r="AB309" s="50" t="s">
        <v>15731</v>
      </c>
      <c r="AC309" s="50" t="s">
        <v>12800</v>
      </c>
      <c r="AD309" s="50" t="s">
        <v>15732</v>
      </c>
      <c r="AE309" s="50" t="s">
        <v>12713</v>
      </c>
      <c r="AF309" s="50" t="s">
        <v>15732</v>
      </c>
      <c r="AG309" s="50" t="s">
        <v>109</v>
      </c>
      <c r="AH309" s="50" t="s">
        <v>102</v>
      </c>
      <c r="AI309" s="50" t="s">
        <v>102</v>
      </c>
      <c r="AJ309" s="50" t="s">
        <v>12427</v>
      </c>
      <c r="AK309" s="50" t="s">
        <v>15733</v>
      </c>
      <c r="AL309" s="50" t="s">
        <v>15734</v>
      </c>
      <c r="AM309" s="50" t="s">
        <v>15735</v>
      </c>
      <c r="AN309" s="50" t="s">
        <v>15736</v>
      </c>
      <c r="AO309" s="50" t="s">
        <v>11871</v>
      </c>
      <c r="AP309" s="50" t="s">
        <v>11871</v>
      </c>
      <c r="AU309" s="50" t="s">
        <v>318</v>
      </c>
      <c r="AV309" s="50" t="s">
        <v>118</v>
      </c>
      <c r="AW309" s="50" t="s">
        <v>155</v>
      </c>
      <c r="AX309" s="50" t="s">
        <v>119</v>
      </c>
      <c r="AY309" s="50" t="s">
        <v>170</v>
      </c>
      <c r="AZ309" s="50" t="s">
        <v>118</v>
      </c>
      <c r="BB309" s="50" t="s">
        <v>2565</v>
      </c>
      <c r="BC309" s="50" t="s">
        <v>284</v>
      </c>
      <c r="BD309" s="50" t="s">
        <v>285</v>
      </c>
      <c r="BE309" s="50" t="s">
        <v>212</v>
      </c>
      <c r="BF309" s="50" t="s">
        <v>286</v>
      </c>
      <c r="BG309" s="50" t="s">
        <v>124</v>
      </c>
      <c r="BH309" s="50" t="s">
        <v>11959</v>
      </c>
      <c r="BI309" s="50" t="s">
        <v>11960</v>
      </c>
      <c r="BJ309" s="50" t="s">
        <v>127</v>
      </c>
      <c r="BK309" s="50" t="s">
        <v>15737</v>
      </c>
      <c r="BL309" s="50" t="s">
        <v>5701</v>
      </c>
      <c r="BM309" s="50" t="s">
        <v>15738</v>
      </c>
      <c r="BN309" s="50" t="s">
        <v>12711</v>
      </c>
      <c r="BO309" s="50" t="s">
        <v>956</v>
      </c>
      <c r="BP309" s="50" t="s">
        <v>132</v>
      </c>
      <c r="BQ309" s="50" t="s">
        <v>958</v>
      </c>
      <c r="BR309" s="50" t="s">
        <v>959</v>
      </c>
      <c r="BS309" s="50" t="s">
        <v>293</v>
      </c>
      <c r="BU309" s="50" t="s">
        <v>15739</v>
      </c>
      <c r="BV309" s="50" t="s">
        <v>5704</v>
      </c>
      <c r="BW309" s="50" t="s">
        <v>138</v>
      </c>
      <c r="BX309" s="50" t="s">
        <v>5705</v>
      </c>
      <c r="BY309" s="50" t="s">
        <v>5706</v>
      </c>
      <c r="BZ309" s="50" t="s">
        <v>5707</v>
      </c>
      <c r="CA309" s="50" t="s">
        <v>5704</v>
      </c>
      <c r="CB309" s="50" t="s">
        <v>5705</v>
      </c>
      <c r="CC309" s="50" t="s">
        <v>5706</v>
      </c>
      <c r="CD309" s="50" t="s">
        <v>5704</v>
      </c>
      <c r="CE309" s="50" t="s">
        <v>5705</v>
      </c>
      <c r="CF309" s="50" t="s">
        <v>5706</v>
      </c>
      <c r="CG309" s="50" t="s">
        <v>907</v>
      </c>
      <c r="CH309" s="50" t="s">
        <v>5711</v>
      </c>
      <c r="CJ309" s="50" t="s">
        <v>5712</v>
      </c>
      <c r="CL309" s="50" t="s">
        <v>284</v>
      </c>
      <c r="CM309" s="50" t="s">
        <v>285</v>
      </c>
      <c r="CN309" s="50" t="s">
        <v>5712</v>
      </c>
      <c r="CP309" s="50" t="s">
        <v>5711</v>
      </c>
      <c r="CQ309" s="50" t="s">
        <v>5711</v>
      </c>
      <c r="CR309" s="50" t="s">
        <v>26040</v>
      </c>
    </row>
    <row r="310" spans="1:96">
      <c r="A310" s="95" t="s">
        <v>149</v>
      </c>
      <c r="B310" s="50">
        <v>3752732</v>
      </c>
      <c r="C310" s="50" t="s">
        <v>12507</v>
      </c>
      <c r="D310" s="50" t="s">
        <v>7315</v>
      </c>
      <c r="E310" s="50" t="str">
        <f>VLOOKUP(B310,aa!B:F,5,0)</f>
        <v>Ei CARES</v>
      </c>
      <c r="F310" s="50">
        <f>VLOOKUP(B310,aa!B:J,9,0)</f>
        <v>666991</v>
      </c>
      <c r="G310" s="50">
        <f>VLOOKUP(B310,aa!B:L,11,0)</f>
        <v>0</v>
      </c>
      <c r="H310" s="50">
        <f>VLOOKUP(B310,aa!B:O,14,0)</f>
        <v>666991</v>
      </c>
      <c r="I310" s="50">
        <f>VLOOKUP(B310,aa!B:R,17,0)</f>
        <v>0</v>
      </c>
      <c r="K310" s="50" t="s">
        <v>152</v>
      </c>
      <c r="L310" s="50">
        <v>441928</v>
      </c>
      <c r="M310" s="50">
        <v>441928</v>
      </c>
      <c r="N310" s="50">
        <v>0</v>
      </c>
      <c r="O310" s="50">
        <v>0</v>
      </c>
      <c r="Q310" s="50">
        <v>441928</v>
      </c>
      <c r="R310" s="50">
        <v>258</v>
      </c>
      <c r="S310" s="50" t="s">
        <v>16842</v>
      </c>
      <c r="T310" s="50">
        <v>0</v>
      </c>
      <c r="U310" s="50">
        <v>0</v>
      </c>
      <c r="W310" s="50" t="s">
        <v>102</v>
      </c>
      <c r="X310" s="50" t="s">
        <v>103</v>
      </c>
      <c r="Y310" s="50" t="s">
        <v>155</v>
      </c>
      <c r="AA310" s="50" t="s">
        <v>11959</v>
      </c>
      <c r="AB310" s="50" t="s">
        <v>16843</v>
      </c>
      <c r="AC310" s="50" t="s">
        <v>12082</v>
      </c>
      <c r="AD310" s="50" t="s">
        <v>16843</v>
      </c>
      <c r="AE310" s="50" t="s">
        <v>11888</v>
      </c>
      <c r="AF310" s="50" t="s">
        <v>16843</v>
      </c>
      <c r="AG310" s="50" t="s">
        <v>12084</v>
      </c>
      <c r="AH310" s="50" t="s">
        <v>16843</v>
      </c>
      <c r="AI310" s="50" t="s">
        <v>102</v>
      </c>
      <c r="AJ310" s="50" t="s">
        <v>1408</v>
      </c>
      <c r="AK310" s="50" t="s">
        <v>16844</v>
      </c>
      <c r="AL310" s="50" t="s">
        <v>16845</v>
      </c>
      <c r="AM310" s="50" t="s">
        <v>16846</v>
      </c>
      <c r="AN310" s="50" t="s">
        <v>16847</v>
      </c>
      <c r="AO310" s="50" t="s">
        <v>16848</v>
      </c>
      <c r="AP310" s="50" t="s">
        <v>16848</v>
      </c>
      <c r="AU310" s="50" t="s">
        <v>102</v>
      </c>
      <c r="AW310" s="50" t="s">
        <v>155</v>
      </c>
      <c r="AX310" s="50" t="s">
        <v>119</v>
      </c>
      <c r="AY310" s="50" t="s">
        <v>170</v>
      </c>
      <c r="AZ310" s="50" t="s">
        <v>118</v>
      </c>
      <c r="BB310" s="50" t="s">
        <v>120</v>
      </c>
      <c r="BC310" s="50" t="s">
        <v>7324</v>
      </c>
      <c r="BD310" s="50" t="s">
        <v>556</v>
      </c>
      <c r="BE310" s="50" t="s">
        <v>122</v>
      </c>
      <c r="BF310" s="50" t="s">
        <v>557</v>
      </c>
      <c r="BG310" s="50" t="s">
        <v>124</v>
      </c>
      <c r="BH310" s="50" t="s">
        <v>12492</v>
      </c>
      <c r="BI310" s="50" t="s">
        <v>11889</v>
      </c>
      <c r="BJ310" s="50" t="s">
        <v>127</v>
      </c>
      <c r="BK310" s="50" t="s">
        <v>16849</v>
      </c>
      <c r="BL310" s="50" t="s">
        <v>7326</v>
      </c>
      <c r="BM310" s="50" t="s">
        <v>16850</v>
      </c>
      <c r="BN310" s="50" t="s">
        <v>12711</v>
      </c>
      <c r="BO310" s="50" t="s">
        <v>1142</v>
      </c>
      <c r="BP310" s="50" t="s">
        <v>350</v>
      </c>
      <c r="BQ310" s="50" t="s">
        <v>1143</v>
      </c>
      <c r="BR310" s="50" t="s">
        <v>1144</v>
      </c>
      <c r="BS310" s="50" t="s">
        <v>566</v>
      </c>
      <c r="BU310" s="50" t="s">
        <v>16851</v>
      </c>
      <c r="BV310" s="50" t="s">
        <v>7329</v>
      </c>
      <c r="BW310" s="50" t="s">
        <v>138</v>
      </c>
      <c r="BX310" s="50" t="s">
        <v>16852</v>
      </c>
      <c r="BY310" s="50" t="s">
        <v>7331</v>
      </c>
      <c r="BZ310" s="50" t="s">
        <v>7330</v>
      </c>
      <c r="CA310" s="50" t="s">
        <v>7329</v>
      </c>
      <c r="CB310" s="50" t="s">
        <v>16852</v>
      </c>
      <c r="CC310" s="50" t="s">
        <v>7331</v>
      </c>
      <c r="CD310" s="50" t="s">
        <v>7329</v>
      </c>
      <c r="CE310" s="50" t="s">
        <v>16852</v>
      </c>
      <c r="CF310" s="50" t="s">
        <v>7331</v>
      </c>
      <c r="CG310" s="50" t="s">
        <v>7332</v>
      </c>
      <c r="CH310" s="50" t="s">
        <v>7315</v>
      </c>
      <c r="CJ310" s="50" t="s">
        <v>7334</v>
      </c>
      <c r="CL310" s="50" t="s">
        <v>7324</v>
      </c>
      <c r="CM310" s="50" t="s">
        <v>556</v>
      </c>
      <c r="CN310" s="50" t="s">
        <v>7334</v>
      </c>
      <c r="CP310" s="50" t="s">
        <v>7333</v>
      </c>
      <c r="CQ310" s="50" t="s">
        <v>7333</v>
      </c>
    </row>
    <row r="311" spans="1:96">
      <c r="A311" s="95" t="s">
        <v>149</v>
      </c>
      <c r="B311" s="50">
        <v>4001826</v>
      </c>
      <c r="C311" s="50" t="s">
        <v>12121</v>
      </c>
      <c r="D311" s="50" t="s">
        <v>8532</v>
      </c>
      <c r="E311" s="50" t="e">
        <f>VLOOKUP(B311,aa!B:F,5,0)</f>
        <v>#N/A</v>
      </c>
      <c r="F311" s="50" t="e">
        <f>VLOOKUP(B311,aa!B:J,9,0)</f>
        <v>#N/A</v>
      </c>
      <c r="G311" s="50" t="e">
        <f>VLOOKUP(B311,aa!B:L,11,0)</f>
        <v>#N/A</v>
      </c>
      <c r="H311" s="50" t="e">
        <f>VLOOKUP(B311,aa!B:O,14,0)</f>
        <v>#N/A</v>
      </c>
      <c r="I311" s="50" t="e">
        <f>VLOOKUP(B311,aa!B:R,17,0)</f>
        <v>#N/A</v>
      </c>
      <c r="K311" s="50" t="s">
        <v>152</v>
      </c>
      <c r="L311" s="50">
        <v>358800</v>
      </c>
      <c r="M311" s="50">
        <v>358800</v>
      </c>
      <c r="N311" s="50">
        <v>0</v>
      </c>
      <c r="O311" s="50">
        <v>0</v>
      </c>
      <c r="Q311" s="50">
        <v>358800</v>
      </c>
      <c r="R311" s="50">
        <v>276</v>
      </c>
      <c r="S311" s="50" t="s">
        <v>8534</v>
      </c>
      <c r="T311" s="50">
        <v>0</v>
      </c>
      <c r="U311" s="50">
        <v>0</v>
      </c>
      <c r="W311" s="50" t="s">
        <v>102</v>
      </c>
      <c r="X311" s="50" t="s">
        <v>103</v>
      </c>
      <c r="Y311" s="50" t="s">
        <v>155</v>
      </c>
      <c r="AA311" s="50" t="s">
        <v>11959</v>
      </c>
      <c r="AB311" s="50" t="s">
        <v>17924</v>
      </c>
      <c r="AC311" s="50" t="s">
        <v>12082</v>
      </c>
      <c r="AD311" s="50" t="s">
        <v>17924</v>
      </c>
      <c r="AE311" s="50" t="s">
        <v>11888</v>
      </c>
      <c r="AF311" s="50" t="s">
        <v>17924</v>
      </c>
      <c r="AG311" s="50" t="s">
        <v>12084</v>
      </c>
      <c r="AH311" s="50" t="s">
        <v>17924</v>
      </c>
      <c r="AI311" s="50" t="s">
        <v>102</v>
      </c>
      <c r="AJ311" s="50" t="s">
        <v>15733</v>
      </c>
      <c r="AK311" s="50" t="s">
        <v>13964</v>
      </c>
      <c r="AL311" s="50" t="s">
        <v>17925</v>
      </c>
      <c r="AM311" s="50" t="s">
        <v>17926</v>
      </c>
      <c r="AN311" s="50" t="s">
        <v>17927</v>
      </c>
      <c r="AO311" s="50" t="s">
        <v>116</v>
      </c>
      <c r="AP311" s="50" t="s">
        <v>116</v>
      </c>
      <c r="AU311" s="50" t="s">
        <v>102</v>
      </c>
      <c r="AW311" s="50" t="s">
        <v>155</v>
      </c>
      <c r="AX311" s="50" t="s">
        <v>119</v>
      </c>
      <c r="AY311" s="50" t="s">
        <v>1138</v>
      </c>
      <c r="AZ311" s="50" t="s">
        <v>118</v>
      </c>
      <c r="BB311" s="50" t="s">
        <v>120</v>
      </c>
      <c r="BC311" s="50" t="s">
        <v>8540</v>
      </c>
      <c r="BD311" s="50" t="s">
        <v>556</v>
      </c>
      <c r="BE311" s="50" t="s">
        <v>122</v>
      </c>
      <c r="BF311" s="50" t="s">
        <v>557</v>
      </c>
      <c r="BG311" s="50" t="s">
        <v>124</v>
      </c>
      <c r="BH311" s="50" t="s">
        <v>12492</v>
      </c>
      <c r="BI311" s="50" t="s">
        <v>11889</v>
      </c>
      <c r="BJ311" s="50" t="s">
        <v>127</v>
      </c>
      <c r="BK311" s="50" t="s">
        <v>17928</v>
      </c>
      <c r="BL311" s="50" t="s">
        <v>8542</v>
      </c>
      <c r="BM311" s="50" t="s">
        <v>17929</v>
      </c>
      <c r="BN311" s="50" t="s">
        <v>12711</v>
      </c>
      <c r="BO311" s="50" t="s">
        <v>1142</v>
      </c>
      <c r="BP311" s="50" t="s">
        <v>350</v>
      </c>
      <c r="BQ311" s="50" t="s">
        <v>1143</v>
      </c>
      <c r="BR311" s="50" t="s">
        <v>1144</v>
      </c>
      <c r="BS311" s="50" t="s">
        <v>566</v>
      </c>
      <c r="BU311" s="50" t="s">
        <v>17930</v>
      </c>
      <c r="BV311" s="50" t="s">
        <v>17931</v>
      </c>
      <c r="BW311" s="50" t="s">
        <v>138</v>
      </c>
      <c r="BX311" s="50" t="s">
        <v>17932</v>
      </c>
      <c r="BY311" s="50" t="s">
        <v>8547</v>
      </c>
      <c r="BZ311" s="50" t="s">
        <v>8546</v>
      </c>
      <c r="CA311" s="50" t="s">
        <v>17931</v>
      </c>
      <c r="CB311" s="50" t="s">
        <v>17932</v>
      </c>
      <c r="CC311" s="50" t="s">
        <v>8547</v>
      </c>
      <c r="CD311" s="50" t="s">
        <v>17931</v>
      </c>
      <c r="CE311" s="50" t="s">
        <v>17932</v>
      </c>
      <c r="CF311" s="50" t="s">
        <v>8547</v>
      </c>
      <c r="CG311" s="50" t="s">
        <v>6457</v>
      </c>
      <c r="CH311" s="50" t="s">
        <v>8532</v>
      </c>
      <c r="CJ311" s="50" t="s">
        <v>6459</v>
      </c>
      <c r="CK311" s="50" t="s">
        <v>8540</v>
      </c>
      <c r="CL311" s="50" t="s">
        <v>8540</v>
      </c>
      <c r="CM311" s="50" t="s">
        <v>556</v>
      </c>
      <c r="CN311" s="50" t="s">
        <v>6459</v>
      </c>
      <c r="CP311" s="50" t="s">
        <v>8548</v>
      </c>
      <c r="CQ311" s="50" t="s">
        <v>8548</v>
      </c>
    </row>
    <row r="312" spans="1:96">
      <c r="A312" s="95" t="s">
        <v>149</v>
      </c>
      <c r="B312" s="50">
        <v>5017080</v>
      </c>
      <c r="C312" s="50" t="s">
        <v>11995</v>
      </c>
      <c r="D312" s="50" t="s">
        <v>9851</v>
      </c>
      <c r="E312" s="50" t="e">
        <f>VLOOKUP(B312,aa!B:F,5,0)</f>
        <v>#N/A</v>
      </c>
      <c r="F312" s="50" t="e">
        <f>VLOOKUP(B312,aa!B:J,9,0)</f>
        <v>#N/A</v>
      </c>
      <c r="G312" s="50" t="e">
        <f>VLOOKUP(B312,aa!B:L,11,0)</f>
        <v>#N/A</v>
      </c>
      <c r="H312" s="50" t="e">
        <f>VLOOKUP(B312,aa!B:O,14,0)</f>
        <v>#N/A</v>
      </c>
      <c r="I312" s="50" t="e">
        <f>VLOOKUP(B312,aa!B:R,17,0)</f>
        <v>#N/A</v>
      </c>
      <c r="K312" s="50" t="s">
        <v>2044</v>
      </c>
      <c r="L312" s="50">
        <v>116547</v>
      </c>
      <c r="M312" s="50">
        <v>116547</v>
      </c>
      <c r="N312" s="50">
        <v>49209</v>
      </c>
      <c r="O312" s="50">
        <v>63</v>
      </c>
      <c r="P312" s="50" t="s">
        <v>11321</v>
      </c>
      <c r="Q312" s="50">
        <v>67338</v>
      </c>
      <c r="R312" s="50">
        <v>63</v>
      </c>
      <c r="S312" s="50" t="s">
        <v>15730</v>
      </c>
      <c r="T312" s="50">
        <v>0</v>
      </c>
      <c r="U312" s="50">
        <v>0</v>
      </c>
      <c r="W312" s="50" t="s">
        <v>102</v>
      </c>
      <c r="X312" s="50" t="s">
        <v>103</v>
      </c>
      <c r="Y312" s="50" t="s">
        <v>398</v>
      </c>
      <c r="AA312" s="50" t="s">
        <v>8708</v>
      </c>
      <c r="AB312" s="50" t="s">
        <v>18993</v>
      </c>
      <c r="AC312" s="50" t="s">
        <v>12800</v>
      </c>
      <c r="AD312" s="50" t="s">
        <v>18994</v>
      </c>
      <c r="AE312" s="50" t="s">
        <v>12713</v>
      </c>
      <c r="AF312" s="50" t="s">
        <v>18994</v>
      </c>
      <c r="AG312" s="50" t="s">
        <v>109</v>
      </c>
      <c r="AH312" s="50" t="s">
        <v>102</v>
      </c>
      <c r="AI312" s="50" t="s">
        <v>102</v>
      </c>
      <c r="AJ312" s="50" t="s">
        <v>12427</v>
      </c>
      <c r="AK312" s="50" t="s">
        <v>12427</v>
      </c>
      <c r="AL312" s="50" t="s">
        <v>18995</v>
      </c>
      <c r="AM312" s="50" t="s">
        <v>18996</v>
      </c>
      <c r="AN312" s="50" t="s">
        <v>18997</v>
      </c>
      <c r="AO312" s="50" t="s">
        <v>11871</v>
      </c>
      <c r="AP312" s="50" t="s">
        <v>11871</v>
      </c>
      <c r="AU312" s="50" t="s">
        <v>318</v>
      </c>
      <c r="AV312" s="50" t="s">
        <v>118</v>
      </c>
      <c r="AW312" s="50" t="s">
        <v>155</v>
      </c>
      <c r="AX312" s="50" t="s">
        <v>119</v>
      </c>
      <c r="AY312" s="50" t="s">
        <v>170</v>
      </c>
      <c r="AZ312" s="50" t="s">
        <v>118</v>
      </c>
      <c r="BB312" s="50" t="s">
        <v>120</v>
      </c>
      <c r="BC312" s="50" t="s">
        <v>284</v>
      </c>
      <c r="BD312" s="50" t="s">
        <v>285</v>
      </c>
      <c r="BE312" s="50" t="s">
        <v>212</v>
      </c>
      <c r="BF312" s="50" t="s">
        <v>286</v>
      </c>
      <c r="BG312" s="50" t="s">
        <v>124</v>
      </c>
      <c r="BH312" s="50" t="s">
        <v>11959</v>
      </c>
      <c r="BI312" s="50" t="s">
        <v>11960</v>
      </c>
      <c r="BJ312" s="50" t="s">
        <v>127</v>
      </c>
      <c r="BK312" s="50" t="s">
        <v>18998</v>
      </c>
      <c r="BL312" s="50" t="s">
        <v>9859</v>
      </c>
      <c r="BM312" s="50" t="s">
        <v>18999</v>
      </c>
      <c r="BN312" s="50" t="s">
        <v>12711</v>
      </c>
      <c r="BO312" s="50" t="s">
        <v>956</v>
      </c>
      <c r="BP312" s="50" t="s">
        <v>505</v>
      </c>
      <c r="BQ312" s="50" t="s">
        <v>958</v>
      </c>
      <c r="BR312" s="50" t="s">
        <v>959</v>
      </c>
      <c r="BS312" s="50" t="s">
        <v>293</v>
      </c>
      <c r="BU312" s="50" t="s">
        <v>19000</v>
      </c>
      <c r="BV312" s="50" t="s">
        <v>5704</v>
      </c>
      <c r="BW312" s="50" t="s">
        <v>138</v>
      </c>
      <c r="BX312" s="50" t="s">
        <v>5705</v>
      </c>
      <c r="BY312" s="50" t="s">
        <v>5706</v>
      </c>
      <c r="BZ312" s="50" t="s">
        <v>5705</v>
      </c>
      <c r="CA312" s="50" t="s">
        <v>5704</v>
      </c>
      <c r="CB312" s="50" t="s">
        <v>5705</v>
      </c>
      <c r="CC312" s="50" t="s">
        <v>5706</v>
      </c>
      <c r="CD312" s="50" t="s">
        <v>5704</v>
      </c>
      <c r="CE312" s="50" t="s">
        <v>5705</v>
      </c>
      <c r="CF312" s="50" t="s">
        <v>5706</v>
      </c>
      <c r="CG312" s="50" t="s">
        <v>102</v>
      </c>
      <c r="CH312" s="50" t="s">
        <v>5711</v>
      </c>
      <c r="CJ312" s="50" t="s">
        <v>5712</v>
      </c>
      <c r="CL312" s="50" t="s">
        <v>284</v>
      </c>
      <c r="CM312" s="50" t="s">
        <v>285</v>
      </c>
      <c r="CN312" s="50" t="s">
        <v>5712</v>
      </c>
      <c r="CP312" s="50" t="s">
        <v>5711</v>
      </c>
      <c r="CQ312" s="50" t="s">
        <v>5711</v>
      </c>
      <c r="CR312" s="50" t="s">
        <v>26040</v>
      </c>
    </row>
    <row r="313" spans="1:96">
      <c r="A313" s="95" t="s">
        <v>149</v>
      </c>
      <c r="B313" s="50">
        <v>2457713</v>
      </c>
      <c r="C313" s="50" t="s">
        <v>293</v>
      </c>
      <c r="D313" s="50" t="s">
        <v>3456</v>
      </c>
      <c r="E313" s="50" t="str">
        <f>VLOOKUP(B313,aa!B:F,5,0)</f>
        <v>Ei CARES</v>
      </c>
      <c r="F313" s="50">
        <f>VLOOKUP(B313,aa!B:J,9,0)</f>
        <v>2378671</v>
      </c>
      <c r="G313" s="50">
        <f>VLOOKUP(B313,aa!B:L,11,0)</f>
        <v>0</v>
      </c>
      <c r="H313" s="50">
        <f>VLOOKUP(B313,aa!B:O,14,0)</f>
        <v>2378671</v>
      </c>
      <c r="I313" s="50">
        <f>VLOOKUP(B313,aa!B:R,17,0)</f>
        <v>0</v>
      </c>
      <c r="K313" s="50" t="s">
        <v>152</v>
      </c>
      <c r="L313" s="50">
        <v>2449642</v>
      </c>
      <c r="M313" s="50">
        <v>2449642</v>
      </c>
      <c r="N313" s="50">
        <v>0</v>
      </c>
      <c r="O313" s="50">
        <v>0</v>
      </c>
      <c r="Q313" s="50">
        <v>2449642</v>
      </c>
      <c r="R313" s="50">
        <v>1276</v>
      </c>
      <c r="S313" s="50" t="s">
        <v>14021</v>
      </c>
      <c r="T313" s="50">
        <v>0</v>
      </c>
      <c r="U313" s="50">
        <v>0</v>
      </c>
      <c r="W313" s="50" t="s">
        <v>102</v>
      </c>
      <c r="X313" s="50" t="s">
        <v>103</v>
      </c>
      <c r="Y313" s="50" t="s">
        <v>155</v>
      </c>
      <c r="AA313" s="50" t="s">
        <v>11927</v>
      </c>
      <c r="AB313" s="50" t="s">
        <v>14022</v>
      </c>
      <c r="AC313" s="50" t="s">
        <v>14023</v>
      </c>
      <c r="AD313" s="50" t="s">
        <v>14022</v>
      </c>
      <c r="AE313" s="50" t="s">
        <v>11930</v>
      </c>
      <c r="AF313" s="50" t="s">
        <v>14022</v>
      </c>
      <c r="AG313" s="50" t="s">
        <v>14024</v>
      </c>
      <c r="AH313" s="50" t="s">
        <v>14022</v>
      </c>
      <c r="AI313" s="50" t="s">
        <v>14025</v>
      </c>
      <c r="AJ313" s="50" t="s">
        <v>10030</v>
      </c>
      <c r="AK313" s="50" t="s">
        <v>14026</v>
      </c>
      <c r="AL313" s="50" t="s">
        <v>14027</v>
      </c>
      <c r="AM313" s="50" t="s">
        <v>14028</v>
      </c>
      <c r="AN313" s="50" t="s">
        <v>14029</v>
      </c>
      <c r="AO313" s="50" t="s">
        <v>14030</v>
      </c>
      <c r="AP313" s="50" t="s">
        <v>14030</v>
      </c>
      <c r="AU313" s="50" t="s">
        <v>102</v>
      </c>
      <c r="AW313" s="50" t="s">
        <v>155</v>
      </c>
      <c r="AX313" s="50" t="s">
        <v>447</v>
      </c>
      <c r="AY313" s="50" t="s">
        <v>170</v>
      </c>
      <c r="AZ313" s="50" t="s">
        <v>118</v>
      </c>
      <c r="BB313" s="50" t="s">
        <v>120</v>
      </c>
      <c r="BC313" s="50" t="s">
        <v>3465</v>
      </c>
      <c r="BD313" s="50" t="s">
        <v>211</v>
      </c>
      <c r="BE313" s="50" t="s">
        <v>212</v>
      </c>
      <c r="BF313" s="50" t="s">
        <v>213</v>
      </c>
      <c r="BG313" s="50" t="s">
        <v>124</v>
      </c>
      <c r="BH313" s="50" t="s">
        <v>12492</v>
      </c>
      <c r="BI313" s="50" t="s">
        <v>12047</v>
      </c>
      <c r="BJ313" s="50" t="s">
        <v>127</v>
      </c>
      <c r="BK313" s="50" t="s">
        <v>14031</v>
      </c>
      <c r="BL313" s="50" t="s">
        <v>3467</v>
      </c>
      <c r="BM313" s="50" t="s">
        <v>14032</v>
      </c>
      <c r="BN313" s="50" t="s">
        <v>14020</v>
      </c>
      <c r="BO313" s="50" t="s">
        <v>956</v>
      </c>
      <c r="BP313" s="50" t="s">
        <v>132</v>
      </c>
      <c r="BQ313" s="50" t="s">
        <v>958</v>
      </c>
      <c r="BR313" s="50" t="s">
        <v>959</v>
      </c>
      <c r="BS313" s="50" t="s">
        <v>2151</v>
      </c>
      <c r="BU313" s="50" t="s">
        <v>14033</v>
      </c>
      <c r="BV313" s="50" t="s">
        <v>14034</v>
      </c>
      <c r="BW313" s="50" t="s">
        <v>354</v>
      </c>
      <c r="BX313" s="50" t="s">
        <v>3473</v>
      </c>
      <c r="BY313" s="50" t="s">
        <v>14035</v>
      </c>
      <c r="BZ313" s="50" t="s">
        <v>3473</v>
      </c>
      <c r="CA313" s="50" t="s">
        <v>14036</v>
      </c>
      <c r="CB313" s="50" t="s">
        <v>3473</v>
      </c>
      <c r="CC313" s="50" t="s">
        <v>14037</v>
      </c>
      <c r="CD313" s="50" t="s">
        <v>14036</v>
      </c>
      <c r="CE313" s="50" t="s">
        <v>3473</v>
      </c>
      <c r="CF313" s="50" t="s">
        <v>14037</v>
      </c>
      <c r="CG313" s="50" t="s">
        <v>3474</v>
      </c>
      <c r="CH313" s="50" t="s">
        <v>3475</v>
      </c>
      <c r="CJ313" s="50" t="s">
        <v>3476</v>
      </c>
      <c r="CK313" s="50" t="s">
        <v>3475</v>
      </c>
      <c r="CL313" s="50" t="s">
        <v>3465</v>
      </c>
      <c r="CM313" s="50" t="s">
        <v>211</v>
      </c>
      <c r="CN313" s="50" t="s">
        <v>3476</v>
      </c>
      <c r="CO313" s="50" t="s">
        <v>3477</v>
      </c>
      <c r="CP313" s="50" t="s">
        <v>3475</v>
      </c>
      <c r="CQ313" s="50" t="s">
        <v>3475</v>
      </c>
    </row>
    <row r="314" spans="1:96">
      <c r="A314" s="95" t="s">
        <v>149</v>
      </c>
      <c r="B314" s="50">
        <v>20577</v>
      </c>
      <c r="C314" s="50" t="s">
        <v>3562</v>
      </c>
      <c r="D314" s="50" t="s">
        <v>2559</v>
      </c>
      <c r="E314" s="50" t="e">
        <f>VLOOKUP(B314,aa!B:F,5,0)</f>
        <v>#N/A</v>
      </c>
      <c r="F314" s="50" t="e">
        <f>VLOOKUP(B314,aa!B:J,9,0)</f>
        <v>#N/A</v>
      </c>
      <c r="G314" s="50" t="e">
        <f>VLOOKUP(B314,aa!B:L,11,0)</f>
        <v>#N/A</v>
      </c>
      <c r="H314" s="50" t="e">
        <f>VLOOKUP(B314,aa!B:O,14,0)</f>
        <v>#N/A</v>
      </c>
      <c r="I314" s="50" t="e">
        <f>VLOOKUP(B314,aa!B:R,17,0)</f>
        <v>#N/A</v>
      </c>
      <c r="K314" s="50" t="s">
        <v>848</v>
      </c>
      <c r="L314" s="50">
        <v>1076566</v>
      </c>
      <c r="M314" s="50">
        <v>1270348</v>
      </c>
      <c r="N314" s="50">
        <v>0</v>
      </c>
      <c r="O314" s="50">
        <v>0</v>
      </c>
      <c r="Q314" s="50">
        <v>0</v>
      </c>
      <c r="R314" s="50">
        <v>0</v>
      </c>
      <c r="T314" s="50">
        <v>1076566</v>
      </c>
      <c r="U314" s="50">
        <v>508</v>
      </c>
      <c r="V314" s="50" t="s">
        <v>2166</v>
      </c>
      <c r="W314" s="50" t="s">
        <v>102</v>
      </c>
      <c r="X314" s="50" t="s">
        <v>275</v>
      </c>
      <c r="Z314" s="50" t="s">
        <v>11959</v>
      </c>
      <c r="AA314" s="50" t="s">
        <v>109</v>
      </c>
      <c r="AB314" s="50" t="s">
        <v>102</v>
      </c>
      <c r="AC314" s="50" t="s">
        <v>109</v>
      </c>
      <c r="AD314" s="50" t="s">
        <v>102</v>
      </c>
      <c r="AE314" s="50" t="s">
        <v>109</v>
      </c>
      <c r="AF314" s="50" t="s">
        <v>102</v>
      </c>
      <c r="AG314" s="50" t="s">
        <v>109</v>
      </c>
      <c r="AH314" s="50" t="s">
        <v>102</v>
      </c>
      <c r="AI314" s="50" t="s">
        <v>102</v>
      </c>
      <c r="AJ314" s="50" t="s">
        <v>13455</v>
      </c>
      <c r="AK314" s="50" t="s">
        <v>12609</v>
      </c>
      <c r="AL314" s="50" t="s">
        <v>13456</v>
      </c>
      <c r="AM314" s="50" t="s">
        <v>13457</v>
      </c>
      <c r="AN314" s="50" t="s">
        <v>13458</v>
      </c>
      <c r="AO314" s="50" t="s">
        <v>13459</v>
      </c>
      <c r="AP314" s="50" t="s">
        <v>13460</v>
      </c>
      <c r="AT314" s="50" t="s">
        <v>169</v>
      </c>
      <c r="AU314" s="50" t="s">
        <v>102</v>
      </c>
      <c r="AW314" s="50" t="s">
        <v>102</v>
      </c>
      <c r="AX314" s="50" t="s">
        <v>119</v>
      </c>
      <c r="BA314" s="50" t="s">
        <v>250</v>
      </c>
      <c r="BB314" s="50" t="s">
        <v>2565</v>
      </c>
      <c r="BC314" s="50" t="s">
        <v>2327</v>
      </c>
      <c r="BD314" s="50" t="s">
        <v>730</v>
      </c>
      <c r="BE314" s="50" t="s">
        <v>622</v>
      </c>
      <c r="BF314" s="50" t="s">
        <v>730</v>
      </c>
      <c r="BG314" s="50" t="s">
        <v>124</v>
      </c>
      <c r="BH314" s="50" t="s">
        <v>11959</v>
      </c>
      <c r="BI314" s="50" t="s">
        <v>11960</v>
      </c>
      <c r="BJ314" s="50" t="s">
        <v>127</v>
      </c>
      <c r="BK314" s="50" t="s">
        <v>13461</v>
      </c>
      <c r="BL314" s="50" t="s">
        <v>2567</v>
      </c>
      <c r="BM314" s="50" t="s">
        <v>13462</v>
      </c>
      <c r="BN314" s="50" t="s">
        <v>11927</v>
      </c>
      <c r="BO314" s="50" t="s">
        <v>2262</v>
      </c>
      <c r="BP314" s="50" t="s">
        <v>350</v>
      </c>
      <c r="BQ314" s="50" t="s">
        <v>2263</v>
      </c>
      <c r="BR314" s="50" t="s">
        <v>2264</v>
      </c>
      <c r="BS314" s="50" t="s">
        <v>2569</v>
      </c>
      <c r="BU314" s="50" t="s">
        <v>13463</v>
      </c>
      <c r="BV314" s="50" t="s">
        <v>13464</v>
      </c>
      <c r="BW314" s="50" t="s">
        <v>354</v>
      </c>
      <c r="BX314" s="50" t="s">
        <v>13465</v>
      </c>
      <c r="BY314" s="50" t="s">
        <v>2573</v>
      </c>
      <c r="BZ314" s="50" t="s">
        <v>2574</v>
      </c>
      <c r="CA314" s="50" t="s">
        <v>13466</v>
      </c>
      <c r="CB314" s="50" t="s">
        <v>13467</v>
      </c>
      <c r="CC314" s="50" t="s">
        <v>13468</v>
      </c>
      <c r="CD314" s="50" t="s">
        <v>13469</v>
      </c>
      <c r="CE314" s="50" t="s">
        <v>13470</v>
      </c>
      <c r="CF314" s="50" t="s">
        <v>13471</v>
      </c>
      <c r="CG314" s="50" t="s">
        <v>2575</v>
      </c>
      <c r="CH314" s="50" t="s">
        <v>13472</v>
      </c>
      <c r="CJ314" s="50" t="s">
        <v>2272</v>
      </c>
      <c r="CK314" s="50" t="s">
        <v>2576</v>
      </c>
      <c r="CL314" s="50" t="s">
        <v>2327</v>
      </c>
      <c r="CM314" s="50" t="s">
        <v>730</v>
      </c>
      <c r="CN314" s="50" t="s">
        <v>2272</v>
      </c>
      <c r="CO314" s="50" t="s">
        <v>2577</v>
      </c>
      <c r="CP314" s="50" t="s">
        <v>2576</v>
      </c>
      <c r="CQ314" s="50" t="s">
        <v>2576</v>
      </c>
      <c r="CR314" s="50" t="s">
        <v>26055</v>
      </c>
    </row>
    <row r="315" spans="1:96">
      <c r="A315" s="50" t="s">
        <v>93</v>
      </c>
      <c r="B315" s="50">
        <v>5018545</v>
      </c>
      <c r="C315" s="50" t="s">
        <v>293</v>
      </c>
      <c r="D315" s="50" t="s">
        <v>20017</v>
      </c>
      <c r="E315" s="50" t="e">
        <f>VLOOKUP(B315,aa!B:F,5,0)</f>
        <v>#N/A</v>
      </c>
      <c r="F315" s="50" t="e">
        <f>VLOOKUP(B315,aa!B:J,9,0)</f>
        <v>#N/A</v>
      </c>
      <c r="G315" s="50" t="e">
        <f>VLOOKUP(B315,aa!B:L,11,0)</f>
        <v>#N/A</v>
      </c>
      <c r="H315" s="50" t="e">
        <f>VLOOKUP(B315,aa!B:O,14,0)</f>
        <v>#N/A</v>
      </c>
      <c r="I315" s="50" t="e">
        <f>VLOOKUP(B315,aa!B:R,17,0)</f>
        <v>#N/A</v>
      </c>
      <c r="K315" s="50" t="s">
        <v>152</v>
      </c>
      <c r="L315" s="50">
        <v>353629</v>
      </c>
      <c r="M315" s="50">
        <v>353629</v>
      </c>
      <c r="N315" s="50">
        <v>0</v>
      </c>
      <c r="O315" s="50">
        <v>0</v>
      </c>
      <c r="Q315" s="50">
        <v>353629</v>
      </c>
      <c r="R315" s="50">
        <v>262</v>
      </c>
      <c r="S315" s="50" t="s">
        <v>397</v>
      </c>
      <c r="T315" s="50">
        <v>0</v>
      </c>
      <c r="U315" s="50">
        <v>0</v>
      </c>
      <c r="W315" s="50" t="s">
        <v>102</v>
      </c>
      <c r="X315" s="50" t="s">
        <v>103</v>
      </c>
      <c r="Y315" s="50" t="s">
        <v>398</v>
      </c>
      <c r="AA315" s="50" t="s">
        <v>8537</v>
      </c>
      <c r="AB315" s="50" t="s">
        <v>2302</v>
      </c>
      <c r="AC315" s="50" t="s">
        <v>12099</v>
      </c>
      <c r="AD315" s="50" t="s">
        <v>20018</v>
      </c>
      <c r="AE315" s="50" t="s">
        <v>12713</v>
      </c>
      <c r="AF315" s="50" t="s">
        <v>20019</v>
      </c>
      <c r="AG315" s="50" t="s">
        <v>109</v>
      </c>
      <c r="AH315" s="50" t="s">
        <v>102</v>
      </c>
      <c r="AI315" s="50" t="s">
        <v>102</v>
      </c>
      <c r="AJ315" s="50" t="s">
        <v>15564</v>
      </c>
      <c r="AK315" s="50" t="s">
        <v>12975</v>
      </c>
      <c r="AL315" s="50" t="s">
        <v>20020</v>
      </c>
      <c r="AM315" s="50" t="s">
        <v>20021</v>
      </c>
      <c r="AN315" s="50" t="s">
        <v>20022</v>
      </c>
      <c r="AO315" s="50" t="s">
        <v>18913</v>
      </c>
      <c r="AP315" s="50" t="s">
        <v>18913</v>
      </c>
      <c r="AU315" s="50" t="s">
        <v>102</v>
      </c>
      <c r="AW315" s="50" t="s">
        <v>155</v>
      </c>
      <c r="AX315" s="50" t="s">
        <v>119</v>
      </c>
      <c r="AY315" s="50" t="s">
        <v>1138</v>
      </c>
      <c r="AZ315" s="50" t="s">
        <v>118</v>
      </c>
      <c r="BB315" s="50" t="s">
        <v>120</v>
      </c>
      <c r="BC315" s="50" t="s">
        <v>758</v>
      </c>
      <c r="BD315" s="50" t="s">
        <v>211</v>
      </c>
      <c r="BE315" s="50" t="s">
        <v>212</v>
      </c>
      <c r="BF315" s="50" t="s">
        <v>213</v>
      </c>
      <c r="BG315" s="50" t="s">
        <v>124</v>
      </c>
      <c r="BH315" s="50" t="s">
        <v>11932</v>
      </c>
      <c r="BI315" s="50" t="s">
        <v>20023</v>
      </c>
      <c r="BJ315" s="50" t="s">
        <v>127</v>
      </c>
      <c r="BK315" s="50" t="s">
        <v>20024</v>
      </c>
      <c r="BL315" s="50" t="s">
        <v>20025</v>
      </c>
      <c r="BM315" s="50" t="s">
        <v>20026</v>
      </c>
      <c r="BN315" s="50" t="s">
        <v>11927</v>
      </c>
      <c r="BO315" s="50" t="s">
        <v>14067</v>
      </c>
      <c r="BP315" s="50" t="s">
        <v>132</v>
      </c>
      <c r="BQ315" s="50" t="s">
        <v>14068</v>
      </c>
      <c r="BR315" s="50" t="s">
        <v>14069</v>
      </c>
      <c r="BS315" s="50" t="s">
        <v>2463</v>
      </c>
      <c r="BU315" s="50" t="s">
        <v>20027</v>
      </c>
      <c r="BV315" s="50" t="s">
        <v>20028</v>
      </c>
      <c r="BW315" s="50" t="s">
        <v>138</v>
      </c>
      <c r="BX315" s="50" t="s">
        <v>20029</v>
      </c>
      <c r="BY315" s="50" t="s">
        <v>20030</v>
      </c>
      <c r="BZ315" s="50" t="s">
        <v>20029</v>
      </c>
      <c r="CA315" s="50" t="s">
        <v>20028</v>
      </c>
      <c r="CB315" s="50" t="s">
        <v>20029</v>
      </c>
      <c r="CC315" s="50" t="s">
        <v>20030</v>
      </c>
      <c r="CD315" s="50" t="s">
        <v>20028</v>
      </c>
      <c r="CE315" s="50" t="s">
        <v>20029</v>
      </c>
      <c r="CF315" s="50" t="s">
        <v>20030</v>
      </c>
      <c r="CG315" s="50" t="s">
        <v>20031</v>
      </c>
      <c r="CH315" s="50" t="s">
        <v>20032</v>
      </c>
      <c r="CJ315" s="50" t="s">
        <v>20033</v>
      </c>
      <c r="CK315" s="50" t="s">
        <v>20034</v>
      </c>
      <c r="CL315" s="50" t="s">
        <v>758</v>
      </c>
      <c r="CM315" s="50" t="s">
        <v>211</v>
      </c>
      <c r="CN315" s="50" t="s">
        <v>20033</v>
      </c>
      <c r="CP315" s="50" t="s">
        <v>20035</v>
      </c>
      <c r="CQ315" s="50" t="s">
        <v>20036</v>
      </c>
      <c r="CR315" s="50" t="s">
        <v>26044</v>
      </c>
    </row>
    <row r="316" spans="1:96">
      <c r="A316" s="95" t="s">
        <v>149</v>
      </c>
      <c r="B316" s="50">
        <v>2400949</v>
      </c>
      <c r="C316" s="50" t="s">
        <v>11898</v>
      </c>
      <c r="D316" s="50" t="s">
        <v>3226</v>
      </c>
      <c r="E316" s="50" t="str">
        <f>VLOOKUP(B316,aa!B:F,5,0)</f>
        <v>Ei CARES</v>
      </c>
      <c r="F316" s="50">
        <f>VLOOKUP(B316,aa!B:J,9,0)</f>
        <v>356170</v>
      </c>
      <c r="G316" s="50">
        <f>VLOOKUP(B316,aa!B:L,11,0)</f>
        <v>0</v>
      </c>
      <c r="H316" s="50">
        <f>VLOOKUP(B316,aa!B:O,14,0)</f>
        <v>356170</v>
      </c>
      <c r="I316" s="50">
        <f>VLOOKUP(B316,aa!B:R,17,0)</f>
        <v>0</v>
      </c>
      <c r="K316" s="50" t="s">
        <v>152</v>
      </c>
      <c r="L316" s="50">
        <v>399808</v>
      </c>
      <c r="M316" s="50">
        <v>399808</v>
      </c>
      <c r="N316" s="50">
        <v>0</v>
      </c>
      <c r="O316" s="50">
        <v>0</v>
      </c>
      <c r="Q316" s="50">
        <v>399808</v>
      </c>
      <c r="R316" s="50">
        <v>505</v>
      </c>
      <c r="S316" s="50" t="s">
        <v>13887</v>
      </c>
      <c r="T316" s="50">
        <v>0</v>
      </c>
      <c r="U316" s="50">
        <v>0</v>
      </c>
      <c r="W316" s="50" t="s">
        <v>102</v>
      </c>
      <c r="X316" s="50" t="s">
        <v>103</v>
      </c>
      <c r="Y316" s="50" t="s">
        <v>398</v>
      </c>
      <c r="AA316" s="50" t="s">
        <v>11959</v>
      </c>
      <c r="AB316" s="50" t="s">
        <v>13888</v>
      </c>
      <c r="AC316" s="50" t="s">
        <v>5651</v>
      </c>
      <c r="AD316" s="50" t="s">
        <v>13889</v>
      </c>
      <c r="AE316" s="50" t="s">
        <v>12084</v>
      </c>
      <c r="AF316" s="50" t="s">
        <v>13889</v>
      </c>
      <c r="AG316" s="50" t="s">
        <v>109</v>
      </c>
      <c r="AH316" s="50" t="s">
        <v>102</v>
      </c>
      <c r="AI316" s="50" t="s">
        <v>102</v>
      </c>
      <c r="AL316" s="50" t="s">
        <v>13890</v>
      </c>
      <c r="AM316" s="50" t="s">
        <v>102</v>
      </c>
      <c r="AN316" s="50" t="s">
        <v>13890</v>
      </c>
      <c r="AO316" s="50" t="s">
        <v>13891</v>
      </c>
      <c r="AP316" s="50" t="s">
        <v>13891</v>
      </c>
      <c r="AU316" s="50" t="s">
        <v>102</v>
      </c>
      <c r="AW316" s="50" t="s">
        <v>102</v>
      </c>
      <c r="AX316" s="50" t="s">
        <v>447</v>
      </c>
      <c r="AY316" s="50" t="s">
        <v>170</v>
      </c>
      <c r="AZ316" s="50" t="s">
        <v>118</v>
      </c>
      <c r="BB316" s="50" t="s">
        <v>120</v>
      </c>
      <c r="BC316" s="50" t="s">
        <v>3239</v>
      </c>
      <c r="BD316" s="50" t="s">
        <v>449</v>
      </c>
      <c r="BE316" s="50" t="s">
        <v>122</v>
      </c>
      <c r="BF316" s="50" t="s">
        <v>253</v>
      </c>
      <c r="BG316" s="50" t="s">
        <v>124</v>
      </c>
      <c r="BH316" s="50" t="s">
        <v>12023</v>
      </c>
      <c r="BI316" s="50" t="s">
        <v>11889</v>
      </c>
      <c r="BJ316" s="50" t="s">
        <v>127</v>
      </c>
      <c r="BK316" s="50" t="s">
        <v>13892</v>
      </c>
      <c r="BL316" s="50" t="s">
        <v>3241</v>
      </c>
      <c r="BM316" s="50" t="s">
        <v>13893</v>
      </c>
      <c r="BN316" s="50" t="s">
        <v>13886</v>
      </c>
      <c r="BO316" s="50" t="s">
        <v>3243</v>
      </c>
      <c r="BP316" s="50" t="s">
        <v>505</v>
      </c>
      <c r="BQ316" s="50" t="s">
        <v>3244</v>
      </c>
      <c r="BR316" s="50" t="s">
        <v>3245</v>
      </c>
      <c r="BS316" s="50" t="s">
        <v>3246</v>
      </c>
      <c r="BT316" s="50" t="s">
        <v>135</v>
      </c>
      <c r="BU316" s="50" t="s">
        <v>13894</v>
      </c>
      <c r="BV316" s="50" t="s">
        <v>3248</v>
      </c>
      <c r="BW316" s="50" t="s">
        <v>138</v>
      </c>
      <c r="BX316" s="50" t="s">
        <v>3249</v>
      </c>
      <c r="BY316" s="50" t="s">
        <v>3250</v>
      </c>
      <c r="BZ316" s="50" t="s">
        <v>3249</v>
      </c>
      <c r="CA316" s="50" t="s">
        <v>3248</v>
      </c>
      <c r="CB316" s="50" t="s">
        <v>3249</v>
      </c>
      <c r="CC316" s="50" t="s">
        <v>3250</v>
      </c>
      <c r="CD316" s="50" t="s">
        <v>13895</v>
      </c>
      <c r="CE316" s="50" t="s">
        <v>13896</v>
      </c>
      <c r="CF316" s="50" t="s">
        <v>13897</v>
      </c>
      <c r="CG316" s="50" t="s">
        <v>3251</v>
      </c>
      <c r="CH316" s="50" t="s">
        <v>13898</v>
      </c>
      <c r="CJ316" s="50" t="s">
        <v>3253</v>
      </c>
      <c r="CK316" s="50" t="s">
        <v>13898</v>
      </c>
      <c r="CL316" s="50" t="s">
        <v>3239</v>
      </c>
      <c r="CM316" s="50" t="s">
        <v>449</v>
      </c>
      <c r="CN316" s="50" t="s">
        <v>3253</v>
      </c>
      <c r="CP316" s="50" t="s">
        <v>3252</v>
      </c>
      <c r="CQ316" s="50" t="s">
        <v>3252</v>
      </c>
    </row>
    <row r="317" spans="1:96">
      <c r="A317" s="95" t="s">
        <v>26356</v>
      </c>
      <c r="B317" s="50">
        <v>5014602</v>
      </c>
      <c r="C317" s="50" t="s">
        <v>18599</v>
      </c>
      <c r="D317" s="50" t="s">
        <v>23438</v>
      </c>
      <c r="E317" s="50" t="e">
        <f>VLOOKUP(B317,aa!B:F,5,0)</f>
        <v>#N/A</v>
      </c>
      <c r="F317" s="50" t="e">
        <f>VLOOKUP(B317,aa!B:J,9,0)</f>
        <v>#N/A</v>
      </c>
      <c r="G317" s="50" t="e">
        <f>VLOOKUP(B317,aa!B:L,11,0)</f>
        <v>#N/A</v>
      </c>
      <c r="H317" s="50" t="e">
        <f>VLOOKUP(B317,aa!B:O,14,0)</f>
        <v>#N/A</v>
      </c>
      <c r="I317" s="50" t="e">
        <f>VLOOKUP(B317,aa!B:R,17,0)</f>
        <v>#N/A</v>
      </c>
      <c r="K317" s="50" t="s">
        <v>2884</v>
      </c>
      <c r="L317" s="50">
        <v>0</v>
      </c>
      <c r="M317" s="50">
        <v>0</v>
      </c>
      <c r="N317" s="50">
        <v>0</v>
      </c>
      <c r="O317" s="50">
        <v>309</v>
      </c>
      <c r="P317" s="50" t="s">
        <v>102</v>
      </c>
      <c r="Q317" s="50">
        <v>0</v>
      </c>
      <c r="R317" s="50">
        <v>354</v>
      </c>
      <c r="S317" s="50" t="s">
        <v>102</v>
      </c>
      <c r="T317" s="50">
        <v>0</v>
      </c>
      <c r="U317" s="50">
        <v>379</v>
      </c>
      <c r="V317" s="50" t="s">
        <v>102</v>
      </c>
      <c r="W317" s="50" t="s">
        <v>102</v>
      </c>
      <c r="X317" s="50" t="s">
        <v>275</v>
      </c>
      <c r="Z317" s="50" t="s">
        <v>18601</v>
      </c>
      <c r="AA317" s="50" t="s">
        <v>109</v>
      </c>
      <c r="AB317" s="50" t="s">
        <v>102</v>
      </c>
      <c r="AC317" s="50" t="s">
        <v>109</v>
      </c>
      <c r="AD317" s="50" t="s">
        <v>102</v>
      </c>
      <c r="AE317" s="50" t="s">
        <v>109</v>
      </c>
      <c r="AF317" s="50" t="s">
        <v>102</v>
      </c>
      <c r="AG317" s="50" t="s">
        <v>109</v>
      </c>
      <c r="AH317" s="50" t="s">
        <v>102</v>
      </c>
      <c r="AI317" s="50" t="s">
        <v>102</v>
      </c>
      <c r="AL317" s="50" t="s">
        <v>102</v>
      </c>
      <c r="AM317" s="50" t="s">
        <v>102</v>
      </c>
      <c r="AN317" s="50" t="s">
        <v>102</v>
      </c>
      <c r="AO317" s="50" t="s">
        <v>115</v>
      </c>
      <c r="AP317" s="50" t="s">
        <v>115</v>
      </c>
      <c r="AU317" s="50" t="s">
        <v>18576</v>
      </c>
      <c r="AV317" s="50" t="s">
        <v>250</v>
      </c>
      <c r="AW317" s="50" t="s">
        <v>155</v>
      </c>
      <c r="AX317" s="50" t="s">
        <v>119</v>
      </c>
      <c r="AZ317" s="50" t="s">
        <v>250</v>
      </c>
      <c r="BA317" s="50" t="s">
        <v>250</v>
      </c>
      <c r="BB317" s="50" t="s">
        <v>9282</v>
      </c>
      <c r="BC317" s="50" t="s">
        <v>18602</v>
      </c>
      <c r="BD317" s="50" t="s">
        <v>449</v>
      </c>
      <c r="BE317" s="50" t="s">
        <v>122</v>
      </c>
      <c r="BF317" s="50" t="s">
        <v>253</v>
      </c>
      <c r="BG317" s="50" t="s">
        <v>124</v>
      </c>
      <c r="BH317" s="50" t="s">
        <v>18603</v>
      </c>
      <c r="BI317" s="50" t="s">
        <v>12963</v>
      </c>
      <c r="BJ317" s="50" t="s">
        <v>127</v>
      </c>
      <c r="BK317" s="50" t="s">
        <v>18604</v>
      </c>
      <c r="BL317" s="50" t="s">
        <v>9284</v>
      </c>
      <c r="BM317" s="50" t="s">
        <v>18605</v>
      </c>
      <c r="BN317" s="50" t="s">
        <v>18600</v>
      </c>
      <c r="BO317" s="50" t="s">
        <v>3267</v>
      </c>
      <c r="BP317" s="50" t="s">
        <v>350</v>
      </c>
      <c r="BQ317" s="50" t="s">
        <v>3268</v>
      </c>
      <c r="BR317" s="50" t="s">
        <v>3269</v>
      </c>
      <c r="BS317" s="50" t="s">
        <v>135</v>
      </c>
      <c r="BU317" s="50" t="s">
        <v>18606</v>
      </c>
      <c r="BV317" s="50" t="s">
        <v>18607</v>
      </c>
      <c r="BW317" s="50" t="s">
        <v>354</v>
      </c>
      <c r="BX317" s="50" t="s">
        <v>18608</v>
      </c>
      <c r="BY317" s="50" t="s">
        <v>18609</v>
      </c>
      <c r="BZ317" s="50" t="s">
        <v>9287</v>
      </c>
      <c r="CA317" s="50" t="s">
        <v>18607</v>
      </c>
      <c r="CB317" s="50" t="s">
        <v>18608</v>
      </c>
      <c r="CC317" s="50" t="s">
        <v>18610</v>
      </c>
      <c r="CD317" s="50" t="s">
        <v>18607</v>
      </c>
      <c r="CE317" s="50" t="s">
        <v>18608</v>
      </c>
      <c r="CF317" s="50" t="s">
        <v>18610</v>
      </c>
      <c r="CG317" s="50" t="s">
        <v>102</v>
      </c>
      <c r="CH317" s="50" t="s">
        <v>18611</v>
      </c>
      <c r="CJ317" s="50" t="s">
        <v>9102</v>
      </c>
      <c r="CL317" s="50" t="s">
        <v>9290</v>
      </c>
      <c r="CM317" s="50" t="s">
        <v>449</v>
      </c>
      <c r="CN317" s="50" t="s">
        <v>9291</v>
      </c>
      <c r="CP317" s="50" t="s">
        <v>9288</v>
      </c>
      <c r="CQ317" s="50" t="s">
        <v>9289</v>
      </c>
    </row>
    <row r="318" spans="1:96">
      <c r="A318" s="50" t="s">
        <v>26356</v>
      </c>
      <c r="B318" s="50">
        <v>1933</v>
      </c>
      <c r="C318" s="50" t="s">
        <v>2525</v>
      </c>
      <c r="D318" s="50" t="s">
        <v>2249</v>
      </c>
      <c r="E318" s="50" t="e">
        <f>VLOOKUP(B318,aa!B:F,5,0)</f>
        <v>#N/A</v>
      </c>
      <c r="F318" s="50" t="e">
        <f>VLOOKUP(B318,aa!B:J,9,0)</f>
        <v>#N/A</v>
      </c>
      <c r="G318" s="50" t="e">
        <f>VLOOKUP(B318,aa!B:L,11,0)</f>
        <v>#N/A</v>
      </c>
      <c r="H318" s="50" t="e">
        <f>VLOOKUP(B318,aa!B:O,14,0)</f>
        <v>#N/A</v>
      </c>
      <c r="I318" s="50" t="e">
        <f>VLOOKUP(B318,aa!B:R,17,0)</f>
        <v>#N/A</v>
      </c>
      <c r="K318" s="50" t="s">
        <v>152</v>
      </c>
      <c r="L318" s="50">
        <v>1686539</v>
      </c>
      <c r="M318" s="50">
        <v>1686539</v>
      </c>
      <c r="N318" s="50">
        <v>0</v>
      </c>
      <c r="O318" s="50">
        <v>0</v>
      </c>
      <c r="Q318" s="50">
        <v>1686539</v>
      </c>
      <c r="R318" s="50">
        <v>992</v>
      </c>
      <c r="S318" s="50" t="s">
        <v>1469</v>
      </c>
      <c r="T318" s="50">
        <v>0</v>
      </c>
      <c r="U318" s="50">
        <v>0</v>
      </c>
      <c r="W318" s="50" t="s">
        <v>102</v>
      </c>
      <c r="X318" s="50" t="s">
        <v>103</v>
      </c>
      <c r="Y318" s="50" t="s">
        <v>104</v>
      </c>
      <c r="AA318" s="50" t="s">
        <v>7484</v>
      </c>
      <c r="AB318" s="50" t="s">
        <v>13187</v>
      </c>
      <c r="AC318" s="50" t="s">
        <v>12289</v>
      </c>
      <c r="AD318" s="50" t="s">
        <v>13187</v>
      </c>
      <c r="AE318" s="50" t="s">
        <v>109</v>
      </c>
      <c r="AF318" s="50" t="s">
        <v>102</v>
      </c>
      <c r="AG318" s="50" t="s">
        <v>109</v>
      </c>
      <c r="AH318" s="50" t="s">
        <v>102</v>
      </c>
      <c r="AI318" s="50" t="s">
        <v>13188</v>
      </c>
      <c r="AJ318" s="50" t="s">
        <v>12715</v>
      </c>
      <c r="AK318" s="50" t="s">
        <v>13189</v>
      </c>
      <c r="AL318" s="50" t="s">
        <v>13190</v>
      </c>
      <c r="AM318" s="50" t="s">
        <v>13191</v>
      </c>
      <c r="AN318" s="50" t="s">
        <v>13192</v>
      </c>
      <c r="AO318" s="50" t="s">
        <v>2257</v>
      </c>
      <c r="AP318" s="50" t="s">
        <v>13193</v>
      </c>
      <c r="AT318" s="50" t="s">
        <v>169</v>
      </c>
      <c r="AU318" s="50" t="s">
        <v>102</v>
      </c>
      <c r="AW318" s="50" t="s">
        <v>155</v>
      </c>
      <c r="AX318" s="50" t="s">
        <v>119</v>
      </c>
      <c r="AY318" s="50" t="s">
        <v>170</v>
      </c>
      <c r="AZ318" s="50" t="s">
        <v>118</v>
      </c>
      <c r="BB318" s="50" t="s">
        <v>1964</v>
      </c>
      <c r="BC318" s="50" t="s">
        <v>2258</v>
      </c>
      <c r="BD318" s="50" t="s">
        <v>730</v>
      </c>
      <c r="BE318" s="50" t="s">
        <v>622</v>
      </c>
      <c r="BF318" s="50" t="s">
        <v>730</v>
      </c>
      <c r="BG318" s="50" t="s">
        <v>124</v>
      </c>
      <c r="BH318" s="50" t="s">
        <v>11959</v>
      </c>
      <c r="BI318" s="50" t="s">
        <v>11960</v>
      </c>
      <c r="BJ318" s="50" t="s">
        <v>127</v>
      </c>
      <c r="BK318" s="50" t="s">
        <v>13194</v>
      </c>
      <c r="BL318" s="50" t="s">
        <v>2260</v>
      </c>
      <c r="BM318" s="50" t="s">
        <v>13195</v>
      </c>
      <c r="BN318" s="50" t="s">
        <v>13186</v>
      </c>
      <c r="BO318" s="50" t="s">
        <v>734</v>
      </c>
      <c r="BP318" s="50" t="s">
        <v>350</v>
      </c>
      <c r="BQ318" s="50" t="s">
        <v>735</v>
      </c>
      <c r="BR318" s="50" t="s">
        <v>736</v>
      </c>
      <c r="BS318" s="50" t="s">
        <v>737</v>
      </c>
      <c r="BU318" s="50" t="s">
        <v>13196</v>
      </c>
      <c r="BV318" s="50" t="s">
        <v>2266</v>
      </c>
      <c r="BW318" s="50" t="s">
        <v>598</v>
      </c>
      <c r="BX318" s="50" t="s">
        <v>2267</v>
      </c>
      <c r="BY318" s="50" t="s">
        <v>2268</v>
      </c>
      <c r="BZ318" s="50" t="s">
        <v>2269</v>
      </c>
      <c r="CA318" s="50" t="s">
        <v>2266</v>
      </c>
      <c r="CB318" s="50" t="s">
        <v>2267</v>
      </c>
      <c r="CC318" s="50" t="s">
        <v>2268</v>
      </c>
      <c r="CD318" s="50" t="s">
        <v>13197</v>
      </c>
      <c r="CE318" s="50" t="s">
        <v>13198</v>
      </c>
      <c r="CF318" s="50" t="s">
        <v>13199</v>
      </c>
      <c r="CG318" s="50" t="s">
        <v>2270</v>
      </c>
      <c r="CH318" s="50" t="s">
        <v>13200</v>
      </c>
      <c r="CJ318" s="50" t="s">
        <v>2272</v>
      </c>
      <c r="CK318" s="50" t="s">
        <v>13200</v>
      </c>
      <c r="CL318" s="50" t="s">
        <v>2258</v>
      </c>
      <c r="CM318" s="50" t="s">
        <v>2273</v>
      </c>
      <c r="CN318" s="50" t="s">
        <v>2272</v>
      </c>
      <c r="CO318" s="50" t="s">
        <v>2274</v>
      </c>
      <c r="CP318" s="50" t="s">
        <v>2271</v>
      </c>
      <c r="CQ318" s="50" t="s">
        <v>2271</v>
      </c>
    </row>
    <row r="319" spans="1:96">
      <c r="A319" s="95" t="s">
        <v>149</v>
      </c>
      <c r="B319" s="50">
        <v>1026343</v>
      </c>
      <c r="C319" s="50" t="s">
        <v>12018</v>
      </c>
      <c r="D319" s="50" t="s">
        <v>308</v>
      </c>
      <c r="E319" s="50" t="e">
        <f>VLOOKUP(B319,aa!B:F,5,0)</f>
        <v>#N/A</v>
      </c>
      <c r="F319" s="50" t="e">
        <f>VLOOKUP(B319,aa!B:J,9,0)</f>
        <v>#N/A</v>
      </c>
      <c r="G319" s="50" t="e">
        <f>VLOOKUP(B319,aa!B:L,11,0)</f>
        <v>#N/A</v>
      </c>
      <c r="H319" s="50" t="e">
        <f>VLOOKUP(B319,aa!B:O,14,0)</f>
        <v>#N/A</v>
      </c>
      <c r="I319" s="50" t="e">
        <f>VLOOKUP(B319,aa!B:R,17,0)</f>
        <v>#N/A</v>
      </c>
      <c r="K319" s="50" t="s">
        <v>97</v>
      </c>
      <c r="L319" s="50">
        <v>71400</v>
      </c>
      <c r="M319" s="50">
        <v>71400</v>
      </c>
      <c r="N319" s="50">
        <v>71400</v>
      </c>
      <c r="O319" s="50">
        <v>119</v>
      </c>
      <c r="P319" s="50" t="s">
        <v>310</v>
      </c>
      <c r="Q319" s="50">
        <v>0</v>
      </c>
      <c r="R319" s="50">
        <v>0</v>
      </c>
      <c r="T319" s="50">
        <v>0</v>
      </c>
      <c r="U319" s="50">
        <v>0</v>
      </c>
      <c r="W319" s="50" t="s">
        <v>102</v>
      </c>
      <c r="X319" s="50" t="s">
        <v>275</v>
      </c>
      <c r="Z319" s="50" t="s">
        <v>12019</v>
      </c>
      <c r="AA319" s="50" t="s">
        <v>109</v>
      </c>
      <c r="AB319" s="50" t="s">
        <v>102</v>
      </c>
      <c r="AC319" s="50" t="s">
        <v>109</v>
      </c>
      <c r="AD319" s="50" t="s">
        <v>102</v>
      </c>
      <c r="AE319" s="50" t="s">
        <v>109</v>
      </c>
      <c r="AF319" s="50" t="s">
        <v>102</v>
      </c>
      <c r="AG319" s="50" t="s">
        <v>109</v>
      </c>
      <c r="AH319" s="50" t="s">
        <v>102</v>
      </c>
      <c r="AI319" s="50" t="s">
        <v>102</v>
      </c>
      <c r="AJ319" s="50" t="s">
        <v>12020</v>
      </c>
      <c r="AK319" s="50" t="s">
        <v>12020</v>
      </c>
      <c r="AL319" s="50" t="s">
        <v>9118</v>
      </c>
      <c r="AM319" s="50" t="s">
        <v>12021</v>
      </c>
      <c r="AN319" s="50" t="s">
        <v>12022</v>
      </c>
      <c r="AO319" s="50" t="s">
        <v>317</v>
      </c>
      <c r="AP319" s="50" t="s">
        <v>317</v>
      </c>
      <c r="AU319" s="50" t="s">
        <v>318</v>
      </c>
      <c r="AV319" s="50" t="s">
        <v>118</v>
      </c>
      <c r="AW319" s="50" t="s">
        <v>102</v>
      </c>
      <c r="AX319" s="50" t="s">
        <v>119</v>
      </c>
      <c r="BB319" s="50" t="s">
        <v>120</v>
      </c>
      <c r="BC319" s="50" t="s">
        <v>319</v>
      </c>
      <c r="BD319" s="50" t="s">
        <v>320</v>
      </c>
      <c r="BE319" s="50" t="s">
        <v>122</v>
      </c>
      <c r="BF319" s="50" t="s">
        <v>123</v>
      </c>
      <c r="BG319" s="50" t="s">
        <v>124</v>
      </c>
      <c r="BH319" s="50" t="s">
        <v>12023</v>
      </c>
      <c r="BI319" s="50" t="s">
        <v>11889</v>
      </c>
      <c r="BJ319" s="50" t="s">
        <v>127</v>
      </c>
      <c r="BK319" s="50" t="s">
        <v>12024</v>
      </c>
      <c r="BL319" s="50" t="s">
        <v>323</v>
      </c>
      <c r="BM319" s="50" t="s">
        <v>12025</v>
      </c>
      <c r="BN319" s="50" t="s">
        <v>8537</v>
      </c>
      <c r="BO319" s="50" t="s">
        <v>593</v>
      </c>
      <c r="BP319" s="50" t="s">
        <v>350</v>
      </c>
      <c r="BQ319" s="50" t="s">
        <v>594</v>
      </c>
      <c r="BR319" s="50" t="s">
        <v>595</v>
      </c>
      <c r="BS319" s="50" t="s">
        <v>328</v>
      </c>
      <c r="BU319" s="50" t="s">
        <v>12026</v>
      </c>
      <c r="BV319" s="50" t="s">
        <v>6234</v>
      </c>
      <c r="BW319" s="50" t="s">
        <v>354</v>
      </c>
      <c r="BX319" s="50" t="s">
        <v>6235</v>
      </c>
      <c r="BY319" s="50" t="s">
        <v>6236</v>
      </c>
      <c r="BZ319" s="50" t="s">
        <v>333</v>
      </c>
      <c r="CA319" s="50" t="s">
        <v>6234</v>
      </c>
      <c r="CB319" s="50" t="s">
        <v>6235</v>
      </c>
      <c r="CC319" s="50" t="s">
        <v>6236</v>
      </c>
      <c r="CD319" s="50" t="s">
        <v>12027</v>
      </c>
      <c r="CE319" s="50" t="s">
        <v>6235</v>
      </c>
      <c r="CF319" s="50" t="s">
        <v>12028</v>
      </c>
      <c r="CG319" s="50" t="s">
        <v>334</v>
      </c>
      <c r="CH319" s="50" t="s">
        <v>335</v>
      </c>
      <c r="CJ319" s="50" t="s">
        <v>336</v>
      </c>
      <c r="CK319" s="50" t="s">
        <v>12029</v>
      </c>
      <c r="CL319" s="50" t="s">
        <v>319</v>
      </c>
      <c r="CM319" s="50" t="s">
        <v>320</v>
      </c>
      <c r="CN319" s="50" t="s">
        <v>336</v>
      </c>
      <c r="CP319" s="50" t="s">
        <v>335</v>
      </c>
      <c r="CQ319" s="50" t="s">
        <v>335</v>
      </c>
    </row>
    <row r="320" spans="1:96">
      <c r="A320" s="95" t="s">
        <v>149</v>
      </c>
      <c r="B320" s="50">
        <v>3472778</v>
      </c>
      <c r="C320" s="50" t="s">
        <v>12018</v>
      </c>
      <c r="D320" s="50" t="s">
        <v>6224</v>
      </c>
      <c r="E320" s="50" t="e">
        <f>VLOOKUP(B320,aa!B:F,5,0)</f>
        <v>#N/A</v>
      </c>
      <c r="F320" s="50" t="e">
        <f>VLOOKUP(B320,aa!B:J,9,0)</f>
        <v>#N/A</v>
      </c>
      <c r="G320" s="50" t="e">
        <f>VLOOKUP(B320,aa!B:L,11,0)</f>
        <v>#N/A</v>
      </c>
      <c r="H320" s="50" t="e">
        <f>VLOOKUP(B320,aa!B:O,14,0)</f>
        <v>#N/A</v>
      </c>
      <c r="I320" s="50" t="e">
        <f>VLOOKUP(B320,aa!B:R,17,0)</f>
        <v>#N/A</v>
      </c>
      <c r="K320" s="50" t="s">
        <v>97</v>
      </c>
      <c r="L320" s="50">
        <v>561000</v>
      </c>
      <c r="M320" s="50">
        <v>561000</v>
      </c>
      <c r="N320" s="50">
        <v>561000</v>
      </c>
      <c r="O320" s="50">
        <v>935</v>
      </c>
      <c r="P320" s="50" t="s">
        <v>310</v>
      </c>
      <c r="Q320" s="50">
        <v>0</v>
      </c>
      <c r="R320" s="50">
        <v>0</v>
      </c>
      <c r="T320" s="50">
        <v>0</v>
      </c>
      <c r="U320" s="50">
        <v>0</v>
      </c>
      <c r="W320" s="50" t="s">
        <v>102</v>
      </c>
      <c r="X320" s="50" t="s">
        <v>275</v>
      </c>
      <c r="Z320" s="50" t="s">
        <v>12019</v>
      </c>
      <c r="AA320" s="50" t="s">
        <v>109</v>
      </c>
      <c r="AB320" s="50" t="s">
        <v>102</v>
      </c>
      <c r="AC320" s="50" t="s">
        <v>109</v>
      </c>
      <c r="AD320" s="50" t="s">
        <v>102</v>
      </c>
      <c r="AE320" s="50" t="s">
        <v>109</v>
      </c>
      <c r="AF320" s="50" t="s">
        <v>102</v>
      </c>
      <c r="AG320" s="50" t="s">
        <v>109</v>
      </c>
      <c r="AH320" s="50" t="s">
        <v>102</v>
      </c>
      <c r="AI320" s="50" t="s">
        <v>102</v>
      </c>
      <c r="AJ320" s="50" t="s">
        <v>16162</v>
      </c>
      <c r="AK320" s="50" t="s">
        <v>16162</v>
      </c>
      <c r="AL320" s="50" t="s">
        <v>16163</v>
      </c>
      <c r="AM320" s="50" t="s">
        <v>16164</v>
      </c>
      <c r="AN320" s="50" t="s">
        <v>16165</v>
      </c>
      <c r="AO320" s="50" t="s">
        <v>317</v>
      </c>
      <c r="AP320" s="50" t="s">
        <v>317</v>
      </c>
      <c r="AU320" s="50" t="s">
        <v>318</v>
      </c>
      <c r="AV320" s="50" t="s">
        <v>118</v>
      </c>
      <c r="AW320" s="50" t="s">
        <v>102</v>
      </c>
      <c r="AX320" s="50" t="s">
        <v>119</v>
      </c>
      <c r="BB320" s="50" t="s">
        <v>120</v>
      </c>
      <c r="BC320" s="50" t="s">
        <v>319</v>
      </c>
      <c r="BD320" s="50" t="s">
        <v>320</v>
      </c>
      <c r="BE320" s="50" t="s">
        <v>122</v>
      </c>
      <c r="BF320" s="50" t="s">
        <v>123</v>
      </c>
      <c r="BG320" s="50" t="s">
        <v>124</v>
      </c>
      <c r="BH320" s="50" t="s">
        <v>12023</v>
      </c>
      <c r="BI320" s="50" t="s">
        <v>11889</v>
      </c>
      <c r="BJ320" s="50" t="s">
        <v>127</v>
      </c>
      <c r="BK320" s="50" t="s">
        <v>16166</v>
      </c>
      <c r="BL320" s="50" t="s">
        <v>6231</v>
      </c>
      <c r="BM320" s="50" t="s">
        <v>16167</v>
      </c>
      <c r="BN320" s="50" t="s">
        <v>8537</v>
      </c>
      <c r="BO320" s="50" t="s">
        <v>593</v>
      </c>
      <c r="BP320" s="50" t="s">
        <v>350</v>
      </c>
      <c r="BQ320" s="50" t="s">
        <v>594</v>
      </c>
      <c r="BR320" s="50" t="s">
        <v>595</v>
      </c>
      <c r="BS320" s="50" t="s">
        <v>328</v>
      </c>
      <c r="BU320" s="50" t="s">
        <v>16168</v>
      </c>
      <c r="BV320" s="50" t="s">
        <v>6234</v>
      </c>
      <c r="BW320" s="50" t="s">
        <v>354</v>
      </c>
      <c r="BX320" s="50" t="s">
        <v>6235</v>
      </c>
      <c r="BY320" s="50" t="s">
        <v>6236</v>
      </c>
      <c r="BZ320" s="50" t="s">
        <v>6235</v>
      </c>
      <c r="CA320" s="50" t="s">
        <v>6234</v>
      </c>
      <c r="CB320" s="50" t="s">
        <v>6235</v>
      </c>
      <c r="CC320" s="50" t="s">
        <v>6236</v>
      </c>
      <c r="CD320" s="50" t="s">
        <v>12027</v>
      </c>
      <c r="CE320" s="50" t="s">
        <v>6235</v>
      </c>
      <c r="CF320" s="50" t="s">
        <v>12028</v>
      </c>
      <c r="CG320" s="50" t="s">
        <v>1594</v>
      </c>
      <c r="CH320" s="50" t="s">
        <v>6237</v>
      </c>
      <c r="CJ320" s="50" t="s">
        <v>6238</v>
      </c>
      <c r="CK320" s="50" t="s">
        <v>16169</v>
      </c>
      <c r="CL320" s="50" t="s">
        <v>319</v>
      </c>
      <c r="CM320" s="50" t="s">
        <v>320</v>
      </c>
      <c r="CN320" s="50" t="s">
        <v>6238</v>
      </c>
      <c r="CP320" s="50" t="s">
        <v>6237</v>
      </c>
      <c r="CQ320" s="50" t="s">
        <v>6237</v>
      </c>
    </row>
    <row r="321" spans="1:96">
      <c r="A321" s="95" t="s">
        <v>149</v>
      </c>
      <c r="B321" s="50">
        <v>3999496</v>
      </c>
      <c r="C321" s="50" t="s">
        <v>11898</v>
      </c>
      <c r="D321" s="50" t="s">
        <v>8465</v>
      </c>
      <c r="E321" s="50" t="str">
        <f>VLOOKUP(B321,aa!B:F,5,0)</f>
        <v>Ei ASSET,Ei CARES</v>
      </c>
      <c r="F321" s="50">
        <f>VLOOKUP(B321,aa!B:J,9,0)</f>
        <v>614439</v>
      </c>
      <c r="G321" s="50">
        <f>VLOOKUP(B321,aa!B:L,11,0)</f>
        <v>224795</v>
      </c>
      <c r="H321" s="50">
        <f>VLOOKUP(B321,aa!B:O,14,0)</f>
        <v>389644</v>
      </c>
      <c r="I321" s="50">
        <f>VLOOKUP(B321,aa!B:R,17,0)</f>
        <v>0</v>
      </c>
      <c r="K321" s="50" t="s">
        <v>2044</v>
      </c>
      <c r="L321" s="50">
        <v>565818</v>
      </c>
      <c r="M321" s="50">
        <v>565818</v>
      </c>
      <c r="N321" s="50">
        <v>207296</v>
      </c>
      <c r="O321" s="50">
        <v>454</v>
      </c>
      <c r="P321" s="50" t="s">
        <v>17843</v>
      </c>
      <c r="Q321" s="50">
        <v>358522</v>
      </c>
      <c r="R321" s="50">
        <v>453</v>
      </c>
      <c r="S321" s="50" t="s">
        <v>15401</v>
      </c>
      <c r="T321" s="50">
        <v>0</v>
      </c>
      <c r="U321" s="50">
        <v>0</v>
      </c>
      <c r="W321" s="50" t="s">
        <v>102</v>
      </c>
      <c r="X321" s="50" t="s">
        <v>103</v>
      </c>
      <c r="Y321" s="50" t="s">
        <v>155</v>
      </c>
      <c r="AA321" s="50" t="s">
        <v>15564</v>
      </c>
      <c r="AB321" s="50" t="s">
        <v>17844</v>
      </c>
      <c r="AC321" s="50" t="s">
        <v>13174</v>
      </c>
      <c r="AD321" s="50" t="s">
        <v>17844</v>
      </c>
      <c r="AE321" s="50" t="s">
        <v>13034</v>
      </c>
      <c r="AF321" s="50" t="s">
        <v>17844</v>
      </c>
      <c r="AG321" s="50" t="s">
        <v>3849</v>
      </c>
      <c r="AH321" s="50" t="s">
        <v>17844</v>
      </c>
      <c r="AI321" s="50" t="s">
        <v>102</v>
      </c>
      <c r="AJ321" s="50" t="s">
        <v>11929</v>
      </c>
      <c r="AK321" s="50" t="s">
        <v>17302</v>
      </c>
      <c r="AL321" s="50" t="s">
        <v>17845</v>
      </c>
      <c r="AM321" s="50" t="s">
        <v>17846</v>
      </c>
      <c r="AN321" s="50" t="s">
        <v>17847</v>
      </c>
      <c r="AO321" s="50" t="s">
        <v>17848</v>
      </c>
      <c r="AP321" s="50" t="s">
        <v>17848</v>
      </c>
      <c r="AU321" s="50" t="s">
        <v>318</v>
      </c>
      <c r="AV321" s="50" t="s">
        <v>118</v>
      </c>
      <c r="AW321" s="50" t="s">
        <v>155</v>
      </c>
      <c r="AX321" s="50" t="s">
        <v>447</v>
      </c>
      <c r="AY321" s="50" t="s">
        <v>170</v>
      </c>
      <c r="AZ321" s="50" t="s">
        <v>118</v>
      </c>
      <c r="BB321" s="50" t="s">
        <v>120</v>
      </c>
      <c r="BC321" s="50" t="s">
        <v>4644</v>
      </c>
      <c r="BD321" s="50" t="s">
        <v>320</v>
      </c>
      <c r="BE321" s="50" t="s">
        <v>122</v>
      </c>
      <c r="BF321" s="50" t="s">
        <v>123</v>
      </c>
      <c r="BG321" s="50" t="s">
        <v>124</v>
      </c>
      <c r="BH321" s="50" t="s">
        <v>12023</v>
      </c>
      <c r="BI321" s="50" t="s">
        <v>11889</v>
      </c>
      <c r="BJ321" s="50" t="s">
        <v>127</v>
      </c>
      <c r="BK321" s="50" t="s">
        <v>17849</v>
      </c>
      <c r="BL321" s="50" t="s">
        <v>8475</v>
      </c>
      <c r="BM321" s="50" t="s">
        <v>17850</v>
      </c>
      <c r="BN321" s="50" t="s">
        <v>8537</v>
      </c>
      <c r="BO321" s="50" t="s">
        <v>593</v>
      </c>
      <c r="BP321" s="50" t="s">
        <v>505</v>
      </c>
      <c r="BQ321" s="50" t="s">
        <v>594</v>
      </c>
      <c r="BR321" s="50" t="s">
        <v>595</v>
      </c>
      <c r="BS321" s="50" t="s">
        <v>261</v>
      </c>
      <c r="BU321" s="50" t="s">
        <v>17851</v>
      </c>
      <c r="BV321" s="50" t="s">
        <v>8478</v>
      </c>
      <c r="BW321" s="50" t="s">
        <v>354</v>
      </c>
      <c r="BX321" s="50" t="s">
        <v>8479</v>
      </c>
      <c r="BY321" s="50" t="s">
        <v>8480</v>
      </c>
      <c r="BZ321" s="50" t="s">
        <v>8481</v>
      </c>
      <c r="CA321" s="50" t="s">
        <v>8478</v>
      </c>
      <c r="CB321" s="50" t="s">
        <v>8479</v>
      </c>
      <c r="CC321" s="50" t="s">
        <v>8480</v>
      </c>
      <c r="CD321" s="50" t="s">
        <v>17852</v>
      </c>
      <c r="CE321" s="50" t="s">
        <v>17853</v>
      </c>
      <c r="CF321" s="50" t="s">
        <v>17854</v>
      </c>
      <c r="CG321" s="50" t="s">
        <v>102</v>
      </c>
      <c r="CH321" s="50" t="s">
        <v>8482</v>
      </c>
      <c r="CJ321" s="50" t="s">
        <v>4655</v>
      </c>
      <c r="CL321" s="50" t="s">
        <v>4644</v>
      </c>
      <c r="CM321" s="50" t="s">
        <v>320</v>
      </c>
      <c r="CN321" s="50" t="s">
        <v>4655</v>
      </c>
      <c r="CP321" s="50" t="s">
        <v>8482</v>
      </c>
      <c r="CQ321" s="50" t="s">
        <v>8482</v>
      </c>
    </row>
    <row r="322" spans="1:96">
      <c r="A322" s="95" t="s">
        <v>26356</v>
      </c>
      <c r="B322" s="50">
        <v>5018143</v>
      </c>
      <c r="C322" s="50" t="s">
        <v>11995</v>
      </c>
      <c r="D322" s="50" t="s">
        <v>10481</v>
      </c>
      <c r="E322" s="50" t="e">
        <f>VLOOKUP(B322,aa!B:F,5,0)</f>
        <v>#N/A</v>
      </c>
      <c r="F322" s="50" t="e">
        <f>VLOOKUP(B322,aa!B:J,9,0)</f>
        <v>#N/A</v>
      </c>
      <c r="G322" s="50" t="e">
        <f>VLOOKUP(B322,aa!B:L,11,0)</f>
        <v>#N/A</v>
      </c>
      <c r="H322" s="50" t="e">
        <f>VLOOKUP(B322,aa!B:O,14,0)</f>
        <v>#N/A</v>
      </c>
      <c r="I322" s="50" t="e">
        <f>VLOOKUP(B322,aa!B:R,17,0)</f>
        <v>#N/A</v>
      </c>
      <c r="K322" s="50" t="s">
        <v>1746</v>
      </c>
      <c r="L322" s="50">
        <v>0</v>
      </c>
      <c r="M322" s="50">
        <v>0</v>
      </c>
      <c r="N322" s="50">
        <v>0</v>
      </c>
      <c r="O322" s="50">
        <v>186</v>
      </c>
      <c r="P322" s="50" t="s">
        <v>102</v>
      </c>
      <c r="Q322" s="50">
        <v>0</v>
      </c>
      <c r="R322" s="50">
        <v>186</v>
      </c>
      <c r="S322" s="50" t="s">
        <v>102</v>
      </c>
      <c r="T322" s="50">
        <v>0</v>
      </c>
      <c r="U322" s="50">
        <v>256</v>
      </c>
      <c r="V322" s="50" t="s">
        <v>102</v>
      </c>
      <c r="W322" s="50" t="s">
        <v>102</v>
      </c>
      <c r="X322" s="50" t="s">
        <v>275</v>
      </c>
      <c r="Z322" s="50" t="s">
        <v>8537</v>
      </c>
      <c r="AA322" s="50" t="s">
        <v>109</v>
      </c>
      <c r="AB322" s="50" t="s">
        <v>102</v>
      </c>
      <c r="AC322" s="50" t="s">
        <v>109</v>
      </c>
      <c r="AD322" s="50" t="s">
        <v>102</v>
      </c>
      <c r="AE322" s="50" t="s">
        <v>109</v>
      </c>
      <c r="AF322" s="50" t="s">
        <v>102</v>
      </c>
      <c r="AG322" s="50" t="s">
        <v>109</v>
      </c>
      <c r="AH322" s="50" t="s">
        <v>102</v>
      </c>
      <c r="AI322" s="50" t="s">
        <v>102</v>
      </c>
      <c r="AL322" s="50" t="s">
        <v>102</v>
      </c>
      <c r="AM322" s="50" t="s">
        <v>102</v>
      </c>
      <c r="AN322" s="50" t="s">
        <v>102</v>
      </c>
      <c r="AO322" s="50" t="s">
        <v>115</v>
      </c>
      <c r="AP322" s="50" t="s">
        <v>115</v>
      </c>
      <c r="AU322" s="50" t="s">
        <v>6700</v>
      </c>
      <c r="AV322" s="50" t="s">
        <v>250</v>
      </c>
      <c r="AW322" s="50" t="s">
        <v>104</v>
      </c>
      <c r="AX322" s="50" t="s">
        <v>119</v>
      </c>
      <c r="AZ322" s="50" t="s">
        <v>250</v>
      </c>
      <c r="BA322" s="50" t="s">
        <v>250</v>
      </c>
      <c r="BB322" s="50" t="s">
        <v>209</v>
      </c>
      <c r="BC322" s="50" t="s">
        <v>284</v>
      </c>
      <c r="BD322" s="50" t="s">
        <v>285</v>
      </c>
      <c r="BE322" s="50" t="s">
        <v>212</v>
      </c>
      <c r="BF322" s="50" t="s">
        <v>286</v>
      </c>
      <c r="BG322" s="50" t="s">
        <v>124</v>
      </c>
      <c r="BH322" s="50" t="s">
        <v>11959</v>
      </c>
      <c r="BI322" s="50" t="s">
        <v>12047</v>
      </c>
      <c r="BJ322" s="50" t="s">
        <v>127</v>
      </c>
      <c r="BK322" s="50" t="s">
        <v>19397</v>
      </c>
      <c r="BL322" s="50" t="s">
        <v>10484</v>
      </c>
      <c r="BM322" s="50" t="s">
        <v>19398</v>
      </c>
      <c r="BN322" s="50" t="s">
        <v>8537</v>
      </c>
      <c r="BO322" s="50" t="s">
        <v>956</v>
      </c>
      <c r="BP322" s="50" t="s">
        <v>258</v>
      </c>
      <c r="BQ322" s="50" t="s">
        <v>958</v>
      </c>
      <c r="BR322" s="50" t="s">
        <v>959</v>
      </c>
      <c r="BS322" s="50" t="s">
        <v>4765</v>
      </c>
      <c r="BU322" s="50" t="s">
        <v>19399</v>
      </c>
      <c r="BV322" s="50" t="s">
        <v>3585</v>
      </c>
      <c r="BW322" s="50" t="s">
        <v>598</v>
      </c>
      <c r="BX322" s="50" t="s">
        <v>225</v>
      </c>
      <c r="BY322" s="50" t="s">
        <v>226</v>
      </c>
      <c r="CA322" s="50" t="s">
        <v>10476</v>
      </c>
      <c r="CB322" s="50" t="s">
        <v>19395</v>
      </c>
      <c r="CC322" s="50" t="s">
        <v>10477</v>
      </c>
      <c r="CD322" s="50" t="s">
        <v>10476</v>
      </c>
      <c r="CE322" s="50" t="s">
        <v>19395</v>
      </c>
      <c r="CF322" s="50" t="s">
        <v>10477</v>
      </c>
      <c r="CG322" s="50" t="s">
        <v>102</v>
      </c>
      <c r="CH322" s="50" t="s">
        <v>19396</v>
      </c>
      <c r="CJ322" s="50" t="s">
        <v>10479</v>
      </c>
      <c r="CL322" s="50" t="s">
        <v>284</v>
      </c>
      <c r="CM322" s="50" t="s">
        <v>285</v>
      </c>
      <c r="CN322" s="50" t="s">
        <v>10479</v>
      </c>
      <c r="CP322" s="50" t="s">
        <v>10480</v>
      </c>
      <c r="CQ322" s="50" t="s">
        <v>10480</v>
      </c>
      <c r="CR322" s="50" t="s">
        <v>26048</v>
      </c>
    </row>
    <row r="323" spans="1:96">
      <c r="A323" s="95" t="s">
        <v>149</v>
      </c>
      <c r="B323" s="50">
        <v>547865</v>
      </c>
      <c r="C323" s="50" t="s">
        <v>12018</v>
      </c>
      <c r="D323" s="50" t="s">
        <v>21082</v>
      </c>
      <c r="E323" s="50" t="e">
        <f>VLOOKUP(B323,aa!B:F,5,0)</f>
        <v>#N/A</v>
      </c>
      <c r="F323" s="50" t="e">
        <f>VLOOKUP(B323,aa!B:J,9,0)</f>
        <v>#N/A</v>
      </c>
      <c r="G323" s="50" t="e">
        <f>VLOOKUP(B323,aa!B:L,11,0)</f>
        <v>#N/A</v>
      </c>
      <c r="H323" s="50" t="e">
        <f>VLOOKUP(B323,aa!B:O,14,0)</f>
        <v>#N/A</v>
      </c>
      <c r="I323" s="50" t="e">
        <f>VLOOKUP(B323,aa!B:R,17,0)</f>
        <v>#N/A</v>
      </c>
      <c r="K323" s="50" t="s">
        <v>97</v>
      </c>
      <c r="L323" s="50">
        <v>622318</v>
      </c>
      <c r="M323" s="50">
        <v>622318</v>
      </c>
      <c r="N323" s="50">
        <v>622318</v>
      </c>
      <c r="O323" s="50">
        <v>535</v>
      </c>
      <c r="P323" s="50" t="s">
        <v>21083</v>
      </c>
      <c r="Q323" s="50">
        <v>0</v>
      </c>
      <c r="R323" s="50">
        <v>0</v>
      </c>
      <c r="T323" s="50">
        <v>0</v>
      </c>
      <c r="U323" s="50">
        <v>0</v>
      </c>
      <c r="W323" s="50" t="s">
        <v>102</v>
      </c>
      <c r="X323" s="50" t="s">
        <v>103</v>
      </c>
      <c r="Y323" s="50" t="s">
        <v>104</v>
      </c>
      <c r="AA323" s="50" t="s">
        <v>13529</v>
      </c>
      <c r="AB323" s="50" t="s">
        <v>21084</v>
      </c>
      <c r="AC323" s="50" t="s">
        <v>15295</v>
      </c>
      <c r="AD323" s="50" t="s">
        <v>21085</v>
      </c>
      <c r="AE323" s="50" t="s">
        <v>109</v>
      </c>
      <c r="AF323" s="50" t="s">
        <v>102</v>
      </c>
      <c r="AG323" s="50" t="s">
        <v>109</v>
      </c>
      <c r="AH323" s="50" t="s">
        <v>102</v>
      </c>
      <c r="AI323" s="50" t="s">
        <v>102</v>
      </c>
      <c r="AL323" s="50" t="s">
        <v>21086</v>
      </c>
      <c r="AM323" s="50" t="s">
        <v>102</v>
      </c>
      <c r="AN323" s="50" t="s">
        <v>21086</v>
      </c>
      <c r="AO323" s="50" t="s">
        <v>13193</v>
      </c>
      <c r="AP323" s="50" t="s">
        <v>13193</v>
      </c>
      <c r="AU323" s="50" t="s">
        <v>318</v>
      </c>
      <c r="AV323" s="50" t="s">
        <v>118</v>
      </c>
      <c r="AW323" s="50" t="s">
        <v>102</v>
      </c>
      <c r="AX323" s="50" t="s">
        <v>119</v>
      </c>
      <c r="BB323" s="50" t="s">
        <v>120</v>
      </c>
      <c r="BC323" s="50" t="s">
        <v>11027</v>
      </c>
      <c r="BD323" s="50" t="s">
        <v>345</v>
      </c>
      <c r="BE323" s="50" t="s">
        <v>122</v>
      </c>
      <c r="BF323" s="50" t="s">
        <v>346</v>
      </c>
      <c r="BG323" s="50" t="s">
        <v>124</v>
      </c>
      <c r="BH323" s="50" t="s">
        <v>12023</v>
      </c>
      <c r="BI323" s="50" t="s">
        <v>11889</v>
      </c>
      <c r="BJ323" s="50" t="s">
        <v>127</v>
      </c>
      <c r="BK323" s="50" t="s">
        <v>21087</v>
      </c>
      <c r="BL323" s="50" t="s">
        <v>11031</v>
      </c>
      <c r="BM323" s="50" t="s">
        <v>21088</v>
      </c>
      <c r="BN323" s="50" t="s">
        <v>8537</v>
      </c>
      <c r="BO323" s="50" t="s">
        <v>593</v>
      </c>
      <c r="BP323" s="50" t="s">
        <v>350</v>
      </c>
      <c r="BQ323" s="50" t="s">
        <v>594</v>
      </c>
      <c r="BR323" s="50" t="s">
        <v>595</v>
      </c>
      <c r="BS323" s="50" t="s">
        <v>328</v>
      </c>
      <c r="BU323" s="50" t="s">
        <v>21089</v>
      </c>
      <c r="BV323" s="50" t="s">
        <v>11041</v>
      </c>
      <c r="BW323" s="50" t="s">
        <v>598</v>
      </c>
      <c r="BX323" s="50" t="s">
        <v>11040</v>
      </c>
      <c r="BY323" s="50" t="s">
        <v>11042</v>
      </c>
      <c r="BZ323" s="50" t="s">
        <v>11040</v>
      </c>
      <c r="CA323" s="50" t="s">
        <v>21090</v>
      </c>
      <c r="CB323" s="50" t="s">
        <v>11040</v>
      </c>
      <c r="CC323" s="50" t="s">
        <v>11042</v>
      </c>
      <c r="CD323" s="50" t="s">
        <v>11041</v>
      </c>
      <c r="CE323" s="50" t="s">
        <v>11040</v>
      </c>
      <c r="CF323" s="50" t="s">
        <v>11042</v>
      </c>
      <c r="CG323" s="50" t="s">
        <v>11043</v>
      </c>
      <c r="CH323" s="50" t="s">
        <v>21091</v>
      </c>
      <c r="CJ323" s="50" t="s">
        <v>11045</v>
      </c>
      <c r="CK323" s="50" t="s">
        <v>11044</v>
      </c>
      <c r="CL323" s="50" t="s">
        <v>11027</v>
      </c>
      <c r="CM323" s="50" t="s">
        <v>345</v>
      </c>
      <c r="CN323" s="50" t="s">
        <v>11045</v>
      </c>
      <c r="CO323" s="50" t="s">
        <v>11046</v>
      </c>
      <c r="CP323" s="50" t="s">
        <v>11044</v>
      </c>
      <c r="CQ323" s="50" t="s">
        <v>11044</v>
      </c>
    </row>
    <row r="324" spans="1:96">
      <c r="A324" s="95" t="s">
        <v>149</v>
      </c>
      <c r="B324" s="50">
        <v>169040</v>
      </c>
      <c r="C324" s="50" t="s">
        <v>12058</v>
      </c>
      <c r="D324" s="50" t="s">
        <v>1517</v>
      </c>
      <c r="E324" s="50" t="e">
        <f>VLOOKUP(B324,aa!B:F,5,0)</f>
        <v>#N/A</v>
      </c>
      <c r="F324" s="50" t="e">
        <f>VLOOKUP(B324,aa!B:J,9,0)</f>
        <v>#N/A</v>
      </c>
      <c r="G324" s="50" t="e">
        <f>VLOOKUP(B324,aa!B:L,11,0)</f>
        <v>#N/A</v>
      </c>
      <c r="H324" s="50" t="e">
        <f>VLOOKUP(B324,aa!B:O,14,0)</f>
        <v>#N/A</v>
      </c>
      <c r="I324" s="50" t="e">
        <f>VLOOKUP(B324,aa!B:R,17,0)</f>
        <v>#N/A</v>
      </c>
      <c r="K324" s="50" t="s">
        <v>152</v>
      </c>
      <c r="L324" s="50">
        <v>670814</v>
      </c>
      <c r="M324" s="50">
        <v>670814</v>
      </c>
      <c r="N324" s="50">
        <v>0</v>
      </c>
      <c r="O324" s="50">
        <v>0</v>
      </c>
      <c r="Q324" s="50">
        <v>670814</v>
      </c>
      <c r="R324" s="50">
        <v>445</v>
      </c>
      <c r="S324" s="50" t="s">
        <v>12779</v>
      </c>
      <c r="T324" s="50">
        <v>0</v>
      </c>
      <c r="U324" s="50">
        <v>0</v>
      </c>
      <c r="W324" s="50" t="s">
        <v>102</v>
      </c>
      <c r="X324" s="50" t="s">
        <v>103</v>
      </c>
      <c r="Y324" s="50" t="s">
        <v>155</v>
      </c>
      <c r="AA324" s="50" t="s">
        <v>11959</v>
      </c>
      <c r="AB324" s="50" t="s">
        <v>12780</v>
      </c>
      <c r="AC324" s="50" t="s">
        <v>12781</v>
      </c>
      <c r="AD324" s="50" t="s">
        <v>12780</v>
      </c>
      <c r="AE324" s="50" t="s">
        <v>12782</v>
      </c>
      <c r="AF324" s="50" t="s">
        <v>12780</v>
      </c>
      <c r="AG324" s="50" t="s">
        <v>11886</v>
      </c>
      <c r="AH324" s="50" t="s">
        <v>12780</v>
      </c>
      <c r="AI324" s="50" t="s">
        <v>102</v>
      </c>
      <c r="AJ324" s="50" t="s">
        <v>12783</v>
      </c>
      <c r="AK324" s="50" t="s">
        <v>12783</v>
      </c>
      <c r="AL324" s="50" t="s">
        <v>12784</v>
      </c>
      <c r="AM324" s="50" t="s">
        <v>12785</v>
      </c>
      <c r="AN324" s="50" t="s">
        <v>12786</v>
      </c>
      <c r="AO324" s="50" t="s">
        <v>12787</v>
      </c>
      <c r="AP324" s="50" t="s">
        <v>12787</v>
      </c>
      <c r="AU324" s="50" t="s">
        <v>102</v>
      </c>
      <c r="AW324" s="50" t="s">
        <v>3536</v>
      </c>
      <c r="AX324" s="50" t="s">
        <v>119</v>
      </c>
      <c r="AY324" s="50" t="s">
        <v>170</v>
      </c>
      <c r="AZ324" s="50" t="s">
        <v>118</v>
      </c>
      <c r="BB324" s="50" t="s">
        <v>171</v>
      </c>
      <c r="BC324" s="50" t="s">
        <v>375</v>
      </c>
      <c r="BD324" s="50" t="s">
        <v>376</v>
      </c>
      <c r="BE324" s="50" t="s">
        <v>174</v>
      </c>
      <c r="BF324" s="50" t="s">
        <v>376</v>
      </c>
      <c r="BG324" s="50" t="s">
        <v>124</v>
      </c>
      <c r="BH324" s="50" t="s">
        <v>11938</v>
      </c>
      <c r="BI324" s="50" t="s">
        <v>12788</v>
      </c>
      <c r="BJ324" s="50" t="s">
        <v>127</v>
      </c>
      <c r="BK324" s="50" t="s">
        <v>12789</v>
      </c>
      <c r="BL324" s="50" t="s">
        <v>1531</v>
      </c>
      <c r="BM324" s="50" t="s">
        <v>12790</v>
      </c>
      <c r="BN324" s="50" t="s">
        <v>11938</v>
      </c>
      <c r="BO324" s="50" t="s">
        <v>12071</v>
      </c>
      <c r="BP324" s="50" t="s">
        <v>180</v>
      </c>
      <c r="BQ324" s="50" t="s">
        <v>12072</v>
      </c>
      <c r="BR324" s="50" t="s">
        <v>12073</v>
      </c>
      <c r="BS324" s="50" t="s">
        <v>183</v>
      </c>
      <c r="BU324" s="50" t="s">
        <v>12791</v>
      </c>
      <c r="BV324" s="50" t="s">
        <v>12792</v>
      </c>
      <c r="BW324" s="50" t="s">
        <v>138</v>
      </c>
      <c r="BX324" s="50" t="s">
        <v>1536</v>
      </c>
      <c r="BY324" s="50" t="s">
        <v>1537</v>
      </c>
      <c r="BZ324" s="50" t="s">
        <v>1536</v>
      </c>
      <c r="CA324" s="50" t="s">
        <v>12793</v>
      </c>
      <c r="CB324" s="50" t="s">
        <v>12794</v>
      </c>
      <c r="CC324" s="50" t="s">
        <v>12795</v>
      </c>
      <c r="CD324" s="50" t="s">
        <v>12796</v>
      </c>
      <c r="CE324" s="50" t="s">
        <v>1536</v>
      </c>
      <c r="CF324" s="50" t="s">
        <v>12797</v>
      </c>
      <c r="CG324" s="50" t="s">
        <v>1538</v>
      </c>
      <c r="CH324" s="50" t="s">
        <v>12798</v>
      </c>
      <c r="CJ324" s="50" t="s">
        <v>1540</v>
      </c>
      <c r="CK324" s="50" t="s">
        <v>1539</v>
      </c>
      <c r="CL324" s="50" t="s">
        <v>375</v>
      </c>
      <c r="CM324" s="50" t="s">
        <v>376</v>
      </c>
      <c r="CN324" s="50" t="s">
        <v>1540</v>
      </c>
      <c r="CP324" s="50" t="s">
        <v>1539</v>
      </c>
      <c r="CQ324" s="50" t="s">
        <v>1539</v>
      </c>
      <c r="CR324" s="50" t="s">
        <v>26047</v>
      </c>
    </row>
    <row r="325" spans="1:96">
      <c r="A325" s="95" t="s">
        <v>149</v>
      </c>
      <c r="B325" s="50">
        <v>3495816</v>
      </c>
      <c r="C325" s="50" t="s">
        <v>12058</v>
      </c>
      <c r="D325" s="50" t="s">
        <v>6406</v>
      </c>
      <c r="E325" s="50" t="e">
        <f>VLOOKUP(B325,aa!B:F,5,0)</f>
        <v>#N/A</v>
      </c>
      <c r="F325" s="50" t="e">
        <f>VLOOKUP(B325,aa!B:J,9,0)</f>
        <v>#N/A</v>
      </c>
      <c r="G325" s="50" t="e">
        <f>VLOOKUP(B325,aa!B:L,11,0)</f>
        <v>#N/A</v>
      </c>
      <c r="H325" s="50" t="e">
        <f>VLOOKUP(B325,aa!B:O,14,0)</f>
        <v>#N/A</v>
      </c>
      <c r="I325" s="50" t="e">
        <f>VLOOKUP(B325,aa!B:R,17,0)</f>
        <v>#N/A</v>
      </c>
      <c r="K325" s="50" t="s">
        <v>152</v>
      </c>
      <c r="L325" s="50">
        <v>230674</v>
      </c>
      <c r="M325" s="50">
        <v>230674</v>
      </c>
      <c r="N325" s="50">
        <v>0</v>
      </c>
      <c r="O325" s="50">
        <v>0</v>
      </c>
      <c r="Q325" s="50">
        <v>230674</v>
      </c>
      <c r="R325" s="50">
        <v>157</v>
      </c>
      <c r="S325" s="50" t="s">
        <v>12779</v>
      </c>
      <c r="T325" s="50">
        <v>0</v>
      </c>
      <c r="U325" s="50">
        <v>0</v>
      </c>
      <c r="W325" s="50" t="s">
        <v>102</v>
      </c>
      <c r="X325" s="50" t="s">
        <v>103</v>
      </c>
      <c r="Y325" s="50" t="s">
        <v>155</v>
      </c>
      <c r="AA325" s="50" t="s">
        <v>11959</v>
      </c>
      <c r="AB325" s="50" t="s">
        <v>16272</v>
      </c>
      <c r="AC325" s="50" t="s">
        <v>12781</v>
      </c>
      <c r="AD325" s="50" t="s">
        <v>16272</v>
      </c>
      <c r="AE325" s="50" t="s">
        <v>14373</v>
      </c>
      <c r="AF325" s="50" t="s">
        <v>16272</v>
      </c>
      <c r="AG325" s="50" t="s">
        <v>11886</v>
      </c>
      <c r="AH325" s="50" t="s">
        <v>16272</v>
      </c>
      <c r="AI325" s="50" t="s">
        <v>16273</v>
      </c>
      <c r="AJ325" s="50" t="s">
        <v>16185</v>
      </c>
      <c r="AK325" s="50" t="s">
        <v>16185</v>
      </c>
      <c r="AL325" s="50" t="s">
        <v>16274</v>
      </c>
      <c r="AM325" s="50" t="s">
        <v>16275</v>
      </c>
      <c r="AN325" s="50" t="s">
        <v>16276</v>
      </c>
      <c r="AO325" s="50" t="s">
        <v>12787</v>
      </c>
      <c r="AP325" s="50" t="s">
        <v>12787</v>
      </c>
      <c r="AU325" s="50" t="s">
        <v>102</v>
      </c>
      <c r="AW325" s="50" t="s">
        <v>3536</v>
      </c>
      <c r="AX325" s="50" t="s">
        <v>119</v>
      </c>
      <c r="AY325" s="50" t="s">
        <v>170</v>
      </c>
      <c r="AZ325" s="50" t="s">
        <v>118</v>
      </c>
      <c r="BB325" s="50" t="s">
        <v>171</v>
      </c>
      <c r="BC325" s="50" t="s">
        <v>2820</v>
      </c>
      <c r="BD325" s="50" t="s">
        <v>376</v>
      </c>
      <c r="BE325" s="50" t="s">
        <v>174</v>
      </c>
      <c r="BF325" s="50" t="s">
        <v>376</v>
      </c>
      <c r="BG325" s="50" t="s">
        <v>124</v>
      </c>
      <c r="BH325" s="50" t="s">
        <v>11938</v>
      </c>
      <c r="BI325" s="50" t="s">
        <v>12788</v>
      </c>
      <c r="BJ325" s="50" t="s">
        <v>127</v>
      </c>
      <c r="BK325" s="50" t="s">
        <v>16277</v>
      </c>
      <c r="BL325" s="50" t="s">
        <v>6416</v>
      </c>
      <c r="BM325" s="50" t="s">
        <v>16278</v>
      </c>
      <c r="BN325" s="50" t="s">
        <v>11938</v>
      </c>
      <c r="BO325" s="50" t="s">
        <v>12071</v>
      </c>
      <c r="BP325" s="50" t="s">
        <v>180</v>
      </c>
      <c r="BQ325" s="50" t="s">
        <v>12072</v>
      </c>
      <c r="BR325" s="50" t="s">
        <v>12073</v>
      </c>
      <c r="BS325" s="50" t="s">
        <v>183</v>
      </c>
      <c r="BU325" s="50" t="s">
        <v>16279</v>
      </c>
      <c r="BV325" s="50" t="s">
        <v>12792</v>
      </c>
      <c r="BW325" s="50" t="s">
        <v>138</v>
      </c>
      <c r="BX325" s="50" t="s">
        <v>1536</v>
      </c>
      <c r="BY325" s="50" t="s">
        <v>1537</v>
      </c>
      <c r="BZ325" s="50" t="s">
        <v>6419</v>
      </c>
      <c r="CA325" s="50" t="s">
        <v>12792</v>
      </c>
      <c r="CB325" s="50" t="s">
        <v>12794</v>
      </c>
      <c r="CC325" s="50" t="s">
        <v>1537</v>
      </c>
      <c r="CD325" s="50" t="s">
        <v>12796</v>
      </c>
      <c r="CE325" s="50" t="s">
        <v>1536</v>
      </c>
      <c r="CF325" s="50" t="s">
        <v>12797</v>
      </c>
      <c r="CG325" s="50" t="s">
        <v>6370</v>
      </c>
      <c r="CH325" s="50" t="s">
        <v>16280</v>
      </c>
      <c r="CJ325" s="50" t="s">
        <v>1644</v>
      </c>
      <c r="CK325" s="50" t="s">
        <v>6420</v>
      </c>
      <c r="CL325" s="50" t="s">
        <v>2820</v>
      </c>
      <c r="CM325" s="50" t="s">
        <v>376</v>
      </c>
      <c r="CN325" s="50" t="s">
        <v>1644</v>
      </c>
      <c r="CO325" s="50" t="s">
        <v>6421</v>
      </c>
      <c r="CP325" s="50" t="s">
        <v>6420</v>
      </c>
      <c r="CQ325" s="50" t="s">
        <v>6420</v>
      </c>
      <c r="CR325" s="50" t="s">
        <v>26047</v>
      </c>
    </row>
    <row r="326" spans="1:96">
      <c r="A326" s="95" t="s">
        <v>149</v>
      </c>
      <c r="B326" s="50">
        <v>3513471</v>
      </c>
      <c r="C326" s="50" t="s">
        <v>11995</v>
      </c>
      <c r="D326" s="50" t="s">
        <v>6460</v>
      </c>
      <c r="E326" s="50" t="e">
        <f>VLOOKUP(B326,aa!B:F,5,0)</f>
        <v>#N/A</v>
      </c>
      <c r="F326" s="50" t="e">
        <f>VLOOKUP(B326,aa!B:J,9,0)</f>
        <v>#N/A</v>
      </c>
      <c r="G326" s="50" t="e">
        <f>VLOOKUP(B326,aa!B:L,11,0)</f>
        <v>#N/A</v>
      </c>
      <c r="H326" s="50" t="e">
        <f>VLOOKUP(B326,aa!B:O,14,0)</f>
        <v>#N/A</v>
      </c>
      <c r="I326" s="50" t="e">
        <f>VLOOKUP(B326,aa!B:R,17,0)</f>
        <v>#N/A</v>
      </c>
      <c r="K326" s="50" t="s">
        <v>675</v>
      </c>
      <c r="L326" s="50">
        <v>1847432</v>
      </c>
      <c r="M326" s="50">
        <v>1847432</v>
      </c>
      <c r="N326" s="50">
        <v>200450</v>
      </c>
      <c r="O326" s="50">
        <v>211</v>
      </c>
      <c r="P326" s="50" t="s">
        <v>936</v>
      </c>
      <c r="Q326" s="50">
        <v>1646982</v>
      </c>
      <c r="R326" s="50">
        <v>915</v>
      </c>
      <c r="S326" s="50" t="s">
        <v>3005</v>
      </c>
      <c r="T326" s="50">
        <v>0</v>
      </c>
      <c r="U326" s="50">
        <v>0</v>
      </c>
      <c r="W326" s="50" t="s">
        <v>102</v>
      </c>
      <c r="X326" s="50" t="s">
        <v>275</v>
      </c>
      <c r="Z326" s="50" t="s">
        <v>11932</v>
      </c>
      <c r="AA326" s="50" t="s">
        <v>109</v>
      </c>
      <c r="AB326" s="50" t="s">
        <v>102</v>
      </c>
      <c r="AC326" s="50" t="s">
        <v>109</v>
      </c>
      <c r="AD326" s="50" t="s">
        <v>102</v>
      </c>
      <c r="AE326" s="50" t="s">
        <v>109</v>
      </c>
      <c r="AF326" s="50" t="s">
        <v>102</v>
      </c>
      <c r="AG326" s="50" t="s">
        <v>109</v>
      </c>
      <c r="AH326" s="50" t="s">
        <v>102</v>
      </c>
      <c r="AI326" s="50" t="s">
        <v>16306</v>
      </c>
      <c r="AJ326" s="50" t="s">
        <v>4294</v>
      </c>
      <c r="AK326" s="50" t="s">
        <v>4294</v>
      </c>
      <c r="AL326" s="50" t="s">
        <v>16307</v>
      </c>
      <c r="AM326" s="50" t="s">
        <v>16308</v>
      </c>
      <c r="AN326" s="50" t="s">
        <v>2202</v>
      </c>
      <c r="AO326" s="50" t="s">
        <v>16309</v>
      </c>
      <c r="AP326" s="50" t="s">
        <v>16309</v>
      </c>
      <c r="AU326" s="50" t="s">
        <v>247</v>
      </c>
      <c r="AV326" s="50" t="s">
        <v>118</v>
      </c>
      <c r="AW326" s="50" t="s">
        <v>655</v>
      </c>
      <c r="AX326" s="50" t="s">
        <v>119</v>
      </c>
      <c r="AY326" s="50" t="s">
        <v>170</v>
      </c>
      <c r="AZ326" s="50" t="s">
        <v>118</v>
      </c>
      <c r="BB326" s="50" t="s">
        <v>120</v>
      </c>
      <c r="BC326" s="50" t="s">
        <v>284</v>
      </c>
      <c r="BD326" s="50" t="s">
        <v>285</v>
      </c>
      <c r="BE326" s="50" t="s">
        <v>212</v>
      </c>
      <c r="BF326" s="50" t="s">
        <v>286</v>
      </c>
      <c r="BG326" s="50" t="s">
        <v>124</v>
      </c>
      <c r="BH326" s="50" t="s">
        <v>12636</v>
      </c>
      <c r="BI326" s="50" t="s">
        <v>11889</v>
      </c>
      <c r="BJ326" s="50" t="s">
        <v>127</v>
      </c>
      <c r="BK326" s="50" t="s">
        <v>16310</v>
      </c>
      <c r="BL326" s="50" t="s">
        <v>6473</v>
      </c>
      <c r="BM326" s="50" t="s">
        <v>16311</v>
      </c>
      <c r="BN326" s="50" t="s">
        <v>11938</v>
      </c>
      <c r="BO326" s="50" t="s">
        <v>290</v>
      </c>
      <c r="BP326" s="50" t="s">
        <v>132</v>
      </c>
      <c r="BQ326" s="50" t="s">
        <v>291</v>
      </c>
      <c r="BR326" s="50" t="s">
        <v>292</v>
      </c>
      <c r="BS326" s="50" t="s">
        <v>4765</v>
      </c>
      <c r="BU326" s="50" t="s">
        <v>16312</v>
      </c>
      <c r="BV326" s="50" t="s">
        <v>16313</v>
      </c>
      <c r="BW326" s="50" t="s">
        <v>138</v>
      </c>
      <c r="BX326" s="50" t="s">
        <v>6477</v>
      </c>
      <c r="BY326" s="50" t="s">
        <v>6478</v>
      </c>
      <c r="CA326" s="50" t="s">
        <v>16313</v>
      </c>
      <c r="CB326" s="50" t="s">
        <v>6477</v>
      </c>
      <c r="CC326" s="50" t="s">
        <v>6478</v>
      </c>
      <c r="CD326" s="50" t="s">
        <v>16314</v>
      </c>
      <c r="CE326" s="50" t="s">
        <v>16315</v>
      </c>
      <c r="CF326" s="50" t="s">
        <v>16316</v>
      </c>
      <c r="CG326" s="50" t="s">
        <v>102</v>
      </c>
      <c r="CH326" s="50" t="s">
        <v>6483</v>
      </c>
      <c r="CJ326" s="50" t="s">
        <v>6484</v>
      </c>
      <c r="CL326" s="50" t="s">
        <v>284</v>
      </c>
      <c r="CM326" s="50" t="s">
        <v>285</v>
      </c>
      <c r="CN326" s="50" t="s">
        <v>6484</v>
      </c>
      <c r="CO326" s="50" t="s">
        <v>6485</v>
      </c>
      <c r="CP326" s="50" t="s">
        <v>6483</v>
      </c>
      <c r="CQ326" s="50" t="s">
        <v>6483</v>
      </c>
      <c r="CR326" s="50" t="s">
        <v>26040</v>
      </c>
    </row>
    <row r="327" spans="1:96">
      <c r="A327" s="50" t="s">
        <v>93</v>
      </c>
      <c r="B327" s="50">
        <v>5016446</v>
      </c>
      <c r="C327" s="50" t="s">
        <v>418</v>
      </c>
      <c r="D327" s="50" t="s">
        <v>18863</v>
      </c>
      <c r="E327" s="50" t="e">
        <f>VLOOKUP(B327,aa!B:F,5,0)</f>
        <v>#N/A</v>
      </c>
      <c r="F327" s="50" t="e">
        <f>VLOOKUP(B327,aa!B:J,9,0)</f>
        <v>#N/A</v>
      </c>
      <c r="G327" s="50" t="e">
        <f>VLOOKUP(B327,aa!B:L,11,0)</f>
        <v>#N/A</v>
      </c>
      <c r="H327" s="50" t="e">
        <f>VLOOKUP(B327,aa!B:O,14,0)</f>
        <v>#N/A</v>
      </c>
      <c r="I327" s="50" t="e">
        <f>VLOOKUP(B327,aa!B:R,17,0)</f>
        <v>#N/A</v>
      </c>
      <c r="K327" s="50" t="s">
        <v>848</v>
      </c>
      <c r="L327" s="50">
        <v>432390</v>
      </c>
      <c r="M327" s="50">
        <v>510220</v>
      </c>
      <c r="N327" s="50">
        <v>0</v>
      </c>
      <c r="O327" s="50">
        <v>0</v>
      </c>
      <c r="Q327" s="50">
        <v>0</v>
      </c>
      <c r="R327" s="50">
        <v>0</v>
      </c>
      <c r="T327" s="50">
        <v>432390</v>
      </c>
      <c r="U327" s="50">
        <v>188</v>
      </c>
      <c r="V327" s="50" t="s">
        <v>12188</v>
      </c>
      <c r="W327" s="50" t="s">
        <v>102</v>
      </c>
      <c r="X327" s="50" t="s">
        <v>103</v>
      </c>
      <c r="Y327" s="50" t="s">
        <v>104</v>
      </c>
      <c r="AA327" s="50" t="s">
        <v>11948</v>
      </c>
      <c r="AB327" s="50" t="s">
        <v>18864</v>
      </c>
      <c r="AC327" s="50" t="s">
        <v>13034</v>
      </c>
      <c r="AD327" s="50" t="s">
        <v>18864</v>
      </c>
      <c r="AE327" s="50" t="s">
        <v>109</v>
      </c>
      <c r="AF327" s="50" t="s">
        <v>102</v>
      </c>
      <c r="AG327" s="50" t="s">
        <v>109</v>
      </c>
      <c r="AH327" s="50" t="s">
        <v>102</v>
      </c>
      <c r="AI327" s="50" t="s">
        <v>18865</v>
      </c>
      <c r="AJ327" s="50" t="s">
        <v>8488</v>
      </c>
      <c r="AK327" s="50" t="s">
        <v>16162</v>
      </c>
      <c r="AL327" s="50" t="s">
        <v>18866</v>
      </c>
      <c r="AM327" s="50" t="s">
        <v>18867</v>
      </c>
      <c r="AN327" s="50" t="s">
        <v>18868</v>
      </c>
      <c r="AO327" s="50" t="s">
        <v>18869</v>
      </c>
      <c r="AP327" s="50" t="s">
        <v>18869</v>
      </c>
      <c r="AU327" s="50" t="s">
        <v>102</v>
      </c>
      <c r="AW327" s="50" t="s">
        <v>102</v>
      </c>
      <c r="AX327" s="50" t="s">
        <v>119</v>
      </c>
      <c r="BA327" s="50" t="s">
        <v>250</v>
      </c>
      <c r="BB327" s="50" t="s">
        <v>120</v>
      </c>
      <c r="BC327" s="50" t="s">
        <v>409</v>
      </c>
      <c r="BD327" s="50" t="s">
        <v>410</v>
      </c>
      <c r="BE327" s="50" t="s">
        <v>212</v>
      </c>
      <c r="BF327" s="50" t="s">
        <v>410</v>
      </c>
      <c r="BG327" s="50" t="s">
        <v>124</v>
      </c>
      <c r="BH327" s="50" t="s">
        <v>13680</v>
      </c>
      <c r="BI327" s="50" t="s">
        <v>12047</v>
      </c>
      <c r="BJ327" s="50" t="s">
        <v>127</v>
      </c>
      <c r="BK327" s="50" t="s">
        <v>18870</v>
      </c>
      <c r="BL327" s="50" t="s">
        <v>18871</v>
      </c>
      <c r="BM327" s="50" t="s">
        <v>18872</v>
      </c>
      <c r="BN327" s="50" t="s">
        <v>11938</v>
      </c>
      <c r="BO327" s="50" t="s">
        <v>1699</v>
      </c>
      <c r="BP327" s="50" t="s">
        <v>132</v>
      </c>
      <c r="BQ327" s="50" t="s">
        <v>1700</v>
      </c>
      <c r="BR327" s="50" t="s">
        <v>1701</v>
      </c>
      <c r="BS327" s="50" t="s">
        <v>1702</v>
      </c>
      <c r="BU327" s="50" t="s">
        <v>18873</v>
      </c>
      <c r="BV327" s="50" t="s">
        <v>18874</v>
      </c>
      <c r="BW327" s="50" t="s">
        <v>138</v>
      </c>
      <c r="BX327" s="50" t="s">
        <v>18875</v>
      </c>
      <c r="BY327" s="50" t="s">
        <v>18876</v>
      </c>
      <c r="BZ327" s="50" t="s">
        <v>18877</v>
      </c>
      <c r="CA327" s="50" t="s">
        <v>18878</v>
      </c>
      <c r="CB327" s="50" t="s">
        <v>18875</v>
      </c>
      <c r="CC327" s="50" t="s">
        <v>18876</v>
      </c>
      <c r="CD327" s="50" t="s">
        <v>18878</v>
      </c>
      <c r="CE327" s="50" t="s">
        <v>18875</v>
      </c>
      <c r="CF327" s="50" t="s">
        <v>18876</v>
      </c>
      <c r="CG327" s="50" t="s">
        <v>2270</v>
      </c>
      <c r="CH327" s="50" t="s">
        <v>18879</v>
      </c>
      <c r="CJ327" s="50" t="s">
        <v>18880</v>
      </c>
      <c r="CK327" s="50" t="s">
        <v>18879</v>
      </c>
      <c r="CL327" s="50" t="s">
        <v>409</v>
      </c>
      <c r="CM327" s="50" t="s">
        <v>410</v>
      </c>
      <c r="CN327" s="50" t="s">
        <v>18880</v>
      </c>
      <c r="CO327" s="50" t="s">
        <v>18881</v>
      </c>
      <c r="CP327" s="50" t="s">
        <v>18882</v>
      </c>
      <c r="CQ327" s="50" t="s">
        <v>18882</v>
      </c>
      <c r="CR327" s="50" t="s">
        <v>26047</v>
      </c>
    </row>
    <row r="328" spans="1:96">
      <c r="A328" s="50" t="s">
        <v>93</v>
      </c>
      <c r="B328" s="50">
        <v>5053374</v>
      </c>
      <c r="C328" s="50" t="s">
        <v>11995</v>
      </c>
      <c r="D328" s="50" t="s">
        <v>20551</v>
      </c>
      <c r="E328" s="50" t="str">
        <f>VLOOKUP(B328,aa!B:F,5,0)</f>
        <v>Ei CARES, Ei Mindspark</v>
      </c>
      <c r="F328" s="50">
        <f>VLOOKUP(B328,aa!B:J,9,0)</f>
        <v>1378278</v>
      </c>
      <c r="G328" s="50">
        <f>VLOOKUP(B328,aa!B:L,11,0)</f>
        <v>0</v>
      </c>
      <c r="H328" s="50">
        <f>VLOOKUP(B328,aa!B:O,14,0)</f>
        <v>839824</v>
      </c>
      <c r="I328" s="50">
        <f>VLOOKUP(B328,aa!B:R,17,0)</f>
        <v>538454</v>
      </c>
      <c r="K328" s="50" t="s">
        <v>17790</v>
      </c>
      <c r="L328" s="50">
        <v>835041</v>
      </c>
      <c r="M328" s="50">
        <v>902023</v>
      </c>
      <c r="N328" s="50">
        <v>0</v>
      </c>
      <c r="O328" s="50">
        <v>0</v>
      </c>
      <c r="Q328" s="50">
        <v>462917</v>
      </c>
      <c r="R328" s="50">
        <v>464</v>
      </c>
      <c r="S328" s="50" t="s">
        <v>20553</v>
      </c>
      <c r="T328" s="50">
        <v>372124</v>
      </c>
      <c r="U328" s="50">
        <v>220</v>
      </c>
      <c r="V328" s="50" t="s">
        <v>20554</v>
      </c>
      <c r="W328" s="50" t="s">
        <v>102</v>
      </c>
      <c r="X328" s="50" t="s">
        <v>679</v>
      </c>
      <c r="Y328" s="50" t="s">
        <v>155</v>
      </c>
      <c r="Z328" s="50" t="s">
        <v>20555</v>
      </c>
      <c r="AA328" s="50" t="s">
        <v>20556</v>
      </c>
      <c r="AB328" s="50" t="s">
        <v>20557</v>
      </c>
      <c r="AC328" s="50" t="s">
        <v>13728</v>
      </c>
      <c r="AD328" s="50" t="s">
        <v>20558</v>
      </c>
      <c r="AE328" s="50" t="s">
        <v>13730</v>
      </c>
      <c r="AF328" s="50" t="s">
        <v>20558</v>
      </c>
      <c r="AG328" s="50" t="s">
        <v>12216</v>
      </c>
      <c r="AH328" s="50" t="s">
        <v>20559</v>
      </c>
      <c r="AI328" s="50" t="s">
        <v>20560</v>
      </c>
      <c r="AJ328" s="50" t="s">
        <v>20561</v>
      </c>
      <c r="AK328" s="50" t="s">
        <v>20562</v>
      </c>
      <c r="AL328" s="50" t="s">
        <v>20563</v>
      </c>
      <c r="AM328" s="50" t="s">
        <v>20564</v>
      </c>
      <c r="AN328" s="50" t="s">
        <v>20565</v>
      </c>
      <c r="AO328" s="50" t="s">
        <v>20566</v>
      </c>
      <c r="AP328" s="50" t="s">
        <v>20566</v>
      </c>
      <c r="AU328" s="50" t="s">
        <v>102</v>
      </c>
      <c r="AW328" s="50" t="s">
        <v>655</v>
      </c>
      <c r="AX328" s="50" t="s">
        <v>249</v>
      </c>
      <c r="AY328" s="50" t="s">
        <v>1138</v>
      </c>
      <c r="AZ328" s="50" t="s">
        <v>2203</v>
      </c>
      <c r="BA328" s="50" t="s">
        <v>250</v>
      </c>
      <c r="BB328" s="50" t="s">
        <v>120</v>
      </c>
      <c r="BC328" s="50" t="s">
        <v>284</v>
      </c>
      <c r="BD328" s="50" t="s">
        <v>285</v>
      </c>
      <c r="BE328" s="50" t="s">
        <v>212</v>
      </c>
      <c r="BF328" s="50" t="s">
        <v>286</v>
      </c>
      <c r="BG328" s="50" t="s">
        <v>124</v>
      </c>
      <c r="BH328" s="50" t="s">
        <v>12128</v>
      </c>
      <c r="BI328" s="50" t="s">
        <v>12963</v>
      </c>
      <c r="BJ328" s="50" t="s">
        <v>127</v>
      </c>
      <c r="BK328" s="50" t="s">
        <v>20567</v>
      </c>
      <c r="BL328" s="50" t="s">
        <v>20568</v>
      </c>
      <c r="BM328" s="50" t="s">
        <v>20569</v>
      </c>
      <c r="BN328" s="50" t="s">
        <v>20552</v>
      </c>
      <c r="BO328" s="50" t="s">
        <v>17684</v>
      </c>
      <c r="BP328" s="50" t="s">
        <v>505</v>
      </c>
      <c r="BQ328" s="50" t="s">
        <v>17685</v>
      </c>
      <c r="BR328" s="50" t="s">
        <v>17686</v>
      </c>
      <c r="BS328" s="50" t="s">
        <v>17687</v>
      </c>
      <c r="BU328" s="50" t="s">
        <v>20570</v>
      </c>
      <c r="BV328" s="50" t="s">
        <v>20571</v>
      </c>
      <c r="BW328" s="50" t="s">
        <v>138</v>
      </c>
      <c r="BX328" s="50" t="s">
        <v>20572</v>
      </c>
      <c r="BY328" s="50" t="s">
        <v>20573</v>
      </c>
      <c r="BZ328" s="50" t="s">
        <v>20572</v>
      </c>
      <c r="CA328" s="50" t="s">
        <v>20574</v>
      </c>
      <c r="CB328" s="50" t="s">
        <v>20572</v>
      </c>
      <c r="CC328" s="50" t="s">
        <v>20573</v>
      </c>
      <c r="CD328" s="50" t="s">
        <v>20574</v>
      </c>
      <c r="CE328" s="50" t="s">
        <v>20572</v>
      </c>
      <c r="CF328" s="50" t="s">
        <v>20573</v>
      </c>
      <c r="CG328" s="50" t="s">
        <v>8526</v>
      </c>
      <c r="CH328" s="50" t="s">
        <v>20575</v>
      </c>
      <c r="CJ328" s="50" t="s">
        <v>20576</v>
      </c>
      <c r="CK328" s="50" t="s">
        <v>20577</v>
      </c>
      <c r="CL328" s="50" t="s">
        <v>284</v>
      </c>
      <c r="CM328" s="50" t="s">
        <v>285</v>
      </c>
      <c r="CN328" s="50" t="s">
        <v>20576</v>
      </c>
      <c r="CP328" s="50" t="s">
        <v>20578</v>
      </c>
      <c r="CQ328" s="50" t="s">
        <v>20578</v>
      </c>
    </row>
    <row r="329" spans="1:96">
      <c r="A329" s="50" t="s">
        <v>93</v>
      </c>
      <c r="B329" s="50">
        <v>3997396</v>
      </c>
      <c r="C329" s="50" t="s">
        <v>985</v>
      </c>
      <c r="D329" s="50" t="s">
        <v>17756</v>
      </c>
      <c r="E329" s="50" t="e">
        <f>VLOOKUP(B329,aa!B:F,5,0)</f>
        <v>#N/A</v>
      </c>
      <c r="F329" s="50" t="e">
        <f>VLOOKUP(B329,aa!B:J,9,0)</f>
        <v>#N/A</v>
      </c>
      <c r="G329" s="50" t="e">
        <f>VLOOKUP(B329,aa!B:L,11,0)</f>
        <v>#N/A</v>
      </c>
      <c r="H329" s="50" t="e">
        <f>VLOOKUP(B329,aa!B:O,14,0)</f>
        <v>#N/A</v>
      </c>
      <c r="I329" s="50" t="e">
        <f>VLOOKUP(B329,aa!B:R,17,0)</f>
        <v>#N/A</v>
      </c>
      <c r="K329" s="50" t="s">
        <v>152</v>
      </c>
      <c r="L329" s="50">
        <v>457430</v>
      </c>
      <c r="M329" s="50">
        <v>457430</v>
      </c>
      <c r="N329" s="50">
        <v>0</v>
      </c>
      <c r="O329" s="50">
        <v>0</v>
      </c>
      <c r="Q329" s="50">
        <v>457430</v>
      </c>
      <c r="R329" s="50">
        <v>295</v>
      </c>
      <c r="S329" s="50" t="s">
        <v>17757</v>
      </c>
      <c r="T329" s="50">
        <v>0</v>
      </c>
      <c r="U329" s="50">
        <v>0</v>
      </c>
      <c r="W329" s="50" t="s">
        <v>102</v>
      </c>
      <c r="X329" s="50" t="s">
        <v>103</v>
      </c>
      <c r="Y329" s="50" t="s">
        <v>398</v>
      </c>
      <c r="AA329" s="50" t="s">
        <v>15939</v>
      </c>
      <c r="AB329" s="50" t="s">
        <v>17758</v>
      </c>
      <c r="AC329" s="50" t="s">
        <v>12040</v>
      </c>
      <c r="AD329" s="50" t="s">
        <v>17759</v>
      </c>
      <c r="AE329" s="50" t="s">
        <v>12289</v>
      </c>
      <c r="AF329" s="50" t="s">
        <v>17759</v>
      </c>
      <c r="AG329" s="50" t="s">
        <v>109</v>
      </c>
      <c r="AH329" s="50" t="s">
        <v>102</v>
      </c>
      <c r="AI329" s="50" t="s">
        <v>102</v>
      </c>
      <c r="AJ329" s="50" t="s">
        <v>112</v>
      </c>
      <c r="AK329" s="50" t="s">
        <v>12062</v>
      </c>
      <c r="AL329" s="50" t="s">
        <v>17760</v>
      </c>
      <c r="AM329" s="50" t="s">
        <v>17761</v>
      </c>
      <c r="AN329" s="50" t="s">
        <v>17762</v>
      </c>
      <c r="AO329" s="50" t="s">
        <v>17763</v>
      </c>
      <c r="AP329" s="50" t="s">
        <v>17763</v>
      </c>
      <c r="AU329" s="50" t="s">
        <v>102</v>
      </c>
      <c r="AW329" s="50" t="s">
        <v>102</v>
      </c>
      <c r="AX329" s="50" t="s">
        <v>447</v>
      </c>
      <c r="AY329" s="50" t="s">
        <v>170</v>
      </c>
      <c r="AZ329" s="50" t="s">
        <v>118</v>
      </c>
      <c r="BB329" s="50" t="s">
        <v>120</v>
      </c>
      <c r="BC329" s="50" t="s">
        <v>17764</v>
      </c>
      <c r="BD329" s="50" t="s">
        <v>621</v>
      </c>
      <c r="BE329" s="50" t="s">
        <v>622</v>
      </c>
      <c r="BF329" s="50" t="s">
        <v>976</v>
      </c>
      <c r="BG329" s="50" t="s">
        <v>124</v>
      </c>
      <c r="BH329" s="50" t="s">
        <v>12023</v>
      </c>
      <c r="BI329" s="50" t="s">
        <v>12047</v>
      </c>
      <c r="BJ329" s="50" t="s">
        <v>127</v>
      </c>
      <c r="BK329" s="50" t="s">
        <v>17765</v>
      </c>
      <c r="BL329" s="50" t="s">
        <v>17766</v>
      </c>
      <c r="BM329" s="50" t="s">
        <v>17767</v>
      </c>
      <c r="BN329" s="50" t="s">
        <v>15939</v>
      </c>
      <c r="BO329" s="50" t="s">
        <v>13638</v>
      </c>
      <c r="BP329" s="50" t="s">
        <v>132</v>
      </c>
      <c r="BQ329" s="50" t="s">
        <v>13639</v>
      </c>
      <c r="BR329" s="50" t="s">
        <v>13640</v>
      </c>
      <c r="BS329" s="50" t="s">
        <v>2847</v>
      </c>
      <c r="BU329" s="50" t="s">
        <v>17768</v>
      </c>
      <c r="BV329" s="50" t="s">
        <v>17769</v>
      </c>
      <c r="BW329" s="50" t="s">
        <v>138</v>
      </c>
      <c r="BX329" s="50" t="s">
        <v>17770</v>
      </c>
      <c r="BY329" s="50" t="s">
        <v>17771</v>
      </c>
      <c r="BZ329" s="50" t="s">
        <v>17772</v>
      </c>
      <c r="CA329" s="50" t="s">
        <v>17769</v>
      </c>
      <c r="CB329" s="50" t="s">
        <v>17770</v>
      </c>
      <c r="CC329" s="50" t="s">
        <v>17771</v>
      </c>
      <c r="CD329" s="50" t="s">
        <v>17773</v>
      </c>
      <c r="CE329" s="50" t="s">
        <v>17770</v>
      </c>
      <c r="CF329" s="50" t="s">
        <v>17774</v>
      </c>
      <c r="CG329" s="50" t="s">
        <v>3918</v>
      </c>
      <c r="CH329" s="50" t="s">
        <v>17775</v>
      </c>
      <c r="CJ329" s="50" t="s">
        <v>17776</v>
      </c>
      <c r="CK329" s="50" t="s">
        <v>17777</v>
      </c>
      <c r="CL329" s="50" t="s">
        <v>17764</v>
      </c>
      <c r="CM329" s="50" t="s">
        <v>621</v>
      </c>
      <c r="CN329" s="50" t="s">
        <v>17776</v>
      </c>
      <c r="CO329" s="50" t="s">
        <v>17778</v>
      </c>
      <c r="CP329" s="50" t="s">
        <v>17779</v>
      </c>
      <c r="CQ329" s="50" t="s">
        <v>17779</v>
      </c>
    </row>
    <row r="330" spans="1:96">
      <c r="A330" s="95" t="s">
        <v>149</v>
      </c>
      <c r="B330" s="50">
        <v>3475635</v>
      </c>
      <c r="C330" s="50" t="s">
        <v>1279</v>
      </c>
      <c r="D330" s="50" t="s">
        <v>16179</v>
      </c>
      <c r="E330" s="50" t="str">
        <f>VLOOKUP(B330,aa!B:F,5,0)</f>
        <v>Ei ASSET</v>
      </c>
      <c r="F330" s="50">
        <f>VLOOKUP(B330,aa!B:J,9,0)</f>
        <v>758175</v>
      </c>
      <c r="G330" s="50">
        <f>VLOOKUP(B330,aa!B:L,11,0)</f>
        <v>758175</v>
      </c>
      <c r="H330" s="50">
        <f>VLOOKUP(B330,aa!B:O,14,0)</f>
        <v>0</v>
      </c>
      <c r="I330" s="50">
        <f>VLOOKUP(B330,aa!B:R,17,0)</f>
        <v>0</v>
      </c>
      <c r="K330" s="50" t="s">
        <v>193</v>
      </c>
      <c r="L330" s="50">
        <v>1167673</v>
      </c>
      <c r="M330" s="50">
        <v>1229600</v>
      </c>
      <c r="N330" s="50">
        <v>823632</v>
      </c>
      <c r="O330" s="50">
        <v>1098</v>
      </c>
      <c r="P330" s="50" t="s">
        <v>101</v>
      </c>
      <c r="Q330" s="50">
        <v>0</v>
      </c>
      <c r="R330" s="50">
        <v>0</v>
      </c>
      <c r="T330" s="50">
        <v>344041</v>
      </c>
      <c r="U330" s="50">
        <v>172</v>
      </c>
      <c r="V330" s="50" t="s">
        <v>7192</v>
      </c>
      <c r="W330" s="50" t="s">
        <v>102</v>
      </c>
      <c r="X330" s="50" t="s">
        <v>103</v>
      </c>
      <c r="Y330" s="50" t="s">
        <v>104</v>
      </c>
      <c r="AA330" s="50" t="s">
        <v>16181</v>
      </c>
      <c r="AB330" s="50" t="s">
        <v>16182</v>
      </c>
      <c r="AC330" s="50" t="s">
        <v>16183</v>
      </c>
      <c r="AD330" s="50" t="s">
        <v>16182</v>
      </c>
      <c r="AE330" s="50" t="s">
        <v>109</v>
      </c>
      <c r="AF330" s="50" t="s">
        <v>102</v>
      </c>
      <c r="AG330" s="50" t="s">
        <v>109</v>
      </c>
      <c r="AH330" s="50" t="s">
        <v>102</v>
      </c>
      <c r="AI330" s="50" t="s">
        <v>16184</v>
      </c>
      <c r="AJ330" s="50" t="s">
        <v>8488</v>
      </c>
      <c r="AK330" s="50" t="s">
        <v>16185</v>
      </c>
      <c r="AL330" s="50" t="s">
        <v>16186</v>
      </c>
      <c r="AM330" s="50" t="s">
        <v>16187</v>
      </c>
      <c r="AN330" s="50" t="s">
        <v>16188</v>
      </c>
      <c r="AO330" s="50" t="s">
        <v>16189</v>
      </c>
      <c r="AP330" s="50" t="s">
        <v>16189</v>
      </c>
      <c r="AU330" s="50" t="s">
        <v>247</v>
      </c>
      <c r="AV330" s="50" t="s">
        <v>118</v>
      </c>
      <c r="AW330" s="50" t="s">
        <v>102</v>
      </c>
      <c r="AX330" s="50" t="s">
        <v>119</v>
      </c>
      <c r="BA330" s="50" t="s">
        <v>250</v>
      </c>
      <c r="BB330" s="50" t="s">
        <v>171</v>
      </c>
      <c r="BC330" s="50" t="s">
        <v>6280</v>
      </c>
      <c r="BD330" s="50" t="s">
        <v>621</v>
      </c>
      <c r="BE330" s="50" t="s">
        <v>622</v>
      </c>
      <c r="BF330" s="50" t="s">
        <v>976</v>
      </c>
      <c r="BG330" s="50" t="s">
        <v>124</v>
      </c>
      <c r="BH330" s="50" t="s">
        <v>16190</v>
      </c>
      <c r="BI330" s="50" t="s">
        <v>16191</v>
      </c>
      <c r="BJ330" s="50" t="s">
        <v>127</v>
      </c>
      <c r="BK330" s="50" t="s">
        <v>16192</v>
      </c>
      <c r="BL330" s="50" t="s">
        <v>6282</v>
      </c>
      <c r="BM330" s="50" t="s">
        <v>16193</v>
      </c>
      <c r="BN330" s="50" t="s">
        <v>16180</v>
      </c>
      <c r="BO330" s="50" t="s">
        <v>13638</v>
      </c>
      <c r="BP330" s="50" t="s">
        <v>16194</v>
      </c>
      <c r="BQ330" s="50" t="s">
        <v>13639</v>
      </c>
      <c r="BR330" s="50" t="s">
        <v>13640</v>
      </c>
      <c r="BS330" s="50" t="s">
        <v>1342</v>
      </c>
      <c r="BU330" s="50" t="s">
        <v>16195</v>
      </c>
      <c r="BV330" s="50" t="s">
        <v>16196</v>
      </c>
      <c r="BW330" s="50" t="s">
        <v>598</v>
      </c>
      <c r="BX330" s="50" t="s">
        <v>6286</v>
      </c>
      <c r="BY330" s="50" t="s">
        <v>16197</v>
      </c>
      <c r="BZ330" s="50" t="s">
        <v>6286</v>
      </c>
      <c r="CA330" s="50" t="s">
        <v>16198</v>
      </c>
      <c r="CB330" s="50" t="s">
        <v>6286</v>
      </c>
      <c r="CC330" s="50" t="s">
        <v>16199</v>
      </c>
      <c r="CD330" s="50" t="s">
        <v>16200</v>
      </c>
      <c r="CE330" s="50" t="s">
        <v>16201</v>
      </c>
      <c r="CF330" s="50" t="s">
        <v>16202</v>
      </c>
      <c r="CG330" s="50" t="s">
        <v>6290</v>
      </c>
      <c r="CH330" s="50" t="s">
        <v>16203</v>
      </c>
      <c r="CJ330" s="50" t="s">
        <v>11203</v>
      </c>
      <c r="CK330" s="50" t="s">
        <v>16203</v>
      </c>
      <c r="CL330" s="50" t="s">
        <v>6280</v>
      </c>
      <c r="CM330" s="50" t="s">
        <v>621</v>
      </c>
      <c r="CN330" s="50" t="s">
        <v>11203</v>
      </c>
      <c r="CO330" s="50" t="s">
        <v>6293</v>
      </c>
      <c r="CP330" s="50" t="s">
        <v>6294</v>
      </c>
      <c r="CQ330" s="50" t="s">
        <v>6295</v>
      </c>
    </row>
    <row r="331" spans="1:96">
      <c r="A331" s="95" t="s">
        <v>149</v>
      </c>
      <c r="B331" s="50">
        <v>579462</v>
      </c>
      <c r="C331" s="50" t="s">
        <v>1279</v>
      </c>
      <c r="D331" s="50" t="s">
        <v>21162</v>
      </c>
      <c r="E331" s="50" t="str">
        <f>VLOOKUP(B331,aa!B:F,5,0)</f>
        <v>Ei ASSET</v>
      </c>
      <c r="F331" s="50">
        <f>VLOOKUP(B331,aa!B:J,9,0)</f>
        <v>273900</v>
      </c>
      <c r="G331" s="50">
        <f>VLOOKUP(B331,aa!B:L,11,0)</f>
        <v>273900</v>
      </c>
      <c r="H331" s="50">
        <f>VLOOKUP(B331,aa!B:O,14,0)</f>
        <v>0</v>
      </c>
      <c r="I331" s="50">
        <f>VLOOKUP(B331,aa!B:R,17,0)</f>
        <v>0</v>
      </c>
      <c r="K331" s="50" t="s">
        <v>193</v>
      </c>
      <c r="L331" s="50">
        <v>372804</v>
      </c>
      <c r="M331" s="50">
        <v>395487</v>
      </c>
      <c r="N331" s="50">
        <v>246789</v>
      </c>
      <c r="O331" s="50">
        <v>329</v>
      </c>
      <c r="P331" s="50" t="s">
        <v>101</v>
      </c>
      <c r="Q331" s="50">
        <v>0</v>
      </c>
      <c r="R331" s="50">
        <v>0</v>
      </c>
      <c r="T331" s="50">
        <v>126015</v>
      </c>
      <c r="U331" s="50">
        <v>63</v>
      </c>
      <c r="V331" s="50" t="s">
        <v>7192</v>
      </c>
      <c r="W331" s="50" t="s">
        <v>102</v>
      </c>
      <c r="X331" s="50" t="s">
        <v>103</v>
      </c>
      <c r="Y331" s="50" t="s">
        <v>104</v>
      </c>
      <c r="AA331" s="50" t="s">
        <v>21164</v>
      </c>
      <c r="AB331" s="50" t="s">
        <v>21165</v>
      </c>
      <c r="AC331" s="50" t="s">
        <v>21166</v>
      </c>
      <c r="AD331" s="50" t="s">
        <v>21165</v>
      </c>
      <c r="AE331" s="50" t="s">
        <v>109</v>
      </c>
      <c r="AF331" s="50" t="s">
        <v>102</v>
      </c>
      <c r="AG331" s="50" t="s">
        <v>109</v>
      </c>
      <c r="AH331" s="50" t="s">
        <v>102</v>
      </c>
      <c r="AI331" s="50" t="s">
        <v>21167</v>
      </c>
      <c r="AJ331" s="50" t="s">
        <v>21168</v>
      </c>
      <c r="AK331" s="50" t="s">
        <v>21168</v>
      </c>
      <c r="AL331" s="50" t="s">
        <v>21169</v>
      </c>
      <c r="AM331" s="50" t="s">
        <v>21170</v>
      </c>
      <c r="AN331" s="50" t="s">
        <v>21171</v>
      </c>
      <c r="AO331" s="50" t="s">
        <v>16189</v>
      </c>
      <c r="AP331" s="50" t="s">
        <v>16189</v>
      </c>
      <c r="AU331" s="50" t="s">
        <v>247</v>
      </c>
      <c r="AV331" s="50" t="s">
        <v>118</v>
      </c>
      <c r="AW331" s="50" t="s">
        <v>102</v>
      </c>
      <c r="AX331" s="50" t="s">
        <v>119</v>
      </c>
      <c r="BA331" s="50" t="s">
        <v>250</v>
      </c>
      <c r="BB331" s="50" t="s">
        <v>171</v>
      </c>
      <c r="BC331" s="50" t="s">
        <v>6280</v>
      </c>
      <c r="BD331" s="50" t="s">
        <v>621</v>
      </c>
      <c r="BE331" s="50" t="s">
        <v>622</v>
      </c>
      <c r="BF331" s="50" t="s">
        <v>976</v>
      </c>
      <c r="BG331" s="50" t="s">
        <v>124</v>
      </c>
      <c r="BH331" s="50" t="s">
        <v>18193</v>
      </c>
      <c r="BI331" s="50" t="s">
        <v>21172</v>
      </c>
      <c r="BJ331" s="50" t="s">
        <v>127</v>
      </c>
      <c r="BK331" s="50" t="s">
        <v>21173</v>
      </c>
      <c r="BL331" s="50" t="s">
        <v>11196</v>
      </c>
      <c r="BM331" s="50" t="s">
        <v>21174</v>
      </c>
      <c r="BN331" s="50" t="s">
        <v>21163</v>
      </c>
      <c r="BO331" s="50" t="s">
        <v>13638</v>
      </c>
      <c r="BP331" s="50" t="s">
        <v>132</v>
      </c>
      <c r="BQ331" s="50" t="s">
        <v>13639</v>
      </c>
      <c r="BR331" s="50" t="s">
        <v>13640</v>
      </c>
      <c r="BS331" s="50" t="s">
        <v>1342</v>
      </c>
      <c r="BU331" s="50" t="s">
        <v>21175</v>
      </c>
      <c r="BV331" s="50" t="s">
        <v>16196</v>
      </c>
      <c r="BW331" s="50" t="s">
        <v>1282</v>
      </c>
      <c r="BX331" s="50" t="s">
        <v>6286</v>
      </c>
      <c r="BY331" s="50" t="s">
        <v>6287</v>
      </c>
      <c r="BZ331" s="50" t="s">
        <v>11199</v>
      </c>
      <c r="CA331" s="50" t="s">
        <v>16196</v>
      </c>
      <c r="CB331" s="50" t="s">
        <v>6286</v>
      </c>
      <c r="CC331" s="50" t="s">
        <v>21176</v>
      </c>
      <c r="CD331" s="50" t="s">
        <v>21177</v>
      </c>
      <c r="CE331" s="50" t="s">
        <v>21178</v>
      </c>
      <c r="CF331" s="50" t="s">
        <v>21179</v>
      </c>
      <c r="CG331" s="50" t="s">
        <v>5811</v>
      </c>
      <c r="CH331" s="50" t="s">
        <v>21180</v>
      </c>
      <c r="CJ331" s="50" t="s">
        <v>8522</v>
      </c>
      <c r="CK331" s="50" t="s">
        <v>21180</v>
      </c>
      <c r="CL331" s="50" t="s">
        <v>6280</v>
      </c>
      <c r="CM331" s="50" t="s">
        <v>621</v>
      </c>
      <c r="CN331" s="50" t="s">
        <v>8522</v>
      </c>
      <c r="CO331" s="50" t="s">
        <v>6293</v>
      </c>
      <c r="CP331" s="50" t="s">
        <v>11204</v>
      </c>
      <c r="CQ331" s="50" t="s">
        <v>11204</v>
      </c>
    </row>
    <row r="332" spans="1:96">
      <c r="A332" s="50" t="s">
        <v>93</v>
      </c>
      <c r="B332" s="50">
        <v>3472699</v>
      </c>
      <c r="C332" s="50" t="s">
        <v>12030</v>
      </c>
      <c r="D332" s="50" t="s">
        <v>16145</v>
      </c>
      <c r="E332" s="50" t="e">
        <f>VLOOKUP(B332,aa!B:F,5,0)</f>
        <v>#N/A</v>
      </c>
      <c r="F332" s="50" t="e">
        <f>VLOOKUP(B332,aa!B:J,9,0)</f>
        <v>#N/A</v>
      </c>
      <c r="G332" s="50" t="e">
        <f>VLOOKUP(B332,aa!B:L,11,0)</f>
        <v>#N/A</v>
      </c>
      <c r="H332" s="50" t="e">
        <f>VLOOKUP(B332,aa!B:O,14,0)</f>
        <v>#N/A</v>
      </c>
      <c r="I332" s="50" t="e">
        <f>VLOOKUP(B332,aa!B:R,17,0)</f>
        <v>#N/A</v>
      </c>
      <c r="K332" s="50" t="s">
        <v>97</v>
      </c>
      <c r="L332" s="50">
        <v>418800</v>
      </c>
      <c r="M332" s="50">
        <v>418800</v>
      </c>
      <c r="N332" s="50">
        <v>418800</v>
      </c>
      <c r="O332" s="50">
        <v>698</v>
      </c>
      <c r="P332" s="50" t="s">
        <v>310</v>
      </c>
      <c r="Q332" s="50">
        <v>0</v>
      </c>
      <c r="R332" s="50">
        <v>0</v>
      </c>
      <c r="T332" s="50">
        <v>0</v>
      </c>
      <c r="U332" s="50">
        <v>0</v>
      </c>
      <c r="W332" s="50" t="s">
        <v>102</v>
      </c>
      <c r="X332" s="50" t="s">
        <v>103</v>
      </c>
      <c r="Y332" s="50" t="s">
        <v>104</v>
      </c>
      <c r="AA332" s="50" t="s">
        <v>12427</v>
      </c>
      <c r="AB332" s="50" t="s">
        <v>8503</v>
      </c>
      <c r="AC332" s="50" t="s">
        <v>12427</v>
      </c>
      <c r="AD332" s="50" t="s">
        <v>8503</v>
      </c>
      <c r="AE332" s="50" t="s">
        <v>109</v>
      </c>
      <c r="AF332" s="50" t="s">
        <v>102</v>
      </c>
      <c r="AG332" s="50" t="s">
        <v>109</v>
      </c>
      <c r="AH332" s="50" t="s">
        <v>102</v>
      </c>
      <c r="AI332" s="50" t="s">
        <v>14701</v>
      </c>
      <c r="AJ332" s="50" t="s">
        <v>11932</v>
      </c>
      <c r="AK332" s="50" t="s">
        <v>15177</v>
      </c>
      <c r="AL332" s="50" t="s">
        <v>16146</v>
      </c>
      <c r="AM332" s="50" t="s">
        <v>9643</v>
      </c>
      <c r="AN332" s="50" t="s">
        <v>16147</v>
      </c>
      <c r="AO332" s="50" t="s">
        <v>317</v>
      </c>
      <c r="AP332" s="50" t="s">
        <v>317</v>
      </c>
      <c r="AU332" s="50" t="s">
        <v>318</v>
      </c>
      <c r="AV332" s="50" t="s">
        <v>118</v>
      </c>
      <c r="AW332" s="50" t="s">
        <v>102</v>
      </c>
      <c r="AX332" s="50" t="s">
        <v>119</v>
      </c>
      <c r="BB332" s="50" t="s">
        <v>120</v>
      </c>
      <c r="BC332" s="50" t="s">
        <v>16148</v>
      </c>
      <c r="BD332" s="50" t="s">
        <v>2800</v>
      </c>
      <c r="BE332" s="50" t="s">
        <v>122</v>
      </c>
      <c r="BF332" s="50" t="s">
        <v>346</v>
      </c>
      <c r="BG332" s="50" t="s">
        <v>124</v>
      </c>
      <c r="BH332" s="50" t="s">
        <v>12023</v>
      </c>
      <c r="BI332" s="50" t="s">
        <v>11889</v>
      </c>
      <c r="BJ332" s="50" t="s">
        <v>127</v>
      </c>
      <c r="BK332" s="50" t="s">
        <v>16149</v>
      </c>
      <c r="BL332" s="50" t="s">
        <v>16150</v>
      </c>
      <c r="BM332" s="50" t="s">
        <v>16151</v>
      </c>
      <c r="BN332" s="50" t="s">
        <v>16054</v>
      </c>
      <c r="BO332" s="50" t="s">
        <v>4845</v>
      </c>
      <c r="BP332" s="50" t="s">
        <v>350</v>
      </c>
      <c r="BQ332" s="50" t="s">
        <v>4846</v>
      </c>
      <c r="BR332" s="50" t="s">
        <v>4847</v>
      </c>
      <c r="BS332" s="50" t="s">
        <v>328</v>
      </c>
      <c r="BT332" s="50" t="s">
        <v>5574</v>
      </c>
      <c r="BU332" s="50" t="s">
        <v>16152</v>
      </c>
      <c r="BV332" s="50" t="s">
        <v>16153</v>
      </c>
      <c r="BW332" s="50" t="s">
        <v>569</v>
      </c>
      <c r="BX332" s="50" t="s">
        <v>16154</v>
      </c>
      <c r="BY332" s="50" t="s">
        <v>16155</v>
      </c>
      <c r="BZ332" s="50" t="s">
        <v>16156</v>
      </c>
      <c r="CA332" s="50" t="s">
        <v>16157</v>
      </c>
      <c r="CB332" s="50" t="s">
        <v>16158</v>
      </c>
      <c r="CC332" s="50" t="s">
        <v>16155</v>
      </c>
      <c r="CD332" s="50" t="s">
        <v>16157</v>
      </c>
      <c r="CE332" s="50" t="s">
        <v>16158</v>
      </c>
      <c r="CF332" s="50" t="s">
        <v>16155</v>
      </c>
      <c r="CG332" s="50" t="s">
        <v>3841</v>
      </c>
      <c r="CH332" s="50" t="s">
        <v>16159</v>
      </c>
      <c r="CJ332" s="50" t="s">
        <v>16160</v>
      </c>
      <c r="CK332" s="50" t="s">
        <v>16159</v>
      </c>
      <c r="CL332" s="50" t="s">
        <v>16148</v>
      </c>
      <c r="CM332" s="50" t="s">
        <v>2800</v>
      </c>
      <c r="CN332" s="50" t="s">
        <v>16160</v>
      </c>
      <c r="CP332" s="50" t="s">
        <v>16161</v>
      </c>
      <c r="CQ332" s="50" t="s">
        <v>16161</v>
      </c>
    </row>
    <row r="333" spans="1:96">
      <c r="A333" s="50" t="s">
        <v>93</v>
      </c>
      <c r="B333" s="50">
        <v>541153</v>
      </c>
      <c r="C333" s="50" t="s">
        <v>12030</v>
      </c>
      <c r="D333" s="50" t="s">
        <v>21071</v>
      </c>
      <c r="E333" s="50" t="e">
        <f>VLOOKUP(B333,aa!B:F,5,0)</f>
        <v>#N/A</v>
      </c>
      <c r="F333" s="50" t="e">
        <f>VLOOKUP(B333,aa!B:J,9,0)</f>
        <v>#N/A</v>
      </c>
      <c r="G333" s="50" t="e">
        <f>VLOOKUP(B333,aa!B:L,11,0)</f>
        <v>#N/A</v>
      </c>
      <c r="H333" s="50" t="e">
        <f>VLOOKUP(B333,aa!B:O,14,0)</f>
        <v>#N/A</v>
      </c>
      <c r="I333" s="50" t="e">
        <f>VLOOKUP(B333,aa!B:R,17,0)</f>
        <v>#N/A</v>
      </c>
      <c r="K333" s="50" t="s">
        <v>97</v>
      </c>
      <c r="L333" s="50">
        <v>358200</v>
      </c>
      <c r="M333" s="50">
        <v>358200</v>
      </c>
      <c r="N333" s="50">
        <v>358200</v>
      </c>
      <c r="O333" s="50">
        <v>597</v>
      </c>
      <c r="P333" s="50" t="s">
        <v>310</v>
      </c>
      <c r="Q333" s="50">
        <v>0</v>
      </c>
      <c r="R333" s="50">
        <v>0</v>
      </c>
      <c r="T333" s="50">
        <v>0</v>
      </c>
      <c r="U333" s="50">
        <v>0</v>
      </c>
      <c r="W333" s="50" t="s">
        <v>102</v>
      </c>
      <c r="X333" s="50" t="s">
        <v>103</v>
      </c>
      <c r="Y333" s="50" t="s">
        <v>104</v>
      </c>
      <c r="AA333" s="50" t="s">
        <v>8708</v>
      </c>
      <c r="AB333" s="50" t="s">
        <v>21072</v>
      </c>
      <c r="AC333" s="50" t="s">
        <v>8708</v>
      </c>
      <c r="AD333" s="50" t="s">
        <v>21072</v>
      </c>
      <c r="AE333" s="50" t="s">
        <v>109</v>
      </c>
      <c r="AF333" s="50" t="s">
        <v>102</v>
      </c>
      <c r="AG333" s="50" t="s">
        <v>109</v>
      </c>
      <c r="AH333" s="50" t="s">
        <v>102</v>
      </c>
      <c r="AI333" s="50" t="s">
        <v>9458</v>
      </c>
      <c r="AJ333" s="50" t="s">
        <v>11932</v>
      </c>
      <c r="AK333" s="50" t="s">
        <v>13034</v>
      </c>
      <c r="AL333" s="50" t="s">
        <v>21073</v>
      </c>
      <c r="AM333" s="50" t="s">
        <v>21074</v>
      </c>
      <c r="AN333" s="50" t="s">
        <v>21075</v>
      </c>
      <c r="AO333" s="50" t="s">
        <v>317</v>
      </c>
      <c r="AP333" s="50" t="s">
        <v>317</v>
      </c>
      <c r="AU333" s="50" t="s">
        <v>318</v>
      </c>
      <c r="AV333" s="50" t="s">
        <v>118</v>
      </c>
      <c r="AW333" s="50" t="s">
        <v>102</v>
      </c>
      <c r="AX333" s="50" t="s">
        <v>119</v>
      </c>
      <c r="BB333" s="50" t="s">
        <v>120</v>
      </c>
      <c r="BC333" s="50" t="s">
        <v>16148</v>
      </c>
      <c r="BD333" s="50" t="s">
        <v>2800</v>
      </c>
      <c r="BE333" s="50" t="s">
        <v>122</v>
      </c>
      <c r="BF333" s="50" t="s">
        <v>346</v>
      </c>
      <c r="BG333" s="50" t="s">
        <v>124</v>
      </c>
      <c r="BH333" s="50" t="s">
        <v>12023</v>
      </c>
      <c r="BI333" s="50" t="s">
        <v>11889</v>
      </c>
      <c r="BJ333" s="50" t="s">
        <v>127</v>
      </c>
      <c r="BK333" s="50" t="s">
        <v>21076</v>
      </c>
      <c r="BL333" s="50" t="s">
        <v>21077</v>
      </c>
      <c r="BM333" s="50" t="s">
        <v>21078</v>
      </c>
      <c r="BN333" s="50" t="s">
        <v>16054</v>
      </c>
      <c r="BO333" s="50" t="s">
        <v>4845</v>
      </c>
      <c r="BP333" s="50" t="s">
        <v>350</v>
      </c>
      <c r="BQ333" s="50" t="s">
        <v>4846</v>
      </c>
      <c r="BR333" s="50" t="s">
        <v>4847</v>
      </c>
      <c r="BS333" s="50" t="s">
        <v>328</v>
      </c>
      <c r="BU333" s="50" t="s">
        <v>21079</v>
      </c>
      <c r="BV333" s="50" t="s">
        <v>16153</v>
      </c>
      <c r="BW333" s="50" t="s">
        <v>569</v>
      </c>
      <c r="BX333" s="50" t="s">
        <v>16154</v>
      </c>
      <c r="BY333" s="50" t="s">
        <v>16155</v>
      </c>
      <c r="BZ333" s="50" t="s">
        <v>16156</v>
      </c>
      <c r="CA333" s="50" t="s">
        <v>16153</v>
      </c>
      <c r="CB333" s="50" t="s">
        <v>16154</v>
      </c>
      <c r="CC333" s="50" t="s">
        <v>16155</v>
      </c>
      <c r="CD333" s="50" t="s">
        <v>16153</v>
      </c>
      <c r="CE333" s="50" t="s">
        <v>16154</v>
      </c>
      <c r="CF333" s="50" t="s">
        <v>16155</v>
      </c>
      <c r="CG333" s="50" t="s">
        <v>3841</v>
      </c>
      <c r="CH333" s="50" t="s">
        <v>21080</v>
      </c>
      <c r="CJ333" s="50" t="s">
        <v>21081</v>
      </c>
      <c r="CK333" s="50" t="s">
        <v>21080</v>
      </c>
      <c r="CL333" s="50" t="s">
        <v>16148</v>
      </c>
      <c r="CM333" s="50" t="s">
        <v>2800</v>
      </c>
      <c r="CN333" s="50" t="s">
        <v>21081</v>
      </c>
      <c r="CP333" s="50" t="s">
        <v>21080</v>
      </c>
      <c r="CQ333" s="50" t="s">
        <v>21080</v>
      </c>
    </row>
    <row r="334" spans="1:96">
      <c r="A334" s="95" t="s">
        <v>149</v>
      </c>
      <c r="B334" s="50">
        <v>620889</v>
      </c>
      <c r="C334" s="50" t="s">
        <v>12030</v>
      </c>
      <c r="D334" s="50" t="s">
        <v>11363</v>
      </c>
      <c r="E334" s="50" t="e">
        <f>VLOOKUP(B334,aa!B:F,5,0)</f>
        <v>#N/A</v>
      </c>
      <c r="F334" s="50" t="e">
        <f>VLOOKUP(B334,aa!B:J,9,0)</f>
        <v>#N/A</v>
      </c>
      <c r="G334" s="50" t="e">
        <f>VLOOKUP(B334,aa!B:L,11,0)</f>
        <v>#N/A</v>
      </c>
      <c r="H334" s="50" t="e">
        <f>VLOOKUP(B334,aa!B:O,14,0)</f>
        <v>#N/A</v>
      </c>
      <c r="I334" s="50" t="e">
        <f>VLOOKUP(B334,aa!B:R,17,0)</f>
        <v>#N/A</v>
      </c>
      <c r="K334" s="50" t="s">
        <v>97</v>
      </c>
      <c r="L334" s="50">
        <v>345000</v>
      </c>
      <c r="M334" s="50">
        <v>345000</v>
      </c>
      <c r="N334" s="50">
        <v>345000</v>
      </c>
      <c r="O334" s="50">
        <v>460</v>
      </c>
      <c r="P334" s="50" t="s">
        <v>101</v>
      </c>
      <c r="Q334" s="50">
        <v>0</v>
      </c>
      <c r="R334" s="50">
        <v>0</v>
      </c>
      <c r="T334" s="50">
        <v>0</v>
      </c>
      <c r="U334" s="50">
        <v>0</v>
      </c>
      <c r="W334" s="50" t="s">
        <v>102</v>
      </c>
      <c r="X334" s="50" t="s">
        <v>275</v>
      </c>
      <c r="Z334" s="50" t="s">
        <v>12289</v>
      </c>
      <c r="AA334" s="50" t="s">
        <v>109</v>
      </c>
      <c r="AB334" s="50" t="s">
        <v>102</v>
      </c>
      <c r="AC334" s="50" t="s">
        <v>109</v>
      </c>
      <c r="AD334" s="50" t="s">
        <v>102</v>
      </c>
      <c r="AE334" s="50" t="s">
        <v>109</v>
      </c>
      <c r="AF334" s="50" t="s">
        <v>102</v>
      </c>
      <c r="AG334" s="50" t="s">
        <v>109</v>
      </c>
      <c r="AH334" s="50" t="s">
        <v>102</v>
      </c>
      <c r="AI334" s="50" t="s">
        <v>21270</v>
      </c>
      <c r="AJ334" s="50" t="s">
        <v>14193</v>
      </c>
      <c r="AK334" s="50" t="s">
        <v>14193</v>
      </c>
      <c r="AL334" s="50" t="s">
        <v>21271</v>
      </c>
      <c r="AM334" s="50" t="s">
        <v>21272</v>
      </c>
      <c r="AN334" s="50" t="s">
        <v>101</v>
      </c>
      <c r="AO334" s="50" t="s">
        <v>116</v>
      </c>
      <c r="AP334" s="50" t="s">
        <v>116</v>
      </c>
      <c r="AU334" s="50" t="s">
        <v>117</v>
      </c>
      <c r="AV334" s="50" t="s">
        <v>118</v>
      </c>
      <c r="AW334" s="50" t="s">
        <v>102</v>
      </c>
      <c r="AX334" s="50" t="s">
        <v>119</v>
      </c>
      <c r="BB334" s="50" t="s">
        <v>1664</v>
      </c>
      <c r="BC334" s="50" t="s">
        <v>11368</v>
      </c>
      <c r="BD334" s="50" t="s">
        <v>2800</v>
      </c>
      <c r="BE334" s="50" t="s">
        <v>122</v>
      </c>
      <c r="BF334" s="50" t="s">
        <v>346</v>
      </c>
      <c r="BG334" s="50" t="s">
        <v>124</v>
      </c>
      <c r="BH334" s="50" t="s">
        <v>12023</v>
      </c>
      <c r="BI334" s="50" t="s">
        <v>11889</v>
      </c>
      <c r="BJ334" s="50" t="s">
        <v>127</v>
      </c>
      <c r="BK334" s="50" t="s">
        <v>21273</v>
      </c>
      <c r="BL334" s="50" t="s">
        <v>11370</v>
      </c>
      <c r="BM334" s="50" t="s">
        <v>21274</v>
      </c>
      <c r="BN334" s="50" t="s">
        <v>16054</v>
      </c>
      <c r="BO334" s="50" t="s">
        <v>4845</v>
      </c>
      <c r="BP334" s="50" t="s">
        <v>505</v>
      </c>
      <c r="BQ334" s="50" t="s">
        <v>4846</v>
      </c>
      <c r="BR334" s="50" t="s">
        <v>4847</v>
      </c>
      <c r="BS334" s="50" t="s">
        <v>8756</v>
      </c>
      <c r="BT334" s="50" t="s">
        <v>5743</v>
      </c>
      <c r="BU334" s="50" t="s">
        <v>21275</v>
      </c>
      <c r="BV334" s="50" t="s">
        <v>21276</v>
      </c>
      <c r="BW334" s="50" t="s">
        <v>569</v>
      </c>
      <c r="BX334" s="50" t="s">
        <v>11374</v>
      </c>
      <c r="BY334" s="50" t="s">
        <v>11375</v>
      </c>
      <c r="BZ334" s="50" t="s">
        <v>11376</v>
      </c>
      <c r="CA334" s="50" t="s">
        <v>21277</v>
      </c>
      <c r="CB334" s="50" t="s">
        <v>21278</v>
      </c>
      <c r="CC334" s="50" t="s">
        <v>21279</v>
      </c>
      <c r="CD334" s="50" t="s">
        <v>11373</v>
      </c>
      <c r="CE334" s="50" t="s">
        <v>11374</v>
      </c>
      <c r="CF334" s="50" t="s">
        <v>11375</v>
      </c>
      <c r="CG334" s="50" t="s">
        <v>11377</v>
      </c>
      <c r="CH334" s="50" t="s">
        <v>11378</v>
      </c>
      <c r="CJ334" s="50" t="s">
        <v>11379</v>
      </c>
      <c r="CK334" s="50" t="s">
        <v>21280</v>
      </c>
      <c r="CL334" s="50" t="s">
        <v>11368</v>
      </c>
      <c r="CM334" s="50" t="s">
        <v>2800</v>
      </c>
      <c r="CN334" s="50" t="s">
        <v>11379</v>
      </c>
      <c r="CP334" s="50" t="s">
        <v>11378</v>
      </c>
      <c r="CQ334" s="50" t="s">
        <v>11378</v>
      </c>
    </row>
    <row r="335" spans="1:96">
      <c r="A335" s="95" t="s">
        <v>149</v>
      </c>
      <c r="B335" s="50">
        <v>1822220</v>
      </c>
      <c r="C335" s="50" t="s">
        <v>11898</v>
      </c>
      <c r="D335" s="50" t="s">
        <v>1980</v>
      </c>
      <c r="E335" s="50" t="e">
        <f>VLOOKUP(B335,aa!B:F,5,0)</f>
        <v>#N/A</v>
      </c>
      <c r="F335" s="50" t="e">
        <f>VLOOKUP(B335,aa!B:J,9,0)</f>
        <v>#N/A</v>
      </c>
      <c r="G335" s="50" t="e">
        <f>VLOOKUP(B335,aa!B:L,11,0)</f>
        <v>#N/A</v>
      </c>
      <c r="H335" s="50" t="e">
        <f>VLOOKUP(B335,aa!B:O,14,0)</f>
        <v>#N/A</v>
      </c>
      <c r="I335" s="50" t="e">
        <f>VLOOKUP(B335,aa!B:R,17,0)</f>
        <v>#N/A</v>
      </c>
      <c r="K335" s="50" t="s">
        <v>97</v>
      </c>
      <c r="L335" s="50">
        <v>325080</v>
      </c>
      <c r="M335" s="50">
        <v>325080</v>
      </c>
      <c r="N335" s="50">
        <v>325080</v>
      </c>
      <c r="O335" s="50">
        <v>200</v>
      </c>
      <c r="P335" s="50" t="s">
        <v>12984</v>
      </c>
      <c r="Q335" s="50">
        <v>0</v>
      </c>
      <c r="R335" s="50">
        <v>0</v>
      </c>
      <c r="T335" s="50">
        <v>0</v>
      </c>
      <c r="U335" s="50">
        <v>0</v>
      </c>
      <c r="W335" s="50" t="s">
        <v>102</v>
      </c>
      <c r="X335" s="50" t="s">
        <v>275</v>
      </c>
      <c r="Z335" s="50" t="s">
        <v>126</v>
      </c>
      <c r="AA335" s="50" t="s">
        <v>109</v>
      </c>
      <c r="AB335" s="50" t="s">
        <v>102</v>
      </c>
      <c r="AC335" s="50" t="s">
        <v>109</v>
      </c>
      <c r="AD335" s="50" t="s">
        <v>102</v>
      </c>
      <c r="AE335" s="50" t="s">
        <v>109</v>
      </c>
      <c r="AF335" s="50" t="s">
        <v>102</v>
      </c>
      <c r="AG335" s="50" t="s">
        <v>109</v>
      </c>
      <c r="AH335" s="50" t="s">
        <v>102</v>
      </c>
      <c r="AI335" s="50" t="s">
        <v>12985</v>
      </c>
      <c r="AJ335" s="50" t="s">
        <v>12541</v>
      </c>
      <c r="AK335" s="50" t="s">
        <v>12541</v>
      </c>
      <c r="AL335" s="50" t="s">
        <v>12986</v>
      </c>
      <c r="AM335" s="50" t="s">
        <v>12987</v>
      </c>
      <c r="AN335" s="50" t="s">
        <v>102</v>
      </c>
      <c r="AO335" s="50" t="s">
        <v>12988</v>
      </c>
      <c r="AP335" s="50" t="s">
        <v>12989</v>
      </c>
      <c r="AQ335" s="50" t="s">
        <v>343</v>
      </c>
      <c r="AU335" s="50" t="s">
        <v>318</v>
      </c>
      <c r="AV335" s="50" t="s">
        <v>118</v>
      </c>
      <c r="AW335" s="50" t="s">
        <v>102</v>
      </c>
      <c r="AX335" s="50" t="s">
        <v>119</v>
      </c>
      <c r="BB335" s="50" t="s">
        <v>120</v>
      </c>
      <c r="BC335" s="50" t="s">
        <v>251</v>
      </c>
      <c r="BD335" s="50" t="s">
        <v>252</v>
      </c>
      <c r="BE335" s="50" t="s">
        <v>122</v>
      </c>
      <c r="BF335" s="50" t="s">
        <v>253</v>
      </c>
      <c r="BG335" s="50" t="s">
        <v>124</v>
      </c>
      <c r="BH335" s="50" t="s">
        <v>7484</v>
      </c>
      <c r="BI335" s="50" t="s">
        <v>12435</v>
      </c>
      <c r="BJ335" s="50" t="s">
        <v>127</v>
      </c>
      <c r="BK335" s="50" t="s">
        <v>12990</v>
      </c>
      <c r="BL335" s="50" t="s">
        <v>1990</v>
      </c>
      <c r="BM335" s="50" t="s">
        <v>12991</v>
      </c>
      <c r="BN335" s="50" t="s">
        <v>7484</v>
      </c>
      <c r="BO335" s="50" t="s">
        <v>12453</v>
      </c>
      <c r="BP335" s="50" t="s">
        <v>350</v>
      </c>
      <c r="BQ335" s="50" t="s">
        <v>12454</v>
      </c>
      <c r="BR335" s="50" t="s">
        <v>12455</v>
      </c>
      <c r="BS335" s="50" t="s">
        <v>1995</v>
      </c>
      <c r="BT335" s="50" t="s">
        <v>135</v>
      </c>
      <c r="BU335" s="50" t="s">
        <v>12992</v>
      </c>
      <c r="BV335" s="50" t="s">
        <v>12993</v>
      </c>
      <c r="BW335" s="50" t="s">
        <v>138</v>
      </c>
      <c r="BX335" s="50" t="s">
        <v>12994</v>
      </c>
      <c r="BY335" s="50" t="s">
        <v>12995</v>
      </c>
      <c r="BZ335" s="50" t="s">
        <v>1998</v>
      </c>
      <c r="CA335" s="50" t="s">
        <v>12993</v>
      </c>
      <c r="CB335" s="50" t="s">
        <v>12994</v>
      </c>
      <c r="CC335" s="50" t="s">
        <v>12995</v>
      </c>
      <c r="CD335" s="50" t="s">
        <v>12993</v>
      </c>
      <c r="CE335" s="50" t="s">
        <v>12994</v>
      </c>
      <c r="CF335" s="50" t="s">
        <v>12995</v>
      </c>
      <c r="CG335" s="50" t="s">
        <v>1999</v>
      </c>
      <c r="CH335" s="50" t="s">
        <v>12996</v>
      </c>
      <c r="CJ335" s="50" t="s">
        <v>2001</v>
      </c>
      <c r="CK335" s="50" t="s">
        <v>12997</v>
      </c>
      <c r="CL335" s="50" t="s">
        <v>251</v>
      </c>
      <c r="CM335" s="50" t="s">
        <v>252</v>
      </c>
      <c r="CN335" s="50" t="s">
        <v>2001</v>
      </c>
      <c r="CP335" s="50" t="s">
        <v>2000</v>
      </c>
      <c r="CQ335" s="50" t="s">
        <v>2002</v>
      </c>
    </row>
    <row r="336" spans="1:96">
      <c r="A336" s="95" t="s">
        <v>149</v>
      </c>
      <c r="B336" s="50">
        <v>420525</v>
      </c>
      <c r="C336" s="50" t="s">
        <v>2151</v>
      </c>
      <c r="D336" s="50" t="s">
        <v>8894</v>
      </c>
      <c r="E336" s="50" t="e">
        <f>VLOOKUP(B336,aa!B:F,5,0)</f>
        <v>#N/A</v>
      </c>
      <c r="F336" s="50" t="e">
        <f>VLOOKUP(B336,aa!B:J,9,0)</f>
        <v>#N/A</v>
      </c>
      <c r="G336" s="50" t="e">
        <f>VLOOKUP(B336,aa!B:L,11,0)</f>
        <v>#N/A</v>
      </c>
      <c r="H336" s="50" t="e">
        <f>VLOOKUP(B336,aa!B:O,14,0)</f>
        <v>#N/A</v>
      </c>
      <c r="I336" s="50" t="e">
        <f>VLOOKUP(B336,aa!B:R,17,0)</f>
        <v>#N/A</v>
      </c>
      <c r="K336" s="50" t="s">
        <v>193</v>
      </c>
      <c r="L336" s="50">
        <v>4844438</v>
      </c>
      <c r="M336" s="50">
        <v>5552852</v>
      </c>
      <c r="N336" s="50">
        <v>908805</v>
      </c>
      <c r="O336" s="50">
        <v>1907</v>
      </c>
      <c r="P336" s="50" t="s">
        <v>2886</v>
      </c>
      <c r="Q336" s="50">
        <v>0</v>
      </c>
      <c r="R336" s="50">
        <v>0</v>
      </c>
      <c r="T336" s="50">
        <v>3935633</v>
      </c>
      <c r="U336" s="50">
        <v>2236</v>
      </c>
      <c r="V336" s="50" t="s">
        <v>5818</v>
      </c>
      <c r="W336" s="50" t="s">
        <v>102</v>
      </c>
      <c r="X336" s="50" t="s">
        <v>103</v>
      </c>
      <c r="Y336" s="50" t="s">
        <v>5317</v>
      </c>
      <c r="AA336" s="50" t="s">
        <v>18285</v>
      </c>
      <c r="AB336" s="50" t="s">
        <v>18286</v>
      </c>
      <c r="AC336" s="50" t="s">
        <v>18287</v>
      </c>
      <c r="AD336" s="50" t="s">
        <v>18288</v>
      </c>
      <c r="AE336" s="50" t="s">
        <v>12595</v>
      </c>
      <c r="AF336" s="50" t="s">
        <v>18289</v>
      </c>
      <c r="AG336" s="50" t="s">
        <v>109</v>
      </c>
      <c r="AH336" s="50" t="s">
        <v>102</v>
      </c>
      <c r="AI336" s="50" t="s">
        <v>18290</v>
      </c>
      <c r="AJ336" s="50" t="s">
        <v>18291</v>
      </c>
      <c r="AK336" s="50" t="s">
        <v>18292</v>
      </c>
      <c r="AL336" s="50" t="s">
        <v>18293</v>
      </c>
      <c r="AM336" s="50" t="s">
        <v>18294</v>
      </c>
      <c r="AN336" s="50" t="s">
        <v>18295</v>
      </c>
      <c r="AO336" s="50" t="s">
        <v>18296</v>
      </c>
      <c r="AP336" s="50" t="s">
        <v>18296</v>
      </c>
      <c r="AU336" s="50" t="s">
        <v>247</v>
      </c>
      <c r="AV336" s="50" t="s">
        <v>118</v>
      </c>
      <c r="AW336" s="50" t="s">
        <v>102</v>
      </c>
      <c r="AX336" s="50" t="s">
        <v>119</v>
      </c>
      <c r="BA336" s="50" t="s">
        <v>250</v>
      </c>
      <c r="BB336" s="50" t="s">
        <v>171</v>
      </c>
      <c r="BC336" s="50" t="s">
        <v>920</v>
      </c>
      <c r="BD336" s="50" t="s">
        <v>211</v>
      </c>
      <c r="BE336" s="50" t="s">
        <v>212</v>
      </c>
      <c r="BF336" s="50" t="s">
        <v>213</v>
      </c>
      <c r="BG336" s="50" t="s">
        <v>124</v>
      </c>
      <c r="BH336" s="50" t="s">
        <v>13308</v>
      </c>
      <c r="BI336" s="50" t="s">
        <v>11889</v>
      </c>
      <c r="BJ336" s="50" t="s">
        <v>127</v>
      </c>
      <c r="BK336" s="50" t="s">
        <v>18297</v>
      </c>
      <c r="BL336" s="50" t="s">
        <v>8908</v>
      </c>
      <c r="BM336" s="50" t="s">
        <v>18298</v>
      </c>
      <c r="BN336" s="50" t="s">
        <v>7484</v>
      </c>
      <c r="BO336" s="50" t="s">
        <v>415</v>
      </c>
      <c r="BP336" s="50" t="s">
        <v>7992</v>
      </c>
      <c r="BQ336" s="50" t="s">
        <v>416</v>
      </c>
      <c r="BR336" s="50" t="s">
        <v>417</v>
      </c>
      <c r="BS336" s="50" t="s">
        <v>2151</v>
      </c>
      <c r="BU336" s="50" t="s">
        <v>18299</v>
      </c>
      <c r="BV336" s="50" t="s">
        <v>8911</v>
      </c>
      <c r="BW336" s="50" t="s">
        <v>138</v>
      </c>
      <c r="BX336" s="50" t="s">
        <v>8912</v>
      </c>
      <c r="BY336" s="50" t="s">
        <v>8913</v>
      </c>
      <c r="BZ336" s="50" t="s">
        <v>8912</v>
      </c>
      <c r="CA336" s="50" t="s">
        <v>8911</v>
      </c>
      <c r="CB336" s="50" t="s">
        <v>8912</v>
      </c>
      <c r="CC336" s="50" t="s">
        <v>8913</v>
      </c>
      <c r="CD336" s="50" t="s">
        <v>8911</v>
      </c>
      <c r="CE336" s="50" t="s">
        <v>8912</v>
      </c>
      <c r="CF336" s="50" t="s">
        <v>8913</v>
      </c>
      <c r="CG336" s="50" t="s">
        <v>8917</v>
      </c>
      <c r="CH336" s="50" t="s">
        <v>8918</v>
      </c>
      <c r="CJ336" s="50" t="s">
        <v>8919</v>
      </c>
      <c r="CK336" s="50" t="s">
        <v>8918</v>
      </c>
      <c r="CL336" s="50" t="s">
        <v>920</v>
      </c>
      <c r="CM336" s="50" t="s">
        <v>211</v>
      </c>
      <c r="CN336" s="50" t="s">
        <v>8919</v>
      </c>
      <c r="CO336" s="50" t="s">
        <v>8920</v>
      </c>
      <c r="CP336" s="50" t="s">
        <v>8918</v>
      </c>
      <c r="CQ336" s="50" t="s">
        <v>8918</v>
      </c>
      <c r="CR336" s="50" t="s">
        <v>26040</v>
      </c>
    </row>
    <row r="337" spans="1:96">
      <c r="A337" s="95" t="s">
        <v>149</v>
      </c>
      <c r="B337" s="50">
        <v>1131322</v>
      </c>
      <c r="C337" s="50" t="s">
        <v>11995</v>
      </c>
      <c r="D337" s="50" t="s">
        <v>516</v>
      </c>
      <c r="E337" s="50" t="e">
        <f>VLOOKUP(B337,aa!B:F,5,0)</f>
        <v>#N/A</v>
      </c>
      <c r="F337" s="50" t="e">
        <f>VLOOKUP(B337,aa!B:J,9,0)</f>
        <v>#N/A</v>
      </c>
      <c r="G337" s="50" t="e">
        <f>VLOOKUP(B337,aa!B:L,11,0)</f>
        <v>#N/A</v>
      </c>
      <c r="H337" s="50" t="e">
        <f>VLOOKUP(B337,aa!B:O,14,0)</f>
        <v>#N/A</v>
      </c>
      <c r="I337" s="50" t="e">
        <f>VLOOKUP(B337,aa!B:R,17,0)</f>
        <v>#N/A</v>
      </c>
      <c r="K337" s="50" t="s">
        <v>97</v>
      </c>
      <c r="L337" s="50">
        <v>360715</v>
      </c>
      <c r="M337" s="50">
        <v>360715</v>
      </c>
      <c r="N337" s="50">
        <v>360715</v>
      </c>
      <c r="O337" s="50">
        <v>633</v>
      </c>
      <c r="P337" s="50" t="s">
        <v>519</v>
      </c>
      <c r="Q337" s="50">
        <v>0</v>
      </c>
      <c r="R337" s="50">
        <v>0</v>
      </c>
      <c r="T337" s="50">
        <v>0</v>
      </c>
      <c r="U337" s="50">
        <v>0</v>
      </c>
      <c r="W337" s="50" t="s">
        <v>102</v>
      </c>
      <c r="X337" s="50" t="s">
        <v>275</v>
      </c>
      <c r="Z337" s="50" t="s">
        <v>3679</v>
      </c>
      <c r="AA337" s="50" t="s">
        <v>109</v>
      </c>
      <c r="AB337" s="50" t="s">
        <v>102</v>
      </c>
      <c r="AC337" s="50" t="s">
        <v>109</v>
      </c>
      <c r="AD337" s="50" t="s">
        <v>102</v>
      </c>
      <c r="AE337" s="50" t="s">
        <v>109</v>
      </c>
      <c r="AF337" s="50" t="s">
        <v>102</v>
      </c>
      <c r="AG337" s="50" t="s">
        <v>109</v>
      </c>
      <c r="AH337" s="50" t="s">
        <v>102</v>
      </c>
      <c r="AI337" s="50" t="s">
        <v>12144</v>
      </c>
      <c r="AJ337" s="50" t="s">
        <v>12145</v>
      </c>
      <c r="AK337" s="50" t="s">
        <v>12145</v>
      </c>
      <c r="AL337" s="50" t="s">
        <v>12146</v>
      </c>
      <c r="AM337" s="50" t="s">
        <v>12147</v>
      </c>
      <c r="AN337" s="50" t="s">
        <v>1205</v>
      </c>
      <c r="AO337" s="50" t="s">
        <v>12148</v>
      </c>
      <c r="AP337" s="50" t="s">
        <v>12148</v>
      </c>
      <c r="AU337" s="50" t="s">
        <v>318</v>
      </c>
      <c r="AV337" s="50" t="s">
        <v>118</v>
      </c>
      <c r="AW337" s="50" t="s">
        <v>102</v>
      </c>
      <c r="AX337" s="50" t="s">
        <v>119</v>
      </c>
      <c r="BB337" s="50" t="s">
        <v>120</v>
      </c>
      <c r="BC337" s="50" t="s">
        <v>284</v>
      </c>
      <c r="BD337" s="50" t="s">
        <v>285</v>
      </c>
      <c r="BE337" s="50" t="s">
        <v>212</v>
      </c>
      <c r="BF337" s="50" t="s">
        <v>286</v>
      </c>
      <c r="BG337" s="50" t="s">
        <v>124</v>
      </c>
      <c r="BH337" s="50" t="s">
        <v>11959</v>
      </c>
      <c r="BI337" s="50" t="s">
        <v>11889</v>
      </c>
      <c r="BJ337" s="50" t="s">
        <v>127</v>
      </c>
      <c r="BK337" s="50" t="s">
        <v>12149</v>
      </c>
      <c r="BL337" s="50" t="s">
        <v>527</v>
      </c>
      <c r="BM337" s="50" t="s">
        <v>12150</v>
      </c>
      <c r="BN337" s="50" t="s">
        <v>12128</v>
      </c>
      <c r="BO337" s="50" t="s">
        <v>956</v>
      </c>
      <c r="BP337" s="50" t="s">
        <v>132</v>
      </c>
      <c r="BQ337" s="50" t="s">
        <v>958</v>
      </c>
      <c r="BR337" s="50" t="s">
        <v>959</v>
      </c>
      <c r="BS337" s="50" t="s">
        <v>293</v>
      </c>
      <c r="BU337" s="50" t="s">
        <v>12151</v>
      </c>
      <c r="BV337" s="50" t="s">
        <v>12152</v>
      </c>
      <c r="BW337" s="50" t="s">
        <v>138</v>
      </c>
      <c r="BX337" s="50" t="s">
        <v>12153</v>
      </c>
      <c r="BY337" s="50" t="s">
        <v>532</v>
      </c>
      <c r="CA337" s="50" t="s">
        <v>12152</v>
      </c>
      <c r="CB337" s="50" t="s">
        <v>12153</v>
      </c>
      <c r="CC337" s="50" t="s">
        <v>532</v>
      </c>
      <c r="CD337" s="50" t="s">
        <v>12152</v>
      </c>
      <c r="CE337" s="50" t="s">
        <v>12153</v>
      </c>
      <c r="CF337" s="50" t="s">
        <v>532</v>
      </c>
      <c r="CG337" s="50" t="s">
        <v>102</v>
      </c>
      <c r="CH337" s="50" t="s">
        <v>538</v>
      </c>
      <c r="CJ337" s="50" t="s">
        <v>539</v>
      </c>
      <c r="CL337" s="50" t="s">
        <v>284</v>
      </c>
      <c r="CM337" s="50" t="s">
        <v>285</v>
      </c>
      <c r="CN337" s="50" t="s">
        <v>539</v>
      </c>
      <c r="CO337" s="50" t="s">
        <v>540</v>
      </c>
      <c r="CP337" s="50" t="s">
        <v>538</v>
      </c>
      <c r="CQ337" s="50" t="s">
        <v>538</v>
      </c>
      <c r="CR337" s="50" t="s">
        <v>26043</v>
      </c>
    </row>
    <row r="338" spans="1:96">
      <c r="A338" s="95" t="s">
        <v>149</v>
      </c>
      <c r="B338" s="50">
        <v>1720050</v>
      </c>
      <c r="C338" s="50" t="s">
        <v>12423</v>
      </c>
      <c r="D338" s="50" t="s">
        <v>1567</v>
      </c>
      <c r="E338" s="50" t="e">
        <f>VLOOKUP(B338,aa!B:F,5,0)</f>
        <v>#N/A</v>
      </c>
      <c r="F338" s="50" t="e">
        <f>VLOOKUP(B338,aa!B:J,9,0)</f>
        <v>#N/A</v>
      </c>
      <c r="G338" s="50" t="e">
        <f>VLOOKUP(B338,aa!B:L,11,0)</f>
        <v>#N/A</v>
      </c>
      <c r="H338" s="50" t="e">
        <f>VLOOKUP(B338,aa!B:O,14,0)</f>
        <v>#N/A</v>
      </c>
      <c r="I338" s="50" t="e">
        <f>VLOOKUP(B338,aa!B:R,17,0)</f>
        <v>#N/A</v>
      </c>
      <c r="K338" s="50" t="s">
        <v>848</v>
      </c>
      <c r="L338" s="50">
        <v>840496</v>
      </c>
      <c r="M338" s="50">
        <v>991785</v>
      </c>
      <c r="N338" s="50">
        <v>0</v>
      </c>
      <c r="O338" s="50">
        <v>0</v>
      </c>
      <c r="Q338" s="50">
        <v>0</v>
      </c>
      <c r="R338" s="50">
        <v>0</v>
      </c>
      <c r="T338" s="50">
        <v>840496</v>
      </c>
      <c r="U338" s="50">
        <v>761</v>
      </c>
      <c r="V338" s="50" t="s">
        <v>1569</v>
      </c>
      <c r="W338" s="50" t="s">
        <v>102</v>
      </c>
      <c r="X338" s="50" t="s">
        <v>103</v>
      </c>
      <c r="Y338" s="50" t="s">
        <v>155</v>
      </c>
      <c r="AA338" s="50" t="s">
        <v>11932</v>
      </c>
      <c r="AB338" s="50" t="s">
        <v>12815</v>
      </c>
      <c r="AC338" s="50" t="s">
        <v>12816</v>
      </c>
      <c r="AD338" s="50" t="s">
        <v>12815</v>
      </c>
      <c r="AE338" s="50" t="s">
        <v>12211</v>
      </c>
      <c r="AF338" s="50" t="s">
        <v>12815</v>
      </c>
      <c r="AG338" s="50" t="s">
        <v>12817</v>
      </c>
      <c r="AH338" s="50" t="s">
        <v>12815</v>
      </c>
      <c r="AI338" s="50" t="s">
        <v>12818</v>
      </c>
      <c r="AJ338" s="50" t="s">
        <v>12819</v>
      </c>
      <c r="AK338" s="50" t="s">
        <v>12820</v>
      </c>
      <c r="AL338" s="50" t="s">
        <v>12821</v>
      </c>
      <c r="AM338" s="50" t="s">
        <v>12822</v>
      </c>
      <c r="AN338" s="50" t="s">
        <v>12823</v>
      </c>
      <c r="AO338" s="50" t="s">
        <v>1578</v>
      </c>
      <c r="AP338" s="50" t="s">
        <v>1578</v>
      </c>
      <c r="AU338" s="50" t="s">
        <v>102</v>
      </c>
      <c r="AW338" s="50" t="s">
        <v>102</v>
      </c>
      <c r="AX338" s="50" t="s">
        <v>119</v>
      </c>
      <c r="BA338" s="50" t="s">
        <v>250</v>
      </c>
      <c r="BB338" s="50" t="s">
        <v>209</v>
      </c>
      <c r="BC338" s="50" t="s">
        <v>862</v>
      </c>
      <c r="BD338" s="50" t="s">
        <v>410</v>
      </c>
      <c r="BE338" s="50" t="s">
        <v>212</v>
      </c>
      <c r="BF338" s="50" t="s">
        <v>410</v>
      </c>
      <c r="BG338" s="50" t="s">
        <v>124</v>
      </c>
      <c r="BH338" s="50" t="s">
        <v>12128</v>
      </c>
      <c r="BI338" s="50" t="s">
        <v>11960</v>
      </c>
      <c r="BJ338" s="50" t="s">
        <v>127</v>
      </c>
      <c r="BK338" s="50" t="s">
        <v>12824</v>
      </c>
      <c r="BL338" s="50" t="s">
        <v>1580</v>
      </c>
      <c r="BM338" s="50" t="s">
        <v>12825</v>
      </c>
      <c r="BN338" s="50" t="s">
        <v>12128</v>
      </c>
      <c r="BO338" s="50" t="s">
        <v>1582</v>
      </c>
      <c r="BP338" s="50" t="s">
        <v>132</v>
      </c>
      <c r="BQ338" s="50" t="s">
        <v>1583</v>
      </c>
      <c r="BR338" s="50" t="s">
        <v>1584</v>
      </c>
      <c r="BS338" s="50" t="s">
        <v>1585</v>
      </c>
      <c r="BU338" s="50" t="s">
        <v>12826</v>
      </c>
      <c r="BV338" s="50" t="s">
        <v>12827</v>
      </c>
      <c r="BW338" s="50" t="s">
        <v>354</v>
      </c>
      <c r="BX338" s="50" t="s">
        <v>1588</v>
      </c>
      <c r="BY338" s="50" t="s">
        <v>1593</v>
      </c>
      <c r="BZ338" s="50" t="s">
        <v>1590</v>
      </c>
      <c r="CA338" s="50" t="s">
        <v>12828</v>
      </c>
      <c r="CB338" s="50" t="s">
        <v>1588</v>
      </c>
      <c r="CC338" s="50" t="s">
        <v>12829</v>
      </c>
      <c r="CD338" s="50" t="s">
        <v>12830</v>
      </c>
      <c r="CE338" s="50" t="s">
        <v>1588</v>
      </c>
      <c r="CF338" s="50" t="s">
        <v>12829</v>
      </c>
      <c r="CG338" s="50" t="s">
        <v>1594</v>
      </c>
      <c r="CH338" s="50" t="s">
        <v>12831</v>
      </c>
      <c r="CJ338" s="50" t="s">
        <v>1371</v>
      </c>
      <c r="CK338" s="50" t="s">
        <v>12832</v>
      </c>
      <c r="CL338" s="50" t="s">
        <v>862</v>
      </c>
      <c r="CM338" s="50" t="s">
        <v>410</v>
      </c>
      <c r="CN338" s="50" t="s">
        <v>1371</v>
      </c>
      <c r="CO338" s="50" t="s">
        <v>1596</v>
      </c>
      <c r="CP338" s="50" t="s">
        <v>1595</v>
      </c>
      <c r="CQ338" s="50" t="s">
        <v>1595</v>
      </c>
      <c r="CR338" s="50" t="s">
        <v>26043</v>
      </c>
    </row>
    <row r="339" spans="1:96">
      <c r="A339" s="95" t="s">
        <v>149</v>
      </c>
      <c r="B339" s="50">
        <v>2516584</v>
      </c>
      <c r="C339" s="50" t="s">
        <v>11995</v>
      </c>
      <c r="D339" s="50" t="s">
        <v>3883</v>
      </c>
      <c r="E339" s="50" t="e">
        <f>VLOOKUP(B339,aa!B:F,5,0)</f>
        <v>#N/A</v>
      </c>
      <c r="F339" s="50" t="e">
        <f>VLOOKUP(B339,aa!B:J,9,0)</f>
        <v>#N/A</v>
      </c>
      <c r="G339" s="50" t="e">
        <f>VLOOKUP(B339,aa!B:L,11,0)</f>
        <v>#N/A</v>
      </c>
      <c r="H339" s="50" t="e">
        <f>VLOOKUP(B339,aa!B:O,14,0)</f>
        <v>#N/A</v>
      </c>
      <c r="I339" s="50" t="e">
        <f>VLOOKUP(B339,aa!B:R,17,0)</f>
        <v>#N/A</v>
      </c>
      <c r="K339" s="50" t="s">
        <v>97</v>
      </c>
      <c r="L339" s="50">
        <v>421119</v>
      </c>
      <c r="M339" s="50">
        <v>421119</v>
      </c>
      <c r="N339" s="50">
        <v>421119</v>
      </c>
      <c r="O339" s="50">
        <v>739</v>
      </c>
      <c r="P339" s="50" t="s">
        <v>519</v>
      </c>
      <c r="Q339" s="50">
        <v>0</v>
      </c>
      <c r="R339" s="50">
        <v>0</v>
      </c>
      <c r="T339" s="50">
        <v>0</v>
      </c>
      <c r="U339" s="50">
        <v>0</v>
      </c>
      <c r="W339" s="50" t="s">
        <v>102</v>
      </c>
      <c r="X339" s="50" t="s">
        <v>275</v>
      </c>
      <c r="Z339" s="50" t="s">
        <v>3679</v>
      </c>
      <c r="AA339" s="50" t="s">
        <v>109</v>
      </c>
      <c r="AB339" s="50" t="s">
        <v>102</v>
      </c>
      <c r="AC339" s="50" t="s">
        <v>109</v>
      </c>
      <c r="AD339" s="50" t="s">
        <v>102</v>
      </c>
      <c r="AE339" s="50" t="s">
        <v>109</v>
      </c>
      <c r="AF339" s="50" t="s">
        <v>102</v>
      </c>
      <c r="AG339" s="50" t="s">
        <v>109</v>
      </c>
      <c r="AH339" s="50" t="s">
        <v>102</v>
      </c>
      <c r="AI339" s="50" t="s">
        <v>14372</v>
      </c>
      <c r="AJ339" s="50" t="s">
        <v>14373</v>
      </c>
      <c r="AK339" s="50" t="s">
        <v>14373</v>
      </c>
      <c r="AL339" s="50" t="s">
        <v>14374</v>
      </c>
      <c r="AM339" s="50" t="s">
        <v>14375</v>
      </c>
      <c r="AN339" s="50" t="s">
        <v>102</v>
      </c>
      <c r="AO339" s="50" t="s">
        <v>12148</v>
      </c>
      <c r="AP339" s="50" t="s">
        <v>12148</v>
      </c>
      <c r="AU339" s="50" t="s">
        <v>318</v>
      </c>
      <c r="AV339" s="50" t="s">
        <v>118</v>
      </c>
      <c r="AW339" s="50" t="s">
        <v>102</v>
      </c>
      <c r="AX339" s="50" t="s">
        <v>119</v>
      </c>
      <c r="BB339" s="50" t="s">
        <v>120</v>
      </c>
      <c r="BC339" s="50" t="s">
        <v>284</v>
      </c>
      <c r="BD339" s="50" t="s">
        <v>285</v>
      </c>
      <c r="BE339" s="50" t="s">
        <v>212</v>
      </c>
      <c r="BF339" s="50" t="s">
        <v>286</v>
      </c>
      <c r="BG339" s="50" t="s">
        <v>124</v>
      </c>
      <c r="BH339" s="50" t="s">
        <v>11959</v>
      </c>
      <c r="BI339" s="50" t="s">
        <v>11889</v>
      </c>
      <c r="BJ339" s="50" t="s">
        <v>127</v>
      </c>
      <c r="BK339" s="50" t="s">
        <v>14376</v>
      </c>
      <c r="BL339" s="50" t="s">
        <v>3889</v>
      </c>
      <c r="BM339" s="50" t="s">
        <v>14377</v>
      </c>
      <c r="BN339" s="50" t="s">
        <v>12128</v>
      </c>
      <c r="BO339" s="50" t="s">
        <v>956</v>
      </c>
      <c r="BP339" s="50" t="s">
        <v>132</v>
      </c>
      <c r="BQ339" s="50" t="s">
        <v>958</v>
      </c>
      <c r="BR339" s="50" t="s">
        <v>959</v>
      </c>
      <c r="BS339" s="50" t="s">
        <v>293</v>
      </c>
      <c r="BU339" s="50" t="s">
        <v>14378</v>
      </c>
      <c r="BV339" s="50" t="s">
        <v>14379</v>
      </c>
      <c r="BW339" s="50" t="s">
        <v>138</v>
      </c>
      <c r="BX339" s="50" t="s">
        <v>14380</v>
      </c>
      <c r="BY339" s="50" t="s">
        <v>3897</v>
      </c>
      <c r="CA339" s="50" t="s">
        <v>14379</v>
      </c>
      <c r="CB339" s="50" t="s">
        <v>14380</v>
      </c>
      <c r="CC339" s="50" t="s">
        <v>3897</v>
      </c>
      <c r="CD339" s="50" t="s">
        <v>14379</v>
      </c>
      <c r="CE339" s="50" t="s">
        <v>14380</v>
      </c>
      <c r="CF339" s="50" t="s">
        <v>3897</v>
      </c>
      <c r="CG339" s="50" t="s">
        <v>102</v>
      </c>
      <c r="CH339" s="50" t="s">
        <v>3898</v>
      </c>
      <c r="CJ339" s="50" t="s">
        <v>3899</v>
      </c>
      <c r="CL339" s="50" t="s">
        <v>284</v>
      </c>
      <c r="CM339" s="50" t="s">
        <v>285</v>
      </c>
      <c r="CN339" s="50" t="s">
        <v>3899</v>
      </c>
      <c r="CO339" s="50" t="s">
        <v>540</v>
      </c>
      <c r="CP339" s="50" t="s">
        <v>3898</v>
      </c>
      <c r="CQ339" s="50" t="s">
        <v>3898</v>
      </c>
      <c r="CR339" s="50" t="s">
        <v>26043</v>
      </c>
    </row>
    <row r="340" spans="1:96">
      <c r="A340" s="95" t="s">
        <v>149</v>
      </c>
      <c r="B340" s="50">
        <v>3513547</v>
      </c>
      <c r="C340" s="50" t="s">
        <v>11995</v>
      </c>
      <c r="D340" s="50" t="s">
        <v>6486</v>
      </c>
      <c r="E340" s="50" t="e">
        <f>VLOOKUP(B340,aa!B:F,5,0)</f>
        <v>#N/A</v>
      </c>
      <c r="F340" s="50" t="e">
        <f>VLOOKUP(B340,aa!B:J,9,0)</f>
        <v>#N/A</v>
      </c>
      <c r="G340" s="50" t="e">
        <f>VLOOKUP(B340,aa!B:L,11,0)</f>
        <v>#N/A</v>
      </c>
      <c r="H340" s="50" t="e">
        <f>VLOOKUP(B340,aa!B:O,14,0)</f>
        <v>#N/A</v>
      </c>
      <c r="I340" s="50" t="e">
        <f>VLOOKUP(B340,aa!B:R,17,0)</f>
        <v>#N/A</v>
      </c>
      <c r="K340" s="50" t="s">
        <v>97</v>
      </c>
      <c r="L340" s="50">
        <v>569280</v>
      </c>
      <c r="M340" s="50">
        <v>569280</v>
      </c>
      <c r="N340" s="50">
        <v>569280</v>
      </c>
      <c r="O340" s="50">
        <v>999</v>
      </c>
      <c r="P340" s="50" t="s">
        <v>519</v>
      </c>
      <c r="Q340" s="50">
        <v>0</v>
      </c>
      <c r="R340" s="50">
        <v>0</v>
      </c>
      <c r="T340" s="50">
        <v>0</v>
      </c>
      <c r="U340" s="50">
        <v>0</v>
      </c>
      <c r="W340" s="50" t="s">
        <v>102</v>
      </c>
      <c r="X340" s="50" t="s">
        <v>275</v>
      </c>
      <c r="Z340" s="50" t="s">
        <v>3679</v>
      </c>
      <c r="AA340" s="50" t="s">
        <v>109</v>
      </c>
      <c r="AB340" s="50" t="s">
        <v>102</v>
      </c>
      <c r="AC340" s="50" t="s">
        <v>109</v>
      </c>
      <c r="AD340" s="50" t="s">
        <v>102</v>
      </c>
      <c r="AE340" s="50" t="s">
        <v>109</v>
      </c>
      <c r="AF340" s="50" t="s">
        <v>102</v>
      </c>
      <c r="AG340" s="50" t="s">
        <v>109</v>
      </c>
      <c r="AH340" s="50" t="s">
        <v>102</v>
      </c>
      <c r="AI340" s="50" t="s">
        <v>16317</v>
      </c>
      <c r="AJ340" s="50" t="s">
        <v>14373</v>
      </c>
      <c r="AK340" s="50" t="s">
        <v>14373</v>
      </c>
      <c r="AL340" s="50" t="s">
        <v>16318</v>
      </c>
      <c r="AM340" s="50" t="s">
        <v>16319</v>
      </c>
      <c r="AN340" s="50" t="s">
        <v>102</v>
      </c>
      <c r="AO340" s="50" t="s">
        <v>12148</v>
      </c>
      <c r="AP340" s="50" t="s">
        <v>12148</v>
      </c>
      <c r="AU340" s="50" t="s">
        <v>318</v>
      </c>
      <c r="AV340" s="50" t="s">
        <v>118</v>
      </c>
      <c r="AW340" s="50" t="s">
        <v>102</v>
      </c>
      <c r="AX340" s="50" t="s">
        <v>119</v>
      </c>
      <c r="BB340" s="50" t="s">
        <v>120</v>
      </c>
      <c r="BC340" s="50" t="s">
        <v>284</v>
      </c>
      <c r="BD340" s="50" t="s">
        <v>285</v>
      </c>
      <c r="BE340" s="50" t="s">
        <v>212</v>
      </c>
      <c r="BF340" s="50" t="s">
        <v>286</v>
      </c>
      <c r="BG340" s="50" t="s">
        <v>124</v>
      </c>
      <c r="BH340" s="50" t="s">
        <v>11959</v>
      </c>
      <c r="BI340" s="50" t="s">
        <v>11889</v>
      </c>
      <c r="BJ340" s="50" t="s">
        <v>127</v>
      </c>
      <c r="BK340" s="50" t="s">
        <v>16320</v>
      </c>
      <c r="BL340" s="50" t="s">
        <v>6492</v>
      </c>
      <c r="BM340" s="50" t="s">
        <v>16321</v>
      </c>
      <c r="BN340" s="50" t="s">
        <v>12128</v>
      </c>
      <c r="BO340" s="50" t="s">
        <v>956</v>
      </c>
      <c r="BP340" s="50" t="s">
        <v>132</v>
      </c>
      <c r="BQ340" s="50" t="s">
        <v>958</v>
      </c>
      <c r="BR340" s="50" t="s">
        <v>959</v>
      </c>
      <c r="BS340" s="50" t="s">
        <v>293</v>
      </c>
      <c r="BU340" s="50" t="s">
        <v>16322</v>
      </c>
      <c r="BV340" s="50" t="s">
        <v>16323</v>
      </c>
      <c r="BW340" s="50" t="s">
        <v>569</v>
      </c>
      <c r="BX340" s="50" t="s">
        <v>16324</v>
      </c>
      <c r="BY340" s="50" t="s">
        <v>6497</v>
      </c>
      <c r="CA340" s="50" t="s">
        <v>16323</v>
      </c>
      <c r="CB340" s="50" t="s">
        <v>16324</v>
      </c>
      <c r="CC340" s="50" t="s">
        <v>6497</v>
      </c>
      <c r="CD340" s="50" t="s">
        <v>16323</v>
      </c>
      <c r="CE340" s="50" t="s">
        <v>16324</v>
      </c>
      <c r="CF340" s="50" t="s">
        <v>6497</v>
      </c>
      <c r="CG340" s="50" t="s">
        <v>102</v>
      </c>
      <c r="CH340" s="50" t="s">
        <v>6498</v>
      </c>
      <c r="CJ340" s="50" t="s">
        <v>6499</v>
      </c>
      <c r="CL340" s="50" t="s">
        <v>284</v>
      </c>
      <c r="CM340" s="50" t="s">
        <v>285</v>
      </c>
      <c r="CN340" s="50" t="s">
        <v>6499</v>
      </c>
      <c r="CO340" s="50" t="s">
        <v>6500</v>
      </c>
      <c r="CP340" s="50" t="s">
        <v>6498</v>
      </c>
      <c r="CQ340" s="50" t="s">
        <v>6498</v>
      </c>
      <c r="CR340" s="50" t="s">
        <v>26043</v>
      </c>
    </row>
    <row r="341" spans="1:96">
      <c r="A341" s="95" t="s">
        <v>149</v>
      </c>
      <c r="B341" s="50">
        <v>3848229</v>
      </c>
      <c r="C341" s="50" t="s">
        <v>11995</v>
      </c>
      <c r="D341" s="50" t="s">
        <v>7674</v>
      </c>
      <c r="E341" s="50" t="e">
        <f>VLOOKUP(B341,aa!B:F,5,0)</f>
        <v>#N/A</v>
      </c>
      <c r="F341" s="50" t="e">
        <f>VLOOKUP(B341,aa!B:J,9,0)</f>
        <v>#N/A</v>
      </c>
      <c r="G341" s="50" t="e">
        <f>VLOOKUP(B341,aa!B:L,11,0)</f>
        <v>#N/A</v>
      </c>
      <c r="H341" s="50" t="e">
        <f>VLOOKUP(B341,aa!B:O,14,0)</f>
        <v>#N/A</v>
      </c>
      <c r="I341" s="50" t="e">
        <f>VLOOKUP(B341,aa!B:R,17,0)</f>
        <v>#N/A</v>
      </c>
      <c r="K341" s="50" t="s">
        <v>97</v>
      </c>
      <c r="L341" s="50">
        <v>360145</v>
      </c>
      <c r="M341" s="50">
        <v>360145</v>
      </c>
      <c r="N341" s="50">
        <v>360145</v>
      </c>
      <c r="O341" s="50">
        <v>632</v>
      </c>
      <c r="P341" s="50" t="s">
        <v>519</v>
      </c>
      <c r="Q341" s="50">
        <v>0</v>
      </c>
      <c r="R341" s="50">
        <v>0</v>
      </c>
      <c r="T341" s="50">
        <v>0</v>
      </c>
      <c r="U341" s="50">
        <v>0</v>
      </c>
      <c r="W341" s="50" t="s">
        <v>102</v>
      </c>
      <c r="X341" s="50" t="s">
        <v>275</v>
      </c>
      <c r="Z341" s="50" t="s">
        <v>3679</v>
      </c>
      <c r="AA341" s="50" t="s">
        <v>109</v>
      </c>
      <c r="AB341" s="50" t="s">
        <v>102</v>
      </c>
      <c r="AC341" s="50" t="s">
        <v>109</v>
      </c>
      <c r="AD341" s="50" t="s">
        <v>102</v>
      </c>
      <c r="AE341" s="50" t="s">
        <v>109</v>
      </c>
      <c r="AF341" s="50" t="s">
        <v>102</v>
      </c>
      <c r="AG341" s="50" t="s">
        <v>109</v>
      </c>
      <c r="AH341" s="50" t="s">
        <v>102</v>
      </c>
      <c r="AI341" s="50" t="s">
        <v>17142</v>
      </c>
      <c r="AJ341" s="50" t="s">
        <v>12145</v>
      </c>
      <c r="AK341" s="50" t="s">
        <v>12145</v>
      </c>
      <c r="AL341" s="50" t="s">
        <v>17143</v>
      </c>
      <c r="AM341" s="50" t="s">
        <v>17144</v>
      </c>
      <c r="AN341" s="50" t="s">
        <v>102</v>
      </c>
      <c r="AO341" s="50" t="s">
        <v>12148</v>
      </c>
      <c r="AP341" s="50" t="s">
        <v>12148</v>
      </c>
      <c r="AU341" s="50" t="s">
        <v>318</v>
      </c>
      <c r="AV341" s="50" t="s">
        <v>118</v>
      </c>
      <c r="AW341" s="50" t="s">
        <v>102</v>
      </c>
      <c r="AX341" s="50" t="s">
        <v>119</v>
      </c>
      <c r="BB341" s="50" t="s">
        <v>120</v>
      </c>
      <c r="BC341" s="50" t="s">
        <v>284</v>
      </c>
      <c r="BD341" s="50" t="s">
        <v>285</v>
      </c>
      <c r="BE341" s="50" t="s">
        <v>212</v>
      </c>
      <c r="BF341" s="50" t="s">
        <v>286</v>
      </c>
      <c r="BG341" s="50" t="s">
        <v>124</v>
      </c>
      <c r="BH341" s="50" t="s">
        <v>11959</v>
      </c>
      <c r="BI341" s="50" t="s">
        <v>11889</v>
      </c>
      <c r="BJ341" s="50" t="s">
        <v>127</v>
      </c>
      <c r="BK341" s="50" t="s">
        <v>17145</v>
      </c>
      <c r="BL341" s="50" t="s">
        <v>7680</v>
      </c>
      <c r="BM341" s="50" t="s">
        <v>17146</v>
      </c>
      <c r="BN341" s="50" t="s">
        <v>12128</v>
      </c>
      <c r="BO341" s="50" t="s">
        <v>956</v>
      </c>
      <c r="BP341" s="50" t="s">
        <v>132</v>
      </c>
      <c r="BQ341" s="50" t="s">
        <v>958</v>
      </c>
      <c r="BR341" s="50" t="s">
        <v>959</v>
      </c>
      <c r="BS341" s="50" t="s">
        <v>293</v>
      </c>
      <c r="BU341" s="50" t="s">
        <v>17147</v>
      </c>
      <c r="BV341" s="50" t="s">
        <v>17148</v>
      </c>
      <c r="BW341" s="50" t="s">
        <v>569</v>
      </c>
      <c r="BX341" s="50" t="s">
        <v>17149</v>
      </c>
      <c r="BY341" s="50" t="s">
        <v>17150</v>
      </c>
      <c r="CA341" s="50" t="s">
        <v>17148</v>
      </c>
      <c r="CB341" s="50" t="s">
        <v>17149</v>
      </c>
      <c r="CC341" s="50" t="s">
        <v>17150</v>
      </c>
      <c r="CD341" s="50" t="s">
        <v>17148</v>
      </c>
      <c r="CE341" s="50" t="s">
        <v>17149</v>
      </c>
      <c r="CF341" s="50" t="s">
        <v>17150</v>
      </c>
      <c r="CG341" s="50" t="s">
        <v>102</v>
      </c>
      <c r="CH341" s="50" t="s">
        <v>7688</v>
      </c>
      <c r="CJ341" s="50" t="s">
        <v>7689</v>
      </c>
      <c r="CL341" s="50" t="s">
        <v>284</v>
      </c>
      <c r="CM341" s="50" t="s">
        <v>285</v>
      </c>
      <c r="CN341" s="50" t="s">
        <v>7689</v>
      </c>
      <c r="CO341" s="50" t="s">
        <v>6500</v>
      </c>
      <c r="CP341" s="50" t="s">
        <v>7688</v>
      </c>
      <c r="CQ341" s="50" t="s">
        <v>7688</v>
      </c>
      <c r="CR341" s="50" t="s">
        <v>26043</v>
      </c>
    </row>
    <row r="342" spans="1:96">
      <c r="A342" s="95" t="s">
        <v>149</v>
      </c>
      <c r="B342" s="50">
        <v>19282</v>
      </c>
      <c r="C342" s="50" t="s">
        <v>2151</v>
      </c>
      <c r="D342" s="50" t="s">
        <v>2227</v>
      </c>
      <c r="E342" s="50" t="e">
        <f>VLOOKUP(B342,aa!B:F,5,0)</f>
        <v>#N/A</v>
      </c>
      <c r="F342" s="50" t="e">
        <f>VLOOKUP(B342,aa!B:J,9,0)</f>
        <v>#N/A</v>
      </c>
      <c r="G342" s="50" t="e">
        <f>VLOOKUP(B342,aa!B:L,11,0)</f>
        <v>#N/A</v>
      </c>
      <c r="H342" s="50" t="e">
        <f>VLOOKUP(B342,aa!B:O,14,0)</f>
        <v>#N/A</v>
      </c>
      <c r="I342" s="50" t="e">
        <f>VLOOKUP(B342,aa!B:R,17,0)</f>
        <v>#N/A</v>
      </c>
      <c r="K342" s="50" t="s">
        <v>3549</v>
      </c>
      <c r="L342" s="50">
        <v>619831</v>
      </c>
      <c r="M342" s="50">
        <v>666504</v>
      </c>
      <c r="N342" s="50">
        <v>360536</v>
      </c>
      <c r="O342" s="50">
        <v>502</v>
      </c>
      <c r="P342" s="50" t="s">
        <v>13170</v>
      </c>
      <c r="Q342" s="50">
        <v>0</v>
      </c>
      <c r="R342" s="50">
        <v>0</v>
      </c>
      <c r="T342" s="50">
        <v>259295</v>
      </c>
      <c r="U342" s="50">
        <v>142</v>
      </c>
      <c r="V342" s="50" t="s">
        <v>13171</v>
      </c>
      <c r="W342" s="50" t="s">
        <v>102</v>
      </c>
      <c r="X342" s="50" t="s">
        <v>103</v>
      </c>
      <c r="Y342" s="50" t="s">
        <v>155</v>
      </c>
      <c r="AA342" s="50" t="s">
        <v>12023</v>
      </c>
      <c r="AB342" s="50" t="s">
        <v>13172</v>
      </c>
      <c r="AC342" s="50" t="s">
        <v>1408</v>
      </c>
      <c r="AD342" s="50" t="s">
        <v>13172</v>
      </c>
      <c r="AE342" s="50" t="s">
        <v>12888</v>
      </c>
      <c r="AF342" s="50" t="s">
        <v>13172</v>
      </c>
      <c r="AG342" s="50" t="s">
        <v>11886</v>
      </c>
      <c r="AH342" s="50" t="s">
        <v>13172</v>
      </c>
      <c r="AI342" s="50" t="s">
        <v>13173</v>
      </c>
      <c r="AJ342" s="50" t="s">
        <v>13174</v>
      </c>
      <c r="AK342" s="50" t="s">
        <v>12859</v>
      </c>
      <c r="AL342" s="50" t="s">
        <v>13175</v>
      </c>
      <c r="AM342" s="50" t="s">
        <v>13176</v>
      </c>
      <c r="AN342" s="50" t="s">
        <v>13177</v>
      </c>
      <c r="AO342" s="50" t="s">
        <v>13178</v>
      </c>
      <c r="AP342" s="50" t="s">
        <v>13178</v>
      </c>
      <c r="AU342" s="50" t="s">
        <v>318</v>
      </c>
      <c r="AV342" s="50" t="s">
        <v>250</v>
      </c>
      <c r="AW342" s="50" t="s">
        <v>102</v>
      </c>
      <c r="AX342" s="50" t="s">
        <v>119</v>
      </c>
      <c r="BA342" s="50" t="s">
        <v>250</v>
      </c>
      <c r="BB342" s="50" t="s">
        <v>209</v>
      </c>
      <c r="BC342" s="50" t="s">
        <v>920</v>
      </c>
      <c r="BD342" s="50" t="s">
        <v>211</v>
      </c>
      <c r="BE342" s="50" t="s">
        <v>212</v>
      </c>
      <c r="BF342" s="50" t="s">
        <v>213</v>
      </c>
      <c r="BG342" s="50" t="s">
        <v>124</v>
      </c>
      <c r="BH342" s="50" t="s">
        <v>11959</v>
      </c>
      <c r="BI342" s="50" t="s">
        <v>11960</v>
      </c>
      <c r="BJ342" s="50" t="s">
        <v>127</v>
      </c>
      <c r="BK342" s="50" t="s">
        <v>13179</v>
      </c>
      <c r="BL342" s="50" t="s">
        <v>2238</v>
      </c>
      <c r="BM342" s="50" t="s">
        <v>13180</v>
      </c>
      <c r="BN342" s="50" t="s">
        <v>12887</v>
      </c>
      <c r="BO342" s="50" t="s">
        <v>956</v>
      </c>
      <c r="BP342" s="50" t="s">
        <v>505</v>
      </c>
      <c r="BQ342" s="50" t="s">
        <v>958</v>
      </c>
      <c r="BR342" s="50" t="s">
        <v>959</v>
      </c>
      <c r="BS342" s="50" t="s">
        <v>2151</v>
      </c>
      <c r="BU342" s="50" t="s">
        <v>13181</v>
      </c>
      <c r="BV342" s="50" t="s">
        <v>3585</v>
      </c>
      <c r="BW342" s="50" t="s">
        <v>598</v>
      </c>
      <c r="BX342" s="50" t="s">
        <v>225</v>
      </c>
      <c r="BY342" s="50" t="s">
        <v>8332</v>
      </c>
      <c r="BZ342" s="50" t="s">
        <v>958</v>
      </c>
      <c r="CA342" s="50" t="s">
        <v>2244</v>
      </c>
      <c r="CB342" s="50" t="s">
        <v>2245</v>
      </c>
      <c r="CC342" s="50" t="s">
        <v>2246</v>
      </c>
      <c r="CD342" s="50" t="s">
        <v>13182</v>
      </c>
      <c r="CE342" s="50" t="s">
        <v>13183</v>
      </c>
      <c r="CF342" s="50" t="s">
        <v>13184</v>
      </c>
      <c r="CG342" s="50" t="s">
        <v>102</v>
      </c>
      <c r="CH342" s="50" t="s">
        <v>13185</v>
      </c>
      <c r="CJ342" s="50" t="s">
        <v>2248</v>
      </c>
      <c r="CL342" s="50" t="s">
        <v>920</v>
      </c>
      <c r="CM342" s="50" t="s">
        <v>211</v>
      </c>
      <c r="CN342" s="50" t="s">
        <v>2248</v>
      </c>
      <c r="CO342" s="50" t="s">
        <v>2190</v>
      </c>
      <c r="CP342" s="50" t="s">
        <v>2247</v>
      </c>
      <c r="CQ342" s="50" t="s">
        <v>2247</v>
      </c>
      <c r="CR342" s="50" t="s">
        <v>26040</v>
      </c>
    </row>
    <row r="343" spans="1:96">
      <c r="A343" s="50" t="s">
        <v>93</v>
      </c>
      <c r="B343" s="50">
        <v>46864</v>
      </c>
      <c r="C343" s="50" t="s">
        <v>183</v>
      </c>
      <c r="D343" s="50" t="s">
        <v>18389</v>
      </c>
      <c r="E343" s="50" t="e">
        <f>VLOOKUP(B343,aa!B:F,5,0)</f>
        <v>#N/A</v>
      </c>
      <c r="F343" s="50" t="e">
        <f>VLOOKUP(B343,aa!B:J,9,0)</f>
        <v>#N/A</v>
      </c>
      <c r="G343" s="50" t="e">
        <f>VLOOKUP(B343,aa!B:L,11,0)</f>
        <v>#N/A</v>
      </c>
      <c r="H343" s="50" t="e">
        <f>VLOOKUP(B343,aa!B:O,14,0)</f>
        <v>#N/A</v>
      </c>
      <c r="I343" s="50" t="e">
        <f>VLOOKUP(B343,aa!B:R,17,0)</f>
        <v>#N/A</v>
      </c>
      <c r="K343" s="50" t="s">
        <v>152</v>
      </c>
      <c r="L343" s="50">
        <v>131597</v>
      </c>
      <c r="M343" s="50">
        <v>131597</v>
      </c>
      <c r="N343" s="50">
        <v>0</v>
      </c>
      <c r="O343" s="50">
        <v>0</v>
      </c>
      <c r="Q343" s="50">
        <v>131597</v>
      </c>
      <c r="R343" s="50">
        <v>209</v>
      </c>
      <c r="S343" s="50" t="s">
        <v>7219</v>
      </c>
      <c r="T343" s="50">
        <v>0</v>
      </c>
      <c r="U343" s="50">
        <v>0</v>
      </c>
      <c r="W343" s="50" t="s">
        <v>102</v>
      </c>
      <c r="X343" s="50" t="s">
        <v>103</v>
      </c>
      <c r="Y343" s="50" t="s">
        <v>104</v>
      </c>
      <c r="AA343" s="50" t="s">
        <v>1761</v>
      </c>
      <c r="AB343" s="50" t="s">
        <v>18390</v>
      </c>
      <c r="AC343" s="50" t="s">
        <v>12099</v>
      </c>
      <c r="AD343" s="50" t="s">
        <v>18390</v>
      </c>
      <c r="AE343" s="50" t="s">
        <v>109</v>
      </c>
      <c r="AF343" s="50" t="s">
        <v>102</v>
      </c>
      <c r="AG343" s="50" t="s">
        <v>109</v>
      </c>
      <c r="AH343" s="50" t="s">
        <v>102</v>
      </c>
      <c r="AI343" s="50" t="s">
        <v>102</v>
      </c>
      <c r="AJ343" s="50" t="s">
        <v>15139</v>
      </c>
      <c r="AK343" s="50" t="s">
        <v>15139</v>
      </c>
      <c r="AL343" s="50" t="s">
        <v>18391</v>
      </c>
      <c r="AM343" s="50" t="s">
        <v>18392</v>
      </c>
      <c r="AN343" s="50" t="s">
        <v>18393</v>
      </c>
      <c r="AO343" s="50" t="s">
        <v>18394</v>
      </c>
      <c r="AP343" s="50" t="s">
        <v>18394</v>
      </c>
      <c r="AU343" s="50" t="s">
        <v>102</v>
      </c>
      <c r="AW343" s="50" t="s">
        <v>104</v>
      </c>
      <c r="AX343" s="50" t="s">
        <v>447</v>
      </c>
      <c r="AY343" s="50" t="s">
        <v>170</v>
      </c>
      <c r="AZ343" s="50" t="s">
        <v>118</v>
      </c>
      <c r="BB343" s="50" t="s">
        <v>171</v>
      </c>
      <c r="BC343" s="50" t="s">
        <v>18395</v>
      </c>
      <c r="BD343" s="50" t="s">
        <v>376</v>
      </c>
      <c r="BE343" s="50" t="s">
        <v>174</v>
      </c>
      <c r="BF343" s="50" t="s">
        <v>376</v>
      </c>
      <c r="BG343" s="50" t="s">
        <v>124</v>
      </c>
      <c r="BH343" s="50" t="s">
        <v>1331</v>
      </c>
      <c r="BI343" s="50" t="s">
        <v>12931</v>
      </c>
      <c r="BJ343" s="50" t="s">
        <v>127</v>
      </c>
      <c r="BK343" s="50" t="s">
        <v>18396</v>
      </c>
      <c r="BL343" s="50" t="s">
        <v>18397</v>
      </c>
      <c r="BM343" s="50" t="s">
        <v>18398</v>
      </c>
      <c r="BN343" s="50" t="s">
        <v>1761</v>
      </c>
      <c r="BO343" s="50" t="s">
        <v>5026</v>
      </c>
      <c r="BP343" s="50" t="s">
        <v>180</v>
      </c>
      <c r="BQ343" s="50" t="s">
        <v>5027</v>
      </c>
      <c r="BR343" s="50" t="s">
        <v>5028</v>
      </c>
      <c r="BS343" s="50" t="s">
        <v>1834</v>
      </c>
      <c r="BU343" s="50" t="s">
        <v>18399</v>
      </c>
      <c r="BV343" s="50" t="s">
        <v>18400</v>
      </c>
      <c r="BW343" s="50" t="s">
        <v>138</v>
      </c>
      <c r="BX343" s="50" t="s">
        <v>18401</v>
      </c>
      <c r="BY343" s="50" t="s">
        <v>18402</v>
      </c>
      <c r="BZ343" s="50" t="s">
        <v>18403</v>
      </c>
      <c r="CA343" s="50" t="s">
        <v>18400</v>
      </c>
      <c r="CB343" s="50" t="s">
        <v>18401</v>
      </c>
      <c r="CC343" s="50" t="s">
        <v>18402</v>
      </c>
      <c r="CD343" s="50" t="s">
        <v>18400</v>
      </c>
      <c r="CE343" s="50" t="s">
        <v>18401</v>
      </c>
      <c r="CF343" s="50" t="s">
        <v>18402</v>
      </c>
      <c r="CG343" s="50" t="s">
        <v>6205</v>
      </c>
      <c r="CH343" s="50" t="s">
        <v>18404</v>
      </c>
      <c r="CJ343" s="50" t="s">
        <v>18405</v>
      </c>
      <c r="CK343" s="50" t="s">
        <v>18404</v>
      </c>
      <c r="CL343" s="50" t="s">
        <v>18395</v>
      </c>
      <c r="CM343" s="50" t="s">
        <v>376</v>
      </c>
      <c r="CN343" s="50" t="s">
        <v>18405</v>
      </c>
      <c r="CP343" s="50" t="s">
        <v>18406</v>
      </c>
      <c r="CQ343" s="50" t="s">
        <v>18406</v>
      </c>
      <c r="CR343" s="50" t="s">
        <v>26046</v>
      </c>
    </row>
    <row r="344" spans="1:96">
      <c r="A344" s="95" t="s">
        <v>149</v>
      </c>
      <c r="B344" s="50">
        <v>1019428</v>
      </c>
      <c r="C344" s="50" t="s">
        <v>11947</v>
      </c>
      <c r="D344" s="50" t="s">
        <v>191</v>
      </c>
      <c r="E344" s="50" t="str">
        <f>VLOOKUP(B344,aa!B:F,5,0)</f>
        <v>Ei ASSET,Ei Mindspark</v>
      </c>
      <c r="F344" s="50">
        <f>VLOOKUP(B344,aa!B:J,9,0)</f>
        <v>0</v>
      </c>
      <c r="G344" s="50">
        <f>VLOOKUP(B344,aa!B:L,11,0)</f>
        <v>0</v>
      </c>
      <c r="H344" s="50">
        <f>VLOOKUP(B344,aa!B:O,14,0)</f>
        <v>0</v>
      </c>
      <c r="I344" s="50">
        <f>VLOOKUP(B344,aa!B:R,17,0)</f>
        <v>0</v>
      </c>
      <c r="K344" s="50" t="s">
        <v>193</v>
      </c>
      <c r="L344" s="50">
        <v>751622</v>
      </c>
      <c r="M344" s="50">
        <v>842809</v>
      </c>
      <c r="N344" s="50">
        <v>245029</v>
      </c>
      <c r="O344" s="50">
        <v>788</v>
      </c>
      <c r="P344" s="50" t="s">
        <v>195</v>
      </c>
      <c r="Q344" s="50">
        <v>0</v>
      </c>
      <c r="R344" s="50">
        <v>0</v>
      </c>
      <c r="T344" s="50">
        <v>506593</v>
      </c>
      <c r="U344" s="50">
        <v>797</v>
      </c>
      <c r="V344" s="50" t="s">
        <v>11949</v>
      </c>
      <c r="W344" s="50" t="s">
        <v>102</v>
      </c>
      <c r="X344" s="50" t="s">
        <v>103</v>
      </c>
      <c r="Y344" s="50" t="s">
        <v>104</v>
      </c>
      <c r="AA344" s="50" t="s">
        <v>11950</v>
      </c>
      <c r="AB344" s="50" t="s">
        <v>11951</v>
      </c>
      <c r="AC344" s="50" t="s">
        <v>11952</v>
      </c>
      <c r="AD344" s="50" t="s">
        <v>11951</v>
      </c>
      <c r="AE344" s="50" t="s">
        <v>109</v>
      </c>
      <c r="AF344" s="50" t="s">
        <v>102</v>
      </c>
      <c r="AG344" s="50" t="s">
        <v>109</v>
      </c>
      <c r="AH344" s="50" t="s">
        <v>102</v>
      </c>
      <c r="AI344" s="50" t="s">
        <v>11953</v>
      </c>
      <c r="AJ344" s="50" t="s">
        <v>11954</v>
      </c>
      <c r="AK344" s="50" t="s">
        <v>11954</v>
      </c>
      <c r="AL344" s="50" t="s">
        <v>11955</v>
      </c>
      <c r="AM344" s="50" t="s">
        <v>11956</v>
      </c>
      <c r="AN344" s="50" t="s">
        <v>11957</v>
      </c>
      <c r="AO344" s="50" t="s">
        <v>11958</v>
      </c>
      <c r="AP344" s="50" t="s">
        <v>11958</v>
      </c>
      <c r="AU344" s="50" t="s">
        <v>207</v>
      </c>
      <c r="AV344" s="50" t="s">
        <v>118</v>
      </c>
      <c r="AW344" s="50" t="s">
        <v>102</v>
      </c>
      <c r="AX344" s="50" t="s">
        <v>119</v>
      </c>
      <c r="BA344" s="50" t="s">
        <v>250</v>
      </c>
      <c r="BB344" s="50" t="s">
        <v>209</v>
      </c>
      <c r="BC344" s="50" t="s">
        <v>210</v>
      </c>
      <c r="BD344" s="50" t="s">
        <v>211</v>
      </c>
      <c r="BE344" s="50" t="s">
        <v>212</v>
      </c>
      <c r="BF344" s="50" t="s">
        <v>213</v>
      </c>
      <c r="BG344" s="50" t="s">
        <v>124</v>
      </c>
      <c r="BH344" s="50" t="s">
        <v>11959</v>
      </c>
      <c r="BI344" s="50" t="s">
        <v>11960</v>
      </c>
      <c r="BJ344" s="50" t="s">
        <v>127</v>
      </c>
      <c r="BK344" s="50" t="s">
        <v>11961</v>
      </c>
      <c r="BL344" s="50" t="s">
        <v>217</v>
      </c>
      <c r="BM344" s="50" t="s">
        <v>11962</v>
      </c>
      <c r="BN344" s="50" t="s">
        <v>11948</v>
      </c>
      <c r="BO344" s="50" t="s">
        <v>1880</v>
      </c>
      <c r="BP344" s="50" t="s">
        <v>2901</v>
      </c>
      <c r="BQ344" s="50" t="s">
        <v>1882</v>
      </c>
      <c r="BR344" s="50" t="s">
        <v>1883</v>
      </c>
      <c r="BS344" s="50" t="s">
        <v>222</v>
      </c>
      <c r="BU344" s="50" t="s">
        <v>11963</v>
      </c>
      <c r="BV344" s="50" t="s">
        <v>11964</v>
      </c>
      <c r="BW344" s="50" t="s">
        <v>138</v>
      </c>
      <c r="BX344" s="50" t="s">
        <v>225</v>
      </c>
      <c r="BY344" s="50" t="s">
        <v>226</v>
      </c>
      <c r="BZ344" s="50" t="s">
        <v>227</v>
      </c>
      <c r="CA344" s="50" t="s">
        <v>11965</v>
      </c>
      <c r="CB344" s="50" t="s">
        <v>11966</v>
      </c>
      <c r="CC344" s="50" t="s">
        <v>11967</v>
      </c>
      <c r="CD344" s="50" t="s">
        <v>11968</v>
      </c>
      <c r="CE344" s="50" t="s">
        <v>11969</v>
      </c>
      <c r="CF344" s="50" t="s">
        <v>11967</v>
      </c>
      <c r="CG344" s="50" t="s">
        <v>102</v>
      </c>
      <c r="CH344" s="50" t="s">
        <v>228</v>
      </c>
      <c r="CJ344" s="50" t="s">
        <v>229</v>
      </c>
      <c r="CL344" s="50" t="s">
        <v>210</v>
      </c>
      <c r="CM344" s="50" t="s">
        <v>211</v>
      </c>
      <c r="CN344" s="50" t="s">
        <v>229</v>
      </c>
      <c r="CO344" s="50" t="s">
        <v>230</v>
      </c>
      <c r="CP344" s="50" t="s">
        <v>228</v>
      </c>
      <c r="CQ344" s="50" t="s">
        <v>228</v>
      </c>
    </row>
    <row r="345" spans="1:96">
      <c r="A345" s="95" t="s">
        <v>149</v>
      </c>
      <c r="B345" s="50">
        <v>1315210</v>
      </c>
      <c r="C345" s="50" t="s">
        <v>11947</v>
      </c>
      <c r="D345" s="50" t="s">
        <v>766</v>
      </c>
      <c r="E345" s="50" t="str">
        <f>VLOOKUP(B345,aa!B:F,5,0)</f>
        <v>Ei ASSET,Ei Mindspark</v>
      </c>
      <c r="F345" s="50">
        <f>VLOOKUP(B345,aa!B:J,9,0)</f>
        <v>0</v>
      </c>
      <c r="G345" s="50">
        <f>VLOOKUP(B345,aa!B:L,11,0)</f>
        <v>0</v>
      </c>
      <c r="H345" s="50">
        <f>VLOOKUP(B345,aa!B:O,14,0)</f>
        <v>0</v>
      </c>
      <c r="I345" s="50">
        <f>VLOOKUP(B345,aa!B:R,17,0)</f>
        <v>0</v>
      </c>
      <c r="K345" s="50" t="s">
        <v>193</v>
      </c>
      <c r="L345" s="50">
        <v>734542</v>
      </c>
      <c r="M345" s="50">
        <v>823326</v>
      </c>
      <c r="N345" s="50">
        <v>241297</v>
      </c>
      <c r="O345" s="50">
        <v>776</v>
      </c>
      <c r="P345" s="50" t="s">
        <v>195</v>
      </c>
      <c r="Q345" s="50">
        <v>0</v>
      </c>
      <c r="R345" s="50">
        <v>0</v>
      </c>
      <c r="T345" s="50">
        <v>493245</v>
      </c>
      <c r="U345" s="50">
        <v>776</v>
      </c>
      <c r="V345" s="50" t="s">
        <v>11949</v>
      </c>
      <c r="W345" s="50" t="s">
        <v>102</v>
      </c>
      <c r="X345" s="50" t="s">
        <v>103</v>
      </c>
      <c r="Y345" s="50" t="s">
        <v>104</v>
      </c>
      <c r="AA345" s="50" t="s">
        <v>11950</v>
      </c>
      <c r="AB345" s="50" t="s">
        <v>12354</v>
      </c>
      <c r="AC345" s="50" t="s">
        <v>11952</v>
      </c>
      <c r="AD345" s="50" t="s">
        <v>12354</v>
      </c>
      <c r="AE345" s="50" t="s">
        <v>109</v>
      </c>
      <c r="AF345" s="50" t="s">
        <v>102</v>
      </c>
      <c r="AG345" s="50" t="s">
        <v>109</v>
      </c>
      <c r="AH345" s="50" t="s">
        <v>102</v>
      </c>
      <c r="AI345" s="50" t="s">
        <v>12355</v>
      </c>
      <c r="AJ345" s="50" t="s">
        <v>11954</v>
      </c>
      <c r="AK345" s="50" t="s">
        <v>11954</v>
      </c>
      <c r="AL345" s="50" t="s">
        <v>12356</v>
      </c>
      <c r="AM345" s="50" t="s">
        <v>12357</v>
      </c>
      <c r="AN345" s="50" t="s">
        <v>12358</v>
      </c>
      <c r="AO345" s="50" t="s">
        <v>11958</v>
      </c>
      <c r="AP345" s="50" t="s">
        <v>11958</v>
      </c>
      <c r="AU345" s="50" t="s">
        <v>207</v>
      </c>
      <c r="AV345" s="50" t="s">
        <v>118</v>
      </c>
      <c r="AW345" s="50" t="s">
        <v>102</v>
      </c>
      <c r="AX345" s="50" t="s">
        <v>119</v>
      </c>
      <c r="BA345" s="50" t="s">
        <v>250</v>
      </c>
      <c r="BB345" s="50" t="s">
        <v>120</v>
      </c>
      <c r="BC345" s="50" t="s">
        <v>758</v>
      </c>
      <c r="BD345" s="50" t="s">
        <v>211</v>
      </c>
      <c r="BE345" s="50" t="s">
        <v>212</v>
      </c>
      <c r="BF345" s="50" t="s">
        <v>213</v>
      </c>
      <c r="BG345" s="50" t="s">
        <v>124</v>
      </c>
      <c r="BH345" s="50" t="s">
        <v>11959</v>
      </c>
      <c r="BI345" s="50" t="s">
        <v>11960</v>
      </c>
      <c r="BJ345" s="50" t="s">
        <v>127</v>
      </c>
      <c r="BK345" s="50" t="s">
        <v>12359</v>
      </c>
      <c r="BL345" s="50" t="s">
        <v>774</v>
      </c>
      <c r="BM345" s="50" t="s">
        <v>12360</v>
      </c>
      <c r="BN345" s="50" t="s">
        <v>11948</v>
      </c>
      <c r="BO345" s="50" t="s">
        <v>1880</v>
      </c>
      <c r="BP345" s="50" t="s">
        <v>7992</v>
      </c>
      <c r="BQ345" s="50" t="s">
        <v>1882</v>
      </c>
      <c r="BR345" s="50" t="s">
        <v>1883</v>
      </c>
      <c r="BS345" s="50" t="s">
        <v>222</v>
      </c>
      <c r="BU345" s="50" t="s">
        <v>12361</v>
      </c>
      <c r="BV345" s="50" t="s">
        <v>224</v>
      </c>
      <c r="BW345" s="50" t="s">
        <v>138</v>
      </c>
      <c r="BX345" s="50" t="s">
        <v>225</v>
      </c>
      <c r="BY345" s="50" t="s">
        <v>226</v>
      </c>
      <c r="BZ345" s="50" t="s">
        <v>777</v>
      </c>
      <c r="CA345" s="50" t="s">
        <v>12362</v>
      </c>
      <c r="CB345" s="50" t="s">
        <v>12363</v>
      </c>
      <c r="CC345" s="50" t="s">
        <v>12364</v>
      </c>
      <c r="CD345" s="50" t="s">
        <v>12365</v>
      </c>
      <c r="CE345" s="50" t="s">
        <v>12363</v>
      </c>
      <c r="CF345" s="50" t="s">
        <v>12366</v>
      </c>
      <c r="CG345" s="50" t="s">
        <v>102</v>
      </c>
      <c r="CH345" s="50" t="s">
        <v>778</v>
      </c>
      <c r="CJ345" s="50" t="s">
        <v>779</v>
      </c>
      <c r="CL345" s="50" t="s">
        <v>758</v>
      </c>
      <c r="CM345" s="50" t="s">
        <v>211</v>
      </c>
      <c r="CN345" s="50" t="s">
        <v>779</v>
      </c>
      <c r="CO345" s="50" t="s">
        <v>230</v>
      </c>
      <c r="CP345" s="50" t="s">
        <v>778</v>
      </c>
      <c r="CQ345" s="50" t="s">
        <v>780</v>
      </c>
    </row>
    <row r="346" spans="1:96">
      <c r="A346" s="95" t="s">
        <v>149</v>
      </c>
      <c r="B346" s="50">
        <v>1316481</v>
      </c>
      <c r="C346" s="50" t="s">
        <v>11947</v>
      </c>
      <c r="D346" s="50" t="s">
        <v>781</v>
      </c>
      <c r="E346" s="50" t="str">
        <f>VLOOKUP(B346,aa!B:F,5,0)</f>
        <v>Ei ASSET,Ei Mindspark</v>
      </c>
      <c r="F346" s="50">
        <f>VLOOKUP(B346,aa!B:J,9,0)</f>
        <v>0</v>
      </c>
      <c r="G346" s="50">
        <f>VLOOKUP(B346,aa!B:L,11,0)</f>
        <v>0</v>
      </c>
      <c r="H346" s="50">
        <f>VLOOKUP(B346,aa!B:O,14,0)</f>
        <v>0</v>
      </c>
      <c r="I346" s="50">
        <f>VLOOKUP(B346,aa!B:R,17,0)</f>
        <v>0</v>
      </c>
      <c r="K346" s="50" t="s">
        <v>193</v>
      </c>
      <c r="L346" s="50">
        <v>891367</v>
      </c>
      <c r="M346" s="50">
        <v>1000631</v>
      </c>
      <c r="N346" s="50">
        <v>284345</v>
      </c>
      <c r="O346" s="50">
        <v>914</v>
      </c>
      <c r="P346" s="50" t="s">
        <v>195</v>
      </c>
      <c r="Q346" s="50">
        <v>0</v>
      </c>
      <c r="R346" s="50">
        <v>0</v>
      </c>
      <c r="T346" s="50">
        <v>607022</v>
      </c>
      <c r="U346" s="50">
        <v>955</v>
      </c>
      <c r="V346" s="50" t="s">
        <v>11949</v>
      </c>
      <c r="W346" s="50" t="s">
        <v>102</v>
      </c>
      <c r="X346" s="50" t="s">
        <v>103</v>
      </c>
      <c r="Y346" s="50" t="s">
        <v>104</v>
      </c>
      <c r="AA346" s="50" t="s">
        <v>11950</v>
      </c>
      <c r="AB346" s="50" t="s">
        <v>12367</v>
      </c>
      <c r="AC346" s="50" t="s">
        <v>11952</v>
      </c>
      <c r="AD346" s="50" t="s">
        <v>12367</v>
      </c>
      <c r="AE346" s="50" t="s">
        <v>109</v>
      </c>
      <c r="AF346" s="50" t="s">
        <v>102</v>
      </c>
      <c r="AG346" s="50" t="s">
        <v>109</v>
      </c>
      <c r="AH346" s="50" t="s">
        <v>102</v>
      </c>
      <c r="AI346" s="50" t="s">
        <v>12368</v>
      </c>
      <c r="AJ346" s="50" t="s">
        <v>11954</v>
      </c>
      <c r="AK346" s="50" t="s">
        <v>11954</v>
      </c>
      <c r="AL346" s="50" t="s">
        <v>12369</v>
      </c>
      <c r="AM346" s="50" t="s">
        <v>12370</v>
      </c>
      <c r="AN346" s="50" t="s">
        <v>12371</v>
      </c>
      <c r="AO346" s="50" t="s">
        <v>12372</v>
      </c>
      <c r="AP346" s="50" t="s">
        <v>12372</v>
      </c>
      <c r="AU346" s="50" t="s">
        <v>207</v>
      </c>
      <c r="AV346" s="50" t="s">
        <v>118</v>
      </c>
      <c r="AW346" s="50" t="s">
        <v>102</v>
      </c>
      <c r="AX346" s="50" t="s">
        <v>119</v>
      </c>
      <c r="BA346" s="50" t="s">
        <v>250</v>
      </c>
      <c r="BB346" s="50" t="s">
        <v>120</v>
      </c>
      <c r="BC346" s="50" t="s">
        <v>788</v>
      </c>
      <c r="BD346" s="50" t="s">
        <v>211</v>
      </c>
      <c r="BE346" s="50" t="s">
        <v>212</v>
      </c>
      <c r="BF346" s="50" t="s">
        <v>213</v>
      </c>
      <c r="BG346" s="50" t="s">
        <v>124</v>
      </c>
      <c r="BH346" s="50" t="s">
        <v>11959</v>
      </c>
      <c r="BI346" s="50" t="s">
        <v>11960</v>
      </c>
      <c r="BJ346" s="50" t="s">
        <v>127</v>
      </c>
      <c r="BK346" s="50" t="s">
        <v>12373</v>
      </c>
      <c r="BL346" s="50" t="s">
        <v>790</v>
      </c>
      <c r="BM346" s="50" t="s">
        <v>12374</v>
      </c>
      <c r="BN346" s="50" t="s">
        <v>11948</v>
      </c>
      <c r="BO346" s="50" t="s">
        <v>1880</v>
      </c>
      <c r="BP346" s="50" t="s">
        <v>180</v>
      </c>
      <c r="BQ346" s="50" t="s">
        <v>1882</v>
      </c>
      <c r="BR346" s="50" t="s">
        <v>1883</v>
      </c>
      <c r="BS346" s="50" t="s">
        <v>222</v>
      </c>
      <c r="BU346" s="50" t="s">
        <v>12375</v>
      </c>
      <c r="BV346" s="50" t="s">
        <v>12376</v>
      </c>
      <c r="BW346" s="50" t="s">
        <v>138</v>
      </c>
      <c r="BX346" s="50" t="s">
        <v>225</v>
      </c>
      <c r="BY346" s="50" t="s">
        <v>226</v>
      </c>
      <c r="BZ346" s="50" t="s">
        <v>793</v>
      </c>
      <c r="CA346" s="50" t="s">
        <v>12377</v>
      </c>
      <c r="CB346" s="50" t="s">
        <v>12378</v>
      </c>
      <c r="CC346" s="50" t="s">
        <v>12379</v>
      </c>
      <c r="CD346" s="50" t="s">
        <v>12380</v>
      </c>
      <c r="CE346" s="50" t="s">
        <v>12378</v>
      </c>
      <c r="CF346" s="50" t="s">
        <v>12379</v>
      </c>
      <c r="CG346" s="50" t="s">
        <v>102</v>
      </c>
      <c r="CH346" s="50" t="s">
        <v>794</v>
      </c>
      <c r="CJ346" s="50" t="s">
        <v>795</v>
      </c>
      <c r="CL346" s="50" t="s">
        <v>788</v>
      </c>
      <c r="CM346" s="50" t="s">
        <v>211</v>
      </c>
      <c r="CN346" s="50" t="s">
        <v>795</v>
      </c>
      <c r="CO346" s="50" t="s">
        <v>230</v>
      </c>
      <c r="CP346" s="50" t="s">
        <v>794</v>
      </c>
      <c r="CQ346" s="50" t="s">
        <v>794</v>
      </c>
    </row>
    <row r="347" spans="1:96">
      <c r="A347" s="95" t="s">
        <v>149</v>
      </c>
      <c r="B347" s="50">
        <v>1330320</v>
      </c>
      <c r="C347" s="50" t="s">
        <v>11947</v>
      </c>
      <c r="D347" s="50" t="s">
        <v>831</v>
      </c>
      <c r="E347" s="50" t="str">
        <f>VLOOKUP(B347,aa!B:F,5,0)</f>
        <v>Ei ASSET,Ei Mindspark</v>
      </c>
      <c r="F347" s="50">
        <f>VLOOKUP(B347,aa!B:J,9,0)</f>
        <v>0</v>
      </c>
      <c r="G347" s="50">
        <f>VLOOKUP(B347,aa!B:L,11,0)</f>
        <v>0</v>
      </c>
      <c r="H347" s="50">
        <f>VLOOKUP(B347,aa!B:O,14,0)</f>
        <v>0</v>
      </c>
      <c r="I347" s="50">
        <f>VLOOKUP(B347,aa!B:R,17,0)</f>
        <v>0</v>
      </c>
      <c r="K347" s="50" t="s">
        <v>193</v>
      </c>
      <c r="L347" s="50">
        <v>866253</v>
      </c>
      <c r="M347" s="50">
        <v>970940</v>
      </c>
      <c r="N347" s="50">
        <v>284656</v>
      </c>
      <c r="O347" s="50">
        <v>915</v>
      </c>
      <c r="P347" s="50" t="s">
        <v>195</v>
      </c>
      <c r="Q347" s="50">
        <v>0</v>
      </c>
      <c r="R347" s="50">
        <v>0</v>
      </c>
      <c r="T347" s="50">
        <v>581597</v>
      </c>
      <c r="U347" s="50">
        <v>915</v>
      </c>
      <c r="V347" s="50" t="s">
        <v>11949</v>
      </c>
      <c r="W347" s="50" t="s">
        <v>102</v>
      </c>
      <c r="X347" s="50" t="s">
        <v>103</v>
      </c>
      <c r="Y347" s="50" t="s">
        <v>104</v>
      </c>
      <c r="AA347" s="50" t="s">
        <v>11950</v>
      </c>
      <c r="AB347" s="50" t="s">
        <v>12413</v>
      </c>
      <c r="AC347" s="50" t="s">
        <v>11952</v>
      </c>
      <c r="AD347" s="50" t="s">
        <v>12413</v>
      </c>
      <c r="AE347" s="50" t="s">
        <v>109</v>
      </c>
      <c r="AF347" s="50" t="s">
        <v>102</v>
      </c>
      <c r="AG347" s="50" t="s">
        <v>109</v>
      </c>
      <c r="AH347" s="50" t="s">
        <v>102</v>
      </c>
      <c r="AI347" s="50" t="s">
        <v>12368</v>
      </c>
      <c r="AJ347" s="50" t="s">
        <v>11954</v>
      </c>
      <c r="AK347" s="50" t="s">
        <v>11954</v>
      </c>
      <c r="AL347" s="50" t="s">
        <v>12414</v>
      </c>
      <c r="AM347" s="50" t="s">
        <v>12370</v>
      </c>
      <c r="AN347" s="50" t="s">
        <v>12415</v>
      </c>
      <c r="AO347" s="50" t="s">
        <v>12372</v>
      </c>
      <c r="AP347" s="50" t="s">
        <v>12372</v>
      </c>
      <c r="AU347" s="50" t="s">
        <v>207</v>
      </c>
      <c r="AV347" s="50" t="s">
        <v>118</v>
      </c>
      <c r="AW347" s="50" t="s">
        <v>102</v>
      </c>
      <c r="AX347" s="50" t="s">
        <v>119</v>
      </c>
      <c r="BA347" s="50" t="s">
        <v>250</v>
      </c>
      <c r="BB347" s="50" t="s">
        <v>120</v>
      </c>
      <c r="BC347" s="50" t="s">
        <v>838</v>
      </c>
      <c r="BD347" s="50" t="s">
        <v>211</v>
      </c>
      <c r="BE347" s="50" t="s">
        <v>212</v>
      </c>
      <c r="BF347" s="50" t="s">
        <v>213</v>
      </c>
      <c r="BG347" s="50" t="s">
        <v>124</v>
      </c>
      <c r="BH347" s="50" t="s">
        <v>11959</v>
      </c>
      <c r="BI347" s="50" t="s">
        <v>11960</v>
      </c>
      <c r="BJ347" s="50" t="s">
        <v>127</v>
      </c>
      <c r="BK347" s="50" t="s">
        <v>12416</v>
      </c>
      <c r="BL347" s="50" t="s">
        <v>840</v>
      </c>
      <c r="BM347" s="50" t="s">
        <v>12417</v>
      </c>
      <c r="BN347" s="50" t="s">
        <v>11948</v>
      </c>
      <c r="BO347" s="50" t="s">
        <v>1880</v>
      </c>
      <c r="BP347" s="50" t="s">
        <v>7992</v>
      </c>
      <c r="BQ347" s="50" t="s">
        <v>1882</v>
      </c>
      <c r="BR347" s="50" t="s">
        <v>1883</v>
      </c>
      <c r="BS347" s="50" t="s">
        <v>222</v>
      </c>
      <c r="BU347" s="50" t="s">
        <v>12418</v>
      </c>
      <c r="BV347" s="50" t="s">
        <v>12376</v>
      </c>
      <c r="BW347" s="50" t="s">
        <v>138</v>
      </c>
      <c r="BX347" s="50" t="s">
        <v>225</v>
      </c>
      <c r="BY347" s="50" t="s">
        <v>226</v>
      </c>
      <c r="BZ347" s="50" t="s">
        <v>843</v>
      </c>
      <c r="CA347" s="50" t="s">
        <v>12419</v>
      </c>
      <c r="CB347" s="50" t="s">
        <v>12420</v>
      </c>
      <c r="CC347" s="50" t="s">
        <v>12421</v>
      </c>
      <c r="CD347" s="50" t="s">
        <v>12422</v>
      </c>
      <c r="CE347" s="50" t="s">
        <v>12420</v>
      </c>
      <c r="CF347" s="50" t="s">
        <v>12421</v>
      </c>
      <c r="CG347" s="50" t="s">
        <v>102</v>
      </c>
      <c r="CH347" s="50" t="s">
        <v>844</v>
      </c>
      <c r="CJ347" s="50" t="s">
        <v>845</v>
      </c>
      <c r="CL347" s="50" t="s">
        <v>838</v>
      </c>
      <c r="CM347" s="50" t="s">
        <v>211</v>
      </c>
      <c r="CN347" s="50" t="s">
        <v>845</v>
      </c>
      <c r="CO347" s="50" t="s">
        <v>230</v>
      </c>
      <c r="CP347" s="50" t="s">
        <v>844</v>
      </c>
      <c r="CQ347" s="50" t="s">
        <v>844</v>
      </c>
    </row>
    <row r="348" spans="1:96">
      <c r="A348" s="95" t="s">
        <v>149</v>
      </c>
      <c r="B348" s="50">
        <v>1805376</v>
      </c>
      <c r="C348" s="50" t="s">
        <v>11947</v>
      </c>
      <c r="D348" s="50" t="s">
        <v>1890</v>
      </c>
      <c r="E348" s="50" t="str">
        <f>VLOOKUP(B348,aa!B:F,5,0)</f>
        <v>Ei ASSET,Ei Mindspark</v>
      </c>
      <c r="F348" s="50">
        <f>VLOOKUP(B348,aa!B:J,9,0)</f>
        <v>0</v>
      </c>
      <c r="G348" s="50">
        <f>VLOOKUP(B348,aa!B:L,11,0)</f>
        <v>0</v>
      </c>
      <c r="H348" s="50">
        <f>VLOOKUP(B348,aa!B:O,14,0)</f>
        <v>0</v>
      </c>
      <c r="I348" s="50">
        <f>VLOOKUP(B348,aa!B:R,17,0)</f>
        <v>0</v>
      </c>
      <c r="K348" s="50" t="s">
        <v>193</v>
      </c>
      <c r="L348" s="50">
        <v>955527</v>
      </c>
      <c r="M348" s="50">
        <v>1070991</v>
      </c>
      <c r="N348" s="50">
        <v>314059</v>
      </c>
      <c r="O348" s="50">
        <v>1010</v>
      </c>
      <c r="P348" s="50" t="s">
        <v>195</v>
      </c>
      <c r="Q348" s="50">
        <v>0</v>
      </c>
      <c r="R348" s="50">
        <v>0</v>
      </c>
      <c r="T348" s="50">
        <v>641468</v>
      </c>
      <c r="U348" s="50">
        <v>1010</v>
      </c>
      <c r="V348" s="50" t="s">
        <v>12956</v>
      </c>
      <c r="W348" s="50" t="s">
        <v>102</v>
      </c>
      <c r="X348" s="50" t="s">
        <v>103</v>
      </c>
      <c r="Y348" s="50" t="s">
        <v>104</v>
      </c>
      <c r="AA348" s="50" t="s">
        <v>11950</v>
      </c>
      <c r="AB348" s="50" t="s">
        <v>12957</v>
      </c>
      <c r="AC348" s="50" t="s">
        <v>11952</v>
      </c>
      <c r="AD348" s="50" t="s">
        <v>12957</v>
      </c>
      <c r="AE348" s="50" t="s">
        <v>109</v>
      </c>
      <c r="AF348" s="50" t="s">
        <v>102</v>
      </c>
      <c r="AG348" s="50" t="s">
        <v>109</v>
      </c>
      <c r="AH348" s="50" t="s">
        <v>102</v>
      </c>
      <c r="AI348" s="50" t="s">
        <v>12958</v>
      </c>
      <c r="AJ348" s="50" t="s">
        <v>11954</v>
      </c>
      <c r="AK348" s="50" t="s">
        <v>11954</v>
      </c>
      <c r="AL348" s="50" t="s">
        <v>12959</v>
      </c>
      <c r="AM348" s="50" t="s">
        <v>12960</v>
      </c>
      <c r="AN348" s="50" t="s">
        <v>12961</v>
      </c>
      <c r="AO348" s="50" t="s">
        <v>12962</v>
      </c>
      <c r="AP348" s="50" t="s">
        <v>12962</v>
      </c>
      <c r="AU348" s="50" t="s">
        <v>207</v>
      </c>
      <c r="AV348" s="50" t="s">
        <v>118</v>
      </c>
      <c r="AW348" s="50" t="s">
        <v>102</v>
      </c>
      <c r="AX348" s="50" t="s">
        <v>119</v>
      </c>
      <c r="BA348" s="50" t="s">
        <v>250</v>
      </c>
      <c r="BB348" s="50" t="s">
        <v>120</v>
      </c>
      <c r="BC348" s="50" t="s">
        <v>1897</v>
      </c>
      <c r="BD348" s="50" t="s">
        <v>621</v>
      </c>
      <c r="BE348" s="50" t="s">
        <v>622</v>
      </c>
      <c r="BF348" s="50" t="s">
        <v>976</v>
      </c>
      <c r="BG348" s="50" t="s">
        <v>124</v>
      </c>
      <c r="BH348" s="50" t="s">
        <v>11948</v>
      </c>
      <c r="BI348" s="50" t="s">
        <v>12963</v>
      </c>
      <c r="BJ348" s="50" t="s">
        <v>127</v>
      </c>
      <c r="BK348" s="50" t="s">
        <v>12964</v>
      </c>
      <c r="BL348" s="50" t="s">
        <v>1899</v>
      </c>
      <c r="BM348" s="50" t="s">
        <v>12965</v>
      </c>
      <c r="BN348" s="50" t="s">
        <v>11948</v>
      </c>
      <c r="BO348" s="50" t="s">
        <v>415</v>
      </c>
      <c r="BP348" s="50" t="s">
        <v>7992</v>
      </c>
      <c r="BQ348" s="50" t="s">
        <v>416</v>
      </c>
      <c r="BR348" s="50" t="s">
        <v>417</v>
      </c>
      <c r="BS348" s="50" t="s">
        <v>984</v>
      </c>
      <c r="BU348" s="50" t="s">
        <v>12966</v>
      </c>
      <c r="BV348" s="50" t="s">
        <v>3585</v>
      </c>
      <c r="BW348" s="50" t="s">
        <v>598</v>
      </c>
      <c r="BX348" s="50" t="s">
        <v>225</v>
      </c>
      <c r="BY348" s="50" t="s">
        <v>226</v>
      </c>
      <c r="CA348" s="50" t="s">
        <v>12967</v>
      </c>
      <c r="CB348" s="50" t="s">
        <v>12968</v>
      </c>
      <c r="CC348" s="50" t="s">
        <v>12969</v>
      </c>
      <c r="CD348" s="50" t="s">
        <v>12970</v>
      </c>
      <c r="CE348" s="50" t="s">
        <v>12971</v>
      </c>
      <c r="CF348" s="50" t="s">
        <v>12969</v>
      </c>
      <c r="CG348" s="50" t="s">
        <v>102</v>
      </c>
      <c r="CH348" s="50" t="s">
        <v>1902</v>
      </c>
      <c r="CJ348" s="50" t="s">
        <v>1903</v>
      </c>
      <c r="CL348" s="50" t="s">
        <v>1897</v>
      </c>
      <c r="CM348" s="50" t="s">
        <v>621</v>
      </c>
      <c r="CN348" s="50" t="s">
        <v>1903</v>
      </c>
      <c r="CO348" s="50" t="s">
        <v>230</v>
      </c>
      <c r="CP348" s="50" t="s">
        <v>1902</v>
      </c>
      <c r="CQ348" s="50" t="s">
        <v>1902</v>
      </c>
    </row>
    <row r="349" spans="1:96">
      <c r="A349" s="50" t="s">
        <v>93</v>
      </c>
      <c r="B349" s="50">
        <v>2133172</v>
      </c>
      <c r="C349" s="50" t="s">
        <v>2525</v>
      </c>
      <c r="D349" s="50" t="s">
        <v>13577</v>
      </c>
      <c r="E349" s="50" t="e">
        <f>VLOOKUP(B349,aa!B:F,5,0)</f>
        <v>#N/A</v>
      </c>
      <c r="F349" s="50" t="e">
        <f>VLOOKUP(B349,aa!B:J,9,0)</f>
        <v>#N/A</v>
      </c>
      <c r="G349" s="50" t="e">
        <f>VLOOKUP(B349,aa!B:L,11,0)</f>
        <v>#N/A</v>
      </c>
      <c r="H349" s="50" t="e">
        <f>VLOOKUP(B349,aa!B:O,14,0)</f>
        <v>#N/A</v>
      </c>
      <c r="I349" s="50" t="e">
        <f>VLOOKUP(B349,aa!B:R,17,0)</f>
        <v>#N/A</v>
      </c>
      <c r="K349" s="50" t="s">
        <v>13578</v>
      </c>
      <c r="L349" s="50">
        <v>300000</v>
      </c>
      <c r="M349" s="50">
        <v>354000</v>
      </c>
      <c r="N349" s="50">
        <v>0</v>
      </c>
      <c r="O349" s="50">
        <v>0</v>
      </c>
      <c r="P349" s="50" t="s">
        <v>102</v>
      </c>
      <c r="Q349" s="50">
        <v>0</v>
      </c>
      <c r="R349" s="50">
        <v>0</v>
      </c>
      <c r="S349" s="50" t="s">
        <v>102</v>
      </c>
      <c r="T349" s="50">
        <v>0</v>
      </c>
      <c r="U349" s="50">
        <v>0</v>
      </c>
      <c r="V349" s="50" t="s">
        <v>102</v>
      </c>
      <c r="W349" s="50" t="s">
        <v>13579</v>
      </c>
      <c r="Y349" s="50" t="s">
        <v>115</v>
      </c>
      <c r="Z349" s="50" t="s">
        <v>11948</v>
      </c>
      <c r="AA349" s="50" t="s">
        <v>11948</v>
      </c>
      <c r="AB349" s="50" t="s">
        <v>102</v>
      </c>
      <c r="AC349" s="50" t="s">
        <v>11948</v>
      </c>
      <c r="AD349" s="50" t="s">
        <v>102</v>
      </c>
      <c r="AE349" s="50" t="s">
        <v>11948</v>
      </c>
      <c r="AF349" s="50" t="s">
        <v>102</v>
      </c>
      <c r="AG349" s="50" t="s">
        <v>11948</v>
      </c>
      <c r="AH349" s="50" t="s">
        <v>102</v>
      </c>
      <c r="AI349" s="50" t="s">
        <v>102</v>
      </c>
      <c r="AJ349" s="50" t="s">
        <v>11948</v>
      </c>
      <c r="AK349" s="50" t="s">
        <v>11948</v>
      </c>
      <c r="AL349" s="50" t="s">
        <v>13579</v>
      </c>
      <c r="AM349" s="50" t="s">
        <v>102</v>
      </c>
      <c r="AN349" s="50" t="s">
        <v>13579</v>
      </c>
      <c r="AO349" s="50" t="s">
        <v>102</v>
      </c>
      <c r="AP349" s="50" t="s">
        <v>102</v>
      </c>
      <c r="AQ349" s="50" t="s">
        <v>102</v>
      </c>
      <c r="AR349" s="50" t="s">
        <v>102</v>
      </c>
      <c r="AS349" s="50" t="s">
        <v>102</v>
      </c>
      <c r="AT349" s="50" t="s">
        <v>102</v>
      </c>
      <c r="AU349" s="50" t="s">
        <v>102</v>
      </c>
      <c r="AW349" s="50" t="s">
        <v>102</v>
      </c>
      <c r="BB349" s="50" t="s">
        <v>120</v>
      </c>
      <c r="BC349" s="50" t="s">
        <v>2327</v>
      </c>
      <c r="BE349" s="50" t="s">
        <v>622</v>
      </c>
      <c r="BF349" s="50" t="s">
        <v>730</v>
      </c>
      <c r="BG349" s="50" t="s">
        <v>124</v>
      </c>
      <c r="BH349" s="50" t="s">
        <v>11948</v>
      </c>
      <c r="BI349" s="50" t="s">
        <v>11948</v>
      </c>
      <c r="BJ349" s="50" t="s">
        <v>13580</v>
      </c>
      <c r="BK349" s="50" t="s">
        <v>13581</v>
      </c>
      <c r="BN349" s="50" t="s">
        <v>11948</v>
      </c>
      <c r="BO349" s="50" t="s">
        <v>225</v>
      </c>
      <c r="BP349" s="50" t="s">
        <v>225</v>
      </c>
      <c r="BQ349" s="50" t="s">
        <v>225</v>
      </c>
      <c r="BR349" s="50" t="s">
        <v>506</v>
      </c>
      <c r="BS349" s="50" t="s">
        <v>737</v>
      </c>
      <c r="BT349" s="50" t="s">
        <v>737</v>
      </c>
      <c r="BU349" s="50" t="s">
        <v>11948</v>
      </c>
      <c r="CG349" s="50" t="s">
        <v>102</v>
      </c>
    </row>
    <row r="350" spans="1:96">
      <c r="A350" s="95" t="s">
        <v>149</v>
      </c>
      <c r="B350" s="50">
        <v>2379270</v>
      </c>
      <c r="C350" s="50" t="s">
        <v>11947</v>
      </c>
      <c r="D350" s="50" t="s">
        <v>3093</v>
      </c>
      <c r="E350" s="50" t="str">
        <f>VLOOKUP(B350,aa!B:F,5,0)</f>
        <v>Ei ASSET,Ei Mindspark</v>
      </c>
      <c r="F350" s="50">
        <f>VLOOKUP(B350,aa!B:J,9,0)</f>
        <v>0</v>
      </c>
      <c r="G350" s="50">
        <f>VLOOKUP(B350,aa!B:L,11,0)</f>
        <v>0</v>
      </c>
      <c r="H350" s="50">
        <f>VLOOKUP(B350,aa!B:O,14,0)</f>
        <v>0</v>
      </c>
      <c r="I350" s="50">
        <f>VLOOKUP(B350,aa!B:R,17,0)</f>
        <v>0</v>
      </c>
      <c r="K350" s="50" t="s">
        <v>193</v>
      </c>
      <c r="L350" s="50">
        <v>933556</v>
      </c>
      <c r="M350" s="50">
        <v>1048312</v>
      </c>
      <c r="N350" s="50">
        <v>296024</v>
      </c>
      <c r="O350" s="50">
        <v>952</v>
      </c>
      <c r="P350" s="50" t="s">
        <v>195</v>
      </c>
      <c r="Q350" s="50">
        <v>0</v>
      </c>
      <c r="R350" s="50">
        <v>0</v>
      </c>
      <c r="T350" s="50">
        <v>637532</v>
      </c>
      <c r="U350" s="50">
        <v>1003</v>
      </c>
      <c r="V350" s="50" t="s">
        <v>11949</v>
      </c>
      <c r="W350" s="50" t="s">
        <v>102</v>
      </c>
      <c r="X350" s="50" t="s">
        <v>103</v>
      </c>
      <c r="Y350" s="50" t="s">
        <v>104</v>
      </c>
      <c r="AA350" s="50" t="s">
        <v>11950</v>
      </c>
      <c r="AB350" s="50" t="s">
        <v>13791</v>
      </c>
      <c r="AC350" s="50" t="s">
        <v>11952</v>
      </c>
      <c r="AD350" s="50" t="s">
        <v>13791</v>
      </c>
      <c r="AE350" s="50" t="s">
        <v>109</v>
      </c>
      <c r="AF350" s="50" t="s">
        <v>102</v>
      </c>
      <c r="AG350" s="50" t="s">
        <v>109</v>
      </c>
      <c r="AH350" s="50" t="s">
        <v>102</v>
      </c>
      <c r="AI350" s="50" t="s">
        <v>13792</v>
      </c>
      <c r="AJ350" s="50" t="s">
        <v>11954</v>
      </c>
      <c r="AK350" s="50" t="s">
        <v>11954</v>
      </c>
      <c r="AL350" s="50" t="s">
        <v>13793</v>
      </c>
      <c r="AM350" s="50" t="s">
        <v>13794</v>
      </c>
      <c r="AN350" s="50" t="s">
        <v>13795</v>
      </c>
      <c r="AO350" s="50" t="s">
        <v>11958</v>
      </c>
      <c r="AP350" s="50" t="s">
        <v>11958</v>
      </c>
      <c r="AU350" s="50" t="s">
        <v>207</v>
      </c>
      <c r="AV350" s="50" t="s">
        <v>118</v>
      </c>
      <c r="AW350" s="50" t="s">
        <v>102</v>
      </c>
      <c r="AX350" s="50" t="s">
        <v>119</v>
      </c>
      <c r="BA350" s="50" t="s">
        <v>250</v>
      </c>
      <c r="BB350" s="50" t="s">
        <v>120</v>
      </c>
      <c r="BC350" s="50" t="s">
        <v>920</v>
      </c>
      <c r="BD350" s="50" t="s">
        <v>211</v>
      </c>
      <c r="BE350" s="50" t="s">
        <v>212</v>
      </c>
      <c r="BF350" s="50" t="s">
        <v>213</v>
      </c>
      <c r="BG350" s="50" t="s">
        <v>124</v>
      </c>
      <c r="BH350" s="50" t="s">
        <v>11959</v>
      </c>
      <c r="BI350" s="50" t="s">
        <v>11960</v>
      </c>
      <c r="BJ350" s="50" t="s">
        <v>127</v>
      </c>
      <c r="BK350" s="50" t="s">
        <v>13796</v>
      </c>
      <c r="BL350" s="50" t="s">
        <v>3101</v>
      </c>
      <c r="BM350" s="50" t="s">
        <v>13797</v>
      </c>
      <c r="BN350" s="50" t="s">
        <v>11948</v>
      </c>
      <c r="BO350" s="50" t="s">
        <v>1880</v>
      </c>
      <c r="BP350" s="50" t="s">
        <v>180</v>
      </c>
      <c r="BQ350" s="50" t="s">
        <v>1882</v>
      </c>
      <c r="BR350" s="50" t="s">
        <v>1883</v>
      </c>
      <c r="BS350" s="50" t="s">
        <v>222</v>
      </c>
      <c r="BU350" s="50" t="s">
        <v>13798</v>
      </c>
      <c r="BV350" s="50" t="s">
        <v>224</v>
      </c>
      <c r="BW350" s="50" t="s">
        <v>138</v>
      </c>
      <c r="BX350" s="50" t="s">
        <v>225</v>
      </c>
      <c r="BY350" s="50" t="s">
        <v>226</v>
      </c>
      <c r="BZ350" s="50" t="s">
        <v>3104</v>
      </c>
      <c r="CA350" s="50" t="s">
        <v>13799</v>
      </c>
      <c r="CB350" s="50" t="s">
        <v>13800</v>
      </c>
      <c r="CC350" s="50" t="s">
        <v>13801</v>
      </c>
      <c r="CD350" s="50" t="s">
        <v>13802</v>
      </c>
      <c r="CE350" s="50" t="s">
        <v>13803</v>
      </c>
      <c r="CF350" s="50" t="s">
        <v>13801</v>
      </c>
      <c r="CG350" s="50" t="s">
        <v>102</v>
      </c>
      <c r="CH350" s="50" t="s">
        <v>3105</v>
      </c>
      <c r="CJ350" s="50" t="s">
        <v>3106</v>
      </c>
      <c r="CL350" s="50" t="s">
        <v>920</v>
      </c>
      <c r="CM350" s="50" t="s">
        <v>211</v>
      </c>
      <c r="CN350" s="50" t="s">
        <v>3106</v>
      </c>
      <c r="CO350" s="50" t="s">
        <v>230</v>
      </c>
      <c r="CP350" s="50" t="s">
        <v>3105</v>
      </c>
      <c r="CQ350" s="50" t="s">
        <v>3105</v>
      </c>
    </row>
    <row r="351" spans="1:96">
      <c r="A351" s="95" t="s">
        <v>149</v>
      </c>
      <c r="B351" s="50">
        <v>2509774</v>
      </c>
      <c r="C351" s="50" t="s">
        <v>11947</v>
      </c>
      <c r="D351" s="50" t="s">
        <v>3866</v>
      </c>
      <c r="E351" s="50" t="str">
        <f>VLOOKUP(B351,aa!B:F,5,0)</f>
        <v>Ei ASSET,Ei Mindspark</v>
      </c>
      <c r="F351" s="50">
        <f>VLOOKUP(B351,aa!B:J,9,0)</f>
        <v>0</v>
      </c>
      <c r="G351" s="50">
        <f>VLOOKUP(B351,aa!B:L,11,0)</f>
        <v>0</v>
      </c>
      <c r="H351" s="50">
        <f>VLOOKUP(B351,aa!B:O,14,0)</f>
        <v>0</v>
      </c>
      <c r="I351" s="50">
        <f>VLOOKUP(B351,aa!B:R,17,0)</f>
        <v>0</v>
      </c>
      <c r="K351" s="50" t="s">
        <v>193</v>
      </c>
      <c r="L351" s="50">
        <v>565801</v>
      </c>
      <c r="M351" s="50">
        <v>637309</v>
      </c>
      <c r="N351" s="50">
        <v>168535</v>
      </c>
      <c r="O351" s="50">
        <v>542</v>
      </c>
      <c r="P351" s="50" t="s">
        <v>195</v>
      </c>
      <c r="Q351" s="50">
        <v>0</v>
      </c>
      <c r="R351" s="50">
        <v>0</v>
      </c>
      <c r="T351" s="50">
        <v>397266</v>
      </c>
      <c r="U351" s="50">
        <v>625</v>
      </c>
      <c r="V351" s="50" t="s">
        <v>11949</v>
      </c>
      <c r="W351" s="50" t="s">
        <v>102</v>
      </c>
      <c r="X351" s="50" t="s">
        <v>103</v>
      </c>
      <c r="Y351" s="50" t="s">
        <v>104</v>
      </c>
      <c r="AA351" s="50" t="s">
        <v>11950</v>
      </c>
      <c r="AB351" s="50" t="s">
        <v>14321</v>
      </c>
      <c r="AC351" s="50" t="s">
        <v>11952</v>
      </c>
      <c r="AD351" s="50" t="s">
        <v>14321</v>
      </c>
      <c r="AE351" s="50" t="s">
        <v>109</v>
      </c>
      <c r="AF351" s="50" t="s">
        <v>102</v>
      </c>
      <c r="AG351" s="50" t="s">
        <v>109</v>
      </c>
      <c r="AH351" s="50" t="s">
        <v>102</v>
      </c>
      <c r="AI351" s="50" t="s">
        <v>14322</v>
      </c>
      <c r="AJ351" s="50" t="s">
        <v>11954</v>
      </c>
      <c r="AK351" s="50" t="s">
        <v>11954</v>
      </c>
      <c r="AL351" s="50" t="s">
        <v>14323</v>
      </c>
      <c r="AM351" s="50" t="s">
        <v>14324</v>
      </c>
      <c r="AN351" s="50" t="s">
        <v>14325</v>
      </c>
      <c r="AO351" s="50" t="s">
        <v>11958</v>
      </c>
      <c r="AP351" s="50" t="s">
        <v>11958</v>
      </c>
      <c r="AU351" s="50" t="s">
        <v>207</v>
      </c>
      <c r="AV351" s="50" t="s">
        <v>118</v>
      </c>
      <c r="AW351" s="50" t="s">
        <v>102</v>
      </c>
      <c r="AX351" s="50" t="s">
        <v>119</v>
      </c>
      <c r="BA351" s="50" t="s">
        <v>250</v>
      </c>
      <c r="BB351" s="50" t="s">
        <v>120</v>
      </c>
      <c r="BC351" s="50" t="s">
        <v>210</v>
      </c>
      <c r="BD351" s="50" t="s">
        <v>211</v>
      </c>
      <c r="BE351" s="50" t="s">
        <v>212</v>
      </c>
      <c r="BF351" s="50" t="s">
        <v>213</v>
      </c>
      <c r="BG351" s="50" t="s">
        <v>124</v>
      </c>
      <c r="BH351" s="50" t="s">
        <v>11959</v>
      </c>
      <c r="BI351" s="50" t="s">
        <v>11960</v>
      </c>
      <c r="BJ351" s="50" t="s">
        <v>127</v>
      </c>
      <c r="BK351" s="50" t="s">
        <v>14326</v>
      </c>
      <c r="BL351" s="50" t="s">
        <v>3874</v>
      </c>
      <c r="BM351" s="50" t="s">
        <v>14327</v>
      </c>
      <c r="BN351" s="50" t="s">
        <v>11948</v>
      </c>
      <c r="BO351" s="50" t="s">
        <v>1880</v>
      </c>
      <c r="BP351" s="50" t="s">
        <v>180</v>
      </c>
      <c r="BQ351" s="50" t="s">
        <v>1882</v>
      </c>
      <c r="BR351" s="50" t="s">
        <v>1883</v>
      </c>
      <c r="BS351" s="50" t="s">
        <v>222</v>
      </c>
      <c r="BU351" s="50" t="s">
        <v>14328</v>
      </c>
      <c r="BV351" s="50" t="s">
        <v>224</v>
      </c>
      <c r="BW351" s="50" t="s">
        <v>138</v>
      </c>
      <c r="BX351" s="50" t="s">
        <v>225</v>
      </c>
      <c r="BY351" s="50" t="s">
        <v>226</v>
      </c>
      <c r="BZ351" s="50" t="s">
        <v>3877</v>
      </c>
      <c r="CA351" s="50" t="s">
        <v>14329</v>
      </c>
      <c r="CB351" s="50" t="s">
        <v>14330</v>
      </c>
      <c r="CC351" s="50" t="s">
        <v>14331</v>
      </c>
      <c r="CD351" s="50" t="s">
        <v>14332</v>
      </c>
      <c r="CE351" s="50" t="s">
        <v>14330</v>
      </c>
      <c r="CF351" s="50" t="s">
        <v>14331</v>
      </c>
      <c r="CG351" s="50" t="s">
        <v>102</v>
      </c>
      <c r="CH351" s="50" t="s">
        <v>3878</v>
      </c>
      <c r="CJ351" s="50" t="s">
        <v>229</v>
      </c>
      <c r="CL351" s="50" t="s">
        <v>210</v>
      </c>
      <c r="CM351" s="50" t="s">
        <v>211</v>
      </c>
      <c r="CN351" s="50" t="s">
        <v>229</v>
      </c>
      <c r="CO351" s="50" t="s">
        <v>230</v>
      </c>
      <c r="CP351" s="50" t="s">
        <v>3878</v>
      </c>
      <c r="CQ351" s="50" t="s">
        <v>3878</v>
      </c>
    </row>
    <row r="352" spans="1:96">
      <c r="A352" s="50" t="s">
        <v>93</v>
      </c>
      <c r="B352" s="50">
        <v>3316968</v>
      </c>
      <c r="C352" s="50" t="s">
        <v>418</v>
      </c>
      <c r="D352" s="50" t="s">
        <v>15559</v>
      </c>
      <c r="E352" s="50" t="e">
        <f>VLOOKUP(B352,aa!B:F,5,0)</f>
        <v>#N/A</v>
      </c>
      <c r="F352" s="50" t="e">
        <f>VLOOKUP(B352,aa!B:J,9,0)</f>
        <v>#N/A</v>
      </c>
      <c r="G352" s="50" t="e">
        <f>VLOOKUP(B352,aa!B:L,11,0)</f>
        <v>#N/A</v>
      </c>
      <c r="H352" s="50" t="e">
        <f>VLOOKUP(B352,aa!B:O,14,0)</f>
        <v>#N/A</v>
      </c>
      <c r="I352" s="50" t="e">
        <f>VLOOKUP(B352,aa!B:R,17,0)</f>
        <v>#N/A</v>
      </c>
      <c r="K352" s="50" t="s">
        <v>2044</v>
      </c>
      <c r="L352" s="50">
        <v>1943468</v>
      </c>
      <c r="M352" s="50">
        <v>1943468</v>
      </c>
      <c r="N352" s="50">
        <v>622736</v>
      </c>
      <c r="O352" s="50">
        <v>682</v>
      </c>
      <c r="P352" s="50" t="s">
        <v>15560</v>
      </c>
      <c r="Q352" s="50">
        <v>1320732</v>
      </c>
      <c r="R352" s="50">
        <v>720</v>
      </c>
      <c r="S352" s="50" t="s">
        <v>15561</v>
      </c>
      <c r="T352" s="50">
        <v>0</v>
      </c>
      <c r="U352" s="50">
        <v>0</v>
      </c>
      <c r="W352" s="50" t="s">
        <v>102</v>
      </c>
      <c r="X352" s="50" t="s">
        <v>103</v>
      </c>
      <c r="Y352" s="50" t="s">
        <v>398</v>
      </c>
      <c r="AA352" s="50" t="s">
        <v>11948</v>
      </c>
      <c r="AB352" s="50" t="s">
        <v>15562</v>
      </c>
      <c r="AC352" s="50" t="s">
        <v>15295</v>
      </c>
      <c r="AD352" s="50" t="s">
        <v>15563</v>
      </c>
      <c r="AE352" s="50" t="s">
        <v>12292</v>
      </c>
      <c r="AF352" s="50" t="s">
        <v>15563</v>
      </c>
      <c r="AG352" s="50" t="s">
        <v>109</v>
      </c>
      <c r="AH352" s="50" t="s">
        <v>102</v>
      </c>
      <c r="AI352" s="50" t="s">
        <v>102</v>
      </c>
      <c r="AJ352" s="50" t="s">
        <v>15564</v>
      </c>
      <c r="AK352" s="50" t="s">
        <v>8747</v>
      </c>
      <c r="AL352" s="50" t="s">
        <v>15565</v>
      </c>
      <c r="AM352" s="50" t="s">
        <v>15566</v>
      </c>
      <c r="AN352" s="50" t="s">
        <v>15567</v>
      </c>
      <c r="AO352" s="50" t="s">
        <v>15568</v>
      </c>
      <c r="AP352" s="50" t="s">
        <v>15568</v>
      </c>
      <c r="AU352" s="50" t="s">
        <v>318</v>
      </c>
      <c r="AV352" s="50" t="s">
        <v>118</v>
      </c>
      <c r="AW352" s="50" t="s">
        <v>155</v>
      </c>
      <c r="AX352" s="50" t="s">
        <v>447</v>
      </c>
      <c r="AY352" s="50" t="s">
        <v>170</v>
      </c>
      <c r="AZ352" s="50" t="s">
        <v>118</v>
      </c>
      <c r="BB352" s="50" t="s">
        <v>120</v>
      </c>
      <c r="BC352" s="50" t="s">
        <v>15569</v>
      </c>
      <c r="BD352" s="50" t="s">
        <v>15570</v>
      </c>
      <c r="BE352" s="50" t="s">
        <v>212</v>
      </c>
      <c r="BF352" s="50" t="s">
        <v>213</v>
      </c>
      <c r="BG352" s="50" t="s">
        <v>124</v>
      </c>
      <c r="BH352" s="50" t="s">
        <v>11959</v>
      </c>
      <c r="BI352" s="50" t="s">
        <v>12435</v>
      </c>
      <c r="BJ352" s="50" t="s">
        <v>127</v>
      </c>
      <c r="BK352" s="50" t="s">
        <v>15571</v>
      </c>
      <c r="BL352" s="50" t="s">
        <v>15572</v>
      </c>
      <c r="BM352" s="50" t="s">
        <v>15573</v>
      </c>
      <c r="BN352" s="50" t="s">
        <v>11948</v>
      </c>
      <c r="BO352" s="50" t="s">
        <v>15574</v>
      </c>
      <c r="BP352" s="50" t="s">
        <v>505</v>
      </c>
      <c r="BQ352" s="50" t="s">
        <v>15575</v>
      </c>
      <c r="BR352" s="50" t="s">
        <v>15576</v>
      </c>
      <c r="BS352" s="50" t="s">
        <v>7225</v>
      </c>
      <c r="BU352" s="50" t="s">
        <v>15577</v>
      </c>
      <c r="BV352" s="50" t="s">
        <v>15578</v>
      </c>
      <c r="BW352" s="50" t="s">
        <v>138</v>
      </c>
      <c r="BX352" s="50" t="s">
        <v>15579</v>
      </c>
      <c r="BY352" s="50" t="s">
        <v>15580</v>
      </c>
      <c r="BZ352" s="50" t="s">
        <v>15581</v>
      </c>
      <c r="CA352" s="50" t="s">
        <v>15578</v>
      </c>
      <c r="CB352" s="50" t="s">
        <v>15582</v>
      </c>
      <c r="CC352" s="50" t="s">
        <v>15580</v>
      </c>
      <c r="CD352" s="50" t="s">
        <v>15578</v>
      </c>
      <c r="CE352" s="50" t="s">
        <v>15582</v>
      </c>
      <c r="CF352" s="50" t="s">
        <v>15580</v>
      </c>
      <c r="CG352" s="50" t="s">
        <v>15583</v>
      </c>
      <c r="CH352" s="50" t="s">
        <v>15584</v>
      </c>
      <c r="CJ352" s="50" t="s">
        <v>15585</v>
      </c>
      <c r="CK352" s="50" t="s">
        <v>15586</v>
      </c>
      <c r="CL352" s="50" t="s">
        <v>15569</v>
      </c>
      <c r="CM352" s="50" t="s">
        <v>15570</v>
      </c>
      <c r="CN352" s="50" t="s">
        <v>15585</v>
      </c>
      <c r="CP352" s="50" t="s">
        <v>15587</v>
      </c>
      <c r="CQ352" s="50" t="s">
        <v>15587</v>
      </c>
      <c r="CR352" s="50" t="s">
        <v>26047</v>
      </c>
    </row>
    <row r="353" spans="1:96">
      <c r="A353" s="95" t="s">
        <v>149</v>
      </c>
      <c r="B353" s="50">
        <v>3347570</v>
      </c>
      <c r="C353" s="50" t="s">
        <v>11947</v>
      </c>
      <c r="D353" s="50" t="s">
        <v>5584</v>
      </c>
      <c r="E353" s="50" t="str">
        <f>VLOOKUP(B353,aa!B:F,5,0)</f>
        <v>Ei ASSET,Ei Mindspark</v>
      </c>
      <c r="F353" s="50">
        <f>VLOOKUP(B353,aa!B:J,9,0)</f>
        <v>0</v>
      </c>
      <c r="G353" s="50">
        <f>VLOOKUP(B353,aa!B:L,11,0)</f>
        <v>0</v>
      </c>
      <c r="H353" s="50">
        <f>VLOOKUP(B353,aa!B:O,14,0)</f>
        <v>0</v>
      </c>
      <c r="I353" s="50">
        <f>VLOOKUP(B353,aa!B:R,17,0)</f>
        <v>0</v>
      </c>
      <c r="K353" s="50" t="s">
        <v>193</v>
      </c>
      <c r="L353" s="50">
        <v>492901</v>
      </c>
      <c r="M353" s="50">
        <v>552462</v>
      </c>
      <c r="N353" s="50">
        <v>162005</v>
      </c>
      <c r="O353" s="50">
        <v>521</v>
      </c>
      <c r="P353" s="50" t="s">
        <v>195</v>
      </c>
      <c r="Q353" s="50">
        <v>0</v>
      </c>
      <c r="R353" s="50">
        <v>0</v>
      </c>
      <c r="T353" s="50">
        <v>330896</v>
      </c>
      <c r="U353" s="50">
        <v>521</v>
      </c>
      <c r="V353" s="50" t="s">
        <v>12956</v>
      </c>
      <c r="W353" s="50" t="s">
        <v>102</v>
      </c>
      <c r="X353" s="50" t="s">
        <v>103</v>
      </c>
      <c r="Y353" s="50" t="s">
        <v>104</v>
      </c>
      <c r="AA353" s="50" t="s">
        <v>11950</v>
      </c>
      <c r="AB353" s="50" t="s">
        <v>15651</v>
      </c>
      <c r="AC353" s="50" t="s">
        <v>15652</v>
      </c>
      <c r="AD353" s="50" t="s">
        <v>15651</v>
      </c>
      <c r="AE353" s="50" t="s">
        <v>109</v>
      </c>
      <c r="AF353" s="50" t="s">
        <v>102</v>
      </c>
      <c r="AG353" s="50" t="s">
        <v>109</v>
      </c>
      <c r="AH353" s="50" t="s">
        <v>102</v>
      </c>
      <c r="AI353" s="50" t="s">
        <v>15653</v>
      </c>
      <c r="AJ353" s="50" t="s">
        <v>11954</v>
      </c>
      <c r="AK353" s="50" t="s">
        <v>11954</v>
      </c>
      <c r="AL353" s="50" t="s">
        <v>15654</v>
      </c>
      <c r="AM353" s="50" t="s">
        <v>15655</v>
      </c>
      <c r="AN353" s="50" t="s">
        <v>15656</v>
      </c>
      <c r="AO353" s="50" t="s">
        <v>12962</v>
      </c>
      <c r="AP353" s="50" t="s">
        <v>12962</v>
      </c>
      <c r="AU353" s="50" t="s">
        <v>207</v>
      </c>
      <c r="AV353" s="50" t="s">
        <v>118</v>
      </c>
      <c r="AW353" s="50" t="s">
        <v>102</v>
      </c>
      <c r="AX353" s="50" t="s">
        <v>119</v>
      </c>
      <c r="BA353" s="50" t="s">
        <v>250</v>
      </c>
      <c r="BB353" s="50" t="s">
        <v>120</v>
      </c>
      <c r="BC353" s="50" t="s">
        <v>5591</v>
      </c>
      <c r="BD353" s="50" t="s">
        <v>211</v>
      </c>
      <c r="BE353" s="50" t="s">
        <v>212</v>
      </c>
      <c r="BF353" s="50" t="s">
        <v>213</v>
      </c>
      <c r="BG353" s="50" t="s">
        <v>124</v>
      </c>
      <c r="BH353" s="50" t="s">
        <v>11959</v>
      </c>
      <c r="BI353" s="50" t="s">
        <v>11960</v>
      </c>
      <c r="BJ353" s="50" t="s">
        <v>127</v>
      </c>
      <c r="BK353" s="50" t="s">
        <v>15657</v>
      </c>
      <c r="BL353" s="50" t="s">
        <v>5593</v>
      </c>
      <c r="BM353" s="50" t="s">
        <v>15658</v>
      </c>
      <c r="BN353" s="50" t="s">
        <v>11948</v>
      </c>
      <c r="BO353" s="50" t="s">
        <v>1880</v>
      </c>
      <c r="BP353" s="50" t="s">
        <v>7992</v>
      </c>
      <c r="BQ353" s="50" t="s">
        <v>1882</v>
      </c>
      <c r="BR353" s="50" t="s">
        <v>1883</v>
      </c>
      <c r="BS353" s="50" t="s">
        <v>222</v>
      </c>
      <c r="BU353" s="50" t="s">
        <v>15659</v>
      </c>
      <c r="BV353" s="50" t="s">
        <v>15660</v>
      </c>
      <c r="BW353" s="50" t="s">
        <v>138</v>
      </c>
      <c r="BX353" s="50" t="s">
        <v>225</v>
      </c>
      <c r="BY353" s="50" t="s">
        <v>226</v>
      </c>
      <c r="BZ353" s="50" t="s">
        <v>5596</v>
      </c>
      <c r="CA353" s="50" t="s">
        <v>15661</v>
      </c>
      <c r="CB353" s="50" t="s">
        <v>15662</v>
      </c>
      <c r="CC353" s="50" t="s">
        <v>15663</v>
      </c>
      <c r="CD353" s="50" t="s">
        <v>15664</v>
      </c>
      <c r="CE353" s="50" t="s">
        <v>15662</v>
      </c>
      <c r="CF353" s="50" t="s">
        <v>15663</v>
      </c>
      <c r="CG353" s="50" t="s">
        <v>102</v>
      </c>
      <c r="CH353" s="50" t="s">
        <v>5597</v>
      </c>
      <c r="CJ353" s="50" t="s">
        <v>5598</v>
      </c>
      <c r="CL353" s="50" t="s">
        <v>5591</v>
      </c>
      <c r="CM353" s="50" t="s">
        <v>211</v>
      </c>
      <c r="CN353" s="50" t="s">
        <v>5598</v>
      </c>
      <c r="CO353" s="50" t="s">
        <v>230</v>
      </c>
      <c r="CP353" s="50" t="s">
        <v>5597</v>
      </c>
      <c r="CQ353" s="50" t="s">
        <v>5597</v>
      </c>
    </row>
    <row r="354" spans="1:96">
      <c r="A354" s="95" t="s">
        <v>149</v>
      </c>
      <c r="B354" s="50">
        <v>3347647</v>
      </c>
      <c r="C354" s="50" t="s">
        <v>11947</v>
      </c>
      <c r="D354" s="50" t="s">
        <v>5599</v>
      </c>
      <c r="E354" s="50" t="str">
        <f>VLOOKUP(B354,aa!B:F,5,0)</f>
        <v>Ei ASSET,Ei Mindspark</v>
      </c>
      <c r="F354" s="50">
        <f>VLOOKUP(B354,aa!B:J,9,0)</f>
        <v>0</v>
      </c>
      <c r="G354" s="50">
        <f>VLOOKUP(B354,aa!B:L,11,0)</f>
        <v>0</v>
      </c>
      <c r="H354" s="50">
        <f>VLOOKUP(B354,aa!B:O,14,0)</f>
        <v>0</v>
      </c>
      <c r="I354" s="50">
        <f>VLOOKUP(B354,aa!B:R,17,0)</f>
        <v>0</v>
      </c>
      <c r="K354" s="50" t="s">
        <v>193</v>
      </c>
      <c r="L354" s="50">
        <v>686245</v>
      </c>
      <c r="M354" s="50">
        <v>769194</v>
      </c>
      <c r="N354" s="50">
        <v>225417</v>
      </c>
      <c r="O354" s="50">
        <v>725</v>
      </c>
      <c r="P354" s="50" t="s">
        <v>195</v>
      </c>
      <c r="Q354" s="50">
        <v>0</v>
      </c>
      <c r="R354" s="50">
        <v>0</v>
      </c>
      <c r="T354" s="50">
        <v>460828</v>
      </c>
      <c r="U354" s="50">
        <v>725</v>
      </c>
      <c r="V354" s="50" t="s">
        <v>11949</v>
      </c>
      <c r="W354" s="50" t="s">
        <v>102</v>
      </c>
      <c r="X354" s="50" t="s">
        <v>103</v>
      </c>
      <c r="Y354" s="50" t="s">
        <v>104</v>
      </c>
      <c r="AA354" s="50" t="s">
        <v>11950</v>
      </c>
      <c r="AB354" s="50" t="s">
        <v>15665</v>
      </c>
      <c r="AC354" s="50" t="s">
        <v>11952</v>
      </c>
      <c r="AD354" s="50" t="s">
        <v>15665</v>
      </c>
      <c r="AE354" s="50" t="s">
        <v>109</v>
      </c>
      <c r="AF354" s="50" t="s">
        <v>102</v>
      </c>
      <c r="AG354" s="50" t="s">
        <v>109</v>
      </c>
      <c r="AH354" s="50" t="s">
        <v>102</v>
      </c>
      <c r="AI354" s="50" t="s">
        <v>15666</v>
      </c>
      <c r="AJ354" s="50" t="s">
        <v>11954</v>
      </c>
      <c r="AK354" s="50" t="s">
        <v>11954</v>
      </c>
      <c r="AL354" s="50" t="s">
        <v>15667</v>
      </c>
      <c r="AM354" s="50" t="s">
        <v>15668</v>
      </c>
      <c r="AN354" s="50" t="s">
        <v>15669</v>
      </c>
      <c r="AO354" s="50" t="s">
        <v>15670</v>
      </c>
      <c r="AP354" s="50" t="s">
        <v>15670</v>
      </c>
      <c r="AU354" s="50" t="s">
        <v>207</v>
      </c>
      <c r="AV354" s="50" t="s">
        <v>118</v>
      </c>
      <c r="AW354" s="50" t="s">
        <v>102</v>
      </c>
      <c r="AX354" s="50" t="s">
        <v>119</v>
      </c>
      <c r="BA354" s="50" t="s">
        <v>250</v>
      </c>
      <c r="BB354" s="50" t="s">
        <v>120</v>
      </c>
      <c r="BC354" s="50" t="s">
        <v>5606</v>
      </c>
      <c r="BD354" s="50" t="s">
        <v>211</v>
      </c>
      <c r="BE354" s="50" t="s">
        <v>212</v>
      </c>
      <c r="BF354" s="50" t="s">
        <v>213</v>
      </c>
      <c r="BG354" s="50" t="s">
        <v>124</v>
      </c>
      <c r="BH354" s="50" t="s">
        <v>11959</v>
      </c>
      <c r="BI354" s="50" t="s">
        <v>11960</v>
      </c>
      <c r="BJ354" s="50" t="s">
        <v>127</v>
      </c>
      <c r="BK354" s="50" t="s">
        <v>15671</v>
      </c>
      <c r="BL354" s="50" t="s">
        <v>5608</v>
      </c>
      <c r="BM354" s="50" t="s">
        <v>15672</v>
      </c>
      <c r="BN354" s="50" t="s">
        <v>11948</v>
      </c>
      <c r="BO354" s="50" t="s">
        <v>1880</v>
      </c>
      <c r="BP354" s="50" t="s">
        <v>7992</v>
      </c>
      <c r="BQ354" s="50" t="s">
        <v>1882</v>
      </c>
      <c r="BR354" s="50" t="s">
        <v>1883</v>
      </c>
      <c r="BS354" s="50" t="s">
        <v>222</v>
      </c>
      <c r="BU354" s="50" t="s">
        <v>15673</v>
      </c>
      <c r="BV354" s="50" t="s">
        <v>12376</v>
      </c>
      <c r="BW354" s="50" t="s">
        <v>138</v>
      </c>
      <c r="BX354" s="50" t="s">
        <v>225</v>
      </c>
      <c r="BY354" s="50" t="s">
        <v>226</v>
      </c>
      <c r="BZ354" s="50" t="s">
        <v>5611</v>
      </c>
      <c r="CA354" s="50" t="s">
        <v>15674</v>
      </c>
      <c r="CB354" s="50" t="s">
        <v>15675</v>
      </c>
      <c r="CC354" s="50" t="s">
        <v>15676</v>
      </c>
      <c r="CD354" s="50" t="s">
        <v>15677</v>
      </c>
      <c r="CE354" s="50" t="s">
        <v>15678</v>
      </c>
      <c r="CF354" s="50" t="s">
        <v>15676</v>
      </c>
      <c r="CG354" s="50" t="s">
        <v>102</v>
      </c>
      <c r="CH354" s="50" t="s">
        <v>5612</v>
      </c>
      <c r="CJ354" s="50" t="s">
        <v>5613</v>
      </c>
      <c r="CL354" s="50" t="s">
        <v>5606</v>
      </c>
      <c r="CM354" s="50" t="s">
        <v>211</v>
      </c>
      <c r="CN354" s="50" t="s">
        <v>5613</v>
      </c>
      <c r="CO354" s="50" t="s">
        <v>230</v>
      </c>
      <c r="CP354" s="50" t="s">
        <v>5612</v>
      </c>
      <c r="CQ354" s="50" t="s">
        <v>5612</v>
      </c>
    </row>
    <row r="355" spans="1:96">
      <c r="A355" s="95" t="s">
        <v>149</v>
      </c>
      <c r="B355" s="50">
        <v>3347753</v>
      </c>
      <c r="C355" s="50" t="s">
        <v>11947</v>
      </c>
      <c r="D355" s="50" t="s">
        <v>5614</v>
      </c>
      <c r="E355" s="50" t="str">
        <f>VLOOKUP(B355,aa!B:F,5,0)</f>
        <v>Ei ASSET,Ei Mindspark</v>
      </c>
      <c r="F355" s="50">
        <f>VLOOKUP(B355,aa!B:J,9,0)</f>
        <v>0</v>
      </c>
      <c r="G355" s="50">
        <f>VLOOKUP(B355,aa!B:L,11,0)</f>
        <v>0</v>
      </c>
      <c r="H355" s="50">
        <f>VLOOKUP(B355,aa!B:O,14,0)</f>
        <v>0</v>
      </c>
      <c r="I355" s="50">
        <f>VLOOKUP(B355,aa!B:R,17,0)</f>
        <v>0</v>
      </c>
      <c r="K355" s="50" t="s">
        <v>193</v>
      </c>
      <c r="L355" s="50">
        <v>738445</v>
      </c>
      <c r="M355" s="50">
        <v>827687</v>
      </c>
      <c r="N355" s="50">
        <v>242658</v>
      </c>
      <c r="O355" s="50">
        <v>780</v>
      </c>
      <c r="P355" s="50" t="s">
        <v>195</v>
      </c>
      <c r="Q355" s="50">
        <v>0</v>
      </c>
      <c r="R355" s="50">
        <v>0</v>
      </c>
      <c r="T355" s="50">
        <v>495787</v>
      </c>
      <c r="U355" s="50">
        <v>780</v>
      </c>
      <c r="V355" s="50" t="s">
        <v>11949</v>
      </c>
      <c r="W355" s="50" t="s">
        <v>102</v>
      </c>
      <c r="X355" s="50" t="s">
        <v>103</v>
      </c>
      <c r="Y355" s="50" t="s">
        <v>104</v>
      </c>
      <c r="AA355" s="50" t="s">
        <v>11950</v>
      </c>
      <c r="AB355" s="50" t="s">
        <v>15679</v>
      </c>
      <c r="AC355" s="50" t="s">
        <v>11952</v>
      </c>
      <c r="AD355" s="50" t="s">
        <v>15679</v>
      </c>
      <c r="AE355" s="50" t="s">
        <v>109</v>
      </c>
      <c r="AF355" s="50" t="s">
        <v>102</v>
      </c>
      <c r="AG355" s="50" t="s">
        <v>109</v>
      </c>
      <c r="AH355" s="50" t="s">
        <v>102</v>
      </c>
      <c r="AI355" s="50" t="s">
        <v>15680</v>
      </c>
      <c r="AJ355" s="50" t="s">
        <v>11954</v>
      </c>
      <c r="AK355" s="50" t="s">
        <v>11954</v>
      </c>
      <c r="AL355" s="50" t="s">
        <v>15681</v>
      </c>
      <c r="AM355" s="50" t="s">
        <v>15682</v>
      </c>
      <c r="AN355" s="50" t="s">
        <v>15683</v>
      </c>
      <c r="AO355" s="50" t="s">
        <v>12372</v>
      </c>
      <c r="AP355" s="50" t="s">
        <v>12372</v>
      </c>
      <c r="AU355" s="50" t="s">
        <v>207</v>
      </c>
      <c r="AV355" s="50" t="s">
        <v>118</v>
      </c>
      <c r="AW355" s="50" t="s">
        <v>102</v>
      </c>
      <c r="AX355" s="50" t="s">
        <v>119</v>
      </c>
      <c r="BA355" s="50" t="s">
        <v>250</v>
      </c>
      <c r="BB355" s="50" t="s">
        <v>120</v>
      </c>
      <c r="BC355" s="50" t="s">
        <v>5622</v>
      </c>
      <c r="BD355" s="50" t="s">
        <v>211</v>
      </c>
      <c r="BE355" s="50" t="s">
        <v>212</v>
      </c>
      <c r="BF355" s="50" t="s">
        <v>213</v>
      </c>
      <c r="BG355" s="50" t="s">
        <v>124</v>
      </c>
      <c r="BH355" s="50" t="s">
        <v>11959</v>
      </c>
      <c r="BI355" s="50" t="s">
        <v>11960</v>
      </c>
      <c r="BJ355" s="50" t="s">
        <v>127</v>
      </c>
      <c r="BK355" s="50" t="s">
        <v>15684</v>
      </c>
      <c r="BL355" s="50" t="s">
        <v>5624</v>
      </c>
      <c r="BM355" s="50" t="s">
        <v>15685</v>
      </c>
      <c r="BN355" s="50" t="s">
        <v>11948</v>
      </c>
      <c r="BO355" s="50" t="s">
        <v>1880</v>
      </c>
      <c r="BP355" s="50" t="s">
        <v>7992</v>
      </c>
      <c r="BQ355" s="50" t="s">
        <v>1882</v>
      </c>
      <c r="BR355" s="50" t="s">
        <v>1883</v>
      </c>
      <c r="BS355" s="50" t="s">
        <v>222</v>
      </c>
      <c r="BU355" s="50" t="s">
        <v>15686</v>
      </c>
      <c r="BV355" s="50" t="s">
        <v>224</v>
      </c>
      <c r="BW355" s="50" t="s">
        <v>138</v>
      </c>
      <c r="BX355" s="50" t="s">
        <v>225</v>
      </c>
      <c r="BY355" s="50" t="s">
        <v>226</v>
      </c>
      <c r="BZ355" s="50" t="s">
        <v>5627</v>
      </c>
      <c r="CA355" s="50" t="s">
        <v>15687</v>
      </c>
      <c r="CB355" s="50" t="s">
        <v>15688</v>
      </c>
      <c r="CC355" s="50" t="s">
        <v>15689</v>
      </c>
      <c r="CD355" s="50" t="s">
        <v>15690</v>
      </c>
      <c r="CE355" s="50" t="s">
        <v>225</v>
      </c>
      <c r="CF355" s="50" t="s">
        <v>15689</v>
      </c>
      <c r="CG355" s="50" t="s">
        <v>102</v>
      </c>
      <c r="CH355" s="50" t="s">
        <v>5628</v>
      </c>
      <c r="CJ355" s="50" t="s">
        <v>5629</v>
      </c>
      <c r="CL355" s="50" t="s">
        <v>5622</v>
      </c>
      <c r="CM355" s="50" t="s">
        <v>211</v>
      </c>
      <c r="CN355" s="50" t="s">
        <v>5629</v>
      </c>
      <c r="CO355" s="50" t="s">
        <v>230</v>
      </c>
      <c r="CP355" s="50" t="s">
        <v>5628</v>
      </c>
      <c r="CQ355" s="50" t="s">
        <v>5628</v>
      </c>
    </row>
    <row r="356" spans="1:96">
      <c r="A356" s="95" t="s">
        <v>149</v>
      </c>
      <c r="B356" s="50">
        <v>3347883</v>
      </c>
      <c r="C356" s="50" t="s">
        <v>11947</v>
      </c>
      <c r="D356" s="50" t="s">
        <v>5630</v>
      </c>
      <c r="E356" s="50" t="str">
        <f>VLOOKUP(B356,aa!B:F,5,0)</f>
        <v>Ei ASSET,Ei Mindspark</v>
      </c>
      <c r="F356" s="50">
        <f>VLOOKUP(B356,aa!B:J,9,0)</f>
        <v>0</v>
      </c>
      <c r="G356" s="50">
        <f>VLOOKUP(B356,aa!B:L,11,0)</f>
        <v>0</v>
      </c>
      <c r="H356" s="50">
        <f>VLOOKUP(B356,aa!B:O,14,0)</f>
        <v>0</v>
      </c>
      <c r="I356" s="50">
        <f>VLOOKUP(B356,aa!B:R,17,0)</f>
        <v>0</v>
      </c>
      <c r="K356" s="50" t="s">
        <v>193</v>
      </c>
      <c r="L356" s="50">
        <v>555640</v>
      </c>
      <c r="M356" s="50">
        <v>622800</v>
      </c>
      <c r="N356" s="50">
        <v>182528</v>
      </c>
      <c r="O356" s="50">
        <v>587</v>
      </c>
      <c r="P356" s="50" t="s">
        <v>195</v>
      </c>
      <c r="Q356" s="50">
        <v>0</v>
      </c>
      <c r="R356" s="50">
        <v>0</v>
      </c>
      <c r="T356" s="50">
        <v>373112</v>
      </c>
      <c r="U356" s="50">
        <v>587</v>
      </c>
      <c r="V356" s="50" t="s">
        <v>11949</v>
      </c>
      <c r="W356" s="50" t="s">
        <v>102</v>
      </c>
      <c r="X356" s="50" t="s">
        <v>103</v>
      </c>
      <c r="Y356" s="50" t="s">
        <v>104</v>
      </c>
      <c r="AA356" s="50" t="s">
        <v>11950</v>
      </c>
      <c r="AB356" s="50" t="s">
        <v>15691</v>
      </c>
      <c r="AC356" s="50" t="s">
        <v>11952</v>
      </c>
      <c r="AD356" s="50" t="s">
        <v>15691</v>
      </c>
      <c r="AE356" s="50" t="s">
        <v>109</v>
      </c>
      <c r="AF356" s="50" t="s">
        <v>102</v>
      </c>
      <c r="AG356" s="50" t="s">
        <v>109</v>
      </c>
      <c r="AH356" s="50" t="s">
        <v>102</v>
      </c>
      <c r="AI356" s="50" t="s">
        <v>15692</v>
      </c>
      <c r="AJ356" s="50" t="s">
        <v>11954</v>
      </c>
      <c r="AK356" s="50" t="s">
        <v>11954</v>
      </c>
      <c r="AL356" s="50" t="s">
        <v>15693</v>
      </c>
      <c r="AM356" s="50" t="s">
        <v>15694</v>
      </c>
      <c r="AN356" s="50" t="s">
        <v>15695</v>
      </c>
      <c r="AO356" s="50" t="s">
        <v>11958</v>
      </c>
      <c r="AP356" s="50" t="s">
        <v>11958</v>
      </c>
      <c r="AU356" s="50" t="s">
        <v>207</v>
      </c>
      <c r="AV356" s="50" t="s">
        <v>118</v>
      </c>
      <c r="AW356" s="50" t="s">
        <v>102</v>
      </c>
      <c r="AX356" s="50" t="s">
        <v>119</v>
      </c>
      <c r="BA356" s="50" t="s">
        <v>250</v>
      </c>
      <c r="BB356" s="50" t="s">
        <v>209</v>
      </c>
      <c r="BC356" s="50" t="s">
        <v>5637</v>
      </c>
      <c r="BD356" s="50" t="s">
        <v>211</v>
      </c>
      <c r="BE356" s="50" t="s">
        <v>212</v>
      </c>
      <c r="BF356" s="50" t="s">
        <v>213</v>
      </c>
      <c r="BG356" s="50" t="s">
        <v>124</v>
      </c>
      <c r="BH356" s="50" t="s">
        <v>11959</v>
      </c>
      <c r="BI356" s="50" t="s">
        <v>11960</v>
      </c>
      <c r="BJ356" s="50" t="s">
        <v>127</v>
      </c>
      <c r="BK356" s="50" t="s">
        <v>15696</v>
      </c>
      <c r="BL356" s="50" t="s">
        <v>5639</v>
      </c>
      <c r="BM356" s="50" t="s">
        <v>15697</v>
      </c>
      <c r="BN356" s="50" t="s">
        <v>11948</v>
      </c>
      <c r="BO356" s="50" t="s">
        <v>1880</v>
      </c>
      <c r="BP356" s="50" t="s">
        <v>7992</v>
      </c>
      <c r="BQ356" s="50" t="s">
        <v>1882</v>
      </c>
      <c r="BR356" s="50" t="s">
        <v>1883</v>
      </c>
      <c r="BS356" s="50" t="s">
        <v>222</v>
      </c>
      <c r="BU356" s="50" t="s">
        <v>15698</v>
      </c>
      <c r="BV356" s="50" t="s">
        <v>15699</v>
      </c>
      <c r="BW356" s="50" t="s">
        <v>138</v>
      </c>
      <c r="BX356" s="50" t="s">
        <v>225</v>
      </c>
      <c r="BY356" s="50" t="s">
        <v>226</v>
      </c>
      <c r="BZ356" s="50" t="s">
        <v>5642</v>
      </c>
      <c r="CA356" s="50" t="s">
        <v>15700</v>
      </c>
      <c r="CB356" s="50" t="s">
        <v>15701</v>
      </c>
      <c r="CC356" s="50" t="s">
        <v>15702</v>
      </c>
      <c r="CD356" s="50" t="s">
        <v>15703</v>
      </c>
      <c r="CE356" s="50" t="s">
        <v>15704</v>
      </c>
      <c r="CF356" s="50" t="s">
        <v>15702</v>
      </c>
      <c r="CG356" s="50" t="s">
        <v>102</v>
      </c>
      <c r="CH356" s="50" t="s">
        <v>5643</v>
      </c>
      <c r="CJ356" s="50" t="s">
        <v>5644</v>
      </c>
      <c r="CL356" s="50" t="s">
        <v>5637</v>
      </c>
      <c r="CM356" s="50" t="s">
        <v>211</v>
      </c>
      <c r="CN356" s="50" t="s">
        <v>5644</v>
      </c>
      <c r="CO356" s="50" t="s">
        <v>230</v>
      </c>
      <c r="CP356" s="50" t="s">
        <v>5643</v>
      </c>
      <c r="CQ356" s="50" t="s">
        <v>5643</v>
      </c>
    </row>
    <row r="357" spans="1:96">
      <c r="A357" s="95" t="s">
        <v>149</v>
      </c>
      <c r="B357" s="50">
        <v>3370385</v>
      </c>
      <c r="C357" s="50" t="s">
        <v>11947</v>
      </c>
      <c r="D357" s="50" t="s">
        <v>5713</v>
      </c>
      <c r="E357" s="50" t="str">
        <f>VLOOKUP(B357,aa!B:F,5,0)</f>
        <v>Ei ASSET,Ei Mindspark</v>
      </c>
      <c r="F357" s="50">
        <f>VLOOKUP(B357,aa!B:J,9,0)</f>
        <v>0</v>
      </c>
      <c r="G357" s="50">
        <f>VLOOKUP(B357,aa!B:L,11,0)</f>
        <v>0</v>
      </c>
      <c r="H357" s="50">
        <f>VLOOKUP(B357,aa!B:O,14,0)</f>
        <v>0</v>
      </c>
      <c r="I357" s="50">
        <f>VLOOKUP(B357,aa!B:R,17,0)</f>
        <v>0</v>
      </c>
      <c r="K357" s="50" t="s">
        <v>193</v>
      </c>
      <c r="L357" s="50">
        <v>713334</v>
      </c>
      <c r="M357" s="50">
        <v>799532</v>
      </c>
      <c r="N357" s="50">
        <v>234456</v>
      </c>
      <c r="O357" s="50">
        <v>754</v>
      </c>
      <c r="P357" s="50" t="s">
        <v>195</v>
      </c>
      <c r="Q357" s="50">
        <v>0</v>
      </c>
      <c r="R357" s="50">
        <v>0</v>
      </c>
      <c r="T357" s="50">
        <v>478878</v>
      </c>
      <c r="U357" s="50">
        <v>754</v>
      </c>
      <c r="V357" s="50" t="s">
        <v>12956</v>
      </c>
      <c r="W357" s="50" t="s">
        <v>102</v>
      </c>
      <c r="X357" s="50" t="s">
        <v>103</v>
      </c>
      <c r="Y357" s="50" t="s">
        <v>104</v>
      </c>
      <c r="AA357" s="50" t="s">
        <v>11950</v>
      </c>
      <c r="AB357" s="50" t="s">
        <v>15740</v>
      </c>
      <c r="AC357" s="50" t="s">
        <v>11952</v>
      </c>
      <c r="AD357" s="50" t="s">
        <v>15740</v>
      </c>
      <c r="AE357" s="50" t="s">
        <v>109</v>
      </c>
      <c r="AF357" s="50" t="s">
        <v>102</v>
      </c>
      <c r="AG357" s="50" t="s">
        <v>109</v>
      </c>
      <c r="AH357" s="50" t="s">
        <v>102</v>
      </c>
      <c r="AI357" s="50" t="s">
        <v>15741</v>
      </c>
      <c r="AJ357" s="50" t="s">
        <v>11954</v>
      </c>
      <c r="AK357" s="50" t="s">
        <v>11954</v>
      </c>
      <c r="AL357" s="50" t="s">
        <v>15742</v>
      </c>
      <c r="AM357" s="50" t="s">
        <v>15743</v>
      </c>
      <c r="AN357" s="50" t="s">
        <v>15744</v>
      </c>
      <c r="AO357" s="50" t="s">
        <v>12962</v>
      </c>
      <c r="AP357" s="50" t="s">
        <v>12962</v>
      </c>
      <c r="AU357" s="50" t="s">
        <v>207</v>
      </c>
      <c r="AV357" s="50" t="s">
        <v>118</v>
      </c>
      <c r="AW357" s="50" t="s">
        <v>102</v>
      </c>
      <c r="AX357" s="50" t="s">
        <v>119</v>
      </c>
      <c r="BA357" s="50" t="s">
        <v>250</v>
      </c>
      <c r="BB357" s="50" t="s">
        <v>120</v>
      </c>
      <c r="BC357" s="50" t="s">
        <v>5720</v>
      </c>
      <c r="BD357" s="50" t="s">
        <v>211</v>
      </c>
      <c r="BE357" s="50" t="s">
        <v>212</v>
      </c>
      <c r="BF357" s="50" t="s">
        <v>213</v>
      </c>
      <c r="BG357" s="50" t="s">
        <v>124</v>
      </c>
      <c r="BH357" s="50" t="s">
        <v>11959</v>
      </c>
      <c r="BI357" s="50" t="s">
        <v>11960</v>
      </c>
      <c r="BJ357" s="50" t="s">
        <v>127</v>
      </c>
      <c r="BK357" s="50" t="s">
        <v>15745</v>
      </c>
      <c r="BL357" s="50" t="s">
        <v>5722</v>
      </c>
      <c r="BM357" s="50" t="s">
        <v>15746</v>
      </c>
      <c r="BN357" s="50" t="s">
        <v>11948</v>
      </c>
      <c r="BO357" s="50" t="s">
        <v>1880</v>
      </c>
      <c r="BP357" s="50" t="s">
        <v>7992</v>
      </c>
      <c r="BQ357" s="50" t="s">
        <v>1882</v>
      </c>
      <c r="BR357" s="50" t="s">
        <v>1883</v>
      </c>
      <c r="BS357" s="50" t="s">
        <v>222</v>
      </c>
      <c r="BU357" s="50" t="s">
        <v>15747</v>
      </c>
      <c r="BV357" s="50" t="s">
        <v>15748</v>
      </c>
      <c r="BW357" s="50" t="s">
        <v>138</v>
      </c>
      <c r="BX357" s="50" t="s">
        <v>225</v>
      </c>
      <c r="BY357" s="50" t="s">
        <v>226</v>
      </c>
      <c r="BZ357" s="50" t="s">
        <v>5725</v>
      </c>
      <c r="CA357" s="50" t="s">
        <v>15749</v>
      </c>
      <c r="CB357" s="50" t="s">
        <v>15750</v>
      </c>
      <c r="CC357" s="50" t="s">
        <v>15751</v>
      </c>
      <c r="CD357" s="50" t="s">
        <v>15752</v>
      </c>
      <c r="CE357" s="50" t="s">
        <v>15750</v>
      </c>
      <c r="CF357" s="50" t="s">
        <v>15751</v>
      </c>
      <c r="CG357" s="50" t="s">
        <v>102</v>
      </c>
      <c r="CH357" s="50" t="s">
        <v>5726</v>
      </c>
      <c r="CJ357" s="50" t="s">
        <v>5727</v>
      </c>
      <c r="CL357" s="50" t="s">
        <v>5720</v>
      </c>
      <c r="CM357" s="50" t="s">
        <v>211</v>
      </c>
      <c r="CN357" s="50" t="s">
        <v>5727</v>
      </c>
      <c r="CO357" s="50" t="s">
        <v>230</v>
      </c>
      <c r="CP357" s="50" t="s">
        <v>5726</v>
      </c>
      <c r="CQ357" s="50" t="s">
        <v>5726</v>
      </c>
    </row>
    <row r="358" spans="1:96">
      <c r="A358" s="95" t="s">
        <v>149</v>
      </c>
      <c r="B358" s="50">
        <v>3552349</v>
      </c>
      <c r="C358" s="50" t="s">
        <v>418</v>
      </c>
      <c r="D358" s="50" t="s">
        <v>16432</v>
      </c>
      <c r="E358" s="50" t="str">
        <f>VLOOKUP(B358,aa!B:F,5,0)</f>
        <v>Ei CARES</v>
      </c>
      <c r="F358" s="50">
        <f>VLOOKUP(B358,aa!B:J,9,0)</f>
        <v>1828750</v>
      </c>
      <c r="G358" s="50">
        <f>VLOOKUP(B358,aa!B:L,11,0)</f>
        <v>0</v>
      </c>
      <c r="H358" s="50">
        <f>VLOOKUP(B358,aa!B:O,14,0)</f>
        <v>1828750</v>
      </c>
      <c r="I358" s="50">
        <f>VLOOKUP(B358,aa!B:R,17,0)</f>
        <v>0</v>
      </c>
      <c r="K358" s="50" t="s">
        <v>152</v>
      </c>
      <c r="L358" s="50">
        <v>1772038</v>
      </c>
      <c r="M358" s="50">
        <v>1772038</v>
      </c>
      <c r="N358" s="50">
        <v>0</v>
      </c>
      <c r="O358" s="50">
        <v>0</v>
      </c>
      <c r="Q358" s="50">
        <v>1772038</v>
      </c>
      <c r="R358" s="50">
        <v>533</v>
      </c>
      <c r="S358" s="50" t="s">
        <v>16433</v>
      </c>
      <c r="T358" s="50">
        <v>0</v>
      </c>
      <c r="U358" s="50">
        <v>0</v>
      </c>
      <c r="W358" s="50" t="s">
        <v>102</v>
      </c>
      <c r="X358" s="50" t="s">
        <v>103</v>
      </c>
      <c r="Y358" s="50" t="s">
        <v>155</v>
      </c>
      <c r="AA358" s="50" t="s">
        <v>16434</v>
      </c>
      <c r="AB358" s="50" t="s">
        <v>16435</v>
      </c>
      <c r="AC358" s="50" t="s">
        <v>11999</v>
      </c>
      <c r="AD358" s="50" t="s">
        <v>16435</v>
      </c>
      <c r="AE358" s="50" t="s">
        <v>13833</v>
      </c>
      <c r="AF358" s="50" t="s">
        <v>16435</v>
      </c>
      <c r="AG358" s="50" t="s">
        <v>16436</v>
      </c>
      <c r="AH358" s="50" t="s">
        <v>16435</v>
      </c>
      <c r="AI358" s="50" t="s">
        <v>102</v>
      </c>
      <c r="AJ358" s="50" t="s">
        <v>15221</v>
      </c>
      <c r="AK358" s="50" t="s">
        <v>13964</v>
      </c>
      <c r="AL358" s="50" t="s">
        <v>16437</v>
      </c>
      <c r="AM358" s="50" t="s">
        <v>16438</v>
      </c>
      <c r="AN358" s="50" t="s">
        <v>16439</v>
      </c>
      <c r="AO358" s="50" t="s">
        <v>16440</v>
      </c>
      <c r="AP358" s="50" t="s">
        <v>16440</v>
      </c>
      <c r="AU358" s="50" t="s">
        <v>102</v>
      </c>
      <c r="AW358" s="50" t="s">
        <v>155</v>
      </c>
      <c r="AX358" s="50" t="s">
        <v>119</v>
      </c>
      <c r="AY358" s="50" t="s">
        <v>170</v>
      </c>
      <c r="AZ358" s="50" t="s">
        <v>118</v>
      </c>
      <c r="BB358" s="50" t="s">
        <v>120</v>
      </c>
      <c r="BC358" s="50" t="s">
        <v>409</v>
      </c>
      <c r="BD358" s="50" t="s">
        <v>410</v>
      </c>
      <c r="BE358" s="50" t="s">
        <v>212</v>
      </c>
      <c r="BF358" s="50" t="s">
        <v>410</v>
      </c>
      <c r="BG358" s="50" t="s">
        <v>124</v>
      </c>
      <c r="BH358" s="50" t="s">
        <v>11948</v>
      </c>
      <c r="BI358" s="50" t="s">
        <v>11889</v>
      </c>
      <c r="BJ358" s="50" t="s">
        <v>127</v>
      </c>
      <c r="BK358" s="50" t="s">
        <v>16441</v>
      </c>
      <c r="BL358" s="50" t="s">
        <v>6660</v>
      </c>
      <c r="BM358" s="50" t="s">
        <v>16442</v>
      </c>
      <c r="BN358" s="50" t="s">
        <v>11948</v>
      </c>
      <c r="BO358" s="50" t="s">
        <v>415</v>
      </c>
      <c r="BP358" s="50" t="s">
        <v>180</v>
      </c>
      <c r="BQ358" s="50" t="s">
        <v>416</v>
      </c>
      <c r="BR358" s="50" t="s">
        <v>417</v>
      </c>
      <c r="BS358" s="50" t="s">
        <v>222</v>
      </c>
      <c r="BU358" s="50" t="s">
        <v>16443</v>
      </c>
      <c r="BV358" s="50" t="s">
        <v>6666</v>
      </c>
      <c r="BW358" s="50" t="s">
        <v>354</v>
      </c>
      <c r="BX358" s="50" t="s">
        <v>6667</v>
      </c>
      <c r="BY358" s="50" t="s">
        <v>16444</v>
      </c>
      <c r="BZ358" s="50" t="s">
        <v>6667</v>
      </c>
      <c r="CA358" s="50" t="s">
        <v>16445</v>
      </c>
      <c r="CB358" s="50" t="s">
        <v>16446</v>
      </c>
      <c r="CC358" s="50" t="s">
        <v>16444</v>
      </c>
      <c r="CD358" s="50" t="s">
        <v>16445</v>
      </c>
      <c r="CE358" s="50" t="s">
        <v>16446</v>
      </c>
      <c r="CF358" s="50" t="s">
        <v>16444</v>
      </c>
      <c r="CG358" s="50" t="s">
        <v>907</v>
      </c>
      <c r="CH358" s="50" t="s">
        <v>6670</v>
      </c>
      <c r="CJ358" s="50" t="s">
        <v>6671</v>
      </c>
      <c r="CK358" s="50" t="s">
        <v>6670</v>
      </c>
      <c r="CL358" s="50" t="s">
        <v>409</v>
      </c>
      <c r="CM358" s="50" t="s">
        <v>410</v>
      </c>
      <c r="CN358" s="50" t="s">
        <v>6671</v>
      </c>
      <c r="CP358" s="50" t="s">
        <v>6670</v>
      </c>
      <c r="CQ358" s="50" t="s">
        <v>6670</v>
      </c>
      <c r="CR358" s="50" t="s">
        <v>26045</v>
      </c>
    </row>
    <row r="359" spans="1:96">
      <c r="A359" s="95" t="s">
        <v>149</v>
      </c>
      <c r="B359" s="50">
        <v>3837686</v>
      </c>
      <c r="C359" s="50" t="s">
        <v>11947</v>
      </c>
      <c r="D359" s="50" t="s">
        <v>7631</v>
      </c>
      <c r="E359" s="50" t="str">
        <f>VLOOKUP(B359,aa!B:F,5,0)</f>
        <v>Ei ASSET,Ei Mindspark</v>
      </c>
      <c r="F359" s="50">
        <f>VLOOKUP(B359,aa!B:J,9,0)</f>
        <v>0</v>
      </c>
      <c r="G359" s="50">
        <f>VLOOKUP(B359,aa!B:L,11,0)</f>
        <v>0</v>
      </c>
      <c r="H359" s="50">
        <f>VLOOKUP(B359,aa!B:O,14,0)</f>
        <v>0</v>
      </c>
      <c r="I359" s="50">
        <f>VLOOKUP(B359,aa!B:R,17,0)</f>
        <v>0</v>
      </c>
      <c r="K359" s="50" t="s">
        <v>193</v>
      </c>
      <c r="L359" s="50">
        <v>473287</v>
      </c>
      <c r="M359" s="50">
        <v>530493</v>
      </c>
      <c r="N359" s="50">
        <v>155475</v>
      </c>
      <c r="O359" s="50">
        <v>500</v>
      </c>
      <c r="P359" s="50" t="s">
        <v>195</v>
      </c>
      <c r="Q359" s="50">
        <v>0</v>
      </c>
      <c r="R359" s="50">
        <v>0</v>
      </c>
      <c r="T359" s="50">
        <v>317812</v>
      </c>
      <c r="U359" s="50">
        <v>500</v>
      </c>
      <c r="V359" s="50" t="s">
        <v>11949</v>
      </c>
      <c r="W359" s="50" t="s">
        <v>102</v>
      </c>
      <c r="X359" s="50" t="s">
        <v>103</v>
      </c>
      <c r="Y359" s="50" t="s">
        <v>104</v>
      </c>
      <c r="AA359" s="50" t="s">
        <v>11950</v>
      </c>
      <c r="AB359" s="50" t="s">
        <v>17098</v>
      </c>
      <c r="AC359" s="50" t="s">
        <v>11952</v>
      </c>
      <c r="AD359" s="50" t="s">
        <v>17098</v>
      </c>
      <c r="AE359" s="50" t="s">
        <v>109</v>
      </c>
      <c r="AF359" s="50" t="s">
        <v>102</v>
      </c>
      <c r="AG359" s="50" t="s">
        <v>109</v>
      </c>
      <c r="AH359" s="50" t="s">
        <v>102</v>
      </c>
      <c r="AI359" s="50" t="s">
        <v>17099</v>
      </c>
      <c r="AJ359" s="50" t="s">
        <v>11954</v>
      </c>
      <c r="AK359" s="50" t="s">
        <v>11954</v>
      </c>
      <c r="AL359" s="50" t="s">
        <v>17100</v>
      </c>
      <c r="AM359" s="50" t="s">
        <v>17101</v>
      </c>
      <c r="AN359" s="50" t="s">
        <v>17102</v>
      </c>
      <c r="AO359" s="50" t="s">
        <v>11958</v>
      </c>
      <c r="AP359" s="50" t="s">
        <v>11958</v>
      </c>
      <c r="AU359" s="50" t="s">
        <v>207</v>
      </c>
      <c r="AV359" s="50" t="s">
        <v>118</v>
      </c>
      <c r="AW359" s="50" t="s">
        <v>102</v>
      </c>
      <c r="AX359" s="50" t="s">
        <v>119</v>
      </c>
      <c r="BA359" s="50" t="s">
        <v>250</v>
      </c>
      <c r="BB359" s="50" t="s">
        <v>120</v>
      </c>
      <c r="BC359" s="50" t="s">
        <v>5637</v>
      </c>
      <c r="BD359" s="50" t="s">
        <v>211</v>
      </c>
      <c r="BE359" s="50" t="s">
        <v>212</v>
      </c>
      <c r="BF359" s="50" t="s">
        <v>213</v>
      </c>
      <c r="BG359" s="50" t="s">
        <v>124</v>
      </c>
      <c r="BH359" s="50" t="s">
        <v>11959</v>
      </c>
      <c r="BI359" s="50" t="s">
        <v>11960</v>
      </c>
      <c r="BJ359" s="50" t="s">
        <v>127</v>
      </c>
      <c r="BK359" s="50" t="s">
        <v>17103</v>
      </c>
      <c r="BL359" s="50" t="s">
        <v>7639</v>
      </c>
      <c r="BM359" s="50" t="s">
        <v>17104</v>
      </c>
      <c r="BN359" s="50" t="s">
        <v>11948</v>
      </c>
      <c r="BO359" s="50" t="s">
        <v>1880</v>
      </c>
      <c r="BP359" s="50" t="s">
        <v>7992</v>
      </c>
      <c r="BQ359" s="50" t="s">
        <v>1882</v>
      </c>
      <c r="BR359" s="50" t="s">
        <v>1883</v>
      </c>
      <c r="BS359" s="50" t="s">
        <v>222</v>
      </c>
      <c r="BU359" s="50" t="s">
        <v>17105</v>
      </c>
      <c r="BV359" s="50" t="s">
        <v>224</v>
      </c>
      <c r="BW359" s="50" t="s">
        <v>138</v>
      </c>
      <c r="BX359" s="50" t="s">
        <v>225</v>
      </c>
      <c r="BY359" s="50" t="s">
        <v>226</v>
      </c>
      <c r="BZ359" s="50" t="s">
        <v>7642</v>
      </c>
      <c r="CA359" s="50" t="s">
        <v>17106</v>
      </c>
      <c r="CB359" s="50" t="s">
        <v>17107</v>
      </c>
      <c r="CC359" s="50" t="s">
        <v>17108</v>
      </c>
      <c r="CD359" s="50" t="s">
        <v>17109</v>
      </c>
      <c r="CE359" s="50" t="s">
        <v>17107</v>
      </c>
      <c r="CF359" s="50" t="s">
        <v>17108</v>
      </c>
      <c r="CG359" s="50" t="s">
        <v>102</v>
      </c>
      <c r="CH359" s="50" t="s">
        <v>7643</v>
      </c>
      <c r="CJ359" s="50" t="s">
        <v>7644</v>
      </c>
      <c r="CL359" s="50" t="s">
        <v>5637</v>
      </c>
      <c r="CM359" s="50" t="s">
        <v>211</v>
      </c>
      <c r="CN359" s="50" t="s">
        <v>7644</v>
      </c>
      <c r="CO359" s="50" t="s">
        <v>230</v>
      </c>
      <c r="CP359" s="50" t="s">
        <v>7643</v>
      </c>
      <c r="CQ359" s="50" t="s">
        <v>7643</v>
      </c>
    </row>
    <row r="360" spans="1:96">
      <c r="A360" s="95" t="s">
        <v>149</v>
      </c>
      <c r="B360" s="50">
        <v>3886024</v>
      </c>
      <c r="C360" s="50" t="s">
        <v>11947</v>
      </c>
      <c r="D360" s="50" t="s">
        <v>17247</v>
      </c>
      <c r="E360" s="50" t="str">
        <f>VLOOKUP(B360,aa!B:F,5,0)</f>
        <v>Ei ASSET,Ei Mindspark</v>
      </c>
      <c r="F360" s="50">
        <f>VLOOKUP(B360,aa!B:J,9,0)</f>
        <v>0</v>
      </c>
      <c r="G360" s="50">
        <f>VLOOKUP(B360,aa!B:L,11,0)</f>
        <v>0</v>
      </c>
      <c r="H360" s="50">
        <f>VLOOKUP(B360,aa!B:O,14,0)</f>
        <v>0</v>
      </c>
      <c r="I360" s="50">
        <f>VLOOKUP(B360,aa!B:R,17,0)</f>
        <v>0</v>
      </c>
      <c r="K360" s="50" t="s">
        <v>193</v>
      </c>
      <c r="L360" s="50">
        <v>246109</v>
      </c>
      <c r="M360" s="50">
        <v>275856</v>
      </c>
      <c r="N360" s="50">
        <v>80847</v>
      </c>
      <c r="O360" s="50">
        <v>260</v>
      </c>
      <c r="P360" s="50" t="s">
        <v>195</v>
      </c>
      <c r="Q360" s="50">
        <v>0</v>
      </c>
      <c r="R360" s="50">
        <v>0</v>
      </c>
      <c r="T360" s="50">
        <v>165262</v>
      </c>
      <c r="U360" s="50">
        <v>260</v>
      </c>
      <c r="V360" s="50" t="s">
        <v>11949</v>
      </c>
      <c r="W360" s="50" t="s">
        <v>102</v>
      </c>
      <c r="X360" s="50" t="s">
        <v>103</v>
      </c>
      <c r="Y360" s="50" t="s">
        <v>104</v>
      </c>
      <c r="AA360" s="50" t="s">
        <v>11950</v>
      </c>
      <c r="AB360" s="50" t="s">
        <v>17248</v>
      </c>
      <c r="AC360" s="50" t="s">
        <v>11952</v>
      </c>
      <c r="AD360" s="50" t="s">
        <v>17248</v>
      </c>
      <c r="AE360" s="50" t="s">
        <v>109</v>
      </c>
      <c r="AF360" s="50" t="s">
        <v>102</v>
      </c>
      <c r="AG360" s="50" t="s">
        <v>109</v>
      </c>
      <c r="AH360" s="50" t="s">
        <v>102</v>
      </c>
      <c r="AI360" s="50" t="s">
        <v>17249</v>
      </c>
      <c r="AJ360" s="50" t="s">
        <v>11954</v>
      </c>
      <c r="AK360" s="50" t="s">
        <v>11954</v>
      </c>
      <c r="AL360" s="50" t="s">
        <v>17250</v>
      </c>
      <c r="AM360" s="50" t="s">
        <v>17251</v>
      </c>
      <c r="AN360" s="50" t="s">
        <v>17252</v>
      </c>
      <c r="AO360" s="50" t="s">
        <v>11958</v>
      </c>
      <c r="AP360" s="50" t="s">
        <v>11958</v>
      </c>
      <c r="AU360" s="50" t="s">
        <v>207</v>
      </c>
      <c r="AV360" s="50" t="s">
        <v>118</v>
      </c>
      <c r="AW360" s="50" t="s">
        <v>102</v>
      </c>
      <c r="AX360" s="50" t="s">
        <v>119</v>
      </c>
      <c r="BA360" s="50" t="s">
        <v>250</v>
      </c>
      <c r="BB360" s="50" t="s">
        <v>209</v>
      </c>
      <c r="BC360" s="50" t="s">
        <v>920</v>
      </c>
      <c r="BD360" s="50" t="s">
        <v>211</v>
      </c>
      <c r="BE360" s="50" t="s">
        <v>212</v>
      </c>
      <c r="BF360" s="50" t="s">
        <v>213</v>
      </c>
      <c r="BG360" s="50" t="s">
        <v>124</v>
      </c>
      <c r="BH360" s="50" t="s">
        <v>11959</v>
      </c>
      <c r="BI360" s="50" t="s">
        <v>11960</v>
      </c>
      <c r="BJ360" s="50" t="s">
        <v>127</v>
      </c>
      <c r="BK360" s="50" t="s">
        <v>17253</v>
      </c>
      <c r="BL360" s="50" t="s">
        <v>7821</v>
      </c>
      <c r="BM360" s="50" t="s">
        <v>17254</v>
      </c>
      <c r="BN360" s="50" t="s">
        <v>11948</v>
      </c>
      <c r="BO360" s="50" t="s">
        <v>1880</v>
      </c>
      <c r="BP360" s="50" t="s">
        <v>7992</v>
      </c>
      <c r="BQ360" s="50" t="s">
        <v>1882</v>
      </c>
      <c r="BR360" s="50" t="s">
        <v>1883</v>
      </c>
      <c r="BS360" s="50" t="s">
        <v>222</v>
      </c>
      <c r="BU360" s="50" t="s">
        <v>17255</v>
      </c>
      <c r="BV360" s="50" t="s">
        <v>224</v>
      </c>
      <c r="BW360" s="50" t="s">
        <v>138</v>
      </c>
      <c r="BX360" s="50" t="s">
        <v>225</v>
      </c>
      <c r="BY360" s="50" t="s">
        <v>17256</v>
      </c>
      <c r="BZ360" s="50" t="s">
        <v>7824</v>
      </c>
      <c r="CA360" s="50" t="s">
        <v>17257</v>
      </c>
      <c r="CB360" s="50" t="s">
        <v>17258</v>
      </c>
      <c r="CC360" s="50" t="s">
        <v>17259</v>
      </c>
      <c r="CD360" s="50" t="s">
        <v>17260</v>
      </c>
      <c r="CE360" s="50" t="s">
        <v>17258</v>
      </c>
      <c r="CF360" s="50" t="s">
        <v>17259</v>
      </c>
      <c r="CG360" s="50" t="s">
        <v>102</v>
      </c>
      <c r="CH360" s="50" t="s">
        <v>7825</v>
      </c>
      <c r="CJ360" s="50" t="s">
        <v>7826</v>
      </c>
      <c r="CL360" s="50" t="s">
        <v>920</v>
      </c>
      <c r="CM360" s="50" t="s">
        <v>211</v>
      </c>
      <c r="CN360" s="50" t="s">
        <v>7826</v>
      </c>
      <c r="CO360" s="50" t="s">
        <v>230</v>
      </c>
      <c r="CP360" s="50" t="s">
        <v>7825</v>
      </c>
      <c r="CQ360" s="50" t="s">
        <v>7825</v>
      </c>
    </row>
    <row r="361" spans="1:96">
      <c r="A361" s="95" t="s">
        <v>149</v>
      </c>
      <c r="B361" s="50">
        <v>411876</v>
      </c>
      <c r="C361" s="50" t="s">
        <v>2151</v>
      </c>
      <c r="D361" s="50" t="s">
        <v>8700</v>
      </c>
      <c r="E361" s="50" t="str">
        <f>VLOOKUP(B361,aa!B:F,5,0)</f>
        <v>Ei Mindspark</v>
      </c>
      <c r="F361" s="50">
        <f>VLOOKUP(B361,aa!B:J,9,0)</f>
        <v>469229</v>
      </c>
      <c r="G361" s="50">
        <f>VLOOKUP(B361,aa!B:L,11,0)</f>
        <v>0</v>
      </c>
      <c r="H361" s="50">
        <f>VLOOKUP(B361,aa!B:O,14,0)</f>
        <v>0</v>
      </c>
      <c r="I361" s="50">
        <f>VLOOKUP(B361,aa!B:R,17,0)</f>
        <v>469229</v>
      </c>
      <c r="K361" s="50" t="s">
        <v>848</v>
      </c>
      <c r="L361" s="50">
        <v>668488</v>
      </c>
      <c r="M361" s="50">
        <v>788816</v>
      </c>
      <c r="N361" s="50">
        <v>0</v>
      </c>
      <c r="O361" s="50">
        <v>0</v>
      </c>
      <c r="Q361" s="50">
        <v>0</v>
      </c>
      <c r="R361" s="50">
        <v>0</v>
      </c>
      <c r="T361" s="50">
        <v>668488</v>
      </c>
      <c r="U361" s="50">
        <v>326</v>
      </c>
      <c r="V361" s="50" t="s">
        <v>3029</v>
      </c>
      <c r="W361" s="50" t="s">
        <v>102</v>
      </c>
      <c r="X361" s="50" t="s">
        <v>103</v>
      </c>
      <c r="Y361" s="50" t="s">
        <v>398</v>
      </c>
      <c r="AA361" s="50" t="s">
        <v>15564</v>
      </c>
      <c r="AB361" s="50" t="s">
        <v>18122</v>
      </c>
      <c r="AC361" s="50" t="s">
        <v>18123</v>
      </c>
      <c r="AD361" s="50" t="s">
        <v>18124</v>
      </c>
      <c r="AE361" s="50" t="s">
        <v>12063</v>
      </c>
      <c r="AF361" s="50" t="s">
        <v>18124</v>
      </c>
      <c r="AG361" s="50" t="s">
        <v>109</v>
      </c>
      <c r="AH361" s="50" t="s">
        <v>102</v>
      </c>
      <c r="AI361" s="50" t="s">
        <v>18125</v>
      </c>
      <c r="AJ361" s="50" t="s">
        <v>12819</v>
      </c>
      <c r="AK361" s="50" t="s">
        <v>6895</v>
      </c>
      <c r="AL361" s="50" t="s">
        <v>18126</v>
      </c>
      <c r="AM361" s="50" t="s">
        <v>18127</v>
      </c>
      <c r="AN361" s="50" t="s">
        <v>18128</v>
      </c>
      <c r="AO361" s="50" t="s">
        <v>18129</v>
      </c>
      <c r="AP361" s="50" t="s">
        <v>18129</v>
      </c>
      <c r="AU361" s="50" t="s">
        <v>102</v>
      </c>
      <c r="AW361" s="50" t="s">
        <v>102</v>
      </c>
      <c r="AX361" s="50" t="s">
        <v>119</v>
      </c>
      <c r="BA361" s="50" t="s">
        <v>250</v>
      </c>
      <c r="BB361" s="50" t="s">
        <v>2565</v>
      </c>
      <c r="BC361" s="50" t="s">
        <v>920</v>
      </c>
      <c r="BD361" s="50" t="s">
        <v>211</v>
      </c>
      <c r="BE361" s="50" t="s">
        <v>212</v>
      </c>
      <c r="BF361" s="50" t="s">
        <v>213</v>
      </c>
      <c r="BG361" s="50" t="s">
        <v>124</v>
      </c>
      <c r="BH361" s="50" t="s">
        <v>11948</v>
      </c>
      <c r="BI361" s="50" t="s">
        <v>12047</v>
      </c>
      <c r="BJ361" s="50" t="s">
        <v>127</v>
      </c>
      <c r="BK361" s="50" t="s">
        <v>18130</v>
      </c>
      <c r="BL361" s="50" t="s">
        <v>8710</v>
      </c>
      <c r="BM361" s="50" t="s">
        <v>18131</v>
      </c>
      <c r="BN361" s="50" t="s">
        <v>11948</v>
      </c>
      <c r="BO361" s="50" t="s">
        <v>415</v>
      </c>
      <c r="BP361" s="50" t="s">
        <v>180</v>
      </c>
      <c r="BQ361" s="50" t="s">
        <v>416</v>
      </c>
      <c r="BR361" s="50" t="s">
        <v>417</v>
      </c>
      <c r="BS361" s="50" t="s">
        <v>2151</v>
      </c>
      <c r="BU361" s="50" t="s">
        <v>18132</v>
      </c>
      <c r="BV361" s="50" t="s">
        <v>18133</v>
      </c>
      <c r="BW361" s="50" t="s">
        <v>138</v>
      </c>
      <c r="BX361" s="50" t="s">
        <v>18134</v>
      </c>
      <c r="BY361" s="50" t="s">
        <v>18135</v>
      </c>
      <c r="BZ361" s="50" t="s">
        <v>8716</v>
      </c>
      <c r="CA361" s="50" t="s">
        <v>18133</v>
      </c>
      <c r="CB361" s="50" t="s">
        <v>18134</v>
      </c>
      <c r="CC361" s="50" t="s">
        <v>18135</v>
      </c>
      <c r="CD361" s="50" t="s">
        <v>18133</v>
      </c>
      <c r="CE361" s="50" t="s">
        <v>18134</v>
      </c>
      <c r="CF361" s="50" t="s">
        <v>18135</v>
      </c>
      <c r="CG361" s="50" t="s">
        <v>102</v>
      </c>
      <c r="CH361" s="50" t="s">
        <v>8717</v>
      </c>
      <c r="CJ361" s="50" t="s">
        <v>5392</v>
      </c>
      <c r="CL361" s="50" t="s">
        <v>920</v>
      </c>
      <c r="CM361" s="50" t="s">
        <v>211</v>
      </c>
      <c r="CN361" s="50" t="s">
        <v>5392</v>
      </c>
      <c r="CO361" s="50" t="s">
        <v>8718</v>
      </c>
      <c r="CP361" s="50" t="s">
        <v>8717</v>
      </c>
      <c r="CQ361" s="50" t="s">
        <v>8717</v>
      </c>
    </row>
    <row r="362" spans="1:96">
      <c r="A362" s="95" t="s">
        <v>149</v>
      </c>
      <c r="B362" s="50">
        <v>5017215</v>
      </c>
      <c r="C362" s="50" t="s">
        <v>2151</v>
      </c>
      <c r="D362" s="50" t="s">
        <v>9921</v>
      </c>
      <c r="E362" s="50" t="str">
        <f>VLOOKUP(B362,aa!B:F,5,0)</f>
        <v>Ei Mindspark</v>
      </c>
      <c r="F362" s="50">
        <f>VLOOKUP(B362,aa!B:J,9,0)</f>
        <v>300036</v>
      </c>
      <c r="G362" s="50">
        <f>VLOOKUP(B362,aa!B:L,11,0)</f>
        <v>0</v>
      </c>
      <c r="H362" s="50">
        <f>VLOOKUP(B362,aa!B:O,14,0)</f>
        <v>0</v>
      </c>
      <c r="I362" s="50">
        <f>VLOOKUP(B362,aa!B:R,17,0)</f>
        <v>300036</v>
      </c>
      <c r="K362" s="50" t="s">
        <v>848</v>
      </c>
      <c r="L362" s="50">
        <v>194805</v>
      </c>
      <c r="M362" s="50">
        <v>229870</v>
      </c>
      <c r="N362" s="50">
        <v>0</v>
      </c>
      <c r="O362" s="50">
        <v>0</v>
      </c>
      <c r="Q362" s="50">
        <v>0</v>
      </c>
      <c r="R362" s="50">
        <v>0</v>
      </c>
      <c r="T362" s="50">
        <v>194805</v>
      </c>
      <c r="U362" s="50">
        <v>95</v>
      </c>
      <c r="V362" s="50" t="s">
        <v>3029</v>
      </c>
      <c r="W362" s="50" t="s">
        <v>102</v>
      </c>
      <c r="X362" s="50" t="s">
        <v>103</v>
      </c>
      <c r="Y362" s="50" t="s">
        <v>398</v>
      </c>
      <c r="AA362" s="50" t="s">
        <v>15564</v>
      </c>
      <c r="AB362" s="50" t="s">
        <v>19015</v>
      </c>
      <c r="AC362" s="50" t="s">
        <v>18123</v>
      </c>
      <c r="AD362" s="50" t="s">
        <v>19016</v>
      </c>
      <c r="AE362" s="50" t="s">
        <v>12063</v>
      </c>
      <c r="AF362" s="50" t="s">
        <v>19016</v>
      </c>
      <c r="AG362" s="50" t="s">
        <v>109</v>
      </c>
      <c r="AH362" s="50" t="s">
        <v>102</v>
      </c>
      <c r="AI362" s="50" t="s">
        <v>19017</v>
      </c>
      <c r="AJ362" s="50" t="s">
        <v>12890</v>
      </c>
      <c r="AK362" s="50" t="s">
        <v>12043</v>
      </c>
      <c r="AL362" s="50" t="s">
        <v>19018</v>
      </c>
      <c r="AM362" s="50" t="s">
        <v>19019</v>
      </c>
      <c r="AN362" s="50" t="s">
        <v>19020</v>
      </c>
      <c r="AO362" s="50" t="s">
        <v>18129</v>
      </c>
      <c r="AP362" s="50" t="s">
        <v>18129</v>
      </c>
      <c r="AU362" s="50" t="s">
        <v>102</v>
      </c>
      <c r="AW362" s="50" t="s">
        <v>102</v>
      </c>
      <c r="AX362" s="50" t="s">
        <v>119</v>
      </c>
      <c r="BA362" s="50" t="s">
        <v>250</v>
      </c>
      <c r="BB362" s="50" t="s">
        <v>1242</v>
      </c>
      <c r="BC362" s="50" t="s">
        <v>920</v>
      </c>
      <c r="BD362" s="50" t="s">
        <v>211</v>
      </c>
      <c r="BE362" s="50" t="s">
        <v>212</v>
      </c>
      <c r="BF362" s="50" t="s">
        <v>213</v>
      </c>
      <c r="BG362" s="50" t="s">
        <v>124</v>
      </c>
      <c r="BH362" s="50" t="s">
        <v>11948</v>
      </c>
      <c r="BI362" s="50" t="s">
        <v>11960</v>
      </c>
      <c r="BJ362" s="50" t="s">
        <v>127</v>
      </c>
      <c r="BK362" s="50" t="s">
        <v>19021</v>
      </c>
      <c r="BL362" s="50" t="s">
        <v>9929</v>
      </c>
      <c r="BM362" s="50" t="s">
        <v>19022</v>
      </c>
      <c r="BN362" s="50" t="s">
        <v>11948</v>
      </c>
      <c r="BO362" s="50" t="s">
        <v>415</v>
      </c>
      <c r="BP362" s="50" t="s">
        <v>180</v>
      </c>
      <c r="BQ362" s="50" t="s">
        <v>416</v>
      </c>
      <c r="BR362" s="50" t="s">
        <v>417</v>
      </c>
      <c r="BS362" s="50" t="s">
        <v>2151</v>
      </c>
      <c r="BU362" s="50" t="s">
        <v>19023</v>
      </c>
      <c r="BV362" s="50" t="s">
        <v>19024</v>
      </c>
      <c r="BW362" s="50" t="s">
        <v>598</v>
      </c>
      <c r="BX362" s="50" t="s">
        <v>19025</v>
      </c>
      <c r="BY362" s="50" t="s">
        <v>19026</v>
      </c>
      <c r="BZ362" s="50" t="s">
        <v>9935</v>
      </c>
      <c r="CA362" s="50" t="s">
        <v>19024</v>
      </c>
      <c r="CB362" s="50" t="s">
        <v>19025</v>
      </c>
      <c r="CC362" s="50" t="s">
        <v>19026</v>
      </c>
      <c r="CD362" s="50" t="s">
        <v>19024</v>
      </c>
      <c r="CE362" s="50" t="s">
        <v>19025</v>
      </c>
      <c r="CF362" s="50" t="s">
        <v>19026</v>
      </c>
      <c r="CG362" s="50" t="s">
        <v>9936</v>
      </c>
      <c r="CH362" s="50" t="s">
        <v>19027</v>
      </c>
      <c r="CJ362" s="50" t="s">
        <v>9938</v>
      </c>
      <c r="CK362" s="50" t="s">
        <v>9937</v>
      </c>
      <c r="CL362" s="50" t="s">
        <v>920</v>
      </c>
      <c r="CM362" s="50" t="s">
        <v>211</v>
      </c>
      <c r="CN362" s="50" t="s">
        <v>9938</v>
      </c>
      <c r="CO362" s="50" t="s">
        <v>8718</v>
      </c>
      <c r="CP362" s="50" t="s">
        <v>9937</v>
      </c>
      <c r="CQ362" s="50" t="s">
        <v>9937</v>
      </c>
    </row>
    <row r="363" spans="1:96">
      <c r="A363" s="95" t="s">
        <v>149</v>
      </c>
      <c r="B363" s="50">
        <v>632896</v>
      </c>
      <c r="C363" s="50" t="s">
        <v>11947</v>
      </c>
      <c r="D363" s="50" t="s">
        <v>11434</v>
      </c>
      <c r="E363" s="50" t="str">
        <f>VLOOKUP(B363,aa!B:F,5,0)</f>
        <v>Ei ASSET,Ei Mindspark</v>
      </c>
      <c r="F363" s="50">
        <f>VLOOKUP(B363,aa!B:J,9,0)</f>
        <v>0</v>
      </c>
      <c r="G363" s="50">
        <f>VLOOKUP(B363,aa!B:L,11,0)</f>
        <v>0</v>
      </c>
      <c r="H363" s="50">
        <f>VLOOKUP(B363,aa!B:O,14,0)</f>
        <v>0</v>
      </c>
      <c r="I363" s="50">
        <f>VLOOKUP(B363,aa!B:R,17,0)</f>
        <v>0</v>
      </c>
      <c r="K363" s="50" t="s">
        <v>193</v>
      </c>
      <c r="L363" s="50">
        <v>1101370</v>
      </c>
      <c r="M363" s="50">
        <v>1236034</v>
      </c>
      <c r="N363" s="50">
        <v>353239</v>
      </c>
      <c r="O363" s="50">
        <v>1136</v>
      </c>
      <c r="P363" s="50" t="s">
        <v>195</v>
      </c>
      <c r="Q363" s="50">
        <v>0</v>
      </c>
      <c r="R363" s="50">
        <v>0</v>
      </c>
      <c r="T363" s="50">
        <v>748131</v>
      </c>
      <c r="U363" s="50">
        <v>1177</v>
      </c>
      <c r="V363" s="50" t="s">
        <v>11949</v>
      </c>
      <c r="W363" s="50" t="s">
        <v>102</v>
      </c>
      <c r="X363" s="50" t="s">
        <v>103</v>
      </c>
      <c r="Y363" s="50" t="s">
        <v>104</v>
      </c>
      <c r="AA363" s="50" t="s">
        <v>11950</v>
      </c>
      <c r="AB363" s="50" t="s">
        <v>21333</v>
      </c>
      <c r="AC363" s="50" t="s">
        <v>15652</v>
      </c>
      <c r="AD363" s="50" t="s">
        <v>21333</v>
      </c>
      <c r="AE363" s="50" t="s">
        <v>109</v>
      </c>
      <c r="AF363" s="50" t="s">
        <v>102</v>
      </c>
      <c r="AG363" s="50" t="s">
        <v>109</v>
      </c>
      <c r="AH363" s="50" t="s">
        <v>102</v>
      </c>
      <c r="AI363" s="50" t="s">
        <v>21334</v>
      </c>
      <c r="AJ363" s="50" t="s">
        <v>11954</v>
      </c>
      <c r="AK363" s="50" t="s">
        <v>11954</v>
      </c>
      <c r="AL363" s="50" t="s">
        <v>21335</v>
      </c>
      <c r="AM363" s="50" t="s">
        <v>21336</v>
      </c>
      <c r="AN363" s="50" t="s">
        <v>21337</v>
      </c>
      <c r="AO363" s="50" t="s">
        <v>11958</v>
      </c>
      <c r="AP363" s="50" t="s">
        <v>11958</v>
      </c>
      <c r="AU363" s="50" t="s">
        <v>207</v>
      </c>
      <c r="AV363" s="50" t="s">
        <v>118</v>
      </c>
      <c r="AW363" s="50" t="s">
        <v>102</v>
      </c>
      <c r="AX363" s="50" t="s">
        <v>119</v>
      </c>
      <c r="BA363" s="50" t="s">
        <v>250</v>
      </c>
      <c r="BB363" s="50" t="s">
        <v>120</v>
      </c>
      <c r="BC363" s="50" t="s">
        <v>5637</v>
      </c>
      <c r="BD363" s="50" t="s">
        <v>211</v>
      </c>
      <c r="BE363" s="50" t="s">
        <v>212</v>
      </c>
      <c r="BF363" s="50" t="s">
        <v>213</v>
      </c>
      <c r="BG363" s="50" t="s">
        <v>124</v>
      </c>
      <c r="BH363" s="50" t="s">
        <v>11959</v>
      </c>
      <c r="BI363" s="50" t="s">
        <v>11960</v>
      </c>
      <c r="BJ363" s="50" t="s">
        <v>127</v>
      </c>
      <c r="BK363" s="50" t="s">
        <v>21338</v>
      </c>
      <c r="BL363" s="50" t="s">
        <v>11442</v>
      </c>
      <c r="BM363" s="50" t="s">
        <v>21339</v>
      </c>
      <c r="BN363" s="50" t="s">
        <v>11948</v>
      </c>
      <c r="BO363" s="50" t="s">
        <v>1880</v>
      </c>
      <c r="BP363" s="50" t="s">
        <v>7992</v>
      </c>
      <c r="BQ363" s="50" t="s">
        <v>1882</v>
      </c>
      <c r="BR363" s="50" t="s">
        <v>1883</v>
      </c>
      <c r="BS363" s="50" t="s">
        <v>222</v>
      </c>
      <c r="BU363" s="50" t="s">
        <v>21340</v>
      </c>
      <c r="BV363" s="50" t="s">
        <v>15660</v>
      </c>
      <c r="BW363" s="50" t="s">
        <v>138</v>
      </c>
      <c r="BX363" s="50" t="s">
        <v>225</v>
      </c>
      <c r="BY363" s="50" t="s">
        <v>226</v>
      </c>
      <c r="BZ363" s="50" t="s">
        <v>11445</v>
      </c>
      <c r="CA363" s="50" t="s">
        <v>21341</v>
      </c>
      <c r="CB363" s="50" t="s">
        <v>21342</v>
      </c>
      <c r="CC363" s="50" t="s">
        <v>21343</v>
      </c>
      <c r="CD363" s="50" t="s">
        <v>21344</v>
      </c>
      <c r="CE363" s="50" t="s">
        <v>21342</v>
      </c>
      <c r="CF363" s="50" t="s">
        <v>21345</v>
      </c>
      <c r="CG363" s="50" t="s">
        <v>102</v>
      </c>
      <c r="CH363" s="50" t="s">
        <v>11446</v>
      </c>
      <c r="CJ363" s="50" t="s">
        <v>7644</v>
      </c>
      <c r="CL363" s="50" t="s">
        <v>5637</v>
      </c>
      <c r="CM363" s="50" t="s">
        <v>211</v>
      </c>
      <c r="CN363" s="50" t="s">
        <v>7644</v>
      </c>
      <c r="CO363" s="50" t="s">
        <v>230</v>
      </c>
      <c r="CP363" s="50" t="s">
        <v>11446</v>
      </c>
      <c r="CQ363" s="50" t="s">
        <v>11446</v>
      </c>
    </row>
    <row r="364" spans="1:96">
      <c r="A364" s="95" t="s">
        <v>149</v>
      </c>
      <c r="B364" s="50">
        <v>770229</v>
      </c>
      <c r="C364" s="50" t="s">
        <v>11995</v>
      </c>
      <c r="D364" s="50" t="s">
        <v>11650</v>
      </c>
      <c r="E364" s="50" t="e">
        <f>VLOOKUP(B364,aa!B:F,5,0)</f>
        <v>#N/A</v>
      </c>
      <c r="F364" s="50" t="e">
        <f>VLOOKUP(B364,aa!B:J,9,0)</f>
        <v>#N/A</v>
      </c>
      <c r="G364" s="50" t="e">
        <f>VLOOKUP(B364,aa!B:L,11,0)</f>
        <v>#N/A</v>
      </c>
      <c r="H364" s="50" t="e">
        <f>VLOOKUP(B364,aa!B:O,14,0)</f>
        <v>#N/A</v>
      </c>
      <c r="I364" s="50" t="e">
        <f>VLOOKUP(B364,aa!B:R,17,0)</f>
        <v>#N/A</v>
      </c>
      <c r="K364" s="50" t="s">
        <v>152</v>
      </c>
      <c r="L364" s="50">
        <v>2014584</v>
      </c>
      <c r="M364" s="50">
        <v>2014584</v>
      </c>
      <c r="N364" s="50">
        <v>0</v>
      </c>
      <c r="O364" s="50">
        <v>0</v>
      </c>
      <c r="Q364" s="50">
        <v>2014584</v>
      </c>
      <c r="R364" s="50">
        <v>1300</v>
      </c>
      <c r="S364" s="50" t="s">
        <v>8766</v>
      </c>
      <c r="T364" s="50">
        <v>0</v>
      </c>
      <c r="U364" s="50">
        <v>0</v>
      </c>
      <c r="W364" s="50" t="s">
        <v>102</v>
      </c>
      <c r="X364" s="50" t="s">
        <v>103</v>
      </c>
      <c r="Y364" s="50" t="s">
        <v>398</v>
      </c>
      <c r="AA364" s="50" t="s">
        <v>12040</v>
      </c>
      <c r="AB364" s="50" t="s">
        <v>21477</v>
      </c>
      <c r="AC364" s="50" t="s">
        <v>12099</v>
      </c>
      <c r="AD364" s="50" t="s">
        <v>21478</v>
      </c>
      <c r="AE364" s="50" t="s">
        <v>12713</v>
      </c>
      <c r="AF364" s="50" t="s">
        <v>21478</v>
      </c>
      <c r="AG364" s="50" t="s">
        <v>109</v>
      </c>
      <c r="AH364" s="50" t="s">
        <v>102</v>
      </c>
      <c r="AI364" s="50" t="s">
        <v>21479</v>
      </c>
      <c r="AJ364" s="50" t="s">
        <v>13385</v>
      </c>
      <c r="AK364" s="50" t="s">
        <v>16844</v>
      </c>
      <c r="AL364" s="50" t="s">
        <v>21480</v>
      </c>
      <c r="AM364" s="50" t="s">
        <v>21481</v>
      </c>
      <c r="AN364" s="50" t="s">
        <v>21482</v>
      </c>
      <c r="AO364" s="50" t="s">
        <v>21483</v>
      </c>
      <c r="AP364" s="50" t="s">
        <v>21483</v>
      </c>
      <c r="AU364" s="50" t="s">
        <v>102</v>
      </c>
      <c r="AW364" s="50" t="s">
        <v>155</v>
      </c>
      <c r="AX364" s="50" t="s">
        <v>119</v>
      </c>
      <c r="AY364" s="50" t="s">
        <v>170</v>
      </c>
      <c r="AZ364" s="50" t="s">
        <v>118</v>
      </c>
      <c r="BB364" s="50" t="s">
        <v>120</v>
      </c>
      <c r="BC364" s="50" t="s">
        <v>284</v>
      </c>
      <c r="BD364" s="50" t="s">
        <v>285</v>
      </c>
      <c r="BE364" s="50" t="s">
        <v>212</v>
      </c>
      <c r="BF364" s="50" t="s">
        <v>286</v>
      </c>
      <c r="BG364" s="50" t="s">
        <v>124</v>
      </c>
      <c r="BH364" s="50" t="s">
        <v>11959</v>
      </c>
      <c r="BI364" s="50" t="s">
        <v>12047</v>
      </c>
      <c r="BJ364" s="50" t="s">
        <v>127</v>
      </c>
      <c r="BK364" s="50" t="s">
        <v>21484</v>
      </c>
      <c r="BL364" s="50" t="s">
        <v>11661</v>
      </c>
      <c r="BM364" s="50" t="s">
        <v>21485</v>
      </c>
      <c r="BN364" s="50" t="s">
        <v>11948</v>
      </c>
      <c r="BO364" s="50" t="s">
        <v>290</v>
      </c>
      <c r="BP364" s="50" t="s">
        <v>132</v>
      </c>
      <c r="BQ364" s="50" t="s">
        <v>291</v>
      </c>
      <c r="BR364" s="50" t="s">
        <v>292</v>
      </c>
      <c r="BS364" s="50" t="s">
        <v>4765</v>
      </c>
      <c r="BU364" s="50" t="s">
        <v>21486</v>
      </c>
      <c r="BV364" s="50" t="s">
        <v>11664</v>
      </c>
      <c r="BW364" s="50" t="s">
        <v>354</v>
      </c>
      <c r="BX364" s="50" t="s">
        <v>11665</v>
      </c>
      <c r="BY364" s="50" t="s">
        <v>11666</v>
      </c>
      <c r="CA364" s="50" t="s">
        <v>11664</v>
      </c>
      <c r="CB364" s="50" t="s">
        <v>11665</v>
      </c>
      <c r="CC364" s="50" t="s">
        <v>11666</v>
      </c>
      <c r="CD364" s="50" t="s">
        <v>21487</v>
      </c>
      <c r="CE364" s="50" t="s">
        <v>21488</v>
      </c>
      <c r="CF364" s="50" t="s">
        <v>21489</v>
      </c>
      <c r="CG364" s="50" t="s">
        <v>102</v>
      </c>
      <c r="CH364" s="50" t="s">
        <v>21490</v>
      </c>
      <c r="CJ364" s="50" t="s">
        <v>3899</v>
      </c>
      <c r="CL364" s="50" t="s">
        <v>284</v>
      </c>
      <c r="CM364" s="50" t="s">
        <v>285</v>
      </c>
      <c r="CN364" s="50" t="s">
        <v>3899</v>
      </c>
      <c r="CO364" s="50" t="s">
        <v>11668</v>
      </c>
      <c r="CP364" s="50" t="s">
        <v>11669</v>
      </c>
      <c r="CQ364" s="50" t="s">
        <v>11669</v>
      </c>
      <c r="CR364" s="50" t="s">
        <v>26044</v>
      </c>
    </row>
    <row r="365" spans="1:96">
      <c r="A365" s="95" t="s">
        <v>149</v>
      </c>
      <c r="B365" s="50">
        <v>771752</v>
      </c>
      <c r="C365" s="50" t="s">
        <v>11947</v>
      </c>
      <c r="D365" s="50" t="s">
        <v>11670</v>
      </c>
      <c r="E365" s="50" t="e">
        <f>VLOOKUP(B365,aa!B:F,5,0)</f>
        <v>#N/A</v>
      </c>
      <c r="F365" s="50" t="e">
        <f>VLOOKUP(B365,aa!B:J,9,0)</f>
        <v>#N/A</v>
      </c>
      <c r="G365" s="50" t="e">
        <f>VLOOKUP(B365,aa!B:L,11,0)</f>
        <v>#N/A</v>
      </c>
      <c r="H365" s="50" t="e">
        <f>VLOOKUP(B365,aa!B:O,14,0)</f>
        <v>#N/A</v>
      </c>
      <c r="I365" s="50" t="e">
        <f>VLOOKUP(B365,aa!B:R,17,0)</f>
        <v>#N/A</v>
      </c>
      <c r="K365" s="50" t="s">
        <v>193</v>
      </c>
      <c r="L365" s="50">
        <v>759153</v>
      </c>
      <c r="M365" s="50">
        <v>850912</v>
      </c>
      <c r="N365" s="50">
        <v>249382</v>
      </c>
      <c r="O365" s="50">
        <v>802</v>
      </c>
      <c r="P365" s="50" t="s">
        <v>195</v>
      </c>
      <c r="Q365" s="50">
        <v>0</v>
      </c>
      <c r="R365" s="50">
        <v>0</v>
      </c>
      <c r="T365" s="50">
        <v>509771</v>
      </c>
      <c r="U365" s="50">
        <v>802</v>
      </c>
      <c r="V365" s="50" t="s">
        <v>11949</v>
      </c>
      <c r="W365" s="50" t="s">
        <v>102</v>
      </c>
      <c r="X365" s="50" t="s">
        <v>103</v>
      </c>
      <c r="Y365" s="50" t="s">
        <v>104</v>
      </c>
      <c r="AA365" s="50" t="s">
        <v>11950</v>
      </c>
      <c r="AB365" s="50" t="s">
        <v>21491</v>
      </c>
      <c r="AC365" s="50" t="s">
        <v>11952</v>
      </c>
      <c r="AD365" s="50" t="s">
        <v>21491</v>
      </c>
      <c r="AE365" s="50" t="s">
        <v>109</v>
      </c>
      <c r="AF365" s="50" t="s">
        <v>102</v>
      </c>
      <c r="AG365" s="50" t="s">
        <v>109</v>
      </c>
      <c r="AH365" s="50" t="s">
        <v>102</v>
      </c>
      <c r="AI365" s="50" t="s">
        <v>21492</v>
      </c>
      <c r="AJ365" s="50" t="s">
        <v>11954</v>
      </c>
      <c r="AK365" s="50" t="s">
        <v>11954</v>
      </c>
      <c r="AL365" s="50" t="s">
        <v>21493</v>
      </c>
      <c r="AM365" s="50" t="s">
        <v>21494</v>
      </c>
      <c r="AN365" s="50" t="s">
        <v>21495</v>
      </c>
      <c r="AO365" s="50" t="s">
        <v>11958</v>
      </c>
      <c r="AP365" s="50" t="s">
        <v>11958</v>
      </c>
      <c r="AU365" s="50" t="s">
        <v>207</v>
      </c>
      <c r="AV365" s="50" t="s">
        <v>118</v>
      </c>
      <c r="AW365" s="50" t="s">
        <v>102</v>
      </c>
      <c r="AX365" s="50" t="s">
        <v>119</v>
      </c>
      <c r="BA365" s="50" t="s">
        <v>250</v>
      </c>
      <c r="BB365" s="50" t="s">
        <v>120</v>
      </c>
      <c r="BC365" s="50" t="s">
        <v>920</v>
      </c>
      <c r="BD365" s="50" t="s">
        <v>211</v>
      </c>
      <c r="BE365" s="50" t="s">
        <v>212</v>
      </c>
      <c r="BF365" s="50" t="s">
        <v>213</v>
      </c>
      <c r="BG365" s="50" t="s">
        <v>124</v>
      </c>
      <c r="BH365" s="50" t="s">
        <v>11959</v>
      </c>
      <c r="BI365" s="50" t="s">
        <v>11960</v>
      </c>
      <c r="BJ365" s="50" t="s">
        <v>127</v>
      </c>
      <c r="BK365" s="50" t="s">
        <v>21496</v>
      </c>
      <c r="BL365" s="50" t="s">
        <v>11678</v>
      </c>
      <c r="BM365" s="50" t="s">
        <v>21497</v>
      </c>
      <c r="BN365" s="50" t="s">
        <v>11948</v>
      </c>
      <c r="BO365" s="50" t="s">
        <v>1880</v>
      </c>
      <c r="BP365" s="50" t="s">
        <v>7992</v>
      </c>
      <c r="BQ365" s="50" t="s">
        <v>1882</v>
      </c>
      <c r="BR365" s="50" t="s">
        <v>1883</v>
      </c>
      <c r="BS365" s="50" t="s">
        <v>222</v>
      </c>
      <c r="BU365" s="50" t="s">
        <v>21498</v>
      </c>
      <c r="BV365" s="50" t="s">
        <v>224</v>
      </c>
      <c r="BW365" s="50" t="s">
        <v>138</v>
      </c>
      <c r="BX365" s="50" t="s">
        <v>225</v>
      </c>
      <c r="BY365" s="50" t="s">
        <v>226</v>
      </c>
      <c r="BZ365" s="50" t="s">
        <v>11681</v>
      </c>
      <c r="CA365" s="50" t="s">
        <v>21499</v>
      </c>
      <c r="CB365" s="50" t="s">
        <v>21500</v>
      </c>
      <c r="CC365" s="50" t="s">
        <v>21501</v>
      </c>
      <c r="CD365" s="50" t="s">
        <v>21502</v>
      </c>
      <c r="CE365" s="50" t="s">
        <v>21503</v>
      </c>
      <c r="CF365" s="50" t="s">
        <v>21501</v>
      </c>
      <c r="CG365" s="50" t="s">
        <v>102</v>
      </c>
      <c r="CH365" s="50" t="s">
        <v>11682</v>
      </c>
      <c r="CJ365" s="50" t="s">
        <v>5985</v>
      </c>
      <c r="CL365" s="50" t="s">
        <v>920</v>
      </c>
      <c r="CM365" s="50" t="s">
        <v>211</v>
      </c>
      <c r="CN365" s="50" t="s">
        <v>5985</v>
      </c>
      <c r="CO365" s="50" t="s">
        <v>230</v>
      </c>
      <c r="CP365" s="50" t="s">
        <v>11682</v>
      </c>
      <c r="CQ365" s="50" t="s">
        <v>11682</v>
      </c>
    </row>
    <row r="366" spans="1:96">
      <c r="A366" s="95" t="s">
        <v>149</v>
      </c>
      <c r="B366" s="50">
        <v>1312595</v>
      </c>
      <c r="C366" s="50" t="s">
        <v>11947</v>
      </c>
      <c r="D366" s="50" t="s">
        <v>751</v>
      </c>
      <c r="E366" s="50" t="str">
        <f>VLOOKUP(B366,aa!B:F,5,0)</f>
        <v>Ei ASSET,Ei Mindspark</v>
      </c>
      <c r="F366" s="50">
        <f>VLOOKUP(B366,aa!B:J,9,0)</f>
        <v>0</v>
      </c>
      <c r="G366" s="50">
        <f>VLOOKUP(B366,aa!B:L,11,0)</f>
        <v>0</v>
      </c>
      <c r="H366" s="50">
        <f>VLOOKUP(B366,aa!B:O,14,0)</f>
        <v>0</v>
      </c>
      <c r="I366" s="50">
        <f>VLOOKUP(B366,aa!B:R,17,0)</f>
        <v>0</v>
      </c>
      <c r="K366" s="50" t="s">
        <v>193</v>
      </c>
      <c r="L366" s="50">
        <v>602483</v>
      </c>
      <c r="M366" s="50">
        <v>676508</v>
      </c>
      <c r="N366" s="50">
        <v>191234</v>
      </c>
      <c r="O366" s="50">
        <v>615</v>
      </c>
      <c r="P366" s="50" t="s">
        <v>195</v>
      </c>
      <c r="Q366" s="50">
        <v>0</v>
      </c>
      <c r="R366" s="50">
        <v>0</v>
      </c>
      <c r="T366" s="50">
        <v>411249</v>
      </c>
      <c r="U366" s="50">
        <v>647</v>
      </c>
      <c r="V366" s="50" t="s">
        <v>11949</v>
      </c>
      <c r="W366" s="50" t="s">
        <v>102</v>
      </c>
      <c r="X366" s="50" t="s">
        <v>103</v>
      </c>
      <c r="Y366" s="50" t="s">
        <v>104</v>
      </c>
      <c r="AA366" s="50" t="s">
        <v>11950</v>
      </c>
      <c r="AB366" s="50" t="s">
        <v>12340</v>
      </c>
      <c r="AC366" s="50" t="s">
        <v>11952</v>
      </c>
      <c r="AD366" s="50" t="s">
        <v>12340</v>
      </c>
      <c r="AE366" s="50" t="s">
        <v>109</v>
      </c>
      <c r="AF366" s="50" t="s">
        <v>102</v>
      </c>
      <c r="AG366" s="50" t="s">
        <v>109</v>
      </c>
      <c r="AH366" s="50" t="s">
        <v>102</v>
      </c>
      <c r="AI366" s="50" t="s">
        <v>12341</v>
      </c>
      <c r="AJ366" s="50" t="s">
        <v>11954</v>
      </c>
      <c r="AK366" s="50" t="s">
        <v>11954</v>
      </c>
      <c r="AL366" s="50" t="s">
        <v>12342</v>
      </c>
      <c r="AM366" s="50" t="s">
        <v>12343</v>
      </c>
      <c r="AN366" s="50" t="s">
        <v>12344</v>
      </c>
      <c r="AO366" s="50" t="s">
        <v>11958</v>
      </c>
      <c r="AP366" s="50" t="s">
        <v>11958</v>
      </c>
      <c r="AU366" s="50" t="s">
        <v>207</v>
      </c>
      <c r="AV366" s="50" t="s">
        <v>118</v>
      </c>
      <c r="AW366" s="50" t="s">
        <v>102</v>
      </c>
      <c r="AX366" s="50" t="s">
        <v>119</v>
      </c>
      <c r="BA366" s="50" t="s">
        <v>250</v>
      </c>
      <c r="BB366" s="50" t="s">
        <v>209</v>
      </c>
      <c r="BC366" s="50" t="s">
        <v>758</v>
      </c>
      <c r="BD366" s="50" t="s">
        <v>211</v>
      </c>
      <c r="BE366" s="50" t="s">
        <v>212</v>
      </c>
      <c r="BF366" s="50" t="s">
        <v>213</v>
      </c>
      <c r="BG366" s="50" t="s">
        <v>124</v>
      </c>
      <c r="BH366" s="50" t="s">
        <v>11959</v>
      </c>
      <c r="BI366" s="50" t="s">
        <v>11960</v>
      </c>
      <c r="BJ366" s="50" t="s">
        <v>127</v>
      </c>
      <c r="BK366" s="50" t="s">
        <v>12345</v>
      </c>
      <c r="BL366" s="50" t="s">
        <v>760</v>
      </c>
      <c r="BM366" s="50" t="s">
        <v>12346</v>
      </c>
      <c r="BN366" s="50" t="s">
        <v>12339</v>
      </c>
      <c r="BO366" s="50" t="s">
        <v>1880</v>
      </c>
      <c r="BP366" s="50" t="s">
        <v>505</v>
      </c>
      <c r="BQ366" s="50" t="s">
        <v>1882</v>
      </c>
      <c r="BR366" s="50" t="s">
        <v>1883</v>
      </c>
      <c r="BS366" s="50" t="s">
        <v>222</v>
      </c>
      <c r="BU366" s="50" t="s">
        <v>12347</v>
      </c>
      <c r="BV366" s="50" t="s">
        <v>12348</v>
      </c>
      <c r="BW366" s="50" t="s">
        <v>138</v>
      </c>
      <c r="BX366" s="50" t="s">
        <v>225</v>
      </c>
      <c r="BY366" s="50" t="s">
        <v>226</v>
      </c>
      <c r="BZ366" s="50" t="s">
        <v>763</v>
      </c>
      <c r="CA366" s="50" t="s">
        <v>12349</v>
      </c>
      <c r="CB366" s="50" t="s">
        <v>12350</v>
      </c>
      <c r="CC366" s="50" t="s">
        <v>12351</v>
      </c>
      <c r="CD366" s="50" t="s">
        <v>12352</v>
      </c>
      <c r="CE366" s="50" t="s">
        <v>12353</v>
      </c>
      <c r="CF366" s="50" t="s">
        <v>12351</v>
      </c>
      <c r="CG366" s="50" t="s">
        <v>102</v>
      </c>
      <c r="CH366" s="50" t="s">
        <v>764</v>
      </c>
      <c r="CJ366" s="50" t="s">
        <v>765</v>
      </c>
      <c r="CL366" s="50" t="s">
        <v>758</v>
      </c>
      <c r="CM366" s="50" t="s">
        <v>211</v>
      </c>
      <c r="CN366" s="50" t="s">
        <v>765</v>
      </c>
      <c r="CO366" s="50" t="s">
        <v>230</v>
      </c>
      <c r="CP366" s="50" t="s">
        <v>764</v>
      </c>
      <c r="CQ366" s="50" t="s">
        <v>764</v>
      </c>
    </row>
    <row r="367" spans="1:96">
      <c r="A367" s="95" t="s">
        <v>149</v>
      </c>
      <c r="B367" s="50">
        <v>3399635</v>
      </c>
      <c r="C367" s="50" t="s">
        <v>11947</v>
      </c>
      <c r="D367" s="50" t="s">
        <v>5861</v>
      </c>
      <c r="E367" s="50" t="str">
        <f>VLOOKUP(B367,aa!B:F,5,0)</f>
        <v>Ei ASSET,Ei Mindspark</v>
      </c>
      <c r="F367" s="50">
        <f>VLOOKUP(B367,aa!B:J,9,0)</f>
        <v>0</v>
      </c>
      <c r="G367" s="50">
        <f>VLOOKUP(B367,aa!B:L,11,0)</f>
        <v>0</v>
      </c>
      <c r="H367" s="50">
        <f>VLOOKUP(B367,aa!B:O,14,0)</f>
        <v>0</v>
      </c>
      <c r="I367" s="50">
        <f>VLOOKUP(B367,aa!B:R,17,0)</f>
        <v>0</v>
      </c>
      <c r="K367" s="50" t="s">
        <v>193</v>
      </c>
      <c r="L367" s="50">
        <v>978758</v>
      </c>
      <c r="M367" s="50">
        <v>1097060</v>
      </c>
      <c r="N367" s="50">
        <v>321522</v>
      </c>
      <c r="O367" s="50">
        <v>1034</v>
      </c>
      <c r="P367" s="50" t="s">
        <v>195</v>
      </c>
      <c r="Q367" s="50">
        <v>0</v>
      </c>
      <c r="R367" s="50">
        <v>0</v>
      </c>
      <c r="T367" s="50">
        <v>657236</v>
      </c>
      <c r="U367" s="50">
        <v>1034</v>
      </c>
      <c r="V367" s="50" t="s">
        <v>11949</v>
      </c>
      <c r="W367" s="50" t="s">
        <v>102</v>
      </c>
      <c r="X367" s="50" t="s">
        <v>103</v>
      </c>
      <c r="Y367" s="50" t="s">
        <v>104</v>
      </c>
      <c r="AA367" s="50" t="s">
        <v>11950</v>
      </c>
      <c r="AB367" s="50" t="s">
        <v>15842</v>
      </c>
      <c r="AC367" s="50" t="s">
        <v>11952</v>
      </c>
      <c r="AD367" s="50" t="s">
        <v>15842</v>
      </c>
      <c r="AE367" s="50" t="s">
        <v>109</v>
      </c>
      <c r="AF367" s="50" t="s">
        <v>102</v>
      </c>
      <c r="AG367" s="50" t="s">
        <v>109</v>
      </c>
      <c r="AH367" s="50" t="s">
        <v>102</v>
      </c>
      <c r="AI367" s="50" t="s">
        <v>15843</v>
      </c>
      <c r="AJ367" s="50" t="s">
        <v>11954</v>
      </c>
      <c r="AK367" s="50" t="s">
        <v>11954</v>
      </c>
      <c r="AL367" s="50" t="s">
        <v>15844</v>
      </c>
      <c r="AM367" s="50" t="s">
        <v>15845</v>
      </c>
      <c r="AN367" s="50" t="s">
        <v>15846</v>
      </c>
      <c r="AO367" s="50" t="s">
        <v>11958</v>
      </c>
      <c r="AP367" s="50" t="s">
        <v>11958</v>
      </c>
      <c r="AU367" s="50" t="s">
        <v>207</v>
      </c>
      <c r="AV367" s="50" t="s">
        <v>118</v>
      </c>
      <c r="AW367" s="50" t="s">
        <v>102</v>
      </c>
      <c r="AX367" s="50" t="s">
        <v>119</v>
      </c>
      <c r="BA367" s="50" t="s">
        <v>250</v>
      </c>
      <c r="BB367" s="50" t="s">
        <v>120</v>
      </c>
      <c r="BC367" s="50" t="s">
        <v>758</v>
      </c>
      <c r="BD367" s="50" t="s">
        <v>211</v>
      </c>
      <c r="BE367" s="50" t="s">
        <v>212</v>
      </c>
      <c r="BF367" s="50" t="s">
        <v>213</v>
      </c>
      <c r="BG367" s="50" t="s">
        <v>124</v>
      </c>
      <c r="BH367" s="50" t="s">
        <v>11959</v>
      </c>
      <c r="BI367" s="50" t="s">
        <v>11960</v>
      </c>
      <c r="BJ367" s="50" t="s">
        <v>127</v>
      </c>
      <c r="BK367" s="50" t="s">
        <v>15847</v>
      </c>
      <c r="BL367" s="50" t="s">
        <v>5869</v>
      </c>
      <c r="BM367" s="50" t="s">
        <v>15848</v>
      </c>
      <c r="BN367" s="50" t="s">
        <v>12339</v>
      </c>
      <c r="BO367" s="50" t="s">
        <v>1880</v>
      </c>
      <c r="BP367" s="50" t="s">
        <v>7992</v>
      </c>
      <c r="BQ367" s="50" t="s">
        <v>1882</v>
      </c>
      <c r="BR367" s="50" t="s">
        <v>1883</v>
      </c>
      <c r="BS367" s="50" t="s">
        <v>222</v>
      </c>
      <c r="BU367" s="50" t="s">
        <v>15849</v>
      </c>
      <c r="BV367" s="50" t="s">
        <v>11964</v>
      </c>
      <c r="BW367" s="50" t="s">
        <v>138</v>
      </c>
      <c r="BX367" s="50" t="s">
        <v>225</v>
      </c>
      <c r="BY367" s="50" t="s">
        <v>226</v>
      </c>
      <c r="BZ367" s="50" t="s">
        <v>5872</v>
      </c>
      <c r="CA367" s="50" t="s">
        <v>15850</v>
      </c>
      <c r="CB367" s="50" t="s">
        <v>15851</v>
      </c>
      <c r="CC367" s="50" t="s">
        <v>15852</v>
      </c>
      <c r="CD367" s="50" t="s">
        <v>15853</v>
      </c>
      <c r="CE367" s="50" t="s">
        <v>15851</v>
      </c>
      <c r="CF367" s="50" t="s">
        <v>15854</v>
      </c>
      <c r="CG367" s="50" t="s">
        <v>102</v>
      </c>
      <c r="CH367" s="50" t="s">
        <v>5873</v>
      </c>
      <c r="CJ367" s="50" t="s">
        <v>765</v>
      </c>
      <c r="CL367" s="50" t="s">
        <v>758</v>
      </c>
      <c r="CM367" s="50" t="s">
        <v>211</v>
      </c>
      <c r="CN367" s="50" t="s">
        <v>765</v>
      </c>
      <c r="CO367" s="50" t="s">
        <v>230</v>
      </c>
      <c r="CP367" s="50" t="s">
        <v>5873</v>
      </c>
      <c r="CQ367" s="50" t="s">
        <v>5873</v>
      </c>
    </row>
    <row r="368" spans="1:96">
      <c r="A368" s="95" t="s">
        <v>26356</v>
      </c>
      <c r="B368" s="50">
        <v>20238</v>
      </c>
      <c r="C368" s="50" t="s">
        <v>12121</v>
      </c>
      <c r="D368" s="50" t="s">
        <v>2427</v>
      </c>
      <c r="E368" s="50" t="str">
        <f>VLOOKUP(B368,aa!B:F,5,0)</f>
        <v>Ei Mindspark</v>
      </c>
      <c r="F368" s="50">
        <f>VLOOKUP(B368,aa!B:J,9,0)</f>
        <v>2456259</v>
      </c>
      <c r="G368" s="50">
        <f>VLOOKUP(B368,aa!B:L,11,0)</f>
        <v>0</v>
      </c>
      <c r="H368" s="50">
        <f>VLOOKUP(B368,aa!B:O,14,0)</f>
        <v>0</v>
      </c>
      <c r="I368" s="50">
        <f>VLOOKUP(B368,aa!B:R,17,0)</f>
        <v>2456259</v>
      </c>
      <c r="K368" s="50" t="s">
        <v>193</v>
      </c>
      <c r="L368" s="50">
        <v>2719265</v>
      </c>
      <c r="M368" s="50">
        <v>3150845</v>
      </c>
      <c r="N368" s="50">
        <v>321600</v>
      </c>
      <c r="O368" s="50">
        <v>268</v>
      </c>
      <c r="P368" s="50" t="s">
        <v>880</v>
      </c>
      <c r="Q368" s="50">
        <v>0</v>
      </c>
      <c r="R368" s="50">
        <v>0</v>
      </c>
      <c r="T368" s="50">
        <v>2397665</v>
      </c>
      <c r="U368" s="50">
        <v>972</v>
      </c>
      <c r="V368" s="50" t="s">
        <v>13319</v>
      </c>
      <c r="W368" s="50" t="s">
        <v>102</v>
      </c>
      <c r="X368" s="50" t="s">
        <v>103</v>
      </c>
      <c r="Y368" s="50" t="s">
        <v>801</v>
      </c>
      <c r="AA368" s="50" t="s">
        <v>13320</v>
      </c>
      <c r="AB368" s="50" t="s">
        <v>13321</v>
      </c>
      <c r="AC368" s="50" t="s">
        <v>13322</v>
      </c>
      <c r="AD368" s="50" t="s">
        <v>13321</v>
      </c>
      <c r="AE368" s="50" t="s">
        <v>13323</v>
      </c>
      <c r="AF368" s="50" t="s">
        <v>13324</v>
      </c>
      <c r="AG368" s="50" t="s">
        <v>13325</v>
      </c>
      <c r="AH368" s="50" t="s">
        <v>13324</v>
      </c>
      <c r="AI368" s="50" t="s">
        <v>13326</v>
      </c>
      <c r="AJ368" s="50" t="s">
        <v>13327</v>
      </c>
      <c r="AK368" s="50" t="s">
        <v>13328</v>
      </c>
      <c r="AL368" s="50" t="s">
        <v>13329</v>
      </c>
      <c r="AM368" s="50" t="s">
        <v>13330</v>
      </c>
      <c r="AN368" s="50" t="s">
        <v>13331</v>
      </c>
      <c r="AO368" s="50" t="s">
        <v>13332</v>
      </c>
      <c r="AP368" s="50" t="s">
        <v>13332</v>
      </c>
      <c r="AU368" s="50" t="s">
        <v>247</v>
      </c>
      <c r="AV368" s="50" t="s">
        <v>118</v>
      </c>
      <c r="AW368" s="50" t="s">
        <v>102</v>
      </c>
      <c r="AX368" s="50" t="s">
        <v>119</v>
      </c>
      <c r="BA368" s="50" t="s">
        <v>250</v>
      </c>
      <c r="BB368" s="50" t="s">
        <v>120</v>
      </c>
      <c r="BC368" s="50" t="s">
        <v>555</v>
      </c>
      <c r="BD368" s="50" t="s">
        <v>556</v>
      </c>
      <c r="BE368" s="50" t="s">
        <v>122</v>
      </c>
      <c r="BF368" s="50" t="s">
        <v>557</v>
      </c>
      <c r="BG368" s="50" t="s">
        <v>124</v>
      </c>
      <c r="BH368" s="50" t="s">
        <v>11959</v>
      </c>
      <c r="BI368" s="50" t="s">
        <v>11889</v>
      </c>
      <c r="BJ368" s="50" t="s">
        <v>127</v>
      </c>
      <c r="BK368" s="50" t="s">
        <v>13333</v>
      </c>
      <c r="BL368" s="50" t="s">
        <v>2436</v>
      </c>
      <c r="BM368" s="50" t="s">
        <v>13334</v>
      </c>
      <c r="BN368" s="50" t="s">
        <v>13318</v>
      </c>
      <c r="BO368" s="50" t="s">
        <v>1142</v>
      </c>
      <c r="BP368" s="50" t="s">
        <v>350</v>
      </c>
      <c r="BQ368" s="50" t="s">
        <v>1143</v>
      </c>
      <c r="BR368" s="50" t="s">
        <v>1144</v>
      </c>
      <c r="BS368" s="50" t="s">
        <v>566</v>
      </c>
      <c r="BU368" s="50" t="s">
        <v>13335</v>
      </c>
      <c r="BV368" s="50" t="s">
        <v>2439</v>
      </c>
      <c r="BW368" s="50" t="s">
        <v>138</v>
      </c>
      <c r="BX368" s="50" t="s">
        <v>2442</v>
      </c>
      <c r="BY368" s="50" t="s">
        <v>2441</v>
      </c>
      <c r="BZ368" s="50" t="s">
        <v>2442</v>
      </c>
      <c r="CA368" s="50" t="s">
        <v>2439</v>
      </c>
      <c r="CB368" s="50" t="s">
        <v>2442</v>
      </c>
      <c r="CC368" s="50" t="s">
        <v>2441</v>
      </c>
      <c r="CD368" s="50" t="s">
        <v>2439</v>
      </c>
      <c r="CE368" s="50" t="s">
        <v>2442</v>
      </c>
      <c r="CF368" s="50" t="s">
        <v>2441</v>
      </c>
      <c r="CG368" s="50" t="s">
        <v>102</v>
      </c>
      <c r="CH368" s="50" t="s">
        <v>13336</v>
      </c>
      <c r="CJ368" s="50" t="s">
        <v>2447</v>
      </c>
      <c r="CL368" s="50" t="s">
        <v>555</v>
      </c>
      <c r="CM368" s="50" t="s">
        <v>556</v>
      </c>
      <c r="CN368" s="50" t="s">
        <v>2447</v>
      </c>
      <c r="CO368" s="50" t="s">
        <v>2448</v>
      </c>
      <c r="CP368" s="50" t="s">
        <v>2446</v>
      </c>
      <c r="CQ368" s="50" t="s">
        <v>2446</v>
      </c>
    </row>
    <row r="369" spans="1:96">
      <c r="A369" s="50" t="s">
        <v>93</v>
      </c>
      <c r="B369" s="50">
        <v>5045565</v>
      </c>
      <c r="C369" s="50" t="s">
        <v>183</v>
      </c>
      <c r="D369" s="50" t="s">
        <v>20458</v>
      </c>
      <c r="E369" s="50" t="e">
        <f>VLOOKUP(B369,aa!B:F,5,0)</f>
        <v>#N/A</v>
      </c>
      <c r="F369" s="50" t="e">
        <f>VLOOKUP(B369,aa!B:J,9,0)</f>
        <v>#N/A</v>
      </c>
      <c r="G369" s="50" t="e">
        <f>VLOOKUP(B369,aa!B:L,11,0)</f>
        <v>#N/A</v>
      </c>
      <c r="H369" s="50" t="e">
        <f>VLOOKUP(B369,aa!B:O,14,0)</f>
        <v>#N/A</v>
      </c>
      <c r="I369" s="50" t="e">
        <f>VLOOKUP(B369,aa!B:R,17,0)</f>
        <v>#N/A</v>
      </c>
      <c r="K369" s="50" t="s">
        <v>152</v>
      </c>
      <c r="L369" s="50">
        <v>76188</v>
      </c>
      <c r="M369" s="50">
        <v>76188</v>
      </c>
      <c r="N369" s="50">
        <v>0</v>
      </c>
      <c r="O369" s="50">
        <v>0</v>
      </c>
      <c r="Q369" s="50">
        <v>76188</v>
      </c>
      <c r="R369" s="50">
        <v>121</v>
      </c>
      <c r="S369" s="50" t="s">
        <v>7219</v>
      </c>
      <c r="T369" s="50">
        <v>0</v>
      </c>
      <c r="U369" s="50">
        <v>0</v>
      </c>
      <c r="W369" s="50" t="s">
        <v>102</v>
      </c>
      <c r="X369" s="50" t="s">
        <v>275</v>
      </c>
      <c r="Z369" s="50" t="s">
        <v>11932</v>
      </c>
      <c r="AA369" s="50" t="s">
        <v>109</v>
      </c>
      <c r="AB369" s="50" t="s">
        <v>102</v>
      </c>
      <c r="AC369" s="50" t="s">
        <v>109</v>
      </c>
      <c r="AD369" s="50" t="s">
        <v>102</v>
      </c>
      <c r="AE369" s="50" t="s">
        <v>109</v>
      </c>
      <c r="AF369" s="50" t="s">
        <v>102</v>
      </c>
      <c r="AG369" s="50" t="s">
        <v>109</v>
      </c>
      <c r="AH369" s="50" t="s">
        <v>102</v>
      </c>
      <c r="AI369" s="50" t="s">
        <v>102</v>
      </c>
      <c r="AJ369" s="50" t="s">
        <v>4563</v>
      </c>
      <c r="AK369" s="50" t="s">
        <v>4563</v>
      </c>
      <c r="AL369" s="50" t="s">
        <v>20459</v>
      </c>
      <c r="AM369" s="50" t="s">
        <v>20459</v>
      </c>
      <c r="AN369" s="50" t="s">
        <v>102</v>
      </c>
      <c r="AO369" s="50" t="s">
        <v>18394</v>
      </c>
      <c r="AP369" s="50" t="s">
        <v>18394</v>
      </c>
      <c r="AU369" s="50" t="s">
        <v>102</v>
      </c>
      <c r="AW369" s="50" t="s">
        <v>104</v>
      </c>
      <c r="AX369" s="50" t="s">
        <v>447</v>
      </c>
      <c r="AY369" s="50" t="s">
        <v>170</v>
      </c>
      <c r="AZ369" s="50" t="s">
        <v>118</v>
      </c>
      <c r="BB369" s="50" t="s">
        <v>1964</v>
      </c>
      <c r="BC369" s="50" t="s">
        <v>18395</v>
      </c>
      <c r="BD369" s="50" t="s">
        <v>376</v>
      </c>
      <c r="BE369" s="50" t="s">
        <v>174</v>
      </c>
      <c r="BF369" s="50" t="s">
        <v>376</v>
      </c>
      <c r="BG369" s="50" t="s">
        <v>124</v>
      </c>
      <c r="BH369" s="50" t="s">
        <v>1331</v>
      </c>
      <c r="BI369" s="50" t="s">
        <v>12931</v>
      </c>
      <c r="BJ369" s="50" t="s">
        <v>127</v>
      </c>
      <c r="BK369" s="50" t="s">
        <v>20460</v>
      </c>
      <c r="BL369" s="50" t="s">
        <v>20461</v>
      </c>
      <c r="BM369" s="50" t="s">
        <v>20462</v>
      </c>
      <c r="BN369" s="50" t="s">
        <v>15564</v>
      </c>
      <c r="BO369" s="50" t="s">
        <v>5026</v>
      </c>
      <c r="BP369" s="50" t="s">
        <v>180</v>
      </c>
      <c r="BQ369" s="50" t="s">
        <v>5027</v>
      </c>
      <c r="BR369" s="50" t="s">
        <v>5028</v>
      </c>
      <c r="BS369" s="50" t="s">
        <v>1834</v>
      </c>
      <c r="BU369" s="50" t="s">
        <v>20463</v>
      </c>
      <c r="BV369" s="50" t="s">
        <v>20464</v>
      </c>
      <c r="BW369" s="50" t="s">
        <v>138</v>
      </c>
      <c r="BX369" s="50" t="s">
        <v>18401</v>
      </c>
      <c r="BY369" s="50" t="s">
        <v>20465</v>
      </c>
      <c r="BZ369" s="50" t="s">
        <v>20466</v>
      </c>
      <c r="CA369" s="50" t="s">
        <v>20464</v>
      </c>
      <c r="CB369" s="50" t="s">
        <v>20466</v>
      </c>
      <c r="CC369" s="50" t="s">
        <v>20465</v>
      </c>
      <c r="CD369" s="50" t="s">
        <v>20464</v>
      </c>
      <c r="CE369" s="50" t="s">
        <v>20466</v>
      </c>
      <c r="CF369" s="50" t="s">
        <v>20465</v>
      </c>
      <c r="CG369" s="50" t="s">
        <v>364</v>
      </c>
      <c r="CH369" s="50" t="s">
        <v>20467</v>
      </c>
      <c r="CJ369" s="50" t="s">
        <v>18405</v>
      </c>
      <c r="CK369" s="50" t="s">
        <v>20467</v>
      </c>
      <c r="CL369" s="50" t="s">
        <v>18395</v>
      </c>
      <c r="CM369" s="50" t="s">
        <v>376</v>
      </c>
      <c r="CN369" s="50" t="s">
        <v>18405</v>
      </c>
      <c r="CP369" s="50" t="s">
        <v>20468</v>
      </c>
      <c r="CQ369" s="50" t="s">
        <v>20468</v>
      </c>
      <c r="CR369" s="50" t="s">
        <v>26046</v>
      </c>
    </row>
    <row r="370" spans="1:96">
      <c r="A370" s="95" t="s">
        <v>149</v>
      </c>
      <c r="B370" s="50">
        <v>5014778</v>
      </c>
      <c r="C370" s="50" t="s">
        <v>13158</v>
      </c>
      <c r="D370" s="50" t="s">
        <v>9292</v>
      </c>
      <c r="E370" s="50" t="e">
        <f>VLOOKUP(B370,aa!B:F,5,0)</f>
        <v>#N/A</v>
      </c>
      <c r="F370" s="50" t="e">
        <f>VLOOKUP(B370,aa!B:J,9,0)</f>
        <v>#N/A</v>
      </c>
      <c r="G370" s="50" t="e">
        <f>VLOOKUP(B370,aa!B:L,11,0)</f>
        <v>#N/A</v>
      </c>
      <c r="H370" s="50" t="e">
        <f>VLOOKUP(B370,aa!B:O,14,0)</f>
        <v>#N/A</v>
      </c>
      <c r="I370" s="50" t="e">
        <f>VLOOKUP(B370,aa!B:R,17,0)</f>
        <v>#N/A</v>
      </c>
      <c r="K370" s="50" t="s">
        <v>675</v>
      </c>
      <c r="L370" s="50">
        <v>648470</v>
      </c>
      <c r="M370" s="50">
        <v>648470</v>
      </c>
      <c r="N370" s="50">
        <v>116500</v>
      </c>
      <c r="O370" s="50">
        <v>620</v>
      </c>
      <c r="P370" s="50" t="s">
        <v>18613</v>
      </c>
      <c r="Q370" s="50">
        <v>531970</v>
      </c>
      <c r="R370" s="50">
        <v>380</v>
      </c>
      <c r="S370" s="50" t="s">
        <v>4289</v>
      </c>
      <c r="T370" s="50">
        <v>0</v>
      </c>
      <c r="U370" s="50">
        <v>0</v>
      </c>
      <c r="W370" s="50" t="s">
        <v>102</v>
      </c>
      <c r="X370" s="50" t="s">
        <v>679</v>
      </c>
      <c r="Y370" s="50" t="s">
        <v>104</v>
      </c>
      <c r="Z370" s="50" t="s">
        <v>12040</v>
      </c>
      <c r="AA370" s="50" t="s">
        <v>15486</v>
      </c>
      <c r="AB370" s="50" t="s">
        <v>18614</v>
      </c>
      <c r="AC370" s="50" t="s">
        <v>13263</v>
      </c>
      <c r="AD370" s="50" t="s">
        <v>18614</v>
      </c>
      <c r="AE370" s="50" t="s">
        <v>109</v>
      </c>
      <c r="AF370" s="50" t="s">
        <v>102</v>
      </c>
      <c r="AG370" s="50" t="s">
        <v>109</v>
      </c>
      <c r="AH370" s="50" t="s">
        <v>102</v>
      </c>
      <c r="AI370" s="50" t="s">
        <v>102</v>
      </c>
      <c r="AJ370" s="50" t="s">
        <v>12086</v>
      </c>
      <c r="AK370" s="50" t="s">
        <v>12086</v>
      </c>
      <c r="AL370" s="50" t="s">
        <v>18615</v>
      </c>
      <c r="AM370" s="50" t="s">
        <v>18616</v>
      </c>
      <c r="AN370" s="50" t="s">
        <v>18617</v>
      </c>
      <c r="AO370" s="50" t="s">
        <v>18618</v>
      </c>
      <c r="AP370" s="50" t="s">
        <v>18618</v>
      </c>
      <c r="AU370" s="50" t="s">
        <v>588</v>
      </c>
      <c r="AV370" s="50" t="s">
        <v>2203</v>
      </c>
      <c r="AW370" s="50" t="s">
        <v>655</v>
      </c>
      <c r="AX370" s="50" t="s">
        <v>119</v>
      </c>
      <c r="AZ370" s="50" t="s">
        <v>250</v>
      </c>
      <c r="BB370" s="50" t="s">
        <v>120</v>
      </c>
      <c r="BC370" s="50" t="s">
        <v>284</v>
      </c>
      <c r="BD370" s="50" t="s">
        <v>285</v>
      </c>
      <c r="BE370" s="50" t="s">
        <v>212</v>
      </c>
      <c r="BF370" s="50" t="s">
        <v>286</v>
      </c>
      <c r="BG370" s="50" t="s">
        <v>124</v>
      </c>
      <c r="BH370" s="50" t="s">
        <v>11959</v>
      </c>
      <c r="BI370" s="50" t="s">
        <v>12963</v>
      </c>
      <c r="BJ370" s="50" t="s">
        <v>127</v>
      </c>
      <c r="BK370" s="50" t="s">
        <v>18619</v>
      </c>
      <c r="BL370" s="50" t="s">
        <v>9301</v>
      </c>
      <c r="BM370" s="50" t="s">
        <v>18620</v>
      </c>
      <c r="BN370" s="50" t="s">
        <v>18612</v>
      </c>
      <c r="BO370" s="50" t="s">
        <v>290</v>
      </c>
      <c r="BP370" s="50" t="s">
        <v>132</v>
      </c>
      <c r="BQ370" s="50" t="s">
        <v>291</v>
      </c>
      <c r="BR370" s="50" t="s">
        <v>292</v>
      </c>
      <c r="BS370" s="50" t="s">
        <v>293</v>
      </c>
      <c r="BU370" s="50" t="s">
        <v>18621</v>
      </c>
      <c r="BV370" s="50" t="s">
        <v>18622</v>
      </c>
      <c r="BW370" s="50" t="s">
        <v>598</v>
      </c>
      <c r="BX370" s="50" t="s">
        <v>18623</v>
      </c>
      <c r="BY370" s="50" t="s">
        <v>18624</v>
      </c>
      <c r="BZ370" s="50" t="s">
        <v>9307</v>
      </c>
      <c r="CA370" s="50" t="s">
        <v>9308</v>
      </c>
      <c r="CB370" s="50" t="s">
        <v>9309</v>
      </c>
      <c r="CC370" s="50" t="s">
        <v>18625</v>
      </c>
      <c r="CD370" s="50" t="s">
        <v>18626</v>
      </c>
      <c r="CE370" s="50" t="s">
        <v>9312</v>
      </c>
      <c r="CF370" s="50" t="s">
        <v>9310</v>
      </c>
      <c r="CG370" s="50" t="s">
        <v>102</v>
      </c>
      <c r="CH370" s="50" t="s">
        <v>18627</v>
      </c>
      <c r="CJ370" s="50" t="s">
        <v>9314</v>
      </c>
      <c r="CL370" s="50" t="s">
        <v>284</v>
      </c>
      <c r="CM370" s="50" t="s">
        <v>285</v>
      </c>
      <c r="CN370" s="50" t="s">
        <v>9314</v>
      </c>
      <c r="CP370" s="50" t="s">
        <v>9316</v>
      </c>
      <c r="CQ370" s="50" t="s">
        <v>9316</v>
      </c>
    </row>
    <row r="371" spans="1:96">
      <c r="A371" s="95" t="s">
        <v>149</v>
      </c>
      <c r="B371" s="50">
        <v>3745576</v>
      </c>
      <c r="C371" s="50" t="s">
        <v>2525</v>
      </c>
      <c r="D371" s="50" t="s">
        <v>7252</v>
      </c>
      <c r="E371" s="50" t="e">
        <f>VLOOKUP(B371,aa!B:F,5,0)</f>
        <v>#N/A</v>
      </c>
      <c r="F371" s="50" t="e">
        <f>VLOOKUP(B371,aa!B:J,9,0)</f>
        <v>#N/A</v>
      </c>
      <c r="G371" s="50" t="e">
        <f>VLOOKUP(B371,aa!B:L,11,0)</f>
        <v>#N/A</v>
      </c>
      <c r="H371" s="50" t="e">
        <f>VLOOKUP(B371,aa!B:O,14,0)</f>
        <v>#N/A</v>
      </c>
      <c r="I371" s="50" t="e">
        <f>VLOOKUP(B371,aa!B:R,17,0)</f>
        <v>#N/A</v>
      </c>
      <c r="K371" s="50" t="s">
        <v>193</v>
      </c>
      <c r="L371" s="50">
        <v>1272931</v>
      </c>
      <c r="M371" s="50">
        <v>1444808</v>
      </c>
      <c r="N371" s="50">
        <v>318060</v>
      </c>
      <c r="O371" s="50">
        <v>540</v>
      </c>
      <c r="P371" s="50" t="s">
        <v>16809</v>
      </c>
      <c r="Q371" s="50">
        <v>0</v>
      </c>
      <c r="R371" s="50">
        <v>0</v>
      </c>
      <c r="T371" s="50">
        <v>954871</v>
      </c>
      <c r="U371" s="50">
        <v>682</v>
      </c>
      <c r="V371" s="50" t="s">
        <v>4289</v>
      </c>
      <c r="W371" s="50" t="s">
        <v>102</v>
      </c>
      <c r="X371" s="50" t="s">
        <v>679</v>
      </c>
      <c r="Y371" s="50" t="s">
        <v>398</v>
      </c>
      <c r="Z371" s="50" t="s">
        <v>126</v>
      </c>
      <c r="AA371" s="50" t="s">
        <v>16810</v>
      </c>
      <c r="AB371" s="50" t="s">
        <v>16811</v>
      </c>
      <c r="AC371" s="50" t="s">
        <v>12593</v>
      </c>
      <c r="AD371" s="50" t="s">
        <v>16812</v>
      </c>
      <c r="AE371" s="50" t="s">
        <v>12216</v>
      </c>
      <c r="AF371" s="50" t="s">
        <v>16812</v>
      </c>
      <c r="AG371" s="50" t="s">
        <v>109</v>
      </c>
      <c r="AH371" s="50" t="s">
        <v>102</v>
      </c>
      <c r="AI371" s="50" t="s">
        <v>102</v>
      </c>
      <c r="AJ371" s="50" t="s">
        <v>12063</v>
      </c>
      <c r="AK371" s="50" t="s">
        <v>12063</v>
      </c>
      <c r="AL371" s="50" t="s">
        <v>16813</v>
      </c>
      <c r="AM371" s="50" t="s">
        <v>16814</v>
      </c>
      <c r="AN371" s="50" t="s">
        <v>16815</v>
      </c>
      <c r="AO371" s="50" t="s">
        <v>16816</v>
      </c>
      <c r="AP371" s="50" t="s">
        <v>16817</v>
      </c>
      <c r="AQ371" s="50" t="s">
        <v>343</v>
      </c>
      <c r="AT371" s="50" t="s">
        <v>169</v>
      </c>
      <c r="AU371" s="50" t="s">
        <v>207</v>
      </c>
      <c r="AV371" s="50" t="s">
        <v>250</v>
      </c>
      <c r="AW371" s="50" t="s">
        <v>102</v>
      </c>
      <c r="AX371" s="50" t="s">
        <v>119</v>
      </c>
      <c r="BA371" s="50" t="s">
        <v>250</v>
      </c>
      <c r="BB371" s="50" t="s">
        <v>120</v>
      </c>
      <c r="BC371" s="50" t="s">
        <v>7266</v>
      </c>
      <c r="BD371" s="50" t="s">
        <v>730</v>
      </c>
      <c r="BE371" s="50" t="s">
        <v>622</v>
      </c>
      <c r="BF371" s="50" t="s">
        <v>730</v>
      </c>
      <c r="BG371" s="50" t="s">
        <v>124</v>
      </c>
      <c r="BH371" s="50" t="s">
        <v>16818</v>
      </c>
      <c r="BI371" s="50" t="s">
        <v>11889</v>
      </c>
      <c r="BJ371" s="50" t="s">
        <v>127</v>
      </c>
      <c r="BK371" s="50" t="s">
        <v>16819</v>
      </c>
      <c r="BL371" s="50" t="s">
        <v>7268</v>
      </c>
      <c r="BM371" s="50" t="s">
        <v>16820</v>
      </c>
      <c r="BN371" s="50" t="s">
        <v>16808</v>
      </c>
      <c r="BO371" s="50" t="s">
        <v>3606</v>
      </c>
      <c r="BP371" s="50" t="s">
        <v>350</v>
      </c>
      <c r="BQ371" s="50" t="s">
        <v>3607</v>
      </c>
      <c r="BR371" s="50" t="s">
        <v>3608</v>
      </c>
      <c r="BS371" s="50" t="s">
        <v>2525</v>
      </c>
      <c r="BU371" s="50" t="s">
        <v>16821</v>
      </c>
      <c r="BV371" s="50" t="s">
        <v>16822</v>
      </c>
      <c r="BW371" s="50" t="s">
        <v>354</v>
      </c>
      <c r="BX371" s="50" t="s">
        <v>7274</v>
      </c>
      <c r="BY371" s="50" t="s">
        <v>10188</v>
      </c>
      <c r="BZ371" s="50" t="s">
        <v>7274</v>
      </c>
      <c r="CA371" s="50" t="s">
        <v>16823</v>
      </c>
      <c r="CB371" s="50" t="s">
        <v>16824</v>
      </c>
      <c r="CC371" s="50" t="s">
        <v>16825</v>
      </c>
      <c r="CD371" s="50" t="s">
        <v>16826</v>
      </c>
      <c r="CE371" s="50" t="s">
        <v>16827</v>
      </c>
      <c r="CF371" s="50" t="s">
        <v>16828</v>
      </c>
      <c r="CG371" s="50" t="s">
        <v>102</v>
      </c>
      <c r="CH371" s="50" t="s">
        <v>7281</v>
      </c>
      <c r="CJ371" s="50" t="s">
        <v>7282</v>
      </c>
      <c r="CL371" s="50" t="s">
        <v>7266</v>
      </c>
      <c r="CM371" s="50" t="s">
        <v>730</v>
      </c>
      <c r="CN371" s="50" t="s">
        <v>7282</v>
      </c>
      <c r="CP371" s="50" t="s">
        <v>7281</v>
      </c>
      <c r="CQ371" s="50" t="s">
        <v>7281</v>
      </c>
    </row>
    <row r="372" spans="1:96">
      <c r="A372" s="95" t="s">
        <v>149</v>
      </c>
      <c r="B372" s="50">
        <v>1649456</v>
      </c>
      <c r="C372" s="50" t="s">
        <v>12121</v>
      </c>
      <c r="D372" s="50" t="s">
        <v>1421</v>
      </c>
      <c r="E372" s="50" t="e">
        <f>VLOOKUP(B372,aa!B:F,5,0)</f>
        <v>#N/A</v>
      </c>
      <c r="F372" s="50" t="e">
        <f>VLOOKUP(B372,aa!B:J,9,0)</f>
        <v>#N/A</v>
      </c>
      <c r="G372" s="50" t="e">
        <f>VLOOKUP(B372,aa!B:L,11,0)</f>
        <v>#N/A</v>
      </c>
      <c r="H372" s="50" t="e">
        <f>VLOOKUP(B372,aa!B:O,14,0)</f>
        <v>#N/A</v>
      </c>
      <c r="I372" s="50" t="e">
        <f>VLOOKUP(B372,aa!B:R,17,0)</f>
        <v>#N/A</v>
      </c>
      <c r="K372" s="50" t="s">
        <v>152</v>
      </c>
      <c r="L372" s="50">
        <v>1015162</v>
      </c>
      <c r="M372" s="50">
        <v>1015162</v>
      </c>
      <c r="N372" s="50">
        <v>0</v>
      </c>
      <c r="O372" s="50">
        <v>0</v>
      </c>
      <c r="Q372" s="50">
        <v>1015162</v>
      </c>
      <c r="R372" s="50">
        <v>752</v>
      </c>
      <c r="S372" s="50" t="s">
        <v>397</v>
      </c>
      <c r="T372" s="50">
        <v>0</v>
      </c>
      <c r="U372" s="50">
        <v>0</v>
      </c>
      <c r="W372" s="50" t="s">
        <v>102</v>
      </c>
      <c r="X372" s="50" t="s">
        <v>103</v>
      </c>
      <c r="Y372" s="50" t="s">
        <v>155</v>
      </c>
      <c r="AA372" s="50" t="s">
        <v>11976</v>
      </c>
      <c r="AB372" s="50" t="s">
        <v>12727</v>
      </c>
      <c r="AC372" s="50" t="s">
        <v>12082</v>
      </c>
      <c r="AD372" s="50" t="s">
        <v>12727</v>
      </c>
      <c r="AE372" s="50" t="s">
        <v>5651</v>
      </c>
      <c r="AF372" s="50" t="s">
        <v>12727</v>
      </c>
      <c r="AG372" s="50" t="s">
        <v>11888</v>
      </c>
      <c r="AH372" s="50" t="s">
        <v>12727</v>
      </c>
      <c r="AI372" s="50" t="s">
        <v>102</v>
      </c>
      <c r="AJ372" s="50" t="s">
        <v>12728</v>
      </c>
      <c r="AK372" s="50" t="s">
        <v>12729</v>
      </c>
      <c r="AL372" s="50" t="s">
        <v>12730</v>
      </c>
      <c r="AM372" s="50" t="s">
        <v>12731</v>
      </c>
      <c r="AN372" s="50" t="s">
        <v>12732</v>
      </c>
      <c r="AO372" s="50" t="s">
        <v>12733</v>
      </c>
      <c r="AP372" s="50" t="s">
        <v>12733</v>
      </c>
      <c r="AU372" s="50" t="s">
        <v>102</v>
      </c>
      <c r="AW372" s="50" t="s">
        <v>155</v>
      </c>
      <c r="AX372" s="50" t="s">
        <v>119</v>
      </c>
      <c r="AY372" s="50" t="s">
        <v>170</v>
      </c>
      <c r="AZ372" s="50" t="s">
        <v>118</v>
      </c>
      <c r="BB372" s="50" t="s">
        <v>120</v>
      </c>
      <c r="BC372" s="50" t="s">
        <v>1433</v>
      </c>
      <c r="BD372" s="50" t="s">
        <v>556</v>
      </c>
      <c r="BE372" s="50" t="s">
        <v>122</v>
      </c>
      <c r="BF372" s="50" t="s">
        <v>557</v>
      </c>
      <c r="BG372" s="50" t="s">
        <v>124</v>
      </c>
      <c r="BH372" s="50" t="s">
        <v>11959</v>
      </c>
      <c r="BI372" s="50" t="s">
        <v>11889</v>
      </c>
      <c r="BJ372" s="50" t="s">
        <v>127</v>
      </c>
      <c r="BK372" s="50" t="s">
        <v>12734</v>
      </c>
      <c r="BL372" s="50" t="s">
        <v>1435</v>
      </c>
      <c r="BM372" s="50" t="s">
        <v>12735</v>
      </c>
      <c r="BN372" s="50" t="s">
        <v>7439</v>
      </c>
      <c r="BO372" s="50" t="s">
        <v>1142</v>
      </c>
      <c r="BP372" s="50" t="s">
        <v>350</v>
      </c>
      <c r="BQ372" s="50" t="s">
        <v>1143</v>
      </c>
      <c r="BR372" s="50" t="s">
        <v>1144</v>
      </c>
      <c r="BS372" s="50" t="s">
        <v>566</v>
      </c>
      <c r="BU372" s="50" t="s">
        <v>12736</v>
      </c>
      <c r="BV372" s="50" t="s">
        <v>1438</v>
      </c>
      <c r="BW372" s="50" t="s">
        <v>138</v>
      </c>
      <c r="BX372" s="50" t="s">
        <v>1439</v>
      </c>
      <c r="BY372" s="50" t="s">
        <v>1440</v>
      </c>
      <c r="BZ372" s="50" t="s">
        <v>1441</v>
      </c>
      <c r="CA372" s="50" t="s">
        <v>1438</v>
      </c>
      <c r="CB372" s="50" t="s">
        <v>1439</v>
      </c>
      <c r="CC372" s="50" t="s">
        <v>1440</v>
      </c>
      <c r="CD372" s="50" t="s">
        <v>1438</v>
      </c>
      <c r="CE372" s="50" t="s">
        <v>1439</v>
      </c>
      <c r="CF372" s="50" t="s">
        <v>1440</v>
      </c>
      <c r="CG372" s="50" t="s">
        <v>102</v>
      </c>
      <c r="CH372" s="50" t="s">
        <v>1421</v>
      </c>
      <c r="CJ372" s="50" t="s">
        <v>1445</v>
      </c>
      <c r="CL372" s="50" t="s">
        <v>1433</v>
      </c>
      <c r="CM372" s="50" t="s">
        <v>556</v>
      </c>
      <c r="CN372" s="50" t="s">
        <v>1445</v>
      </c>
      <c r="CP372" s="50" t="s">
        <v>1444</v>
      </c>
      <c r="CQ372" s="50" t="s">
        <v>1444</v>
      </c>
    </row>
    <row r="373" spans="1:96">
      <c r="A373" s="95" t="s">
        <v>26356</v>
      </c>
      <c r="B373" s="50">
        <v>5002504</v>
      </c>
      <c r="C373" s="50" t="s">
        <v>18464</v>
      </c>
      <c r="D373" s="50" t="s">
        <v>9076</v>
      </c>
      <c r="E373" s="50" t="e">
        <f>VLOOKUP(B373,aa!B:F,5,0)</f>
        <v>#N/A</v>
      </c>
      <c r="F373" s="50" t="e">
        <f>VLOOKUP(B373,aa!B:J,9,0)</f>
        <v>#N/A</v>
      </c>
      <c r="G373" s="50" t="e">
        <f>VLOOKUP(B373,aa!B:L,11,0)</f>
        <v>#N/A</v>
      </c>
      <c r="H373" s="50" t="e">
        <f>VLOOKUP(B373,aa!B:O,14,0)</f>
        <v>#N/A</v>
      </c>
      <c r="I373" s="50" t="e">
        <f>VLOOKUP(B373,aa!B:R,17,0)</f>
        <v>#N/A</v>
      </c>
      <c r="K373" s="50" t="s">
        <v>1746</v>
      </c>
      <c r="L373" s="50">
        <v>0</v>
      </c>
      <c r="M373" s="50">
        <v>0</v>
      </c>
      <c r="N373" s="50">
        <v>0</v>
      </c>
      <c r="O373" s="50">
        <v>385</v>
      </c>
      <c r="P373" s="50" t="s">
        <v>102</v>
      </c>
      <c r="Q373" s="50">
        <v>0</v>
      </c>
      <c r="R373" s="50">
        <v>385</v>
      </c>
      <c r="S373" s="50" t="s">
        <v>102</v>
      </c>
      <c r="T373" s="50">
        <v>0</v>
      </c>
      <c r="U373" s="50">
        <v>525</v>
      </c>
      <c r="V373" s="50" t="s">
        <v>102</v>
      </c>
      <c r="W373" s="50" t="s">
        <v>102</v>
      </c>
      <c r="X373" s="50" t="s">
        <v>275</v>
      </c>
      <c r="Z373" s="50" t="s">
        <v>12819</v>
      </c>
      <c r="AA373" s="50" t="s">
        <v>109</v>
      </c>
      <c r="AB373" s="50" t="s">
        <v>102</v>
      </c>
      <c r="AC373" s="50" t="s">
        <v>109</v>
      </c>
      <c r="AD373" s="50" t="s">
        <v>102</v>
      </c>
      <c r="AE373" s="50" t="s">
        <v>109</v>
      </c>
      <c r="AF373" s="50" t="s">
        <v>102</v>
      </c>
      <c r="AG373" s="50" t="s">
        <v>109</v>
      </c>
      <c r="AH373" s="50" t="s">
        <v>102</v>
      </c>
      <c r="AI373" s="50" t="s">
        <v>102</v>
      </c>
      <c r="AL373" s="50" t="s">
        <v>102</v>
      </c>
      <c r="AM373" s="50" t="s">
        <v>102</v>
      </c>
      <c r="AN373" s="50" t="s">
        <v>102</v>
      </c>
      <c r="AO373" s="50" t="s">
        <v>115</v>
      </c>
      <c r="AP373" s="50" t="s">
        <v>115</v>
      </c>
      <c r="AU373" s="50" t="s">
        <v>6700</v>
      </c>
      <c r="AV373" s="50" t="s">
        <v>250</v>
      </c>
      <c r="AW373" s="50" t="s">
        <v>155</v>
      </c>
      <c r="AX373" s="50" t="s">
        <v>119</v>
      </c>
      <c r="AZ373" s="50" t="s">
        <v>250</v>
      </c>
      <c r="BA373" s="50" t="s">
        <v>250</v>
      </c>
      <c r="BB373" s="50" t="s">
        <v>120</v>
      </c>
      <c r="BC373" s="50" t="s">
        <v>9082</v>
      </c>
      <c r="BD373" s="50" t="s">
        <v>1244</v>
      </c>
      <c r="BE373" s="50" t="s">
        <v>122</v>
      </c>
      <c r="BF373" s="50" t="s">
        <v>1244</v>
      </c>
      <c r="BG373" s="50" t="s">
        <v>124</v>
      </c>
      <c r="BH373" s="50" t="s">
        <v>6715</v>
      </c>
      <c r="BI373" s="50" t="s">
        <v>11889</v>
      </c>
      <c r="BJ373" s="50" t="s">
        <v>127</v>
      </c>
      <c r="BK373" s="50" t="s">
        <v>18465</v>
      </c>
      <c r="BL373" s="50" t="s">
        <v>9085</v>
      </c>
      <c r="BM373" s="50" t="s">
        <v>18466</v>
      </c>
      <c r="BN373" s="50" t="s">
        <v>7439</v>
      </c>
      <c r="BO373" s="50" t="s">
        <v>18467</v>
      </c>
      <c r="BP373" s="50" t="s">
        <v>505</v>
      </c>
      <c r="BQ373" s="50" t="s">
        <v>18468</v>
      </c>
      <c r="BR373" s="50" t="s">
        <v>18469</v>
      </c>
      <c r="BS373" s="50" t="s">
        <v>261</v>
      </c>
      <c r="BU373" s="50" t="s">
        <v>18470</v>
      </c>
      <c r="BV373" s="50" t="s">
        <v>18471</v>
      </c>
      <c r="BW373" s="50" t="s">
        <v>354</v>
      </c>
      <c r="BX373" s="50" t="s">
        <v>10448</v>
      </c>
      <c r="BY373" s="50" t="s">
        <v>9098</v>
      </c>
      <c r="BZ373" s="50" t="s">
        <v>9095</v>
      </c>
      <c r="CA373" s="50" t="s">
        <v>18471</v>
      </c>
      <c r="CB373" s="50" t="s">
        <v>10448</v>
      </c>
      <c r="CC373" s="50" t="s">
        <v>9098</v>
      </c>
      <c r="CD373" s="50" t="s">
        <v>18471</v>
      </c>
      <c r="CE373" s="50" t="s">
        <v>10448</v>
      </c>
      <c r="CF373" s="50" t="s">
        <v>9098</v>
      </c>
      <c r="CG373" s="50" t="s">
        <v>102</v>
      </c>
      <c r="CH373" s="50" t="s">
        <v>18472</v>
      </c>
      <c r="CJ373" s="50" t="s">
        <v>9102</v>
      </c>
      <c r="CL373" s="50" t="s">
        <v>9082</v>
      </c>
      <c r="CM373" s="50" t="s">
        <v>1244</v>
      </c>
      <c r="CN373" s="50" t="s">
        <v>9102</v>
      </c>
      <c r="CP373" s="50" t="s">
        <v>9103</v>
      </c>
      <c r="CQ373" s="50" t="s">
        <v>9103</v>
      </c>
    </row>
    <row r="374" spans="1:96">
      <c r="A374" s="50" t="s">
        <v>93</v>
      </c>
      <c r="B374" s="50">
        <v>5044593</v>
      </c>
      <c r="C374" s="50" t="s">
        <v>632</v>
      </c>
      <c r="D374" s="50" t="s">
        <v>20409</v>
      </c>
      <c r="E374" s="50" t="e">
        <f>VLOOKUP(B374,aa!B:F,5,0)</f>
        <v>#N/A</v>
      </c>
      <c r="F374" s="50" t="e">
        <f>VLOOKUP(B374,aa!B:J,9,0)</f>
        <v>#N/A</v>
      </c>
      <c r="G374" s="50" t="e">
        <f>VLOOKUP(B374,aa!B:L,11,0)</f>
        <v>#N/A</v>
      </c>
      <c r="H374" s="50" t="e">
        <f>VLOOKUP(B374,aa!B:O,14,0)</f>
        <v>#N/A</v>
      </c>
      <c r="I374" s="50" t="e">
        <f>VLOOKUP(B374,aa!B:R,17,0)</f>
        <v>#N/A</v>
      </c>
      <c r="K374" s="50" t="s">
        <v>152</v>
      </c>
      <c r="L374" s="50">
        <v>112206</v>
      </c>
      <c r="M374" s="50">
        <v>112206</v>
      </c>
      <c r="N374" s="50">
        <v>0</v>
      </c>
      <c r="O374" s="50">
        <v>0</v>
      </c>
      <c r="Q374" s="50">
        <v>112206</v>
      </c>
      <c r="R374" s="50">
        <v>187</v>
      </c>
      <c r="S374" s="50" t="s">
        <v>310</v>
      </c>
      <c r="T374" s="50">
        <v>0</v>
      </c>
      <c r="U374" s="50">
        <v>0</v>
      </c>
      <c r="W374" s="50" t="s">
        <v>102</v>
      </c>
      <c r="X374" s="50" t="s">
        <v>103</v>
      </c>
      <c r="Y374" s="50" t="s">
        <v>398</v>
      </c>
      <c r="AA374" s="50" t="s">
        <v>12890</v>
      </c>
      <c r="AB374" s="50" t="s">
        <v>20410</v>
      </c>
      <c r="AC374" s="50" t="s">
        <v>12800</v>
      </c>
      <c r="AD374" s="50" t="s">
        <v>20411</v>
      </c>
      <c r="AE374" s="50" t="s">
        <v>12713</v>
      </c>
      <c r="AF374" s="50" t="s">
        <v>20410</v>
      </c>
      <c r="AG374" s="50" t="s">
        <v>109</v>
      </c>
      <c r="AH374" s="50" t="s">
        <v>102</v>
      </c>
      <c r="AI374" s="50" t="s">
        <v>102</v>
      </c>
      <c r="AJ374" s="50" t="s">
        <v>1408</v>
      </c>
      <c r="AK374" s="50" t="s">
        <v>19723</v>
      </c>
      <c r="AL374" s="50" t="s">
        <v>20412</v>
      </c>
      <c r="AM374" s="50" t="s">
        <v>20413</v>
      </c>
      <c r="AN374" s="50" t="s">
        <v>20414</v>
      </c>
      <c r="AO374" s="50" t="s">
        <v>3677</v>
      </c>
      <c r="AP374" s="50" t="s">
        <v>3677</v>
      </c>
      <c r="AU374" s="50" t="s">
        <v>102</v>
      </c>
      <c r="AW374" s="50" t="s">
        <v>104</v>
      </c>
      <c r="AX374" s="50" t="s">
        <v>119</v>
      </c>
      <c r="AY374" s="50" t="s">
        <v>170</v>
      </c>
      <c r="AZ374" s="50" t="s">
        <v>118</v>
      </c>
      <c r="BB374" s="50" t="s">
        <v>18534</v>
      </c>
      <c r="BC374" s="50" t="s">
        <v>623</v>
      </c>
      <c r="BD374" s="50" t="s">
        <v>621</v>
      </c>
      <c r="BE374" s="50" t="s">
        <v>622</v>
      </c>
      <c r="BF374" s="50" t="s">
        <v>623</v>
      </c>
      <c r="BG374" s="50" t="s">
        <v>124</v>
      </c>
      <c r="BH374" s="50" t="s">
        <v>11976</v>
      </c>
      <c r="BI374" s="50" t="s">
        <v>12047</v>
      </c>
      <c r="BJ374" s="50" t="s">
        <v>127</v>
      </c>
      <c r="BK374" s="50" t="s">
        <v>20415</v>
      </c>
      <c r="BL374" s="50" t="s">
        <v>20416</v>
      </c>
      <c r="BM374" s="50" t="s">
        <v>20417</v>
      </c>
      <c r="BN374" s="50" t="s">
        <v>7439</v>
      </c>
      <c r="BO374" s="50" t="s">
        <v>2284</v>
      </c>
      <c r="BP374" s="50" t="s">
        <v>180</v>
      </c>
      <c r="BQ374" s="50" t="s">
        <v>2285</v>
      </c>
      <c r="BR374" s="50" t="s">
        <v>2286</v>
      </c>
      <c r="BS374" s="50" t="s">
        <v>1342</v>
      </c>
      <c r="BU374" s="50" t="s">
        <v>20418</v>
      </c>
      <c r="BV374" s="50" t="s">
        <v>20419</v>
      </c>
      <c r="BW374" s="50" t="s">
        <v>138</v>
      </c>
      <c r="BX374" s="50" t="s">
        <v>20420</v>
      </c>
      <c r="BY374" s="50" t="s">
        <v>20421</v>
      </c>
      <c r="BZ374" s="50" t="s">
        <v>20420</v>
      </c>
      <c r="CA374" s="50" t="s">
        <v>20422</v>
      </c>
      <c r="CB374" s="50" t="s">
        <v>20420</v>
      </c>
      <c r="CC374" s="50" t="s">
        <v>20421</v>
      </c>
      <c r="CD374" s="50" t="s">
        <v>20422</v>
      </c>
      <c r="CE374" s="50" t="s">
        <v>20420</v>
      </c>
      <c r="CF374" s="50" t="s">
        <v>20421</v>
      </c>
      <c r="CG374" s="50" t="s">
        <v>14701</v>
      </c>
      <c r="CH374" s="50" t="s">
        <v>20423</v>
      </c>
      <c r="CJ374" s="50" t="s">
        <v>3177</v>
      </c>
      <c r="CK374" s="50" t="s">
        <v>20423</v>
      </c>
      <c r="CL374" s="50" t="s">
        <v>623</v>
      </c>
      <c r="CM374" s="50" t="s">
        <v>621</v>
      </c>
      <c r="CN374" s="50" t="s">
        <v>3177</v>
      </c>
      <c r="CP374" s="50" t="s">
        <v>20423</v>
      </c>
      <c r="CQ374" s="50" t="s">
        <v>20423</v>
      </c>
    </row>
    <row r="375" spans="1:96">
      <c r="A375" s="95" t="s">
        <v>149</v>
      </c>
      <c r="B375" s="50">
        <v>522044</v>
      </c>
      <c r="C375" s="50" t="s">
        <v>985</v>
      </c>
      <c r="D375" s="50" t="s">
        <v>10912</v>
      </c>
      <c r="E375" s="50" t="e">
        <f>VLOOKUP(B375,aa!B:F,5,0)</f>
        <v>#N/A</v>
      </c>
      <c r="F375" s="50" t="e">
        <f>VLOOKUP(B375,aa!B:J,9,0)</f>
        <v>#N/A</v>
      </c>
      <c r="G375" s="50" t="e">
        <f>VLOOKUP(B375,aa!B:L,11,0)</f>
        <v>#N/A</v>
      </c>
      <c r="H375" s="50" t="e">
        <f>VLOOKUP(B375,aa!B:O,14,0)</f>
        <v>#N/A</v>
      </c>
      <c r="I375" s="50" t="e">
        <f>VLOOKUP(B375,aa!B:R,17,0)</f>
        <v>#N/A</v>
      </c>
      <c r="K375" s="50" t="s">
        <v>643</v>
      </c>
      <c r="L375" s="50">
        <v>2138114</v>
      </c>
      <c r="M375" s="50">
        <v>2288993</v>
      </c>
      <c r="N375" s="50">
        <v>0</v>
      </c>
      <c r="O375" s="50">
        <v>0</v>
      </c>
      <c r="Q375" s="50">
        <v>1299900</v>
      </c>
      <c r="R375" s="50">
        <v>619</v>
      </c>
      <c r="S375" s="50" t="s">
        <v>2987</v>
      </c>
      <c r="T375" s="50">
        <v>838214</v>
      </c>
      <c r="U375" s="50">
        <v>471</v>
      </c>
      <c r="V375" s="50" t="s">
        <v>4042</v>
      </c>
      <c r="W375" s="50" t="s">
        <v>102</v>
      </c>
      <c r="X375" s="50" t="s">
        <v>103</v>
      </c>
      <c r="Y375" s="50" t="s">
        <v>155</v>
      </c>
      <c r="AA375" s="50" t="s">
        <v>12819</v>
      </c>
      <c r="AB375" s="50" t="s">
        <v>21005</v>
      </c>
      <c r="AC375" s="50" t="s">
        <v>12888</v>
      </c>
      <c r="AD375" s="50" t="s">
        <v>21005</v>
      </c>
      <c r="AE375" s="50" t="s">
        <v>1427</v>
      </c>
      <c r="AF375" s="50" t="s">
        <v>21005</v>
      </c>
      <c r="AG375" s="50" t="s">
        <v>11886</v>
      </c>
      <c r="AH375" s="50" t="s">
        <v>21005</v>
      </c>
      <c r="AI375" s="50" t="s">
        <v>21006</v>
      </c>
      <c r="AJ375" s="50" t="s">
        <v>21007</v>
      </c>
      <c r="AK375" s="50" t="s">
        <v>21008</v>
      </c>
      <c r="AL375" s="50" t="s">
        <v>21009</v>
      </c>
      <c r="AM375" s="50" t="s">
        <v>21010</v>
      </c>
      <c r="AN375" s="50" t="s">
        <v>21011</v>
      </c>
      <c r="AO375" s="50" t="s">
        <v>21012</v>
      </c>
      <c r="AP375" s="50" t="s">
        <v>21012</v>
      </c>
      <c r="AU375" s="50" t="s">
        <v>102</v>
      </c>
      <c r="AW375" s="50" t="s">
        <v>3536</v>
      </c>
      <c r="AX375" s="50" t="s">
        <v>119</v>
      </c>
      <c r="AZ375" s="50" t="s">
        <v>250</v>
      </c>
      <c r="BA375" s="50" t="s">
        <v>250</v>
      </c>
      <c r="BB375" s="50" t="s">
        <v>171</v>
      </c>
      <c r="BC375" s="50" t="s">
        <v>2127</v>
      </c>
      <c r="BD375" s="50" t="s">
        <v>621</v>
      </c>
      <c r="BE375" s="50" t="s">
        <v>622</v>
      </c>
      <c r="BF375" s="50" t="s">
        <v>976</v>
      </c>
      <c r="BG375" s="50" t="s">
        <v>124</v>
      </c>
      <c r="BH375" s="50" t="s">
        <v>11932</v>
      </c>
      <c r="BI375" s="50" t="s">
        <v>11960</v>
      </c>
      <c r="BJ375" s="50" t="s">
        <v>127</v>
      </c>
      <c r="BK375" s="50" t="s">
        <v>21013</v>
      </c>
      <c r="BL375" s="50" t="s">
        <v>10924</v>
      </c>
      <c r="BM375" s="50" t="s">
        <v>21014</v>
      </c>
      <c r="BN375" s="50" t="s">
        <v>11932</v>
      </c>
      <c r="BO375" s="50" t="s">
        <v>981</v>
      </c>
      <c r="BP375" s="50" t="s">
        <v>132</v>
      </c>
      <c r="BQ375" s="50" t="s">
        <v>982</v>
      </c>
      <c r="BR375" s="50" t="s">
        <v>983</v>
      </c>
      <c r="BS375" s="50" t="s">
        <v>984</v>
      </c>
      <c r="BU375" s="50" t="s">
        <v>21015</v>
      </c>
      <c r="BV375" s="50" t="s">
        <v>10927</v>
      </c>
      <c r="BX375" s="50" t="s">
        <v>10928</v>
      </c>
      <c r="BY375" s="50" t="s">
        <v>10929</v>
      </c>
      <c r="BZ375" s="50" t="s">
        <v>10930</v>
      </c>
      <c r="CA375" s="50" t="s">
        <v>10927</v>
      </c>
      <c r="CB375" s="50" t="s">
        <v>10928</v>
      </c>
      <c r="CC375" s="50" t="s">
        <v>10929</v>
      </c>
      <c r="CD375" s="50" t="s">
        <v>21016</v>
      </c>
      <c r="CE375" s="50" t="s">
        <v>21017</v>
      </c>
      <c r="CF375" s="50" t="s">
        <v>21018</v>
      </c>
      <c r="CG375" s="50" t="s">
        <v>102</v>
      </c>
      <c r="CH375" s="50" t="s">
        <v>21019</v>
      </c>
      <c r="CJ375" s="50" t="s">
        <v>9544</v>
      </c>
      <c r="CL375" s="50" t="s">
        <v>2127</v>
      </c>
      <c r="CM375" s="50" t="s">
        <v>621</v>
      </c>
      <c r="CN375" s="50" t="s">
        <v>9544</v>
      </c>
      <c r="CO375" s="50" t="s">
        <v>10932</v>
      </c>
      <c r="CP375" s="50" t="s">
        <v>10931</v>
      </c>
      <c r="CQ375" s="50" t="s">
        <v>10931</v>
      </c>
      <c r="CR375" s="50" t="s">
        <v>26044</v>
      </c>
    </row>
    <row r="376" spans="1:96">
      <c r="A376" s="95" t="s">
        <v>149</v>
      </c>
      <c r="B376" s="50">
        <v>2546862</v>
      </c>
      <c r="C376" s="50" t="s">
        <v>11995</v>
      </c>
      <c r="D376" s="50" t="s">
        <v>3984</v>
      </c>
      <c r="E376" s="50" t="e">
        <f>VLOOKUP(B376,aa!B:F,5,0)</f>
        <v>#N/A</v>
      </c>
      <c r="F376" s="50" t="e">
        <f>VLOOKUP(B376,aa!B:J,9,0)</f>
        <v>#N/A</v>
      </c>
      <c r="G376" s="50" t="e">
        <f>VLOOKUP(B376,aa!B:L,11,0)</f>
        <v>#N/A</v>
      </c>
      <c r="H376" s="50" t="e">
        <f>VLOOKUP(B376,aa!B:O,14,0)</f>
        <v>#N/A</v>
      </c>
      <c r="I376" s="50" t="e">
        <f>VLOOKUP(B376,aa!B:R,17,0)</f>
        <v>#N/A</v>
      </c>
      <c r="K376" s="50" t="s">
        <v>97</v>
      </c>
      <c r="L376" s="50">
        <v>389928</v>
      </c>
      <c r="M376" s="50">
        <v>389928</v>
      </c>
      <c r="N376" s="50">
        <v>389928</v>
      </c>
      <c r="O376" s="50">
        <v>557</v>
      </c>
      <c r="P376" s="50" t="s">
        <v>799</v>
      </c>
      <c r="Q376" s="50">
        <v>0</v>
      </c>
      <c r="R376" s="50">
        <v>0</v>
      </c>
      <c r="T376" s="50">
        <v>0</v>
      </c>
      <c r="U376" s="50">
        <v>0</v>
      </c>
      <c r="W376" s="50" t="s">
        <v>102</v>
      </c>
      <c r="X376" s="50" t="s">
        <v>103</v>
      </c>
      <c r="Y376" s="50" t="s">
        <v>104</v>
      </c>
      <c r="AA376" s="50" t="s">
        <v>12737</v>
      </c>
      <c r="AB376" s="50" t="s">
        <v>14453</v>
      </c>
      <c r="AC376" s="50" t="s">
        <v>14415</v>
      </c>
      <c r="AD376" s="50" t="s">
        <v>14453</v>
      </c>
      <c r="AE376" s="50" t="s">
        <v>109</v>
      </c>
      <c r="AF376" s="50" t="s">
        <v>102</v>
      </c>
      <c r="AG376" s="50" t="s">
        <v>109</v>
      </c>
      <c r="AH376" s="50" t="s">
        <v>102</v>
      </c>
      <c r="AI376" s="50" t="s">
        <v>14454</v>
      </c>
      <c r="AJ376" s="50" t="s">
        <v>13244</v>
      </c>
      <c r="AK376" s="50" t="s">
        <v>14455</v>
      </c>
      <c r="AL376" s="50" t="s">
        <v>14456</v>
      </c>
      <c r="AM376" s="50" t="s">
        <v>14457</v>
      </c>
      <c r="AN376" s="50" t="s">
        <v>102</v>
      </c>
      <c r="AO376" s="50" t="s">
        <v>3305</v>
      </c>
      <c r="AP376" s="50" t="s">
        <v>3305</v>
      </c>
      <c r="AU376" s="50" t="s">
        <v>117</v>
      </c>
      <c r="AV376" s="50" t="s">
        <v>118</v>
      </c>
      <c r="AW376" s="50" t="s">
        <v>102</v>
      </c>
      <c r="AX376" s="50" t="s">
        <v>119</v>
      </c>
      <c r="BB376" s="50" t="s">
        <v>120</v>
      </c>
      <c r="BC376" s="50" t="s">
        <v>284</v>
      </c>
      <c r="BD376" s="50" t="s">
        <v>285</v>
      </c>
      <c r="BE376" s="50" t="s">
        <v>212</v>
      </c>
      <c r="BF376" s="50" t="s">
        <v>286</v>
      </c>
      <c r="BG376" s="50" t="s">
        <v>124</v>
      </c>
      <c r="BH376" s="50" t="s">
        <v>11959</v>
      </c>
      <c r="BI376" s="50" t="s">
        <v>11960</v>
      </c>
      <c r="BJ376" s="50" t="s">
        <v>127</v>
      </c>
      <c r="BK376" s="50" t="s">
        <v>14458</v>
      </c>
      <c r="BL376" s="50" t="s">
        <v>3995</v>
      </c>
      <c r="BM376" s="50" t="s">
        <v>14459</v>
      </c>
      <c r="BN376" s="50" t="s">
        <v>12819</v>
      </c>
      <c r="BO376" s="50" t="s">
        <v>3997</v>
      </c>
      <c r="BP376" s="50" t="s">
        <v>132</v>
      </c>
      <c r="BQ376" s="50" t="s">
        <v>3998</v>
      </c>
      <c r="BR376" s="50" t="s">
        <v>3999</v>
      </c>
      <c r="BS376" s="50" t="s">
        <v>3362</v>
      </c>
      <c r="BU376" s="50" t="s">
        <v>14460</v>
      </c>
      <c r="BV376" s="50" t="s">
        <v>14461</v>
      </c>
      <c r="BW376" s="50" t="s">
        <v>138</v>
      </c>
      <c r="BX376" s="50" t="s">
        <v>4002</v>
      </c>
      <c r="BY376" s="50" t="s">
        <v>4003</v>
      </c>
      <c r="BZ376" s="50" t="s">
        <v>4002</v>
      </c>
      <c r="CA376" s="50" t="s">
        <v>14462</v>
      </c>
      <c r="CB376" s="50" t="s">
        <v>4002</v>
      </c>
      <c r="CC376" s="50" t="s">
        <v>4003</v>
      </c>
      <c r="CD376" s="50" t="s">
        <v>14463</v>
      </c>
      <c r="CE376" s="50" t="s">
        <v>14464</v>
      </c>
      <c r="CF376" s="50" t="s">
        <v>14465</v>
      </c>
      <c r="CG376" s="50" t="s">
        <v>573</v>
      </c>
      <c r="CH376" s="50" t="s">
        <v>14466</v>
      </c>
      <c r="CJ376" s="50" t="s">
        <v>4005</v>
      </c>
      <c r="CK376" s="50" t="s">
        <v>4004</v>
      </c>
      <c r="CL376" s="50" t="s">
        <v>284</v>
      </c>
      <c r="CM376" s="50" t="s">
        <v>285</v>
      </c>
      <c r="CN376" s="50" t="s">
        <v>4005</v>
      </c>
      <c r="CO376" s="50" t="s">
        <v>4006</v>
      </c>
      <c r="CP376" s="50" t="s">
        <v>4004</v>
      </c>
      <c r="CQ376" s="50" t="s">
        <v>4004</v>
      </c>
      <c r="CR376" s="50" t="s">
        <v>26044</v>
      </c>
    </row>
    <row r="377" spans="1:96">
      <c r="A377" s="95" t="s">
        <v>149</v>
      </c>
      <c r="B377" s="50">
        <v>24299</v>
      </c>
      <c r="C377" s="50" t="s">
        <v>11947</v>
      </c>
      <c r="D377" s="50" t="s">
        <v>3300</v>
      </c>
      <c r="E377" s="50" t="e">
        <f>VLOOKUP(B377,aa!B:F,5,0)</f>
        <v>#N/A</v>
      </c>
      <c r="F377" s="50" t="e">
        <f>VLOOKUP(B377,aa!B:J,9,0)</f>
        <v>#N/A</v>
      </c>
      <c r="G377" s="50" t="e">
        <f>VLOOKUP(B377,aa!B:L,11,0)</f>
        <v>#N/A</v>
      </c>
      <c r="H377" s="50" t="e">
        <f>VLOOKUP(B377,aa!B:O,14,0)</f>
        <v>#N/A</v>
      </c>
      <c r="I377" s="50" t="e">
        <f>VLOOKUP(B377,aa!B:R,17,0)</f>
        <v>#N/A</v>
      </c>
      <c r="K377" s="50" t="s">
        <v>97</v>
      </c>
      <c r="L377" s="50">
        <v>55436</v>
      </c>
      <c r="M377" s="50">
        <v>55436</v>
      </c>
      <c r="N377" s="50">
        <v>55436</v>
      </c>
      <c r="O377" s="50">
        <v>72</v>
      </c>
      <c r="P377" s="50" t="s">
        <v>13937</v>
      </c>
      <c r="Q377" s="50">
        <v>0</v>
      </c>
      <c r="R377" s="50">
        <v>0</v>
      </c>
      <c r="T377" s="50">
        <v>0</v>
      </c>
      <c r="U377" s="50">
        <v>0</v>
      </c>
      <c r="W377" s="50" t="s">
        <v>102</v>
      </c>
      <c r="X377" s="50" t="s">
        <v>275</v>
      </c>
      <c r="Z377" s="50" t="s">
        <v>12911</v>
      </c>
      <c r="AA377" s="50" t="s">
        <v>109</v>
      </c>
      <c r="AB377" s="50" t="s">
        <v>102</v>
      </c>
      <c r="AC377" s="50" t="s">
        <v>109</v>
      </c>
      <c r="AD377" s="50" t="s">
        <v>102</v>
      </c>
      <c r="AE377" s="50" t="s">
        <v>109</v>
      </c>
      <c r="AF377" s="50" t="s">
        <v>102</v>
      </c>
      <c r="AG377" s="50" t="s">
        <v>109</v>
      </c>
      <c r="AH377" s="50" t="s">
        <v>102</v>
      </c>
      <c r="AI377" s="50" t="s">
        <v>102</v>
      </c>
      <c r="AJ377" s="50" t="s">
        <v>1165</v>
      </c>
      <c r="AK377" s="50" t="s">
        <v>1165</v>
      </c>
      <c r="AL377" s="50" t="s">
        <v>13938</v>
      </c>
      <c r="AM377" s="50" t="s">
        <v>13939</v>
      </c>
      <c r="AN377" s="50" t="s">
        <v>13940</v>
      </c>
      <c r="AO377" s="50" t="s">
        <v>13941</v>
      </c>
      <c r="AP377" s="50" t="s">
        <v>13941</v>
      </c>
      <c r="AU377" s="50" t="s">
        <v>117</v>
      </c>
      <c r="AV377" s="50" t="s">
        <v>118</v>
      </c>
      <c r="AW377" s="50" t="s">
        <v>102</v>
      </c>
      <c r="AX377" s="50" t="s">
        <v>119</v>
      </c>
      <c r="BB377" s="50" t="s">
        <v>120</v>
      </c>
      <c r="BC377" s="50" t="s">
        <v>920</v>
      </c>
      <c r="BD377" s="50" t="s">
        <v>211</v>
      </c>
      <c r="BE377" s="50" t="s">
        <v>212</v>
      </c>
      <c r="BF377" s="50" t="s">
        <v>213</v>
      </c>
      <c r="BG377" s="50" t="s">
        <v>124</v>
      </c>
      <c r="BH377" s="50" t="s">
        <v>11932</v>
      </c>
      <c r="BI377" s="50" t="s">
        <v>11960</v>
      </c>
      <c r="BJ377" s="50" t="s">
        <v>127</v>
      </c>
      <c r="BK377" s="50" t="s">
        <v>13942</v>
      </c>
      <c r="BL377" s="50" t="s">
        <v>3308</v>
      </c>
      <c r="BM377" s="50" t="s">
        <v>13943</v>
      </c>
      <c r="BN377" s="50" t="s">
        <v>12911</v>
      </c>
      <c r="BO377" s="50" t="s">
        <v>1880</v>
      </c>
      <c r="BP377" s="50" t="s">
        <v>180</v>
      </c>
      <c r="BQ377" s="50" t="s">
        <v>1882</v>
      </c>
      <c r="BR377" s="50" t="s">
        <v>1883</v>
      </c>
      <c r="BS377" s="50" t="s">
        <v>2151</v>
      </c>
      <c r="BU377" s="50" t="s">
        <v>13944</v>
      </c>
      <c r="BV377" s="50" t="s">
        <v>13945</v>
      </c>
      <c r="BX377" s="50" t="s">
        <v>3312</v>
      </c>
      <c r="BY377" s="50" t="s">
        <v>3313</v>
      </c>
      <c r="BZ377" s="50" t="s">
        <v>3314</v>
      </c>
      <c r="CA377" s="50" t="s">
        <v>13945</v>
      </c>
      <c r="CB377" s="50" t="s">
        <v>3312</v>
      </c>
      <c r="CC377" s="50" t="s">
        <v>3313</v>
      </c>
      <c r="CD377" s="50" t="s">
        <v>13946</v>
      </c>
      <c r="CE377" s="50" t="s">
        <v>13947</v>
      </c>
      <c r="CF377" s="50" t="s">
        <v>13948</v>
      </c>
      <c r="CG377" s="50" t="s">
        <v>102</v>
      </c>
      <c r="CH377" s="50" t="s">
        <v>3315</v>
      </c>
      <c r="CJ377" s="50" t="s">
        <v>2248</v>
      </c>
      <c r="CL377" s="50" t="s">
        <v>920</v>
      </c>
      <c r="CM377" s="50" t="s">
        <v>211</v>
      </c>
      <c r="CN377" s="50" t="s">
        <v>2248</v>
      </c>
      <c r="CP377" s="50" t="s">
        <v>3315</v>
      </c>
      <c r="CQ377" s="50" t="s">
        <v>3315</v>
      </c>
      <c r="CR377" s="50" t="s">
        <v>26044</v>
      </c>
    </row>
    <row r="378" spans="1:96">
      <c r="A378" s="95" t="s">
        <v>149</v>
      </c>
      <c r="B378" s="50">
        <v>376207</v>
      </c>
      <c r="C378" s="50" t="s">
        <v>11947</v>
      </c>
      <c r="D378" s="50" t="s">
        <v>7351</v>
      </c>
      <c r="E378" s="50" t="e">
        <f>VLOOKUP(B378,aa!B:F,5,0)</f>
        <v>#N/A</v>
      </c>
      <c r="F378" s="50" t="e">
        <f>VLOOKUP(B378,aa!B:J,9,0)</f>
        <v>#N/A</v>
      </c>
      <c r="G378" s="50" t="e">
        <f>VLOOKUP(B378,aa!B:L,11,0)</f>
        <v>#N/A</v>
      </c>
      <c r="H378" s="50" t="e">
        <f>VLOOKUP(B378,aa!B:O,14,0)</f>
        <v>#N/A</v>
      </c>
      <c r="I378" s="50" t="e">
        <f>VLOOKUP(B378,aa!B:R,17,0)</f>
        <v>#N/A</v>
      </c>
      <c r="K378" s="50" t="s">
        <v>193</v>
      </c>
      <c r="L378" s="50">
        <v>1347435</v>
      </c>
      <c r="M378" s="50">
        <v>1559802</v>
      </c>
      <c r="N378" s="50">
        <v>167621</v>
      </c>
      <c r="O378" s="50">
        <v>419</v>
      </c>
      <c r="P378" s="50" t="s">
        <v>6051</v>
      </c>
      <c r="Q378" s="50">
        <v>0</v>
      </c>
      <c r="R378" s="50">
        <v>0</v>
      </c>
      <c r="T378" s="50">
        <v>1179814</v>
      </c>
      <c r="U378" s="50">
        <v>696</v>
      </c>
      <c r="V378" s="50" t="s">
        <v>2007</v>
      </c>
      <c r="W378" s="50" t="s">
        <v>102</v>
      </c>
      <c r="X378" s="50" t="s">
        <v>103</v>
      </c>
      <c r="Y378" s="50" t="s">
        <v>104</v>
      </c>
      <c r="AA378" s="50" t="s">
        <v>1408</v>
      </c>
      <c r="AB378" s="50" t="s">
        <v>16886</v>
      </c>
      <c r="AC378" s="50" t="s">
        <v>12211</v>
      </c>
      <c r="AD378" s="50" t="s">
        <v>16886</v>
      </c>
      <c r="AE378" s="50" t="s">
        <v>109</v>
      </c>
      <c r="AF378" s="50" t="s">
        <v>102</v>
      </c>
      <c r="AG378" s="50" t="s">
        <v>109</v>
      </c>
      <c r="AH378" s="50" t="s">
        <v>102</v>
      </c>
      <c r="AI378" s="50" t="s">
        <v>16887</v>
      </c>
      <c r="AJ378" s="50" t="s">
        <v>13075</v>
      </c>
      <c r="AK378" s="50" t="s">
        <v>16888</v>
      </c>
      <c r="AL378" s="50" t="s">
        <v>16889</v>
      </c>
      <c r="AM378" s="50" t="s">
        <v>16890</v>
      </c>
      <c r="AN378" s="50" t="s">
        <v>16891</v>
      </c>
      <c r="AO378" s="50" t="s">
        <v>16892</v>
      </c>
      <c r="AP378" s="50" t="s">
        <v>16892</v>
      </c>
      <c r="AU378" s="50" t="s">
        <v>207</v>
      </c>
      <c r="AV378" s="50" t="s">
        <v>118</v>
      </c>
      <c r="AW378" s="50" t="s">
        <v>102</v>
      </c>
      <c r="AX378" s="50" t="s">
        <v>119</v>
      </c>
      <c r="BA378" s="50" t="s">
        <v>250</v>
      </c>
      <c r="BB378" s="50" t="s">
        <v>209</v>
      </c>
      <c r="BC378" s="50" t="s">
        <v>920</v>
      </c>
      <c r="BD378" s="50" t="s">
        <v>211</v>
      </c>
      <c r="BE378" s="50" t="s">
        <v>212</v>
      </c>
      <c r="BF378" s="50" t="s">
        <v>213</v>
      </c>
      <c r="BG378" s="50" t="s">
        <v>124</v>
      </c>
      <c r="BH378" s="50" t="s">
        <v>16893</v>
      </c>
      <c r="BI378" s="50" t="s">
        <v>11960</v>
      </c>
      <c r="BJ378" s="50" t="s">
        <v>127</v>
      </c>
      <c r="BK378" s="50" t="s">
        <v>16894</v>
      </c>
      <c r="BL378" s="50" t="s">
        <v>7363</v>
      </c>
      <c r="BM378" s="50" t="s">
        <v>16895</v>
      </c>
      <c r="BN378" s="50" t="s">
        <v>16885</v>
      </c>
      <c r="BO378" s="50" t="s">
        <v>1880</v>
      </c>
      <c r="BP378" s="50" t="s">
        <v>350</v>
      </c>
      <c r="BQ378" s="50" t="s">
        <v>1882</v>
      </c>
      <c r="BR378" s="50" t="s">
        <v>1883</v>
      </c>
      <c r="BS378" s="50" t="s">
        <v>483</v>
      </c>
      <c r="BU378" s="50" t="s">
        <v>16896</v>
      </c>
      <c r="BV378" s="50" t="s">
        <v>5980</v>
      </c>
      <c r="BW378" s="50" t="s">
        <v>138</v>
      </c>
      <c r="BX378" s="50" t="s">
        <v>5981</v>
      </c>
      <c r="BY378" s="50" t="s">
        <v>5982</v>
      </c>
      <c r="BZ378" s="50" t="s">
        <v>5981</v>
      </c>
      <c r="CA378" s="50" t="s">
        <v>5980</v>
      </c>
      <c r="CB378" s="50" t="s">
        <v>5981</v>
      </c>
      <c r="CC378" s="50" t="s">
        <v>5982</v>
      </c>
      <c r="CD378" s="50" t="s">
        <v>5980</v>
      </c>
      <c r="CE378" s="50" t="s">
        <v>5981</v>
      </c>
      <c r="CF378" s="50" t="s">
        <v>5982</v>
      </c>
      <c r="CG378" s="50" t="s">
        <v>102</v>
      </c>
      <c r="CH378" s="50" t="s">
        <v>16897</v>
      </c>
      <c r="CJ378" s="50" t="s">
        <v>5985</v>
      </c>
      <c r="CL378" s="50" t="s">
        <v>920</v>
      </c>
      <c r="CM378" s="50" t="s">
        <v>211</v>
      </c>
      <c r="CN378" s="50" t="s">
        <v>5985</v>
      </c>
      <c r="CO378" s="50" t="s">
        <v>5986</v>
      </c>
      <c r="CP378" s="50" t="s">
        <v>7366</v>
      </c>
      <c r="CQ378" s="50" t="s">
        <v>7366</v>
      </c>
      <c r="CR378" s="50" t="s">
        <v>26040</v>
      </c>
    </row>
    <row r="379" spans="1:96">
      <c r="A379" s="50" t="s">
        <v>93</v>
      </c>
      <c r="B379" s="50">
        <v>5049594</v>
      </c>
      <c r="C379" s="50" t="s">
        <v>384</v>
      </c>
      <c r="D379" s="50" t="s">
        <v>20492</v>
      </c>
      <c r="E379" s="50" t="str">
        <f>VLOOKUP(B379,aa!B:F,5,0)</f>
        <v>Ei CARES</v>
      </c>
      <c r="F379" s="50">
        <f>VLOOKUP(B379,aa!B:J,9,0)</f>
        <v>298914</v>
      </c>
      <c r="G379" s="50">
        <f>VLOOKUP(B379,aa!B:L,11,0)</f>
        <v>0</v>
      </c>
      <c r="H379" s="50">
        <f>VLOOKUP(B379,aa!B:O,14,0)</f>
        <v>298914</v>
      </c>
      <c r="I379" s="50">
        <f>VLOOKUP(B379,aa!B:R,17,0)</f>
        <v>0</v>
      </c>
      <c r="K379" s="50" t="s">
        <v>152</v>
      </c>
      <c r="L379" s="50">
        <v>169600</v>
      </c>
      <c r="M379" s="50">
        <v>169600</v>
      </c>
      <c r="N379" s="50">
        <v>0</v>
      </c>
      <c r="O379" s="50">
        <v>0</v>
      </c>
      <c r="Q379" s="50">
        <v>169600</v>
      </c>
      <c r="R379" s="50">
        <v>255</v>
      </c>
      <c r="S379" s="50" t="s">
        <v>20494</v>
      </c>
      <c r="T379" s="50">
        <v>0</v>
      </c>
      <c r="U379" s="50">
        <v>0</v>
      </c>
      <c r="W379" s="50" t="s">
        <v>102</v>
      </c>
      <c r="X379" s="50" t="s">
        <v>679</v>
      </c>
      <c r="Y379" s="50" t="s">
        <v>398</v>
      </c>
      <c r="Z379" s="50" t="s">
        <v>12019</v>
      </c>
      <c r="AA379" s="50" t="s">
        <v>20495</v>
      </c>
      <c r="AB379" s="50" t="s">
        <v>20496</v>
      </c>
      <c r="AC379" s="50" t="s">
        <v>15488</v>
      </c>
      <c r="AD379" s="50" t="s">
        <v>20497</v>
      </c>
      <c r="AE379" s="50" t="s">
        <v>13263</v>
      </c>
      <c r="AF379" s="50" t="s">
        <v>20498</v>
      </c>
      <c r="AG379" s="50" t="s">
        <v>109</v>
      </c>
      <c r="AH379" s="50" t="s">
        <v>102</v>
      </c>
      <c r="AI379" s="50" t="s">
        <v>102</v>
      </c>
      <c r="AJ379" s="50" t="s">
        <v>12911</v>
      </c>
      <c r="AK379" s="50" t="s">
        <v>18922</v>
      </c>
      <c r="AL379" s="50" t="s">
        <v>20499</v>
      </c>
      <c r="AM379" s="50" t="s">
        <v>20500</v>
      </c>
      <c r="AN379" s="50" t="s">
        <v>20501</v>
      </c>
      <c r="AO379" s="50" t="s">
        <v>20502</v>
      </c>
      <c r="AP379" s="50" t="s">
        <v>20502</v>
      </c>
      <c r="AU379" s="50" t="s">
        <v>102</v>
      </c>
      <c r="AW379" s="50" t="s">
        <v>104</v>
      </c>
      <c r="AX379" s="50" t="s">
        <v>447</v>
      </c>
      <c r="AY379" s="50" t="s">
        <v>170</v>
      </c>
      <c r="AZ379" s="50" t="s">
        <v>118</v>
      </c>
      <c r="BB379" s="50" t="s">
        <v>120</v>
      </c>
      <c r="BC379" s="50" t="s">
        <v>20503</v>
      </c>
      <c r="BD379" s="50" t="s">
        <v>376</v>
      </c>
      <c r="BE379" s="50" t="s">
        <v>174</v>
      </c>
      <c r="BF379" s="50" t="s">
        <v>376</v>
      </c>
      <c r="BG379" s="50" t="s">
        <v>124</v>
      </c>
      <c r="BH379" s="50" t="s">
        <v>12911</v>
      </c>
      <c r="BI379" s="50" t="s">
        <v>20504</v>
      </c>
      <c r="BJ379" s="50" t="s">
        <v>127</v>
      </c>
      <c r="BK379" s="50" t="s">
        <v>20505</v>
      </c>
      <c r="BL379" s="50" t="s">
        <v>20506</v>
      </c>
      <c r="BM379" s="50" t="s">
        <v>20507</v>
      </c>
      <c r="BN379" s="50" t="s">
        <v>20493</v>
      </c>
      <c r="BO379" s="50" t="s">
        <v>13780</v>
      </c>
      <c r="BP379" s="50" t="s">
        <v>505</v>
      </c>
      <c r="BQ379" s="50" t="s">
        <v>13781</v>
      </c>
      <c r="BR379" s="50" t="s">
        <v>13782</v>
      </c>
      <c r="BS379" s="50" t="s">
        <v>13783</v>
      </c>
      <c r="BU379" s="50" t="s">
        <v>20508</v>
      </c>
      <c r="BV379" s="50" t="s">
        <v>20509</v>
      </c>
      <c r="BW379" s="50" t="s">
        <v>138</v>
      </c>
      <c r="BX379" s="50" t="s">
        <v>20510</v>
      </c>
      <c r="BY379" s="50" t="s">
        <v>20511</v>
      </c>
      <c r="BZ379" s="50" t="s">
        <v>20512</v>
      </c>
      <c r="CA379" s="50" t="s">
        <v>20513</v>
      </c>
      <c r="CB379" s="50" t="s">
        <v>20510</v>
      </c>
      <c r="CC379" s="50" t="s">
        <v>20511</v>
      </c>
      <c r="CD379" s="50" t="s">
        <v>20513</v>
      </c>
      <c r="CE379" s="50" t="s">
        <v>20510</v>
      </c>
      <c r="CF379" s="50" t="s">
        <v>20511</v>
      </c>
      <c r="CG379" s="50" t="s">
        <v>6370</v>
      </c>
      <c r="CH379" s="50" t="s">
        <v>20514</v>
      </c>
      <c r="CJ379" s="50" t="s">
        <v>20515</v>
      </c>
      <c r="CK379" s="50" t="s">
        <v>20514</v>
      </c>
      <c r="CL379" s="50" t="s">
        <v>20503</v>
      </c>
      <c r="CM379" s="50" t="s">
        <v>376</v>
      </c>
      <c r="CN379" s="50" t="s">
        <v>20515</v>
      </c>
      <c r="CP379" s="50" t="s">
        <v>20514</v>
      </c>
      <c r="CQ379" s="50" t="s">
        <v>20514</v>
      </c>
      <c r="CR379" s="50" t="s">
        <v>26045</v>
      </c>
    </row>
    <row r="380" spans="1:96">
      <c r="A380" s="50" t="s">
        <v>26356</v>
      </c>
      <c r="B380" s="50">
        <v>128171</v>
      </c>
      <c r="C380" s="50" t="s">
        <v>2525</v>
      </c>
      <c r="D380" s="50" t="s">
        <v>715</v>
      </c>
      <c r="E380" s="50" t="str">
        <f>VLOOKUP(B380,aa!B:F,5,0)</f>
        <v>Ei ASSET</v>
      </c>
      <c r="F380" s="50">
        <f>VLOOKUP(B380,aa!B:J,9,0)</f>
        <v>150000</v>
      </c>
      <c r="G380" s="50">
        <f>VLOOKUP(B380,aa!B:L,11,0)</f>
        <v>150000</v>
      </c>
      <c r="H380" s="50">
        <f>VLOOKUP(B380,aa!B:O,14,0)</f>
        <v>0</v>
      </c>
      <c r="I380" s="50">
        <f>VLOOKUP(B380,aa!B:R,17,0)</f>
        <v>0</v>
      </c>
      <c r="K380" s="50" t="s">
        <v>152</v>
      </c>
      <c r="L380" s="50">
        <v>1652638</v>
      </c>
      <c r="M380" s="50">
        <v>1652638</v>
      </c>
      <c r="N380" s="50">
        <v>0</v>
      </c>
      <c r="O380" s="50">
        <v>0</v>
      </c>
      <c r="Q380" s="50">
        <v>1652638</v>
      </c>
      <c r="R380" s="50">
        <v>1757</v>
      </c>
      <c r="S380" s="50" t="s">
        <v>12325</v>
      </c>
      <c r="T380" s="50">
        <v>0</v>
      </c>
      <c r="U380" s="50">
        <v>0</v>
      </c>
      <c r="W380" s="50" t="s">
        <v>102</v>
      </c>
      <c r="X380" s="50" t="s">
        <v>103</v>
      </c>
      <c r="Y380" s="50" t="s">
        <v>104</v>
      </c>
      <c r="AA380" s="50" t="s">
        <v>8708</v>
      </c>
      <c r="AB380" s="50" t="s">
        <v>12326</v>
      </c>
      <c r="AC380" s="50" t="s">
        <v>12327</v>
      </c>
      <c r="AD380" s="50" t="s">
        <v>12326</v>
      </c>
      <c r="AE380" s="50" t="s">
        <v>109</v>
      </c>
      <c r="AF380" s="50" t="s">
        <v>102</v>
      </c>
      <c r="AG380" s="50" t="s">
        <v>109</v>
      </c>
      <c r="AH380" s="50" t="s">
        <v>102</v>
      </c>
      <c r="AI380" s="50" t="s">
        <v>12328</v>
      </c>
      <c r="AJ380" s="50" t="s">
        <v>12329</v>
      </c>
      <c r="AK380" s="50" t="s">
        <v>12330</v>
      </c>
      <c r="AL380" s="50" t="s">
        <v>12331</v>
      </c>
      <c r="AM380" s="50" t="s">
        <v>12332</v>
      </c>
      <c r="AN380" s="50" t="s">
        <v>12333</v>
      </c>
      <c r="AO380" s="50" t="s">
        <v>727</v>
      </c>
      <c r="AP380" s="50" t="s">
        <v>728</v>
      </c>
      <c r="AR380" s="50" t="s">
        <v>169</v>
      </c>
      <c r="AT380" s="50" t="s">
        <v>169</v>
      </c>
      <c r="AU380" s="50" t="s">
        <v>102</v>
      </c>
      <c r="AW380" s="50" t="s">
        <v>155</v>
      </c>
      <c r="AX380" s="50" t="s">
        <v>119</v>
      </c>
      <c r="AY380" s="50" t="s">
        <v>170</v>
      </c>
      <c r="AZ380" s="50" t="s">
        <v>118</v>
      </c>
      <c r="BB380" s="50" t="s">
        <v>120</v>
      </c>
      <c r="BC380" s="50" t="s">
        <v>729</v>
      </c>
      <c r="BD380" s="50" t="s">
        <v>730</v>
      </c>
      <c r="BE380" s="50" t="s">
        <v>622</v>
      </c>
      <c r="BF380" s="50" t="s">
        <v>730</v>
      </c>
      <c r="BG380" s="50" t="s">
        <v>124</v>
      </c>
      <c r="BH380" s="50" t="s">
        <v>12023</v>
      </c>
      <c r="BI380" s="50" t="s">
        <v>11889</v>
      </c>
      <c r="BJ380" s="50" t="s">
        <v>127</v>
      </c>
      <c r="BK380" s="50" t="s">
        <v>12334</v>
      </c>
      <c r="BL380" s="50" t="s">
        <v>732</v>
      </c>
      <c r="BM380" s="50" t="s">
        <v>12335</v>
      </c>
      <c r="BN380" s="50" t="s">
        <v>12324</v>
      </c>
      <c r="BO380" s="50" t="s">
        <v>734</v>
      </c>
      <c r="BP380" s="50" t="s">
        <v>350</v>
      </c>
      <c r="BQ380" s="50" t="s">
        <v>735</v>
      </c>
      <c r="BR380" s="50" t="s">
        <v>736</v>
      </c>
      <c r="BS380" s="50" t="s">
        <v>737</v>
      </c>
      <c r="BU380" s="50" t="s">
        <v>12336</v>
      </c>
      <c r="BV380" s="50" t="s">
        <v>739</v>
      </c>
      <c r="BW380" s="50" t="s">
        <v>138</v>
      </c>
      <c r="BX380" s="50" t="s">
        <v>740</v>
      </c>
      <c r="BY380" s="50" t="s">
        <v>741</v>
      </c>
      <c r="BZ380" s="50" t="s">
        <v>742</v>
      </c>
      <c r="CA380" s="50" t="s">
        <v>739</v>
      </c>
      <c r="CB380" s="50" t="s">
        <v>740</v>
      </c>
      <c r="CC380" s="50" t="s">
        <v>741</v>
      </c>
      <c r="CD380" s="50" t="s">
        <v>739</v>
      </c>
      <c r="CE380" s="50" t="s">
        <v>740</v>
      </c>
      <c r="CF380" s="50" t="s">
        <v>741</v>
      </c>
      <c r="CG380" s="50" t="s">
        <v>746</v>
      </c>
      <c r="CH380" s="50" t="s">
        <v>12337</v>
      </c>
      <c r="CJ380" s="50" t="s">
        <v>748</v>
      </c>
      <c r="CK380" s="50" t="s">
        <v>12338</v>
      </c>
      <c r="CL380" s="50" t="s">
        <v>729</v>
      </c>
      <c r="CM380" s="50" t="s">
        <v>730</v>
      </c>
      <c r="CN380" s="50" t="s">
        <v>748</v>
      </c>
      <c r="CO380" s="50" t="s">
        <v>750</v>
      </c>
      <c r="CP380" s="50" t="s">
        <v>747</v>
      </c>
      <c r="CQ380" s="50" t="s">
        <v>749</v>
      </c>
    </row>
    <row r="381" spans="1:96">
      <c r="A381" s="95" t="s">
        <v>149</v>
      </c>
      <c r="B381" s="50">
        <v>1337248</v>
      </c>
      <c r="C381" s="50" t="s">
        <v>12423</v>
      </c>
      <c r="D381" s="50" t="s">
        <v>846</v>
      </c>
      <c r="E381" s="50" t="e">
        <f>VLOOKUP(B381,aa!B:F,5,0)</f>
        <v>#N/A</v>
      </c>
      <c r="F381" s="50" t="e">
        <f>VLOOKUP(B381,aa!B:J,9,0)</f>
        <v>#N/A</v>
      </c>
      <c r="G381" s="50" t="e">
        <f>VLOOKUP(B381,aa!B:L,11,0)</f>
        <v>#N/A</v>
      </c>
      <c r="H381" s="50" t="e">
        <f>VLOOKUP(B381,aa!B:O,14,0)</f>
        <v>#N/A</v>
      </c>
      <c r="I381" s="50" t="e">
        <f>VLOOKUP(B381,aa!B:R,17,0)</f>
        <v>#N/A</v>
      </c>
      <c r="K381" s="50" t="s">
        <v>848</v>
      </c>
      <c r="L381" s="50">
        <v>602234</v>
      </c>
      <c r="M381" s="50">
        <v>710636</v>
      </c>
      <c r="N381" s="50">
        <v>0</v>
      </c>
      <c r="O381" s="50">
        <v>0</v>
      </c>
      <c r="Q381" s="50">
        <v>0</v>
      </c>
      <c r="R381" s="50">
        <v>0</v>
      </c>
      <c r="T381" s="50">
        <v>602234</v>
      </c>
      <c r="U381" s="50">
        <v>412</v>
      </c>
      <c r="V381" s="50" t="s">
        <v>12424</v>
      </c>
      <c r="W381" s="50" t="s">
        <v>102</v>
      </c>
      <c r="X381" s="50" t="s">
        <v>103</v>
      </c>
      <c r="Y381" s="50" t="s">
        <v>155</v>
      </c>
      <c r="AA381" s="50" t="s">
        <v>12425</v>
      </c>
      <c r="AB381" s="50" t="s">
        <v>12426</v>
      </c>
      <c r="AC381" s="50" t="s">
        <v>12427</v>
      </c>
      <c r="AD381" s="50" t="s">
        <v>12426</v>
      </c>
      <c r="AE381" s="50" t="s">
        <v>12084</v>
      </c>
      <c r="AF381" s="50" t="s">
        <v>12426</v>
      </c>
      <c r="AG381" s="50" t="s">
        <v>11886</v>
      </c>
      <c r="AH381" s="50" t="s">
        <v>12426</v>
      </c>
      <c r="AI381" s="50" t="s">
        <v>12428</v>
      </c>
      <c r="AJ381" s="50" t="s">
        <v>12429</v>
      </c>
      <c r="AK381" s="50" t="s">
        <v>12430</v>
      </c>
      <c r="AL381" s="50" t="s">
        <v>12431</v>
      </c>
      <c r="AM381" s="50" t="s">
        <v>12432</v>
      </c>
      <c r="AN381" s="50" t="s">
        <v>12433</v>
      </c>
      <c r="AO381" s="50" t="s">
        <v>12434</v>
      </c>
      <c r="AP381" s="50" t="s">
        <v>12434</v>
      </c>
      <c r="AU381" s="50" t="s">
        <v>102</v>
      </c>
      <c r="AW381" s="50" t="s">
        <v>102</v>
      </c>
      <c r="AX381" s="50" t="s">
        <v>119</v>
      </c>
      <c r="BA381" s="50" t="s">
        <v>250</v>
      </c>
      <c r="BB381" s="50" t="s">
        <v>120</v>
      </c>
      <c r="BC381" s="50" t="s">
        <v>862</v>
      </c>
      <c r="BD381" s="50" t="s">
        <v>410</v>
      </c>
      <c r="BE381" s="50" t="s">
        <v>212</v>
      </c>
      <c r="BF381" s="50" t="s">
        <v>410</v>
      </c>
      <c r="BG381" s="50" t="s">
        <v>124</v>
      </c>
      <c r="BH381" s="50" t="s">
        <v>12425</v>
      </c>
      <c r="BI381" s="50" t="s">
        <v>12435</v>
      </c>
      <c r="BJ381" s="50" t="s">
        <v>127</v>
      </c>
      <c r="BK381" s="50" t="s">
        <v>12436</v>
      </c>
      <c r="BL381" s="50" t="s">
        <v>864</v>
      </c>
      <c r="BM381" s="50" t="s">
        <v>12437</v>
      </c>
      <c r="BN381" s="50" t="s">
        <v>12324</v>
      </c>
      <c r="BO381" s="50" t="s">
        <v>866</v>
      </c>
      <c r="BP381" s="50" t="s">
        <v>132</v>
      </c>
      <c r="BQ381" s="50" t="s">
        <v>867</v>
      </c>
      <c r="BR381" s="50" t="s">
        <v>868</v>
      </c>
      <c r="BS381" s="50" t="s">
        <v>418</v>
      </c>
      <c r="BU381" s="50" t="s">
        <v>12438</v>
      </c>
      <c r="BV381" s="50" t="s">
        <v>870</v>
      </c>
      <c r="BX381" s="50" t="s">
        <v>871</v>
      </c>
      <c r="BY381" s="50" t="s">
        <v>872</v>
      </c>
      <c r="BZ381" s="50" t="s">
        <v>873</v>
      </c>
      <c r="CA381" s="50" t="s">
        <v>870</v>
      </c>
      <c r="CB381" s="50" t="s">
        <v>871</v>
      </c>
      <c r="CC381" s="50" t="s">
        <v>872</v>
      </c>
      <c r="CD381" s="50" t="s">
        <v>12439</v>
      </c>
      <c r="CE381" s="50" t="s">
        <v>12440</v>
      </c>
      <c r="CF381" s="50" t="s">
        <v>12441</v>
      </c>
      <c r="CG381" s="50" t="s">
        <v>102</v>
      </c>
      <c r="CH381" s="50" t="s">
        <v>874</v>
      </c>
      <c r="CJ381" s="50" t="s">
        <v>875</v>
      </c>
      <c r="CL381" s="50" t="s">
        <v>862</v>
      </c>
      <c r="CM381" s="50" t="s">
        <v>410</v>
      </c>
      <c r="CN381" s="50" t="s">
        <v>875</v>
      </c>
      <c r="CO381" s="50" t="s">
        <v>876</v>
      </c>
      <c r="CP381" s="50" t="s">
        <v>874</v>
      </c>
      <c r="CQ381" s="50" t="s">
        <v>874</v>
      </c>
      <c r="CR381" s="50" t="s">
        <v>26040</v>
      </c>
    </row>
    <row r="382" spans="1:96">
      <c r="A382" s="95" t="s">
        <v>26356</v>
      </c>
      <c r="B382" s="50">
        <v>2560999</v>
      </c>
      <c r="C382" s="50" t="s">
        <v>13158</v>
      </c>
      <c r="D382" s="50" t="s">
        <v>4067</v>
      </c>
      <c r="E382" s="50" t="e">
        <f>VLOOKUP(B382,aa!B:F,5,0)</f>
        <v>#N/A</v>
      </c>
      <c r="F382" s="50" t="e">
        <f>VLOOKUP(B382,aa!B:J,9,0)</f>
        <v>#N/A</v>
      </c>
      <c r="G382" s="50" t="e">
        <f>VLOOKUP(B382,aa!B:L,11,0)</f>
        <v>#N/A</v>
      </c>
      <c r="H382" s="50" t="e">
        <f>VLOOKUP(B382,aa!B:O,14,0)</f>
        <v>#N/A</v>
      </c>
      <c r="I382" s="50" t="e">
        <f>VLOOKUP(B382,aa!B:R,17,0)</f>
        <v>#N/A</v>
      </c>
      <c r="K382" s="50" t="s">
        <v>97</v>
      </c>
      <c r="L382" s="50">
        <v>0</v>
      </c>
      <c r="M382" s="50">
        <v>0</v>
      </c>
      <c r="N382" s="50">
        <v>0</v>
      </c>
      <c r="O382" s="50">
        <v>394</v>
      </c>
      <c r="P382" s="50" t="s">
        <v>102</v>
      </c>
      <c r="Q382" s="50">
        <v>0</v>
      </c>
      <c r="R382" s="50">
        <v>0</v>
      </c>
      <c r="T382" s="50">
        <v>0</v>
      </c>
      <c r="U382" s="50">
        <v>0</v>
      </c>
      <c r="W382" s="50" t="s">
        <v>102</v>
      </c>
      <c r="X382" s="50" t="s">
        <v>275</v>
      </c>
      <c r="Z382" s="50" t="s">
        <v>14534</v>
      </c>
      <c r="AA382" s="50" t="s">
        <v>109</v>
      </c>
      <c r="AB382" s="50" t="s">
        <v>102</v>
      </c>
      <c r="AC382" s="50" t="s">
        <v>109</v>
      </c>
      <c r="AD382" s="50" t="s">
        <v>102</v>
      </c>
      <c r="AE382" s="50" t="s">
        <v>109</v>
      </c>
      <c r="AF382" s="50" t="s">
        <v>102</v>
      </c>
      <c r="AG382" s="50" t="s">
        <v>109</v>
      </c>
      <c r="AH382" s="50" t="s">
        <v>102</v>
      </c>
      <c r="AI382" s="50" t="s">
        <v>102</v>
      </c>
      <c r="AL382" s="50" t="s">
        <v>102</v>
      </c>
      <c r="AM382" s="50" t="s">
        <v>102</v>
      </c>
      <c r="AN382" s="50" t="s">
        <v>102</v>
      </c>
      <c r="AO382" s="50" t="s">
        <v>115</v>
      </c>
      <c r="AP382" s="50" t="s">
        <v>115</v>
      </c>
      <c r="AU382" s="50" t="s">
        <v>318</v>
      </c>
      <c r="AV382" s="50" t="s">
        <v>118</v>
      </c>
      <c r="AW382" s="50" t="s">
        <v>102</v>
      </c>
      <c r="AX382" s="50" t="s">
        <v>119</v>
      </c>
      <c r="BB382" s="50" t="s">
        <v>120</v>
      </c>
      <c r="BC382" s="50" t="s">
        <v>1407</v>
      </c>
      <c r="BD382" s="50" t="s">
        <v>449</v>
      </c>
      <c r="BE382" s="50" t="s">
        <v>122</v>
      </c>
      <c r="BF382" s="50" t="s">
        <v>450</v>
      </c>
      <c r="BG382" s="50" t="s">
        <v>124</v>
      </c>
      <c r="BH382" s="50" t="s">
        <v>12911</v>
      </c>
      <c r="BI382" s="50" t="s">
        <v>11889</v>
      </c>
      <c r="BJ382" s="50" t="s">
        <v>127</v>
      </c>
      <c r="BK382" s="50" t="s">
        <v>14535</v>
      </c>
      <c r="BL382" s="50" t="s">
        <v>4070</v>
      </c>
      <c r="BM382" s="50" t="s">
        <v>14536</v>
      </c>
      <c r="BN382" s="50" t="s">
        <v>12324</v>
      </c>
      <c r="BO382" s="50" t="s">
        <v>1108</v>
      </c>
      <c r="BP382" s="50" t="s">
        <v>350</v>
      </c>
      <c r="BQ382" s="50" t="s">
        <v>1109</v>
      </c>
      <c r="BR382" s="50" t="s">
        <v>1110</v>
      </c>
      <c r="BS382" s="50" t="s">
        <v>1111</v>
      </c>
      <c r="BU382" s="50" t="s">
        <v>14537</v>
      </c>
      <c r="BV382" s="50" t="s">
        <v>224</v>
      </c>
      <c r="BW382" s="50" t="s">
        <v>598</v>
      </c>
      <c r="BX382" s="50" t="s">
        <v>225</v>
      </c>
      <c r="BY382" s="50" t="s">
        <v>226</v>
      </c>
      <c r="BZ382" s="50" t="s">
        <v>4076</v>
      </c>
      <c r="CA382" s="50" t="s">
        <v>14538</v>
      </c>
      <c r="CB382" s="50" t="s">
        <v>14539</v>
      </c>
      <c r="CC382" s="50" t="s">
        <v>14540</v>
      </c>
      <c r="CD382" s="50" t="s">
        <v>14541</v>
      </c>
      <c r="CE382" s="50" t="s">
        <v>14542</v>
      </c>
      <c r="CF382" s="50" t="s">
        <v>14540</v>
      </c>
      <c r="CG382" s="50" t="s">
        <v>102</v>
      </c>
      <c r="CH382" s="50" t="s">
        <v>14543</v>
      </c>
      <c r="CJ382" s="50" t="s">
        <v>4078</v>
      </c>
      <c r="CL382" s="50" t="s">
        <v>1407</v>
      </c>
      <c r="CM382" s="50" t="s">
        <v>449</v>
      </c>
      <c r="CN382" s="50" t="s">
        <v>4078</v>
      </c>
      <c r="CP382" s="50" t="s">
        <v>4077</v>
      </c>
      <c r="CQ382" s="50" t="s">
        <v>4077</v>
      </c>
    </row>
    <row r="383" spans="1:96">
      <c r="A383" s="50" t="s">
        <v>26356</v>
      </c>
      <c r="B383" s="50">
        <v>3302667</v>
      </c>
      <c r="C383" s="50" t="s">
        <v>2525</v>
      </c>
      <c r="D383" s="50" t="s">
        <v>5394</v>
      </c>
      <c r="E383" s="50" t="str">
        <f>VLOOKUP(B383,aa!B:F,5,0)</f>
        <v>Ei ASSET, Ei CARES</v>
      </c>
      <c r="F383" s="50">
        <f>VLOOKUP(B383,aa!B:J,9,0)</f>
        <v>591327</v>
      </c>
      <c r="G383" s="50">
        <f>VLOOKUP(B383,aa!B:L,11,0)</f>
        <v>67500</v>
      </c>
      <c r="H383" s="50">
        <f>VLOOKUP(B383,aa!B:O,14,0)</f>
        <v>523827</v>
      </c>
      <c r="I383" s="50">
        <f>VLOOKUP(B383,aa!B:R,17,0)</f>
        <v>0</v>
      </c>
      <c r="K383" s="50" t="s">
        <v>152</v>
      </c>
      <c r="L383" s="50">
        <v>493638</v>
      </c>
      <c r="M383" s="50">
        <v>493638</v>
      </c>
      <c r="N383" s="50">
        <v>0</v>
      </c>
      <c r="O383" s="50">
        <v>0</v>
      </c>
      <c r="Q383" s="50">
        <v>493638</v>
      </c>
      <c r="R383" s="50">
        <v>524</v>
      </c>
      <c r="S383" s="50" t="s">
        <v>15452</v>
      </c>
      <c r="T383" s="50">
        <v>0</v>
      </c>
      <c r="U383" s="50">
        <v>0</v>
      </c>
      <c r="W383" s="50" t="s">
        <v>102</v>
      </c>
      <c r="X383" s="50" t="s">
        <v>103</v>
      </c>
      <c r="Y383" s="50" t="s">
        <v>104</v>
      </c>
      <c r="AA383" s="50" t="s">
        <v>8708</v>
      </c>
      <c r="AB383" s="50" t="s">
        <v>15453</v>
      </c>
      <c r="AC383" s="50" t="s">
        <v>12327</v>
      </c>
      <c r="AD383" s="50" t="s">
        <v>15453</v>
      </c>
      <c r="AE383" s="50" t="s">
        <v>109</v>
      </c>
      <c r="AF383" s="50" t="s">
        <v>102</v>
      </c>
      <c r="AG383" s="50" t="s">
        <v>109</v>
      </c>
      <c r="AH383" s="50" t="s">
        <v>102</v>
      </c>
      <c r="AI383" s="50" t="s">
        <v>15454</v>
      </c>
      <c r="AJ383" s="50" t="s">
        <v>12429</v>
      </c>
      <c r="AK383" s="50" t="s">
        <v>11952</v>
      </c>
      <c r="AL383" s="50" t="s">
        <v>15455</v>
      </c>
      <c r="AM383" s="50" t="s">
        <v>15456</v>
      </c>
      <c r="AN383" s="50" t="s">
        <v>15457</v>
      </c>
      <c r="AO383" s="50" t="s">
        <v>727</v>
      </c>
      <c r="AP383" s="50" t="s">
        <v>15458</v>
      </c>
      <c r="AT383" s="50" t="s">
        <v>169</v>
      </c>
      <c r="AU383" s="50" t="s">
        <v>102</v>
      </c>
      <c r="AW383" s="50" t="s">
        <v>155</v>
      </c>
      <c r="AX383" s="50" t="s">
        <v>119</v>
      </c>
      <c r="AY383" s="50" t="s">
        <v>170</v>
      </c>
      <c r="AZ383" s="50" t="s">
        <v>118</v>
      </c>
      <c r="BB383" s="50" t="s">
        <v>120</v>
      </c>
      <c r="BC383" s="50" t="s">
        <v>729</v>
      </c>
      <c r="BD383" s="50" t="s">
        <v>730</v>
      </c>
      <c r="BE383" s="50" t="s">
        <v>622</v>
      </c>
      <c r="BF383" s="50" t="s">
        <v>730</v>
      </c>
      <c r="BG383" s="50" t="s">
        <v>124</v>
      </c>
      <c r="BH383" s="50" t="s">
        <v>12023</v>
      </c>
      <c r="BI383" s="50" t="s">
        <v>11889</v>
      </c>
      <c r="BJ383" s="50" t="s">
        <v>127</v>
      </c>
      <c r="BK383" s="50" t="s">
        <v>15459</v>
      </c>
      <c r="BL383" s="50" t="s">
        <v>5403</v>
      </c>
      <c r="BM383" s="50" t="s">
        <v>15460</v>
      </c>
      <c r="BN383" s="50" t="s">
        <v>12324</v>
      </c>
      <c r="BO383" s="50" t="s">
        <v>734</v>
      </c>
      <c r="BP383" s="50" t="s">
        <v>350</v>
      </c>
      <c r="BQ383" s="50" t="s">
        <v>735</v>
      </c>
      <c r="BR383" s="50" t="s">
        <v>736</v>
      </c>
      <c r="BS383" s="50" t="s">
        <v>737</v>
      </c>
      <c r="BU383" s="50" t="s">
        <v>15461</v>
      </c>
      <c r="BV383" s="50" t="s">
        <v>5410</v>
      </c>
      <c r="BW383" s="50" t="s">
        <v>138</v>
      </c>
      <c r="BX383" s="50" t="s">
        <v>15462</v>
      </c>
      <c r="BY383" s="50" t="s">
        <v>15463</v>
      </c>
      <c r="BZ383" s="50" t="s">
        <v>5409</v>
      </c>
      <c r="CA383" s="50" t="s">
        <v>5410</v>
      </c>
      <c r="CB383" s="50" t="s">
        <v>15462</v>
      </c>
      <c r="CC383" s="50" t="s">
        <v>15463</v>
      </c>
      <c r="CD383" s="50" t="s">
        <v>15464</v>
      </c>
      <c r="CE383" s="50" t="s">
        <v>15465</v>
      </c>
      <c r="CF383" s="50" t="s">
        <v>15466</v>
      </c>
      <c r="CG383" s="50" t="s">
        <v>5412</v>
      </c>
      <c r="CH383" s="50" t="s">
        <v>15467</v>
      </c>
      <c r="CJ383" s="50" t="s">
        <v>3970</v>
      </c>
      <c r="CK383" s="50" t="s">
        <v>15468</v>
      </c>
      <c r="CL383" s="50" t="s">
        <v>729</v>
      </c>
      <c r="CM383" s="50" t="s">
        <v>730</v>
      </c>
      <c r="CN383" s="50" t="s">
        <v>3970</v>
      </c>
      <c r="CO383" s="50" t="s">
        <v>5414</v>
      </c>
      <c r="CP383" s="50" t="s">
        <v>5413</v>
      </c>
      <c r="CQ383" s="50" t="s">
        <v>5413</v>
      </c>
    </row>
    <row r="384" spans="1:96">
      <c r="A384" s="95" t="s">
        <v>26356</v>
      </c>
      <c r="B384" s="50">
        <v>5018147</v>
      </c>
      <c r="C384" s="50" t="s">
        <v>13158</v>
      </c>
      <c r="D384" s="50" t="s">
        <v>10501</v>
      </c>
      <c r="E384" s="50" t="e">
        <f>VLOOKUP(B384,aa!B:F,5,0)</f>
        <v>#N/A</v>
      </c>
      <c r="F384" s="50" t="e">
        <f>VLOOKUP(B384,aa!B:J,9,0)</f>
        <v>#N/A</v>
      </c>
      <c r="G384" s="50" t="e">
        <f>VLOOKUP(B384,aa!B:L,11,0)</f>
        <v>#N/A</v>
      </c>
      <c r="H384" s="50" t="e">
        <f>VLOOKUP(B384,aa!B:O,14,0)</f>
        <v>#N/A</v>
      </c>
      <c r="I384" s="50" t="e">
        <f>VLOOKUP(B384,aa!B:R,17,0)</f>
        <v>#N/A</v>
      </c>
      <c r="K384" s="50" t="s">
        <v>97</v>
      </c>
      <c r="L384" s="50">
        <v>0</v>
      </c>
      <c r="M384" s="50">
        <v>0</v>
      </c>
      <c r="N384" s="50">
        <v>0</v>
      </c>
      <c r="O384" s="50">
        <v>110</v>
      </c>
      <c r="P384" s="50" t="s">
        <v>102</v>
      </c>
      <c r="Q384" s="50">
        <v>0</v>
      </c>
      <c r="R384" s="50">
        <v>0</v>
      </c>
      <c r="T384" s="50">
        <v>0</v>
      </c>
      <c r="U384" s="50">
        <v>0</v>
      </c>
      <c r="W384" s="50" t="s">
        <v>102</v>
      </c>
      <c r="X384" s="50" t="s">
        <v>275</v>
      </c>
      <c r="Z384" s="50" t="s">
        <v>14534</v>
      </c>
      <c r="AA384" s="50" t="s">
        <v>109</v>
      </c>
      <c r="AB384" s="50" t="s">
        <v>102</v>
      </c>
      <c r="AC384" s="50" t="s">
        <v>109</v>
      </c>
      <c r="AD384" s="50" t="s">
        <v>102</v>
      </c>
      <c r="AE384" s="50" t="s">
        <v>109</v>
      </c>
      <c r="AF384" s="50" t="s">
        <v>102</v>
      </c>
      <c r="AG384" s="50" t="s">
        <v>109</v>
      </c>
      <c r="AH384" s="50" t="s">
        <v>102</v>
      </c>
      <c r="AI384" s="50" t="s">
        <v>102</v>
      </c>
      <c r="AL384" s="50" t="s">
        <v>102</v>
      </c>
      <c r="AM384" s="50" t="s">
        <v>102</v>
      </c>
      <c r="AN384" s="50" t="s">
        <v>102</v>
      </c>
      <c r="AO384" s="50" t="s">
        <v>115</v>
      </c>
      <c r="AP384" s="50" t="s">
        <v>115</v>
      </c>
      <c r="AU384" s="50" t="s">
        <v>318</v>
      </c>
      <c r="AV384" s="50" t="s">
        <v>118</v>
      </c>
      <c r="AW384" s="50" t="s">
        <v>102</v>
      </c>
      <c r="AX384" s="50" t="s">
        <v>119</v>
      </c>
      <c r="BB384" s="50" t="s">
        <v>120</v>
      </c>
      <c r="BC384" s="50" t="s">
        <v>1407</v>
      </c>
      <c r="BD384" s="50" t="s">
        <v>449</v>
      </c>
      <c r="BE384" s="50" t="s">
        <v>122</v>
      </c>
      <c r="BF384" s="50" t="s">
        <v>450</v>
      </c>
      <c r="BG384" s="50" t="s">
        <v>124</v>
      </c>
      <c r="BH384" s="50" t="s">
        <v>2483</v>
      </c>
      <c r="BI384" s="50" t="s">
        <v>11889</v>
      </c>
      <c r="BJ384" s="50" t="s">
        <v>127</v>
      </c>
      <c r="BK384" s="50" t="s">
        <v>19416</v>
      </c>
      <c r="BL384" s="50" t="s">
        <v>10504</v>
      </c>
      <c r="BM384" s="50" t="s">
        <v>19417</v>
      </c>
      <c r="BN384" s="50" t="s">
        <v>12324</v>
      </c>
      <c r="BO384" s="50" t="s">
        <v>1108</v>
      </c>
      <c r="BP384" s="50" t="s">
        <v>505</v>
      </c>
      <c r="BQ384" s="50" t="s">
        <v>1109</v>
      </c>
      <c r="BR384" s="50" t="s">
        <v>1110</v>
      </c>
      <c r="BS384" s="50" t="s">
        <v>1111</v>
      </c>
      <c r="BU384" s="50" t="s">
        <v>19418</v>
      </c>
      <c r="BV384" s="50" t="s">
        <v>224</v>
      </c>
      <c r="BW384" s="50" t="s">
        <v>598</v>
      </c>
      <c r="BX384" s="50" t="s">
        <v>225</v>
      </c>
      <c r="BY384" s="50" t="s">
        <v>226</v>
      </c>
      <c r="BZ384" s="50" t="s">
        <v>4076</v>
      </c>
      <c r="CA384" s="50" t="s">
        <v>14538</v>
      </c>
      <c r="CB384" s="50" t="s">
        <v>14539</v>
      </c>
      <c r="CC384" s="50" t="s">
        <v>14540</v>
      </c>
      <c r="CD384" s="50" t="s">
        <v>14541</v>
      </c>
      <c r="CE384" s="50" t="s">
        <v>14542</v>
      </c>
      <c r="CF384" s="50" t="s">
        <v>14540</v>
      </c>
      <c r="CG384" s="50" t="s">
        <v>102</v>
      </c>
      <c r="CH384" s="50" t="s">
        <v>14543</v>
      </c>
      <c r="CJ384" s="50" t="s">
        <v>4078</v>
      </c>
      <c r="CL384" s="50" t="s">
        <v>1407</v>
      </c>
      <c r="CM384" s="50" t="s">
        <v>449</v>
      </c>
      <c r="CN384" s="50" t="s">
        <v>4078</v>
      </c>
      <c r="CP384" s="50" t="s">
        <v>4077</v>
      </c>
      <c r="CQ384" s="50" t="s">
        <v>4077</v>
      </c>
    </row>
    <row r="385" spans="1:96">
      <c r="A385" s="95" t="s">
        <v>26356</v>
      </c>
      <c r="B385" s="50">
        <v>5018148</v>
      </c>
      <c r="C385" s="50" t="s">
        <v>13158</v>
      </c>
      <c r="D385" s="50" t="s">
        <v>10507</v>
      </c>
      <c r="E385" s="50" t="e">
        <f>VLOOKUP(B385,aa!B:F,5,0)</f>
        <v>#N/A</v>
      </c>
      <c r="F385" s="50" t="e">
        <f>VLOOKUP(B385,aa!B:J,9,0)</f>
        <v>#N/A</v>
      </c>
      <c r="G385" s="50" t="e">
        <f>VLOOKUP(B385,aa!B:L,11,0)</f>
        <v>#N/A</v>
      </c>
      <c r="H385" s="50" t="e">
        <f>VLOOKUP(B385,aa!B:O,14,0)</f>
        <v>#N/A</v>
      </c>
      <c r="I385" s="50" t="e">
        <f>VLOOKUP(B385,aa!B:R,17,0)</f>
        <v>#N/A</v>
      </c>
      <c r="K385" s="50" t="s">
        <v>97</v>
      </c>
      <c r="L385" s="50">
        <v>0</v>
      </c>
      <c r="M385" s="50">
        <v>0</v>
      </c>
      <c r="N385" s="50">
        <v>0</v>
      </c>
      <c r="O385" s="50">
        <v>29</v>
      </c>
      <c r="P385" s="50" t="s">
        <v>102</v>
      </c>
      <c r="Q385" s="50">
        <v>0</v>
      </c>
      <c r="R385" s="50">
        <v>0</v>
      </c>
      <c r="T385" s="50">
        <v>0</v>
      </c>
      <c r="U385" s="50">
        <v>0</v>
      </c>
      <c r="W385" s="50" t="s">
        <v>102</v>
      </c>
      <c r="X385" s="50" t="s">
        <v>275</v>
      </c>
      <c r="Z385" s="50" t="s">
        <v>14534</v>
      </c>
      <c r="AA385" s="50" t="s">
        <v>109</v>
      </c>
      <c r="AB385" s="50" t="s">
        <v>102</v>
      </c>
      <c r="AC385" s="50" t="s">
        <v>109</v>
      </c>
      <c r="AD385" s="50" t="s">
        <v>102</v>
      </c>
      <c r="AE385" s="50" t="s">
        <v>109</v>
      </c>
      <c r="AF385" s="50" t="s">
        <v>102</v>
      </c>
      <c r="AG385" s="50" t="s">
        <v>109</v>
      </c>
      <c r="AH385" s="50" t="s">
        <v>102</v>
      </c>
      <c r="AI385" s="50" t="s">
        <v>102</v>
      </c>
      <c r="AL385" s="50" t="s">
        <v>102</v>
      </c>
      <c r="AM385" s="50" t="s">
        <v>102</v>
      </c>
      <c r="AN385" s="50" t="s">
        <v>102</v>
      </c>
      <c r="AO385" s="50" t="s">
        <v>115</v>
      </c>
      <c r="AP385" s="50" t="s">
        <v>115</v>
      </c>
      <c r="AU385" s="50" t="s">
        <v>318</v>
      </c>
      <c r="AV385" s="50" t="s">
        <v>118</v>
      </c>
      <c r="AW385" s="50" t="s">
        <v>102</v>
      </c>
      <c r="AX385" s="50" t="s">
        <v>119</v>
      </c>
      <c r="BB385" s="50" t="s">
        <v>120</v>
      </c>
      <c r="BC385" s="50" t="s">
        <v>1407</v>
      </c>
      <c r="BD385" s="50" t="s">
        <v>449</v>
      </c>
      <c r="BE385" s="50" t="s">
        <v>122</v>
      </c>
      <c r="BF385" s="50" t="s">
        <v>450</v>
      </c>
      <c r="BG385" s="50" t="s">
        <v>124</v>
      </c>
      <c r="BH385" s="50" t="s">
        <v>2483</v>
      </c>
      <c r="BI385" s="50" t="s">
        <v>11889</v>
      </c>
      <c r="BJ385" s="50" t="s">
        <v>127</v>
      </c>
      <c r="BK385" s="50" t="s">
        <v>19419</v>
      </c>
      <c r="BL385" s="50" t="s">
        <v>10510</v>
      </c>
      <c r="BM385" s="50" t="s">
        <v>19420</v>
      </c>
      <c r="BN385" s="50" t="s">
        <v>12324</v>
      </c>
      <c r="BO385" s="50" t="s">
        <v>1108</v>
      </c>
      <c r="BP385" s="50" t="s">
        <v>350</v>
      </c>
      <c r="BQ385" s="50" t="s">
        <v>1109</v>
      </c>
      <c r="BR385" s="50" t="s">
        <v>1110</v>
      </c>
      <c r="BS385" s="50" t="s">
        <v>1111</v>
      </c>
      <c r="BU385" s="50" t="s">
        <v>19421</v>
      </c>
      <c r="BV385" s="50" t="s">
        <v>224</v>
      </c>
      <c r="BW385" s="50" t="s">
        <v>598</v>
      </c>
      <c r="BX385" s="50" t="s">
        <v>225</v>
      </c>
      <c r="BY385" s="50" t="s">
        <v>226</v>
      </c>
      <c r="BZ385" s="50" t="s">
        <v>4076</v>
      </c>
      <c r="CA385" s="50" t="s">
        <v>14538</v>
      </c>
      <c r="CB385" s="50" t="s">
        <v>14539</v>
      </c>
      <c r="CC385" s="50" t="s">
        <v>14540</v>
      </c>
      <c r="CD385" s="50" t="s">
        <v>14541</v>
      </c>
      <c r="CE385" s="50" t="s">
        <v>14542</v>
      </c>
      <c r="CF385" s="50" t="s">
        <v>14540</v>
      </c>
      <c r="CG385" s="50" t="s">
        <v>102</v>
      </c>
      <c r="CH385" s="50" t="s">
        <v>14543</v>
      </c>
      <c r="CJ385" s="50" t="s">
        <v>4078</v>
      </c>
      <c r="CL385" s="50" t="s">
        <v>1407</v>
      </c>
      <c r="CM385" s="50" t="s">
        <v>449</v>
      </c>
      <c r="CN385" s="50" t="s">
        <v>4078</v>
      </c>
      <c r="CP385" s="50" t="s">
        <v>4077</v>
      </c>
      <c r="CQ385" s="50" t="s">
        <v>4077</v>
      </c>
    </row>
    <row r="386" spans="1:96">
      <c r="A386" s="95" t="s">
        <v>26356</v>
      </c>
      <c r="B386" s="50">
        <v>5018150</v>
      </c>
      <c r="C386" s="50" t="s">
        <v>13158</v>
      </c>
      <c r="D386" s="50" t="s">
        <v>19422</v>
      </c>
      <c r="E386" s="50" t="e">
        <f>VLOOKUP(B386,aa!B:F,5,0)</f>
        <v>#N/A</v>
      </c>
      <c r="F386" s="50" t="e">
        <f>VLOOKUP(B386,aa!B:J,9,0)</f>
        <v>#N/A</v>
      </c>
      <c r="G386" s="50" t="e">
        <f>VLOOKUP(B386,aa!B:L,11,0)</f>
        <v>#N/A</v>
      </c>
      <c r="H386" s="50" t="e">
        <f>VLOOKUP(B386,aa!B:O,14,0)</f>
        <v>#N/A</v>
      </c>
      <c r="I386" s="50" t="e">
        <f>VLOOKUP(B386,aa!B:R,17,0)</f>
        <v>#N/A</v>
      </c>
      <c r="K386" s="50" t="s">
        <v>97</v>
      </c>
      <c r="L386" s="50">
        <v>0</v>
      </c>
      <c r="M386" s="50">
        <v>0</v>
      </c>
      <c r="N386" s="50">
        <v>0</v>
      </c>
      <c r="O386" s="50">
        <v>73</v>
      </c>
      <c r="P386" s="50" t="s">
        <v>102</v>
      </c>
      <c r="Q386" s="50">
        <v>0</v>
      </c>
      <c r="R386" s="50">
        <v>0</v>
      </c>
      <c r="T386" s="50">
        <v>0</v>
      </c>
      <c r="U386" s="50">
        <v>0</v>
      </c>
      <c r="W386" s="50" t="s">
        <v>102</v>
      </c>
      <c r="X386" s="50" t="s">
        <v>275</v>
      </c>
      <c r="Z386" s="50" t="s">
        <v>14534</v>
      </c>
      <c r="AA386" s="50" t="s">
        <v>109</v>
      </c>
      <c r="AB386" s="50" t="s">
        <v>102</v>
      </c>
      <c r="AC386" s="50" t="s">
        <v>109</v>
      </c>
      <c r="AD386" s="50" t="s">
        <v>102</v>
      </c>
      <c r="AE386" s="50" t="s">
        <v>109</v>
      </c>
      <c r="AF386" s="50" t="s">
        <v>102</v>
      </c>
      <c r="AG386" s="50" t="s">
        <v>109</v>
      </c>
      <c r="AH386" s="50" t="s">
        <v>102</v>
      </c>
      <c r="AI386" s="50" t="s">
        <v>102</v>
      </c>
      <c r="AL386" s="50" t="s">
        <v>102</v>
      </c>
      <c r="AM386" s="50" t="s">
        <v>102</v>
      </c>
      <c r="AN386" s="50" t="s">
        <v>102</v>
      </c>
      <c r="AO386" s="50" t="s">
        <v>115</v>
      </c>
      <c r="AP386" s="50" t="s">
        <v>115</v>
      </c>
      <c r="AU386" s="50" t="s">
        <v>318</v>
      </c>
      <c r="AV386" s="50" t="s">
        <v>118</v>
      </c>
      <c r="AW386" s="50" t="s">
        <v>102</v>
      </c>
      <c r="AX386" s="50" t="s">
        <v>119</v>
      </c>
      <c r="BB386" s="50" t="s">
        <v>120</v>
      </c>
      <c r="BC386" s="50" t="s">
        <v>3058</v>
      </c>
      <c r="BD386" s="50" t="s">
        <v>320</v>
      </c>
      <c r="BE386" s="50" t="s">
        <v>122</v>
      </c>
      <c r="BF386" s="50" t="s">
        <v>123</v>
      </c>
      <c r="BG386" s="50" t="s">
        <v>124</v>
      </c>
      <c r="BH386" s="50" t="s">
        <v>12324</v>
      </c>
      <c r="BI386" s="50" t="s">
        <v>11889</v>
      </c>
      <c r="BJ386" s="50" t="s">
        <v>127</v>
      </c>
      <c r="BK386" s="50" t="s">
        <v>19423</v>
      </c>
      <c r="BL386" s="50" t="s">
        <v>10516</v>
      </c>
      <c r="BM386" s="50" t="s">
        <v>19424</v>
      </c>
      <c r="BN386" s="50" t="s">
        <v>12324</v>
      </c>
      <c r="BO386" s="50" t="s">
        <v>1108</v>
      </c>
      <c r="BP386" s="50" t="s">
        <v>180</v>
      </c>
      <c r="BQ386" s="50" t="s">
        <v>1109</v>
      </c>
      <c r="BR386" s="50" t="s">
        <v>1110</v>
      </c>
      <c r="BS386" s="50" t="s">
        <v>1111</v>
      </c>
      <c r="BU386" s="50" t="s">
        <v>19425</v>
      </c>
      <c r="BV386" s="50" t="s">
        <v>224</v>
      </c>
      <c r="BW386" s="50" t="s">
        <v>598</v>
      </c>
      <c r="BX386" s="50" t="s">
        <v>225</v>
      </c>
      <c r="BY386" s="50" t="s">
        <v>226</v>
      </c>
      <c r="BZ386" s="50" t="s">
        <v>10519</v>
      </c>
      <c r="CA386" s="50" t="s">
        <v>19426</v>
      </c>
      <c r="CB386" s="50" t="s">
        <v>10519</v>
      </c>
      <c r="CC386" s="50" t="s">
        <v>19427</v>
      </c>
      <c r="CD386" s="50" t="s">
        <v>19428</v>
      </c>
      <c r="CE386" s="50" t="s">
        <v>19429</v>
      </c>
      <c r="CF386" s="50" t="s">
        <v>19427</v>
      </c>
      <c r="CG386" s="50" t="s">
        <v>102</v>
      </c>
      <c r="CH386" s="50" t="s">
        <v>19430</v>
      </c>
      <c r="CJ386" s="50" t="s">
        <v>3070</v>
      </c>
      <c r="CL386" s="50" t="s">
        <v>3058</v>
      </c>
      <c r="CM386" s="50" t="s">
        <v>320</v>
      </c>
      <c r="CN386" s="50" t="s">
        <v>3070</v>
      </c>
      <c r="CP386" s="50" t="s">
        <v>10520</v>
      </c>
      <c r="CQ386" s="50" t="s">
        <v>10520</v>
      </c>
    </row>
    <row r="387" spans="1:96">
      <c r="A387" s="95" t="s">
        <v>26356</v>
      </c>
      <c r="B387" s="50">
        <v>5018151</v>
      </c>
      <c r="C387" s="50" t="s">
        <v>13158</v>
      </c>
      <c r="D387" s="50" t="s">
        <v>18935</v>
      </c>
      <c r="E387" s="50" t="e">
        <f>VLOOKUP(B387,aa!B:F,5,0)</f>
        <v>#N/A</v>
      </c>
      <c r="F387" s="50" t="e">
        <f>VLOOKUP(B387,aa!B:J,9,0)</f>
        <v>#N/A</v>
      </c>
      <c r="G387" s="50" t="e">
        <f>VLOOKUP(B387,aa!B:L,11,0)</f>
        <v>#N/A</v>
      </c>
      <c r="H387" s="50" t="e">
        <f>VLOOKUP(B387,aa!B:O,14,0)</f>
        <v>#N/A</v>
      </c>
      <c r="I387" s="50" t="e">
        <f>VLOOKUP(B387,aa!B:R,17,0)</f>
        <v>#N/A</v>
      </c>
      <c r="K387" s="50" t="s">
        <v>97</v>
      </c>
      <c r="L387" s="50">
        <v>0</v>
      </c>
      <c r="M387" s="50">
        <v>0</v>
      </c>
      <c r="N387" s="50">
        <v>0</v>
      </c>
      <c r="O387" s="50">
        <v>16</v>
      </c>
      <c r="P387" s="50" t="s">
        <v>102</v>
      </c>
      <c r="Q387" s="50">
        <v>0</v>
      </c>
      <c r="R387" s="50">
        <v>0</v>
      </c>
      <c r="T387" s="50">
        <v>0</v>
      </c>
      <c r="U387" s="50">
        <v>0</v>
      </c>
      <c r="W387" s="50" t="s">
        <v>102</v>
      </c>
      <c r="X387" s="50" t="s">
        <v>275</v>
      </c>
      <c r="Z387" s="50" t="s">
        <v>14534</v>
      </c>
      <c r="AA387" s="50" t="s">
        <v>109</v>
      </c>
      <c r="AB387" s="50" t="s">
        <v>102</v>
      </c>
      <c r="AC387" s="50" t="s">
        <v>109</v>
      </c>
      <c r="AD387" s="50" t="s">
        <v>102</v>
      </c>
      <c r="AE387" s="50" t="s">
        <v>109</v>
      </c>
      <c r="AF387" s="50" t="s">
        <v>102</v>
      </c>
      <c r="AG387" s="50" t="s">
        <v>109</v>
      </c>
      <c r="AH387" s="50" t="s">
        <v>102</v>
      </c>
      <c r="AI387" s="50" t="s">
        <v>102</v>
      </c>
      <c r="AL387" s="50" t="s">
        <v>102</v>
      </c>
      <c r="AM387" s="50" t="s">
        <v>102</v>
      </c>
      <c r="AN387" s="50" t="s">
        <v>102</v>
      </c>
      <c r="AO387" s="50" t="s">
        <v>115</v>
      </c>
      <c r="AP387" s="50" t="s">
        <v>115</v>
      </c>
      <c r="AU387" s="50" t="s">
        <v>318</v>
      </c>
      <c r="AV387" s="50" t="s">
        <v>118</v>
      </c>
      <c r="AW387" s="50" t="s">
        <v>102</v>
      </c>
      <c r="AX387" s="50" t="s">
        <v>119</v>
      </c>
      <c r="BB387" s="50" t="s">
        <v>120</v>
      </c>
      <c r="BC387" s="50" t="s">
        <v>3058</v>
      </c>
      <c r="BD387" s="50" t="s">
        <v>320</v>
      </c>
      <c r="BE387" s="50" t="s">
        <v>122</v>
      </c>
      <c r="BF387" s="50" t="s">
        <v>123</v>
      </c>
      <c r="BG387" s="50" t="s">
        <v>124</v>
      </c>
      <c r="BH387" s="50" t="s">
        <v>12911</v>
      </c>
      <c r="BI387" s="50" t="s">
        <v>11889</v>
      </c>
      <c r="BJ387" s="50" t="s">
        <v>127</v>
      </c>
      <c r="BK387" s="50" t="s">
        <v>19431</v>
      </c>
      <c r="BL387" s="50" t="s">
        <v>10524</v>
      </c>
      <c r="BM387" s="50" t="s">
        <v>19432</v>
      </c>
      <c r="BN387" s="50" t="s">
        <v>12324</v>
      </c>
      <c r="BO387" s="50" t="s">
        <v>1108</v>
      </c>
      <c r="BP387" s="50" t="s">
        <v>180</v>
      </c>
      <c r="BQ387" s="50" t="s">
        <v>1109</v>
      </c>
      <c r="BR387" s="50" t="s">
        <v>1110</v>
      </c>
      <c r="BS387" s="50" t="s">
        <v>1111</v>
      </c>
      <c r="BU387" s="50" t="s">
        <v>19433</v>
      </c>
      <c r="BV387" s="50" t="s">
        <v>224</v>
      </c>
      <c r="BW387" s="50" t="s">
        <v>598</v>
      </c>
      <c r="BX387" s="50" t="s">
        <v>225</v>
      </c>
      <c r="BY387" s="50" t="s">
        <v>226</v>
      </c>
      <c r="BZ387" s="50" t="s">
        <v>10519</v>
      </c>
      <c r="CA387" s="50" t="s">
        <v>19426</v>
      </c>
      <c r="CB387" s="50" t="s">
        <v>10519</v>
      </c>
      <c r="CC387" s="50" t="s">
        <v>19427</v>
      </c>
      <c r="CD387" s="50" t="s">
        <v>19428</v>
      </c>
      <c r="CE387" s="50" t="s">
        <v>19429</v>
      </c>
      <c r="CF387" s="50" t="s">
        <v>19427</v>
      </c>
      <c r="CG387" s="50" t="s">
        <v>102</v>
      </c>
      <c r="CH387" s="50" t="s">
        <v>19430</v>
      </c>
      <c r="CJ387" s="50" t="s">
        <v>3070</v>
      </c>
      <c r="CL387" s="50" t="s">
        <v>3058</v>
      </c>
      <c r="CM387" s="50" t="s">
        <v>320</v>
      </c>
      <c r="CN387" s="50" t="s">
        <v>3070</v>
      </c>
      <c r="CP387" s="50" t="s">
        <v>10527</v>
      </c>
      <c r="CQ387" s="50" t="s">
        <v>10527</v>
      </c>
    </row>
    <row r="388" spans="1:96">
      <c r="A388" s="95" t="s">
        <v>26356</v>
      </c>
      <c r="B388" s="50">
        <v>5018152</v>
      </c>
      <c r="C388" s="50" t="s">
        <v>13158</v>
      </c>
      <c r="D388" s="50" t="s">
        <v>19422</v>
      </c>
      <c r="E388" s="50" t="e">
        <f>VLOOKUP(B388,aa!B:F,5,0)</f>
        <v>#N/A</v>
      </c>
      <c r="F388" s="50" t="e">
        <f>VLOOKUP(B388,aa!B:J,9,0)</f>
        <v>#N/A</v>
      </c>
      <c r="G388" s="50" t="e">
        <f>VLOOKUP(B388,aa!B:L,11,0)</f>
        <v>#N/A</v>
      </c>
      <c r="H388" s="50" t="e">
        <f>VLOOKUP(B388,aa!B:O,14,0)</f>
        <v>#N/A</v>
      </c>
      <c r="I388" s="50" t="e">
        <f>VLOOKUP(B388,aa!B:R,17,0)</f>
        <v>#N/A</v>
      </c>
      <c r="K388" s="50" t="s">
        <v>97</v>
      </c>
      <c r="L388" s="50">
        <v>0</v>
      </c>
      <c r="M388" s="50">
        <v>0</v>
      </c>
      <c r="N388" s="50">
        <v>0</v>
      </c>
      <c r="O388" s="50">
        <v>144</v>
      </c>
      <c r="P388" s="50" t="s">
        <v>102</v>
      </c>
      <c r="Q388" s="50">
        <v>0</v>
      </c>
      <c r="R388" s="50">
        <v>0</v>
      </c>
      <c r="T388" s="50">
        <v>0</v>
      </c>
      <c r="U388" s="50">
        <v>0</v>
      </c>
      <c r="W388" s="50" t="s">
        <v>102</v>
      </c>
      <c r="X388" s="50" t="s">
        <v>275</v>
      </c>
      <c r="Z388" s="50" t="s">
        <v>14534</v>
      </c>
      <c r="AA388" s="50" t="s">
        <v>109</v>
      </c>
      <c r="AB388" s="50" t="s">
        <v>102</v>
      </c>
      <c r="AC388" s="50" t="s">
        <v>109</v>
      </c>
      <c r="AD388" s="50" t="s">
        <v>102</v>
      </c>
      <c r="AE388" s="50" t="s">
        <v>109</v>
      </c>
      <c r="AF388" s="50" t="s">
        <v>102</v>
      </c>
      <c r="AG388" s="50" t="s">
        <v>109</v>
      </c>
      <c r="AH388" s="50" t="s">
        <v>102</v>
      </c>
      <c r="AI388" s="50" t="s">
        <v>102</v>
      </c>
      <c r="AL388" s="50" t="s">
        <v>102</v>
      </c>
      <c r="AM388" s="50" t="s">
        <v>102</v>
      </c>
      <c r="AN388" s="50" t="s">
        <v>102</v>
      </c>
      <c r="AO388" s="50" t="s">
        <v>115</v>
      </c>
      <c r="AP388" s="50" t="s">
        <v>115</v>
      </c>
      <c r="AU388" s="50" t="s">
        <v>318</v>
      </c>
      <c r="AV388" s="50" t="s">
        <v>118</v>
      </c>
      <c r="AW388" s="50" t="s">
        <v>102</v>
      </c>
      <c r="AX388" s="50" t="s">
        <v>119</v>
      </c>
      <c r="BB388" s="50" t="s">
        <v>3678</v>
      </c>
      <c r="BC388" s="50" t="s">
        <v>4153</v>
      </c>
      <c r="BD388" s="50" t="s">
        <v>320</v>
      </c>
      <c r="BE388" s="50" t="s">
        <v>122</v>
      </c>
      <c r="BF388" s="50" t="s">
        <v>123</v>
      </c>
      <c r="BG388" s="50" t="s">
        <v>124</v>
      </c>
      <c r="BH388" s="50" t="s">
        <v>2483</v>
      </c>
      <c r="BI388" s="50" t="s">
        <v>11889</v>
      </c>
      <c r="BJ388" s="50" t="s">
        <v>127</v>
      </c>
      <c r="BK388" s="50" t="s">
        <v>19434</v>
      </c>
      <c r="BL388" s="50" t="s">
        <v>10531</v>
      </c>
      <c r="BM388" s="50" t="s">
        <v>19435</v>
      </c>
      <c r="BN388" s="50" t="s">
        <v>12324</v>
      </c>
      <c r="BO388" s="50" t="s">
        <v>1108</v>
      </c>
      <c r="BP388" s="50" t="s">
        <v>350</v>
      </c>
      <c r="BQ388" s="50" t="s">
        <v>1109</v>
      </c>
      <c r="BR388" s="50" t="s">
        <v>1110</v>
      </c>
      <c r="BS388" s="50" t="s">
        <v>1111</v>
      </c>
      <c r="BU388" s="50" t="s">
        <v>19436</v>
      </c>
      <c r="BV388" s="50" t="s">
        <v>224</v>
      </c>
      <c r="BW388" s="50" t="s">
        <v>598</v>
      </c>
      <c r="BX388" s="50" t="s">
        <v>225</v>
      </c>
      <c r="BY388" s="50" t="s">
        <v>226</v>
      </c>
      <c r="BZ388" s="50" t="s">
        <v>9785</v>
      </c>
      <c r="CA388" s="50" t="s">
        <v>19437</v>
      </c>
      <c r="CB388" s="50" t="s">
        <v>9785</v>
      </c>
      <c r="CC388" s="50" t="s">
        <v>19438</v>
      </c>
      <c r="CD388" s="50" t="s">
        <v>19439</v>
      </c>
      <c r="CE388" s="50" t="s">
        <v>19440</v>
      </c>
      <c r="CF388" s="50" t="s">
        <v>19438</v>
      </c>
      <c r="CG388" s="50" t="s">
        <v>102</v>
      </c>
      <c r="CH388" s="50" t="s">
        <v>19441</v>
      </c>
      <c r="CJ388" s="50" t="s">
        <v>4160</v>
      </c>
      <c r="CL388" s="50" t="s">
        <v>4153</v>
      </c>
      <c r="CM388" s="50" t="s">
        <v>320</v>
      </c>
      <c r="CN388" s="50" t="s">
        <v>4160</v>
      </c>
      <c r="CP388" s="50" t="s">
        <v>10536</v>
      </c>
      <c r="CQ388" s="50" t="s">
        <v>10536</v>
      </c>
    </row>
    <row r="389" spans="1:96">
      <c r="A389" s="95" t="s">
        <v>26356</v>
      </c>
      <c r="B389" s="50">
        <v>5018153</v>
      </c>
      <c r="C389" s="50" t="s">
        <v>13158</v>
      </c>
      <c r="D389" s="50" t="s">
        <v>10537</v>
      </c>
      <c r="E389" s="50" t="e">
        <f>VLOOKUP(B389,aa!B:F,5,0)</f>
        <v>#N/A</v>
      </c>
      <c r="F389" s="50" t="e">
        <f>VLOOKUP(B389,aa!B:J,9,0)</f>
        <v>#N/A</v>
      </c>
      <c r="G389" s="50" t="e">
        <f>VLOOKUP(B389,aa!B:L,11,0)</f>
        <v>#N/A</v>
      </c>
      <c r="H389" s="50" t="e">
        <f>VLOOKUP(B389,aa!B:O,14,0)</f>
        <v>#N/A</v>
      </c>
      <c r="I389" s="50" t="e">
        <f>VLOOKUP(B389,aa!B:R,17,0)</f>
        <v>#N/A</v>
      </c>
      <c r="K389" s="50" t="s">
        <v>97</v>
      </c>
      <c r="L389" s="50">
        <v>1539059</v>
      </c>
      <c r="M389" s="50">
        <v>1539059</v>
      </c>
      <c r="N389" s="50">
        <v>1539059</v>
      </c>
      <c r="O389" s="50">
        <v>1509</v>
      </c>
      <c r="P389" s="50" t="s">
        <v>19442</v>
      </c>
      <c r="Q389" s="50">
        <v>0</v>
      </c>
      <c r="R389" s="50">
        <v>0</v>
      </c>
      <c r="T389" s="50">
        <v>0</v>
      </c>
      <c r="U389" s="50">
        <v>0</v>
      </c>
      <c r="W389" s="50" t="s">
        <v>102</v>
      </c>
      <c r="X389" s="50" t="s">
        <v>103</v>
      </c>
      <c r="Y389" s="50" t="s">
        <v>104</v>
      </c>
      <c r="AA389" s="50" t="s">
        <v>12312</v>
      </c>
      <c r="AB389" s="50" t="s">
        <v>19443</v>
      </c>
      <c r="AC389" s="50" t="s">
        <v>12427</v>
      </c>
      <c r="AD389" s="50" t="s">
        <v>19443</v>
      </c>
      <c r="AE389" s="50" t="s">
        <v>109</v>
      </c>
      <c r="AF389" s="50" t="s">
        <v>102</v>
      </c>
      <c r="AG389" s="50" t="s">
        <v>109</v>
      </c>
      <c r="AH389" s="50" t="s">
        <v>102</v>
      </c>
      <c r="AI389" s="50" t="s">
        <v>102</v>
      </c>
      <c r="AL389" s="50" t="s">
        <v>19444</v>
      </c>
      <c r="AM389" s="50" t="s">
        <v>102</v>
      </c>
      <c r="AN389" s="50" t="s">
        <v>19444</v>
      </c>
      <c r="AO389" s="50" t="s">
        <v>19445</v>
      </c>
      <c r="AP389" s="50" t="s">
        <v>19445</v>
      </c>
      <c r="AU389" s="50" t="s">
        <v>318</v>
      </c>
      <c r="AV389" s="50" t="s">
        <v>118</v>
      </c>
      <c r="AW389" s="50" t="s">
        <v>102</v>
      </c>
      <c r="AX389" s="50" t="s">
        <v>119</v>
      </c>
      <c r="BB389" s="50" t="s">
        <v>120</v>
      </c>
      <c r="BC389" s="50" t="s">
        <v>1407</v>
      </c>
      <c r="BD389" s="50" t="s">
        <v>449</v>
      </c>
      <c r="BE389" s="50" t="s">
        <v>122</v>
      </c>
      <c r="BF389" s="50" t="s">
        <v>450</v>
      </c>
      <c r="BG389" s="50" t="s">
        <v>124</v>
      </c>
      <c r="BH389" s="50" t="s">
        <v>12425</v>
      </c>
      <c r="BI389" s="50" t="s">
        <v>11889</v>
      </c>
      <c r="BJ389" s="50" t="s">
        <v>127</v>
      </c>
      <c r="BK389" s="50" t="s">
        <v>19446</v>
      </c>
      <c r="BL389" s="50" t="s">
        <v>10548</v>
      </c>
      <c r="BM389" s="50" t="s">
        <v>19447</v>
      </c>
      <c r="BN389" s="50" t="s">
        <v>12324</v>
      </c>
      <c r="BO389" s="50" t="s">
        <v>1108</v>
      </c>
      <c r="BP389" s="50" t="s">
        <v>350</v>
      </c>
      <c r="BQ389" s="50" t="s">
        <v>1109</v>
      </c>
      <c r="BR389" s="50" t="s">
        <v>1110</v>
      </c>
      <c r="BS389" s="50" t="s">
        <v>1111</v>
      </c>
      <c r="BU389" s="50" t="s">
        <v>19448</v>
      </c>
      <c r="BV389" s="50" t="s">
        <v>19449</v>
      </c>
      <c r="BW389" s="50" t="s">
        <v>569</v>
      </c>
      <c r="BX389" s="50" t="s">
        <v>19450</v>
      </c>
      <c r="BY389" s="50" t="s">
        <v>19451</v>
      </c>
      <c r="CA389" s="50" t="s">
        <v>19452</v>
      </c>
      <c r="CB389" s="50" t="s">
        <v>5917</v>
      </c>
      <c r="CC389" s="50" t="s">
        <v>19453</v>
      </c>
      <c r="CD389" s="50" t="s">
        <v>19454</v>
      </c>
      <c r="CE389" s="50" t="s">
        <v>19450</v>
      </c>
      <c r="CF389" s="50" t="s">
        <v>19451</v>
      </c>
      <c r="CG389" s="50" t="s">
        <v>102</v>
      </c>
      <c r="CH389" s="50" t="s">
        <v>19455</v>
      </c>
      <c r="CJ389" s="50" t="s">
        <v>1419</v>
      </c>
      <c r="CL389" s="50" t="s">
        <v>1407</v>
      </c>
      <c r="CM389" s="50" t="s">
        <v>449</v>
      </c>
      <c r="CN389" s="50" t="s">
        <v>1419</v>
      </c>
      <c r="CO389" s="50" t="s">
        <v>5919</v>
      </c>
      <c r="CP389" s="50" t="s">
        <v>10551</v>
      </c>
      <c r="CQ389" s="50" t="s">
        <v>10551</v>
      </c>
    </row>
    <row r="390" spans="1:96">
      <c r="A390" s="50" t="s">
        <v>93</v>
      </c>
      <c r="B390" s="50">
        <v>5054739</v>
      </c>
      <c r="C390" s="50" t="s">
        <v>384</v>
      </c>
      <c r="D390" s="50" t="s">
        <v>20596</v>
      </c>
      <c r="E390" s="50" t="str">
        <f>VLOOKUP(B390,aa!B:F,5,0)</f>
        <v>Ei CARES</v>
      </c>
      <c r="F390" s="50">
        <f>VLOOKUP(B390,aa!B:J,9,0)</f>
        <v>460037</v>
      </c>
      <c r="G390" s="50">
        <f>VLOOKUP(B390,aa!B:L,11,0)</f>
        <v>0</v>
      </c>
      <c r="H390" s="50">
        <f>VLOOKUP(B390,aa!B:O,14,0)</f>
        <v>460037</v>
      </c>
      <c r="I390" s="50">
        <f>VLOOKUP(B390,aa!B:R,17,0)</f>
        <v>0</v>
      </c>
      <c r="K390" s="50" t="s">
        <v>152</v>
      </c>
      <c r="L390" s="50">
        <v>94913</v>
      </c>
      <c r="M390" s="50">
        <v>94913</v>
      </c>
      <c r="N390" s="50">
        <v>0</v>
      </c>
      <c r="O390" s="50">
        <v>0</v>
      </c>
      <c r="Q390" s="50">
        <v>94913</v>
      </c>
      <c r="R390" s="50">
        <v>184</v>
      </c>
      <c r="S390" s="50" t="s">
        <v>20598</v>
      </c>
      <c r="T390" s="50">
        <v>0</v>
      </c>
      <c r="U390" s="50">
        <v>0</v>
      </c>
      <c r="W390" s="50" t="s">
        <v>102</v>
      </c>
      <c r="X390" s="50" t="s">
        <v>679</v>
      </c>
      <c r="Y390" s="50" t="s">
        <v>155</v>
      </c>
      <c r="Z390" s="50" t="s">
        <v>20599</v>
      </c>
      <c r="AA390" s="50" t="s">
        <v>20600</v>
      </c>
      <c r="AB390" s="50" t="s">
        <v>20601</v>
      </c>
      <c r="AC390" s="50" t="s">
        <v>17049</v>
      </c>
      <c r="AD390" s="50" t="s">
        <v>20601</v>
      </c>
      <c r="AE390" s="50" t="s">
        <v>20602</v>
      </c>
      <c r="AF390" s="50" t="s">
        <v>20601</v>
      </c>
      <c r="AG390" s="50" t="s">
        <v>20603</v>
      </c>
      <c r="AH390" s="50" t="s">
        <v>20601</v>
      </c>
      <c r="AI390" s="50" t="s">
        <v>102</v>
      </c>
      <c r="AJ390" s="50" t="s">
        <v>12324</v>
      </c>
      <c r="AK390" s="50" t="s">
        <v>15642</v>
      </c>
      <c r="AL390" s="50" t="s">
        <v>20604</v>
      </c>
      <c r="AM390" s="50" t="s">
        <v>20605</v>
      </c>
      <c r="AN390" s="50" t="s">
        <v>20606</v>
      </c>
      <c r="AO390" s="50" t="s">
        <v>20607</v>
      </c>
      <c r="AP390" s="50" t="s">
        <v>20607</v>
      </c>
      <c r="AU390" s="50" t="s">
        <v>102</v>
      </c>
      <c r="AW390" s="50" t="s">
        <v>104</v>
      </c>
      <c r="AX390" s="50" t="s">
        <v>447</v>
      </c>
      <c r="AY390" s="50" t="s">
        <v>170</v>
      </c>
      <c r="AZ390" s="50" t="s">
        <v>118</v>
      </c>
      <c r="BB390" s="50" t="s">
        <v>1964</v>
      </c>
      <c r="BC390" s="50" t="s">
        <v>19597</v>
      </c>
      <c r="BD390" s="50" t="s">
        <v>376</v>
      </c>
      <c r="BE390" s="50" t="s">
        <v>174</v>
      </c>
      <c r="BF390" s="50" t="s">
        <v>376</v>
      </c>
      <c r="BG390" s="50" t="s">
        <v>124</v>
      </c>
      <c r="BH390" s="50" t="s">
        <v>12324</v>
      </c>
      <c r="BI390" s="50" t="s">
        <v>11889</v>
      </c>
      <c r="BJ390" s="50" t="s">
        <v>127</v>
      </c>
      <c r="BK390" s="50" t="s">
        <v>20608</v>
      </c>
      <c r="BL390" s="50" t="s">
        <v>20609</v>
      </c>
      <c r="BM390" s="50" t="s">
        <v>20610</v>
      </c>
      <c r="BN390" s="50" t="s">
        <v>20597</v>
      </c>
      <c r="BO390" s="50" t="s">
        <v>13780</v>
      </c>
      <c r="BP390" s="50" t="s">
        <v>180</v>
      </c>
      <c r="BQ390" s="50" t="s">
        <v>13781</v>
      </c>
      <c r="BR390" s="50" t="s">
        <v>13782</v>
      </c>
      <c r="BS390" s="50" t="s">
        <v>13783</v>
      </c>
      <c r="BU390" s="50" t="s">
        <v>20611</v>
      </c>
      <c r="BV390" s="50" t="s">
        <v>20612</v>
      </c>
      <c r="BW390" s="50" t="s">
        <v>3121</v>
      </c>
      <c r="BX390" s="50" t="s">
        <v>20613</v>
      </c>
      <c r="BY390" s="50" t="s">
        <v>20614</v>
      </c>
      <c r="BZ390" s="50" t="s">
        <v>20615</v>
      </c>
      <c r="CA390" s="50" t="s">
        <v>20612</v>
      </c>
      <c r="CB390" s="50" t="s">
        <v>20613</v>
      </c>
      <c r="CC390" s="50" t="s">
        <v>20614</v>
      </c>
      <c r="CD390" s="50" t="s">
        <v>20612</v>
      </c>
      <c r="CE390" s="50" t="s">
        <v>20613</v>
      </c>
      <c r="CF390" s="50" t="s">
        <v>20614</v>
      </c>
      <c r="CG390" s="50" t="s">
        <v>6370</v>
      </c>
      <c r="CH390" s="50" t="s">
        <v>20616</v>
      </c>
      <c r="CJ390" s="50" t="s">
        <v>20617</v>
      </c>
      <c r="CK390" s="50" t="s">
        <v>20618</v>
      </c>
      <c r="CL390" s="50" t="s">
        <v>19597</v>
      </c>
      <c r="CM390" s="50" t="s">
        <v>376</v>
      </c>
      <c r="CN390" s="50" t="s">
        <v>20617</v>
      </c>
      <c r="CP390" s="50" t="s">
        <v>20616</v>
      </c>
      <c r="CQ390" s="50" t="s">
        <v>20616</v>
      </c>
    </row>
    <row r="391" spans="1:96">
      <c r="A391" s="95" t="s">
        <v>26356</v>
      </c>
      <c r="B391" s="50">
        <v>2565214</v>
      </c>
      <c r="C391" s="50" t="s">
        <v>13158</v>
      </c>
      <c r="D391" s="50" t="s">
        <v>14582</v>
      </c>
      <c r="E391" s="50" t="e">
        <f>VLOOKUP(B391,aa!B:F,5,0)</f>
        <v>#N/A</v>
      </c>
      <c r="F391" s="50" t="e">
        <f>VLOOKUP(B391,aa!B:J,9,0)</f>
        <v>#N/A</v>
      </c>
      <c r="G391" s="50" t="e">
        <f>VLOOKUP(B391,aa!B:L,11,0)</f>
        <v>#N/A</v>
      </c>
      <c r="H391" s="50" t="e">
        <f>VLOOKUP(B391,aa!B:O,14,0)</f>
        <v>#N/A</v>
      </c>
      <c r="I391" s="50" t="e">
        <f>VLOOKUP(B391,aa!B:R,17,0)</f>
        <v>#N/A</v>
      </c>
      <c r="K391" s="50" t="s">
        <v>97</v>
      </c>
      <c r="L391" s="50">
        <v>0</v>
      </c>
      <c r="M391" s="50">
        <v>0</v>
      </c>
      <c r="N391" s="50">
        <v>0</v>
      </c>
      <c r="O391" s="50">
        <v>514</v>
      </c>
      <c r="P391" s="50" t="s">
        <v>102</v>
      </c>
      <c r="Q391" s="50">
        <v>0</v>
      </c>
      <c r="R391" s="50">
        <v>0</v>
      </c>
      <c r="T391" s="50">
        <v>0</v>
      </c>
      <c r="U391" s="50">
        <v>0</v>
      </c>
      <c r="W391" s="50" t="s">
        <v>102</v>
      </c>
      <c r="X391" s="50" t="s">
        <v>275</v>
      </c>
      <c r="Z391" s="50" t="s">
        <v>14584</v>
      </c>
      <c r="AA391" s="50" t="s">
        <v>109</v>
      </c>
      <c r="AB391" s="50" t="s">
        <v>102</v>
      </c>
      <c r="AC391" s="50" t="s">
        <v>109</v>
      </c>
      <c r="AD391" s="50" t="s">
        <v>102</v>
      </c>
      <c r="AE391" s="50" t="s">
        <v>109</v>
      </c>
      <c r="AF391" s="50" t="s">
        <v>102</v>
      </c>
      <c r="AG391" s="50" t="s">
        <v>109</v>
      </c>
      <c r="AH391" s="50" t="s">
        <v>102</v>
      </c>
      <c r="AI391" s="50" t="s">
        <v>102</v>
      </c>
      <c r="AL391" s="50" t="s">
        <v>102</v>
      </c>
      <c r="AM391" s="50" t="s">
        <v>102</v>
      </c>
      <c r="AN391" s="50" t="s">
        <v>102</v>
      </c>
      <c r="AO391" s="50" t="s">
        <v>115</v>
      </c>
      <c r="AP391" s="50" t="s">
        <v>115</v>
      </c>
      <c r="AU391" s="50" t="s">
        <v>3439</v>
      </c>
      <c r="AV391" s="50" t="s">
        <v>118</v>
      </c>
      <c r="AW391" s="50" t="s">
        <v>102</v>
      </c>
      <c r="AX391" s="50" t="s">
        <v>119</v>
      </c>
      <c r="BB391" s="50" t="s">
        <v>120</v>
      </c>
      <c r="BC391" s="50" t="s">
        <v>4153</v>
      </c>
      <c r="BD391" s="50" t="s">
        <v>320</v>
      </c>
      <c r="BE391" s="50" t="s">
        <v>122</v>
      </c>
      <c r="BF391" s="50" t="s">
        <v>123</v>
      </c>
      <c r="BG391" s="50" t="s">
        <v>124</v>
      </c>
      <c r="BH391" s="50" t="s">
        <v>14585</v>
      </c>
      <c r="BI391" s="50" t="s">
        <v>11889</v>
      </c>
      <c r="BJ391" s="50" t="s">
        <v>127</v>
      </c>
      <c r="BK391" s="50" t="s">
        <v>14586</v>
      </c>
      <c r="BL391" s="50" t="s">
        <v>4155</v>
      </c>
      <c r="BM391" s="50" t="s">
        <v>14587</v>
      </c>
      <c r="BN391" s="50" t="s">
        <v>14583</v>
      </c>
      <c r="BO391" s="50" t="s">
        <v>14588</v>
      </c>
      <c r="BP391" s="50" t="s">
        <v>696</v>
      </c>
      <c r="BQ391" s="50" t="s">
        <v>14589</v>
      </c>
      <c r="BR391" s="50" t="s">
        <v>14590</v>
      </c>
      <c r="BS391" s="50" t="s">
        <v>1111</v>
      </c>
      <c r="BU391" s="50" t="s">
        <v>14591</v>
      </c>
      <c r="BV391" s="50" t="s">
        <v>224</v>
      </c>
      <c r="BW391" s="50" t="s">
        <v>598</v>
      </c>
      <c r="BX391" s="50" t="s">
        <v>225</v>
      </c>
      <c r="BY391" s="50" t="s">
        <v>226</v>
      </c>
      <c r="BZ391" s="50" t="s">
        <v>4158</v>
      </c>
      <c r="CA391" s="50" t="s">
        <v>14592</v>
      </c>
      <c r="CB391" s="50" t="s">
        <v>9785</v>
      </c>
      <c r="CC391" s="50" t="s">
        <v>14593</v>
      </c>
      <c r="CD391" s="50" t="s">
        <v>14594</v>
      </c>
      <c r="CE391" s="50" t="s">
        <v>14595</v>
      </c>
      <c r="CF391" s="50" t="s">
        <v>14593</v>
      </c>
      <c r="CG391" s="50" t="s">
        <v>102</v>
      </c>
      <c r="CH391" s="50" t="s">
        <v>14596</v>
      </c>
      <c r="CJ391" s="50" t="s">
        <v>4160</v>
      </c>
      <c r="CL391" s="50" t="s">
        <v>4153</v>
      </c>
      <c r="CM391" s="50" t="s">
        <v>320</v>
      </c>
      <c r="CN391" s="50" t="s">
        <v>4160</v>
      </c>
      <c r="CP391" s="50" t="s">
        <v>4159</v>
      </c>
      <c r="CQ391" s="50" t="s">
        <v>4159</v>
      </c>
    </row>
    <row r="392" spans="1:96">
      <c r="A392" s="95" t="s">
        <v>26356</v>
      </c>
      <c r="B392" s="50">
        <v>5016674</v>
      </c>
      <c r="C392" s="50" t="s">
        <v>13158</v>
      </c>
      <c r="D392" s="50" t="s">
        <v>18935</v>
      </c>
      <c r="E392" s="50" t="e">
        <f>VLOOKUP(B392,aa!B:F,5,0)</f>
        <v>#N/A</v>
      </c>
      <c r="F392" s="50" t="e">
        <f>VLOOKUP(B392,aa!B:J,9,0)</f>
        <v>#N/A</v>
      </c>
      <c r="G392" s="50" t="e">
        <f>VLOOKUP(B392,aa!B:L,11,0)</f>
        <v>#N/A</v>
      </c>
      <c r="H392" s="50" t="e">
        <f>VLOOKUP(B392,aa!B:O,14,0)</f>
        <v>#N/A</v>
      </c>
      <c r="I392" s="50" t="e">
        <f>VLOOKUP(B392,aa!B:R,17,0)</f>
        <v>#N/A</v>
      </c>
      <c r="K392" s="50" t="s">
        <v>97</v>
      </c>
      <c r="L392" s="50">
        <v>0</v>
      </c>
      <c r="M392" s="50">
        <v>0</v>
      </c>
      <c r="N392" s="50">
        <v>0</v>
      </c>
      <c r="O392" s="50">
        <v>17</v>
      </c>
      <c r="P392" s="50" t="s">
        <v>102</v>
      </c>
      <c r="Q392" s="50">
        <v>0</v>
      </c>
      <c r="R392" s="50">
        <v>0</v>
      </c>
      <c r="T392" s="50">
        <v>0</v>
      </c>
      <c r="U392" s="50">
        <v>0</v>
      </c>
      <c r="W392" s="50" t="s">
        <v>102</v>
      </c>
      <c r="X392" s="50" t="s">
        <v>275</v>
      </c>
      <c r="Z392" s="50" t="s">
        <v>14584</v>
      </c>
      <c r="AA392" s="50" t="s">
        <v>109</v>
      </c>
      <c r="AB392" s="50" t="s">
        <v>102</v>
      </c>
      <c r="AC392" s="50" t="s">
        <v>109</v>
      </c>
      <c r="AD392" s="50" t="s">
        <v>102</v>
      </c>
      <c r="AE392" s="50" t="s">
        <v>109</v>
      </c>
      <c r="AF392" s="50" t="s">
        <v>102</v>
      </c>
      <c r="AG392" s="50" t="s">
        <v>109</v>
      </c>
      <c r="AH392" s="50" t="s">
        <v>102</v>
      </c>
      <c r="AI392" s="50" t="s">
        <v>102</v>
      </c>
      <c r="AL392" s="50" t="s">
        <v>102</v>
      </c>
      <c r="AM392" s="50" t="s">
        <v>102</v>
      </c>
      <c r="AN392" s="50" t="s">
        <v>102</v>
      </c>
      <c r="AO392" s="50" t="s">
        <v>115</v>
      </c>
      <c r="AP392" s="50" t="s">
        <v>115</v>
      </c>
      <c r="AU392" s="50" t="s">
        <v>3439</v>
      </c>
      <c r="AV392" s="50" t="s">
        <v>118</v>
      </c>
      <c r="AW392" s="50" t="s">
        <v>102</v>
      </c>
      <c r="AX392" s="50" t="s">
        <v>119</v>
      </c>
      <c r="BB392" s="50" t="s">
        <v>120</v>
      </c>
      <c r="BC392" s="50" t="s">
        <v>4153</v>
      </c>
      <c r="BD392" s="50" t="s">
        <v>320</v>
      </c>
      <c r="BE392" s="50" t="s">
        <v>122</v>
      </c>
      <c r="BF392" s="50" t="s">
        <v>123</v>
      </c>
      <c r="BG392" s="50" t="s">
        <v>124</v>
      </c>
      <c r="BH392" s="50" t="s">
        <v>14585</v>
      </c>
      <c r="BI392" s="50" t="s">
        <v>11889</v>
      </c>
      <c r="BJ392" s="50" t="s">
        <v>127</v>
      </c>
      <c r="BK392" s="50" t="s">
        <v>18936</v>
      </c>
      <c r="BL392" s="50" t="s">
        <v>9782</v>
      </c>
      <c r="BM392" s="50" t="s">
        <v>18937</v>
      </c>
      <c r="BN392" s="50" t="s">
        <v>14583</v>
      </c>
      <c r="BO392" s="50" t="s">
        <v>14588</v>
      </c>
      <c r="BP392" s="50" t="s">
        <v>696</v>
      </c>
      <c r="BQ392" s="50" t="s">
        <v>14589</v>
      </c>
      <c r="BR392" s="50" t="s">
        <v>14590</v>
      </c>
      <c r="BS392" s="50" t="s">
        <v>1111</v>
      </c>
      <c r="BU392" s="50" t="s">
        <v>18938</v>
      </c>
      <c r="BV392" s="50" t="s">
        <v>224</v>
      </c>
      <c r="BW392" s="50" t="s">
        <v>598</v>
      </c>
      <c r="BX392" s="50" t="s">
        <v>225</v>
      </c>
      <c r="BY392" s="50" t="s">
        <v>226</v>
      </c>
      <c r="BZ392" s="50" t="s">
        <v>9785</v>
      </c>
      <c r="CA392" s="50" t="s">
        <v>14592</v>
      </c>
      <c r="CB392" s="50" t="s">
        <v>9785</v>
      </c>
      <c r="CC392" s="50" t="s">
        <v>14593</v>
      </c>
      <c r="CD392" s="50" t="s">
        <v>14594</v>
      </c>
      <c r="CE392" s="50" t="s">
        <v>14595</v>
      </c>
      <c r="CF392" s="50" t="s">
        <v>14593</v>
      </c>
      <c r="CG392" s="50" t="s">
        <v>102</v>
      </c>
      <c r="CH392" s="50" t="s">
        <v>18939</v>
      </c>
      <c r="CJ392" s="50" t="s">
        <v>4160</v>
      </c>
      <c r="CL392" s="50" t="s">
        <v>4153</v>
      </c>
      <c r="CM392" s="50" t="s">
        <v>320</v>
      </c>
      <c r="CN392" s="50" t="s">
        <v>4160</v>
      </c>
      <c r="CP392" s="50" t="s">
        <v>9786</v>
      </c>
      <c r="CQ392" s="50" t="s">
        <v>9786</v>
      </c>
    </row>
    <row r="393" spans="1:96">
      <c r="A393" s="95" t="s">
        <v>149</v>
      </c>
      <c r="B393" s="50">
        <v>3182761</v>
      </c>
      <c r="C393" s="50" t="s">
        <v>12121</v>
      </c>
      <c r="D393" s="50" t="s">
        <v>4924</v>
      </c>
      <c r="E393" s="50" t="e">
        <f>VLOOKUP(B393,aa!B:F,5,0)</f>
        <v>#N/A</v>
      </c>
      <c r="F393" s="50" t="e">
        <f>VLOOKUP(B393,aa!B:J,9,0)</f>
        <v>#N/A</v>
      </c>
      <c r="G393" s="50" t="e">
        <f>VLOOKUP(B393,aa!B:L,11,0)</f>
        <v>#N/A</v>
      </c>
      <c r="H393" s="50" t="e">
        <f>VLOOKUP(B393,aa!B:O,14,0)</f>
        <v>#N/A</v>
      </c>
      <c r="I393" s="50" t="e">
        <f>VLOOKUP(B393,aa!B:R,17,0)</f>
        <v>#N/A</v>
      </c>
      <c r="K393" s="50" t="s">
        <v>152</v>
      </c>
      <c r="L393" s="50">
        <v>787800</v>
      </c>
      <c r="M393" s="50">
        <v>787800</v>
      </c>
      <c r="N393" s="50">
        <v>0</v>
      </c>
      <c r="O393" s="50">
        <v>0</v>
      </c>
      <c r="Q393" s="50">
        <v>787800</v>
      </c>
      <c r="R393" s="50">
        <v>505</v>
      </c>
      <c r="S393" s="50" t="s">
        <v>544</v>
      </c>
      <c r="T393" s="50">
        <v>0</v>
      </c>
      <c r="U393" s="50">
        <v>0</v>
      </c>
      <c r="W393" s="50" t="s">
        <v>102</v>
      </c>
      <c r="X393" s="50" t="s">
        <v>103</v>
      </c>
      <c r="Y393" s="50" t="s">
        <v>155</v>
      </c>
      <c r="AA393" s="50" t="s">
        <v>11976</v>
      </c>
      <c r="AB393" s="50" t="s">
        <v>15140</v>
      </c>
      <c r="AC393" s="50" t="s">
        <v>5651</v>
      </c>
      <c r="AD393" s="50" t="s">
        <v>15140</v>
      </c>
      <c r="AE393" s="50" t="s">
        <v>12327</v>
      </c>
      <c r="AF393" s="50" t="s">
        <v>15140</v>
      </c>
      <c r="AG393" s="50" t="s">
        <v>11886</v>
      </c>
      <c r="AH393" s="50" t="s">
        <v>15140</v>
      </c>
      <c r="AI393" s="50" t="s">
        <v>102</v>
      </c>
      <c r="AJ393" s="50" t="s">
        <v>12430</v>
      </c>
      <c r="AK393" s="50" t="s">
        <v>15141</v>
      </c>
      <c r="AL393" s="50" t="s">
        <v>15142</v>
      </c>
      <c r="AM393" s="50" t="s">
        <v>15143</v>
      </c>
      <c r="AN393" s="50" t="s">
        <v>15144</v>
      </c>
      <c r="AO393" s="50" t="s">
        <v>554</v>
      </c>
      <c r="AP393" s="50" t="s">
        <v>554</v>
      </c>
      <c r="AU393" s="50" t="s">
        <v>102</v>
      </c>
      <c r="AW393" s="50" t="s">
        <v>155</v>
      </c>
      <c r="AX393" s="50" t="s">
        <v>119</v>
      </c>
      <c r="AY393" s="50" t="s">
        <v>170</v>
      </c>
      <c r="AZ393" s="50" t="s">
        <v>118</v>
      </c>
      <c r="BB393" s="50" t="s">
        <v>120</v>
      </c>
      <c r="BC393" s="50" t="s">
        <v>555</v>
      </c>
      <c r="BD393" s="50" t="s">
        <v>556</v>
      </c>
      <c r="BE393" s="50" t="s">
        <v>122</v>
      </c>
      <c r="BF393" s="50" t="s">
        <v>557</v>
      </c>
      <c r="BG393" s="50" t="s">
        <v>124</v>
      </c>
      <c r="BH393" s="50" t="s">
        <v>11959</v>
      </c>
      <c r="BI393" s="50" t="s">
        <v>11889</v>
      </c>
      <c r="BJ393" s="50" t="s">
        <v>127</v>
      </c>
      <c r="BK393" s="50" t="s">
        <v>15145</v>
      </c>
      <c r="BL393" s="50" t="s">
        <v>4931</v>
      </c>
      <c r="BM393" s="50" t="s">
        <v>15146</v>
      </c>
      <c r="BN393" s="50" t="s">
        <v>15139</v>
      </c>
      <c r="BO393" s="50" t="s">
        <v>1142</v>
      </c>
      <c r="BP393" s="50" t="s">
        <v>350</v>
      </c>
      <c r="BQ393" s="50" t="s">
        <v>1143</v>
      </c>
      <c r="BR393" s="50" t="s">
        <v>1144</v>
      </c>
      <c r="BS393" s="50" t="s">
        <v>566</v>
      </c>
      <c r="BU393" s="50" t="s">
        <v>15147</v>
      </c>
      <c r="BV393" s="50" t="s">
        <v>4934</v>
      </c>
      <c r="BW393" s="50" t="s">
        <v>138</v>
      </c>
      <c r="BX393" s="50" t="s">
        <v>4935</v>
      </c>
      <c r="BY393" s="50" t="s">
        <v>4936</v>
      </c>
      <c r="BZ393" s="50" t="s">
        <v>4935</v>
      </c>
      <c r="CA393" s="50" t="s">
        <v>4934</v>
      </c>
      <c r="CB393" s="50" t="s">
        <v>4935</v>
      </c>
      <c r="CC393" s="50" t="s">
        <v>4936</v>
      </c>
      <c r="CD393" s="50" t="s">
        <v>4934</v>
      </c>
      <c r="CE393" s="50" t="s">
        <v>4935</v>
      </c>
      <c r="CF393" s="50" t="s">
        <v>4936</v>
      </c>
      <c r="CG393" s="50" t="s">
        <v>4937</v>
      </c>
      <c r="CH393" s="50" t="s">
        <v>15148</v>
      </c>
      <c r="CJ393" s="50" t="s">
        <v>1154</v>
      </c>
      <c r="CK393" s="50" t="s">
        <v>15149</v>
      </c>
      <c r="CL393" s="50" t="s">
        <v>555</v>
      </c>
      <c r="CM393" s="50" t="s">
        <v>556</v>
      </c>
      <c r="CN393" s="50" t="s">
        <v>1154</v>
      </c>
      <c r="CP393" s="50" t="s">
        <v>4938</v>
      </c>
      <c r="CQ393" s="50" t="s">
        <v>4938</v>
      </c>
    </row>
    <row r="394" spans="1:96">
      <c r="A394" s="95" t="s">
        <v>149</v>
      </c>
      <c r="B394" s="50">
        <v>34736</v>
      </c>
      <c r="C394" s="50" t="s">
        <v>12423</v>
      </c>
      <c r="D394" s="50" t="s">
        <v>6256</v>
      </c>
      <c r="E394" s="50" t="e">
        <f>VLOOKUP(B394,aa!B:F,5,0)</f>
        <v>#N/A</v>
      </c>
      <c r="F394" s="50" t="e">
        <f>VLOOKUP(B394,aa!B:J,9,0)</f>
        <v>#N/A</v>
      </c>
      <c r="G394" s="50" t="e">
        <f>VLOOKUP(B394,aa!B:L,11,0)</f>
        <v>#N/A</v>
      </c>
      <c r="H394" s="50" t="e">
        <f>VLOOKUP(B394,aa!B:O,14,0)</f>
        <v>#N/A</v>
      </c>
      <c r="I394" s="50" t="e">
        <f>VLOOKUP(B394,aa!B:R,17,0)</f>
        <v>#N/A</v>
      </c>
      <c r="K394" s="50" t="s">
        <v>848</v>
      </c>
      <c r="L394" s="50">
        <v>334402</v>
      </c>
      <c r="M394" s="50">
        <v>394594</v>
      </c>
      <c r="N394" s="50">
        <v>0</v>
      </c>
      <c r="O394" s="50">
        <v>0</v>
      </c>
      <c r="Q394" s="50">
        <v>0</v>
      </c>
      <c r="R394" s="50">
        <v>0</v>
      </c>
      <c r="T394" s="50">
        <v>334402</v>
      </c>
      <c r="U394" s="50">
        <v>188</v>
      </c>
      <c r="V394" s="50" t="s">
        <v>16170</v>
      </c>
      <c r="W394" s="50" t="s">
        <v>102</v>
      </c>
      <c r="X394" s="50" t="s">
        <v>103</v>
      </c>
      <c r="Y394" s="50" t="s">
        <v>104</v>
      </c>
      <c r="AA394" s="50" t="s">
        <v>3679</v>
      </c>
      <c r="AB394" s="50" t="s">
        <v>16171</v>
      </c>
      <c r="AC394" s="50" t="s">
        <v>12289</v>
      </c>
      <c r="AD394" s="50" t="s">
        <v>16171</v>
      </c>
      <c r="AE394" s="50" t="s">
        <v>109</v>
      </c>
      <c r="AF394" s="50" t="s">
        <v>102</v>
      </c>
      <c r="AG394" s="50" t="s">
        <v>109</v>
      </c>
      <c r="AH394" s="50" t="s">
        <v>102</v>
      </c>
      <c r="AI394" s="50" t="s">
        <v>16172</v>
      </c>
      <c r="AJ394" s="50" t="s">
        <v>12425</v>
      </c>
      <c r="AK394" s="50" t="s">
        <v>15177</v>
      </c>
      <c r="AL394" s="50" t="s">
        <v>16173</v>
      </c>
      <c r="AM394" s="50" t="s">
        <v>16174</v>
      </c>
      <c r="AN394" s="50" t="s">
        <v>16175</v>
      </c>
      <c r="AO394" s="50" t="s">
        <v>1001</v>
      </c>
      <c r="AP394" s="50" t="s">
        <v>1001</v>
      </c>
      <c r="AU394" s="50" t="s">
        <v>102</v>
      </c>
      <c r="AW394" s="50" t="s">
        <v>102</v>
      </c>
      <c r="AX394" s="50" t="s">
        <v>119</v>
      </c>
      <c r="BA394" s="50" t="s">
        <v>250</v>
      </c>
      <c r="BB394" s="50" t="s">
        <v>209</v>
      </c>
      <c r="BC394" s="50" t="s">
        <v>1759</v>
      </c>
      <c r="BD394" s="50" t="s">
        <v>410</v>
      </c>
      <c r="BE394" s="50" t="s">
        <v>212</v>
      </c>
      <c r="BF394" s="50" t="s">
        <v>410</v>
      </c>
      <c r="BG394" s="50" t="s">
        <v>124</v>
      </c>
      <c r="BH394" s="50" t="s">
        <v>15139</v>
      </c>
      <c r="BI394" s="50" t="s">
        <v>12047</v>
      </c>
      <c r="BJ394" s="50" t="s">
        <v>127</v>
      </c>
      <c r="BK394" s="50" t="s">
        <v>16176</v>
      </c>
      <c r="BL394" s="50" t="s">
        <v>6265</v>
      </c>
      <c r="BM394" s="50" t="s">
        <v>16177</v>
      </c>
      <c r="BN394" s="50" t="s">
        <v>8708</v>
      </c>
      <c r="BO394" s="50" t="s">
        <v>866</v>
      </c>
      <c r="BP394" s="50" t="s">
        <v>132</v>
      </c>
      <c r="BQ394" s="50" t="s">
        <v>867</v>
      </c>
      <c r="BR394" s="50" t="s">
        <v>868</v>
      </c>
      <c r="BS394" s="50" t="s">
        <v>418</v>
      </c>
      <c r="BU394" s="50" t="s">
        <v>16178</v>
      </c>
      <c r="BV394" s="50" t="s">
        <v>6268</v>
      </c>
      <c r="BW394" s="50" t="s">
        <v>138</v>
      </c>
      <c r="BX394" s="50" t="s">
        <v>6269</v>
      </c>
      <c r="BY394" s="50" t="s">
        <v>6270</v>
      </c>
      <c r="BZ394" s="50" t="s">
        <v>4530</v>
      </c>
      <c r="CA394" s="50" t="s">
        <v>6268</v>
      </c>
      <c r="CB394" s="50" t="s">
        <v>6269</v>
      </c>
      <c r="CC394" s="50" t="s">
        <v>6270</v>
      </c>
      <c r="CD394" s="50" t="s">
        <v>6268</v>
      </c>
      <c r="CE394" s="50" t="s">
        <v>6269</v>
      </c>
      <c r="CF394" s="50" t="s">
        <v>6270</v>
      </c>
      <c r="CG394" s="50" t="s">
        <v>102</v>
      </c>
      <c r="CH394" s="50" t="s">
        <v>6271</v>
      </c>
      <c r="CJ394" s="50" t="s">
        <v>6272</v>
      </c>
      <c r="CL394" s="50" t="s">
        <v>1759</v>
      </c>
      <c r="CM394" s="50" t="s">
        <v>410</v>
      </c>
      <c r="CN394" s="50" t="s">
        <v>6272</v>
      </c>
      <c r="CO394" s="50" t="s">
        <v>6273</v>
      </c>
      <c r="CP394" s="50" t="s">
        <v>6271</v>
      </c>
      <c r="CQ394" s="50" t="s">
        <v>6271</v>
      </c>
      <c r="CR394" s="50" t="s">
        <v>26044</v>
      </c>
    </row>
    <row r="395" spans="1:96">
      <c r="A395" s="95" t="s">
        <v>149</v>
      </c>
      <c r="B395" s="50">
        <v>165035</v>
      </c>
      <c r="C395" s="50" t="s">
        <v>12507</v>
      </c>
      <c r="D395" s="50" t="s">
        <v>1446</v>
      </c>
      <c r="E395" s="50" t="e">
        <f>VLOOKUP(B395,aa!B:F,5,0)</f>
        <v>#N/A</v>
      </c>
      <c r="F395" s="50" t="e">
        <f>VLOOKUP(B395,aa!B:J,9,0)</f>
        <v>#N/A</v>
      </c>
      <c r="G395" s="50" t="e">
        <f>VLOOKUP(B395,aa!B:L,11,0)</f>
        <v>#N/A</v>
      </c>
      <c r="H395" s="50" t="e">
        <f>VLOOKUP(B395,aa!B:O,14,0)</f>
        <v>#N/A</v>
      </c>
      <c r="I395" s="50" t="e">
        <f>VLOOKUP(B395,aa!B:R,17,0)</f>
        <v>#N/A</v>
      </c>
      <c r="K395" s="50" t="s">
        <v>848</v>
      </c>
      <c r="L395" s="50">
        <v>527823</v>
      </c>
      <c r="M395" s="50">
        <v>622831</v>
      </c>
      <c r="N395" s="50">
        <v>0</v>
      </c>
      <c r="O395" s="50">
        <v>0</v>
      </c>
      <c r="Q395" s="50">
        <v>0</v>
      </c>
      <c r="R395" s="50">
        <v>0</v>
      </c>
      <c r="T395" s="50">
        <v>527823</v>
      </c>
      <c r="U395" s="50">
        <v>173</v>
      </c>
      <c r="V395" s="50" t="s">
        <v>1652</v>
      </c>
      <c r="W395" s="50" t="s">
        <v>102</v>
      </c>
      <c r="X395" s="50" t="s">
        <v>275</v>
      </c>
      <c r="Z395" s="50" t="s">
        <v>12737</v>
      </c>
      <c r="AA395" s="50" t="s">
        <v>109</v>
      </c>
      <c r="AB395" s="50" t="s">
        <v>102</v>
      </c>
      <c r="AC395" s="50" t="s">
        <v>109</v>
      </c>
      <c r="AD395" s="50" t="s">
        <v>102</v>
      </c>
      <c r="AE395" s="50" t="s">
        <v>109</v>
      </c>
      <c r="AF395" s="50" t="s">
        <v>102</v>
      </c>
      <c r="AG395" s="50" t="s">
        <v>109</v>
      </c>
      <c r="AH395" s="50" t="s">
        <v>102</v>
      </c>
      <c r="AI395" s="50" t="s">
        <v>12738</v>
      </c>
      <c r="AJ395" s="50" t="s">
        <v>12695</v>
      </c>
      <c r="AK395" s="50" t="s">
        <v>12695</v>
      </c>
      <c r="AL395" s="50" t="s">
        <v>12739</v>
      </c>
      <c r="AM395" s="50" t="s">
        <v>12740</v>
      </c>
      <c r="AN395" s="50" t="s">
        <v>102</v>
      </c>
      <c r="AO395" s="50" t="s">
        <v>102</v>
      </c>
      <c r="AU395" s="50" t="s">
        <v>102</v>
      </c>
      <c r="AW395" s="50" t="s">
        <v>102</v>
      </c>
      <c r="AX395" s="50" t="s">
        <v>119</v>
      </c>
      <c r="BA395" s="50" t="s">
        <v>250</v>
      </c>
      <c r="BB395" s="50" t="s">
        <v>120</v>
      </c>
      <c r="BC395" s="50" t="s">
        <v>1067</v>
      </c>
      <c r="BD395" s="50" t="s">
        <v>556</v>
      </c>
      <c r="BE395" s="50" t="s">
        <v>122</v>
      </c>
      <c r="BF395" s="50" t="s">
        <v>557</v>
      </c>
      <c r="BG395" s="50" t="s">
        <v>124</v>
      </c>
      <c r="BH395" s="50" t="s">
        <v>11976</v>
      </c>
      <c r="BI395" s="50" t="s">
        <v>11889</v>
      </c>
      <c r="BJ395" s="50" t="s">
        <v>127</v>
      </c>
      <c r="BK395" s="50" t="s">
        <v>12741</v>
      </c>
      <c r="BL395" s="50" t="s">
        <v>1457</v>
      </c>
      <c r="BM395" s="50" t="s">
        <v>12742</v>
      </c>
      <c r="BN395" s="50" t="s">
        <v>12425</v>
      </c>
      <c r="BO395" s="50" t="s">
        <v>12743</v>
      </c>
      <c r="BP395" s="50" t="s">
        <v>350</v>
      </c>
      <c r="BQ395" s="50" t="s">
        <v>12744</v>
      </c>
      <c r="BR395" s="50" t="s">
        <v>12745</v>
      </c>
      <c r="BS395" s="50" t="s">
        <v>1075</v>
      </c>
      <c r="BU395" s="50" t="s">
        <v>12746</v>
      </c>
      <c r="BV395" s="50" t="s">
        <v>12747</v>
      </c>
      <c r="BW395" s="50" t="s">
        <v>569</v>
      </c>
      <c r="BX395" s="50" t="s">
        <v>1463</v>
      </c>
      <c r="BY395" s="50" t="s">
        <v>1462</v>
      </c>
      <c r="BZ395" s="50" t="s">
        <v>1463</v>
      </c>
      <c r="CA395" s="50" t="s">
        <v>12747</v>
      </c>
      <c r="CB395" s="50" t="s">
        <v>1463</v>
      </c>
      <c r="CC395" s="50" t="s">
        <v>1462</v>
      </c>
      <c r="CD395" s="50" t="s">
        <v>12747</v>
      </c>
      <c r="CE395" s="50" t="s">
        <v>1463</v>
      </c>
      <c r="CF395" s="50" t="s">
        <v>1462</v>
      </c>
      <c r="CG395" s="50" t="s">
        <v>102</v>
      </c>
      <c r="CH395" s="50" t="s">
        <v>1446</v>
      </c>
      <c r="CJ395" s="50" t="s">
        <v>1465</v>
      </c>
      <c r="CL395" s="50" t="s">
        <v>1067</v>
      </c>
      <c r="CM395" s="50" t="s">
        <v>556</v>
      </c>
      <c r="CN395" s="50" t="s">
        <v>1465</v>
      </c>
      <c r="CP395" s="50" t="s">
        <v>1464</v>
      </c>
      <c r="CQ395" s="50" t="s">
        <v>1464</v>
      </c>
    </row>
    <row r="396" spans="1:96">
      <c r="A396" s="95" t="s">
        <v>149</v>
      </c>
      <c r="B396" s="50">
        <v>2009619</v>
      </c>
      <c r="C396" s="50" t="s">
        <v>12507</v>
      </c>
      <c r="D396" s="50" t="s">
        <v>2361</v>
      </c>
      <c r="E396" s="50" t="str">
        <f>VLOOKUP(B396,aa!B:F,5,0)</f>
        <v>Ei CARES</v>
      </c>
      <c r="F396" s="50">
        <f>VLOOKUP(B396,aa!B:J,9,0)</f>
        <v>286308</v>
      </c>
      <c r="G396" s="50">
        <f>VLOOKUP(B396,aa!B:L,11,0)</f>
        <v>0</v>
      </c>
      <c r="H396" s="50">
        <f>VLOOKUP(B396,aa!B:O,14,0)</f>
        <v>286308</v>
      </c>
      <c r="I396" s="50">
        <f>VLOOKUP(B396,aa!B:R,17,0)</f>
        <v>0</v>
      </c>
      <c r="K396" s="50" t="s">
        <v>152</v>
      </c>
      <c r="L396" s="50">
        <v>255725</v>
      </c>
      <c r="M396" s="50">
        <v>255725</v>
      </c>
      <c r="N396" s="50">
        <v>0</v>
      </c>
      <c r="O396" s="50">
        <v>0</v>
      </c>
      <c r="Q396" s="50">
        <v>255725</v>
      </c>
      <c r="R396" s="50">
        <v>393</v>
      </c>
      <c r="S396" s="50" t="s">
        <v>2363</v>
      </c>
      <c r="T396" s="50">
        <v>0</v>
      </c>
      <c r="U396" s="50">
        <v>0</v>
      </c>
      <c r="W396" s="50" t="s">
        <v>102</v>
      </c>
      <c r="X396" s="50" t="s">
        <v>103</v>
      </c>
      <c r="Y396" s="50" t="s">
        <v>398</v>
      </c>
      <c r="AA396" s="50" t="s">
        <v>12480</v>
      </c>
      <c r="AB396" s="50" t="s">
        <v>13240</v>
      </c>
      <c r="AC396" s="50" t="s">
        <v>12289</v>
      </c>
      <c r="AD396" s="50" t="s">
        <v>13241</v>
      </c>
      <c r="AE396" s="50" t="s">
        <v>13242</v>
      </c>
      <c r="AF396" s="50" t="s">
        <v>13241</v>
      </c>
      <c r="AG396" s="50" t="s">
        <v>109</v>
      </c>
      <c r="AH396" s="50" t="s">
        <v>102</v>
      </c>
      <c r="AI396" s="50" t="s">
        <v>13243</v>
      </c>
      <c r="AJ396" s="50" t="s">
        <v>13244</v>
      </c>
      <c r="AK396" s="50" t="s">
        <v>13245</v>
      </c>
      <c r="AL396" s="50" t="s">
        <v>13246</v>
      </c>
      <c r="AM396" s="50" t="s">
        <v>13247</v>
      </c>
      <c r="AN396" s="50" t="s">
        <v>13248</v>
      </c>
      <c r="AO396" s="50" t="s">
        <v>2371</v>
      </c>
      <c r="AP396" s="50" t="s">
        <v>2372</v>
      </c>
      <c r="AT396" s="50" t="s">
        <v>169</v>
      </c>
      <c r="AU396" s="50" t="s">
        <v>102</v>
      </c>
      <c r="AW396" s="50" t="s">
        <v>104</v>
      </c>
      <c r="AX396" s="50" t="s">
        <v>447</v>
      </c>
      <c r="AY396" s="50" t="s">
        <v>170</v>
      </c>
      <c r="AZ396" s="50" t="s">
        <v>118</v>
      </c>
      <c r="BB396" s="50" t="s">
        <v>120</v>
      </c>
      <c r="BC396" s="50" t="s">
        <v>2373</v>
      </c>
      <c r="BD396" s="50" t="s">
        <v>556</v>
      </c>
      <c r="BE396" s="50" t="s">
        <v>122</v>
      </c>
      <c r="BF396" s="50" t="s">
        <v>557</v>
      </c>
      <c r="BG396" s="50" t="s">
        <v>124</v>
      </c>
      <c r="BH396" s="50" t="s">
        <v>12023</v>
      </c>
      <c r="BI396" s="50" t="s">
        <v>11889</v>
      </c>
      <c r="BJ396" s="50" t="s">
        <v>127</v>
      </c>
      <c r="BK396" s="50" t="s">
        <v>13249</v>
      </c>
      <c r="BL396" s="50" t="s">
        <v>2375</v>
      </c>
      <c r="BM396" s="50" t="s">
        <v>13250</v>
      </c>
      <c r="BN396" s="50" t="s">
        <v>12425</v>
      </c>
      <c r="BO396" s="50" t="s">
        <v>12743</v>
      </c>
      <c r="BP396" s="50" t="s">
        <v>350</v>
      </c>
      <c r="BQ396" s="50" t="s">
        <v>12744</v>
      </c>
      <c r="BR396" s="50" t="s">
        <v>12745</v>
      </c>
      <c r="BS396" s="50" t="s">
        <v>1075</v>
      </c>
      <c r="BU396" s="50" t="s">
        <v>13251</v>
      </c>
      <c r="BV396" s="50" t="s">
        <v>13252</v>
      </c>
      <c r="BW396" s="50" t="s">
        <v>569</v>
      </c>
      <c r="BX396" s="50" t="s">
        <v>13253</v>
      </c>
      <c r="BY396" s="50" t="s">
        <v>2380</v>
      </c>
      <c r="BZ396" s="50" t="s">
        <v>2381</v>
      </c>
      <c r="CA396" s="50" t="s">
        <v>13254</v>
      </c>
      <c r="CB396" s="50" t="s">
        <v>13255</v>
      </c>
      <c r="CC396" s="50" t="s">
        <v>2380</v>
      </c>
      <c r="CD396" s="50" t="s">
        <v>13254</v>
      </c>
      <c r="CE396" s="50" t="s">
        <v>13255</v>
      </c>
      <c r="CF396" s="50" t="s">
        <v>2380</v>
      </c>
      <c r="CG396" s="50" t="s">
        <v>102</v>
      </c>
      <c r="CH396" s="50" t="s">
        <v>13256</v>
      </c>
      <c r="CJ396" s="50" t="s">
        <v>2383</v>
      </c>
      <c r="CL396" s="50" t="s">
        <v>2373</v>
      </c>
      <c r="CM396" s="50" t="s">
        <v>556</v>
      </c>
      <c r="CN396" s="50" t="s">
        <v>2383</v>
      </c>
      <c r="CO396" s="50" t="s">
        <v>1155</v>
      </c>
      <c r="CP396" s="50" t="s">
        <v>2382</v>
      </c>
      <c r="CQ396" s="50" t="s">
        <v>2382</v>
      </c>
    </row>
    <row r="397" spans="1:96">
      <c r="A397" s="95" t="s">
        <v>149</v>
      </c>
      <c r="B397" s="50">
        <v>2282758</v>
      </c>
      <c r="C397" s="50" t="s">
        <v>12121</v>
      </c>
      <c r="D397" s="50" t="s">
        <v>2943</v>
      </c>
      <c r="E397" s="50" t="str">
        <f>VLOOKUP(B397,aa!B:F,5,0)</f>
        <v>Ei ASSET, Ei CARES</v>
      </c>
      <c r="F397" s="50">
        <f>VLOOKUP(B397,aa!B:J,9,0)</f>
        <v>1825632</v>
      </c>
      <c r="G397" s="50">
        <f>VLOOKUP(B397,aa!B:L,11,0)</f>
        <v>1192464</v>
      </c>
      <c r="H397" s="50">
        <f>VLOOKUP(B397,aa!B:O,14,0)</f>
        <v>633168</v>
      </c>
      <c r="I397" s="50">
        <f>VLOOKUP(B397,aa!B:R,17,0)</f>
        <v>0</v>
      </c>
      <c r="K397" s="50" t="s">
        <v>675</v>
      </c>
      <c r="L397" s="50">
        <v>1814607</v>
      </c>
      <c r="M397" s="50">
        <v>1814607</v>
      </c>
      <c r="N397" s="50">
        <v>1181439</v>
      </c>
      <c r="O397" s="50">
        <v>987</v>
      </c>
      <c r="P397" s="50" t="s">
        <v>2716</v>
      </c>
      <c r="Q397" s="50">
        <v>633168</v>
      </c>
      <c r="R397" s="50">
        <v>287</v>
      </c>
      <c r="S397" s="50" t="s">
        <v>13669</v>
      </c>
      <c r="T397" s="50">
        <v>0</v>
      </c>
      <c r="U397" s="50">
        <v>0</v>
      </c>
      <c r="W397" s="50" t="s">
        <v>102</v>
      </c>
      <c r="X397" s="50" t="s">
        <v>103</v>
      </c>
      <c r="Y397" s="50" t="s">
        <v>155</v>
      </c>
      <c r="AA397" s="50" t="s">
        <v>13670</v>
      </c>
      <c r="AB397" s="50" t="s">
        <v>13671</v>
      </c>
      <c r="AC397" s="50" t="s">
        <v>13672</v>
      </c>
      <c r="AD397" s="50" t="s">
        <v>13671</v>
      </c>
      <c r="AE397" s="50" t="s">
        <v>13673</v>
      </c>
      <c r="AF397" s="50" t="s">
        <v>13671</v>
      </c>
      <c r="AG397" s="50" t="s">
        <v>13674</v>
      </c>
      <c r="AH397" s="50" t="s">
        <v>13671</v>
      </c>
      <c r="AI397" s="50" t="s">
        <v>102</v>
      </c>
      <c r="AJ397" s="50" t="s">
        <v>1604</v>
      </c>
      <c r="AK397" s="50" t="s">
        <v>13675</v>
      </c>
      <c r="AL397" s="50" t="s">
        <v>13676</v>
      </c>
      <c r="AM397" s="50" t="s">
        <v>13677</v>
      </c>
      <c r="AN397" s="50" t="s">
        <v>13678</v>
      </c>
      <c r="AO397" s="50" t="s">
        <v>13679</v>
      </c>
      <c r="AP397" s="50" t="s">
        <v>13679</v>
      </c>
      <c r="AU397" s="50" t="s">
        <v>207</v>
      </c>
      <c r="AV397" s="50" t="s">
        <v>118</v>
      </c>
      <c r="AW397" s="50" t="s">
        <v>655</v>
      </c>
      <c r="AX397" s="50" t="s">
        <v>249</v>
      </c>
      <c r="AY397" s="50" t="s">
        <v>170</v>
      </c>
      <c r="AZ397" s="50" t="s">
        <v>118</v>
      </c>
      <c r="BB397" s="50" t="s">
        <v>120</v>
      </c>
      <c r="BC397" s="50" t="s">
        <v>2955</v>
      </c>
      <c r="BD397" s="50" t="s">
        <v>449</v>
      </c>
      <c r="BE397" s="50" t="s">
        <v>122</v>
      </c>
      <c r="BF397" s="50" t="s">
        <v>253</v>
      </c>
      <c r="BG397" s="50" t="s">
        <v>124</v>
      </c>
      <c r="BH397" s="50" t="s">
        <v>13680</v>
      </c>
      <c r="BI397" s="50" t="s">
        <v>11889</v>
      </c>
      <c r="BJ397" s="50" t="s">
        <v>127</v>
      </c>
      <c r="BK397" s="50" t="s">
        <v>13681</v>
      </c>
      <c r="BL397" s="50" t="s">
        <v>2957</v>
      </c>
      <c r="BM397" s="50" t="s">
        <v>13682</v>
      </c>
      <c r="BN397" s="50" t="s">
        <v>12425</v>
      </c>
      <c r="BO397" s="50" t="s">
        <v>1142</v>
      </c>
      <c r="BP397" s="50" t="s">
        <v>350</v>
      </c>
      <c r="BQ397" s="50" t="s">
        <v>1143</v>
      </c>
      <c r="BR397" s="50" t="s">
        <v>1144</v>
      </c>
      <c r="BS397" s="50" t="s">
        <v>566</v>
      </c>
      <c r="BU397" s="50" t="s">
        <v>13683</v>
      </c>
      <c r="BV397" s="50" t="s">
        <v>2960</v>
      </c>
      <c r="BW397" s="50" t="s">
        <v>138</v>
      </c>
      <c r="BX397" s="50" t="s">
        <v>2961</v>
      </c>
      <c r="BY397" s="50" t="s">
        <v>2962</v>
      </c>
      <c r="BZ397" s="50" t="s">
        <v>2961</v>
      </c>
      <c r="CA397" s="50" t="s">
        <v>2960</v>
      </c>
      <c r="CB397" s="50" t="s">
        <v>2961</v>
      </c>
      <c r="CC397" s="50" t="s">
        <v>2962</v>
      </c>
      <c r="CD397" s="50" t="s">
        <v>2960</v>
      </c>
      <c r="CE397" s="50" t="s">
        <v>2961</v>
      </c>
      <c r="CF397" s="50" t="s">
        <v>2962</v>
      </c>
      <c r="CG397" s="50" t="s">
        <v>102</v>
      </c>
      <c r="CH397" s="50" t="s">
        <v>13684</v>
      </c>
      <c r="CJ397" s="50" t="s">
        <v>2964</v>
      </c>
      <c r="CL397" s="50" t="s">
        <v>2955</v>
      </c>
      <c r="CM397" s="50" t="s">
        <v>449</v>
      </c>
      <c r="CN397" s="50" t="s">
        <v>2964</v>
      </c>
      <c r="CO397" s="50" t="s">
        <v>2965</v>
      </c>
      <c r="CP397" s="50" t="s">
        <v>2963</v>
      </c>
      <c r="CQ397" s="50" t="s">
        <v>2963</v>
      </c>
    </row>
    <row r="398" spans="1:96">
      <c r="A398" s="95" t="s">
        <v>149</v>
      </c>
      <c r="B398" s="50">
        <v>2475745</v>
      </c>
      <c r="C398" s="50" t="s">
        <v>293</v>
      </c>
      <c r="D398" s="50" t="s">
        <v>3672</v>
      </c>
      <c r="E398" s="50" t="e">
        <f>VLOOKUP(B398,aa!B:F,5,0)</f>
        <v>#N/A</v>
      </c>
      <c r="F398" s="50" t="e">
        <f>VLOOKUP(B398,aa!B:J,9,0)</f>
        <v>#N/A</v>
      </c>
      <c r="G398" s="50" t="e">
        <f>VLOOKUP(B398,aa!B:L,11,0)</f>
        <v>#N/A</v>
      </c>
      <c r="H398" s="50" t="e">
        <f>VLOOKUP(B398,aa!B:O,14,0)</f>
        <v>#N/A</v>
      </c>
      <c r="I398" s="50" t="e">
        <f>VLOOKUP(B398,aa!B:R,17,0)</f>
        <v>#N/A</v>
      </c>
      <c r="K398" s="50" t="s">
        <v>848</v>
      </c>
      <c r="L398" s="50">
        <v>520730</v>
      </c>
      <c r="M398" s="50">
        <v>614461</v>
      </c>
      <c r="N398" s="50">
        <v>0</v>
      </c>
      <c r="O398" s="50">
        <v>0</v>
      </c>
      <c r="Q398" s="50">
        <v>0</v>
      </c>
      <c r="R398" s="50">
        <v>0</v>
      </c>
      <c r="T398" s="50">
        <v>520730</v>
      </c>
      <c r="U398" s="50">
        <v>256</v>
      </c>
      <c r="V398" s="50" t="s">
        <v>1399</v>
      </c>
      <c r="W398" s="50" t="s">
        <v>102</v>
      </c>
      <c r="X398" s="50" t="s">
        <v>275</v>
      </c>
      <c r="Z398" s="50" t="s">
        <v>12082</v>
      </c>
      <c r="AA398" s="50" t="s">
        <v>109</v>
      </c>
      <c r="AB398" s="50" t="s">
        <v>102</v>
      </c>
      <c r="AC398" s="50" t="s">
        <v>109</v>
      </c>
      <c r="AD398" s="50" t="s">
        <v>102</v>
      </c>
      <c r="AE398" s="50" t="s">
        <v>109</v>
      </c>
      <c r="AF398" s="50" t="s">
        <v>102</v>
      </c>
      <c r="AG398" s="50" t="s">
        <v>109</v>
      </c>
      <c r="AH398" s="50" t="s">
        <v>102</v>
      </c>
      <c r="AI398" s="50" t="s">
        <v>14192</v>
      </c>
      <c r="AJ398" s="50" t="s">
        <v>14193</v>
      </c>
      <c r="AK398" s="50" t="s">
        <v>14193</v>
      </c>
      <c r="AL398" s="50" t="s">
        <v>3675</v>
      </c>
      <c r="AM398" s="50" t="s">
        <v>14194</v>
      </c>
      <c r="AN398" s="50" t="s">
        <v>889</v>
      </c>
      <c r="AO398" s="50" t="s">
        <v>3677</v>
      </c>
      <c r="AP398" s="50" t="s">
        <v>3677</v>
      </c>
      <c r="AU398" s="50" t="s">
        <v>102</v>
      </c>
      <c r="AW398" s="50" t="s">
        <v>102</v>
      </c>
      <c r="AX398" s="50" t="s">
        <v>119</v>
      </c>
      <c r="BA398" s="50" t="s">
        <v>250</v>
      </c>
      <c r="BB398" s="50" t="s">
        <v>3678</v>
      </c>
      <c r="BC398" s="50" t="s">
        <v>920</v>
      </c>
      <c r="BD398" s="50" t="s">
        <v>211</v>
      </c>
      <c r="BE398" s="50" t="s">
        <v>212</v>
      </c>
      <c r="BF398" s="50" t="s">
        <v>213</v>
      </c>
      <c r="BG398" s="50" t="s">
        <v>124</v>
      </c>
      <c r="BH398" s="50" t="s">
        <v>12082</v>
      </c>
      <c r="BI398" s="50" t="s">
        <v>12720</v>
      </c>
      <c r="BJ398" s="50" t="s">
        <v>127</v>
      </c>
      <c r="BK398" s="50" t="s">
        <v>14195</v>
      </c>
      <c r="BL398" s="50" t="s">
        <v>3681</v>
      </c>
      <c r="BM398" s="50" t="s">
        <v>14196</v>
      </c>
      <c r="BN398" s="50" t="s">
        <v>12425</v>
      </c>
      <c r="BO398" s="50" t="s">
        <v>1309</v>
      </c>
      <c r="BP398" s="50" t="s">
        <v>180</v>
      </c>
      <c r="BQ398" s="50" t="s">
        <v>1310</v>
      </c>
      <c r="BR398" s="50" t="s">
        <v>1311</v>
      </c>
      <c r="BS398" s="50" t="s">
        <v>1312</v>
      </c>
      <c r="BT398" s="50" t="s">
        <v>2151</v>
      </c>
      <c r="BU398" s="50" t="s">
        <v>14197</v>
      </c>
      <c r="BV398" s="50" t="s">
        <v>14198</v>
      </c>
      <c r="BW398" s="50" t="s">
        <v>598</v>
      </c>
      <c r="BX398" s="50" t="s">
        <v>14199</v>
      </c>
      <c r="BY398" s="50" t="s">
        <v>3686</v>
      </c>
      <c r="BZ398" s="50" t="s">
        <v>3687</v>
      </c>
      <c r="CA398" s="50" t="s">
        <v>14200</v>
      </c>
      <c r="CB398" s="50" t="s">
        <v>3685</v>
      </c>
      <c r="CC398" s="50" t="s">
        <v>14201</v>
      </c>
      <c r="CD398" s="50" t="s">
        <v>14202</v>
      </c>
      <c r="CE398" s="50" t="s">
        <v>14203</v>
      </c>
      <c r="CF398" s="50" t="s">
        <v>14204</v>
      </c>
      <c r="CG398" s="50" t="s">
        <v>3688</v>
      </c>
      <c r="CH398" s="50" t="s">
        <v>3689</v>
      </c>
      <c r="CJ398" s="50" t="s">
        <v>3690</v>
      </c>
      <c r="CK398" s="50" t="s">
        <v>14205</v>
      </c>
      <c r="CL398" s="50" t="s">
        <v>920</v>
      </c>
      <c r="CM398" s="50" t="s">
        <v>2474</v>
      </c>
      <c r="CN398" s="50" t="s">
        <v>3690</v>
      </c>
      <c r="CP398" s="50" t="s">
        <v>3689</v>
      </c>
      <c r="CQ398" s="50" t="s">
        <v>3689</v>
      </c>
      <c r="CR398" s="50" t="s">
        <v>26047</v>
      </c>
    </row>
    <row r="399" spans="1:96">
      <c r="A399" s="50" t="s">
        <v>93</v>
      </c>
      <c r="B399" s="50">
        <v>5055085</v>
      </c>
      <c r="C399" s="50" t="s">
        <v>16075</v>
      </c>
      <c r="D399" s="50" t="s">
        <v>20619</v>
      </c>
      <c r="E399" s="50" t="str">
        <f>VLOOKUP(B399,aa!B:F,5,0)</f>
        <v>Ei CARES, Ei Mindspark</v>
      </c>
      <c r="F399" s="50">
        <f>VLOOKUP(B399,aa!B:J,9,0)</f>
        <v>770330</v>
      </c>
      <c r="G399" s="50">
        <f>VLOOKUP(B399,aa!B:L,11,0)</f>
        <v>0</v>
      </c>
      <c r="H399" s="50">
        <f>VLOOKUP(B399,aa!B:O,14,0)</f>
        <v>311155</v>
      </c>
      <c r="I399" s="50">
        <f>VLOOKUP(B399,aa!B:R,17,0)</f>
        <v>459175</v>
      </c>
      <c r="K399" s="50" t="s">
        <v>152</v>
      </c>
      <c r="L399" s="50">
        <v>156277</v>
      </c>
      <c r="M399" s="50">
        <v>156277</v>
      </c>
      <c r="N399" s="50">
        <v>0</v>
      </c>
      <c r="O399" s="50">
        <v>0</v>
      </c>
      <c r="Q399" s="50">
        <v>156277</v>
      </c>
      <c r="R399" s="50">
        <v>141</v>
      </c>
      <c r="S399" s="50" t="s">
        <v>20620</v>
      </c>
      <c r="T399" s="50">
        <v>0</v>
      </c>
      <c r="U399" s="50">
        <v>0</v>
      </c>
      <c r="W399" s="50" t="s">
        <v>102</v>
      </c>
      <c r="X399" s="50" t="s">
        <v>103</v>
      </c>
      <c r="Y399" s="50" t="s">
        <v>398</v>
      </c>
      <c r="AA399" s="50" t="s">
        <v>12425</v>
      </c>
      <c r="AB399" s="50" t="s">
        <v>20621</v>
      </c>
      <c r="AC399" s="50" t="s">
        <v>17783</v>
      </c>
      <c r="AD399" s="50" t="s">
        <v>20622</v>
      </c>
      <c r="AE399" s="50" t="s">
        <v>15933</v>
      </c>
      <c r="AF399" s="50" t="s">
        <v>20622</v>
      </c>
      <c r="AG399" s="50" t="s">
        <v>109</v>
      </c>
      <c r="AH399" s="50" t="s">
        <v>102</v>
      </c>
      <c r="AI399" s="50" t="s">
        <v>102</v>
      </c>
      <c r="AJ399" s="50" t="s">
        <v>2483</v>
      </c>
      <c r="AK399" s="50" t="s">
        <v>12859</v>
      </c>
      <c r="AL399" s="50" t="s">
        <v>20623</v>
      </c>
      <c r="AM399" s="50" t="s">
        <v>20623</v>
      </c>
      <c r="AN399" s="50" t="s">
        <v>102</v>
      </c>
      <c r="AO399" s="50" t="s">
        <v>20624</v>
      </c>
      <c r="AP399" s="50" t="s">
        <v>20624</v>
      </c>
      <c r="AU399" s="50" t="s">
        <v>102</v>
      </c>
      <c r="AW399" s="50" t="s">
        <v>102</v>
      </c>
      <c r="AX399" s="50" t="s">
        <v>447</v>
      </c>
      <c r="AY399" s="50" t="s">
        <v>170</v>
      </c>
      <c r="AZ399" s="50" t="s">
        <v>118</v>
      </c>
      <c r="BB399" s="50" t="s">
        <v>120</v>
      </c>
      <c r="BC399" s="50" t="s">
        <v>20625</v>
      </c>
      <c r="BD399" s="50" t="s">
        <v>376</v>
      </c>
      <c r="BE399" s="50" t="s">
        <v>174</v>
      </c>
      <c r="BF399" s="50" t="s">
        <v>376</v>
      </c>
      <c r="BG399" s="50" t="s">
        <v>124</v>
      </c>
      <c r="BH399" s="50" t="s">
        <v>12425</v>
      </c>
      <c r="BI399" s="50" t="s">
        <v>11889</v>
      </c>
      <c r="BJ399" s="50" t="s">
        <v>127</v>
      </c>
      <c r="BK399" s="50" t="s">
        <v>20626</v>
      </c>
      <c r="BL399" s="50" t="s">
        <v>20627</v>
      </c>
      <c r="BM399" s="50" t="s">
        <v>20628</v>
      </c>
      <c r="BN399" s="50" t="s">
        <v>12425</v>
      </c>
      <c r="BO399" s="50" t="s">
        <v>13780</v>
      </c>
      <c r="BP399" s="50" t="s">
        <v>180</v>
      </c>
      <c r="BQ399" s="50" t="s">
        <v>13781</v>
      </c>
      <c r="BR399" s="50" t="s">
        <v>13782</v>
      </c>
      <c r="BS399" s="50" t="s">
        <v>13783</v>
      </c>
      <c r="BU399" s="50" t="s">
        <v>20629</v>
      </c>
      <c r="BV399" s="50" t="s">
        <v>20630</v>
      </c>
      <c r="BW399" s="50" t="s">
        <v>354</v>
      </c>
      <c r="BX399" s="50" t="s">
        <v>20631</v>
      </c>
      <c r="BY399" s="50" t="s">
        <v>20632</v>
      </c>
      <c r="BZ399" s="50" t="s">
        <v>20633</v>
      </c>
      <c r="CA399" s="50" t="s">
        <v>20630</v>
      </c>
      <c r="CB399" s="50" t="s">
        <v>20631</v>
      </c>
      <c r="CC399" s="50" t="s">
        <v>20632</v>
      </c>
      <c r="CD399" s="50" t="s">
        <v>20630</v>
      </c>
      <c r="CE399" s="50" t="s">
        <v>20631</v>
      </c>
      <c r="CF399" s="50" t="s">
        <v>20632</v>
      </c>
      <c r="CG399" s="50" t="s">
        <v>6370</v>
      </c>
      <c r="CH399" s="50" t="s">
        <v>20634</v>
      </c>
      <c r="CJ399" s="50" t="s">
        <v>20635</v>
      </c>
      <c r="CK399" s="50" t="s">
        <v>20634</v>
      </c>
      <c r="CL399" s="50" t="s">
        <v>20625</v>
      </c>
      <c r="CM399" s="50" t="s">
        <v>376</v>
      </c>
      <c r="CN399" s="50" t="s">
        <v>20635</v>
      </c>
      <c r="CP399" s="50" t="s">
        <v>20634</v>
      </c>
      <c r="CQ399" s="50" t="s">
        <v>20636</v>
      </c>
    </row>
    <row r="400" spans="1:96">
      <c r="A400" s="95" t="s">
        <v>149</v>
      </c>
      <c r="B400" s="50">
        <v>6662</v>
      </c>
      <c r="C400" s="50" t="s">
        <v>183</v>
      </c>
      <c r="D400" s="50" t="s">
        <v>11532</v>
      </c>
      <c r="E400" s="50" t="e">
        <f>VLOOKUP(B400,aa!B:F,5,0)</f>
        <v>#N/A</v>
      </c>
      <c r="F400" s="50" t="e">
        <f>VLOOKUP(B400,aa!B:J,9,0)</f>
        <v>#N/A</v>
      </c>
      <c r="G400" s="50" t="e">
        <f>VLOOKUP(B400,aa!B:L,11,0)</f>
        <v>#N/A</v>
      </c>
      <c r="H400" s="50" t="e">
        <f>VLOOKUP(B400,aa!B:O,14,0)</f>
        <v>#N/A</v>
      </c>
      <c r="I400" s="50" t="e">
        <f>VLOOKUP(B400,aa!B:R,17,0)</f>
        <v>#N/A</v>
      </c>
      <c r="K400" s="50" t="s">
        <v>848</v>
      </c>
      <c r="L400" s="50">
        <v>344873</v>
      </c>
      <c r="M400" s="50">
        <v>406950</v>
      </c>
      <c r="N400" s="50">
        <v>0</v>
      </c>
      <c r="O400" s="50">
        <v>0</v>
      </c>
      <c r="Q400" s="50">
        <v>0</v>
      </c>
      <c r="R400" s="50">
        <v>0</v>
      </c>
      <c r="T400" s="50">
        <v>344873</v>
      </c>
      <c r="U400" s="50">
        <v>220</v>
      </c>
      <c r="V400" s="50" t="s">
        <v>21414</v>
      </c>
      <c r="W400" s="50" t="s">
        <v>102</v>
      </c>
      <c r="X400" s="50" t="s">
        <v>103</v>
      </c>
      <c r="Y400" s="50" t="s">
        <v>398</v>
      </c>
      <c r="AA400" s="50" t="s">
        <v>1547</v>
      </c>
      <c r="AB400" s="50" t="s">
        <v>21415</v>
      </c>
      <c r="AC400" s="50" t="s">
        <v>13110</v>
      </c>
      <c r="AD400" s="50" t="s">
        <v>21416</v>
      </c>
      <c r="AE400" s="50" t="s">
        <v>11886</v>
      </c>
      <c r="AF400" s="50" t="s">
        <v>21416</v>
      </c>
      <c r="AG400" s="50" t="s">
        <v>109</v>
      </c>
      <c r="AH400" s="50" t="s">
        <v>102</v>
      </c>
      <c r="AI400" s="50" t="s">
        <v>21417</v>
      </c>
      <c r="AJ400" s="50" t="s">
        <v>8488</v>
      </c>
      <c r="AK400" s="50" t="s">
        <v>12609</v>
      </c>
      <c r="AL400" s="50" t="s">
        <v>21418</v>
      </c>
      <c r="AM400" s="50" t="s">
        <v>21419</v>
      </c>
      <c r="AN400" s="50" t="s">
        <v>21420</v>
      </c>
      <c r="AO400" s="50" t="s">
        <v>21421</v>
      </c>
      <c r="AP400" s="50" t="s">
        <v>21421</v>
      </c>
      <c r="AU400" s="50" t="s">
        <v>102</v>
      </c>
      <c r="AW400" s="50" t="s">
        <v>102</v>
      </c>
      <c r="AX400" s="50" t="s">
        <v>119</v>
      </c>
      <c r="BA400" s="50" t="s">
        <v>250</v>
      </c>
      <c r="BB400" s="50" t="s">
        <v>120</v>
      </c>
      <c r="BC400" s="50" t="s">
        <v>11543</v>
      </c>
      <c r="BD400" s="50" t="s">
        <v>4404</v>
      </c>
      <c r="BE400" s="50" t="s">
        <v>174</v>
      </c>
      <c r="BF400" s="50" t="s">
        <v>4405</v>
      </c>
      <c r="BG400" s="50" t="s">
        <v>124</v>
      </c>
      <c r="BH400" s="50" t="s">
        <v>11959</v>
      </c>
      <c r="BI400" s="50" t="s">
        <v>11889</v>
      </c>
      <c r="BJ400" s="50" t="s">
        <v>127</v>
      </c>
      <c r="BK400" s="50" t="s">
        <v>21422</v>
      </c>
      <c r="BL400" s="50" t="s">
        <v>11545</v>
      </c>
      <c r="BM400" s="50" t="s">
        <v>21423</v>
      </c>
      <c r="BN400" s="50" t="s">
        <v>12425</v>
      </c>
      <c r="BO400" s="50" t="s">
        <v>179</v>
      </c>
      <c r="BP400" s="50" t="s">
        <v>180</v>
      </c>
      <c r="BQ400" s="50" t="s">
        <v>181</v>
      </c>
      <c r="BR400" s="50" t="s">
        <v>182</v>
      </c>
      <c r="BS400" s="50" t="s">
        <v>4413</v>
      </c>
      <c r="BU400" s="50" t="s">
        <v>21424</v>
      </c>
      <c r="BV400" s="50" t="s">
        <v>11548</v>
      </c>
      <c r="BW400" s="50" t="s">
        <v>138</v>
      </c>
      <c r="BX400" s="50" t="s">
        <v>11549</v>
      </c>
      <c r="BY400" s="50" t="s">
        <v>21425</v>
      </c>
      <c r="BZ400" s="50" t="s">
        <v>11549</v>
      </c>
      <c r="CA400" s="50" t="s">
        <v>11548</v>
      </c>
      <c r="CB400" s="50" t="s">
        <v>11549</v>
      </c>
      <c r="CC400" s="50" t="s">
        <v>21425</v>
      </c>
      <c r="CD400" s="50" t="s">
        <v>21426</v>
      </c>
      <c r="CE400" s="50" t="s">
        <v>21427</v>
      </c>
      <c r="CF400" s="50" t="s">
        <v>21428</v>
      </c>
      <c r="CG400" s="50" t="s">
        <v>102</v>
      </c>
      <c r="CH400" s="50" t="s">
        <v>2831</v>
      </c>
      <c r="CJ400" s="50" t="s">
        <v>11552</v>
      </c>
      <c r="CL400" s="50" t="s">
        <v>11543</v>
      </c>
      <c r="CM400" s="50" t="s">
        <v>4404</v>
      </c>
      <c r="CN400" s="50" t="s">
        <v>11552</v>
      </c>
      <c r="CO400" s="50" t="s">
        <v>11553</v>
      </c>
      <c r="CP400" s="50" t="s">
        <v>11551</v>
      </c>
      <c r="CQ400" s="50" t="s">
        <v>11551</v>
      </c>
    </row>
    <row r="401" spans="1:96">
      <c r="A401" s="50" t="s">
        <v>26356</v>
      </c>
      <c r="B401" s="50">
        <v>41269</v>
      </c>
      <c r="C401" s="50" t="s">
        <v>2525</v>
      </c>
      <c r="D401" s="50" t="s">
        <v>8719</v>
      </c>
      <c r="E401" s="50" t="str">
        <f>VLOOKUP(B401,aa!B:F,5,0)</f>
        <v>Ei CARES</v>
      </c>
      <c r="F401" s="50">
        <f>VLOOKUP(B401,aa!B:J,9,0)</f>
        <v>797756</v>
      </c>
      <c r="G401" s="50">
        <f>VLOOKUP(B401,aa!B:L,11,0)</f>
        <v>0</v>
      </c>
      <c r="H401" s="50">
        <f>VLOOKUP(B401,aa!B:O,14,0)</f>
        <v>797756</v>
      </c>
      <c r="I401" s="50">
        <f>VLOOKUP(B401,aa!B:R,17,0)</f>
        <v>0</v>
      </c>
      <c r="K401" s="50" t="s">
        <v>152</v>
      </c>
      <c r="L401" s="50">
        <v>731094</v>
      </c>
      <c r="M401" s="50">
        <v>731094</v>
      </c>
      <c r="N401" s="50">
        <v>0</v>
      </c>
      <c r="O401" s="50">
        <v>0</v>
      </c>
      <c r="Q401" s="50">
        <v>731094</v>
      </c>
      <c r="R401" s="50">
        <v>975</v>
      </c>
      <c r="S401" s="50" t="s">
        <v>101</v>
      </c>
      <c r="T401" s="50">
        <v>0</v>
      </c>
      <c r="U401" s="50">
        <v>0</v>
      </c>
      <c r="W401" s="50" t="s">
        <v>102</v>
      </c>
      <c r="X401" s="50" t="s">
        <v>103</v>
      </c>
      <c r="Y401" s="50" t="s">
        <v>104</v>
      </c>
      <c r="AA401" s="50" t="s">
        <v>8708</v>
      </c>
      <c r="AB401" s="50" t="s">
        <v>18136</v>
      </c>
      <c r="AC401" s="50" t="s">
        <v>12327</v>
      </c>
      <c r="AD401" s="50" t="s">
        <v>18136</v>
      </c>
      <c r="AE401" s="50" t="s">
        <v>109</v>
      </c>
      <c r="AF401" s="50" t="s">
        <v>102</v>
      </c>
      <c r="AG401" s="50" t="s">
        <v>109</v>
      </c>
      <c r="AH401" s="50" t="s">
        <v>102</v>
      </c>
      <c r="AI401" s="50" t="s">
        <v>18137</v>
      </c>
      <c r="AJ401" s="50" t="s">
        <v>10030</v>
      </c>
      <c r="AK401" s="50" t="s">
        <v>11911</v>
      </c>
      <c r="AL401" s="50" t="s">
        <v>18138</v>
      </c>
      <c r="AM401" s="50" t="s">
        <v>18139</v>
      </c>
      <c r="AN401" s="50" t="s">
        <v>18140</v>
      </c>
      <c r="AO401" s="50" t="s">
        <v>18141</v>
      </c>
      <c r="AP401" s="50" t="s">
        <v>18142</v>
      </c>
      <c r="AT401" s="50" t="s">
        <v>169</v>
      </c>
      <c r="AU401" s="50" t="s">
        <v>102</v>
      </c>
      <c r="AW401" s="50" t="s">
        <v>155</v>
      </c>
      <c r="AX401" s="50" t="s">
        <v>119</v>
      </c>
      <c r="AY401" s="50" t="s">
        <v>170</v>
      </c>
      <c r="AZ401" s="50" t="s">
        <v>118</v>
      </c>
      <c r="BB401" s="50" t="s">
        <v>120</v>
      </c>
      <c r="BC401" s="50" t="s">
        <v>729</v>
      </c>
      <c r="BD401" s="50" t="s">
        <v>730</v>
      </c>
      <c r="BE401" s="50" t="s">
        <v>622</v>
      </c>
      <c r="BF401" s="50" t="s">
        <v>730</v>
      </c>
      <c r="BG401" s="50" t="s">
        <v>124</v>
      </c>
      <c r="BH401" s="50" t="s">
        <v>12023</v>
      </c>
      <c r="BI401" s="50" t="s">
        <v>11889</v>
      </c>
      <c r="BJ401" s="50" t="s">
        <v>127</v>
      </c>
      <c r="BK401" s="50" t="s">
        <v>18143</v>
      </c>
      <c r="BL401" s="50" t="s">
        <v>8729</v>
      </c>
      <c r="BM401" s="50" t="s">
        <v>18144</v>
      </c>
      <c r="BN401" s="50" t="s">
        <v>16483</v>
      </c>
      <c r="BO401" s="50" t="s">
        <v>734</v>
      </c>
      <c r="BP401" s="50" t="s">
        <v>350</v>
      </c>
      <c r="BQ401" s="50" t="s">
        <v>735</v>
      </c>
      <c r="BR401" s="50" t="s">
        <v>736</v>
      </c>
      <c r="BS401" s="50" t="s">
        <v>737</v>
      </c>
      <c r="BU401" s="50" t="s">
        <v>18145</v>
      </c>
      <c r="BV401" s="50" t="s">
        <v>18146</v>
      </c>
      <c r="BW401" s="50" t="s">
        <v>138</v>
      </c>
      <c r="BX401" s="50" t="s">
        <v>8733</v>
      </c>
      <c r="BY401" s="50" t="s">
        <v>8734</v>
      </c>
      <c r="BZ401" s="50" t="s">
        <v>8735</v>
      </c>
      <c r="CA401" s="50" t="s">
        <v>8732</v>
      </c>
      <c r="CB401" s="50" t="s">
        <v>8733</v>
      </c>
      <c r="CC401" s="50" t="s">
        <v>8734</v>
      </c>
      <c r="CD401" s="50" t="s">
        <v>8732</v>
      </c>
      <c r="CE401" s="50" t="s">
        <v>8733</v>
      </c>
      <c r="CF401" s="50" t="s">
        <v>8734</v>
      </c>
      <c r="CG401" s="50" t="s">
        <v>3841</v>
      </c>
      <c r="CH401" s="50" t="s">
        <v>18147</v>
      </c>
      <c r="CJ401" s="50" t="s">
        <v>8740</v>
      </c>
      <c r="CK401" s="50" t="s">
        <v>18148</v>
      </c>
      <c r="CL401" s="50" t="s">
        <v>729</v>
      </c>
      <c r="CM401" s="50" t="s">
        <v>2273</v>
      </c>
      <c r="CN401" s="50" t="s">
        <v>8740</v>
      </c>
      <c r="CO401" s="50" t="s">
        <v>8741</v>
      </c>
      <c r="CP401" s="50" t="s">
        <v>8739</v>
      </c>
      <c r="CQ401" s="50" t="s">
        <v>8739</v>
      </c>
    </row>
    <row r="402" spans="1:96">
      <c r="A402" s="95" t="s">
        <v>149</v>
      </c>
      <c r="B402" s="50">
        <v>5184</v>
      </c>
      <c r="C402" s="50" t="s">
        <v>2151</v>
      </c>
      <c r="D402" s="50" t="s">
        <v>10864</v>
      </c>
      <c r="E402" s="50" t="str">
        <f>VLOOKUP(B402,aa!B:F,5,0)</f>
        <v>Ei ASSET,Ei CARES,Ei Mindspark</v>
      </c>
      <c r="F402" s="50">
        <f>VLOOKUP(B402,aa!B:J,9,0)</f>
        <v>2365160</v>
      </c>
      <c r="G402" s="50">
        <f>VLOOKUP(B402,aa!B:L,11,0)</f>
        <v>740942</v>
      </c>
      <c r="H402" s="50">
        <f>VLOOKUP(B402,aa!B:O,14,0)</f>
        <v>670327</v>
      </c>
      <c r="I402" s="50">
        <f>VLOOKUP(B402,aa!B:R,17,0)</f>
        <v>953891</v>
      </c>
      <c r="K402" s="50" t="s">
        <v>20984</v>
      </c>
      <c r="L402" s="50">
        <v>2218803</v>
      </c>
      <c r="M402" s="50">
        <v>2416777</v>
      </c>
      <c r="N402" s="50">
        <v>756974</v>
      </c>
      <c r="O402" s="50">
        <v>956</v>
      </c>
      <c r="P402" s="50" t="s">
        <v>20985</v>
      </c>
      <c r="Q402" s="50">
        <v>361974</v>
      </c>
      <c r="R402" s="50">
        <v>258</v>
      </c>
      <c r="S402" s="50" t="s">
        <v>20986</v>
      </c>
      <c r="T402" s="50">
        <v>1099855</v>
      </c>
      <c r="U402" s="50">
        <v>614</v>
      </c>
      <c r="V402" s="50" t="s">
        <v>20987</v>
      </c>
      <c r="W402" s="50" t="s">
        <v>102</v>
      </c>
      <c r="X402" s="50" t="s">
        <v>103</v>
      </c>
      <c r="Y402" s="50" t="s">
        <v>155</v>
      </c>
      <c r="AA402" s="50" t="s">
        <v>1408</v>
      </c>
      <c r="AB402" s="50" t="s">
        <v>20988</v>
      </c>
      <c r="AC402" s="50" t="s">
        <v>12888</v>
      </c>
      <c r="AD402" s="50" t="s">
        <v>20988</v>
      </c>
      <c r="AE402" s="50" t="s">
        <v>1427</v>
      </c>
      <c r="AF402" s="50" t="s">
        <v>20988</v>
      </c>
      <c r="AG402" s="50" t="s">
        <v>11886</v>
      </c>
      <c r="AH402" s="50" t="s">
        <v>20988</v>
      </c>
      <c r="AI402" s="50" t="s">
        <v>20989</v>
      </c>
      <c r="AJ402" s="50" t="s">
        <v>12082</v>
      </c>
      <c r="AK402" s="50" t="s">
        <v>17021</v>
      </c>
      <c r="AL402" s="50" t="s">
        <v>20990</v>
      </c>
      <c r="AM402" s="50" t="s">
        <v>20991</v>
      </c>
      <c r="AN402" s="50" t="s">
        <v>20992</v>
      </c>
      <c r="AO402" s="50" t="s">
        <v>20993</v>
      </c>
      <c r="AP402" s="50" t="s">
        <v>20993</v>
      </c>
      <c r="AU402" s="50" t="s">
        <v>318</v>
      </c>
      <c r="AV402" s="50" t="s">
        <v>118</v>
      </c>
      <c r="AW402" s="50" t="s">
        <v>248</v>
      </c>
      <c r="AX402" s="50" t="s">
        <v>119</v>
      </c>
      <c r="AY402" s="50" t="s">
        <v>170</v>
      </c>
      <c r="AZ402" s="50" t="s">
        <v>118</v>
      </c>
      <c r="BA402" s="50" t="s">
        <v>250</v>
      </c>
      <c r="BB402" s="50" t="s">
        <v>171</v>
      </c>
      <c r="BC402" s="50" t="s">
        <v>920</v>
      </c>
      <c r="BD402" s="50" t="s">
        <v>211</v>
      </c>
      <c r="BE402" s="50" t="s">
        <v>212</v>
      </c>
      <c r="BF402" s="50" t="s">
        <v>213</v>
      </c>
      <c r="BG402" s="50" t="s">
        <v>124</v>
      </c>
      <c r="BH402" s="50" t="s">
        <v>11959</v>
      </c>
      <c r="BI402" s="50" t="s">
        <v>11960</v>
      </c>
      <c r="BJ402" s="50" t="s">
        <v>127</v>
      </c>
      <c r="BK402" s="50" t="s">
        <v>20994</v>
      </c>
      <c r="BL402" s="50" t="s">
        <v>10882</v>
      </c>
      <c r="BM402" s="50" t="s">
        <v>20995</v>
      </c>
      <c r="BN402" s="50" t="s">
        <v>12890</v>
      </c>
      <c r="BO402" s="50" t="s">
        <v>1880</v>
      </c>
      <c r="BP402" s="50" t="s">
        <v>180</v>
      </c>
      <c r="BQ402" s="50" t="s">
        <v>1882</v>
      </c>
      <c r="BR402" s="50" t="s">
        <v>1883</v>
      </c>
      <c r="BS402" s="50" t="s">
        <v>2151</v>
      </c>
      <c r="BU402" s="50" t="s">
        <v>20996</v>
      </c>
      <c r="BV402" s="50" t="s">
        <v>10885</v>
      </c>
      <c r="BW402" s="50" t="s">
        <v>138</v>
      </c>
      <c r="BX402" s="50" t="s">
        <v>10886</v>
      </c>
      <c r="BY402" s="50" t="s">
        <v>10887</v>
      </c>
      <c r="BZ402" s="50" t="s">
        <v>10886</v>
      </c>
      <c r="CA402" s="50" t="s">
        <v>10885</v>
      </c>
      <c r="CB402" s="50" t="s">
        <v>10886</v>
      </c>
      <c r="CC402" s="50" t="s">
        <v>10887</v>
      </c>
      <c r="CD402" s="50" t="s">
        <v>10885</v>
      </c>
      <c r="CE402" s="50" t="s">
        <v>10886</v>
      </c>
      <c r="CF402" s="50" t="s">
        <v>10887</v>
      </c>
      <c r="CG402" s="50" t="s">
        <v>102</v>
      </c>
      <c r="CH402" s="50" t="s">
        <v>10890</v>
      </c>
      <c r="CJ402" s="50" t="s">
        <v>10891</v>
      </c>
      <c r="CL402" s="50" t="s">
        <v>920</v>
      </c>
      <c r="CM402" s="50" t="s">
        <v>211</v>
      </c>
      <c r="CN402" s="50" t="s">
        <v>10891</v>
      </c>
      <c r="CO402" s="50" t="s">
        <v>10892</v>
      </c>
      <c r="CP402" s="50" t="s">
        <v>10890</v>
      </c>
      <c r="CQ402" s="50" t="s">
        <v>10890</v>
      </c>
    </row>
    <row r="403" spans="1:96">
      <c r="A403" s="95" t="s">
        <v>149</v>
      </c>
      <c r="B403" s="50">
        <v>2066385</v>
      </c>
      <c r="C403" s="50" t="s">
        <v>11995</v>
      </c>
      <c r="D403" s="50" t="s">
        <v>2601</v>
      </c>
      <c r="E403" s="50" t="e">
        <f>VLOOKUP(B403,aa!B:F,5,0)</f>
        <v>#N/A</v>
      </c>
      <c r="F403" s="50" t="e">
        <f>VLOOKUP(B403,aa!B:J,9,0)</f>
        <v>#N/A</v>
      </c>
      <c r="G403" s="50" t="e">
        <f>VLOOKUP(B403,aa!B:L,11,0)</f>
        <v>#N/A</v>
      </c>
      <c r="H403" s="50" t="e">
        <f>VLOOKUP(B403,aa!B:O,14,0)</f>
        <v>#N/A</v>
      </c>
      <c r="I403" s="50" t="e">
        <f>VLOOKUP(B403,aa!B:R,17,0)</f>
        <v>#N/A</v>
      </c>
      <c r="K403" s="50" t="s">
        <v>152</v>
      </c>
      <c r="L403" s="50">
        <v>1221775</v>
      </c>
      <c r="M403" s="50">
        <v>1221775</v>
      </c>
      <c r="N403" s="50">
        <v>0</v>
      </c>
      <c r="O403" s="50">
        <v>0</v>
      </c>
      <c r="Q403" s="50">
        <v>1221775</v>
      </c>
      <c r="R403" s="50">
        <v>879</v>
      </c>
      <c r="S403" s="50" t="s">
        <v>13473</v>
      </c>
      <c r="T403" s="50">
        <v>0</v>
      </c>
      <c r="U403" s="50">
        <v>0</v>
      </c>
      <c r="W403" s="50" t="s">
        <v>102</v>
      </c>
      <c r="X403" s="50" t="s">
        <v>103</v>
      </c>
      <c r="Y403" s="50" t="s">
        <v>155</v>
      </c>
      <c r="AA403" s="50" t="s">
        <v>12040</v>
      </c>
      <c r="AB403" s="50" t="s">
        <v>13474</v>
      </c>
      <c r="AC403" s="50" t="s">
        <v>12427</v>
      </c>
      <c r="AD403" s="50" t="s">
        <v>13474</v>
      </c>
      <c r="AE403" s="50" t="s">
        <v>13395</v>
      </c>
      <c r="AF403" s="50" t="s">
        <v>13474</v>
      </c>
      <c r="AG403" s="50" t="s">
        <v>12713</v>
      </c>
      <c r="AH403" s="50" t="s">
        <v>13474</v>
      </c>
      <c r="AI403" s="50" t="s">
        <v>102</v>
      </c>
      <c r="AJ403" s="50" t="s">
        <v>13340</v>
      </c>
      <c r="AK403" s="50" t="s">
        <v>13302</v>
      </c>
      <c r="AL403" s="50" t="s">
        <v>13475</v>
      </c>
      <c r="AM403" s="50" t="s">
        <v>13476</v>
      </c>
      <c r="AN403" s="50" t="s">
        <v>13477</v>
      </c>
      <c r="AO403" s="50" t="s">
        <v>13478</v>
      </c>
      <c r="AP403" s="50" t="s">
        <v>13478</v>
      </c>
      <c r="AU403" s="50" t="s">
        <v>102</v>
      </c>
      <c r="AW403" s="50" t="s">
        <v>155</v>
      </c>
      <c r="AX403" s="50" t="s">
        <v>119</v>
      </c>
      <c r="AY403" s="50" t="s">
        <v>170</v>
      </c>
      <c r="AZ403" s="50" t="s">
        <v>118</v>
      </c>
      <c r="BB403" s="50" t="s">
        <v>120</v>
      </c>
      <c r="BC403" s="50" t="s">
        <v>2611</v>
      </c>
      <c r="BD403" s="50" t="s">
        <v>285</v>
      </c>
      <c r="BE403" s="50" t="s">
        <v>212</v>
      </c>
      <c r="BF403" s="50" t="s">
        <v>286</v>
      </c>
      <c r="BG403" s="50" t="s">
        <v>124</v>
      </c>
      <c r="BH403" s="50" t="s">
        <v>11976</v>
      </c>
      <c r="BI403" s="50" t="s">
        <v>11889</v>
      </c>
      <c r="BJ403" s="50" t="s">
        <v>127</v>
      </c>
      <c r="BK403" s="50" t="s">
        <v>13479</v>
      </c>
      <c r="BL403" s="50" t="s">
        <v>2613</v>
      </c>
      <c r="BM403" s="50" t="s">
        <v>13480</v>
      </c>
      <c r="BN403" s="50" t="s">
        <v>2483</v>
      </c>
      <c r="BO403" s="50" t="s">
        <v>956</v>
      </c>
      <c r="BP403" s="50" t="s">
        <v>505</v>
      </c>
      <c r="BQ403" s="50" t="s">
        <v>958</v>
      </c>
      <c r="BR403" s="50" t="s">
        <v>959</v>
      </c>
      <c r="BS403" s="50" t="s">
        <v>293</v>
      </c>
      <c r="BU403" s="50" t="s">
        <v>13481</v>
      </c>
      <c r="BV403" s="50" t="s">
        <v>2619</v>
      </c>
      <c r="BW403" s="50" t="s">
        <v>354</v>
      </c>
      <c r="BX403" s="50" t="s">
        <v>2620</v>
      </c>
      <c r="BY403" s="50" t="s">
        <v>2621</v>
      </c>
      <c r="BZ403" s="50" t="s">
        <v>2622</v>
      </c>
      <c r="CA403" s="50" t="s">
        <v>13482</v>
      </c>
      <c r="CB403" s="50" t="s">
        <v>2620</v>
      </c>
      <c r="CC403" s="50" t="s">
        <v>2621</v>
      </c>
      <c r="CD403" s="50" t="s">
        <v>13482</v>
      </c>
      <c r="CE403" s="50" t="s">
        <v>2620</v>
      </c>
      <c r="CF403" s="50" t="s">
        <v>2621</v>
      </c>
      <c r="CG403" s="50" t="s">
        <v>2623</v>
      </c>
      <c r="CH403" s="50" t="s">
        <v>2601</v>
      </c>
      <c r="CJ403" s="50" t="s">
        <v>2625</v>
      </c>
      <c r="CK403" s="50" t="s">
        <v>2624</v>
      </c>
      <c r="CL403" s="50" t="s">
        <v>2611</v>
      </c>
      <c r="CM403" s="50" t="s">
        <v>285</v>
      </c>
      <c r="CN403" s="50" t="s">
        <v>2625</v>
      </c>
      <c r="CP403" s="50" t="s">
        <v>2624</v>
      </c>
      <c r="CQ403" s="50" t="s">
        <v>2624</v>
      </c>
      <c r="CR403" s="50" t="s">
        <v>26045</v>
      </c>
    </row>
    <row r="404" spans="1:96">
      <c r="A404" s="95" t="s">
        <v>149</v>
      </c>
      <c r="B404" s="50">
        <v>3459074</v>
      </c>
      <c r="C404" s="50" t="s">
        <v>11882</v>
      </c>
      <c r="D404" s="50" t="s">
        <v>6148</v>
      </c>
      <c r="E404" s="50" t="e">
        <f>VLOOKUP(B404,aa!B:F,5,0)</f>
        <v>#N/A</v>
      </c>
      <c r="F404" s="50" t="e">
        <f>VLOOKUP(B404,aa!B:J,9,0)</f>
        <v>#N/A</v>
      </c>
      <c r="G404" s="50" t="e">
        <f>VLOOKUP(B404,aa!B:L,11,0)</f>
        <v>#N/A</v>
      </c>
      <c r="H404" s="50" t="e">
        <f>VLOOKUP(B404,aa!B:O,14,0)</f>
        <v>#N/A</v>
      </c>
      <c r="I404" s="50" t="e">
        <f>VLOOKUP(B404,aa!B:R,17,0)</f>
        <v>#N/A</v>
      </c>
      <c r="K404" s="50" t="s">
        <v>97</v>
      </c>
      <c r="L404" s="50">
        <v>422021</v>
      </c>
      <c r="M404" s="50">
        <v>422021</v>
      </c>
      <c r="N404" s="50">
        <v>422021</v>
      </c>
      <c r="O404" s="50">
        <v>422</v>
      </c>
      <c r="P404" s="50" t="s">
        <v>5042</v>
      </c>
      <c r="Q404" s="50">
        <v>0</v>
      </c>
      <c r="R404" s="50">
        <v>0</v>
      </c>
      <c r="T404" s="50">
        <v>0</v>
      </c>
      <c r="U404" s="50">
        <v>0</v>
      </c>
      <c r="W404" s="50" t="s">
        <v>102</v>
      </c>
      <c r="X404" s="50" t="s">
        <v>103</v>
      </c>
      <c r="Y404" s="50" t="s">
        <v>398</v>
      </c>
      <c r="AA404" s="50" t="s">
        <v>1408</v>
      </c>
      <c r="AB404" s="50" t="s">
        <v>16064</v>
      </c>
      <c r="AC404" s="50" t="s">
        <v>12040</v>
      </c>
      <c r="AD404" s="50" t="s">
        <v>16064</v>
      </c>
      <c r="AE404" s="50" t="s">
        <v>3679</v>
      </c>
      <c r="AF404" s="50" t="s">
        <v>16065</v>
      </c>
      <c r="AG404" s="50" t="s">
        <v>109</v>
      </c>
      <c r="AH404" s="50" t="s">
        <v>102</v>
      </c>
      <c r="AI404" s="50" t="s">
        <v>102</v>
      </c>
      <c r="AJ404" s="50" t="s">
        <v>11952</v>
      </c>
      <c r="AK404" s="50" t="s">
        <v>11952</v>
      </c>
      <c r="AL404" s="50" t="s">
        <v>16066</v>
      </c>
      <c r="AM404" s="50" t="s">
        <v>16067</v>
      </c>
      <c r="AN404" s="50" t="s">
        <v>16068</v>
      </c>
      <c r="AO404" s="50" t="s">
        <v>3677</v>
      </c>
      <c r="AP404" s="50" t="s">
        <v>3677</v>
      </c>
      <c r="AU404" s="50" t="s">
        <v>318</v>
      </c>
      <c r="AV404" s="50" t="s">
        <v>118</v>
      </c>
      <c r="AW404" s="50" t="s">
        <v>102</v>
      </c>
      <c r="AX404" s="50" t="s">
        <v>119</v>
      </c>
      <c r="BB404" s="50" t="s">
        <v>120</v>
      </c>
      <c r="BC404" s="50" t="s">
        <v>1407</v>
      </c>
      <c r="BD404" s="50" t="s">
        <v>449</v>
      </c>
      <c r="BE404" s="50" t="s">
        <v>122</v>
      </c>
      <c r="BF404" s="50" t="s">
        <v>450</v>
      </c>
      <c r="BG404" s="50" t="s">
        <v>124</v>
      </c>
      <c r="BH404" s="50" t="s">
        <v>12023</v>
      </c>
      <c r="BI404" s="50" t="s">
        <v>11889</v>
      </c>
      <c r="BJ404" s="50" t="s">
        <v>127</v>
      </c>
      <c r="BK404" s="50" t="s">
        <v>16069</v>
      </c>
      <c r="BL404" s="50" t="s">
        <v>6156</v>
      </c>
      <c r="BM404" s="50" t="s">
        <v>16070</v>
      </c>
      <c r="BN404" s="50" t="s">
        <v>2483</v>
      </c>
      <c r="BO404" s="50" t="s">
        <v>3267</v>
      </c>
      <c r="BP404" s="50" t="s">
        <v>350</v>
      </c>
      <c r="BQ404" s="50" t="s">
        <v>3268</v>
      </c>
      <c r="BR404" s="50" t="s">
        <v>3269</v>
      </c>
      <c r="BS404" s="50" t="s">
        <v>135</v>
      </c>
      <c r="BU404" s="50" t="s">
        <v>16071</v>
      </c>
      <c r="BV404" s="50" t="s">
        <v>16072</v>
      </c>
      <c r="BW404" s="50" t="s">
        <v>354</v>
      </c>
      <c r="BX404" s="50" t="s">
        <v>6160</v>
      </c>
      <c r="BY404" s="50" t="s">
        <v>6161</v>
      </c>
      <c r="BZ404" s="50" t="s">
        <v>6162</v>
      </c>
      <c r="CA404" s="50" t="s">
        <v>16072</v>
      </c>
      <c r="CB404" s="50" t="s">
        <v>6160</v>
      </c>
      <c r="CC404" s="50" t="s">
        <v>6161</v>
      </c>
      <c r="CD404" s="50" t="s">
        <v>16072</v>
      </c>
      <c r="CE404" s="50" t="s">
        <v>6160</v>
      </c>
      <c r="CF404" s="50" t="s">
        <v>6161</v>
      </c>
      <c r="CG404" s="50" t="s">
        <v>5768</v>
      </c>
      <c r="CH404" s="50" t="s">
        <v>16073</v>
      </c>
      <c r="CJ404" s="50" t="s">
        <v>1419</v>
      </c>
      <c r="CL404" s="50" t="s">
        <v>1407</v>
      </c>
      <c r="CM404" s="50" t="s">
        <v>449</v>
      </c>
      <c r="CN404" s="50" t="s">
        <v>1419</v>
      </c>
      <c r="CO404" s="50" t="s">
        <v>6170</v>
      </c>
      <c r="CP404" s="50" t="s">
        <v>6169</v>
      </c>
      <c r="CQ404" s="50" t="s">
        <v>6169</v>
      </c>
    </row>
    <row r="405" spans="1:96">
      <c r="A405" s="50" t="s">
        <v>93</v>
      </c>
      <c r="B405" s="50">
        <v>5054276</v>
      </c>
      <c r="C405" s="50" t="s">
        <v>11995</v>
      </c>
      <c r="D405" s="50" t="s">
        <v>20579</v>
      </c>
      <c r="E405" s="50" t="e">
        <f>VLOOKUP(B405,aa!B:F,5,0)</f>
        <v>#N/A</v>
      </c>
      <c r="F405" s="50" t="e">
        <f>VLOOKUP(B405,aa!B:J,9,0)</f>
        <v>#N/A</v>
      </c>
      <c r="G405" s="50" t="e">
        <f>VLOOKUP(B405,aa!B:L,11,0)</f>
        <v>#N/A</v>
      </c>
      <c r="H405" s="50" t="e">
        <f>VLOOKUP(B405,aa!B:O,14,0)</f>
        <v>#N/A</v>
      </c>
      <c r="I405" s="50" t="e">
        <f>VLOOKUP(B405,aa!B:R,17,0)</f>
        <v>#N/A</v>
      </c>
      <c r="K405" s="50" t="s">
        <v>152</v>
      </c>
      <c r="L405" s="50">
        <v>54764</v>
      </c>
      <c r="M405" s="50">
        <v>54764</v>
      </c>
      <c r="N405" s="50">
        <v>0</v>
      </c>
      <c r="O405" s="50">
        <v>0</v>
      </c>
      <c r="Q405" s="50">
        <v>54764</v>
      </c>
      <c r="R405" s="50">
        <v>19</v>
      </c>
      <c r="S405" s="50" t="s">
        <v>1263</v>
      </c>
      <c r="T405" s="50">
        <v>0</v>
      </c>
      <c r="U405" s="50">
        <v>0</v>
      </c>
      <c r="W405" s="50" t="s">
        <v>102</v>
      </c>
      <c r="X405" s="50" t="s">
        <v>275</v>
      </c>
      <c r="Z405" s="50" t="s">
        <v>126</v>
      </c>
      <c r="AA405" s="50" t="s">
        <v>109</v>
      </c>
      <c r="AB405" s="50" t="s">
        <v>102</v>
      </c>
      <c r="AC405" s="50" t="s">
        <v>109</v>
      </c>
      <c r="AD405" s="50" t="s">
        <v>102</v>
      </c>
      <c r="AE405" s="50" t="s">
        <v>109</v>
      </c>
      <c r="AF405" s="50" t="s">
        <v>102</v>
      </c>
      <c r="AG405" s="50" t="s">
        <v>109</v>
      </c>
      <c r="AH405" s="50" t="s">
        <v>102</v>
      </c>
      <c r="AI405" s="50" t="s">
        <v>102</v>
      </c>
      <c r="AJ405" s="50" t="s">
        <v>20580</v>
      </c>
      <c r="AK405" s="50" t="s">
        <v>20580</v>
      </c>
      <c r="AL405" s="50" t="s">
        <v>20581</v>
      </c>
      <c r="AM405" s="50" t="s">
        <v>907</v>
      </c>
      <c r="AN405" s="50" t="s">
        <v>20582</v>
      </c>
      <c r="AO405" s="50" t="s">
        <v>20583</v>
      </c>
      <c r="AP405" s="50" t="s">
        <v>20584</v>
      </c>
      <c r="AQ405" s="50" t="s">
        <v>343</v>
      </c>
      <c r="AU405" s="50" t="s">
        <v>102</v>
      </c>
      <c r="AW405" s="50" t="s">
        <v>1384</v>
      </c>
      <c r="AX405" s="50" t="s">
        <v>447</v>
      </c>
      <c r="AY405" s="50" t="s">
        <v>1138</v>
      </c>
      <c r="AZ405" s="50" t="s">
        <v>118</v>
      </c>
      <c r="BB405" s="50" t="s">
        <v>120</v>
      </c>
      <c r="BC405" s="50" t="s">
        <v>20585</v>
      </c>
      <c r="BD405" s="50" t="s">
        <v>285</v>
      </c>
      <c r="BE405" s="50" t="s">
        <v>212</v>
      </c>
      <c r="BF405" s="50" t="s">
        <v>286</v>
      </c>
      <c r="BG405" s="50" t="s">
        <v>124</v>
      </c>
      <c r="BH405" s="50" t="s">
        <v>11959</v>
      </c>
      <c r="BI405" s="50" t="s">
        <v>11960</v>
      </c>
      <c r="BJ405" s="50" t="s">
        <v>127</v>
      </c>
      <c r="BK405" s="50" t="s">
        <v>20586</v>
      </c>
      <c r="BL405" s="50" t="s">
        <v>20587</v>
      </c>
      <c r="BM405" s="50" t="s">
        <v>20588</v>
      </c>
      <c r="BN405" s="50" t="s">
        <v>8488</v>
      </c>
      <c r="BO405" s="50" t="s">
        <v>3997</v>
      </c>
      <c r="BP405" s="50" t="s">
        <v>505</v>
      </c>
      <c r="BQ405" s="50" t="s">
        <v>3998</v>
      </c>
      <c r="BR405" s="50" t="s">
        <v>3999</v>
      </c>
      <c r="BS405" s="50" t="s">
        <v>3362</v>
      </c>
      <c r="BU405" s="50" t="s">
        <v>20589</v>
      </c>
      <c r="BV405" s="50" t="s">
        <v>20590</v>
      </c>
      <c r="BW405" s="50" t="s">
        <v>354</v>
      </c>
      <c r="BX405" s="50" t="s">
        <v>20591</v>
      </c>
      <c r="BY405" s="50" t="s">
        <v>20592</v>
      </c>
      <c r="BZ405" s="50" t="s">
        <v>20591</v>
      </c>
      <c r="CA405" s="50" t="s">
        <v>20593</v>
      </c>
      <c r="CB405" s="50" t="s">
        <v>20591</v>
      </c>
      <c r="CC405" s="50" t="s">
        <v>20592</v>
      </c>
      <c r="CD405" s="50" t="s">
        <v>20593</v>
      </c>
      <c r="CE405" s="50" t="s">
        <v>20591</v>
      </c>
      <c r="CF405" s="50" t="s">
        <v>20592</v>
      </c>
      <c r="CG405" s="50" t="s">
        <v>573</v>
      </c>
      <c r="CH405" s="50" t="s">
        <v>20594</v>
      </c>
      <c r="CJ405" s="50" t="s">
        <v>20595</v>
      </c>
      <c r="CK405" s="50" t="s">
        <v>20594</v>
      </c>
      <c r="CL405" s="50" t="s">
        <v>20585</v>
      </c>
      <c r="CM405" s="50" t="s">
        <v>285</v>
      </c>
      <c r="CN405" s="50" t="s">
        <v>20595</v>
      </c>
      <c r="CP405" s="50" t="s">
        <v>20594</v>
      </c>
      <c r="CQ405" s="50" t="s">
        <v>20594</v>
      </c>
      <c r="CR405" s="50" t="s">
        <v>26042</v>
      </c>
    </row>
    <row r="406" spans="1:96">
      <c r="A406" s="50" t="s">
        <v>93</v>
      </c>
      <c r="B406" s="50">
        <v>5057744</v>
      </c>
      <c r="C406" s="50" t="s">
        <v>11995</v>
      </c>
      <c r="D406" s="50" t="s">
        <v>20658</v>
      </c>
      <c r="E406" s="50" t="e">
        <f>VLOOKUP(B406,aa!B:F,5,0)</f>
        <v>#N/A</v>
      </c>
      <c r="F406" s="50" t="e">
        <f>VLOOKUP(B406,aa!B:J,9,0)</f>
        <v>#N/A</v>
      </c>
      <c r="G406" s="50" t="e">
        <f>VLOOKUP(B406,aa!B:L,11,0)</f>
        <v>#N/A</v>
      </c>
      <c r="H406" s="50" t="e">
        <f>VLOOKUP(B406,aa!B:O,14,0)</f>
        <v>#N/A</v>
      </c>
      <c r="I406" s="50" t="e">
        <f>VLOOKUP(B406,aa!B:R,17,0)</f>
        <v>#N/A</v>
      </c>
      <c r="K406" s="50" t="s">
        <v>152</v>
      </c>
      <c r="L406" s="50">
        <v>49000</v>
      </c>
      <c r="M406" s="50">
        <v>49000</v>
      </c>
      <c r="N406" s="50">
        <v>0</v>
      </c>
      <c r="O406" s="50">
        <v>0</v>
      </c>
      <c r="Q406" s="50">
        <v>49000</v>
      </c>
      <c r="R406" s="50">
        <v>17</v>
      </c>
      <c r="S406" s="50" t="s">
        <v>1263</v>
      </c>
      <c r="T406" s="50">
        <v>0</v>
      </c>
      <c r="U406" s="50">
        <v>0</v>
      </c>
      <c r="W406" s="50" t="s">
        <v>102</v>
      </c>
      <c r="X406" s="50" t="s">
        <v>275</v>
      </c>
      <c r="Z406" s="50" t="s">
        <v>126</v>
      </c>
      <c r="AA406" s="50" t="s">
        <v>109</v>
      </c>
      <c r="AB406" s="50" t="s">
        <v>102</v>
      </c>
      <c r="AC406" s="50" t="s">
        <v>109</v>
      </c>
      <c r="AD406" s="50" t="s">
        <v>102</v>
      </c>
      <c r="AE406" s="50" t="s">
        <v>109</v>
      </c>
      <c r="AF406" s="50" t="s">
        <v>102</v>
      </c>
      <c r="AG406" s="50" t="s">
        <v>109</v>
      </c>
      <c r="AH406" s="50" t="s">
        <v>102</v>
      </c>
      <c r="AI406" s="50" t="s">
        <v>102</v>
      </c>
      <c r="AL406" s="50" t="s">
        <v>10017</v>
      </c>
      <c r="AM406" s="50" t="s">
        <v>102</v>
      </c>
      <c r="AN406" s="50" t="s">
        <v>10017</v>
      </c>
      <c r="AO406" s="50" t="s">
        <v>20583</v>
      </c>
      <c r="AP406" s="50" t="s">
        <v>20584</v>
      </c>
      <c r="AQ406" s="50" t="s">
        <v>343</v>
      </c>
      <c r="AU406" s="50" t="s">
        <v>102</v>
      </c>
      <c r="AW406" s="50" t="s">
        <v>1384</v>
      </c>
      <c r="AX406" s="50" t="s">
        <v>447</v>
      </c>
      <c r="AY406" s="50" t="s">
        <v>1138</v>
      </c>
      <c r="AZ406" s="50" t="s">
        <v>118</v>
      </c>
      <c r="BB406" s="50" t="s">
        <v>120</v>
      </c>
      <c r="BC406" s="50" t="s">
        <v>20659</v>
      </c>
      <c r="BD406" s="50" t="s">
        <v>285</v>
      </c>
      <c r="BE406" s="50" t="s">
        <v>212</v>
      </c>
      <c r="BF406" s="50" t="s">
        <v>286</v>
      </c>
      <c r="BG406" s="50" t="s">
        <v>124</v>
      </c>
      <c r="BH406" s="50" t="s">
        <v>11959</v>
      </c>
      <c r="BI406" s="50" t="s">
        <v>11960</v>
      </c>
      <c r="BJ406" s="50" t="s">
        <v>127</v>
      </c>
      <c r="BK406" s="50" t="s">
        <v>20660</v>
      </c>
      <c r="BL406" s="50" t="s">
        <v>20661</v>
      </c>
      <c r="BM406" s="50" t="s">
        <v>20662</v>
      </c>
      <c r="BN406" s="50" t="s">
        <v>8488</v>
      </c>
      <c r="BO406" s="50" t="s">
        <v>3997</v>
      </c>
      <c r="BP406" s="50" t="s">
        <v>505</v>
      </c>
      <c r="BQ406" s="50" t="s">
        <v>3998</v>
      </c>
      <c r="BR406" s="50" t="s">
        <v>3999</v>
      </c>
      <c r="BS406" s="50" t="s">
        <v>3362</v>
      </c>
      <c r="BU406" s="50" t="s">
        <v>20663</v>
      </c>
      <c r="BV406" s="50" t="s">
        <v>20590</v>
      </c>
      <c r="BW406" s="50" t="s">
        <v>354</v>
      </c>
      <c r="BX406" s="50" t="s">
        <v>20591</v>
      </c>
      <c r="BY406" s="50" t="s">
        <v>20592</v>
      </c>
      <c r="BZ406" s="50" t="s">
        <v>20591</v>
      </c>
      <c r="CA406" s="50" t="s">
        <v>20593</v>
      </c>
      <c r="CB406" s="50" t="s">
        <v>20591</v>
      </c>
      <c r="CC406" s="50" t="s">
        <v>20592</v>
      </c>
      <c r="CD406" s="50" t="s">
        <v>20593</v>
      </c>
      <c r="CE406" s="50" t="s">
        <v>20591</v>
      </c>
      <c r="CF406" s="50" t="s">
        <v>20592</v>
      </c>
      <c r="CG406" s="50" t="s">
        <v>10583</v>
      </c>
      <c r="CH406" s="50" t="s">
        <v>20594</v>
      </c>
      <c r="CJ406" s="50" t="s">
        <v>20595</v>
      </c>
      <c r="CK406" s="50" t="s">
        <v>20594</v>
      </c>
      <c r="CL406" s="50" t="s">
        <v>20659</v>
      </c>
      <c r="CM406" s="50" t="s">
        <v>285</v>
      </c>
      <c r="CN406" s="50" t="s">
        <v>20595</v>
      </c>
      <c r="CP406" s="50" t="s">
        <v>20594</v>
      </c>
      <c r="CQ406" s="50" t="s">
        <v>20594</v>
      </c>
      <c r="CR406" s="50" t="s">
        <v>26042</v>
      </c>
    </row>
    <row r="407" spans="1:96">
      <c r="A407" s="50" t="s">
        <v>93</v>
      </c>
      <c r="B407" s="50">
        <v>5057852</v>
      </c>
      <c r="C407" s="50" t="s">
        <v>11995</v>
      </c>
      <c r="D407" s="50" t="s">
        <v>20658</v>
      </c>
      <c r="E407" s="50" t="e">
        <f>VLOOKUP(B407,aa!B:F,5,0)</f>
        <v>#N/A</v>
      </c>
      <c r="F407" s="50" t="e">
        <f>VLOOKUP(B407,aa!B:J,9,0)</f>
        <v>#N/A</v>
      </c>
      <c r="G407" s="50" t="e">
        <f>VLOOKUP(B407,aa!B:L,11,0)</f>
        <v>#N/A</v>
      </c>
      <c r="H407" s="50" t="e">
        <f>VLOOKUP(B407,aa!B:O,14,0)</f>
        <v>#N/A</v>
      </c>
      <c r="I407" s="50" t="e">
        <f>VLOOKUP(B407,aa!B:R,17,0)</f>
        <v>#N/A</v>
      </c>
      <c r="K407" s="50" t="s">
        <v>152</v>
      </c>
      <c r="L407" s="50">
        <v>293999</v>
      </c>
      <c r="M407" s="50">
        <v>293999</v>
      </c>
      <c r="N407" s="50">
        <v>0</v>
      </c>
      <c r="O407" s="50">
        <v>0</v>
      </c>
      <c r="Q407" s="50">
        <v>293999</v>
      </c>
      <c r="R407" s="50">
        <v>102</v>
      </c>
      <c r="S407" s="50" t="s">
        <v>1263</v>
      </c>
      <c r="T407" s="50">
        <v>0</v>
      </c>
      <c r="U407" s="50">
        <v>0</v>
      </c>
      <c r="W407" s="50" t="s">
        <v>102</v>
      </c>
      <c r="X407" s="50" t="s">
        <v>275</v>
      </c>
      <c r="Z407" s="50" t="s">
        <v>126</v>
      </c>
      <c r="AA407" s="50" t="s">
        <v>109</v>
      </c>
      <c r="AB407" s="50" t="s">
        <v>102</v>
      </c>
      <c r="AC407" s="50" t="s">
        <v>109</v>
      </c>
      <c r="AD407" s="50" t="s">
        <v>102</v>
      </c>
      <c r="AE407" s="50" t="s">
        <v>109</v>
      </c>
      <c r="AF407" s="50" t="s">
        <v>102</v>
      </c>
      <c r="AG407" s="50" t="s">
        <v>109</v>
      </c>
      <c r="AH407" s="50" t="s">
        <v>102</v>
      </c>
      <c r="AI407" s="50" t="s">
        <v>102</v>
      </c>
      <c r="AJ407" s="50" t="s">
        <v>12923</v>
      </c>
      <c r="AK407" s="50" t="s">
        <v>12923</v>
      </c>
      <c r="AL407" s="50" t="s">
        <v>20664</v>
      </c>
      <c r="AM407" s="50" t="s">
        <v>907</v>
      </c>
      <c r="AN407" s="50" t="s">
        <v>20665</v>
      </c>
      <c r="AO407" s="50" t="s">
        <v>20583</v>
      </c>
      <c r="AP407" s="50" t="s">
        <v>20584</v>
      </c>
      <c r="AQ407" s="50" t="s">
        <v>343</v>
      </c>
      <c r="AU407" s="50" t="s">
        <v>102</v>
      </c>
      <c r="AW407" s="50" t="s">
        <v>1384</v>
      </c>
      <c r="AX407" s="50" t="s">
        <v>447</v>
      </c>
      <c r="AY407" s="50" t="s">
        <v>1138</v>
      </c>
      <c r="AZ407" s="50" t="s">
        <v>118</v>
      </c>
      <c r="BB407" s="50" t="s">
        <v>120</v>
      </c>
      <c r="BC407" s="50" t="s">
        <v>20659</v>
      </c>
      <c r="BD407" s="50" t="s">
        <v>285</v>
      </c>
      <c r="BE407" s="50" t="s">
        <v>212</v>
      </c>
      <c r="BF407" s="50" t="s">
        <v>286</v>
      </c>
      <c r="BG407" s="50" t="s">
        <v>124</v>
      </c>
      <c r="BH407" s="50" t="s">
        <v>11959</v>
      </c>
      <c r="BI407" s="50" t="s">
        <v>11960</v>
      </c>
      <c r="BJ407" s="50" t="s">
        <v>127</v>
      </c>
      <c r="BK407" s="50" t="s">
        <v>20666</v>
      </c>
      <c r="BL407" s="50" t="s">
        <v>20667</v>
      </c>
      <c r="BM407" s="50" t="s">
        <v>20668</v>
      </c>
      <c r="BN407" s="50" t="s">
        <v>8488</v>
      </c>
      <c r="BO407" s="50" t="s">
        <v>3997</v>
      </c>
      <c r="BP407" s="50" t="s">
        <v>505</v>
      </c>
      <c r="BQ407" s="50" t="s">
        <v>3998</v>
      </c>
      <c r="BR407" s="50" t="s">
        <v>3999</v>
      </c>
      <c r="BS407" s="50" t="s">
        <v>3362</v>
      </c>
      <c r="BU407" s="50" t="s">
        <v>20669</v>
      </c>
      <c r="BV407" s="50" t="s">
        <v>20590</v>
      </c>
      <c r="BW407" s="50" t="s">
        <v>354</v>
      </c>
      <c r="BX407" s="50" t="s">
        <v>20591</v>
      </c>
      <c r="BY407" s="50" t="s">
        <v>20592</v>
      </c>
      <c r="BZ407" s="50" t="s">
        <v>20591</v>
      </c>
      <c r="CA407" s="50" t="s">
        <v>20593</v>
      </c>
      <c r="CB407" s="50" t="s">
        <v>20591</v>
      </c>
      <c r="CC407" s="50" t="s">
        <v>20670</v>
      </c>
      <c r="CD407" s="50" t="s">
        <v>20593</v>
      </c>
      <c r="CE407" s="50" t="s">
        <v>20591</v>
      </c>
      <c r="CF407" s="50" t="s">
        <v>20670</v>
      </c>
      <c r="CG407" s="50" t="s">
        <v>9607</v>
      </c>
      <c r="CH407" s="50" t="s">
        <v>20594</v>
      </c>
      <c r="CJ407" s="50" t="s">
        <v>20595</v>
      </c>
      <c r="CK407" s="50" t="s">
        <v>20594</v>
      </c>
      <c r="CL407" s="50" t="s">
        <v>20659</v>
      </c>
      <c r="CM407" s="50" t="s">
        <v>285</v>
      </c>
      <c r="CN407" s="50" t="s">
        <v>20595</v>
      </c>
      <c r="CP407" s="50" t="s">
        <v>20594</v>
      </c>
      <c r="CQ407" s="50" t="s">
        <v>20594</v>
      </c>
      <c r="CR407" s="50" t="s">
        <v>26042</v>
      </c>
    </row>
    <row r="408" spans="1:96">
      <c r="A408" s="95" t="s">
        <v>149</v>
      </c>
      <c r="B408" s="50">
        <v>384445</v>
      </c>
      <c r="C408" s="50" t="s">
        <v>632</v>
      </c>
      <c r="D408" s="50" t="s">
        <v>7645</v>
      </c>
      <c r="E408" s="50" t="str">
        <f>VLOOKUP(B408,aa!B:F,5,0)</f>
        <v>Ei ASSET, Ei CARES, Ei Mindspark</v>
      </c>
      <c r="F408" s="50">
        <f>VLOOKUP(B408,aa!B:J,9,0)</f>
        <v>1564000</v>
      </c>
      <c r="G408" s="50">
        <f>VLOOKUP(B408,aa!B:L,11,0)</f>
        <v>300719</v>
      </c>
      <c r="H408" s="50">
        <f>VLOOKUP(B408,aa!B:O,14,0)</f>
        <v>869400</v>
      </c>
      <c r="I408" s="50">
        <f>VLOOKUP(B408,aa!B:R,17,0)</f>
        <v>393881</v>
      </c>
      <c r="K408" s="50" t="s">
        <v>2163</v>
      </c>
      <c r="L408" s="50">
        <v>2164558</v>
      </c>
      <c r="M408" s="50">
        <v>2315890</v>
      </c>
      <c r="N408" s="50">
        <v>313875</v>
      </c>
      <c r="O408" s="50">
        <v>465</v>
      </c>
      <c r="P408" s="50" t="s">
        <v>340</v>
      </c>
      <c r="Q408" s="50">
        <v>1009949</v>
      </c>
      <c r="R408" s="50">
        <v>404</v>
      </c>
      <c r="S408" s="50" t="s">
        <v>3499</v>
      </c>
      <c r="T408" s="50">
        <v>840734</v>
      </c>
      <c r="U408" s="50">
        <v>400</v>
      </c>
      <c r="V408" s="50" t="s">
        <v>17123</v>
      </c>
      <c r="W408" s="50" t="s">
        <v>102</v>
      </c>
      <c r="X408" s="50" t="s">
        <v>103</v>
      </c>
      <c r="Y408" s="50" t="s">
        <v>155</v>
      </c>
      <c r="AA408" s="50" t="s">
        <v>1408</v>
      </c>
      <c r="AB408" s="50" t="s">
        <v>17124</v>
      </c>
      <c r="AC408" s="50" t="s">
        <v>12289</v>
      </c>
      <c r="AD408" s="50" t="s">
        <v>17124</v>
      </c>
      <c r="AE408" s="50" t="s">
        <v>1427</v>
      </c>
      <c r="AF408" s="50" t="s">
        <v>17124</v>
      </c>
      <c r="AG408" s="50" t="s">
        <v>11886</v>
      </c>
      <c r="AH408" s="50" t="s">
        <v>17124</v>
      </c>
      <c r="AI408" s="50" t="s">
        <v>17125</v>
      </c>
      <c r="AJ408" s="50" t="s">
        <v>12019</v>
      </c>
      <c r="AK408" s="50" t="s">
        <v>17126</v>
      </c>
      <c r="AL408" s="50" t="s">
        <v>17127</v>
      </c>
      <c r="AM408" s="50" t="s">
        <v>17128</v>
      </c>
      <c r="AN408" s="50" t="s">
        <v>17129</v>
      </c>
      <c r="AO408" s="50" t="s">
        <v>17130</v>
      </c>
      <c r="AP408" s="50" t="s">
        <v>17131</v>
      </c>
      <c r="AT408" s="50" t="s">
        <v>17132</v>
      </c>
      <c r="AU408" s="50" t="s">
        <v>207</v>
      </c>
      <c r="AV408" s="50" t="s">
        <v>118</v>
      </c>
      <c r="AW408" s="50" t="s">
        <v>248</v>
      </c>
      <c r="AX408" s="50" t="s">
        <v>119</v>
      </c>
      <c r="AZ408" s="50" t="s">
        <v>250</v>
      </c>
      <c r="BA408" s="50" t="s">
        <v>250</v>
      </c>
      <c r="BB408" s="50" t="s">
        <v>171</v>
      </c>
      <c r="BC408" s="50" t="s">
        <v>623</v>
      </c>
      <c r="BD408" s="50" t="s">
        <v>621</v>
      </c>
      <c r="BE408" s="50" t="s">
        <v>622</v>
      </c>
      <c r="BF408" s="50" t="s">
        <v>623</v>
      </c>
      <c r="BG408" s="50" t="s">
        <v>124</v>
      </c>
      <c r="BH408" s="50" t="s">
        <v>17133</v>
      </c>
      <c r="BI408" s="50" t="s">
        <v>12524</v>
      </c>
      <c r="BJ408" s="50" t="s">
        <v>127</v>
      </c>
      <c r="BK408" s="50" t="s">
        <v>17134</v>
      </c>
      <c r="BL408" s="50" t="s">
        <v>7660</v>
      </c>
      <c r="BM408" s="50" t="s">
        <v>17135</v>
      </c>
      <c r="BN408" s="50" t="s">
        <v>4563</v>
      </c>
      <c r="BO408" s="50" t="s">
        <v>1339</v>
      </c>
      <c r="BP408" s="50" t="s">
        <v>132</v>
      </c>
      <c r="BQ408" s="50" t="s">
        <v>1340</v>
      </c>
      <c r="BR408" s="50" t="s">
        <v>1341</v>
      </c>
      <c r="BS408" s="50" t="s">
        <v>632</v>
      </c>
      <c r="BU408" s="50" t="s">
        <v>17136</v>
      </c>
      <c r="BV408" s="50" t="s">
        <v>17137</v>
      </c>
      <c r="BW408" s="50" t="s">
        <v>138</v>
      </c>
      <c r="BX408" s="50" t="s">
        <v>1345</v>
      </c>
      <c r="BY408" s="50" t="s">
        <v>17138</v>
      </c>
      <c r="BZ408" s="50" t="s">
        <v>1345</v>
      </c>
      <c r="CA408" s="50" t="s">
        <v>17139</v>
      </c>
      <c r="CB408" s="50" t="s">
        <v>1345</v>
      </c>
      <c r="CC408" s="50" t="s">
        <v>17138</v>
      </c>
      <c r="CD408" s="50" t="s">
        <v>17140</v>
      </c>
      <c r="CE408" s="50" t="s">
        <v>17141</v>
      </c>
      <c r="CF408" s="50" t="s">
        <v>17138</v>
      </c>
      <c r="CG408" s="50" t="s">
        <v>102</v>
      </c>
      <c r="CH408" s="50" t="s">
        <v>7672</v>
      </c>
      <c r="CJ408" s="50" t="s">
        <v>3177</v>
      </c>
      <c r="CL408" s="50" t="s">
        <v>623</v>
      </c>
      <c r="CM408" s="50" t="s">
        <v>621</v>
      </c>
      <c r="CN408" s="50" t="s">
        <v>3177</v>
      </c>
      <c r="CO408" s="50" t="s">
        <v>7673</v>
      </c>
      <c r="CP408" s="50" t="s">
        <v>7672</v>
      </c>
      <c r="CQ408" s="50" t="s">
        <v>7672</v>
      </c>
    </row>
    <row r="409" spans="1:96">
      <c r="A409" s="95" t="s">
        <v>149</v>
      </c>
      <c r="B409" s="50">
        <v>5017989</v>
      </c>
      <c r="C409" s="50" t="s">
        <v>3562</v>
      </c>
      <c r="D409" s="50" t="s">
        <v>10392</v>
      </c>
      <c r="E409" s="50" t="e">
        <f>VLOOKUP(B409,aa!B:F,5,0)</f>
        <v>#N/A</v>
      </c>
      <c r="F409" s="50" t="e">
        <f>VLOOKUP(B409,aa!B:J,9,0)</f>
        <v>#N/A</v>
      </c>
      <c r="G409" s="50" t="e">
        <f>VLOOKUP(B409,aa!B:L,11,0)</f>
        <v>#N/A</v>
      </c>
      <c r="H409" s="50" t="e">
        <f>VLOOKUP(B409,aa!B:O,14,0)</f>
        <v>#N/A</v>
      </c>
      <c r="I409" s="50" t="e">
        <f>VLOOKUP(B409,aa!B:R,17,0)</f>
        <v>#N/A</v>
      </c>
      <c r="K409" s="50" t="s">
        <v>848</v>
      </c>
      <c r="L409" s="50">
        <v>114504</v>
      </c>
      <c r="M409" s="50">
        <v>135115</v>
      </c>
      <c r="N409" s="50">
        <v>0</v>
      </c>
      <c r="O409" s="50">
        <v>0</v>
      </c>
      <c r="Q409" s="50">
        <v>0</v>
      </c>
      <c r="R409" s="50">
        <v>0</v>
      </c>
      <c r="T409" s="50">
        <v>114504</v>
      </c>
      <c r="U409" s="50">
        <v>100</v>
      </c>
      <c r="V409" s="50" t="s">
        <v>18588</v>
      </c>
      <c r="W409" s="50" t="s">
        <v>102</v>
      </c>
      <c r="X409" s="50" t="s">
        <v>275</v>
      </c>
      <c r="Z409" s="50" t="s">
        <v>12084</v>
      </c>
      <c r="AA409" s="50" t="s">
        <v>109</v>
      </c>
      <c r="AB409" s="50" t="s">
        <v>102</v>
      </c>
      <c r="AC409" s="50" t="s">
        <v>109</v>
      </c>
      <c r="AD409" s="50" t="s">
        <v>102</v>
      </c>
      <c r="AE409" s="50" t="s">
        <v>109</v>
      </c>
      <c r="AF409" s="50" t="s">
        <v>102</v>
      </c>
      <c r="AG409" s="50" t="s">
        <v>109</v>
      </c>
      <c r="AH409" s="50" t="s">
        <v>102</v>
      </c>
      <c r="AI409" s="50" t="s">
        <v>102</v>
      </c>
      <c r="AL409" s="50" t="s">
        <v>19320</v>
      </c>
      <c r="AM409" s="50" t="s">
        <v>102</v>
      </c>
      <c r="AN409" s="50" t="s">
        <v>19320</v>
      </c>
      <c r="AO409" s="50" t="s">
        <v>19321</v>
      </c>
      <c r="AP409" s="50" t="s">
        <v>19322</v>
      </c>
      <c r="AT409" s="50" t="s">
        <v>169</v>
      </c>
      <c r="AU409" s="50" t="s">
        <v>102</v>
      </c>
      <c r="AW409" s="50" t="s">
        <v>102</v>
      </c>
      <c r="AX409" s="50" t="s">
        <v>119</v>
      </c>
      <c r="BA409" s="50" t="s">
        <v>250</v>
      </c>
      <c r="BB409" s="50" t="s">
        <v>10399</v>
      </c>
      <c r="BC409" s="50" t="s">
        <v>1729</v>
      </c>
      <c r="BD409" s="50" t="s">
        <v>730</v>
      </c>
      <c r="BE409" s="50" t="s">
        <v>622</v>
      </c>
      <c r="BF409" s="50" t="s">
        <v>730</v>
      </c>
      <c r="BG409" s="50" t="s">
        <v>124</v>
      </c>
      <c r="BH409" s="50" t="s">
        <v>11976</v>
      </c>
      <c r="BI409" s="50" t="s">
        <v>12720</v>
      </c>
      <c r="BJ409" s="50" t="s">
        <v>127</v>
      </c>
      <c r="BK409" s="50" t="s">
        <v>19323</v>
      </c>
      <c r="BL409" s="50" t="s">
        <v>10401</v>
      </c>
      <c r="BM409" s="50" t="s">
        <v>19324</v>
      </c>
      <c r="BN409" s="50" t="s">
        <v>4563</v>
      </c>
      <c r="BO409" s="50" t="s">
        <v>2262</v>
      </c>
      <c r="BP409" s="50" t="s">
        <v>350</v>
      </c>
      <c r="BQ409" s="50" t="s">
        <v>2263</v>
      </c>
      <c r="BR409" s="50" t="s">
        <v>2264</v>
      </c>
      <c r="BS409" s="50" t="s">
        <v>2569</v>
      </c>
      <c r="BU409" s="50" t="s">
        <v>19325</v>
      </c>
      <c r="BV409" s="50" t="s">
        <v>6852</v>
      </c>
      <c r="BW409" s="50" t="s">
        <v>598</v>
      </c>
      <c r="BX409" s="50" t="s">
        <v>4098</v>
      </c>
      <c r="BY409" s="50" t="s">
        <v>19326</v>
      </c>
      <c r="BZ409" s="50" t="s">
        <v>10407</v>
      </c>
      <c r="CA409" s="50" t="s">
        <v>6852</v>
      </c>
      <c r="CB409" s="50" t="s">
        <v>4098</v>
      </c>
      <c r="CC409" s="50" t="s">
        <v>19326</v>
      </c>
      <c r="CD409" s="50" t="s">
        <v>6852</v>
      </c>
      <c r="CE409" s="50" t="s">
        <v>4098</v>
      </c>
      <c r="CF409" s="50" t="s">
        <v>19326</v>
      </c>
      <c r="CG409" s="50" t="s">
        <v>5007</v>
      </c>
      <c r="CH409" s="50" t="s">
        <v>19327</v>
      </c>
      <c r="CJ409" s="50" t="s">
        <v>1743</v>
      </c>
      <c r="CK409" s="50" t="s">
        <v>19328</v>
      </c>
      <c r="CL409" s="50" t="s">
        <v>1729</v>
      </c>
      <c r="CM409" s="50" t="s">
        <v>730</v>
      </c>
      <c r="CN409" s="50" t="s">
        <v>1743</v>
      </c>
      <c r="CP409" s="50" t="s">
        <v>10408</v>
      </c>
      <c r="CQ409" s="50" t="s">
        <v>10409</v>
      </c>
    </row>
    <row r="410" spans="1:96">
      <c r="A410" s="95" t="s">
        <v>149</v>
      </c>
      <c r="B410" s="50">
        <v>5017990</v>
      </c>
      <c r="C410" s="50" t="s">
        <v>3562</v>
      </c>
      <c r="D410" s="50" t="s">
        <v>10410</v>
      </c>
      <c r="E410" s="50" t="e">
        <f>VLOOKUP(B410,aa!B:F,5,0)</f>
        <v>#N/A</v>
      </c>
      <c r="F410" s="50" t="e">
        <f>VLOOKUP(B410,aa!B:J,9,0)</f>
        <v>#N/A</v>
      </c>
      <c r="G410" s="50" t="e">
        <f>VLOOKUP(B410,aa!B:L,11,0)</f>
        <v>#N/A</v>
      </c>
      <c r="H410" s="50" t="e">
        <f>VLOOKUP(B410,aa!B:O,14,0)</f>
        <v>#N/A</v>
      </c>
      <c r="I410" s="50" t="e">
        <f>VLOOKUP(B410,aa!B:R,17,0)</f>
        <v>#N/A</v>
      </c>
      <c r="K410" s="50" t="s">
        <v>848</v>
      </c>
      <c r="L410" s="50">
        <v>66412</v>
      </c>
      <c r="M410" s="50">
        <v>78366</v>
      </c>
      <c r="N410" s="50">
        <v>0</v>
      </c>
      <c r="O410" s="50">
        <v>0</v>
      </c>
      <c r="Q410" s="50">
        <v>0</v>
      </c>
      <c r="R410" s="50">
        <v>0</v>
      </c>
      <c r="T410" s="50">
        <v>66412</v>
      </c>
      <c r="U410" s="50">
        <v>58</v>
      </c>
      <c r="V410" s="50" t="s">
        <v>18588</v>
      </c>
      <c r="W410" s="50" t="s">
        <v>102</v>
      </c>
      <c r="X410" s="50" t="s">
        <v>275</v>
      </c>
      <c r="Z410" s="50" t="s">
        <v>12084</v>
      </c>
      <c r="AA410" s="50" t="s">
        <v>109</v>
      </c>
      <c r="AB410" s="50" t="s">
        <v>102</v>
      </c>
      <c r="AC410" s="50" t="s">
        <v>109</v>
      </c>
      <c r="AD410" s="50" t="s">
        <v>102</v>
      </c>
      <c r="AE410" s="50" t="s">
        <v>109</v>
      </c>
      <c r="AF410" s="50" t="s">
        <v>102</v>
      </c>
      <c r="AG410" s="50" t="s">
        <v>109</v>
      </c>
      <c r="AH410" s="50" t="s">
        <v>102</v>
      </c>
      <c r="AI410" s="50" t="s">
        <v>102</v>
      </c>
      <c r="AL410" s="50" t="s">
        <v>19329</v>
      </c>
      <c r="AM410" s="50" t="s">
        <v>102</v>
      </c>
      <c r="AN410" s="50" t="s">
        <v>19329</v>
      </c>
      <c r="AO410" s="50" t="s">
        <v>19321</v>
      </c>
      <c r="AP410" s="50" t="s">
        <v>19322</v>
      </c>
      <c r="AT410" s="50" t="s">
        <v>169</v>
      </c>
      <c r="AU410" s="50" t="s">
        <v>102</v>
      </c>
      <c r="AW410" s="50" t="s">
        <v>102</v>
      </c>
      <c r="AX410" s="50" t="s">
        <v>119</v>
      </c>
      <c r="BA410" s="50" t="s">
        <v>250</v>
      </c>
      <c r="BB410" s="50" t="s">
        <v>10399</v>
      </c>
      <c r="BC410" s="50" t="s">
        <v>1729</v>
      </c>
      <c r="BD410" s="50" t="s">
        <v>730</v>
      </c>
      <c r="BE410" s="50" t="s">
        <v>622</v>
      </c>
      <c r="BF410" s="50" t="s">
        <v>730</v>
      </c>
      <c r="BG410" s="50" t="s">
        <v>124</v>
      </c>
      <c r="BH410" s="50" t="s">
        <v>11976</v>
      </c>
      <c r="BI410" s="50" t="s">
        <v>12720</v>
      </c>
      <c r="BJ410" s="50" t="s">
        <v>127</v>
      </c>
      <c r="BK410" s="50" t="s">
        <v>19330</v>
      </c>
      <c r="BL410" s="50" t="s">
        <v>10416</v>
      </c>
      <c r="BM410" s="50" t="s">
        <v>19331</v>
      </c>
      <c r="BN410" s="50" t="s">
        <v>4563</v>
      </c>
      <c r="BO410" s="50" t="s">
        <v>2262</v>
      </c>
      <c r="BP410" s="50" t="s">
        <v>350</v>
      </c>
      <c r="BQ410" s="50" t="s">
        <v>2263</v>
      </c>
      <c r="BR410" s="50" t="s">
        <v>2264</v>
      </c>
      <c r="BS410" s="50" t="s">
        <v>2569</v>
      </c>
      <c r="BU410" s="50" t="s">
        <v>19332</v>
      </c>
      <c r="BV410" s="50" t="s">
        <v>6852</v>
      </c>
      <c r="BW410" s="50" t="s">
        <v>598</v>
      </c>
      <c r="BX410" s="50" t="s">
        <v>4098</v>
      </c>
      <c r="BY410" s="50" t="s">
        <v>19326</v>
      </c>
      <c r="BZ410" s="50" t="s">
        <v>10407</v>
      </c>
      <c r="CA410" s="50" t="s">
        <v>6852</v>
      </c>
      <c r="CB410" s="50" t="s">
        <v>4098</v>
      </c>
      <c r="CC410" s="50" t="s">
        <v>19326</v>
      </c>
      <c r="CD410" s="50" t="s">
        <v>6852</v>
      </c>
      <c r="CE410" s="50" t="s">
        <v>4098</v>
      </c>
      <c r="CF410" s="50" t="s">
        <v>19326</v>
      </c>
      <c r="CG410" s="50" t="s">
        <v>5007</v>
      </c>
      <c r="CH410" s="50" t="s">
        <v>19333</v>
      </c>
      <c r="CJ410" s="50" t="s">
        <v>10421</v>
      </c>
      <c r="CK410" s="50" t="s">
        <v>19328</v>
      </c>
      <c r="CL410" s="50" t="s">
        <v>1729</v>
      </c>
      <c r="CM410" s="50" t="s">
        <v>730</v>
      </c>
      <c r="CN410" s="50" t="s">
        <v>10421</v>
      </c>
      <c r="CP410" s="50" t="s">
        <v>10420</v>
      </c>
      <c r="CQ410" s="50" t="s">
        <v>10422</v>
      </c>
    </row>
    <row r="411" spans="1:96">
      <c r="A411" s="95" t="s">
        <v>149</v>
      </c>
      <c r="B411" s="50">
        <v>5017993</v>
      </c>
      <c r="C411" s="50" t="s">
        <v>3562</v>
      </c>
      <c r="D411" s="50" t="s">
        <v>10423</v>
      </c>
      <c r="E411" s="50" t="e">
        <f>VLOOKUP(B411,aa!B:F,5,0)</f>
        <v>#N/A</v>
      </c>
      <c r="F411" s="50" t="e">
        <f>VLOOKUP(B411,aa!B:J,9,0)</f>
        <v>#N/A</v>
      </c>
      <c r="G411" s="50" t="e">
        <f>VLOOKUP(B411,aa!B:L,11,0)</f>
        <v>#N/A</v>
      </c>
      <c r="H411" s="50" t="e">
        <f>VLOOKUP(B411,aa!B:O,14,0)</f>
        <v>#N/A</v>
      </c>
      <c r="I411" s="50" t="e">
        <f>VLOOKUP(B411,aa!B:R,17,0)</f>
        <v>#N/A</v>
      </c>
      <c r="K411" s="50" t="s">
        <v>848</v>
      </c>
      <c r="L411" s="50">
        <v>103054</v>
      </c>
      <c r="M411" s="50">
        <v>121604</v>
      </c>
      <c r="N411" s="50">
        <v>0</v>
      </c>
      <c r="O411" s="50">
        <v>0</v>
      </c>
      <c r="Q411" s="50">
        <v>0</v>
      </c>
      <c r="R411" s="50">
        <v>0</v>
      </c>
      <c r="T411" s="50">
        <v>103054</v>
      </c>
      <c r="U411" s="50">
        <v>90</v>
      </c>
      <c r="V411" s="50" t="s">
        <v>18588</v>
      </c>
      <c r="W411" s="50" t="s">
        <v>102</v>
      </c>
      <c r="X411" s="50" t="s">
        <v>275</v>
      </c>
      <c r="Z411" s="50" t="s">
        <v>12084</v>
      </c>
      <c r="AA411" s="50" t="s">
        <v>109</v>
      </c>
      <c r="AB411" s="50" t="s">
        <v>102</v>
      </c>
      <c r="AC411" s="50" t="s">
        <v>109</v>
      </c>
      <c r="AD411" s="50" t="s">
        <v>102</v>
      </c>
      <c r="AE411" s="50" t="s">
        <v>109</v>
      </c>
      <c r="AF411" s="50" t="s">
        <v>102</v>
      </c>
      <c r="AG411" s="50" t="s">
        <v>109</v>
      </c>
      <c r="AH411" s="50" t="s">
        <v>102</v>
      </c>
      <c r="AI411" s="50" t="s">
        <v>102</v>
      </c>
      <c r="AL411" s="50" t="s">
        <v>19334</v>
      </c>
      <c r="AM411" s="50" t="s">
        <v>102</v>
      </c>
      <c r="AN411" s="50" t="s">
        <v>19334</v>
      </c>
      <c r="AO411" s="50" t="s">
        <v>19321</v>
      </c>
      <c r="AP411" s="50" t="s">
        <v>19322</v>
      </c>
      <c r="AT411" s="50" t="s">
        <v>169</v>
      </c>
      <c r="AU411" s="50" t="s">
        <v>102</v>
      </c>
      <c r="AW411" s="50" t="s">
        <v>102</v>
      </c>
      <c r="AX411" s="50" t="s">
        <v>119</v>
      </c>
      <c r="BA411" s="50" t="s">
        <v>250</v>
      </c>
      <c r="BB411" s="50" t="s">
        <v>10399</v>
      </c>
      <c r="BC411" s="50" t="s">
        <v>1729</v>
      </c>
      <c r="BD411" s="50" t="s">
        <v>730</v>
      </c>
      <c r="BE411" s="50" t="s">
        <v>622</v>
      </c>
      <c r="BF411" s="50" t="s">
        <v>730</v>
      </c>
      <c r="BG411" s="50" t="s">
        <v>124</v>
      </c>
      <c r="BH411" s="50" t="s">
        <v>11976</v>
      </c>
      <c r="BI411" s="50" t="s">
        <v>12720</v>
      </c>
      <c r="BJ411" s="50" t="s">
        <v>127</v>
      </c>
      <c r="BK411" s="50" t="s">
        <v>19335</v>
      </c>
      <c r="BL411" s="50" t="s">
        <v>10429</v>
      </c>
      <c r="BM411" s="50" t="s">
        <v>19336</v>
      </c>
      <c r="BN411" s="50" t="s">
        <v>4563</v>
      </c>
      <c r="BO411" s="50" t="s">
        <v>2262</v>
      </c>
      <c r="BP411" s="50" t="s">
        <v>350</v>
      </c>
      <c r="BQ411" s="50" t="s">
        <v>2263</v>
      </c>
      <c r="BR411" s="50" t="s">
        <v>2264</v>
      </c>
      <c r="BS411" s="50" t="s">
        <v>2569</v>
      </c>
      <c r="BU411" s="50" t="s">
        <v>19337</v>
      </c>
      <c r="BV411" s="50" t="s">
        <v>6852</v>
      </c>
      <c r="BW411" s="50" t="s">
        <v>598</v>
      </c>
      <c r="BX411" s="50" t="s">
        <v>4098</v>
      </c>
      <c r="BY411" s="50" t="s">
        <v>19326</v>
      </c>
      <c r="BZ411" s="50" t="s">
        <v>10407</v>
      </c>
      <c r="CA411" s="50" t="s">
        <v>6852</v>
      </c>
      <c r="CB411" s="50" t="s">
        <v>4098</v>
      </c>
      <c r="CC411" s="50" t="s">
        <v>19326</v>
      </c>
      <c r="CD411" s="50" t="s">
        <v>6852</v>
      </c>
      <c r="CE411" s="50" t="s">
        <v>4098</v>
      </c>
      <c r="CF411" s="50" t="s">
        <v>19326</v>
      </c>
      <c r="CG411" s="50" t="s">
        <v>5007</v>
      </c>
      <c r="CH411" s="50" t="s">
        <v>19338</v>
      </c>
      <c r="CJ411" s="50" t="s">
        <v>7868</v>
      </c>
      <c r="CK411" s="50" t="s">
        <v>19328</v>
      </c>
      <c r="CL411" s="50" t="s">
        <v>1729</v>
      </c>
      <c r="CM411" s="50" t="s">
        <v>730</v>
      </c>
      <c r="CN411" s="50" t="s">
        <v>7868</v>
      </c>
      <c r="CP411" s="50" t="s">
        <v>10432</v>
      </c>
      <c r="CQ411" s="50" t="s">
        <v>10433</v>
      </c>
    </row>
    <row r="412" spans="1:96">
      <c r="A412" s="95" t="s">
        <v>149</v>
      </c>
      <c r="B412" s="50">
        <v>5018122</v>
      </c>
      <c r="C412" s="50" t="s">
        <v>3562</v>
      </c>
      <c r="D412" s="50" t="s">
        <v>10452</v>
      </c>
      <c r="E412" s="50" t="e">
        <f>VLOOKUP(B412,aa!B:F,5,0)</f>
        <v>#N/A</v>
      </c>
      <c r="F412" s="50" t="e">
        <f>VLOOKUP(B412,aa!B:J,9,0)</f>
        <v>#N/A</v>
      </c>
      <c r="G412" s="50" t="e">
        <f>VLOOKUP(B412,aa!B:L,11,0)</f>
        <v>#N/A</v>
      </c>
      <c r="H412" s="50" t="e">
        <f>VLOOKUP(B412,aa!B:O,14,0)</f>
        <v>#N/A</v>
      </c>
      <c r="I412" s="50" t="e">
        <f>VLOOKUP(B412,aa!B:R,17,0)</f>
        <v>#N/A</v>
      </c>
      <c r="K412" s="50" t="s">
        <v>97</v>
      </c>
      <c r="L412" s="50">
        <v>158850</v>
      </c>
      <c r="M412" s="50">
        <v>158850</v>
      </c>
      <c r="N412" s="50">
        <v>158850</v>
      </c>
      <c r="O412" s="50">
        <v>103</v>
      </c>
      <c r="P412" s="50" t="s">
        <v>19378</v>
      </c>
      <c r="Q412" s="50">
        <v>0</v>
      </c>
      <c r="R412" s="50">
        <v>0</v>
      </c>
      <c r="T412" s="50">
        <v>0</v>
      </c>
      <c r="U412" s="50">
        <v>0</v>
      </c>
      <c r="W412" s="50" t="s">
        <v>102</v>
      </c>
      <c r="X412" s="50" t="s">
        <v>275</v>
      </c>
      <c r="Z412" s="50" t="s">
        <v>12644</v>
      </c>
      <c r="AA412" s="50" t="s">
        <v>109</v>
      </c>
      <c r="AB412" s="50" t="s">
        <v>102</v>
      </c>
      <c r="AC412" s="50" t="s">
        <v>109</v>
      </c>
      <c r="AD412" s="50" t="s">
        <v>102</v>
      </c>
      <c r="AE412" s="50" t="s">
        <v>109</v>
      </c>
      <c r="AF412" s="50" t="s">
        <v>102</v>
      </c>
      <c r="AG412" s="50" t="s">
        <v>109</v>
      </c>
      <c r="AH412" s="50" t="s">
        <v>102</v>
      </c>
      <c r="AI412" s="50" t="s">
        <v>19379</v>
      </c>
      <c r="AJ412" s="50" t="s">
        <v>14292</v>
      </c>
      <c r="AK412" s="50" t="s">
        <v>14292</v>
      </c>
      <c r="AL412" s="50" t="s">
        <v>19380</v>
      </c>
      <c r="AM412" s="50" t="s">
        <v>19381</v>
      </c>
      <c r="AN412" s="50" t="s">
        <v>19382</v>
      </c>
      <c r="AO412" s="50" t="s">
        <v>343</v>
      </c>
      <c r="AP412" s="50" t="s">
        <v>343</v>
      </c>
      <c r="AU412" s="50" t="s">
        <v>117</v>
      </c>
      <c r="AV412" s="50" t="s">
        <v>118</v>
      </c>
      <c r="AW412" s="50" t="s">
        <v>102</v>
      </c>
      <c r="AX412" s="50" t="s">
        <v>119</v>
      </c>
      <c r="BB412" s="50" t="s">
        <v>3678</v>
      </c>
      <c r="BC412" s="50" t="s">
        <v>4889</v>
      </c>
      <c r="BD412" s="50" t="s">
        <v>730</v>
      </c>
      <c r="BE412" s="50" t="s">
        <v>622</v>
      </c>
      <c r="BF412" s="50" t="s">
        <v>730</v>
      </c>
      <c r="BG412" s="50" t="s">
        <v>124</v>
      </c>
      <c r="BH412" s="50" t="s">
        <v>11959</v>
      </c>
      <c r="BI412" s="50" t="s">
        <v>11960</v>
      </c>
      <c r="BJ412" s="50" t="s">
        <v>127</v>
      </c>
      <c r="BK412" s="50" t="s">
        <v>19383</v>
      </c>
      <c r="BL412" s="50" t="s">
        <v>10460</v>
      </c>
      <c r="BM412" s="50" t="s">
        <v>19384</v>
      </c>
      <c r="BN412" s="50" t="s">
        <v>4563</v>
      </c>
      <c r="BO412" s="50" t="s">
        <v>5197</v>
      </c>
      <c r="BP412" s="50" t="s">
        <v>350</v>
      </c>
      <c r="BQ412" s="50" t="s">
        <v>5198</v>
      </c>
      <c r="BR412" s="50" t="s">
        <v>5199</v>
      </c>
      <c r="BS412" s="50" t="s">
        <v>2569</v>
      </c>
      <c r="BU412" s="50" t="s">
        <v>19385</v>
      </c>
      <c r="BV412" s="50" t="s">
        <v>10463</v>
      </c>
      <c r="BW412" s="50" t="s">
        <v>138</v>
      </c>
      <c r="BX412" s="50" t="s">
        <v>10464</v>
      </c>
      <c r="BY412" s="50" t="s">
        <v>10465</v>
      </c>
      <c r="BZ412" s="50" t="s">
        <v>10466</v>
      </c>
      <c r="CA412" s="50" t="s">
        <v>10463</v>
      </c>
      <c r="CB412" s="50" t="s">
        <v>10464</v>
      </c>
      <c r="CC412" s="50" t="s">
        <v>10465</v>
      </c>
      <c r="CD412" s="50" t="s">
        <v>19386</v>
      </c>
      <c r="CE412" s="50" t="s">
        <v>19387</v>
      </c>
      <c r="CF412" s="50" t="s">
        <v>19388</v>
      </c>
      <c r="CG412" s="50" t="s">
        <v>5842</v>
      </c>
      <c r="CH412" s="50" t="s">
        <v>19389</v>
      </c>
      <c r="CJ412" s="50" t="s">
        <v>4903</v>
      </c>
      <c r="CK412" s="50" t="s">
        <v>19390</v>
      </c>
      <c r="CL412" s="50" t="s">
        <v>4889</v>
      </c>
      <c r="CM412" s="50" t="s">
        <v>730</v>
      </c>
      <c r="CN412" s="50" t="s">
        <v>4903</v>
      </c>
      <c r="CO412" s="50" t="s">
        <v>10468</v>
      </c>
      <c r="CP412" s="50" t="s">
        <v>10467</v>
      </c>
      <c r="CQ412" s="50" t="s">
        <v>10467</v>
      </c>
      <c r="CR412" s="50" t="s">
        <v>26047</v>
      </c>
    </row>
    <row r="413" spans="1:96">
      <c r="A413" s="50" t="s">
        <v>93</v>
      </c>
      <c r="B413" s="50">
        <v>5051627</v>
      </c>
      <c r="C413" s="50" t="s">
        <v>3562</v>
      </c>
      <c r="D413" s="50" t="s">
        <v>20516</v>
      </c>
      <c r="E413" s="50" t="str">
        <f>VLOOKUP(B413,aa!B:F,5,0)</f>
        <v>Ei ASSET, Ei Mindspark</v>
      </c>
      <c r="F413" s="50">
        <f>VLOOKUP(B413,aa!B:J,9,0)</f>
        <v>67923</v>
      </c>
      <c r="G413" s="50">
        <f>VLOOKUP(B413,aa!B:L,11,0)</f>
        <v>9621</v>
      </c>
      <c r="H413" s="50">
        <f>VLOOKUP(B413,aa!B:O,14,0)</f>
        <v>0</v>
      </c>
      <c r="I413" s="50">
        <f>VLOOKUP(B413,aa!B:R,17,0)</f>
        <v>58302</v>
      </c>
      <c r="K413" s="50" t="s">
        <v>3549</v>
      </c>
      <c r="L413" s="50">
        <v>26586</v>
      </c>
      <c r="M413" s="50">
        <v>30458</v>
      </c>
      <c r="N413" s="50">
        <v>5076</v>
      </c>
      <c r="O413" s="50">
        <v>6</v>
      </c>
      <c r="P413" s="50" t="s">
        <v>20517</v>
      </c>
      <c r="Q413" s="50">
        <v>0</v>
      </c>
      <c r="R413" s="50">
        <v>0</v>
      </c>
      <c r="T413" s="50">
        <v>21510</v>
      </c>
      <c r="U413" s="50">
        <v>10</v>
      </c>
      <c r="V413" s="50" t="s">
        <v>20518</v>
      </c>
      <c r="W413" s="50" t="s">
        <v>102</v>
      </c>
      <c r="X413" s="50" t="s">
        <v>275</v>
      </c>
      <c r="Z413" s="50" t="s">
        <v>1408</v>
      </c>
      <c r="AA413" s="50" t="s">
        <v>109</v>
      </c>
      <c r="AB413" s="50" t="s">
        <v>102</v>
      </c>
      <c r="AC413" s="50" t="s">
        <v>109</v>
      </c>
      <c r="AD413" s="50" t="s">
        <v>102</v>
      </c>
      <c r="AE413" s="50" t="s">
        <v>109</v>
      </c>
      <c r="AF413" s="50" t="s">
        <v>102</v>
      </c>
      <c r="AG413" s="50" t="s">
        <v>109</v>
      </c>
      <c r="AH413" s="50" t="s">
        <v>102</v>
      </c>
      <c r="AI413" s="50" t="s">
        <v>102</v>
      </c>
      <c r="AJ413" s="50" t="s">
        <v>1408</v>
      </c>
      <c r="AK413" s="50" t="s">
        <v>1408</v>
      </c>
      <c r="AL413" s="50" t="s">
        <v>20519</v>
      </c>
      <c r="AM413" s="50" t="s">
        <v>20520</v>
      </c>
      <c r="AN413" s="50" t="s">
        <v>20521</v>
      </c>
      <c r="AO413" s="50" t="s">
        <v>20522</v>
      </c>
      <c r="AP413" s="50" t="s">
        <v>20522</v>
      </c>
      <c r="AU413" s="50" t="s">
        <v>117</v>
      </c>
      <c r="AV413" s="50" t="s">
        <v>250</v>
      </c>
      <c r="AW413" s="50" t="s">
        <v>102</v>
      </c>
      <c r="AX413" s="50" t="s">
        <v>119</v>
      </c>
      <c r="BA413" s="50" t="s">
        <v>250</v>
      </c>
      <c r="BB413" s="50" t="s">
        <v>1242</v>
      </c>
      <c r="BC413" s="50" t="s">
        <v>2327</v>
      </c>
      <c r="BD413" s="50" t="s">
        <v>730</v>
      </c>
      <c r="BE413" s="50" t="s">
        <v>622</v>
      </c>
      <c r="BF413" s="50" t="s">
        <v>730</v>
      </c>
      <c r="BG413" s="50" t="s">
        <v>124</v>
      </c>
      <c r="BH413" s="50" t="s">
        <v>11976</v>
      </c>
      <c r="BI413" s="50" t="s">
        <v>12720</v>
      </c>
      <c r="BJ413" s="50" t="s">
        <v>127</v>
      </c>
      <c r="BK413" s="50" t="s">
        <v>20523</v>
      </c>
      <c r="BL413" s="50" t="s">
        <v>20524</v>
      </c>
      <c r="BM413" s="50" t="s">
        <v>20525</v>
      </c>
      <c r="BN413" s="50" t="s">
        <v>4563</v>
      </c>
      <c r="BO413" s="50" t="s">
        <v>2262</v>
      </c>
      <c r="BP413" s="50" t="s">
        <v>180</v>
      </c>
      <c r="BQ413" s="50" t="s">
        <v>2263</v>
      </c>
      <c r="BR413" s="50" t="s">
        <v>2264</v>
      </c>
      <c r="BS413" s="50" t="s">
        <v>2331</v>
      </c>
      <c r="BU413" s="50" t="s">
        <v>20526</v>
      </c>
      <c r="BV413" s="50" t="s">
        <v>20527</v>
      </c>
      <c r="BW413" s="50" t="s">
        <v>354</v>
      </c>
      <c r="BX413" s="50" t="s">
        <v>20528</v>
      </c>
      <c r="BY413" s="50" t="s">
        <v>20529</v>
      </c>
      <c r="BZ413" s="50" t="s">
        <v>20530</v>
      </c>
      <c r="CA413" s="50" t="s">
        <v>20531</v>
      </c>
      <c r="CB413" s="50" t="s">
        <v>20532</v>
      </c>
      <c r="CC413" s="50" t="s">
        <v>20533</v>
      </c>
      <c r="CD413" s="50" t="s">
        <v>20531</v>
      </c>
      <c r="CE413" s="50" t="s">
        <v>20532</v>
      </c>
      <c r="CF413" s="50" t="s">
        <v>20533</v>
      </c>
      <c r="CG413" s="50" t="s">
        <v>4937</v>
      </c>
      <c r="CH413" s="50" t="s">
        <v>20534</v>
      </c>
      <c r="CJ413" s="50" t="s">
        <v>20535</v>
      </c>
      <c r="CK413" s="50" t="s">
        <v>20534</v>
      </c>
      <c r="CL413" s="50" t="s">
        <v>2327</v>
      </c>
      <c r="CM413" s="50" t="s">
        <v>730</v>
      </c>
      <c r="CN413" s="50" t="s">
        <v>20535</v>
      </c>
      <c r="CP413" s="50" t="s">
        <v>20536</v>
      </c>
      <c r="CQ413" s="50" t="s">
        <v>20536</v>
      </c>
    </row>
    <row r="414" spans="1:96">
      <c r="A414" s="95" t="s">
        <v>149</v>
      </c>
      <c r="B414" s="50">
        <v>1581683</v>
      </c>
      <c r="C414" s="50" t="s">
        <v>1279</v>
      </c>
      <c r="D414" s="50" t="s">
        <v>1260</v>
      </c>
      <c r="E414" s="50" t="e">
        <f>VLOOKUP(B414,aa!B:F,5,0)</f>
        <v>#N/A</v>
      </c>
      <c r="F414" s="50" t="e">
        <f>VLOOKUP(B414,aa!B:J,9,0)</f>
        <v>#N/A</v>
      </c>
      <c r="G414" s="50" t="e">
        <f>VLOOKUP(B414,aa!B:L,11,0)</f>
        <v>#N/A</v>
      </c>
      <c r="H414" s="50" t="e">
        <f>VLOOKUP(B414,aa!B:O,14,0)</f>
        <v>#N/A</v>
      </c>
      <c r="I414" s="50" t="e">
        <f>VLOOKUP(B414,aa!B:R,17,0)</f>
        <v>#N/A</v>
      </c>
      <c r="K414" s="50" t="s">
        <v>643</v>
      </c>
      <c r="L414" s="50">
        <v>620732</v>
      </c>
      <c r="M414" s="50">
        <v>715923</v>
      </c>
      <c r="N414" s="50">
        <v>0</v>
      </c>
      <c r="O414" s="50">
        <v>0</v>
      </c>
      <c r="Q414" s="50">
        <v>91892</v>
      </c>
      <c r="R414" s="50">
        <v>51</v>
      </c>
      <c r="S414" s="50" t="s">
        <v>12645</v>
      </c>
      <c r="T414" s="50">
        <v>528840</v>
      </c>
      <c r="U414" s="50">
        <v>160</v>
      </c>
      <c r="V414" s="50" t="s">
        <v>12646</v>
      </c>
      <c r="W414" s="50" t="s">
        <v>102</v>
      </c>
      <c r="X414" s="50" t="s">
        <v>275</v>
      </c>
      <c r="Z414" s="50" t="s">
        <v>12644</v>
      </c>
      <c r="AA414" s="50" t="s">
        <v>109</v>
      </c>
      <c r="AB414" s="50" t="s">
        <v>102</v>
      </c>
      <c r="AC414" s="50" t="s">
        <v>109</v>
      </c>
      <c r="AD414" s="50" t="s">
        <v>102</v>
      </c>
      <c r="AE414" s="50" t="s">
        <v>109</v>
      </c>
      <c r="AF414" s="50" t="s">
        <v>102</v>
      </c>
      <c r="AG414" s="50" t="s">
        <v>109</v>
      </c>
      <c r="AH414" s="50" t="s">
        <v>102</v>
      </c>
      <c r="AI414" s="50" t="s">
        <v>12647</v>
      </c>
      <c r="AJ414" s="50" t="s">
        <v>12312</v>
      </c>
      <c r="AK414" s="50" t="s">
        <v>12329</v>
      </c>
      <c r="AL414" s="50" t="s">
        <v>12648</v>
      </c>
      <c r="AM414" s="50" t="s">
        <v>12649</v>
      </c>
      <c r="AN414" s="50" t="s">
        <v>12650</v>
      </c>
      <c r="AO414" s="50" t="s">
        <v>12651</v>
      </c>
      <c r="AP414" s="50" t="s">
        <v>12651</v>
      </c>
      <c r="AU414" s="50" t="s">
        <v>102</v>
      </c>
      <c r="AW414" s="50" t="s">
        <v>655</v>
      </c>
      <c r="AX414" s="50" t="s">
        <v>119</v>
      </c>
      <c r="AY414" s="50" t="s">
        <v>170</v>
      </c>
      <c r="AZ414" s="50" t="s">
        <v>118</v>
      </c>
      <c r="BA414" s="50" t="s">
        <v>250</v>
      </c>
      <c r="BB414" s="50" t="s">
        <v>3678</v>
      </c>
      <c r="BC414" s="50" t="s">
        <v>623</v>
      </c>
      <c r="BD414" s="50" t="s">
        <v>621</v>
      </c>
      <c r="BE414" s="50" t="s">
        <v>622</v>
      </c>
      <c r="BF414" s="50" t="s">
        <v>623</v>
      </c>
      <c r="BG414" s="50" t="s">
        <v>124</v>
      </c>
      <c r="BH414" s="50" t="s">
        <v>4563</v>
      </c>
      <c r="BI414" s="50" t="s">
        <v>11960</v>
      </c>
      <c r="BJ414" s="50" t="s">
        <v>127</v>
      </c>
      <c r="BK414" s="50" t="s">
        <v>12652</v>
      </c>
      <c r="BL414" s="50" t="s">
        <v>1277</v>
      </c>
      <c r="BM414" s="50" t="s">
        <v>12653</v>
      </c>
      <c r="BN414" s="50" t="s">
        <v>12644</v>
      </c>
      <c r="BO414" s="50" t="s">
        <v>629</v>
      </c>
      <c r="BP414" s="50" t="s">
        <v>957</v>
      </c>
      <c r="BQ414" s="50" t="s">
        <v>630</v>
      </c>
      <c r="BR414" s="50" t="s">
        <v>631</v>
      </c>
      <c r="BS414" s="50" t="s">
        <v>1279</v>
      </c>
      <c r="BU414" s="50" t="s">
        <v>12654</v>
      </c>
      <c r="BV414" s="50" t="s">
        <v>1286</v>
      </c>
      <c r="BW414" s="50" t="s">
        <v>138</v>
      </c>
      <c r="BX414" s="50" t="s">
        <v>12655</v>
      </c>
      <c r="BY414" s="50" t="s">
        <v>1287</v>
      </c>
      <c r="BZ414" s="50" t="s">
        <v>1285</v>
      </c>
      <c r="CA414" s="50" t="s">
        <v>12656</v>
      </c>
      <c r="CB414" s="50" t="s">
        <v>1285</v>
      </c>
      <c r="CC414" s="50" t="s">
        <v>1287</v>
      </c>
      <c r="CD414" s="50" t="s">
        <v>12656</v>
      </c>
      <c r="CE414" s="50" t="s">
        <v>1285</v>
      </c>
      <c r="CF414" s="50" t="s">
        <v>1287</v>
      </c>
      <c r="CG414" s="50" t="s">
        <v>102</v>
      </c>
      <c r="CH414" s="50" t="s">
        <v>1291</v>
      </c>
      <c r="CJ414" s="50" t="s">
        <v>1292</v>
      </c>
      <c r="CL414" s="50" t="s">
        <v>623</v>
      </c>
      <c r="CM414" s="50" t="s">
        <v>621</v>
      </c>
      <c r="CN414" s="50" t="s">
        <v>1292</v>
      </c>
      <c r="CO414" s="50" t="s">
        <v>1293</v>
      </c>
      <c r="CP414" s="50" t="s">
        <v>1291</v>
      </c>
      <c r="CQ414" s="50" t="s">
        <v>1291</v>
      </c>
      <c r="CR414" s="50" t="s">
        <v>26047</v>
      </c>
    </row>
    <row r="415" spans="1:96">
      <c r="A415" s="95" t="s">
        <v>149</v>
      </c>
      <c r="B415" s="50">
        <v>3347997</v>
      </c>
      <c r="C415" s="50" t="s">
        <v>11947</v>
      </c>
      <c r="D415" s="50" t="s">
        <v>5645</v>
      </c>
      <c r="E415" s="50" t="e">
        <f>VLOOKUP(B415,aa!B:F,5,0)</f>
        <v>#N/A</v>
      </c>
      <c r="F415" s="50" t="e">
        <f>VLOOKUP(B415,aa!B:J,9,0)</f>
        <v>#N/A</v>
      </c>
      <c r="G415" s="50" t="e">
        <f>VLOOKUP(B415,aa!B:L,11,0)</f>
        <v>#N/A</v>
      </c>
      <c r="H415" s="50" t="e">
        <f>VLOOKUP(B415,aa!B:O,14,0)</f>
        <v>#N/A</v>
      </c>
      <c r="I415" s="50" t="e">
        <f>VLOOKUP(B415,aa!B:R,17,0)</f>
        <v>#N/A</v>
      </c>
      <c r="K415" s="50" t="s">
        <v>848</v>
      </c>
      <c r="L415" s="50">
        <v>475480</v>
      </c>
      <c r="M415" s="50">
        <v>561066</v>
      </c>
      <c r="N415" s="50">
        <v>0</v>
      </c>
      <c r="O415" s="50">
        <v>0</v>
      </c>
      <c r="Q415" s="50">
        <v>0</v>
      </c>
      <c r="R415" s="50">
        <v>0</v>
      </c>
      <c r="T415" s="50">
        <v>475480</v>
      </c>
      <c r="U415" s="50">
        <v>235</v>
      </c>
      <c r="V415" s="50" t="s">
        <v>10244</v>
      </c>
      <c r="W415" s="50" t="s">
        <v>102</v>
      </c>
      <c r="X415" s="50" t="s">
        <v>103</v>
      </c>
      <c r="Y415" s="50" t="s">
        <v>398</v>
      </c>
      <c r="AA415" s="50" t="s">
        <v>12541</v>
      </c>
      <c r="AB415" s="50" t="s">
        <v>15705</v>
      </c>
      <c r="AC415" s="50" t="s">
        <v>13110</v>
      </c>
      <c r="AD415" s="50" t="s">
        <v>15706</v>
      </c>
      <c r="AE415" s="50" t="s">
        <v>14024</v>
      </c>
      <c r="AF415" s="50" t="s">
        <v>15705</v>
      </c>
      <c r="AG415" s="50" t="s">
        <v>109</v>
      </c>
      <c r="AH415" s="50" t="s">
        <v>102</v>
      </c>
      <c r="AI415" s="50" t="s">
        <v>15707</v>
      </c>
      <c r="AJ415" s="50" t="s">
        <v>12923</v>
      </c>
      <c r="AK415" s="50" t="s">
        <v>14238</v>
      </c>
      <c r="AL415" s="50" t="s">
        <v>15708</v>
      </c>
      <c r="AM415" s="50" t="s">
        <v>15709</v>
      </c>
      <c r="AN415" s="50" t="s">
        <v>15710</v>
      </c>
      <c r="AO415" s="50" t="s">
        <v>15711</v>
      </c>
      <c r="AP415" s="50" t="s">
        <v>15711</v>
      </c>
      <c r="AU415" s="50" t="s">
        <v>102</v>
      </c>
      <c r="AW415" s="50" t="s">
        <v>102</v>
      </c>
      <c r="AX415" s="50" t="s">
        <v>119</v>
      </c>
      <c r="BA415" s="50" t="s">
        <v>250</v>
      </c>
      <c r="BB415" s="50" t="s">
        <v>120</v>
      </c>
      <c r="BC415" s="50" t="s">
        <v>920</v>
      </c>
      <c r="BD415" s="50" t="s">
        <v>211</v>
      </c>
      <c r="BE415" s="50" t="s">
        <v>212</v>
      </c>
      <c r="BF415" s="50" t="s">
        <v>213</v>
      </c>
      <c r="BG415" s="50" t="s">
        <v>124</v>
      </c>
      <c r="BH415" s="50" t="s">
        <v>12644</v>
      </c>
      <c r="BI415" s="50" t="s">
        <v>12047</v>
      </c>
      <c r="BJ415" s="50" t="s">
        <v>127</v>
      </c>
      <c r="BK415" s="50" t="s">
        <v>15712</v>
      </c>
      <c r="BL415" s="50" t="s">
        <v>5658</v>
      </c>
      <c r="BM415" s="50" t="s">
        <v>15713</v>
      </c>
      <c r="BN415" s="50" t="s">
        <v>12644</v>
      </c>
      <c r="BO415" s="50" t="s">
        <v>415</v>
      </c>
      <c r="BP415" s="50" t="s">
        <v>180</v>
      </c>
      <c r="BQ415" s="50" t="s">
        <v>416</v>
      </c>
      <c r="BR415" s="50" t="s">
        <v>417</v>
      </c>
      <c r="BS415" s="50" t="s">
        <v>2151</v>
      </c>
      <c r="BU415" s="50" t="s">
        <v>15714</v>
      </c>
      <c r="BV415" s="50" t="s">
        <v>5661</v>
      </c>
      <c r="BW415" s="50" t="s">
        <v>138</v>
      </c>
      <c r="BX415" s="50" t="s">
        <v>5662</v>
      </c>
      <c r="BY415" s="50" t="s">
        <v>5663</v>
      </c>
      <c r="BZ415" s="50" t="s">
        <v>5662</v>
      </c>
      <c r="CA415" s="50" t="s">
        <v>5661</v>
      </c>
      <c r="CB415" s="50" t="s">
        <v>5662</v>
      </c>
      <c r="CC415" s="50" t="s">
        <v>5663</v>
      </c>
      <c r="CD415" s="50" t="s">
        <v>5661</v>
      </c>
      <c r="CE415" s="50" t="s">
        <v>5662</v>
      </c>
      <c r="CF415" s="50" t="s">
        <v>5663</v>
      </c>
      <c r="CG415" s="50" t="s">
        <v>102</v>
      </c>
      <c r="CH415" s="50" t="s">
        <v>5664</v>
      </c>
      <c r="CJ415" s="50" t="s">
        <v>3690</v>
      </c>
      <c r="CL415" s="50" t="s">
        <v>920</v>
      </c>
      <c r="CM415" s="50" t="s">
        <v>211</v>
      </c>
      <c r="CN415" s="50" t="s">
        <v>3690</v>
      </c>
      <c r="CO415" s="50" t="s">
        <v>5665</v>
      </c>
      <c r="CP415" s="50" t="s">
        <v>5664</v>
      </c>
      <c r="CQ415" s="50" t="s">
        <v>5664</v>
      </c>
      <c r="CR415" s="50" t="s">
        <v>26044</v>
      </c>
    </row>
    <row r="416" spans="1:96">
      <c r="A416" s="95" t="s">
        <v>149</v>
      </c>
      <c r="B416" s="50">
        <v>3390964</v>
      </c>
      <c r="C416" s="50" t="s">
        <v>985</v>
      </c>
      <c r="D416" s="50" t="s">
        <v>5791</v>
      </c>
      <c r="E416" s="50" t="e">
        <f>VLOOKUP(B416,aa!B:F,5,0)</f>
        <v>#N/A</v>
      </c>
      <c r="F416" s="50" t="e">
        <f>VLOOKUP(B416,aa!B:J,9,0)</f>
        <v>#N/A</v>
      </c>
      <c r="G416" s="50" t="e">
        <f>VLOOKUP(B416,aa!B:L,11,0)</f>
        <v>#N/A</v>
      </c>
      <c r="H416" s="50" t="e">
        <f>VLOOKUP(B416,aa!B:O,14,0)</f>
        <v>#N/A</v>
      </c>
      <c r="I416" s="50" t="e">
        <f>VLOOKUP(B416,aa!B:R,17,0)</f>
        <v>#N/A</v>
      </c>
      <c r="K416" s="50" t="s">
        <v>97</v>
      </c>
      <c r="L416" s="50">
        <v>214639</v>
      </c>
      <c r="M416" s="50">
        <v>214639</v>
      </c>
      <c r="N416" s="50">
        <v>214639</v>
      </c>
      <c r="O416" s="50">
        <v>304</v>
      </c>
      <c r="P416" s="50" t="s">
        <v>5793</v>
      </c>
      <c r="Q416" s="50">
        <v>0</v>
      </c>
      <c r="R416" s="50">
        <v>0</v>
      </c>
      <c r="T416" s="50">
        <v>0</v>
      </c>
      <c r="U416" s="50">
        <v>0</v>
      </c>
      <c r="W416" s="50" t="s">
        <v>102</v>
      </c>
      <c r="X416" s="50" t="s">
        <v>103</v>
      </c>
      <c r="Y416" s="50" t="s">
        <v>104</v>
      </c>
      <c r="AA416" s="50" t="s">
        <v>12541</v>
      </c>
      <c r="AB416" s="50" t="s">
        <v>15774</v>
      </c>
      <c r="AC416" s="50" t="s">
        <v>12289</v>
      </c>
      <c r="AD416" s="50" t="s">
        <v>15774</v>
      </c>
      <c r="AE416" s="50" t="s">
        <v>109</v>
      </c>
      <c r="AF416" s="50" t="s">
        <v>102</v>
      </c>
      <c r="AG416" s="50" t="s">
        <v>109</v>
      </c>
      <c r="AH416" s="50" t="s">
        <v>102</v>
      </c>
      <c r="AI416" s="50" t="s">
        <v>102</v>
      </c>
      <c r="AJ416" s="50" t="s">
        <v>13455</v>
      </c>
      <c r="AK416" s="50" t="s">
        <v>946</v>
      </c>
      <c r="AL416" s="50" t="s">
        <v>15775</v>
      </c>
      <c r="AM416" s="50" t="s">
        <v>15776</v>
      </c>
      <c r="AN416" s="50" t="s">
        <v>15777</v>
      </c>
      <c r="AO416" s="50" t="s">
        <v>5798</v>
      </c>
      <c r="AP416" s="50" t="s">
        <v>5798</v>
      </c>
      <c r="AU416" s="50" t="s">
        <v>318</v>
      </c>
      <c r="AV416" s="50" t="s">
        <v>118</v>
      </c>
      <c r="AW416" s="50" t="s">
        <v>102</v>
      </c>
      <c r="AX416" s="50" t="s">
        <v>119</v>
      </c>
      <c r="BB416" s="50" t="s">
        <v>1964</v>
      </c>
      <c r="BC416" s="50" t="s">
        <v>2127</v>
      </c>
      <c r="BD416" s="50" t="s">
        <v>621</v>
      </c>
      <c r="BE416" s="50" t="s">
        <v>622</v>
      </c>
      <c r="BF416" s="50" t="s">
        <v>976</v>
      </c>
      <c r="BG416" s="50" t="s">
        <v>124</v>
      </c>
      <c r="BH416" s="50" t="s">
        <v>2483</v>
      </c>
      <c r="BI416" s="50" t="s">
        <v>11889</v>
      </c>
      <c r="BJ416" s="50" t="s">
        <v>127</v>
      </c>
      <c r="BK416" s="50" t="s">
        <v>15778</v>
      </c>
      <c r="BL416" s="50" t="s">
        <v>5800</v>
      </c>
      <c r="BM416" s="50" t="s">
        <v>15779</v>
      </c>
      <c r="BN416" s="50" t="s">
        <v>12644</v>
      </c>
      <c r="BO416" s="50" t="s">
        <v>981</v>
      </c>
      <c r="BP416" s="50" t="s">
        <v>132</v>
      </c>
      <c r="BQ416" s="50" t="s">
        <v>982</v>
      </c>
      <c r="BR416" s="50" t="s">
        <v>983</v>
      </c>
      <c r="BS416" s="50" t="s">
        <v>5805</v>
      </c>
      <c r="BU416" s="50" t="s">
        <v>15780</v>
      </c>
      <c r="BV416" s="50" t="s">
        <v>15781</v>
      </c>
      <c r="BW416" s="50" t="s">
        <v>138</v>
      </c>
      <c r="BX416" s="50" t="s">
        <v>5808</v>
      </c>
      <c r="BY416" s="50" t="s">
        <v>15782</v>
      </c>
      <c r="BZ416" s="50" t="s">
        <v>5810</v>
      </c>
      <c r="CA416" s="50" t="s">
        <v>15781</v>
      </c>
      <c r="CB416" s="50" t="s">
        <v>5808</v>
      </c>
      <c r="CC416" s="50" t="s">
        <v>15782</v>
      </c>
      <c r="CD416" s="50" t="s">
        <v>15783</v>
      </c>
      <c r="CE416" s="50" t="s">
        <v>15784</v>
      </c>
      <c r="CF416" s="50" t="s">
        <v>5809</v>
      </c>
      <c r="CG416" s="50" t="s">
        <v>5811</v>
      </c>
      <c r="CH416" s="50" t="s">
        <v>15785</v>
      </c>
      <c r="CJ416" s="50" t="s">
        <v>5813</v>
      </c>
      <c r="CK416" s="50" t="s">
        <v>15786</v>
      </c>
      <c r="CL416" s="50" t="s">
        <v>2127</v>
      </c>
      <c r="CM416" s="50" t="s">
        <v>621</v>
      </c>
      <c r="CN416" s="50" t="s">
        <v>5813</v>
      </c>
      <c r="CO416" s="50" t="s">
        <v>5814</v>
      </c>
      <c r="CP416" s="50" t="s">
        <v>5812</v>
      </c>
      <c r="CQ416" s="50" t="s">
        <v>5812</v>
      </c>
      <c r="CR416" s="50" t="s">
        <v>26047</v>
      </c>
    </row>
    <row r="417" spans="1:96">
      <c r="A417" s="95" t="s">
        <v>149</v>
      </c>
      <c r="B417" s="50">
        <v>351831</v>
      </c>
      <c r="C417" s="50" t="s">
        <v>12423</v>
      </c>
      <c r="D417" s="50" t="s">
        <v>16369</v>
      </c>
      <c r="E417" s="50" t="e">
        <f>VLOOKUP(B417,aa!B:F,5,0)</f>
        <v>#N/A</v>
      </c>
      <c r="F417" s="50" t="e">
        <f>VLOOKUP(B417,aa!B:J,9,0)</f>
        <v>#N/A</v>
      </c>
      <c r="G417" s="50" t="e">
        <f>VLOOKUP(B417,aa!B:L,11,0)</f>
        <v>#N/A</v>
      </c>
      <c r="H417" s="50" t="e">
        <f>VLOOKUP(B417,aa!B:O,14,0)</f>
        <v>#N/A</v>
      </c>
      <c r="I417" s="50" t="e">
        <f>VLOOKUP(B417,aa!B:R,17,0)</f>
        <v>#N/A</v>
      </c>
      <c r="K417" s="50" t="s">
        <v>97</v>
      </c>
      <c r="L417" s="50">
        <v>626625</v>
      </c>
      <c r="M417" s="50">
        <v>626625</v>
      </c>
      <c r="N417" s="50">
        <v>626625</v>
      </c>
      <c r="O417" s="50">
        <v>1253</v>
      </c>
      <c r="P417" s="50" t="s">
        <v>364</v>
      </c>
      <c r="Q417" s="50">
        <v>0</v>
      </c>
      <c r="R417" s="50">
        <v>0</v>
      </c>
      <c r="T417" s="50">
        <v>0</v>
      </c>
      <c r="U417" s="50">
        <v>0</v>
      </c>
      <c r="W417" s="50" t="s">
        <v>102</v>
      </c>
      <c r="X417" s="50" t="s">
        <v>103</v>
      </c>
      <c r="Y417" s="50" t="s">
        <v>104</v>
      </c>
      <c r="AA417" s="50" t="s">
        <v>12099</v>
      </c>
      <c r="AB417" s="50" t="s">
        <v>16370</v>
      </c>
      <c r="AC417" s="50" t="s">
        <v>12817</v>
      </c>
      <c r="AD417" s="50" t="s">
        <v>16370</v>
      </c>
      <c r="AE417" s="50" t="s">
        <v>109</v>
      </c>
      <c r="AF417" s="50" t="s">
        <v>102</v>
      </c>
      <c r="AG417" s="50" t="s">
        <v>109</v>
      </c>
      <c r="AH417" s="50" t="s">
        <v>102</v>
      </c>
      <c r="AI417" s="50" t="s">
        <v>16371</v>
      </c>
      <c r="AJ417" s="50" t="s">
        <v>16372</v>
      </c>
      <c r="AK417" s="50" t="s">
        <v>16372</v>
      </c>
      <c r="AL417" s="50" t="s">
        <v>16373</v>
      </c>
      <c r="AM417" s="50" t="s">
        <v>16374</v>
      </c>
      <c r="AN417" s="50" t="s">
        <v>16375</v>
      </c>
      <c r="AO417" s="50" t="s">
        <v>2353</v>
      </c>
      <c r="AP417" s="50" t="s">
        <v>2353</v>
      </c>
      <c r="AU417" s="50" t="s">
        <v>117</v>
      </c>
      <c r="AV417" s="50" t="s">
        <v>250</v>
      </c>
      <c r="AW417" s="50" t="s">
        <v>102</v>
      </c>
      <c r="AX417" s="50" t="s">
        <v>119</v>
      </c>
      <c r="BB417" s="50" t="s">
        <v>120</v>
      </c>
      <c r="BC417" s="50" t="s">
        <v>3735</v>
      </c>
      <c r="BD417" s="50" t="s">
        <v>410</v>
      </c>
      <c r="BE417" s="50" t="s">
        <v>212</v>
      </c>
      <c r="BF417" s="50" t="s">
        <v>410</v>
      </c>
      <c r="BG417" s="50" t="s">
        <v>124</v>
      </c>
      <c r="BH417" s="50" t="s">
        <v>11976</v>
      </c>
      <c r="BI417" s="50" t="s">
        <v>11889</v>
      </c>
      <c r="BJ417" s="50" t="s">
        <v>127</v>
      </c>
      <c r="BK417" s="50" t="s">
        <v>16376</v>
      </c>
      <c r="BL417" s="50" t="s">
        <v>6512</v>
      </c>
      <c r="BM417" s="50" t="s">
        <v>16377</v>
      </c>
      <c r="BN417" s="50" t="s">
        <v>12644</v>
      </c>
      <c r="BO417" s="50" t="s">
        <v>896</v>
      </c>
      <c r="BP417" s="50" t="s">
        <v>132</v>
      </c>
      <c r="BQ417" s="50" t="s">
        <v>897</v>
      </c>
      <c r="BR417" s="50" t="s">
        <v>898</v>
      </c>
      <c r="BS417" s="50" t="s">
        <v>899</v>
      </c>
      <c r="BU417" s="50" t="s">
        <v>16378</v>
      </c>
      <c r="BV417" s="50" t="s">
        <v>16379</v>
      </c>
      <c r="BW417" s="50" t="s">
        <v>138</v>
      </c>
      <c r="BX417" s="50" t="s">
        <v>6516</v>
      </c>
      <c r="BY417" s="50" t="s">
        <v>16380</v>
      </c>
      <c r="BZ417" s="50" t="s">
        <v>6518</v>
      </c>
      <c r="CA417" s="50" t="s">
        <v>6515</v>
      </c>
      <c r="CB417" s="50" t="s">
        <v>16381</v>
      </c>
      <c r="CC417" s="50" t="s">
        <v>16380</v>
      </c>
      <c r="CD417" s="50" t="s">
        <v>6515</v>
      </c>
      <c r="CE417" s="50" t="s">
        <v>16381</v>
      </c>
      <c r="CF417" s="50" t="s">
        <v>16380</v>
      </c>
      <c r="CG417" s="50" t="s">
        <v>907</v>
      </c>
      <c r="CH417" s="50" t="s">
        <v>6523</v>
      </c>
      <c r="CJ417" s="50" t="s">
        <v>3807</v>
      </c>
      <c r="CK417" s="50" t="s">
        <v>6521</v>
      </c>
      <c r="CL417" s="50" t="s">
        <v>3735</v>
      </c>
      <c r="CM417" s="50" t="s">
        <v>410</v>
      </c>
      <c r="CN417" s="50" t="s">
        <v>3807</v>
      </c>
      <c r="CO417" s="50" t="s">
        <v>6522</v>
      </c>
      <c r="CP417" s="50" t="s">
        <v>6523</v>
      </c>
      <c r="CQ417" s="50" t="s">
        <v>6523</v>
      </c>
      <c r="CR417" s="50" t="s">
        <v>26040</v>
      </c>
    </row>
    <row r="418" spans="1:96">
      <c r="A418" s="95" t="s">
        <v>149</v>
      </c>
      <c r="B418" s="50">
        <v>3992812</v>
      </c>
      <c r="C418" s="50" t="s">
        <v>12423</v>
      </c>
      <c r="D418" s="50" t="s">
        <v>8238</v>
      </c>
      <c r="E418" s="50" t="e">
        <f>VLOOKUP(B418,aa!B:F,5,0)</f>
        <v>#N/A</v>
      </c>
      <c r="F418" s="50" t="e">
        <f>VLOOKUP(B418,aa!B:J,9,0)</f>
        <v>#N/A</v>
      </c>
      <c r="G418" s="50" t="e">
        <f>VLOOKUP(B418,aa!B:L,11,0)</f>
        <v>#N/A</v>
      </c>
      <c r="H418" s="50" t="e">
        <f>VLOOKUP(B418,aa!B:O,14,0)</f>
        <v>#N/A</v>
      </c>
      <c r="I418" s="50" t="e">
        <f>VLOOKUP(B418,aa!B:R,17,0)</f>
        <v>#N/A</v>
      </c>
      <c r="K418" s="50" t="s">
        <v>848</v>
      </c>
      <c r="L418" s="50">
        <v>0</v>
      </c>
      <c r="M418" s="50">
        <v>0</v>
      </c>
      <c r="N418" s="50">
        <v>0</v>
      </c>
      <c r="O418" s="50">
        <v>0</v>
      </c>
      <c r="Q418" s="50">
        <v>0</v>
      </c>
      <c r="R418" s="50">
        <v>0</v>
      </c>
      <c r="T418" s="50">
        <v>0</v>
      </c>
      <c r="U418" s="50">
        <v>353</v>
      </c>
      <c r="V418" s="50" t="s">
        <v>102</v>
      </c>
      <c r="W418" s="50" t="s">
        <v>102</v>
      </c>
      <c r="X418" s="50" t="s">
        <v>275</v>
      </c>
      <c r="Z418" s="50" t="s">
        <v>1408</v>
      </c>
      <c r="AA418" s="50" t="s">
        <v>109</v>
      </c>
      <c r="AB418" s="50" t="s">
        <v>102</v>
      </c>
      <c r="AC418" s="50" t="s">
        <v>109</v>
      </c>
      <c r="AD418" s="50" t="s">
        <v>102</v>
      </c>
      <c r="AE418" s="50" t="s">
        <v>109</v>
      </c>
      <c r="AF418" s="50" t="s">
        <v>102</v>
      </c>
      <c r="AG418" s="50" t="s">
        <v>109</v>
      </c>
      <c r="AH418" s="50" t="s">
        <v>102</v>
      </c>
      <c r="AI418" s="50" t="s">
        <v>102</v>
      </c>
      <c r="AL418" s="50" t="s">
        <v>102</v>
      </c>
      <c r="AM418" s="50" t="s">
        <v>102</v>
      </c>
      <c r="AN418" s="50" t="s">
        <v>102</v>
      </c>
      <c r="AO418" s="50" t="s">
        <v>115</v>
      </c>
      <c r="AP418" s="50" t="s">
        <v>115</v>
      </c>
      <c r="AU418" s="50" t="s">
        <v>102</v>
      </c>
      <c r="AW418" s="50" t="s">
        <v>102</v>
      </c>
      <c r="AX418" s="50" t="s">
        <v>119</v>
      </c>
      <c r="BA418" s="50" t="s">
        <v>250</v>
      </c>
      <c r="BB418" s="50" t="s">
        <v>120</v>
      </c>
      <c r="BC418" s="50" t="s">
        <v>8240</v>
      </c>
      <c r="BD418" s="50" t="s">
        <v>410</v>
      </c>
      <c r="BE418" s="50" t="s">
        <v>212</v>
      </c>
      <c r="BF418" s="50" t="s">
        <v>410</v>
      </c>
      <c r="BG418" s="50" t="s">
        <v>124</v>
      </c>
      <c r="BH418" s="50" t="s">
        <v>4563</v>
      </c>
      <c r="BI418" s="50" t="s">
        <v>11960</v>
      </c>
      <c r="BJ418" s="50" t="s">
        <v>127</v>
      </c>
      <c r="BK418" s="50" t="s">
        <v>17571</v>
      </c>
      <c r="BL418" s="50" t="s">
        <v>8242</v>
      </c>
      <c r="BM418" s="50" t="s">
        <v>17572</v>
      </c>
      <c r="BN418" s="50" t="s">
        <v>12644</v>
      </c>
      <c r="BO418" s="50" t="s">
        <v>866</v>
      </c>
      <c r="BP418" s="50" t="s">
        <v>505</v>
      </c>
      <c r="BQ418" s="50" t="s">
        <v>867</v>
      </c>
      <c r="BR418" s="50" t="s">
        <v>868</v>
      </c>
      <c r="BS418" s="50" t="s">
        <v>2151</v>
      </c>
      <c r="BU418" s="50" t="s">
        <v>17573</v>
      </c>
      <c r="BV418" s="50" t="s">
        <v>224</v>
      </c>
      <c r="BW418" s="50" t="s">
        <v>598</v>
      </c>
      <c r="BX418" s="50" t="s">
        <v>225</v>
      </c>
      <c r="BY418" s="50" t="s">
        <v>226</v>
      </c>
      <c r="BZ418" s="50" t="s">
        <v>8246</v>
      </c>
      <c r="CA418" s="50" t="s">
        <v>224</v>
      </c>
      <c r="CB418" s="50" t="s">
        <v>225</v>
      </c>
      <c r="CC418" s="50" t="s">
        <v>226</v>
      </c>
      <c r="CD418" s="50" t="s">
        <v>224</v>
      </c>
      <c r="CE418" s="50" t="s">
        <v>225</v>
      </c>
      <c r="CF418" s="50" t="s">
        <v>226</v>
      </c>
      <c r="CG418" s="50" t="s">
        <v>102</v>
      </c>
      <c r="CH418" s="50" t="s">
        <v>8247</v>
      </c>
      <c r="CJ418" s="50" t="s">
        <v>8248</v>
      </c>
      <c r="CL418" s="50" t="s">
        <v>8240</v>
      </c>
      <c r="CM418" s="50" t="s">
        <v>410</v>
      </c>
      <c r="CN418" s="50" t="s">
        <v>8248</v>
      </c>
      <c r="CP418" s="50" t="s">
        <v>8247</v>
      </c>
      <c r="CQ418" s="50" t="s">
        <v>8247</v>
      </c>
      <c r="CR418" s="50" t="s">
        <v>26048</v>
      </c>
    </row>
    <row r="419" spans="1:96">
      <c r="A419" s="95" t="s">
        <v>149</v>
      </c>
      <c r="B419" s="50">
        <v>530653</v>
      </c>
      <c r="C419" s="50" t="s">
        <v>985</v>
      </c>
      <c r="D419" s="50" t="s">
        <v>10970</v>
      </c>
      <c r="E419" s="50" t="e">
        <f>VLOOKUP(B419,aa!B:F,5,0)</f>
        <v>#N/A</v>
      </c>
      <c r="F419" s="50" t="e">
        <f>VLOOKUP(B419,aa!B:J,9,0)</f>
        <v>#N/A</v>
      </c>
      <c r="G419" s="50" t="e">
        <f>VLOOKUP(B419,aa!B:L,11,0)</f>
        <v>#N/A</v>
      </c>
      <c r="H419" s="50" t="e">
        <f>VLOOKUP(B419,aa!B:O,14,0)</f>
        <v>#N/A</v>
      </c>
      <c r="I419" s="50" t="e">
        <f>VLOOKUP(B419,aa!B:R,17,0)</f>
        <v>#N/A</v>
      </c>
      <c r="K419" s="50" t="s">
        <v>97</v>
      </c>
      <c r="L419" s="50">
        <v>509768</v>
      </c>
      <c r="M419" s="50">
        <v>509768</v>
      </c>
      <c r="N419" s="50">
        <v>509768</v>
      </c>
      <c r="O419" s="50">
        <v>722</v>
      </c>
      <c r="P419" s="50" t="s">
        <v>5793</v>
      </c>
      <c r="Q419" s="50">
        <v>0</v>
      </c>
      <c r="R419" s="50">
        <v>0</v>
      </c>
      <c r="T419" s="50">
        <v>0</v>
      </c>
      <c r="U419" s="50">
        <v>0</v>
      </c>
      <c r="W419" s="50" t="s">
        <v>102</v>
      </c>
      <c r="X419" s="50" t="s">
        <v>103</v>
      </c>
      <c r="Y419" s="50" t="s">
        <v>104</v>
      </c>
      <c r="AA419" s="50" t="s">
        <v>12541</v>
      </c>
      <c r="AB419" s="50" t="s">
        <v>21046</v>
      </c>
      <c r="AC419" s="50" t="s">
        <v>12289</v>
      </c>
      <c r="AD419" s="50" t="s">
        <v>21046</v>
      </c>
      <c r="AE419" s="50" t="s">
        <v>109</v>
      </c>
      <c r="AF419" s="50" t="s">
        <v>102</v>
      </c>
      <c r="AG419" s="50" t="s">
        <v>109</v>
      </c>
      <c r="AH419" s="50" t="s">
        <v>102</v>
      </c>
      <c r="AI419" s="50" t="s">
        <v>21047</v>
      </c>
      <c r="AJ419" s="50" t="s">
        <v>10221</v>
      </c>
      <c r="AK419" s="50" t="s">
        <v>14080</v>
      </c>
      <c r="AL419" s="50" t="s">
        <v>21048</v>
      </c>
      <c r="AM419" s="50" t="s">
        <v>21049</v>
      </c>
      <c r="AN419" s="50" t="s">
        <v>102</v>
      </c>
      <c r="AO419" s="50" t="s">
        <v>5798</v>
      </c>
      <c r="AP419" s="50" t="s">
        <v>5798</v>
      </c>
      <c r="AU419" s="50" t="s">
        <v>318</v>
      </c>
      <c r="AV419" s="50" t="s">
        <v>118</v>
      </c>
      <c r="AW419" s="50" t="s">
        <v>102</v>
      </c>
      <c r="AX419" s="50" t="s">
        <v>119</v>
      </c>
      <c r="BB419" s="50" t="s">
        <v>120</v>
      </c>
      <c r="BC419" s="50" t="s">
        <v>2127</v>
      </c>
      <c r="BD419" s="50" t="s">
        <v>621</v>
      </c>
      <c r="BE419" s="50" t="s">
        <v>622</v>
      </c>
      <c r="BF419" s="50" t="s">
        <v>976</v>
      </c>
      <c r="BG419" s="50" t="s">
        <v>124</v>
      </c>
      <c r="BH419" s="50" t="s">
        <v>2483</v>
      </c>
      <c r="BI419" s="50" t="s">
        <v>11889</v>
      </c>
      <c r="BJ419" s="50" t="s">
        <v>127</v>
      </c>
      <c r="BK419" s="50" t="s">
        <v>21050</v>
      </c>
      <c r="BL419" s="50" t="s">
        <v>10977</v>
      </c>
      <c r="BM419" s="50" t="s">
        <v>21051</v>
      </c>
      <c r="BN419" s="50" t="s">
        <v>12644</v>
      </c>
      <c r="BO419" s="50" t="s">
        <v>981</v>
      </c>
      <c r="BP419" s="50" t="s">
        <v>132</v>
      </c>
      <c r="BQ419" s="50" t="s">
        <v>982</v>
      </c>
      <c r="BR419" s="50" t="s">
        <v>983</v>
      </c>
      <c r="BS419" s="50" t="s">
        <v>984</v>
      </c>
      <c r="BU419" s="50" t="s">
        <v>21052</v>
      </c>
      <c r="BV419" s="50" t="s">
        <v>21053</v>
      </c>
      <c r="BW419" s="50" t="s">
        <v>138</v>
      </c>
      <c r="BX419" s="50" t="s">
        <v>21054</v>
      </c>
      <c r="BY419" s="50" t="s">
        <v>21055</v>
      </c>
      <c r="BZ419" s="50" t="s">
        <v>10981</v>
      </c>
      <c r="CA419" s="50" t="s">
        <v>21053</v>
      </c>
      <c r="CB419" s="50" t="s">
        <v>21054</v>
      </c>
      <c r="CC419" s="50" t="s">
        <v>21055</v>
      </c>
      <c r="CD419" s="50" t="s">
        <v>21056</v>
      </c>
      <c r="CE419" s="50" t="s">
        <v>21057</v>
      </c>
      <c r="CF419" s="50" t="s">
        <v>21058</v>
      </c>
      <c r="CG419" s="50" t="s">
        <v>102</v>
      </c>
      <c r="CH419" s="50" t="s">
        <v>21059</v>
      </c>
      <c r="CJ419" s="50" t="s">
        <v>10984</v>
      </c>
      <c r="CL419" s="50" t="s">
        <v>2127</v>
      </c>
      <c r="CM419" s="50" t="s">
        <v>621</v>
      </c>
      <c r="CN419" s="50" t="s">
        <v>10984</v>
      </c>
      <c r="CO419" s="50" t="s">
        <v>10985</v>
      </c>
      <c r="CP419" s="50" t="s">
        <v>10983</v>
      </c>
      <c r="CQ419" s="50" t="s">
        <v>10983</v>
      </c>
      <c r="CR419" s="50" t="s">
        <v>26047</v>
      </c>
    </row>
    <row r="420" spans="1:96">
      <c r="A420" s="95" t="s">
        <v>149</v>
      </c>
      <c r="B420" s="50">
        <v>619657</v>
      </c>
      <c r="C420" s="50" t="s">
        <v>985</v>
      </c>
      <c r="D420" s="50" t="s">
        <v>11346</v>
      </c>
      <c r="E420" s="50" t="e">
        <f>VLOOKUP(B420,aa!B:F,5,0)</f>
        <v>#N/A</v>
      </c>
      <c r="F420" s="50" t="e">
        <f>VLOOKUP(B420,aa!B:J,9,0)</f>
        <v>#N/A</v>
      </c>
      <c r="G420" s="50" t="e">
        <f>VLOOKUP(B420,aa!B:L,11,0)</f>
        <v>#N/A</v>
      </c>
      <c r="H420" s="50" t="e">
        <f>VLOOKUP(B420,aa!B:O,14,0)</f>
        <v>#N/A</v>
      </c>
      <c r="I420" s="50" t="e">
        <f>VLOOKUP(B420,aa!B:R,17,0)</f>
        <v>#N/A</v>
      </c>
      <c r="K420" s="50" t="s">
        <v>97</v>
      </c>
      <c r="L420" s="50">
        <v>210403</v>
      </c>
      <c r="M420" s="50">
        <v>210403</v>
      </c>
      <c r="N420" s="50">
        <v>210403</v>
      </c>
      <c r="O420" s="50">
        <v>298</v>
      </c>
      <c r="P420" s="50" t="s">
        <v>5793</v>
      </c>
      <c r="Q420" s="50">
        <v>0</v>
      </c>
      <c r="R420" s="50">
        <v>0</v>
      </c>
      <c r="T420" s="50">
        <v>0</v>
      </c>
      <c r="U420" s="50">
        <v>0</v>
      </c>
      <c r="W420" s="50" t="s">
        <v>102</v>
      </c>
      <c r="X420" s="50" t="s">
        <v>103</v>
      </c>
      <c r="Y420" s="50" t="s">
        <v>104</v>
      </c>
      <c r="AA420" s="50" t="s">
        <v>12541</v>
      </c>
      <c r="AB420" s="50" t="s">
        <v>21258</v>
      </c>
      <c r="AC420" s="50" t="s">
        <v>12289</v>
      </c>
      <c r="AD420" s="50" t="s">
        <v>21258</v>
      </c>
      <c r="AE420" s="50" t="s">
        <v>109</v>
      </c>
      <c r="AF420" s="50" t="s">
        <v>102</v>
      </c>
      <c r="AG420" s="50" t="s">
        <v>109</v>
      </c>
      <c r="AH420" s="50" t="s">
        <v>102</v>
      </c>
      <c r="AI420" s="50" t="s">
        <v>21259</v>
      </c>
      <c r="AJ420" s="50" t="s">
        <v>13064</v>
      </c>
      <c r="AK420" s="50" t="s">
        <v>21260</v>
      </c>
      <c r="AL420" s="50" t="s">
        <v>21261</v>
      </c>
      <c r="AM420" s="50" t="s">
        <v>21262</v>
      </c>
      <c r="AN420" s="50" t="s">
        <v>104</v>
      </c>
      <c r="AO420" s="50" t="s">
        <v>5798</v>
      </c>
      <c r="AP420" s="50" t="s">
        <v>5798</v>
      </c>
      <c r="AU420" s="50" t="s">
        <v>318</v>
      </c>
      <c r="AV420" s="50" t="s">
        <v>118</v>
      </c>
      <c r="AW420" s="50" t="s">
        <v>102</v>
      </c>
      <c r="AX420" s="50" t="s">
        <v>119</v>
      </c>
      <c r="BB420" s="50" t="s">
        <v>120</v>
      </c>
      <c r="BC420" s="50" t="s">
        <v>2127</v>
      </c>
      <c r="BD420" s="50" t="s">
        <v>621</v>
      </c>
      <c r="BE420" s="50" t="s">
        <v>622</v>
      </c>
      <c r="BF420" s="50" t="s">
        <v>976</v>
      </c>
      <c r="BG420" s="50" t="s">
        <v>124</v>
      </c>
      <c r="BH420" s="50" t="s">
        <v>2483</v>
      </c>
      <c r="BI420" s="50" t="s">
        <v>11889</v>
      </c>
      <c r="BJ420" s="50" t="s">
        <v>127</v>
      </c>
      <c r="BK420" s="50" t="s">
        <v>21263</v>
      </c>
      <c r="BL420" s="50" t="s">
        <v>11353</v>
      </c>
      <c r="BM420" s="50" t="s">
        <v>21264</v>
      </c>
      <c r="BN420" s="50" t="s">
        <v>12644</v>
      </c>
      <c r="BO420" s="50" t="s">
        <v>981</v>
      </c>
      <c r="BP420" s="50" t="s">
        <v>132</v>
      </c>
      <c r="BQ420" s="50" t="s">
        <v>982</v>
      </c>
      <c r="BR420" s="50" t="s">
        <v>983</v>
      </c>
      <c r="BS420" s="50" t="s">
        <v>984</v>
      </c>
      <c r="BU420" s="50" t="s">
        <v>21265</v>
      </c>
      <c r="BV420" s="50" t="s">
        <v>11356</v>
      </c>
      <c r="BW420" s="50" t="s">
        <v>138</v>
      </c>
      <c r="BX420" s="50" t="s">
        <v>11357</v>
      </c>
      <c r="BY420" s="50" t="s">
        <v>11358</v>
      </c>
      <c r="BZ420" s="50" t="s">
        <v>11357</v>
      </c>
      <c r="CA420" s="50" t="s">
        <v>11356</v>
      </c>
      <c r="CB420" s="50" t="s">
        <v>11357</v>
      </c>
      <c r="CC420" s="50" t="s">
        <v>11358</v>
      </c>
      <c r="CD420" s="50" t="s">
        <v>21266</v>
      </c>
      <c r="CE420" s="50" t="s">
        <v>21267</v>
      </c>
      <c r="CF420" s="50" t="s">
        <v>21268</v>
      </c>
      <c r="CG420" s="50" t="s">
        <v>102</v>
      </c>
      <c r="CH420" s="50" t="s">
        <v>21269</v>
      </c>
      <c r="CJ420" s="50" t="s">
        <v>11360</v>
      </c>
      <c r="CL420" s="50" t="s">
        <v>2127</v>
      </c>
      <c r="CM420" s="50" t="s">
        <v>621</v>
      </c>
      <c r="CN420" s="50" t="s">
        <v>11360</v>
      </c>
      <c r="CO420" s="50" t="s">
        <v>11361</v>
      </c>
      <c r="CP420" s="50" t="s">
        <v>11362</v>
      </c>
      <c r="CQ420" s="50" t="s">
        <v>11359</v>
      </c>
      <c r="CR420" s="50" t="s">
        <v>26047</v>
      </c>
    </row>
    <row r="421" spans="1:96">
      <c r="A421" s="95" t="s">
        <v>149</v>
      </c>
      <c r="B421" s="50">
        <v>5017598</v>
      </c>
      <c r="C421" s="50" t="s">
        <v>418</v>
      </c>
      <c r="D421" s="50" t="s">
        <v>19090</v>
      </c>
      <c r="E421" s="50" t="e">
        <f>VLOOKUP(B421,aa!B:F,5,0)</f>
        <v>#N/A</v>
      </c>
      <c r="F421" s="50" t="e">
        <f>VLOOKUP(B421,aa!B:J,9,0)</f>
        <v>#N/A</v>
      </c>
      <c r="G421" s="50" t="e">
        <f>VLOOKUP(B421,aa!B:L,11,0)</f>
        <v>#N/A</v>
      </c>
      <c r="H421" s="50" t="e">
        <f>VLOOKUP(B421,aa!B:O,14,0)</f>
        <v>#N/A</v>
      </c>
      <c r="I421" s="50" t="e">
        <f>VLOOKUP(B421,aa!B:R,17,0)</f>
        <v>#N/A</v>
      </c>
      <c r="K421" s="50" t="s">
        <v>848</v>
      </c>
      <c r="L421" s="50">
        <v>191060</v>
      </c>
      <c r="M421" s="50">
        <v>225451</v>
      </c>
      <c r="N421" s="50">
        <v>0</v>
      </c>
      <c r="O421" s="50">
        <v>0</v>
      </c>
      <c r="Q421" s="50">
        <v>0</v>
      </c>
      <c r="R421" s="50">
        <v>0</v>
      </c>
      <c r="T421" s="50">
        <v>191060</v>
      </c>
      <c r="U421" s="50">
        <v>196</v>
      </c>
      <c r="V421" s="50" t="s">
        <v>15864</v>
      </c>
      <c r="W421" s="50" t="s">
        <v>102</v>
      </c>
      <c r="X421" s="50" t="s">
        <v>103</v>
      </c>
      <c r="Y421" s="50" t="s">
        <v>104</v>
      </c>
      <c r="AA421" s="50" t="s">
        <v>1408</v>
      </c>
      <c r="AB421" s="50" t="s">
        <v>19091</v>
      </c>
      <c r="AC421" s="50" t="s">
        <v>14024</v>
      </c>
      <c r="AD421" s="50" t="s">
        <v>19091</v>
      </c>
      <c r="AE421" s="50" t="s">
        <v>109</v>
      </c>
      <c r="AF421" s="50" t="s">
        <v>102</v>
      </c>
      <c r="AG421" s="50" t="s">
        <v>109</v>
      </c>
      <c r="AH421" s="50" t="s">
        <v>102</v>
      </c>
      <c r="AI421" s="50" t="s">
        <v>102</v>
      </c>
      <c r="AJ421" s="50" t="s">
        <v>9840</v>
      </c>
      <c r="AK421" s="50" t="s">
        <v>9840</v>
      </c>
      <c r="AL421" s="50" t="s">
        <v>19092</v>
      </c>
      <c r="AM421" s="50" t="s">
        <v>19093</v>
      </c>
      <c r="AN421" s="50" t="s">
        <v>19094</v>
      </c>
      <c r="AO421" s="50" t="s">
        <v>15867</v>
      </c>
      <c r="AP421" s="50" t="s">
        <v>15867</v>
      </c>
      <c r="AU421" s="50" t="s">
        <v>102</v>
      </c>
      <c r="AW421" s="50" t="s">
        <v>102</v>
      </c>
      <c r="AX421" s="50" t="s">
        <v>119</v>
      </c>
      <c r="BA421" s="50" t="s">
        <v>250</v>
      </c>
      <c r="BB421" s="50" t="s">
        <v>120</v>
      </c>
      <c r="BC421" s="50" t="s">
        <v>3214</v>
      </c>
      <c r="BD421" s="50" t="s">
        <v>410</v>
      </c>
      <c r="BE421" s="50" t="s">
        <v>212</v>
      </c>
      <c r="BF421" s="50" t="s">
        <v>410</v>
      </c>
      <c r="BG421" s="50" t="s">
        <v>124</v>
      </c>
      <c r="BH421" s="50" t="s">
        <v>11976</v>
      </c>
      <c r="BI421" s="50" t="s">
        <v>11889</v>
      </c>
      <c r="BJ421" s="50" t="s">
        <v>127</v>
      </c>
      <c r="BK421" s="50" t="s">
        <v>19095</v>
      </c>
      <c r="BL421" s="50" t="s">
        <v>10068</v>
      </c>
      <c r="BM421" s="50" t="s">
        <v>19096</v>
      </c>
      <c r="BN421" s="50" t="s">
        <v>12541</v>
      </c>
      <c r="BO421" s="50" t="s">
        <v>896</v>
      </c>
      <c r="BP421" s="50" t="s">
        <v>505</v>
      </c>
      <c r="BQ421" s="50" t="s">
        <v>897</v>
      </c>
      <c r="BR421" s="50" t="s">
        <v>898</v>
      </c>
      <c r="BS421" s="50" t="s">
        <v>899</v>
      </c>
      <c r="BT421" s="50" t="s">
        <v>900</v>
      </c>
      <c r="BU421" s="50" t="s">
        <v>19097</v>
      </c>
      <c r="BV421" s="50" t="s">
        <v>19098</v>
      </c>
      <c r="BW421" s="50" t="s">
        <v>138</v>
      </c>
      <c r="BX421" s="50" t="s">
        <v>3221</v>
      </c>
      <c r="BY421" s="50" t="s">
        <v>3222</v>
      </c>
      <c r="BZ421" s="50" t="s">
        <v>3221</v>
      </c>
      <c r="CA421" s="50" t="s">
        <v>19098</v>
      </c>
      <c r="CB421" s="50" t="s">
        <v>3221</v>
      </c>
      <c r="CC421" s="50" t="s">
        <v>3222</v>
      </c>
      <c r="CD421" s="50" t="s">
        <v>19098</v>
      </c>
      <c r="CE421" s="50" t="s">
        <v>3221</v>
      </c>
      <c r="CF421" s="50" t="s">
        <v>3222</v>
      </c>
      <c r="CG421" s="50" t="s">
        <v>2270</v>
      </c>
      <c r="CH421" s="50" t="s">
        <v>10075</v>
      </c>
      <c r="CJ421" s="50" t="s">
        <v>3225</v>
      </c>
      <c r="CK421" s="50" t="s">
        <v>10075</v>
      </c>
      <c r="CL421" s="50" t="s">
        <v>3214</v>
      </c>
      <c r="CM421" s="50" t="s">
        <v>10076</v>
      </c>
      <c r="CN421" s="50" t="s">
        <v>3225</v>
      </c>
      <c r="CP421" s="50" t="s">
        <v>10075</v>
      </c>
      <c r="CQ421" s="50" t="s">
        <v>10075</v>
      </c>
      <c r="CR421" s="50" t="s">
        <v>26044</v>
      </c>
    </row>
    <row r="422" spans="1:96">
      <c r="A422" s="95" t="s">
        <v>26356</v>
      </c>
      <c r="B422" s="50">
        <v>5004172</v>
      </c>
      <c r="C422" s="50" t="s">
        <v>293</v>
      </c>
      <c r="D422" s="50" t="s">
        <v>9230</v>
      </c>
      <c r="E422" s="50" t="e">
        <f>VLOOKUP(B422,aa!B:F,5,0)</f>
        <v>#N/A</v>
      </c>
      <c r="F422" s="50" t="e">
        <f>VLOOKUP(B422,aa!B:J,9,0)</f>
        <v>#N/A</v>
      </c>
      <c r="G422" s="50" t="e">
        <f>VLOOKUP(B422,aa!B:L,11,0)</f>
        <v>#N/A</v>
      </c>
      <c r="H422" s="50" t="e">
        <f>VLOOKUP(B422,aa!B:O,14,0)</f>
        <v>#N/A</v>
      </c>
      <c r="I422" s="50" t="e">
        <f>VLOOKUP(B422,aa!B:R,17,0)</f>
        <v>#N/A</v>
      </c>
      <c r="K422" s="50" t="s">
        <v>2163</v>
      </c>
      <c r="L422" s="50">
        <v>0</v>
      </c>
      <c r="M422" s="50">
        <v>0</v>
      </c>
      <c r="N422" s="50">
        <v>0</v>
      </c>
      <c r="O422" s="50">
        <v>110</v>
      </c>
      <c r="P422" s="50" t="s">
        <v>102</v>
      </c>
      <c r="Q422" s="50">
        <v>0</v>
      </c>
      <c r="R422" s="50">
        <v>113</v>
      </c>
      <c r="S422" s="50" t="s">
        <v>102</v>
      </c>
      <c r="T422" s="50">
        <v>0</v>
      </c>
      <c r="U422" s="50">
        <v>112</v>
      </c>
      <c r="V422" s="50" t="s">
        <v>102</v>
      </c>
      <c r="W422" s="50" t="s">
        <v>102</v>
      </c>
      <c r="X422" s="50" t="s">
        <v>275</v>
      </c>
      <c r="Z422" s="50" t="s">
        <v>12675</v>
      </c>
      <c r="AA422" s="50" t="s">
        <v>109</v>
      </c>
      <c r="AB422" s="50" t="s">
        <v>102</v>
      </c>
      <c r="AC422" s="50" t="s">
        <v>109</v>
      </c>
      <c r="AD422" s="50" t="s">
        <v>102</v>
      </c>
      <c r="AE422" s="50" t="s">
        <v>109</v>
      </c>
      <c r="AF422" s="50" t="s">
        <v>102</v>
      </c>
      <c r="AG422" s="50" t="s">
        <v>109</v>
      </c>
      <c r="AH422" s="50" t="s">
        <v>102</v>
      </c>
      <c r="AI422" s="50" t="s">
        <v>102</v>
      </c>
      <c r="AL422" s="50" t="s">
        <v>102</v>
      </c>
      <c r="AM422" s="50" t="s">
        <v>102</v>
      </c>
      <c r="AN422" s="50" t="s">
        <v>102</v>
      </c>
      <c r="AO422" s="50" t="s">
        <v>115</v>
      </c>
      <c r="AP422" s="50" t="s">
        <v>115</v>
      </c>
      <c r="AU422" s="50" t="s">
        <v>18576</v>
      </c>
      <c r="AV422" s="50" t="s">
        <v>250</v>
      </c>
      <c r="AW422" s="50" t="s">
        <v>1103</v>
      </c>
      <c r="AX422" s="50" t="s">
        <v>119</v>
      </c>
      <c r="AZ422" s="50" t="s">
        <v>250</v>
      </c>
      <c r="BA422" s="50" t="s">
        <v>250</v>
      </c>
      <c r="BB422" s="50" t="s">
        <v>209</v>
      </c>
      <c r="BC422" s="50" t="s">
        <v>7718</v>
      </c>
      <c r="BD422" s="50" t="s">
        <v>211</v>
      </c>
      <c r="BE422" s="50" t="s">
        <v>212</v>
      </c>
      <c r="BF422" s="50" t="s">
        <v>213</v>
      </c>
      <c r="BG422" s="50" t="s">
        <v>124</v>
      </c>
      <c r="BH422" s="50" t="s">
        <v>11959</v>
      </c>
      <c r="BI422" s="50" t="s">
        <v>11960</v>
      </c>
      <c r="BJ422" s="50" t="s">
        <v>127</v>
      </c>
      <c r="BK422" s="50" t="s">
        <v>18577</v>
      </c>
      <c r="BL422" s="50" t="s">
        <v>9233</v>
      </c>
      <c r="BM422" s="50" t="s">
        <v>18578</v>
      </c>
      <c r="BN422" s="50" t="s">
        <v>18575</v>
      </c>
      <c r="BO422" s="50" t="s">
        <v>1880</v>
      </c>
      <c r="BP422" s="50" t="s">
        <v>505</v>
      </c>
      <c r="BQ422" s="50" t="s">
        <v>1882</v>
      </c>
      <c r="BR422" s="50" t="s">
        <v>1883</v>
      </c>
      <c r="BS422" s="50" t="s">
        <v>483</v>
      </c>
      <c r="BU422" s="50" t="s">
        <v>18579</v>
      </c>
      <c r="BV422" s="50" t="s">
        <v>15748</v>
      </c>
      <c r="BW422" s="50" t="s">
        <v>598</v>
      </c>
      <c r="BX422" s="50" t="s">
        <v>225</v>
      </c>
      <c r="BY422" s="50" t="s">
        <v>18580</v>
      </c>
      <c r="BZ422" s="50" t="s">
        <v>9236</v>
      </c>
      <c r="CA422" s="50" t="s">
        <v>18581</v>
      </c>
      <c r="CB422" s="50" t="s">
        <v>18582</v>
      </c>
      <c r="CC422" s="50" t="s">
        <v>18583</v>
      </c>
      <c r="CD422" s="50" t="s">
        <v>18584</v>
      </c>
      <c r="CE422" s="50" t="s">
        <v>18585</v>
      </c>
      <c r="CF422" s="50" t="s">
        <v>18586</v>
      </c>
      <c r="CG422" s="50" t="s">
        <v>102</v>
      </c>
      <c r="CH422" s="50" t="s">
        <v>18587</v>
      </c>
      <c r="CJ422" s="50" t="s">
        <v>5844</v>
      </c>
      <c r="CL422" s="50" t="s">
        <v>7718</v>
      </c>
      <c r="CM422" s="50" t="s">
        <v>211</v>
      </c>
      <c r="CN422" s="50" t="s">
        <v>5844</v>
      </c>
      <c r="CP422" s="50" t="s">
        <v>9237</v>
      </c>
      <c r="CQ422" s="50" t="s">
        <v>9237</v>
      </c>
      <c r="CR422" s="50" t="s">
        <v>26048</v>
      </c>
    </row>
    <row r="423" spans="1:96">
      <c r="A423" s="95" t="s">
        <v>149</v>
      </c>
      <c r="B423" s="50">
        <v>5004125</v>
      </c>
      <c r="C423" s="50" t="s">
        <v>11947</v>
      </c>
      <c r="D423" s="50" t="s">
        <v>9209</v>
      </c>
      <c r="E423" s="50" t="e">
        <f>VLOOKUP(B423,aa!B:F,5,0)</f>
        <v>#N/A</v>
      </c>
      <c r="F423" s="50" t="e">
        <f>VLOOKUP(B423,aa!B:J,9,0)</f>
        <v>#N/A</v>
      </c>
      <c r="G423" s="50" t="e">
        <f>VLOOKUP(B423,aa!B:L,11,0)</f>
        <v>#N/A</v>
      </c>
      <c r="H423" s="50" t="e">
        <f>VLOOKUP(B423,aa!B:O,14,0)</f>
        <v>#N/A</v>
      </c>
      <c r="I423" s="50" t="e">
        <f>VLOOKUP(B423,aa!B:R,17,0)</f>
        <v>#N/A</v>
      </c>
      <c r="K423" s="50" t="s">
        <v>97</v>
      </c>
      <c r="L423" s="50">
        <v>381617</v>
      </c>
      <c r="M423" s="50">
        <v>381617</v>
      </c>
      <c r="N423" s="50">
        <v>381617</v>
      </c>
      <c r="O423" s="50">
        <v>481</v>
      </c>
      <c r="P423" s="50" t="s">
        <v>18563</v>
      </c>
      <c r="Q423" s="50">
        <v>0</v>
      </c>
      <c r="R423" s="50">
        <v>0</v>
      </c>
      <c r="T423" s="50">
        <v>0</v>
      </c>
      <c r="U423" s="50">
        <v>0</v>
      </c>
      <c r="W423" s="50" t="s">
        <v>102</v>
      </c>
      <c r="X423" s="50" t="s">
        <v>103</v>
      </c>
      <c r="Y423" s="50" t="s">
        <v>104</v>
      </c>
      <c r="AA423" s="50" t="s">
        <v>1547</v>
      </c>
      <c r="AB423" s="50" t="s">
        <v>18564</v>
      </c>
      <c r="AC423" s="50" t="s">
        <v>14024</v>
      </c>
      <c r="AD423" s="50" t="s">
        <v>18564</v>
      </c>
      <c r="AE423" s="50" t="s">
        <v>109</v>
      </c>
      <c r="AF423" s="50" t="s">
        <v>102</v>
      </c>
      <c r="AG423" s="50" t="s">
        <v>109</v>
      </c>
      <c r="AH423" s="50" t="s">
        <v>102</v>
      </c>
      <c r="AI423" s="50" t="s">
        <v>18565</v>
      </c>
      <c r="AJ423" s="50" t="s">
        <v>12467</v>
      </c>
      <c r="AK423" s="50" t="s">
        <v>14026</v>
      </c>
      <c r="AL423" s="50" t="s">
        <v>18566</v>
      </c>
      <c r="AM423" s="50" t="s">
        <v>18567</v>
      </c>
      <c r="AN423" s="50" t="s">
        <v>398</v>
      </c>
      <c r="AO423" s="50" t="s">
        <v>16387</v>
      </c>
      <c r="AP423" s="50" t="s">
        <v>16387</v>
      </c>
      <c r="AU423" s="50" t="s">
        <v>117</v>
      </c>
      <c r="AV423" s="50" t="s">
        <v>118</v>
      </c>
      <c r="AW423" s="50" t="s">
        <v>102</v>
      </c>
      <c r="AX423" s="50" t="s">
        <v>119</v>
      </c>
      <c r="BB423" s="50" t="s">
        <v>120</v>
      </c>
      <c r="BC423" s="50" t="s">
        <v>920</v>
      </c>
      <c r="BD423" s="50" t="s">
        <v>211</v>
      </c>
      <c r="BE423" s="50" t="s">
        <v>212</v>
      </c>
      <c r="BF423" s="50" t="s">
        <v>213</v>
      </c>
      <c r="BG423" s="50" t="s">
        <v>124</v>
      </c>
      <c r="BH423" s="50" t="s">
        <v>11959</v>
      </c>
      <c r="BI423" s="50" t="s">
        <v>11960</v>
      </c>
      <c r="BJ423" s="50" t="s">
        <v>127</v>
      </c>
      <c r="BK423" s="50" t="s">
        <v>18568</v>
      </c>
      <c r="BL423" s="50" t="s">
        <v>9216</v>
      </c>
      <c r="BM423" s="50" t="s">
        <v>18569</v>
      </c>
      <c r="BN423" s="50" t="s">
        <v>9840</v>
      </c>
      <c r="BO423" s="50" t="s">
        <v>1880</v>
      </c>
      <c r="BP423" s="50" t="s">
        <v>180</v>
      </c>
      <c r="BQ423" s="50" t="s">
        <v>1882</v>
      </c>
      <c r="BR423" s="50" t="s">
        <v>1883</v>
      </c>
      <c r="BS423" s="50" t="s">
        <v>2151</v>
      </c>
      <c r="BU423" s="50" t="s">
        <v>18570</v>
      </c>
      <c r="BV423" s="50" t="s">
        <v>3585</v>
      </c>
      <c r="BW423" s="50" t="s">
        <v>598</v>
      </c>
      <c r="BX423" s="50" t="s">
        <v>225</v>
      </c>
      <c r="BY423" s="50" t="s">
        <v>226</v>
      </c>
      <c r="BZ423" s="50" t="s">
        <v>9222</v>
      </c>
      <c r="CA423" s="50" t="s">
        <v>18571</v>
      </c>
      <c r="CB423" s="50" t="s">
        <v>18572</v>
      </c>
      <c r="CC423" s="50" t="s">
        <v>226</v>
      </c>
      <c r="CD423" s="50" t="s">
        <v>16567</v>
      </c>
      <c r="CE423" s="50" t="s">
        <v>18573</v>
      </c>
      <c r="CF423" s="50" t="s">
        <v>18574</v>
      </c>
      <c r="CG423" s="50" t="s">
        <v>102</v>
      </c>
      <c r="CH423" s="50" t="s">
        <v>9227</v>
      </c>
      <c r="CJ423" s="50" t="s">
        <v>9228</v>
      </c>
      <c r="CL423" s="50" t="s">
        <v>920</v>
      </c>
      <c r="CM423" s="50" t="s">
        <v>211</v>
      </c>
      <c r="CN423" s="50" t="s">
        <v>9228</v>
      </c>
      <c r="CO423" s="50" t="s">
        <v>9229</v>
      </c>
      <c r="CP423" s="50" t="s">
        <v>9227</v>
      </c>
      <c r="CQ423" s="50" t="s">
        <v>9227</v>
      </c>
      <c r="CR423" s="50" t="s">
        <v>26040</v>
      </c>
    </row>
    <row r="424" spans="1:96">
      <c r="A424" s="95" t="s">
        <v>149</v>
      </c>
      <c r="B424" s="50">
        <v>3464699</v>
      </c>
      <c r="C424" s="50" t="s">
        <v>12507</v>
      </c>
      <c r="D424" s="50" t="s">
        <v>6171</v>
      </c>
      <c r="E424" s="50" t="str">
        <f>VLOOKUP(B424,aa!B:F,5,0)</f>
        <v>Ei CARES</v>
      </c>
      <c r="F424" s="50">
        <f>VLOOKUP(B424,aa!B:J,9,0)</f>
        <v>420420</v>
      </c>
      <c r="G424" s="50">
        <f>VLOOKUP(B424,aa!B:L,11,0)</f>
        <v>0</v>
      </c>
      <c r="H424" s="50">
        <f>VLOOKUP(B424,aa!B:O,14,0)</f>
        <v>420420</v>
      </c>
      <c r="I424" s="50">
        <f>VLOOKUP(B424,aa!B:R,17,0)</f>
        <v>0</v>
      </c>
      <c r="K424" s="50" t="s">
        <v>152</v>
      </c>
      <c r="L424" s="50">
        <v>195990</v>
      </c>
      <c r="M424" s="50">
        <v>195990</v>
      </c>
      <c r="N424" s="50">
        <v>0</v>
      </c>
      <c r="O424" s="50">
        <v>0</v>
      </c>
      <c r="Q424" s="50">
        <v>195990</v>
      </c>
      <c r="R424" s="50">
        <v>98</v>
      </c>
      <c r="S424" s="50" t="s">
        <v>7192</v>
      </c>
      <c r="T424" s="50">
        <v>0</v>
      </c>
      <c r="U424" s="50">
        <v>0</v>
      </c>
      <c r="W424" s="50" t="s">
        <v>102</v>
      </c>
      <c r="X424" s="50" t="s">
        <v>103</v>
      </c>
      <c r="Y424" s="50" t="s">
        <v>104</v>
      </c>
      <c r="AA424" s="50" t="s">
        <v>12040</v>
      </c>
      <c r="AB424" s="50" t="s">
        <v>16089</v>
      </c>
      <c r="AC424" s="50" t="s">
        <v>13395</v>
      </c>
      <c r="AD424" s="50" t="s">
        <v>16089</v>
      </c>
      <c r="AE424" s="50" t="s">
        <v>109</v>
      </c>
      <c r="AF424" s="50" t="s">
        <v>102</v>
      </c>
      <c r="AG424" s="50" t="s">
        <v>109</v>
      </c>
      <c r="AH424" s="50" t="s">
        <v>102</v>
      </c>
      <c r="AI424" s="50" t="s">
        <v>102</v>
      </c>
      <c r="AJ424" s="50" t="s">
        <v>15873</v>
      </c>
      <c r="AK424" s="50" t="s">
        <v>15873</v>
      </c>
      <c r="AL424" s="50" t="s">
        <v>16090</v>
      </c>
      <c r="AM424" s="50" t="s">
        <v>16089</v>
      </c>
      <c r="AN424" s="50" t="s">
        <v>16089</v>
      </c>
      <c r="AO424" s="50" t="s">
        <v>16091</v>
      </c>
      <c r="AP424" s="50" t="s">
        <v>16092</v>
      </c>
      <c r="AT424" s="50" t="s">
        <v>169</v>
      </c>
      <c r="AU424" s="50" t="s">
        <v>102</v>
      </c>
      <c r="AW424" s="50" t="s">
        <v>155</v>
      </c>
      <c r="AX424" s="50" t="s">
        <v>447</v>
      </c>
      <c r="AY424" s="50" t="s">
        <v>170</v>
      </c>
      <c r="AZ424" s="50" t="s">
        <v>118</v>
      </c>
      <c r="BB424" s="50" t="s">
        <v>120</v>
      </c>
      <c r="BC424" s="50" t="s">
        <v>6176</v>
      </c>
      <c r="BD424" s="50" t="s">
        <v>556</v>
      </c>
      <c r="BE424" s="50" t="s">
        <v>122</v>
      </c>
      <c r="BF424" s="50" t="s">
        <v>557</v>
      </c>
      <c r="BG424" s="50" t="s">
        <v>124</v>
      </c>
      <c r="BH424" s="50" t="s">
        <v>11976</v>
      </c>
      <c r="BI424" s="50" t="s">
        <v>11889</v>
      </c>
      <c r="BJ424" s="50" t="s">
        <v>127</v>
      </c>
      <c r="BK424" s="50" t="s">
        <v>16093</v>
      </c>
      <c r="BL424" s="50" t="s">
        <v>6179</v>
      </c>
      <c r="BM424" s="50" t="s">
        <v>16094</v>
      </c>
      <c r="BN424" s="50" t="s">
        <v>14292</v>
      </c>
      <c r="BO424" s="50" t="s">
        <v>12743</v>
      </c>
      <c r="BP424" s="50" t="s">
        <v>350</v>
      </c>
      <c r="BQ424" s="50" t="s">
        <v>12744</v>
      </c>
      <c r="BR424" s="50" t="s">
        <v>12745</v>
      </c>
      <c r="BS424" s="50" t="s">
        <v>1074</v>
      </c>
      <c r="BU424" s="50" t="s">
        <v>16095</v>
      </c>
      <c r="BV424" s="50" t="s">
        <v>16096</v>
      </c>
      <c r="BW424" s="50" t="s">
        <v>138</v>
      </c>
      <c r="BX424" s="50" t="s">
        <v>6183</v>
      </c>
      <c r="BY424" s="50" t="s">
        <v>6184</v>
      </c>
      <c r="BZ424" s="50" t="s">
        <v>6183</v>
      </c>
      <c r="CA424" s="50" t="s">
        <v>16096</v>
      </c>
      <c r="CB424" s="50" t="s">
        <v>6183</v>
      </c>
      <c r="CC424" s="50" t="s">
        <v>6184</v>
      </c>
      <c r="CD424" s="50" t="s">
        <v>16096</v>
      </c>
      <c r="CE424" s="50" t="s">
        <v>6183</v>
      </c>
      <c r="CF424" s="50" t="s">
        <v>6184</v>
      </c>
      <c r="CG424" s="50" t="s">
        <v>6185</v>
      </c>
      <c r="CH424" s="50" t="s">
        <v>16097</v>
      </c>
      <c r="CJ424" s="50" t="s">
        <v>6187</v>
      </c>
      <c r="CK424" s="50" t="s">
        <v>16098</v>
      </c>
      <c r="CL424" s="50" t="s">
        <v>6176</v>
      </c>
      <c r="CM424" s="50" t="s">
        <v>556</v>
      </c>
      <c r="CN424" s="50" t="s">
        <v>6187</v>
      </c>
      <c r="CP424" s="50" t="s">
        <v>6186</v>
      </c>
      <c r="CQ424" s="50" t="s">
        <v>6186</v>
      </c>
    </row>
    <row r="425" spans="1:96">
      <c r="A425" s="95" t="s">
        <v>149</v>
      </c>
      <c r="B425" s="50">
        <v>3507484</v>
      </c>
      <c r="C425" s="50" t="s">
        <v>12121</v>
      </c>
      <c r="D425" s="50" t="s">
        <v>6439</v>
      </c>
      <c r="E425" s="50" t="e">
        <f>VLOOKUP(B425,aa!B:F,5,0)</f>
        <v>#N/A</v>
      </c>
      <c r="F425" s="50" t="e">
        <f>VLOOKUP(B425,aa!B:J,9,0)</f>
        <v>#N/A</v>
      </c>
      <c r="G425" s="50" t="e">
        <f>VLOOKUP(B425,aa!B:L,11,0)</f>
        <v>#N/A</v>
      </c>
      <c r="H425" s="50" t="e">
        <f>VLOOKUP(B425,aa!B:O,14,0)</f>
        <v>#N/A</v>
      </c>
      <c r="I425" s="50" t="e">
        <f>VLOOKUP(B425,aa!B:R,17,0)</f>
        <v>#N/A</v>
      </c>
      <c r="K425" s="50" t="s">
        <v>152</v>
      </c>
      <c r="L425" s="50">
        <v>340545</v>
      </c>
      <c r="M425" s="50">
        <v>340545</v>
      </c>
      <c r="N425" s="50">
        <v>0</v>
      </c>
      <c r="O425" s="50">
        <v>0</v>
      </c>
      <c r="Q425" s="50">
        <v>340545</v>
      </c>
      <c r="R425" s="50">
        <v>227</v>
      </c>
      <c r="S425" s="50" t="s">
        <v>6441</v>
      </c>
      <c r="T425" s="50">
        <v>0</v>
      </c>
      <c r="U425" s="50">
        <v>0</v>
      </c>
      <c r="W425" s="50" t="s">
        <v>102</v>
      </c>
      <c r="X425" s="50" t="s">
        <v>103</v>
      </c>
      <c r="Y425" s="50" t="s">
        <v>398</v>
      </c>
      <c r="AA425" s="50" t="s">
        <v>11976</v>
      </c>
      <c r="AB425" s="50" t="s">
        <v>16295</v>
      </c>
      <c r="AC425" s="50" t="s">
        <v>12427</v>
      </c>
      <c r="AD425" s="50" t="s">
        <v>16296</v>
      </c>
      <c r="AE425" s="50" t="s">
        <v>12713</v>
      </c>
      <c r="AF425" s="50" t="s">
        <v>16295</v>
      </c>
      <c r="AG425" s="50" t="s">
        <v>109</v>
      </c>
      <c r="AH425" s="50" t="s">
        <v>102</v>
      </c>
      <c r="AI425" s="50" t="s">
        <v>102</v>
      </c>
      <c r="AJ425" s="50" t="s">
        <v>13174</v>
      </c>
      <c r="AK425" s="50" t="s">
        <v>12063</v>
      </c>
      <c r="AL425" s="50" t="s">
        <v>16297</v>
      </c>
      <c r="AM425" s="50" t="s">
        <v>16298</v>
      </c>
      <c r="AN425" s="50" t="s">
        <v>16299</v>
      </c>
      <c r="AO425" s="50" t="s">
        <v>6447</v>
      </c>
      <c r="AP425" s="50" t="s">
        <v>6447</v>
      </c>
      <c r="AU425" s="50" t="s">
        <v>102</v>
      </c>
      <c r="AW425" s="50" t="s">
        <v>155</v>
      </c>
      <c r="AX425" s="50" t="s">
        <v>119</v>
      </c>
      <c r="AY425" s="50" t="s">
        <v>170</v>
      </c>
      <c r="AZ425" s="50" t="s">
        <v>118</v>
      </c>
      <c r="BB425" s="50" t="s">
        <v>209</v>
      </c>
      <c r="BC425" s="50" t="s">
        <v>6448</v>
      </c>
      <c r="BD425" s="50" t="s">
        <v>556</v>
      </c>
      <c r="BE425" s="50" t="s">
        <v>122</v>
      </c>
      <c r="BF425" s="50" t="s">
        <v>557</v>
      </c>
      <c r="BG425" s="50" t="s">
        <v>124</v>
      </c>
      <c r="BH425" s="50" t="s">
        <v>11976</v>
      </c>
      <c r="BI425" s="50" t="s">
        <v>11889</v>
      </c>
      <c r="BJ425" s="50" t="s">
        <v>127</v>
      </c>
      <c r="BK425" s="50" t="s">
        <v>16300</v>
      </c>
      <c r="BL425" s="50" t="s">
        <v>6450</v>
      </c>
      <c r="BM425" s="50" t="s">
        <v>16301</v>
      </c>
      <c r="BN425" s="50" t="s">
        <v>14292</v>
      </c>
      <c r="BO425" s="50" t="s">
        <v>563</v>
      </c>
      <c r="BP425" s="50" t="s">
        <v>350</v>
      </c>
      <c r="BQ425" s="50" t="s">
        <v>564</v>
      </c>
      <c r="BR425" s="50" t="s">
        <v>565</v>
      </c>
      <c r="BS425" s="50" t="s">
        <v>563</v>
      </c>
      <c r="BU425" s="50" t="s">
        <v>16302</v>
      </c>
      <c r="BV425" s="50" t="s">
        <v>6453</v>
      </c>
      <c r="BW425" s="50" t="s">
        <v>138</v>
      </c>
      <c r="BX425" s="50" t="s">
        <v>6456</v>
      </c>
      <c r="BY425" s="50" t="s">
        <v>6455</v>
      </c>
      <c r="BZ425" s="50" t="s">
        <v>6456</v>
      </c>
      <c r="CA425" s="50" t="s">
        <v>6453</v>
      </c>
      <c r="CB425" s="50" t="s">
        <v>6456</v>
      </c>
      <c r="CC425" s="50" t="s">
        <v>6455</v>
      </c>
      <c r="CD425" s="50" t="s">
        <v>16303</v>
      </c>
      <c r="CE425" s="50" t="s">
        <v>6456</v>
      </c>
      <c r="CF425" s="50" t="s">
        <v>15605</v>
      </c>
      <c r="CG425" s="50" t="s">
        <v>6457</v>
      </c>
      <c r="CH425" s="50" t="s">
        <v>16304</v>
      </c>
      <c r="CJ425" s="50" t="s">
        <v>6459</v>
      </c>
      <c r="CK425" s="50" t="s">
        <v>16305</v>
      </c>
      <c r="CL425" s="50" t="s">
        <v>6448</v>
      </c>
      <c r="CM425" s="50" t="s">
        <v>556</v>
      </c>
      <c r="CN425" s="50" t="s">
        <v>6459</v>
      </c>
      <c r="CP425" s="50" t="s">
        <v>6458</v>
      </c>
      <c r="CQ425" s="50" t="s">
        <v>6458</v>
      </c>
    </row>
    <row r="426" spans="1:96">
      <c r="A426" s="95" t="s">
        <v>149</v>
      </c>
      <c r="B426" s="50">
        <v>500529</v>
      </c>
      <c r="C426" s="50" t="s">
        <v>985</v>
      </c>
      <c r="D426" s="50" t="s">
        <v>9262</v>
      </c>
      <c r="E426" s="50" t="e">
        <f>VLOOKUP(B426,aa!B:F,5,0)</f>
        <v>#N/A</v>
      </c>
      <c r="F426" s="50" t="e">
        <f>VLOOKUP(B426,aa!B:J,9,0)</f>
        <v>#N/A</v>
      </c>
      <c r="G426" s="50" t="e">
        <f>VLOOKUP(B426,aa!B:L,11,0)</f>
        <v>#N/A</v>
      </c>
      <c r="H426" s="50" t="e">
        <f>VLOOKUP(B426,aa!B:O,14,0)</f>
        <v>#N/A</v>
      </c>
      <c r="I426" s="50" t="e">
        <f>VLOOKUP(B426,aa!B:R,17,0)</f>
        <v>#N/A</v>
      </c>
      <c r="K426" s="50" t="s">
        <v>97</v>
      </c>
      <c r="L426" s="50">
        <v>1191769</v>
      </c>
      <c r="M426" s="50">
        <v>1191769</v>
      </c>
      <c r="N426" s="50">
        <v>1191769</v>
      </c>
      <c r="O426" s="50">
        <v>1041</v>
      </c>
      <c r="P426" s="50" t="s">
        <v>18588</v>
      </c>
      <c r="Q426" s="50">
        <v>0</v>
      </c>
      <c r="R426" s="50">
        <v>0</v>
      </c>
      <c r="T426" s="50">
        <v>0</v>
      </c>
      <c r="U426" s="50">
        <v>0</v>
      </c>
      <c r="W426" s="50" t="s">
        <v>102</v>
      </c>
      <c r="X426" s="50" t="s">
        <v>103</v>
      </c>
      <c r="Y426" s="50" t="s">
        <v>104</v>
      </c>
      <c r="AA426" s="50" t="s">
        <v>12312</v>
      </c>
      <c r="AB426" s="50" t="s">
        <v>18589</v>
      </c>
      <c r="AC426" s="50" t="s">
        <v>12289</v>
      </c>
      <c r="AD426" s="50" t="s">
        <v>18589</v>
      </c>
      <c r="AE426" s="50" t="s">
        <v>109</v>
      </c>
      <c r="AF426" s="50" t="s">
        <v>102</v>
      </c>
      <c r="AG426" s="50" t="s">
        <v>109</v>
      </c>
      <c r="AH426" s="50" t="s">
        <v>102</v>
      </c>
      <c r="AI426" s="50" t="s">
        <v>18590</v>
      </c>
      <c r="AJ426" s="50" t="s">
        <v>15470</v>
      </c>
      <c r="AK426" s="50" t="s">
        <v>12713</v>
      </c>
      <c r="AL426" s="50" t="s">
        <v>18591</v>
      </c>
      <c r="AM426" s="50" t="s">
        <v>18592</v>
      </c>
      <c r="AN426" s="50" t="s">
        <v>5926</v>
      </c>
      <c r="AO426" s="50" t="s">
        <v>18593</v>
      </c>
      <c r="AP426" s="50" t="s">
        <v>18593</v>
      </c>
      <c r="AU426" s="50" t="s">
        <v>318</v>
      </c>
      <c r="AV426" s="50" t="s">
        <v>118</v>
      </c>
      <c r="AW426" s="50" t="s">
        <v>102</v>
      </c>
      <c r="AX426" s="50" t="s">
        <v>119</v>
      </c>
      <c r="BB426" s="50" t="s">
        <v>120</v>
      </c>
      <c r="BC426" s="50" t="s">
        <v>9268</v>
      </c>
      <c r="BD426" s="50" t="s">
        <v>9269</v>
      </c>
      <c r="BE426" s="50" t="s">
        <v>622</v>
      </c>
      <c r="BF426" s="50" t="s">
        <v>976</v>
      </c>
      <c r="BG426" s="50" t="s">
        <v>124</v>
      </c>
      <c r="BH426" s="50" t="s">
        <v>12082</v>
      </c>
      <c r="BI426" s="50" t="s">
        <v>14059</v>
      </c>
      <c r="BJ426" s="50" t="s">
        <v>127</v>
      </c>
      <c r="BK426" s="50" t="s">
        <v>18594</v>
      </c>
      <c r="BL426" s="50" t="s">
        <v>9271</v>
      </c>
      <c r="BM426" s="50" t="s">
        <v>18595</v>
      </c>
      <c r="BN426" s="50" t="s">
        <v>14292</v>
      </c>
      <c r="BO426" s="50" t="s">
        <v>18506</v>
      </c>
      <c r="BP426" s="50" t="s">
        <v>350</v>
      </c>
      <c r="BQ426" s="50" t="s">
        <v>18507</v>
      </c>
      <c r="BR426" s="50" t="s">
        <v>18508</v>
      </c>
      <c r="BS426" s="50" t="s">
        <v>2847</v>
      </c>
      <c r="BU426" s="50" t="s">
        <v>18596</v>
      </c>
      <c r="BV426" s="50" t="s">
        <v>9274</v>
      </c>
      <c r="BW426" s="50" t="s">
        <v>138</v>
      </c>
      <c r="BX426" s="50" t="s">
        <v>9275</v>
      </c>
      <c r="BY426" s="50" t="s">
        <v>9276</v>
      </c>
      <c r="BZ426" s="50" t="s">
        <v>9275</v>
      </c>
      <c r="CA426" s="50" t="s">
        <v>9274</v>
      </c>
      <c r="CB426" s="50" t="s">
        <v>9275</v>
      </c>
      <c r="CC426" s="50" t="s">
        <v>9276</v>
      </c>
      <c r="CD426" s="50" t="s">
        <v>9274</v>
      </c>
      <c r="CE426" s="50" t="s">
        <v>9275</v>
      </c>
      <c r="CF426" s="50" t="s">
        <v>9276</v>
      </c>
      <c r="CG426" s="50" t="s">
        <v>9277</v>
      </c>
      <c r="CH426" s="50" t="s">
        <v>18597</v>
      </c>
      <c r="CJ426" s="50" t="s">
        <v>9278</v>
      </c>
      <c r="CK426" s="50" t="s">
        <v>18598</v>
      </c>
      <c r="CL426" s="50" t="s">
        <v>9268</v>
      </c>
      <c r="CM426" s="50" t="s">
        <v>9269</v>
      </c>
      <c r="CN426" s="50" t="s">
        <v>9278</v>
      </c>
      <c r="CO426" s="50" t="s">
        <v>9279</v>
      </c>
      <c r="CP426" s="50" t="s">
        <v>9268</v>
      </c>
      <c r="CQ426" s="50" t="s">
        <v>9268</v>
      </c>
      <c r="CR426" s="50" t="s">
        <v>26048</v>
      </c>
    </row>
    <row r="427" spans="1:96">
      <c r="A427" s="95" t="s">
        <v>149</v>
      </c>
      <c r="B427" s="50">
        <v>3492029</v>
      </c>
      <c r="C427" s="50" t="s">
        <v>3562</v>
      </c>
      <c r="D427" s="50" t="s">
        <v>6356</v>
      </c>
      <c r="E427" s="50" t="e">
        <f>VLOOKUP(B427,aa!B:F,5,0)</f>
        <v>#N/A</v>
      </c>
      <c r="F427" s="50" t="e">
        <f>VLOOKUP(B427,aa!B:J,9,0)</f>
        <v>#N/A</v>
      </c>
      <c r="G427" s="50" t="e">
        <f>VLOOKUP(B427,aa!B:L,11,0)</f>
        <v>#N/A</v>
      </c>
      <c r="H427" s="50" t="e">
        <f>VLOOKUP(B427,aa!B:O,14,0)</f>
        <v>#N/A</v>
      </c>
      <c r="I427" s="50" t="e">
        <f>VLOOKUP(B427,aa!B:R,17,0)</f>
        <v>#N/A</v>
      </c>
      <c r="K427" s="50" t="s">
        <v>848</v>
      </c>
      <c r="L427" s="50">
        <v>424631</v>
      </c>
      <c r="M427" s="50">
        <v>501065</v>
      </c>
      <c r="N427" s="50">
        <v>0</v>
      </c>
      <c r="O427" s="50">
        <v>0</v>
      </c>
      <c r="Q427" s="50">
        <v>0</v>
      </c>
      <c r="R427" s="50">
        <v>0</v>
      </c>
      <c r="T427" s="50">
        <v>424631</v>
      </c>
      <c r="U427" s="50">
        <v>334</v>
      </c>
      <c r="V427" s="50" t="s">
        <v>850</v>
      </c>
      <c r="W427" s="50" t="s">
        <v>102</v>
      </c>
      <c r="X427" s="50" t="s">
        <v>103</v>
      </c>
      <c r="Y427" s="50" t="s">
        <v>104</v>
      </c>
      <c r="AA427" s="50" t="s">
        <v>13033</v>
      </c>
      <c r="AB427" s="50" t="s">
        <v>16234</v>
      </c>
      <c r="AC427" s="50" t="s">
        <v>13863</v>
      </c>
      <c r="AD427" s="50" t="s">
        <v>16234</v>
      </c>
      <c r="AE427" s="50" t="s">
        <v>109</v>
      </c>
      <c r="AF427" s="50" t="s">
        <v>102</v>
      </c>
      <c r="AG427" s="50" t="s">
        <v>109</v>
      </c>
      <c r="AH427" s="50" t="s">
        <v>102</v>
      </c>
      <c r="AI427" s="50" t="s">
        <v>102</v>
      </c>
      <c r="AJ427" s="50" t="s">
        <v>10030</v>
      </c>
      <c r="AK427" s="50" t="s">
        <v>16235</v>
      </c>
      <c r="AL427" s="50" t="s">
        <v>16236</v>
      </c>
      <c r="AM427" s="50" t="s">
        <v>16237</v>
      </c>
      <c r="AN427" s="50" t="s">
        <v>16238</v>
      </c>
      <c r="AO427" s="50" t="s">
        <v>1785</v>
      </c>
      <c r="AP427" s="50" t="s">
        <v>3305</v>
      </c>
      <c r="AT427" s="50" t="s">
        <v>169</v>
      </c>
      <c r="AU427" s="50" t="s">
        <v>102</v>
      </c>
      <c r="AW427" s="50" t="s">
        <v>102</v>
      </c>
      <c r="AX427" s="50" t="s">
        <v>119</v>
      </c>
      <c r="BA427" s="50" t="s">
        <v>250</v>
      </c>
      <c r="BB427" s="50" t="s">
        <v>209</v>
      </c>
      <c r="BC427" s="50" t="s">
        <v>1729</v>
      </c>
      <c r="BD427" s="50" t="s">
        <v>730</v>
      </c>
      <c r="BE427" s="50" t="s">
        <v>622</v>
      </c>
      <c r="BF427" s="50" t="s">
        <v>730</v>
      </c>
      <c r="BG427" s="50" t="s">
        <v>124</v>
      </c>
      <c r="BH427" s="50" t="s">
        <v>11976</v>
      </c>
      <c r="BI427" s="50" t="s">
        <v>11889</v>
      </c>
      <c r="BJ427" s="50" t="s">
        <v>127</v>
      </c>
      <c r="BK427" s="50" t="s">
        <v>16239</v>
      </c>
      <c r="BL427" s="50" t="s">
        <v>6363</v>
      </c>
      <c r="BM427" s="50" t="s">
        <v>16240</v>
      </c>
      <c r="BN427" s="50" t="s">
        <v>15421</v>
      </c>
      <c r="BO427" s="50" t="s">
        <v>3910</v>
      </c>
      <c r="BP427" s="50" t="s">
        <v>350</v>
      </c>
      <c r="BQ427" s="50" t="s">
        <v>3911</v>
      </c>
      <c r="BR427" s="50" t="s">
        <v>3912</v>
      </c>
      <c r="BS427" s="50" t="s">
        <v>2569</v>
      </c>
      <c r="BU427" s="50" t="s">
        <v>16241</v>
      </c>
      <c r="BV427" s="50" t="s">
        <v>6366</v>
      </c>
      <c r="BW427" s="50" t="s">
        <v>354</v>
      </c>
      <c r="BX427" s="50" t="s">
        <v>16242</v>
      </c>
      <c r="BY427" s="50" t="s">
        <v>6368</v>
      </c>
      <c r="BZ427" s="50" t="s">
        <v>6369</v>
      </c>
      <c r="CA427" s="50" t="s">
        <v>16243</v>
      </c>
      <c r="CB427" s="50" t="s">
        <v>16244</v>
      </c>
      <c r="CC427" s="50" t="s">
        <v>16245</v>
      </c>
      <c r="CD427" s="50" t="s">
        <v>16246</v>
      </c>
      <c r="CE427" s="50" t="s">
        <v>16244</v>
      </c>
      <c r="CF427" s="50" t="s">
        <v>16247</v>
      </c>
      <c r="CG427" s="50" t="s">
        <v>6370</v>
      </c>
      <c r="CH427" s="50" t="s">
        <v>16248</v>
      </c>
      <c r="CJ427" s="50" t="s">
        <v>6372</v>
      </c>
      <c r="CK427" s="50" t="s">
        <v>16249</v>
      </c>
      <c r="CL427" s="50" t="s">
        <v>1729</v>
      </c>
      <c r="CM427" s="50" t="s">
        <v>730</v>
      </c>
      <c r="CN427" s="50" t="s">
        <v>6372</v>
      </c>
      <c r="CP427" s="50" t="s">
        <v>6373</v>
      </c>
      <c r="CQ427" s="50" t="s">
        <v>6371</v>
      </c>
      <c r="CR427" s="50" t="s">
        <v>26047</v>
      </c>
    </row>
    <row r="428" spans="1:96">
      <c r="A428" s="95" t="s">
        <v>149</v>
      </c>
      <c r="B428" s="50">
        <v>507090</v>
      </c>
      <c r="C428" s="50" t="s">
        <v>11882</v>
      </c>
      <c r="D428" s="50" t="s">
        <v>10811</v>
      </c>
      <c r="E428" s="50" t="str">
        <f>VLOOKUP(B428,aa!B:F,5,0)</f>
        <v>Ei ASSET</v>
      </c>
      <c r="F428" s="50">
        <f>VLOOKUP(B428,aa!B:J,9,0)</f>
        <v>1134163</v>
      </c>
      <c r="G428" s="50">
        <f>VLOOKUP(B428,aa!B:L,11,0)</f>
        <v>1134163</v>
      </c>
      <c r="H428" s="50">
        <f>VLOOKUP(B428,aa!B:O,14,0)</f>
        <v>0</v>
      </c>
      <c r="I428" s="50">
        <f>VLOOKUP(B428,aa!B:R,17,0)</f>
        <v>0</v>
      </c>
      <c r="K428" s="50" t="s">
        <v>97</v>
      </c>
      <c r="L428" s="50">
        <v>684000</v>
      </c>
      <c r="M428" s="50">
        <v>684000</v>
      </c>
      <c r="N428" s="50">
        <v>684000</v>
      </c>
      <c r="O428" s="50">
        <v>1140</v>
      </c>
      <c r="P428" s="50" t="s">
        <v>310</v>
      </c>
      <c r="Q428" s="50">
        <v>0</v>
      </c>
      <c r="R428" s="50">
        <v>0</v>
      </c>
      <c r="T428" s="50">
        <v>0</v>
      </c>
      <c r="U428" s="50">
        <v>0</v>
      </c>
      <c r="W428" s="50" t="s">
        <v>102</v>
      </c>
      <c r="X428" s="50" t="s">
        <v>275</v>
      </c>
      <c r="Z428" s="50" t="s">
        <v>11976</v>
      </c>
      <c r="AA428" s="50" t="s">
        <v>109</v>
      </c>
      <c r="AB428" s="50" t="s">
        <v>102</v>
      </c>
      <c r="AC428" s="50" t="s">
        <v>109</v>
      </c>
      <c r="AD428" s="50" t="s">
        <v>102</v>
      </c>
      <c r="AE428" s="50" t="s">
        <v>109</v>
      </c>
      <c r="AF428" s="50" t="s">
        <v>102</v>
      </c>
      <c r="AG428" s="50" t="s">
        <v>109</v>
      </c>
      <c r="AH428" s="50" t="s">
        <v>102</v>
      </c>
      <c r="AI428" s="50" t="s">
        <v>20797</v>
      </c>
      <c r="AJ428" s="50" t="s">
        <v>13033</v>
      </c>
      <c r="AK428" s="50" t="s">
        <v>13033</v>
      </c>
      <c r="AL428" s="50" t="s">
        <v>20798</v>
      </c>
      <c r="AM428" s="50" t="s">
        <v>20799</v>
      </c>
      <c r="AN428" s="50" t="s">
        <v>102</v>
      </c>
      <c r="AO428" s="50" t="s">
        <v>317</v>
      </c>
      <c r="AP428" s="50" t="s">
        <v>2147</v>
      </c>
      <c r="AT428" s="50" t="s">
        <v>169</v>
      </c>
      <c r="AU428" s="50" t="s">
        <v>318</v>
      </c>
      <c r="AV428" s="50" t="s">
        <v>118</v>
      </c>
      <c r="AW428" s="50" t="s">
        <v>102</v>
      </c>
      <c r="AX428" s="50" t="s">
        <v>119</v>
      </c>
      <c r="BB428" s="50" t="s">
        <v>120</v>
      </c>
      <c r="BC428" s="50" t="s">
        <v>448</v>
      </c>
      <c r="BD428" s="50" t="s">
        <v>449</v>
      </c>
      <c r="BE428" s="50" t="s">
        <v>122</v>
      </c>
      <c r="BF428" s="50" t="s">
        <v>450</v>
      </c>
      <c r="BG428" s="50" t="s">
        <v>124</v>
      </c>
      <c r="BH428" s="50" t="s">
        <v>12023</v>
      </c>
      <c r="BI428" s="50" t="s">
        <v>11889</v>
      </c>
      <c r="BJ428" s="50" t="s">
        <v>127</v>
      </c>
      <c r="BK428" s="50" t="s">
        <v>20800</v>
      </c>
      <c r="BL428" s="50" t="s">
        <v>10817</v>
      </c>
      <c r="BM428" s="50" t="s">
        <v>20801</v>
      </c>
      <c r="BN428" s="50" t="s">
        <v>15421</v>
      </c>
      <c r="BO428" s="50" t="s">
        <v>3267</v>
      </c>
      <c r="BP428" s="50" t="s">
        <v>350</v>
      </c>
      <c r="BQ428" s="50" t="s">
        <v>3268</v>
      </c>
      <c r="BR428" s="50" t="s">
        <v>3269</v>
      </c>
      <c r="BS428" s="50" t="s">
        <v>135</v>
      </c>
      <c r="BU428" s="50" t="s">
        <v>20802</v>
      </c>
      <c r="BV428" s="50" t="s">
        <v>10820</v>
      </c>
      <c r="BW428" s="50" t="s">
        <v>598</v>
      </c>
      <c r="BX428" s="50" t="s">
        <v>10821</v>
      </c>
      <c r="BY428" s="50" t="s">
        <v>10822</v>
      </c>
      <c r="BZ428" s="50" t="s">
        <v>10823</v>
      </c>
      <c r="CA428" s="50" t="s">
        <v>20803</v>
      </c>
      <c r="CB428" s="50" t="s">
        <v>20804</v>
      </c>
      <c r="CC428" s="50" t="s">
        <v>20805</v>
      </c>
      <c r="CD428" s="50" t="s">
        <v>10820</v>
      </c>
      <c r="CE428" s="50" t="s">
        <v>10821</v>
      </c>
      <c r="CF428" s="50" t="s">
        <v>10822</v>
      </c>
      <c r="CG428" s="50" t="s">
        <v>102</v>
      </c>
      <c r="CH428" s="50" t="s">
        <v>20806</v>
      </c>
      <c r="CJ428" s="50" t="s">
        <v>4512</v>
      </c>
      <c r="CL428" s="50" t="s">
        <v>448</v>
      </c>
      <c r="CM428" s="50" t="s">
        <v>449</v>
      </c>
      <c r="CN428" s="50" t="s">
        <v>4512</v>
      </c>
      <c r="CO428" s="50" t="s">
        <v>10825</v>
      </c>
      <c r="CP428" s="50" t="s">
        <v>10824</v>
      </c>
      <c r="CQ428" s="50" t="s">
        <v>10824</v>
      </c>
    </row>
    <row r="429" spans="1:96">
      <c r="A429" s="95" t="s">
        <v>149</v>
      </c>
      <c r="B429" s="50">
        <v>5017533</v>
      </c>
      <c r="C429" s="50" t="s">
        <v>2525</v>
      </c>
      <c r="D429" s="50" t="s">
        <v>10020</v>
      </c>
      <c r="E429" s="50" t="e">
        <f>VLOOKUP(B429,aa!B:F,5,0)</f>
        <v>#N/A</v>
      </c>
      <c r="F429" s="50" t="e">
        <f>VLOOKUP(B429,aa!B:J,9,0)</f>
        <v>#N/A</v>
      </c>
      <c r="G429" s="50" t="e">
        <f>VLOOKUP(B429,aa!B:L,11,0)</f>
        <v>#N/A</v>
      </c>
      <c r="H429" s="50" t="e">
        <f>VLOOKUP(B429,aa!B:O,14,0)</f>
        <v>#N/A</v>
      </c>
      <c r="I429" s="50" t="e">
        <f>VLOOKUP(B429,aa!B:R,17,0)</f>
        <v>#N/A</v>
      </c>
      <c r="K429" s="50" t="s">
        <v>2713</v>
      </c>
      <c r="L429" s="50">
        <v>169503</v>
      </c>
      <c r="M429" s="50">
        <v>192095</v>
      </c>
      <c r="N429" s="50">
        <v>43992</v>
      </c>
      <c r="O429" s="50">
        <v>65</v>
      </c>
      <c r="P429" s="50" t="s">
        <v>19070</v>
      </c>
      <c r="Q429" s="50">
        <v>0</v>
      </c>
      <c r="R429" s="50">
        <v>0</v>
      </c>
      <c r="T429" s="50">
        <v>125511</v>
      </c>
      <c r="U429" s="50">
        <v>75</v>
      </c>
      <c r="V429" s="50" t="s">
        <v>19071</v>
      </c>
      <c r="W429" s="50" t="s">
        <v>102</v>
      </c>
      <c r="X429" s="50" t="s">
        <v>679</v>
      </c>
      <c r="Y429" s="50" t="s">
        <v>104</v>
      </c>
      <c r="Z429" s="50" t="s">
        <v>11886</v>
      </c>
      <c r="AA429" s="50" t="s">
        <v>19072</v>
      </c>
      <c r="AB429" s="50" t="s">
        <v>19073</v>
      </c>
      <c r="AC429" s="50" t="s">
        <v>19074</v>
      </c>
      <c r="AD429" s="50" t="s">
        <v>19073</v>
      </c>
      <c r="AE429" s="50" t="s">
        <v>109</v>
      </c>
      <c r="AF429" s="50" t="s">
        <v>102</v>
      </c>
      <c r="AG429" s="50" t="s">
        <v>109</v>
      </c>
      <c r="AH429" s="50" t="s">
        <v>102</v>
      </c>
      <c r="AI429" s="50" t="s">
        <v>102</v>
      </c>
      <c r="AJ429" s="50" t="s">
        <v>13672</v>
      </c>
      <c r="AK429" s="50" t="s">
        <v>13672</v>
      </c>
      <c r="AL429" s="50" t="s">
        <v>19075</v>
      </c>
      <c r="AM429" s="50" t="s">
        <v>19076</v>
      </c>
      <c r="AN429" s="50" t="s">
        <v>19077</v>
      </c>
      <c r="AO429" s="50" t="s">
        <v>19078</v>
      </c>
      <c r="AP429" s="50" t="s">
        <v>19079</v>
      </c>
      <c r="AT429" s="50" t="s">
        <v>169</v>
      </c>
      <c r="AU429" s="50" t="s">
        <v>117</v>
      </c>
      <c r="AV429" s="50" t="s">
        <v>250</v>
      </c>
      <c r="AW429" s="50" t="s">
        <v>102</v>
      </c>
      <c r="AX429" s="50" t="s">
        <v>119</v>
      </c>
      <c r="BA429" s="50" t="s">
        <v>250</v>
      </c>
      <c r="BB429" s="50" t="s">
        <v>209</v>
      </c>
      <c r="BC429" s="50" t="s">
        <v>1729</v>
      </c>
      <c r="BD429" s="50" t="s">
        <v>730</v>
      </c>
      <c r="BE429" s="50" t="s">
        <v>622</v>
      </c>
      <c r="BF429" s="50" t="s">
        <v>730</v>
      </c>
      <c r="BG429" s="50" t="s">
        <v>124</v>
      </c>
      <c r="BH429" s="50" t="s">
        <v>19080</v>
      </c>
      <c r="BI429" s="50" t="s">
        <v>19081</v>
      </c>
      <c r="BJ429" s="50" t="s">
        <v>127</v>
      </c>
      <c r="BK429" s="50" t="s">
        <v>19082</v>
      </c>
      <c r="BL429" s="50" t="s">
        <v>10032</v>
      </c>
      <c r="BM429" s="50" t="s">
        <v>19083</v>
      </c>
      <c r="BN429" s="50" t="s">
        <v>19069</v>
      </c>
      <c r="BO429" s="50" t="s">
        <v>3910</v>
      </c>
      <c r="BP429" s="50" t="s">
        <v>350</v>
      </c>
      <c r="BQ429" s="50" t="s">
        <v>3911</v>
      </c>
      <c r="BR429" s="50" t="s">
        <v>3912</v>
      </c>
      <c r="BS429" s="50" t="s">
        <v>2569</v>
      </c>
      <c r="BU429" s="50" t="s">
        <v>19084</v>
      </c>
      <c r="BV429" s="50" t="s">
        <v>10035</v>
      </c>
      <c r="BW429" s="50" t="s">
        <v>354</v>
      </c>
      <c r="BX429" s="50" t="s">
        <v>19085</v>
      </c>
      <c r="BY429" s="50" t="s">
        <v>19086</v>
      </c>
      <c r="BZ429" s="50" t="s">
        <v>10038</v>
      </c>
      <c r="CA429" s="50" t="s">
        <v>19087</v>
      </c>
      <c r="CB429" s="50" t="s">
        <v>19088</v>
      </c>
      <c r="CC429" s="50" t="s">
        <v>19086</v>
      </c>
      <c r="CD429" s="50" t="s">
        <v>19087</v>
      </c>
      <c r="CE429" s="50" t="s">
        <v>19088</v>
      </c>
      <c r="CF429" s="50" t="s">
        <v>19086</v>
      </c>
      <c r="CG429" s="50" t="s">
        <v>1594</v>
      </c>
      <c r="CH429" s="50" t="s">
        <v>19089</v>
      </c>
      <c r="CJ429" s="50" t="s">
        <v>10421</v>
      </c>
      <c r="CK429" s="50" t="s">
        <v>10039</v>
      </c>
      <c r="CL429" s="50" t="s">
        <v>1729</v>
      </c>
      <c r="CM429" s="50" t="s">
        <v>730</v>
      </c>
      <c r="CN429" s="50" t="s">
        <v>10421</v>
      </c>
      <c r="CP429" s="50" t="s">
        <v>10040</v>
      </c>
      <c r="CQ429" s="50" t="s">
        <v>10039</v>
      </c>
      <c r="CR429" s="50" t="s">
        <v>26048</v>
      </c>
    </row>
    <row r="430" spans="1:96">
      <c r="A430" s="95" t="s">
        <v>149</v>
      </c>
      <c r="B430" s="50">
        <v>2456473</v>
      </c>
      <c r="C430" s="50" t="s">
        <v>11947</v>
      </c>
      <c r="D430" s="50" t="s">
        <v>3429</v>
      </c>
      <c r="E430" s="50" t="e">
        <f>VLOOKUP(B430,aa!B:F,5,0)</f>
        <v>#N/A</v>
      </c>
      <c r="F430" s="50" t="e">
        <f>VLOOKUP(B430,aa!B:J,9,0)</f>
        <v>#N/A</v>
      </c>
      <c r="G430" s="50" t="e">
        <f>VLOOKUP(B430,aa!B:L,11,0)</f>
        <v>#N/A</v>
      </c>
      <c r="H430" s="50" t="e">
        <f>VLOOKUP(B430,aa!B:O,14,0)</f>
        <v>#N/A</v>
      </c>
      <c r="I430" s="50" t="e">
        <f>VLOOKUP(B430,aa!B:R,17,0)</f>
        <v>#N/A</v>
      </c>
      <c r="K430" s="50" t="s">
        <v>97</v>
      </c>
      <c r="L430" s="50">
        <v>455317</v>
      </c>
      <c r="M430" s="50">
        <v>455317</v>
      </c>
      <c r="N430" s="50">
        <v>455317</v>
      </c>
      <c r="O430" s="50">
        <v>828</v>
      </c>
      <c r="P430" s="50" t="s">
        <v>3431</v>
      </c>
      <c r="Q430" s="50">
        <v>0</v>
      </c>
      <c r="R430" s="50">
        <v>0</v>
      </c>
      <c r="T430" s="50">
        <v>0</v>
      </c>
      <c r="U430" s="50">
        <v>0</v>
      </c>
      <c r="W430" s="50" t="s">
        <v>102</v>
      </c>
      <c r="X430" s="50" t="s">
        <v>103</v>
      </c>
      <c r="Y430" s="50" t="s">
        <v>104</v>
      </c>
      <c r="AA430" s="50" t="s">
        <v>12040</v>
      </c>
      <c r="AB430" s="50" t="s">
        <v>14009</v>
      </c>
      <c r="AC430" s="50" t="s">
        <v>12713</v>
      </c>
      <c r="AD430" s="50" t="s">
        <v>14010</v>
      </c>
      <c r="AE430" s="50" t="s">
        <v>109</v>
      </c>
      <c r="AF430" s="50" t="s">
        <v>102</v>
      </c>
      <c r="AG430" s="50" t="s">
        <v>109</v>
      </c>
      <c r="AH430" s="50" t="s">
        <v>102</v>
      </c>
      <c r="AI430" s="50" t="s">
        <v>14011</v>
      </c>
      <c r="AJ430" s="50" t="s">
        <v>12427</v>
      </c>
      <c r="AK430" s="50" t="s">
        <v>13386</v>
      </c>
      <c r="AL430" s="50" t="s">
        <v>14012</v>
      </c>
      <c r="AM430" s="50" t="s">
        <v>14013</v>
      </c>
      <c r="AN430" s="50" t="s">
        <v>14014</v>
      </c>
      <c r="AO430" s="50" t="s">
        <v>4840</v>
      </c>
      <c r="AP430" s="50" t="s">
        <v>4840</v>
      </c>
      <c r="AU430" s="50" t="s">
        <v>3439</v>
      </c>
      <c r="AV430" s="50" t="s">
        <v>118</v>
      </c>
      <c r="AW430" s="50" t="s">
        <v>102</v>
      </c>
      <c r="AX430" s="50" t="s">
        <v>119</v>
      </c>
      <c r="BB430" s="50" t="s">
        <v>171</v>
      </c>
      <c r="BC430" s="50" t="s">
        <v>920</v>
      </c>
      <c r="BD430" s="50" t="s">
        <v>211</v>
      </c>
      <c r="BE430" s="50" t="s">
        <v>212</v>
      </c>
      <c r="BF430" s="50" t="s">
        <v>213</v>
      </c>
      <c r="BG430" s="50" t="s">
        <v>124</v>
      </c>
      <c r="BH430" s="50" t="s">
        <v>11959</v>
      </c>
      <c r="BI430" s="50" t="s">
        <v>11889</v>
      </c>
      <c r="BJ430" s="50" t="s">
        <v>127</v>
      </c>
      <c r="BK430" s="50" t="s">
        <v>14015</v>
      </c>
      <c r="BL430" s="50" t="s">
        <v>3441</v>
      </c>
      <c r="BM430" s="50" t="s">
        <v>14016</v>
      </c>
      <c r="BN430" s="50" t="s">
        <v>1408</v>
      </c>
      <c r="BO430" s="50" t="s">
        <v>415</v>
      </c>
      <c r="BP430" s="50" t="s">
        <v>180</v>
      </c>
      <c r="BQ430" s="50" t="s">
        <v>416</v>
      </c>
      <c r="BR430" s="50" t="s">
        <v>417</v>
      </c>
      <c r="BS430" s="50" t="s">
        <v>2151</v>
      </c>
      <c r="BU430" s="50" t="s">
        <v>14017</v>
      </c>
      <c r="BV430" s="50" t="s">
        <v>14018</v>
      </c>
      <c r="BW430" s="50" t="s">
        <v>138</v>
      </c>
      <c r="BX430" s="50" t="s">
        <v>3448</v>
      </c>
      <c r="BY430" s="50" t="s">
        <v>14019</v>
      </c>
      <c r="BZ430" s="50" t="s">
        <v>3450</v>
      </c>
      <c r="CA430" s="50" t="s">
        <v>14018</v>
      </c>
      <c r="CB430" s="50" t="s">
        <v>3448</v>
      </c>
      <c r="CC430" s="50" t="s">
        <v>14019</v>
      </c>
      <c r="CD430" s="50" t="s">
        <v>14018</v>
      </c>
      <c r="CE430" s="50" t="s">
        <v>3448</v>
      </c>
      <c r="CF430" s="50" t="s">
        <v>14019</v>
      </c>
      <c r="CG430" s="50" t="s">
        <v>2270</v>
      </c>
      <c r="CH430" s="50" t="s">
        <v>11329</v>
      </c>
      <c r="CJ430" s="50" t="s">
        <v>3453</v>
      </c>
      <c r="CK430" s="50" t="s">
        <v>3452</v>
      </c>
      <c r="CL430" s="50" t="s">
        <v>920</v>
      </c>
      <c r="CM430" s="50" t="s">
        <v>211</v>
      </c>
      <c r="CN430" s="50" t="s">
        <v>3453</v>
      </c>
      <c r="CO430" s="50" t="s">
        <v>3455</v>
      </c>
      <c r="CP430" s="50" t="s">
        <v>3452</v>
      </c>
      <c r="CQ430" s="50" t="s">
        <v>3454</v>
      </c>
      <c r="CR430" s="50" t="s">
        <v>26043</v>
      </c>
    </row>
    <row r="431" spans="1:96">
      <c r="A431" s="95" t="s">
        <v>149</v>
      </c>
      <c r="B431" s="50">
        <v>3284749</v>
      </c>
      <c r="C431" s="50" t="s">
        <v>985</v>
      </c>
      <c r="D431" s="50" t="s">
        <v>5264</v>
      </c>
      <c r="E431" s="50" t="e">
        <f>VLOOKUP(B431,aa!B:F,5,0)</f>
        <v>#N/A</v>
      </c>
      <c r="F431" s="50" t="e">
        <f>VLOOKUP(B431,aa!B:J,9,0)</f>
        <v>#N/A</v>
      </c>
      <c r="G431" s="50" t="e">
        <f>VLOOKUP(B431,aa!B:L,11,0)</f>
        <v>#N/A</v>
      </c>
      <c r="H431" s="50" t="e">
        <f>VLOOKUP(B431,aa!B:O,14,0)</f>
        <v>#N/A</v>
      </c>
      <c r="I431" s="50" t="e">
        <f>VLOOKUP(B431,aa!B:R,17,0)</f>
        <v>#N/A</v>
      </c>
      <c r="K431" s="50" t="s">
        <v>97</v>
      </c>
      <c r="L431" s="50">
        <v>444761</v>
      </c>
      <c r="M431" s="50">
        <v>444761</v>
      </c>
      <c r="N431" s="50">
        <v>444761</v>
      </c>
      <c r="O431" s="50">
        <v>622</v>
      </c>
      <c r="P431" s="50" t="s">
        <v>1954</v>
      </c>
      <c r="Q431" s="50">
        <v>0</v>
      </c>
      <c r="R431" s="50">
        <v>0</v>
      </c>
      <c r="T431" s="50">
        <v>0</v>
      </c>
      <c r="U431" s="50">
        <v>0</v>
      </c>
      <c r="W431" s="50" t="s">
        <v>102</v>
      </c>
      <c r="X431" s="50" t="s">
        <v>103</v>
      </c>
      <c r="Y431" s="50" t="s">
        <v>104</v>
      </c>
      <c r="AA431" s="50" t="s">
        <v>1165</v>
      </c>
      <c r="AB431" s="50" t="s">
        <v>15361</v>
      </c>
      <c r="AC431" s="50" t="s">
        <v>12427</v>
      </c>
      <c r="AD431" s="50" t="s">
        <v>15361</v>
      </c>
      <c r="AE431" s="50" t="s">
        <v>109</v>
      </c>
      <c r="AF431" s="50" t="s">
        <v>102</v>
      </c>
      <c r="AG431" s="50" t="s">
        <v>109</v>
      </c>
      <c r="AH431" s="50" t="s">
        <v>102</v>
      </c>
      <c r="AI431" s="50" t="s">
        <v>15362</v>
      </c>
      <c r="AJ431" s="50" t="s">
        <v>11929</v>
      </c>
      <c r="AK431" s="50" t="s">
        <v>15363</v>
      </c>
      <c r="AL431" s="50" t="s">
        <v>15364</v>
      </c>
      <c r="AM431" s="50" t="s">
        <v>15365</v>
      </c>
      <c r="AN431" s="50" t="s">
        <v>15366</v>
      </c>
      <c r="AO431" s="50" t="s">
        <v>15367</v>
      </c>
      <c r="AP431" s="50" t="s">
        <v>15367</v>
      </c>
      <c r="AU431" s="50" t="s">
        <v>318</v>
      </c>
      <c r="AV431" s="50" t="s">
        <v>118</v>
      </c>
      <c r="AW431" s="50" t="s">
        <v>102</v>
      </c>
      <c r="AX431" s="50" t="s">
        <v>119</v>
      </c>
      <c r="BB431" s="50" t="s">
        <v>120</v>
      </c>
      <c r="BC431" s="50" t="s">
        <v>2127</v>
      </c>
      <c r="BD431" s="50" t="s">
        <v>621</v>
      </c>
      <c r="BE431" s="50" t="s">
        <v>622</v>
      </c>
      <c r="BF431" s="50" t="s">
        <v>976</v>
      </c>
      <c r="BG431" s="50" t="s">
        <v>124</v>
      </c>
      <c r="BH431" s="50" t="s">
        <v>1408</v>
      </c>
      <c r="BI431" s="50" t="s">
        <v>11889</v>
      </c>
      <c r="BJ431" s="50" t="s">
        <v>127</v>
      </c>
      <c r="BK431" s="50" t="s">
        <v>15368</v>
      </c>
      <c r="BL431" s="50" t="s">
        <v>5273</v>
      </c>
      <c r="BM431" s="50" t="s">
        <v>15369</v>
      </c>
      <c r="BN431" s="50" t="s">
        <v>1408</v>
      </c>
      <c r="BO431" s="50" t="s">
        <v>981</v>
      </c>
      <c r="BP431" s="50" t="s">
        <v>132</v>
      </c>
      <c r="BQ431" s="50" t="s">
        <v>982</v>
      </c>
      <c r="BR431" s="50" t="s">
        <v>983</v>
      </c>
      <c r="BS431" s="50" t="s">
        <v>984</v>
      </c>
      <c r="BU431" s="50" t="s">
        <v>15370</v>
      </c>
      <c r="BV431" s="50" t="s">
        <v>5276</v>
      </c>
      <c r="BW431" s="50" t="s">
        <v>138</v>
      </c>
      <c r="BX431" s="50" t="s">
        <v>5277</v>
      </c>
      <c r="BY431" s="50" t="s">
        <v>5278</v>
      </c>
      <c r="BZ431" s="50" t="s">
        <v>5279</v>
      </c>
      <c r="CA431" s="50" t="s">
        <v>15371</v>
      </c>
      <c r="CB431" s="50" t="s">
        <v>5277</v>
      </c>
      <c r="CC431" s="50" t="s">
        <v>5278</v>
      </c>
      <c r="CD431" s="50" t="s">
        <v>15372</v>
      </c>
      <c r="CE431" s="50" t="s">
        <v>15373</v>
      </c>
      <c r="CF431" s="50" t="s">
        <v>15374</v>
      </c>
      <c r="CG431" s="50" t="s">
        <v>102</v>
      </c>
      <c r="CH431" s="50" t="s">
        <v>15375</v>
      </c>
      <c r="CJ431" s="50" t="s">
        <v>5281</v>
      </c>
      <c r="CL431" s="50" t="s">
        <v>2127</v>
      </c>
      <c r="CM431" s="50" t="s">
        <v>621</v>
      </c>
      <c r="CN431" s="50" t="s">
        <v>5281</v>
      </c>
      <c r="CO431" s="50" t="s">
        <v>5282</v>
      </c>
      <c r="CP431" s="50" t="s">
        <v>5280</v>
      </c>
      <c r="CQ431" s="50" t="s">
        <v>5280</v>
      </c>
      <c r="CR431" s="50" t="s">
        <v>26048</v>
      </c>
    </row>
    <row r="432" spans="1:96">
      <c r="A432" s="50" t="s">
        <v>93</v>
      </c>
      <c r="B432" s="50">
        <v>398948</v>
      </c>
      <c r="C432" s="50" t="s">
        <v>2525</v>
      </c>
      <c r="D432" s="50" t="s">
        <v>17440</v>
      </c>
      <c r="E432" s="50" t="str">
        <f>VLOOKUP(B432,aa!B:F,5,0)</f>
        <v>Ei CARES</v>
      </c>
      <c r="F432" s="50">
        <f>VLOOKUP(B432,aa!B:J,9,0)</f>
        <v>344009</v>
      </c>
      <c r="G432" s="50">
        <f>VLOOKUP(B432,aa!B:L,11,0)</f>
        <v>0</v>
      </c>
      <c r="H432" s="50">
        <f>VLOOKUP(B432,aa!B:O,14,0)</f>
        <v>344009</v>
      </c>
      <c r="I432" s="50">
        <f>VLOOKUP(B432,aa!B:R,17,0)</f>
        <v>0</v>
      </c>
      <c r="K432" s="50" t="s">
        <v>152</v>
      </c>
      <c r="L432" s="50">
        <v>192605</v>
      </c>
      <c r="M432" s="50">
        <v>192605</v>
      </c>
      <c r="N432" s="50">
        <v>0</v>
      </c>
      <c r="O432" s="50">
        <v>0</v>
      </c>
      <c r="Q432" s="50">
        <v>192605</v>
      </c>
      <c r="R432" s="50">
        <v>107</v>
      </c>
      <c r="S432" s="50" t="s">
        <v>3005</v>
      </c>
      <c r="T432" s="50">
        <v>0</v>
      </c>
      <c r="U432" s="50">
        <v>0</v>
      </c>
      <c r="W432" s="50" t="s">
        <v>102</v>
      </c>
      <c r="X432" s="50" t="s">
        <v>275</v>
      </c>
      <c r="Z432" s="50" t="s">
        <v>1408</v>
      </c>
      <c r="AA432" s="50" t="s">
        <v>109</v>
      </c>
      <c r="AB432" s="50" t="s">
        <v>102</v>
      </c>
      <c r="AC432" s="50" t="s">
        <v>109</v>
      </c>
      <c r="AD432" s="50" t="s">
        <v>102</v>
      </c>
      <c r="AE432" s="50" t="s">
        <v>109</v>
      </c>
      <c r="AF432" s="50" t="s">
        <v>102</v>
      </c>
      <c r="AG432" s="50" t="s">
        <v>109</v>
      </c>
      <c r="AH432" s="50" t="s">
        <v>102</v>
      </c>
      <c r="AI432" s="50" t="s">
        <v>102</v>
      </c>
      <c r="AJ432" s="50" t="s">
        <v>13033</v>
      </c>
      <c r="AK432" s="50" t="s">
        <v>13672</v>
      </c>
      <c r="AL432" s="50" t="s">
        <v>17441</v>
      </c>
      <c r="AM432" s="50" t="s">
        <v>9643</v>
      </c>
      <c r="AN432" s="50" t="s">
        <v>17442</v>
      </c>
      <c r="AO432" s="50" t="s">
        <v>17443</v>
      </c>
      <c r="AP432" s="50" t="s">
        <v>17443</v>
      </c>
      <c r="AU432" s="50" t="s">
        <v>102</v>
      </c>
      <c r="AW432" s="50" t="s">
        <v>155</v>
      </c>
      <c r="AX432" s="50" t="s">
        <v>119</v>
      </c>
      <c r="AY432" s="50" t="s">
        <v>170</v>
      </c>
      <c r="AZ432" s="50" t="s">
        <v>118</v>
      </c>
      <c r="BB432" s="50" t="s">
        <v>120</v>
      </c>
      <c r="BC432" s="50" t="s">
        <v>17444</v>
      </c>
      <c r="BD432" s="50" t="s">
        <v>730</v>
      </c>
      <c r="BE432" s="50" t="s">
        <v>622</v>
      </c>
      <c r="BF432" s="50" t="s">
        <v>730</v>
      </c>
      <c r="BG432" s="50" t="s">
        <v>124</v>
      </c>
      <c r="BH432" s="50" t="s">
        <v>11959</v>
      </c>
      <c r="BI432" s="50" t="s">
        <v>11960</v>
      </c>
      <c r="BJ432" s="50" t="s">
        <v>127</v>
      </c>
      <c r="BK432" s="50" t="s">
        <v>17445</v>
      </c>
      <c r="BL432" s="50" t="s">
        <v>17446</v>
      </c>
      <c r="BM432" s="50" t="s">
        <v>17447</v>
      </c>
      <c r="BN432" s="50" t="s">
        <v>1408</v>
      </c>
      <c r="BO432" s="50" t="s">
        <v>3910</v>
      </c>
      <c r="BP432" s="50" t="s">
        <v>350</v>
      </c>
      <c r="BQ432" s="50" t="s">
        <v>3911</v>
      </c>
      <c r="BR432" s="50" t="s">
        <v>3912</v>
      </c>
      <c r="BS432" s="50" t="s">
        <v>7862</v>
      </c>
      <c r="BU432" s="50" t="s">
        <v>17448</v>
      </c>
      <c r="BV432" s="50" t="s">
        <v>17449</v>
      </c>
      <c r="BW432" s="50" t="s">
        <v>138</v>
      </c>
      <c r="BX432" s="50" t="s">
        <v>17450</v>
      </c>
      <c r="BY432" s="50" t="s">
        <v>17451</v>
      </c>
      <c r="BZ432" s="50" t="s">
        <v>17450</v>
      </c>
      <c r="CA432" s="50" t="s">
        <v>17449</v>
      </c>
      <c r="CB432" s="50" t="s">
        <v>17450</v>
      </c>
      <c r="CC432" s="50" t="s">
        <v>17451</v>
      </c>
      <c r="CD432" s="50" t="s">
        <v>17449</v>
      </c>
      <c r="CE432" s="50" t="s">
        <v>17450</v>
      </c>
      <c r="CF432" s="50" t="s">
        <v>17451</v>
      </c>
      <c r="CG432" s="50" t="s">
        <v>358</v>
      </c>
      <c r="CH432" s="50" t="s">
        <v>17452</v>
      </c>
      <c r="CJ432" s="50" t="s">
        <v>17453</v>
      </c>
      <c r="CK432" s="50" t="s">
        <v>17454</v>
      </c>
      <c r="CL432" s="50" t="s">
        <v>17444</v>
      </c>
      <c r="CM432" s="50" t="s">
        <v>730</v>
      </c>
      <c r="CN432" s="50" t="s">
        <v>17453</v>
      </c>
      <c r="CP432" s="50" t="s">
        <v>17455</v>
      </c>
      <c r="CQ432" s="50" t="s">
        <v>17455</v>
      </c>
    </row>
    <row r="433" spans="1:96">
      <c r="A433" s="95" t="s">
        <v>149</v>
      </c>
      <c r="B433" s="50">
        <v>3998030</v>
      </c>
      <c r="C433" s="50" t="s">
        <v>11947</v>
      </c>
      <c r="D433" s="50" t="s">
        <v>8358</v>
      </c>
      <c r="E433" s="50" t="e">
        <f>VLOOKUP(B433,aa!B:F,5,0)</f>
        <v>#N/A</v>
      </c>
      <c r="F433" s="50" t="e">
        <f>VLOOKUP(B433,aa!B:J,9,0)</f>
        <v>#N/A</v>
      </c>
      <c r="G433" s="50" t="e">
        <f>VLOOKUP(B433,aa!B:L,11,0)</f>
        <v>#N/A</v>
      </c>
      <c r="H433" s="50" t="e">
        <f>VLOOKUP(B433,aa!B:O,14,0)</f>
        <v>#N/A</v>
      </c>
      <c r="I433" s="50" t="e">
        <f>VLOOKUP(B433,aa!B:R,17,0)</f>
        <v>#N/A</v>
      </c>
      <c r="K433" s="50" t="s">
        <v>97</v>
      </c>
      <c r="L433" s="50">
        <v>65988</v>
      </c>
      <c r="M433" s="50">
        <v>65988</v>
      </c>
      <c r="N433" s="50">
        <v>65988</v>
      </c>
      <c r="O433" s="50">
        <v>120</v>
      </c>
      <c r="P433" s="50" t="s">
        <v>3431</v>
      </c>
      <c r="Q433" s="50">
        <v>0</v>
      </c>
      <c r="R433" s="50">
        <v>0</v>
      </c>
      <c r="T433" s="50">
        <v>0</v>
      </c>
      <c r="U433" s="50">
        <v>0</v>
      </c>
      <c r="W433" s="50" t="s">
        <v>102</v>
      </c>
      <c r="X433" s="50" t="s">
        <v>103</v>
      </c>
      <c r="Y433" s="50" t="s">
        <v>104</v>
      </c>
      <c r="AA433" s="50" t="s">
        <v>12040</v>
      </c>
      <c r="AB433" s="50" t="s">
        <v>17780</v>
      </c>
      <c r="AC433" s="50" t="s">
        <v>12713</v>
      </c>
      <c r="AD433" s="50" t="s">
        <v>17781</v>
      </c>
      <c r="AE433" s="50" t="s">
        <v>109</v>
      </c>
      <c r="AF433" s="50" t="s">
        <v>102</v>
      </c>
      <c r="AG433" s="50" t="s">
        <v>109</v>
      </c>
      <c r="AH433" s="50" t="s">
        <v>102</v>
      </c>
      <c r="AI433" s="50" t="s">
        <v>17782</v>
      </c>
      <c r="AJ433" s="50" t="s">
        <v>17783</v>
      </c>
      <c r="AK433" s="50" t="s">
        <v>13386</v>
      </c>
      <c r="AL433" s="50" t="s">
        <v>17784</v>
      </c>
      <c r="AM433" s="50" t="s">
        <v>17785</v>
      </c>
      <c r="AN433" s="50" t="s">
        <v>17786</v>
      </c>
      <c r="AO433" s="50" t="s">
        <v>4840</v>
      </c>
      <c r="AP433" s="50" t="s">
        <v>4840</v>
      </c>
      <c r="AU433" s="50" t="s">
        <v>3439</v>
      </c>
      <c r="AV433" s="50" t="s">
        <v>118</v>
      </c>
      <c r="AW433" s="50" t="s">
        <v>102</v>
      </c>
      <c r="AX433" s="50" t="s">
        <v>119</v>
      </c>
      <c r="BB433" s="50" t="s">
        <v>120</v>
      </c>
      <c r="BC433" s="50" t="s">
        <v>920</v>
      </c>
      <c r="BD433" s="50" t="s">
        <v>211</v>
      </c>
      <c r="BE433" s="50" t="s">
        <v>212</v>
      </c>
      <c r="BF433" s="50" t="s">
        <v>213</v>
      </c>
      <c r="BG433" s="50" t="s">
        <v>124</v>
      </c>
      <c r="BH433" s="50" t="s">
        <v>11959</v>
      </c>
      <c r="BI433" s="50" t="s">
        <v>11889</v>
      </c>
      <c r="BJ433" s="50" t="s">
        <v>127</v>
      </c>
      <c r="BK433" s="50" t="s">
        <v>17787</v>
      </c>
      <c r="BL433" s="50" t="s">
        <v>8367</v>
      </c>
      <c r="BM433" s="50" t="s">
        <v>17788</v>
      </c>
      <c r="BN433" s="50" t="s">
        <v>1408</v>
      </c>
      <c r="BO433" s="50" t="s">
        <v>415</v>
      </c>
      <c r="BP433" s="50" t="s">
        <v>180</v>
      </c>
      <c r="BQ433" s="50" t="s">
        <v>416</v>
      </c>
      <c r="BR433" s="50" t="s">
        <v>417</v>
      </c>
      <c r="BS433" s="50" t="s">
        <v>2151</v>
      </c>
      <c r="BU433" s="50" t="s">
        <v>17789</v>
      </c>
      <c r="BV433" s="50" t="s">
        <v>8370</v>
      </c>
      <c r="BW433" s="50" t="s">
        <v>138</v>
      </c>
      <c r="BX433" s="50" t="s">
        <v>3448</v>
      </c>
      <c r="BY433" s="50" t="s">
        <v>3449</v>
      </c>
      <c r="BZ433" s="50" t="s">
        <v>8371</v>
      </c>
      <c r="CA433" s="50" t="s">
        <v>8370</v>
      </c>
      <c r="CB433" s="50" t="s">
        <v>3448</v>
      </c>
      <c r="CC433" s="50" t="s">
        <v>3449</v>
      </c>
      <c r="CD433" s="50" t="s">
        <v>8370</v>
      </c>
      <c r="CE433" s="50" t="s">
        <v>3448</v>
      </c>
      <c r="CF433" s="50" t="s">
        <v>3449</v>
      </c>
      <c r="CG433" s="50" t="s">
        <v>3968</v>
      </c>
      <c r="CH433" s="50" t="s">
        <v>8372</v>
      </c>
      <c r="CJ433" s="50" t="s">
        <v>8373</v>
      </c>
      <c r="CK433" s="50" t="s">
        <v>8372</v>
      </c>
      <c r="CL433" s="50" t="s">
        <v>920</v>
      </c>
      <c r="CM433" s="50" t="s">
        <v>211</v>
      </c>
      <c r="CN433" s="50" t="s">
        <v>8373</v>
      </c>
      <c r="CO433" s="50" t="s">
        <v>8374</v>
      </c>
      <c r="CP433" s="50" t="s">
        <v>8372</v>
      </c>
      <c r="CQ433" s="50" t="s">
        <v>8372</v>
      </c>
      <c r="CR433" s="50" t="s">
        <v>26043</v>
      </c>
    </row>
    <row r="434" spans="1:96">
      <c r="A434" s="50" t="s">
        <v>93</v>
      </c>
      <c r="B434" s="50">
        <v>5018488</v>
      </c>
      <c r="C434" s="50" t="s">
        <v>11995</v>
      </c>
      <c r="D434" s="50" t="s">
        <v>19891</v>
      </c>
      <c r="E434" s="50" t="str">
        <f>VLOOKUP(B434,aa!B:F,5,0)</f>
        <v>Ei CARES, Ei Mindspark</v>
      </c>
      <c r="F434" s="50">
        <f>VLOOKUP(B434,aa!B:J,9,0)</f>
        <v>650614</v>
      </c>
      <c r="G434" s="50">
        <f>VLOOKUP(B434,aa!B:L,11,0)</f>
        <v>0</v>
      </c>
      <c r="H434" s="50">
        <f>VLOOKUP(B434,aa!B:O,14,0)</f>
        <v>298470</v>
      </c>
      <c r="I434" s="50">
        <f>VLOOKUP(B434,aa!B:R,17,0)</f>
        <v>352144</v>
      </c>
      <c r="K434" s="50" t="s">
        <v>8024</v>
      </c>
      <c r="L434" s="50">
        <v>603509</v>
      </c>
      <c r="M434" s="50">
        <v>678818</v>
      </c>
      <c r="N434" s="50">
        <v>0</v>
      </c>
      <c r="O434" s="50">
        <v>0</v>
      </c>
      <c r="Q434" s="50">
        <v>185125</v>
      </c>
      <c r="R434" s="50">
        <v>150</v>
      </c>
      <c r="S434" s="50" t="s">
        <v>19892</v>
      </c>
      <c r="T434" s="50">
        <v>418384</v>
      </c>
      <c r="U434" s="50">
        <v>150</v>
      </c>
      <c r="V434" s="50" t="s">
        <v>19893</v>
      </c>
      <c r="W434" s="50" t="s">
        <v>102</v>
      </c>
      <c r="X434" s="50" t="s">
        <v>103</v>
      </c>
      <c r="Y434" s="50" t="s">
        <v>155</v>
      </c>
      <c r="AA434" s="50" t="s">
        <v>680</v>
      </c>
      <c r="AB434" s="50" t="s">
        <v>19894</v>
      </c>
      <c r="AC434" s="50" t="s">
        <v>1408</v>
      </c>
      <c r="AD434" s="50" t="s">
        <v>19895</v>
      </c>
      <c r="AE434" s="50" t="s">
        <v>12289</v>
      </c>
      <c r="AF434" s="50" t="s">
        <v>19895</v>
      </c>
      <c r="AG434" s="50" t="s">
        <v>11886</v>
      </c>
      <c r="AH434" s="50" t="s">
        <v>19895</v>
      </c>
      <c r="AI434" s="50" t="s">
        <v>19896</v>
      </c>
      <c r="AJ434" s="50" t="s">
        <v>680</v>
      </c>
      <c r="AK434" s="50" t="s">
        <v>19897</v>
      </c>
      <c r="AL434" s="50" t="s">
        <v>19898</v>
      </c>
      <c r="AM434" s="50" t="s">
        <v>19899</v>
      </c>
      <c r="AN434" s="50" t="s">
        <v>19900</v>
      </c>
      <c r="AO434" s="50" t="s">
        <v>17462</v>
      </c>
      <c r="AP434" s="50" t="s">
        <v>17462</v>
      </c>
      <c r="AU434" s="50" t="s">
        <v>102</v>
      </c>
      <c r="AW434" s="50" t="s">
        <v>155</v>
      </c>
      <c r="AX434" s="50" t="s">
        <v>119</v>
      </c>
      <c r="AY434" s="50" t="s">
        <v>170</v>
      </c>
      <c r="AZ434" s="50" t="s">
        <v>118</v>
      </c>
      <c r="BA434" s="50" t="s">
        <v>250</v>
      </c>
      <c r="BB434" s="50" t="s">
        <v>120</v>
      </c>
      <c r="BC434" s="50" t="s">
        <v>19901</v>
      </c>
      <c r="BD434" s="50" t="s">
        <v>6390</v>
      </c>
      <c r="BE434" s="50" t="s">
        <v>212</v>
      </c>
      <c r="BF434" s="50" t="s">
        <v>286</v>
      </c>
      <c r="BG434" s="50" t="s">
        <v>124</v>
      </c>
      <c r="BH434" s="50" t="s">
        <v>12819</v>
      </c>
      <c r="BI434" s="50" t="s">
        <v>12047</v>
      </c>
      <c r="BJ434" s="50" t="s">
        <v>127</v>
      </c>
      <c r="BK434" s="50" t="s">
        <v>19902</v>
      </c>
      <c r="BL434" s="50" t="s">
        <v>19903</v>
      </c>
      <c r="BM434" s="50" t="s">
        <v>19904</v>
      </c>
      <c r="BN434" s="50" t="s">
        <v>1408</v>
      </c>
      <c r="BO434" s="50" t="s">
        <v>17684</v>
      </c>
      <c r="BP434" s="50" t="s">
        <v>132</v>
      </c>
      <c r="BQ434" s="50" t="s">
        <v>17685</v>
      </c>
      <c r="BR434" s="50" t="s">
        <v>17686</v>
      </c>
      <c r="BS434" s="50" t="s">
        <v>17687</v>
      </c>
      <c r="BU434" s="50" t="s">
        <v>19905</v>
      </c>
      <c r="BV434" s="50" t="s">
        <v>19906</v>
      </c>
      <c r="BW434" s="50" t="s">
        <v>138</v>
      </c>
      <c r="BX434" s="50" t="s">
        <v>19907</v>
      </c>
      <c r="BY434" s="50" t="s">
        <v>19908</v>
      </c>
      <c r="BZ434" s="50" t="s">
        <v>19909</v>
      </c>
      <c r="CA434" s="50" t="s">
        <v>19910</v>
      </c>
      <c r="CB434" s="50" t="s">
        <v>19907</v>
      </c>
      <c r="CC434" s="50" t="s">
        <v>19911</v>
      </c>
      <c r="CD434" s="50" t="s">
        <v>19912</v>
      </c>
      <c r="CE434" s="50" t="s">
        <v>19913</v>
      </c>
      <c r="CF434" s="50" t="s">
        <v>19914</v>
      </c>
      <c r="CG434" s="50" t="s">
        <v>102</v>
      </c>
      <c r="CH434" s="50" t="s">
        <v>19915</v>
      </c>
      <c r="CJ434" s="50" t="s">
        <v>19916</v>
      </c>
      <c r="CK434" s="50" t="s">
        <v>19917</v>
      </c>
      <c r="CL434" s="50" t="s">
        <v>19901</v>
      </c>
      <c r="CM434" s="50" t="s">
        <v>6390</v>
      </c>
      <c r="CN434" s="50" t="s">
        <v>19916</v>
      </c>
      <c r="CP434" s="50" t="s">
        <v>19918</v>
      </c>
      <c r="CQ434" s="50" t="s">
        <v>19918</v>
      </c>
    </row>
    <row r="435" spans="1:96">
      <c r="A435" s="95" t="s">
        <v>149</v>
      </c>
      <c r="B435" s="50">
        <v>615868</v>
      </c>
      <c r="C435" s="50" t="s">
        <v>11947</v>
      </c>
      <c r="D435" s="50" t="s">
        <v>11317</v>
      </c>
      <c r="E435" s="50" t="e">
        <f>VLOOKUP(B435,aa!B:F,5,0)</f>
        <v>#N/A</v>
      </c>
      <c r="F435" s="50" t="e">
        <f>VLOOKUP(B435,aa!B:J,9,0)</f>
        <v>#N/A</v>
      </c>
      <c r="G435" s="50" t="e">
        <f>VLOOKUP(B435,aa!B:L,11,0)</f>
        <v>#N/A</v>
      </c>
      <c r="H435" s="50" t="e">
        <f>VLOOKUP(B435,aa!B:O,14,0)</f>
        <v>#N/A</v>
      </c>
      <c r="I435" s="50" t="e">
        <f>VLOOKUP(B435,aa!B:R,17,0)</f>
        <v>#N/A</v>
      </c>
      <c r="K435" s="50" t="s">
        <v>97</v>
      </c>
      <c r="L435" s="50">
        <v>15947</v>
      </c>
      <c r="M435" s="50">
        <v>15947</v>
      </c>
      <c r="N435" s="50">
        <v>15947</v>
      </c>
      <c r="O435" s="50">
        <v>29</v>
      </c>
      <c r="P435" s="50" t="s">
        <v>3431</v>
      </c>
      <c r="Q435" s="50">
        <v>0</v>
      </c>
      <c r="R435" s="50">
        <v>0</v>
      </c>
      <c r="T435" s="50">
        <v>0</v>
      </c>
      <c r="U435" s="50">
        <v>0</v>
      </c>
      <c r="W435" s="50" t="s">
        <v>102</v>
      </c>
      <c r="X435" s="50" t="s">
        <v>103</v>
      </c>
      <c r="Y435" s="50" t="s">
        <v>104</v>
      </c>
      <c r="AA435" s="50" t="s">
        <v>12040</v>
      </c>
      <c r="AB435" s="50" t="s">
        <v>21240</v>
      </c>
      <c r="AC435" s="50" t="s">
        <v>12713</v>
      </c>
      <c r="AD435" s="50" t="s">
        <v>21241</v>
      </c>
      <c r="AE435" s="50" t="s">
        <v>109</v>
      </c>
      <c r="AF435" s="50" t="s">
        <v>102</v>
      </c>
      <c r="AG435" s="50" t="s">
        <v>109</v>
      </c>
      <c r="AH435" s="50" t="s">
        <v>102</v>
      </c>
      <c r="AI435" s="50" t="s">
        <v>21242</v>
      </c>
      <c r="AJ435" s="50" t="s">
        <v>12427</v>
      </c>
      <c r="AK435" s="50" t="s">
        <v>13386</v>
      </c>
      <c r="AL435" s="50" t="s">
        <v>21243</v>
      </c>
      <c r="AM435" s="50" t="s">
        <v>21244</v>
      </c>
      <c r="AN435" s="50" t="s">
        <v>104</v>
      </c>
      <c r="AO435" s="50" t="s">
        <v>4840</v>
      </c>
      <c r="AP435" s="50" t="s">
        <v>4840</v>
      </c>
      <c r="AU435" s="50" t="s">
        <v>318</v>
      </c>
      <c r="AV435" s="50" t="s">
        <v>118</v>
      </c>
      <c r="AW435" s="50" t="s">
        <v>102</v>
      </c>
      <c r="AX435" s="50" t="s">
        <v>119</v>
      </c>
      <c r="BB435" s="50" t="s">
        <v>209</v>
      </c>
      <c r="BC435" s="50" t="s">
        <v>920</v>
      </c>
      <c r="BD435" s="50" t="s">
        <v>211</v>
      </c>
      <c r="BE435" s="50" t="s">
        <v>212</v>
      </c>
      <c r="BF435" s="50" t="s">
        <v>213</v>
      </c>
      <c r="BG435" s="50" t="s">
        <v>124</v>
      </c>
      <c r="BH435" s="50" t="s">
        <v>11959</v>
      </c>
      <c r="BI435" s="50" t="s">
        <v>11889</v>
      </c>
      <c r="BJ435" s="50" t="s">
        <v>127</v>
      </c>
      <c r="BK435" s="50" t="s">
        <v>21245</v>
      </c>
      <c r="BL435" s="50" t="s">
        <v>11325</v>
      </c>
      <c r="BM435" s="50" t="s">
        <v>21246</v>
      </c>
      <c r="BN435" s="50" t="s">
        <v>1408</v>
      </c>
      <c r="BO435" s="50" t="s">
        <v>415</v>
      </c>
      <c r="BP435" s="50" t="s">
        <v>180</v>
      </c>
      <c r="BQ435" s="50" t="s">
        <v>416</v>
      </c>
      <c r="BR435" s="50" t="s">
        <v>417</v>
      </c>
      <c r="BS435" s="50" t="s">
        <v>2151</v>
      </c>
      <c r="BU435" s="50" t="s">
        <v>21247</v>
      </c>
      <c r="BV435" s="50" t="s">
        <v>14018</v>
      </c>
      <c r="BW435" s="50" t="s">
        <v>138</v>
      </c>
      <c r="BX435" s="50" t="s">
        <v>3448</v>
      </c>
      <c r="BY435" s="50" t="s">
        <v>14019</v>
      </c>
      <c r="BZ435" s="50" t="s">
        <v>3450</v>
      </c>
      <c r="CA435" s="50" t="s">
        <v>14018</v>
      </c>
      <c r="CB435" s="50" t="s">
        <v>3448</v>
      </c>
      <c r="CC435" s="50" t="s">
        <v>14019</v>
      </c>
      <c r="CD435" s="50" t="s">
        <v>14018</v>
      </c>
      <c r="CE435" s="50" t="s">
        <v>3448</v>
      </c>
      <c r="CF435" s="50" t="s">
        <v>14019</v>
      </c>
      <c r="CG435" s="50" t="s">
        <v>573</v>
      </c>
      <c r="CH435" s="50" t="s">
        <v>11329</v>
      </c>
      <c r="CJ435" s="50" t="s">
        <v>3453</v>
      </c>
      <c r="CK435" s="50" t="s">
        <v>21248</v>
      </c>
      <c r="CL435" s="50" t="s">
        <v>920</v>
      </c>
      <c r="CM435" s="50" t="s">
        <v>211</v>
      </c>
      <c r="CN435" s="50" t="s">
        <v>3453</v>
      </c>
      <c r="CO435" s="50" t="s">
        <v>3455</v>
      </c>
      <c r="CP435" s="50" t="s">
        <v>11329</v>
      </c>
      <c r="CQ435" s="50" t="s">
        <v>11329</v>
      </c>
      <c r="CR435" s="50" t="s">
        <v>26043</v>
      </c>
    </row>
    <row r="436" spans="1:96">
      <c r="A436" s="95" t="s">
        <v>26356</v>
      </c>
      <c r="B436" s="50">
        <v>5058694</v>
      </c>
      <c r="C436" s="50" t="s">
        <v>3562</v>
      </c>
      <c r="D436" s="50" t="s">
        <v>20671</v>
      </c>
      <c r="E436" s="50" t="e">
        <f>VLOOKUP(B436,aa!B:F,5,0)</f>
        <v>#N/A</v>
      </c>
      <c r="F436" s="50" t="e">
        <f>VLOOKUP(B436,aa!B:J,9,0)</f>
        <v>#N/A</v>
      </c>
      <c r="G436" s="50" t="e">
        <f>VLOOKUP(B436,aa!B:L,11,0)</f>
        <v>#N/A</v>
      </c>
      <c r="H436" s="50" t="e">
        <f>VLOOKUP(B436,aa!B:O,14,0)</f>
        <v>#N/A</v>
      </c>
      <c r="I436" s="50" t="e">
        <f>VLOOKUP(B436,aa!B:R,17,0)</f>
        <v>#N/A</v>
      </c>
      <c r="K436" s="50" t="s">
        <v>2163</v>
      </c>
      <c r="L436" s="50">
        <v>1083722</v>
      </c>
      <c r="M436" s="50">
        <v>1198231</v>
      </c>
      <c r="N436" s="50">
        <v>183811</v>
      </c>
      <c r="O436" s="50">
        <v>230</v>
      </c>
      <c r="P436" s="50" t="s">
        <v>20673</v>
      </c>
      <c r="Q436" s="50">
        <v>263751</v>
      </c>
      <c r="R436" s="50">
        <v>189</v>
      </c>
      <c r="S436" s="50" t="s">
        <v>20674</v>
      </c>
      <c r="T436" s="50">
        <v>636160</v>
      </c>
      <c r="U436" s="50">
        <v>293</v>
      </c>
      <c r="V436" s="50" t="s">
        <v>20675</v>
      </c>
      <c r="W436" s="50" t="s">
        <v>102</v>
      </c>
      <c r="X436" s="50" t="s">
        <v>275</v>
      </c>
      <c r="Z436" s="50" t="s">
        <v>14547</v>
      </c>
      <c r="AA436" s="50" t="s">
        <v>109</v>
      </c>
      <c r="AB436" s="50" t="s">
        <v>102</v>
      </c>
      <c r="AC436" s="50" t="s">
        <v>109</v>
      </c>
      <c r="AD436" s="50" t="s">
        <v>102</v>
      </c>
      <c r="AE436" s="50" t="s">
        <v>109</v>
      </c>
      <c r="AF436" s="50" t="s">
        <v>102</v>
      </c>
      <c r="AG436" s="50" t="s">
        <v>109</v>
      </c>
      <c r="AH436" s="50" t="s">
        <v>102</v>
      </c>
      <c r="AI436" s="50" t="s">
        <v>102</v>
      </c>
      <c r="AJ436" s="50" t="s">
        <v>15195</v>
      </c>
      <c r="AK436" s="50" t="s">
        <v>15195</v>
      </c>
      <c r="AL436" s="50" t="s">
        <v>20676</v>
      </c>
      <c r="AM436" s="50" t="s">
        <v>20677</v>
      </c>
      <c r="AN436" s="50" t="s">
        <v>20678</v>
      </c>
      <c r="AO436" s="50" t="s">
        <v>20679</v>
      </c>
      <c r="AP436" s="50" t="s">
        <v>20679</v>
      </c>
      <c r="AU436" s="50" t="s">
        <v>207</v>
      </c>
      <c r="AV436" s="50" t="s">
        <v>118</v>
      </c>
      <c r="AW436" s="50" t="s">
        <v>1103</v>
      </c>
      <c r="AX436" s="50" t="s">
        <v>249</v>
      </c>
      <c r="AY436" s="50" t="s">
        <v>170</v>
      </c>
      <c r="AZ436" s="50" t="s">
        <v>118</v>
      </c>
      <c r="BA436" s="50" t="s">
        <v>250</v>
      </c>
      <c r="BB436" s="50" t="s">
        <v>1964</v>
      </c>
      <c r="BC436" s="50" t="s">
        <v>1729</v>
      </c>
      <c r="BD436" s="50" t="s">
        <v>730</v>
      </c>
      <c r="BE436" s="50" t="s">
        <v>622</v>
      </c>
      <c r="BF436" s="50" t="s">
        <v>730</v>
      </c>
      <c r="BG436" s="50" t="s">
        <v>124</v>
      </c>
      <c r="BH436" s="50" t="s">
        <v>11976</v>
      </c>
      <c r="BI436" s="50" t="s">
        <v>12720</v>
      </c>
      <c r="BJ436" s="50" t="s">
        <v>127</v>
      </c>
      <c r="BK436" s="50" t="s">
        <v>20680</v>
      </c>
      <c r="BL436" s="50" t="s">
        <v>20681</v>
      </c>
      <c r="BM436" s="50" t="s">
        <v>20682</v>
      </c>
      <c r="BN436" s="50" t="s">
        <v>20672</v>
      </c>
      <c r="BO436" s="50" t="s">
        <v>734</v>
      </c>
      <c r="BP436" s="50" t="s">
        <v>350</v>
      </c>
      <c r="BQ436" s="50" t="s">
        <v>735</v>
      </c>
      <c r="BR436" s="50" t="s">
        <v>736</v>
      </c>
      <c r="BS436" s="50" t="s">
        <v>737</v>
      </c>
      <c r="BU436" s="50" t="s">
        <v>20683</v>
      </c>
      <c r="BV436" s="50" t="s">
        <v>6852</v>
      </c>
      <c r="BW436" s="50" t="s">
        <v>569</v>
      </c>
      <c r="BX436" s="50" t="s">
        <v>4098</v>
      </c>
      <c r="BY436" s="50" t="s">
        <v>4099</v>
      </c>
      <c r="BZ436" s="50" t="s">
        <v>4098</v>
      </c>
      <c r="CA436" s="50" t="s">
        <v>6852</v>
      </c>
      <c r="CB436" s="50" t="s">
        <v>4098</v>
      </c>
      <c r="CC436" s="50" t="s">
        <v>4099</v>
      </c>
      <c r="CD436" s="50" t="s">
        <v>6852</v>
      </c>
      <c r="CE436" s="50" t="s">
        <v>4098</v>
      </c>
      <c r="CF436" s="50" t="s">
        <v>4099</v>
      </c>
      <c r="CG436" s="50" t="s">
        <v>907</v>
      </c>
      <c r="CH436" s="50" t="s">
        <v>20684</v>
      </c>
      <c r="CJ436" s="50" t="s">
        <v>1743</v>
      </c>
      <c r="CK436" s="50" t="s">
        <v>1742</v>
      </c>
      <c r="CL436" s="50" t="s">
        <v>1729</v>
      </c>
      <c r="CM436" s="50" t="s">
        <v>730</v>
      </c>
      <c r="CN436" s="50" t="s">
        <v>1743</v>
      </c>
      <c r="CP436" s="50" t="s">
        <v>20685</v>
      </c>
      <c r="CQ436" s="50" t="s">
        <v>20685</v>
      </c>
    </row>
    <row r="437" spans="1:96">
      <c r="A437" s="50" t="s">
        <v>26356</v>
      </c>
      <c r="B437" s="50">
        <v>1752</v>
      </c>
      <c r="C437" s="50" t="s">
        <v>3562</v>
      </c>
      <c r="D437" s="50" t="s">
        <v>1713</v>
      </c>
      <c r="E437" s="50" t="e">
        <f>VLOOKUP(B437,aa!B:F,5,0)</f>
        <v>#N/A</v>
      </c>
      <c r="F437" s="50" t="e">
        <f>VLOOKUP(B437,aa!B:J,9,0)</f>
        <v>#N/A</v>
      </c>
      <c r="G437" s="50" t="e">
        <f>VLOOKUP(B437,aa!B:L,11,0)</f>
        <v>#N/A</v>
      </c>
      <c r="H437" s="50" t="e">
        <f>VLOOKUP(B437,aa!B:O,14,0)</f>
        <v>#N/A</v>
      </c>
      <c r="I437" s="50" t="e">
        <f>VLOOKUP(B437,aa!B:R,17,0)</f>
        <v>#N/A</v>
      </c>
      <c r="K437" s="50" t="s">
        <v>193</v>
      </c>
      <c r="L437" s="50">
        <v>10514044</v>
      </c>
      <c r="M437" s="50">
        <v>12245201</v>
      </c>
      <c r="N437" s="50">
        <v>896506</v>
      </c>
      <c r="O437" s="50">
        <v>1470</v>
      </c>
      <c r="P437" s="50" t="s">
        <v>12898</v>
      </c>
      <c r="Q437" s="50">
        <v>0</v>
      </c>
      <c r="R437" s="50">
        <v>0</v>
      </c>
      <c r="T437" s="50">
        <v>9617538</v>
      </c>
      <c r="U437" s="50">
        <v>4365</v>
      </c>
      <c r="V437" s="50" t="s">
        <v>608</v>
      </c>
      <c r="W437" s="50" t="s">
        <v>102</v>
      </c>
      <c r="X437" s="50" t="s">
        <v>275</v>
      </c>
      <c r="Z437" s="50" t="s">
        <v>12899</v>
      </c>
      <c r="AA437" s="50" t="s">
        <v>109</v>
      </c>
      <c r="AB437" s="50" t="s">
        <v>102</v>
      </c>
      <c r="AC437" s="50" t="s">
        <v>109</v>
      </c>
      <c r="AD437" s="50" t="s">
        <v>102</v>
      </c>
      <c r="AE437" s="50" t="s">
        <v>109</v>
      </c>
      <c r="AF437" s="50" t="s">
        <v>102</v>
      </c>
      <c r="AG437" s="50" t="s">
        <v>109</v>
      </c>
      <c r="AH437" s="50" t="s">
        <v>102</v>
      </c>
      <c r="AI437" s="50" t="s">
        <v>102</v>
      </c>
      <c r="AL437" s="50" t="s">
        <v>12900</v>
      </c>
      <c r="AM437" s="50" t="s">
        <v>102</v>
      </c>
      <c r="AN437" s="50" t="s">
        <v>12900</v>
      </c>
      <c r="AO437" s="50" t="s">
        <v>12901</v>
      </c>
      <c r="AP437" s="50" t="s">
        <v>12902</v>
      </c>
      <c r="AR437" s="50" t="s">
        <v>169</v>
      </c>
      <c r="AT437" s="50" t="s">
        <v>169</v>
      </c>
      <c r="AU437" s="50" t="s">
        <v>117</v>
      </c>
      <c r="AV437" s="50" t="s">
        <v>118</v>
      </c>
      <c r="AW437" s="50" t="s">
        <v>102</v>
      </c>
      <c r="AX437" s="50" t="s">
        <v>119</v>
      </c>
      <c r="BA437" s="50" t="s">
        <v>250</v>
      </c>
      <c r="BB437" s="50" t="s">
        <v>171</v>
      </c>
      <c r="BC437" s="50" t="s">
        <v>1729</v>
      </c>
      <c r="BD437" s="50" t="s">
        <v>730</v>
      </c>
      <c r="BE437" s="50" t="s">
        <v>622</v>
      </c>
      <c r="BF437" s="50" t="s">
        <v>730</v>
      </c>
      <c r="BG437" s="50" t="s">
        <v>124</v>
      </c>
      <c r="BH437" s="50" t="s">
        <v>11976</v>
      </c>
      <c r="BI437" s="50" t="s">
        <v>12720</v>
      </c>
      <c r="BJ437" s="50" t="s">
        <v>127</v>
      </c>
      <c r="BK437" s="50" t="s">
        <v>12903</v>
      </c>
      <c r="BL437" s="50" t="s">
        <v>1731</v>
      </c>
      <c r="BM437" s="50" t="s">
        <v>12904</v>
      </c>
      <c r="BN437" s="50" t="s">
        <v>12897</v>
      </c>
      <c r="BO437" s="50" t="s">
        <v>734</v>
      </c>
      <c r="BP437" s="50" t="s">
        <v>12227</v>
      </c>
      <c r="BQ437" s="50" t="s">
        <v>735</v>
      </c>
      <c r="BR437" s="50" t="s">
        <v>736</v>
      </c>
      <c r="BS437" s="50" t="s">
        <v>737</v>
      </c>
      <c r="BT437" s="50" t="s">
        <v>985</v>
      </c>
      <c r="BU437" s="50" t="s">
        <v>12905</v>
      </c>
      <c r="BV437" s="50" t="s">
        <v>6852</v>
      </c>
      <c r="BW437" s="50" t="s">
        <v>9092</v>
      </c>
      <c r="BX437" s="50" t="s">
        <v>4098</v>
      </c>
      <c r="BY437" s="50" t="s">
        <v>4099</v>
      </c>
      <c r="BZ437" s="50" t="s">
        <v>1740</v>
      </c>
      <c r="CA437" s="50" t="s">
        <v>6852</v>
      </c>
      <c r="CB437" s="50" t="s">
        <v>4098</v>
      </c>
      <c r="CC437" s="50" t="s">
        <v>4099</v>
      </c>
      <c r="CD437" s="50" t="s">
        <v>6852</v>
      </c>
      <c r="CE437" s="50" t="s">
        <v>4098</v>
      </c>
      <c r="CF437" s="50" t="s">
        <v>4099</v>
      </c>
      <c r="CG437" s="50" t="s">
        <v>1741</v>
      </c>
      <c r="CH437" s="50" t="s">
        <v>12906</v>
      </c>
      <c r="CJ437" s="50" t="s">
        <v>1743</v>
      </c>
      <c r="CK437" s="50" t="s">
        <v>12906</v>
      </c>
      <c r="CL437" s="50" t="s">
        <v>1729</v>
      </c>
      <c r="CM437" s="50" t="s">
        <v>730</v>
      </c>
      <c r="CN437" s="50" t="s">
        <v>1743</v>
      </c>
      <c r="CP437" s="50" t="s">
        <v>1742</v>
      </c>
      <c r="CQ437" s="50" t="s">
        <v>1742</v>
      </c>
    </row>
    <row r="438" spans="1:96">
      <c r="A438" s="50" t="s">
        <v>26356</v>
      </c>
      <c r="B438" s="50">
        <v>359413</v>
      </c>
      <c r="C438" s="50" t="s">
        <v>3562</v>
      </c>
      <c r="D438" s="50" t="s">
        <v>6836</v>
      </c>
      <c r="E438" s="50" t="e">
        <f>VLOOKUP(B438,aa!B:F,5,0)</f>
        <v>#N/A</v>
      </c>
      <c r="F438" s="50" t="e">
        <f>VLOOKUP(B438,aa!B:J,9,0)</f>
        <v>#N/A</v>
      </c>
      <c r="G438" s="50" t="e">
        <f>VLOOKUP(B438,aa!B:L,11,0)</f>
        <v>#N/A</v>
      </c>
      <c r="H438" s="50" t="e">
        <f>VLOOKUP(B438,aa!B:O,14,0)</f>
        <v>#N/A</v>
      </c>
      <c r="I438" s="50" t="e">
        <f>VLOOKUP(B438,aa!B:R,17,0)</f>
        <v>#N/A</v>
      </c>
      <c r="K438" s="50" t="s">
        <v>193</v>
      </c>
      <c r="L438" s="50">
        <v>1899919</v>
      </c>
      <c r="M438" s="50">
        <v>2106067</v>
      </c>
      <c r="N438" s="50">
        <v>754650</v>
      </c>
      <c r="O438" s="50">
        <v>1248</v>
      </c>
      <c r="P438" s="50" t="s">
        <v>16592</v>
      </c>
      <c r="Q438" s="50">
        <v>0</v>
      </c>
      <c r="R438" s="50">
        <v>0</v>
      </c>
      <c r="T438" s="50">
        <v>1145269</v>
      </c>
      <c r="U438" s="50">
        <v>750</v>
      </c>
      <c r="V438" s="50" t="s">
        <v>14546</v>
      </c>
      <c r="W438" s="50" t="s">
        <v>102</v>
      </c>
      <c r="X438" s="50" t="s">
        <v>275</v>
      </c>
      <c r="Z438" s="50" t="s">
        <v>12899</v>
      </c>
      <c r="AA438" s="50" t="s">
        <v>109</v>
      </c>
      <c r="AB438" s="50" t="s">
        <v>102</v>
      </c>
      <c r="AC438" s="50" t="s">
        <v>109</v>
      </c>
      <c r="AD438" s="50" t="s">
        <v>102</v>
      </c>
      <c r="AE438" s="50" t="s">
        <v>109</v>
      </c>
      <c r="AF438" s="50" t="s">
        <v>102</v>
      </c>
      <c r="AG438" s="50" t="s">
        <v>109</v>
      </c>
      <c r="AH438" s="50" t="s">
        <v>102</v>
      </c>
      <c r="AI438" s="50" t="s">
        <v>102</v>
      </c>
      <c r="AJ438" s="50" t="s">
        <v>16593</v>
      </c>
      <c r="AK438" s="50" t="s">
        <v>16593</v>
      </c>
      <c r="AL438" s="50" t="s">
        <v>16594</v>
      </c>
      <c r="AM438" s="50" t="s">
        <v>16595</v>
      </c>
      <c r="AN438" s="50" t="s">
        <v>16596</v>
      </c>
      <c r="AO438" s="50" t="s">
        <v>16597</v>
      </c>
      <c r="AP438" s="50" t="s">
        <v>16598</v>
      </c>
      <c r="AR438" s="50" t="s">
        <v>169</v>
      </c>
      <c r="AT438" s="50" t="s">
        <v>169</v>
      </c>
      <c r="AU438" s="50" t="s">
        <v>207</v>
      </c>
      <c r="AV438" s="50" t="s">
        <v>118</v>
      </c>
      <c r="AW438" s="50" t="s">
        <v>102</v>
      </c>
      <c r="AX438" s="50" t="s">
        <v>119</v>
      </c>
      <c r="BA438" s="50" t="s">
        <v>250</v>
      </c>
      <c r="BB438" s="50" t="s">
        <v>3678</v>
      </c>
      <c r="BC438" s="50" t="s">
        <v>1729</v>
      </c>
      <c r="BD438" s="50" t="s">
        <v>730</v>
      </c>
      <c r="BE438" s="50" t="s">
        <v>622</v>
      </c>
      <c r="BF438" s="50" t="s">
        <v>730</v>
      </c>
      <c r="BG438" s="50" t="s">
        <v>124</v>
      </c>
      <c r="BH438" s="50" t="s">
        <v>11976</v>
      </c>
      <c r="BI438" s="50" t="s">
        <v>12720</v>
      </c>
      <c r="BJ438" s="50" t="s">
        <v>127</v>
      </c>
      <c r="BK438" s="50" t="s">
        <v>16599</v>
      </c>
      <c r="BL438" s="50" t="s">
        <v>6849</v>
      </c>
      <c r="BM438" s="50" t="s">
        <v>16600</v>
      </c>
      <c r="BN438" s="50" t="s">
        <v>12897</v>
      </c>
      <c r="BO438" s="50" t="s">
        <v>734</v>
      </c>
      <c r="BP438" s="50" t="s">
        <v>350</v>
      </c>
      <c r="BQ438" s="50" t="s">
        <v>735</v>
      </c>
      <c r="BR438" s="50" t="s">
        <v>736</v>
      </c>
      <c r="BS438" s="50" t="s">
        <v>737</v>
      </c>
      <c r="BT438" s="50" t="s">
        <v>985</v>
      </c>
      <c r="BU438" s="50" t="s">
        <v>16601</v>
      </c>
      <c r="BV438" s="50" t="s">
        <v>6852</v>
      </c>
      <c r="BW438" s="50" t="s">
        <v>9092</v>
      </c>
      <c r="BX438" s="50" t="s">
        <v>4098</v>
      </c>
      <c r="BY438" s="50" t="s">
        <v>4099</v>
      </c>
      <c r="BZ438" s="50" t="s">
        <v>1740</v>
      </c>
      <c r="CA438" s="50" t="s">
        <v>6852</v>
      </c>
      <c r="CB438" s="50" t="s">
        <v>4098</v>
      </c>
      <c r="CC438" s="50" t="s">
        <v>4099</v>
      </c>
      <c r="CD438" s="50" t="s">
        <v>6852</v>
      </c>
      <c r="CE438" s="50" t="s">
        <v>4098</v>
      </c>
      <c r="CF438" s="50" t="s">
        <v>4099</v>
      </c>
      <c r="CG438" s="50" t="s">
        <v>6853</v>
      </c>
      <c r="CH438" s="50" t="s">
        <v>16602</v>
      </c>
      <c r="CJ438" s="50" t="s">
        <v>6855</v>
      </c>
      <c r="CK438" s="50" t="s">
        <v>6854</v>
      </c>
      <c r="CL438" s="50" t="s">
        <v>1729</v>
      </c>
      <c r="CM438" s="50" t="s">
        <v>730</v>
      </c>
      <c r="CN438" s="50" t="s">
        <v>6855</v>
      </c>
      <c r="CP438" s="50" t="s">
        <v>6854</v>
      </c>
      <c r="CQ438" s="50" t="s">
        <v>6854</v>
      </c>
    </row>
    <row r="439" spans="1:96">
      <c r="A439" s="50" t="s">
        <v>26356</v>
      </c>
      <c r="B439" s="50">
        <v>2561674</v>
      </c>
      <c r="C439" s="50" t="s">
        <v>3562</v>
      </c>
      <c r="D439" s="50" t="s">
        <v>4079</v>
      </c>
      <c r="E439" s="50" t="e">
        <f>VLOOKUP(B439,aa!B:F,5,0)</f>
        <v>#N/A</v>
      </c>
      <c r="F439" s="50" t="e">
        <f>VLOOKUP(B439,aa!B:J,9,0)</f>
        <v>#N/A</v>
      </c>
      <c r="G439" s="50" t="e">
        <f>VLOOKUP(B439,aa!B:L,11,0)</f>
        <v>#N/A</v>
      </c>
      <c r="H439" s="50" t="e">
        <f>VLOOKUP(B439,aa!B:O,14,0)</f>
        <v>#N/A</v>
      </c>
      <c r="I439" s="50" t="e">
        <f>VLOOKUP(B439,aa!B:R,17,0)</f>
        <v>#N/A</v>
      </c>
      <c r="K439" s="50" t="s">
        <v>193</v>
      </c>
      <c r="L439" s="50">
        <v>337061</v>
      </c>
      <c r="M439" s="50">
        <v>394783</v>
      </c>
      <c r="N439" s="50">
        <v>16386</v>
      </c>
      <c r="O439" s="50">
        <v>51</v>
      </c>
      <c r="P439" s="50" t="s">
        <v>14545</v>
      </c>
      <c r="Q439" s="50">
        <v>0</v>
      </c>
      <c r="R439" s="50">
        <v>0</v>
      </c>
      <c r="T439" s="50">
        <v>320675</v>
      </c>
      <c r="U439" s="50">
        <v>210</v>
      </c>
      <c r="V439" s="50" t="s">
        <v>14546</v>
      </c>
      <c r="W439" s="50" t="s">
        <v>102</v>
      </c>
      <c r="X439" s="50" t="s">
        <v>275</v>
      </c>
      <c r="Z439" s="50" t="s">
        <v>14547</v>
      </c>
      <c r="AA439" s="50" t="s">
        <v>109</v>
      </c>
      <c r="AB439" s="50" t="s">
        <v>102</v>
      </c>
      <c r="AC439" s="50" t="s">
        <v>109</v>
      </c>
      <c r="AD439" s="50" t="s">
        <v>102</v>
      </c>
      <c r="AE439" s="50" t="s">
        <v>109</v>
      </c>
      <c r="AF439" s="50" t="s">
        <v>102</v>
      </c>
      <c r="AG439" s="50" t="s">
        <v>109</v>
      </c>
      <c r="AH439" s="50" t="s">
        <v>102</v>
      </c>
      <c r="AI439" s="50" t="s">
        <v>102</v>
      </c>
      <c r="AL439" s="50" t="s">
        <v>14548</v>
      </c>
      <c r="AM439" s="50" t="s">
        <v>102</v>
      </c>
      <c r="AN439" s="50" t="s">
        <v>14548</v>
      </c>
      <c r="AO439" s="50" t="s">
        <v>14549</v>
      </c>
      <c r="AP439" s="50" t="s">
        <v>14550</v>
      </c>
      <c r="AT439" s="50" t="s">
        <v>169</v>
      </c>
      <c r="AU439" s="50" t="s">
        <v>207</v>
      </c>
      <c r="AV439" s="50" t="s">
        <v>118</v>
      </c>
      <c r="AW439" s="50" t="s">
        <v>102</v>
      </c>
      <c r="AX439" s="50" t="s">
        <v>119</v>
      </c>
      <c r="BA439" s="50" t="s">
        <v>250</v>
      </c>
      <c r="BB439" s="50" t="s">
        <v>209</v>
      </c>
      <c r="BC439" s="50" t="s">
        <v>1729</v>
      </c>
      <c r="BD439" s="50" t="s">
        <v>730</v>
      </c>
      <c r="BE439" s="50" t="s">
        <v>622</v>
      </c>
      <c r="BF439" s="50" t="s">
        <v>730</v>
      </c>
      <c r="BG439" s="50" t="s">
        <v>124</v>
      </c>
      <c r="BH439" s="50" t="s">
        <v>11976</v>
      </c>
      <c r="BI439" s="50" t="s">
        <v>12720</v>
      </c>
      <c r="BJ439" s="50" t="s">
        <v>127</v>
      </c>
      <c r="BK439" s="50" t="s">
        <v>14551</v>
      </c>
      <c r="BL439" s="50" t="s">
        <v>4091</v>
      </c>
      <c r="BM439" s="50" t="s">
        <v>14552</v>
      </c>
      <c r="BN439" s="50" t="s">
        <v>14544</v>
      </c>
      <c r="BO439" s="50" t="s">
        <v>734</v>
      </c>
      <c r="BP439" s="50" t="s">
        <v>180</v>
      </c>
      <c r="BQ439" s="50" t="s">
        <v>735</v>
      </c>
      <c r="BR439" s="50" t="s">
        <v>736</v>
      </c>
      <c r="BS439" s="50" t="s">
        <v>737</v>
      </c>
      <c r="BU439" s="50" t="s">
        <v>14553</v>
      </c>
      <c r="BV439" s="50" t="s">
        <v>6852</v>
      </c>
      <c r="BW439" s="50" t="s">
        <v>569</v>
      </c>
      <c r="BX439" s="50" t="s">
        <v>4098</v>
      </c>
      <c r="BY439" s="50" t="s">
        <v>4099</v>
      </c>
      <c r="BZ439" s="50" t="s">
        <v>1740</v>
      </c>
      <c r="CA439" s="50" t="s">
        <v>6852</v>
      </c>
      <c r="CB439" s="50" t="s">
        <v>4098</v>
      </c>
      <c r="CC439" s="50" t="s">
        <v>4099</v>
      </c>
      <c r="CD439" s="50" t="s">
        <v>6852</v>
      </c>
      <c r="CE439" s="50" t="s">
        <v>4098</v>
      </c>
      <c r="CF439" s="50" t="s">
        <v>4099</v>
      </c>
      <c r="CG439" s="50" t="s">
        <v>4101</v>
      </c>
      <c r="CH439" s="50" t="s">
        <v>4102</v>
      </c>
      <c r="CJ439" s="50" t="s">
        <v>4103</v>
      </c>
      <c r="CK439" s="50" t="s">
        <v>4102</v>
      </c>
      <c r="CL439" s="50" t="s">
        <v>1729</v>
      </c>
      <c r="CM439" s="50" t="s">
        <v>730</v>
      </c>
      <c r="CN439" s="50" t="s">
        <v>4103</v>
      </c>
      <c r="CO439" s="50" t="s">
        <v>4104</v>
      </c>
      <c r="CP439" s="50" t="s">
        <v>4102</v>
      </c>
      <c r="CQ439" s="50" t="s">
        <v>4102</v>
      </c>
    </row>
    <row r="440" spans="1:96">
      <c r="A440" s="95" t="s">
        <v>149</v>
      </c>
      <c r="B440" s="50">
        <v>7268</v>
      </c>
      <c r="C440" s="50" t="s">
        <v>1279</v>
      </c>
      <c r="D440" s="50" t="s">
        <v>11614</v>
      </c>
      <c r="E440" s="50" t="e">
        <f>VLOOKUP(B440,aa!B:F,5,0)</f>
        <v>#N/A</v>
      </c>
      <c r="F440" s="50" t="e">
        <f>VLOOKUP(B440,aa!B:J,9,0)</f>
        <v>#N/A</v>
      </c>
      <c r="G440" s="50" t="e">
        <f>VLOOKUP(B440,aa!B:L,11,0)</f>
        <v>#N/A</v>
      </c>
      <c r="H440" s="50" t="e">
        <f>VLOOKUP(B440,aa!B:O,14,0)</f>
        <v>#N/A</v>
      </c>
      <c r="I440" s="50" t="e">
        <f>VLOOKUP(B440,aa!B:R,17,0)</f>
        <v>#N/A</v>
      </c>
      <c r="K440" s="50" t="s">
        <v>97</v>
      </c>
      <c r="L440" s="50">
        <v>466130</v>
      </c>
      <c r="M440" s="50">
        <v>466130</v>
      </c>
      <c r="N440" s="50">
        <v>466130</v>
      </c>
      <c r="O440" s="50">
        <v>755</v>
      </c>
      <c r="P440" s="50" t="s">
        <v>21463</v>
      </c>
      <c r="Q440" s="50">
        <v>0</v>
      </c>
      <c r="R440" s="50">
        <v>0</v>
      </c>
      <c r="T440" s="50">
        <v>0</v>
      </c>
      <c r="U440" s="50">
        <v>0</v>
      </c>
      <c r="W440" s="50" t="s">
        <v>102</v>
      </c>
      <c r="X440" s="50" t="s">
        <v>103</v>
      </c>
      <c r="Y440" s="50" t="s">
        <v>104</v>
      </c>
      <c r="AA440" s="50" t="s">
        <v>12923</v>
      </c>
      <c r="AB440" s="50" t="s">
        <v>21464</v>
      </c>
      <c r="AC440" s="50" t="s">
        <v>11952</v>
      </c>
      <c r="AD440" s="50" t="s">
        <v>21465</v>
      </c>
      <c r="AE440" s="50" t="s">
        <v>109</v>
      </c>
      <c r="AF440" s="50" t="s">
        <v>102</v>
      </c>
      <c r="AG440" s="50" t="s">
        <v>109</v>
      </c>
      <c r="AH440" s="50" t="s">
        <v>102</v>
      </c>
      <c r="AI440" s="50" t="s">
        <v>21466</v>
      </c>
      <c r="AJ440" s="50" t="s">
        <v>12429</v>
      </c>
      <c r="AK440" s="50" t="s">
        <v>19723</v>
      </c>
      <c r="AL440" s="50" t="s">
        <v>21467</v>
      </c>
      <c r="AM440" s="50" t="s">
        <v>21468</v>
      </c>
      <c r="AN440" s="50" t="s">
        <v>21469</v>
      </c>
      <c r="AO440" s="50" t="s">
        <v>21470</v>
      </c>
      <c r="AP440" s="50" t="s">
        <v>21470</v>
      </c>
      <c r="AU440" s="50" t="s">
        <v>117</v>
      </c>
      <c r="AV440" s="50" t="s">
        <v>118</v>
      </c>
      <c r="AW440" s="50" t="s">
        <v>102</v>
      </c>
      <c r="AX440" s="50" t="s">
        <v>119</v>
      </c>
      <c r="BB440" s="50" t="s">
        <v>171</v>
      </c>
      <c r="BC440" s="50" t="s">
        <v>623</v>
      </c>
      <c r="BD440" s="50" t="s">
        <v>621</v>
      </c>
      <c r="BE440" s="50" t="s">
        <v>622</v>
      </c>
      <c r="BF440" s="50" t="s">
        <v>623</v>
      </c>
      <c r="BG440" s="50" t="s">
        <v>124</v>
      </c>
      <c r="BH440" s="50" t="s">
        <v>11959</v>
      </c>
      <c r="BI440" s="50" t="s">
        <v>11960</v>
      </c>
      <c r="BJ440" s="50" t="s">
        <v>127</v>
      </c>
      <c r="BK440" s="50" t="s">
        <v>21471</v>
      </c>
      <c r="BL440" s="50" t="s">
        <v>11624</v>
      </c>
      <c r="BM440" s="50" t="s">
        <v>21472</v>
      </c>
      <c r="BN440" s="50" t="s">
        <v>12923</v>
      </c>
      <c r="BO440" s="50" t="s">
        <v>629</v>
      </c>
      <c r="BP440" s="50" t="s">
        <v>350</v>
      </c>
      <c r="BQ440" s="50" t="s">
        <v>630</v>
      </c>
      <c r="BR440" s="50" t="s">
        <v>631</v>
      </c>
      <c r="BS440" s="50" t="s">
        <v>1279</v>
      </c>
      <c r="BU440" s="50" t="s">
        <v>21473</v>
      </c>
      <c r="BV440" s="50" t="s">
        <v>21474</v>
      </c>
      <c r="BW440" s="50" t="s">
        <v>138</v>
      </c>
      <c r="BX440" s="50" t="s">
        <v>21475</v>
      </c>
      <c r="BY440" s="50" t="s">
        <v>21476</v>
      </c>
      <c r="BZ440" s="50" t="s">
        <v>11630</v>
      </c>
      <c r="CA440" s="50" t="s">
        <v>21474</v>
      </c>
      <c r="CB440" s="50" t="s">
        <v>21475</v>
      </c>
      <c r="CC440" s="50" t="s">
        <v>21476</v>
      </c>
      <c r="CD440" s="50" t="s">
        <v>21474</v>
      </c>
      <c r="CE440" s="50" t="s">
        <v>21475</v>
      </c>
      <c r="CF440" s="50" t="s">
        <v>21476</v>
      </c>
      <c r="CG440" s="50" t="s">
        <v>102</v>
      </c>
      <c r="CH440" s="50" t="s">
        <v>11631</v>
      </c>
      <c r="CJ440" s="50" t="s">
        <v>4550</v>
      </c>
      <c r="CL440" s="50" t="s">
        <v>623</v>
      </c>
      <c r="CM440" s="50" t="s">
        <v>621</v>
      </c>
      <c r="CN440" s="50" t="s">
        <v>4550</v>
      </c>
      <c r="CO440" s="50" t="s">
        <v>7140</v>
      </c>
      <c r="CP440" s="50" t="s">
        <v>11631</v>
      </c>
      <c r="CQ440" s="50" t="s">
        <v>11631</v>
      </c>
      <c r="CR440" s="50" t="s">
        <v>26048</v>
      </c>
    </row>
    <row r="441" spans="1:96">
      <c r="A441" s="50" t="s">
        <v>93</v>
      </c>
      <c r="B441" s="50">
        <v>3784799</v>
      </c>
      <c r="C441" s="50" t="s">
        <v>12423</v>
      </c>
      <c r="D441" s="50" t="s">
        <v>16958</v>
      </c>
      <c r="E441" s="50" t="e">
        <f>VLOOKUP(B441,aa!B:F,5,0)</f>
        <v>#N/A</v>
      </c>
      <c r="F441" s="50" t="e">
        <f>VLOOKUP(B441,aa!B:J,9,0)</f>
        <v>#N/A</v>
      </c>
      <c r="G441" s="50" t="e">
        <f>VLOOKUP(B441,aa!B:L,11,0)</f>
        <v>#N/A</v>
      </c>
      <c r="H441" s="50" t="e">
        <f>VLOOKUP(B441,aa!B:O,14,0)</f>
        <v>#N/A</v>
      </c>
      <c r="I441" s="50" t="e">
        <f>VLOOKUP(B441,aa!B:R,17,0)</f>
        <v>#N/A</v>
      </c>
      <c r="K441" s="50" t="s">
        <v>97</v>
      </c>
      <c r="L441" s="50">
        <v>166500</v>
      </c>
      <c r="M441" s="50">
        <v>166500</v>
      </c>
      <c r="N441" s="50">
        <v>166500</v>
      </c>
      <c r="O441" s="50">
        <v>222</v>
      </c>
      <c r="P441" s="50" t="s">
        <v>101</v>
      </c>
      <c r="Q441" s="50">
        <v>0</v>
      </c>
      <c r="R441" s="50">
        <v>0</v>
      </c>
      <c r="T441" s="50">
        <v>0</v>
      </c>
      <c r="U441" s="50">
        <v>0</v>
      </c>
      <c r="W441" s="50" t="s">
        <v>102</v>
      </c>
      <c r="X441" s="50" t="s">
        <v>103</v>
      </c>
      <c r="Y441" s="50" t="s">
        <v>398</v>
      </c>
      <c r="AA441" s="50" t="s">
        <v>13033</v>
      </c>
      <c r="AB441" s="50" t="s">
        <v>16959</v>
      </c>
      <c r="AC441" s="50" t="s">
        <v>12467</v>
      </c>
      <c r="AD441" s="50" t="s">
        <v>16960</v>
      </c>
      <c r="AE441" s="50" t="s">
        <v>13034</v>
      </c>
      <c r="AF441" s="50" t="s">
        <v>16960</v>
      </c>
      <c r="AG441" s="50" t="s">
        <v>109</v>
      </c>
      <c r="AH441" s="50" t="s">
        <v>102</v>
      </c>
      <c r="AI441" s="50" t="s">
        <v>16961</v>
      </c>
      <c r="AJ441" s="50" t="s">
        <v>13174</v>
      </c>
      <c r="AK441" s="50" t="s">
        <v>13034</v>
      </c>
      <c r="AL441" s="50" t="s">
        <v>16962</v>
      </c>
      <c r="AM441" s="50" t="s">
        <v>16963</v>
      </c>
      <c r="AN441" s="50" t="s">
        <v>16964</v>
      </c>
      <c r="AO441" s="50" t="s">
        <v>116</v>
      </c>
      <c r="AP441" s="50" t="s">
        <v>116</v>
      </c>
      <c r="AU441" s="50" t="s">
        <v>318</v>
      </c>
      <c r="AV441" s="50" t="s">
        <v>118</v>
      </c>
      <c r="AW441" s="50" t="s">
        <v>102</v>
      </c>
      <c r="AX441" s="50" t="s">
        <v>119</v>
      </c>
      <c r="BB441" s="50" t="s">
        <v>120</v>
      </c>
      <c r="BC441" s="50" t="s">
        <v>3830</v>
      </c>
      <c r="BD441" s="50" t="s">
        <v>410</v>
      </c>
      <c r="BE441" s="50" t="s">
        <v>212</v>
      </c>
      <c r="BF441" s="50" t="s">
        <v>410</v>
      </c>
      <c r="BG441" s="50" t="s">
        <v>124</v>
      </c>
      <c r="BH441" s="50" t="s">
        <v>12023</v>
      </c>
      <c r="BI441" s="50" t="s">
        <v>11889</v>
      </c>
      <c r="BJ441" s="50" t="s">
        <v>127</v>
      </c>
      <c r="BK441" s="50" t="s">
        <v>16965</v>
      </c>
      <c r="BL441" s="50" t="s">
        <v>16966</v>
      </c>
      <c r="BM441" s="50" t="s">
        <v>16967</v>
      </c>
      <c r="BN441" s="50" t="s">
        <v>1165</v>
      </c>
      <c r="BO441" s="50" t="s">
        <v>4053</v>
      </c>
      <c r="BP441" s="50" t="s">
        <v>350</v>
      </c>
      <c r="BQ441" s="50" t="s">
        <v>4054</v>
      </c>
      <c r="BR441" s="50" t="s">
        <v>4055</v>
      </c>
      <c r="BS441" s="50" t="s">
        <v>4056</v>
      </c>
      <c r="BU441" s="50" t="s">
        <v>16968</v>
      </c>
      <c r="BV441" s="50" t="s">
        <v>16969</v>
      </c>
      <c r="BW441" s="50" t="s">
        <v>138</v>
      </c>
      <c r="BX441" s="50" t="s">
        <v>16970</v>
      </c>
      <c r="BY441" s="50" t="s">
        <v>16971</v>
      </c>
      <c r="BZ441" s="50" t="s">
        <v>16972</v>
      </c>
      <c r="CA441" s="50" t="s">
        <v>16973</v>
      </c>
      <c r="CB441" s="50" t="s">
        <v>16970</v>
      </c>
      <c r="CC441" s="50" t="s">
        <v>16971</v>
      </c>
      <c r="CD441" s="50" t="s">
        <v>16974</v>
      </c>
      <c r="CE441" s="50" t="s">
        <v>16975</v>
      </c>
      <c r="CF441" s="50" t="s">
        <v>16976</v>
      </c>
      <c r="CG441" s="50" t="s">
        <v>573</v>
      </c>
      <c r="CH441" s="50" t="s">
        <v>16977</v>
      </c>
      <c r="CJ441" s="50" t="s">
        <v>16978</v>
      </c>
      <c r="CK441" s="50" t="s">
        <v>16979</v>
      </c>
      <c r="CL441" s="50" t="s">
        <v>3830</v>
      </c>
      <c r="CM441" s="50" t="s">
        <v>410</v>
      </c>
      <c r="CN441" s="50" t="s">
        <v>16978</v>
      </c>
      <c r="CO441" s="50" t="s">
        <v>16980</v>
      </c>
      <c r="CP441" s="50" t="s">
        <v>16977</v>
      </c>
      <c r="CQ441" s="50" t="s">
        <v>16981</v>
      </c>
      <c r="CR441" s="50" t="s">
        <v>26047</v>
      </c>
    </row>
    <row r="442" spans="1:96">
      <c r="A442" s="95" t="s">
        <v>149</v>
      </c>
      <c r="B442" s="50">
        <v>370</v>
      </c>
      <c r="C442" s="50" t="s">
        <v>1279</v>
      </c>
      <c r="D442" s="50" t="s">
        <v>7119</v>
      </c>
      <c r="E442" s="50" t="e">
        <f>VLOOKUP(B442,aa!B:F,5,0)</f>
        <v>#N/A</v>
      </c>
      <c r="F442" s="50" t="e">
        <f>VLOOKUP(B442,aa!B:J,9,0)</f>
        <v>#N/A</v>
      </c>
      <c r="G442" s="50" t="e">
        <f>VLOOKUP(B442,aa!B:L,11,0)</f>
        <v>#N/A</v>
      </c>
      <c r="H442" s="50" t="e">
        <f>VLOOKUP(B442,aa!B:O,14,0)</f>
        <v>#N/A</v>
      </c>
      <c r="I442" s="50" t="e">
        <f>VLOOKUP(B442,aa!B:R,17,0)</f>
        <v>#N/A</v>
      </c>
      <c r="K442" s="50" t="s">
        <v>97</v>
      </c>
      <c r="L442" s="50">
        <v>448068</v>
      </c>
      <c r="M442" s="50">
        <v>448068</v>
      </c>
      <c r="N442" s="50">
        <v>448068</v>
      </c>
      <c r="O442" s="50">
        <v>729</v>
      </c>
      <c r="P442" s="50" t="s">
        <v>11616</v>
      </c>
      <c r="Q442" s="50">
        <v>0</v>
      </c>
      <c r="R442" s="50">
        <v>0</v>
      </c>
      <c r="T442" s="50">
        <v>0</v>
      </c>
      <c r="U442" s="50">
        <v>0</v>
      </c>
      <c r="W442" s="50" t="s">
        <v>102</v>
      </c>
      <c r="X442" s="50" t="s">
        <v>103</v>
      </c>
      <c r="Y442" s="50" t="s">
        <v>104</v>
      </c>
      <c r="AA442" s="50" t="s">
        <v>12923</v>
      </c>
      <c r="AB442" s="50" t="s">
        <v>16745</v>
      </c>
      <c r="AC442" s="50" t="s">
        <v>11952</v>
      </c>
      <c r="AD442" s="50" t="s">
        <v>16746</v>
      </c>
      <c r="AE442" s="50" t="s">
        <v>109</v>
      </c>
      <c r="AF442" s="50" t="s">
        <v>102</v>
      </c>
      <c r="AG442" s="50" t="s">
        <v>109</v>
      </c>
      <c r="AH442" s="50" t="s">
        <v>102</v>
      </c>
      <c r="AI442" s="50" t="s">
        <v>16747</v>
      </c>
      <c r="AJ442" s="50" t="s">
        <v>12429</v>
      </c>
      <c r="AK442" s="50" t="s">
        <v>13867</v>
      </c>
      <c r="AL442" s="50" t="s">
        <v>16748</v>
      </c>
      <c r="AM442" s="50" t="s">
        <v>16749</v>
      </c>
      <c r="AN442" s="50" t="s">
        <v>16750</v>
      </c>
      <c r="AO442" s="50" t="s">
        <v>7836</v>
      </c>
      <c r="AP442" s="50" t="s">
        <v>7836</v>
      </c>
      <c r="AU442" s="50" t="s">
        <v>117</v>
      </c>
      <c r="AV442" s="50" t="s">
        <v>118</v>
      </c>
      <c r="AW442" s="50" t="s">
        <v>102</v>
      </c>
      <c r="AX442" s="50" t="s">
        <v>119</v>
      </c>
      <c r="BB442" s="50" t="s">
        <v>171</v>
      </c>
      <c r="BC442" s="50" t="s">
        <v>623</v>
      </c>
      <c r="BD442" s="50" t="s">
        <v>621</v>
      </c>
      <c r="BE442" s="50" t="s">
        <v>622</v>
      </c>
      <c r="BF442" s="50" t="s">
        <v>623</v>
      </c>
      <c r="BG442" s="50" t="s">
        <v>124</v>
      </c>
      <c r="BH442" s="50" t="s">
        <v>11959</v>
      </c>
      <c r="BI442" s="50" t="s">
        <v>11960</v>
      </c>
      <c r="BJ442" s="50" t="s">
        <v>127</v>
      </c>
      <c r="BK442" s="50" t="s">
        <v>16751</v>
      </c>
      <c r="BL442" s="50" t="s">
        <v>7131</v>
      </c>
      <c r="BM442" s="50" t="s">
        <v>16752</v>
      </c>
      <c r="BN442" s="50" t="s">
        <v>10729</v>
      </c>
      <c r="BO442" s="50" t="s">
        <v>629</v>
      </c>
      <c r="BP442" s="50" t="s">
        <v>132</v>
      </c>
      <c r="BQ442" s="50" t="s">
        <v>630</v>
      </c>
      <c r="BR442" s="50" t="s">
        <v>631</v>
      </c>
      <c r="BS442" s="50" t="s">
        <v>1279</v>
      </c>
      <c r="BU442" s="50" t="s">
        <v>16753</v>
      </c>
      <c r="BV442" s="50" t="s">
        <v>7134</v>
      </c>
      <c r="BW442" s="50" t="s">
        <v>138</v>
      </c>
      <c r="BX442" s="50" t="s">
        <v>7135</v>
      </c>
      <c r="BY442" s="50" t="s">
        <v>7136</v>
      </c>
      <c r="BZ442" s="50" t="s">
        <v>7137</v>
      </c>
      <c r="CA442" s="50" t="s">
        <v>7134</v>
      </c>
      <c r="CB442" s="50" t="s">
        <v>7135</v>
      </c>
      <c r="CC442" s="50" t="s">
        <v>7136</v>
      </c>
      <c r="CD442" s="50" t="s">
        <v>7134</v>
      </c>
      <c r="CE442" s="50" t="s">
        <v>7135</v>
      </c>
      <c r="CF442" s="50" t="s">
        <v>7136</v>
      </c>
      <c r="CG442" s="50" t="s">
        <v>102</v>
      </c>
      <c r="CH442" s="50" t="s">
        <v>7138</v>
      </c>
      <c r="CJ442" s="50" t="s">
        <v>7139</v>
      </c>
      <c r="CL442" s="50" t="s">
        <v>623</v>
      </c>
      <c r="CM442" s="50" t="s">
        <v>621</v>
      </c>
      <c r="CN442" s="50" t="s">
        <v>7139</v>
      </c>
      <c r="CO442" s="50" t="s">
        <v>7140</v>
      </c>
      <c r="CP442" s="50" t="s">
        <v>7138</v>
      </c>
      <c r="CQ442" s="50" t="s">
        <v>7138</v>
      </c>
      <c r="CR442" s="50" t="s">
        <v>26048</v>
      </c>
    </row>
    <row r="443" spans="1:96">
      <c r="A443" s="95" t="s">
        <v>149</v>
      </c>
      <c r="B443" s="50">
        <v>7061</v>
      </c>
      <c r="C443" s="50" t="s">
        <v>1279</v>
      </c>
      <c r="D443" s="50" t="s">
        <v>11593</v>
      </c>
      <c r="E443" s="50" t="e">
        <f>VLOOKUP(B443,aa!B:F,5,0)</f>
        <v>#N/A</v>
      </c>
      <c r="F443" s="50" t="e">
        <f>VLOOKUP(B443,aa!B:J,9,0)</f>
        <v>#N/A</v>
      </c>
      <c r="G443" s="50" t="e">
        <f>VLOOKUP(B443,aa!B:L,11,0)</f>
        <v>#N/A</v>
      </c>
      <c r="H443" s="50" t="e">
        <f>VLOOKUP(B443,aa!B:O,14,0)</f>
        <v>#N/A</v>
      </c>
      <c r="I443" s="50" t="e">
        <f>VLOOKUP(B443,aa!B:R,17,0)</f>
        <v>#N/A</v>
      </c>
      <c r="K443" s="50" t="s">
        <v>97</v>
      </c>
      <c r="L443" s="50">
        <v>596782</v>
      </c>
      <c r="M443" s="50">
        <v>596782</v>
      </c>
      <c r="N443" s="50">
        <v>596782</v>
      </c>
      <c r="O443" s="50">
        <v>976</v>
      </c>
      <c r="P443" s="50" t="s">
        <v>21452</v>
      </c>
      <c r="Q443" s="50">
        <v>0</v>
      </c>
      <c r="R443" s="50">
        <v>0</v>
      </c>
      <c r="T443" s="50">
        <v>0</v>
      </c>
      <c r="U443" s="50">
        <v>0</v>
      </c>
      <c r="W443" s="50" t="s">
        <v>102</v>
      </c>
      <c r="X443" s="50" t="s">
        <v>103</v>
      </c>
      <c r="Y443" s="50" t="s">
        <v>104</v>
      </c>
      <c r="AA443" s="50" t="s">
        <v>12923</v>
      </c>
      <c r="AB443" s="50" t="s">
        <v>21453</v>
      </c>
      <c r="AC443" s="50" t="s">
        <v>11952</v>
      </c>
      <c r="AD443" s="50" t="s">
        <v>21454</v>
      </c>
      <c r="AE443" s="50" t="s">
        <v>109</v>
      </c>
      <c r="AF443" s="50" t="s">
        <v>102</v>
      </c>
      <c r="AG443" s="50" t="s">
        <v>109</v>
      </c>
      <c r="AH443" s="50" t="s">
        <v>102</v>
      </c>
      <c r="AI443" s="50" t="s">
        <v>21455</v>
      </c>
      <c r="AJ443" s="50" t="s">
        <v>15054</v>
      </c>
      <c r="AK443" s="50" t="s">
        <v>15054</v>
      </c>
      <c r="AL443" s="50" t="s">
        <v>21456</v>
      </c>
      <c r="AM443" s="50" t="s">
        <v>21457</v>
      </c>
      <c r="AN443" s="50" t="s">
        <v>21458</v>
      </c>
      <c r="AO443" s="50" t="s">
        <v>21459</v>
      </c>
      <c r="AP443" s="50" t="s">
        <v>21459</v>
      </c>
      <c r="AU443" s="50" t="s">
        <v>117</v>
      </c>
      <c r="AV443" s="50" t="s">
        <v>118</v>
      </c>
      <c r="AW443" s="50" t="s">
        <v>102</v>
      </c>
      <c r="AX443" s="50" t="s">
        <v>119</v>
      </c>
      <c r="BB443" s="50" t="s">
        <v>171</v>
      </c>
      <c r="BC443" s="50" t="s">
        <v>623</v>
      </c>
      <c r="BD443" s="50" t="s">
        <v>621</v>
      </c>
      <c r="BE443" s="50" t="s">
        <v>622</v>
      </c>
      <c r="BF443" s="50" t="s">
        <v>623</v>
      </c>
      <c r="BG443" s="50" t="s">
        <v>124</v>
      </c>
      <c r="BH443" s="50" t="s">
        <v>11959</v>
      </c>
      <c r="BI443" s="50" t="s">
        <v>11960</v>
      </c>
      <c r="BJ443" s="50" t="s">
        <v>127</v>
      </c>
      <c r="BK443" s="50" t="s">
        <v>21460</v>
      </c>
      <c r="BL443" s="50" t="s">
        <v>11605</v>
      </c>
      <c r="BM443" s="50" t="s">
        <v>21461</v>
      </c>
      <c r="BN443" s="50" t="s">
        <v>10729</v>
      </c>
      <c r="BO443" s="50" t="s">
        <v>629</v>
      </c>
      <c r="BP443" s="50" t="s">
        <v>132</v>
      </c>
      <c r="BQ443" s="50" t="s">
        <v>630</v>
      </c>
      <c r="BR443" s="50" t="s">
        <v>631</v>
      </c>
      <c r="BS443" s="50" t="s">
        <v>1279</v>
      </c>
      <c r="BU443" s="50" t="s">
        <v>21462</v>
      </c>
      <c r="BV443" s="50" t="s">
        <v>11608</v>
      </c>
      <c r="BW443" s="50" t="s">
        <v>138</v>
      </c>
      <c r="BX443" s="50" t="s">
        <v>11609</v>
      </c>
      <c r="BY443" s="50" t="s">
        <v>11610</v>
      </c>
      <c r="BZ443" s="50" t="s">
        <v>11611</v>
      </c>
      <c r="CA443" s="50" t="s">
        <v>11608</v>
      </c>
      <c r="CB443" s="50" t="s">
        <v>11609</v>
      </c>
      <c r="CC443" s="50" t="s">
        <v>11610</v>
      </c>
      <c r="CD443" s="50" t="s">
        <v>11608</v>
      </c>
      <c r="CE443" s="50" t="s">
        <v>11609</v>
      </c>
      <c r="CF443" s="50" t="s">
        <v>11610</v>
      </c>
      <c r="CG443" s="50" t="s">
        <v>102</v>
      </c>
      <c r="CH443" s="50" t="s">
        <v>11612</v>
      </c>
      <c r="CJ443" s="50" t="s">
        <v>11613</v>
      </c>
      <c r="CL443" s="50" t="s">
        <v>623</v>
      </c>
      <c r="CM443" s="50" t="s">
        <v>621</v>
      </c>
      <c r="CN443" s="50" t="s">
        <v>11613</v>
      </c>
      <c r="CO443" s="50" t="s">
        <v>7140</v>
      </c>
      <c r="CP443" s="50" t="s">
        <v>11612</v>
      </c>
      <c r="CQ443" s="50" t="s">
        <v>11612</v>
      </c>
      <c r="CR443" s="50" t="s">
        <v>26048</v>
      </c>
    </row>
    <row r="444" spans="1:96">
      <c r="A444" s="50" t="s">
        <v>26356</v>
      </c>
      <c r="B444" s="50">
        <v>185882</v>
      </c>
      <c r="C444" s="50" t="s">
        <v>293</v>
      </c>
      <c r="D444" s="50" t="s">
        <v>2103</v>
      </c>
      <c r="E444" s="50" t="e">
        <f>VLOOKUP(B444,aa!B:F,5,0)</f>
        <v>#N/A</v>
      </c>
      <c r="F444" s="50" t="e">
        <f>VLOOKUP(B444,aa!B:J,9,0)</f>
        <v>#N/A</v>
      </c>
      <c r="G444" s="50" t="e">
        <f>VLOOKUP(B444,aa!B:L,11,0)</f>
        <v>#N/A</v>
      </c>
      <c r="H444" s="50" t="e">
        <f>VLOOKUP(B444,aa!B:O,14,0)</f>
        <v>#N/A</v>
      </c>
      <c r="I444" s="50" t="e">
        <f>VLOOKUP(B444,aa!B:R,17,0)</f>
        <v>#N/A</v>
      </c>
      <c r="K444" s="50" t="s">
        <v>97</v>
      </c>
      <c r="L444" s="50">
        <v>546511</v>
      </c>
      <c r="M444" s="50">
        <v>546511</v>
      </c>
      <c r="N444" s="50">
        <v>546511</v>
      </c>
      <c r="O444" s="50">
        <v>621</v>
      </c>
      <c r="P444" s="50" t="s">
        <v>12942</v>
      </c>
      <c r="Q444" s="50">
        <v>0</v>
      </c>
      <c r="R444" s="50">
        <v>0</v>
      </c>
      <c r="T444" s="50">
        <v>0</v>
      </c>
      <c r="U444" s="50">
        <v>0</v>
      </c>
      <c r="W444" s="50" t="s">
        <v>102</v>
      </c>
      <c r="X444" s="50" t="s">
        <v>275</v>
      </c>
      <c r="Z444" s="50" t="s">
        <v>12480</v>
      </c>
      <c r="AA444" s="50" t="s">
        <v>109</v>
      </c>
      <c r="AB444" s="50" t="s">
        <v>102</v>
      </c>
      <c r="AC444" s="50" t="s">
        <v>109</v>
      </c>
      <c r="AD444" s="50" t="s">
        <v>102</v>
      </c>
      <c r="AE444" s="50" t="s">
        <v>109</v>
      </c>
      <c r="AF444" s="50" t="s">
        <v>102</v>
      </c>
      <c r="AG444" s="50" t="s">
        <v>109</v>
      </c>
      <c r="AH444" s="50" t="s">
        <v>102</v>
      </c>
      <c r="AI444" s="50" t="s">
        <v>102</v>
      </c>
      <c r="AJ444" s="50" t="s">
        <v>13064</v>
      </c>
      <c r="AK444" s="50" t="s">
        <v>13064</v>
      </c>
      <c r="AL444" s="50" t="s">
        <v>13065</v>
      </c>
      <c r="AM444" s="50" t="s">
        <v>13066</v>
      </c>
      <c r="AN444" s="50" t="s">
        <v>13067</v>
      </c>
      <c r="AO444" s="50" t="s">
        <v>13068</v>
      </c>
      <c r="AP444" s="50" t="s">
        <v>13069</v>
      </c>
      <c r="AT444" s="50" t="s">
        <v>169</v>
      </c>
      <c r="AU444" s="50" t="s">
        <v>318</v>
      </c>
      <c r="AV444" s="50" t="s">
        <v>118</v>
      </c>
      <c r="AW444" s="50" t="s">
        <v>102</v>
      </c>
      <c r="AX444" s="50" t="s">
        <v>119</v>
      </c>
      <c r="BB444" s="50" t="s">
        <v>120</v>
      </c>
      <c r="BC444" s="50" t="s">
        <v>920</v>
      </c>
      <c r="BD444" s="50" t="s">
        <v>211</v>
      </c>
      <c r="BE444" s="50" t="s">
        <v>212</v>
      </c>
      <c r="BF444" s="50" t="s">
        <v>213</v>
      </c>
      <c r="BG444" s="50" t="s">
        <v>124</v>
      </c>
      <c r="BH444" s="50" t="s">
        <v>12312</v>
      </c>
      <c r="BI444" s="50" t="s">
        <v>11889</v>
      </c>
      <c r="BJ444" s="50" t="s">
        <v>127</v>
      </c>
      <c r="BK444" s="50" t="s">
        <v>13070</v>
      </c>
      <c r="BL444" s="50" t="s">
        <v>2113</v>
      </c>
      <c r="BM444" s="50" t="s">
        <v>13071</v>
      </c>
      <c r="BN444" s="50" t="s">
        <v>12312</v>
      </c>
      <c r="BO444" s="50" t="s">
        <v>1309</v>
      </c>
      <c r="BP444" s="50" t="s">
        <v>180</v>
      </c>
      <c r="BQ444" s="50" t="s">
        <v>1310</v>
      </c>
      <c r="BR444" s="50" t="s">
        <v>1311</v>
      </c>
      <c r="BS444" s="50" t="s">
        <v>1312</v>
      </c>
      <c r="BU444" s="50" t="s">
        <v>13072</v>
      </c>
      <c r="BV444" s="50" t="s">
        <v>13073</v>
      </c>
      <c r="BW444" s="50" t="s">
        <v>138</v>
      </c>
      <c r="BX444" s="50" t="s">
        <v>13074</v>
      </c>
      <c r="BY444" s="50" t="s">
        <v>2118</v>
      </c>
      <c r="BZ444" s="50" t="s">
        <v>2117</v>
      </c>
      <c r="CA444" s="50" t="s">
        <v>13073</v>
      </c>
      <c r="CB444" s="50" t="s">
        <v>13074</v>
      </c>
      <c r="CC444" s="50" t="s">
        <v>2118</v>
      </c>
      <c r="CD444" s="50" t="s">
        <v>13073</v>
      </c>
      <c r="CE444" s="50" t="s">
        <v>13074</v>
      </c>
      <c r="CF444" s="50" t="s">
        <v>2118</v>
      </c>
      <c r="CG444" s="50" t="s">
        <v>2119</v>
      </c>
      <c r="CH444" s="50" t="s">
        <v>2120</v>
      </c>
      <c r="CJ444" s="50" t="s">
        <v>2121</v>
      </c>
      <c r="CK444" s="50" t="s">
        <v>2120</v>
      </c>
      <c r="CL444" s="50" t="s">
        <v>920</v>
      </c>
      <c r="CM444" s="50" t="s">
        <v>211</v>
      </c>
      <c r="CN444" s="50" t="s">
        <v>2121</v>
      </c>
      <c r="CP444" s="50" t="s">
        <v>2120</v>
      </c>
      <c r="CQ444" s="50" t="s">
        <v>2120</v>
      </c>
      <c r="CR444" s="50" t="s">
        <v>26044</v>
      </c>
    </row>
    <row r="445" spans="1:96">
      <c r="A445" s="50" t="s">
        <v>26356</v>
      </c>
      <c r="B445" s="50">
        <v>5018239</v>
      </c>
      <c r="C445" s="50" t="s">
        <v>13158</v>
      </c>
      <c r="D445" s="50" t="s">
        <v>19552</v>
      </c>
      <c r="E445" s="50" t="e">
        <f>VLOOKUP(B445,aa!B:F,5,0)</f>
        <v>#N/A</v>
      </c>
      <c r="F445" s="50" t="e">
        <f>VLOOKUP(B445,aa!B:J,9,0)</f>
        <v>#N/A</v>
      </c>
      <c r="G445" s="50" t="e">
        <f>VLOOKUP(B445,aa!B:L,11,0)</f>
        <v>#N/A</v>
      </c>
      <c r="H445" s="50" t="e">
        <f>VLOOKUP(B445,aa!B:O,14,0)</f>
        <v>#N/A</v>
      </c>
      <c r="I445" s="50" t="e">
        <f>VLOOKUP(B445,aa!B:R,17,0)</f>
        <v>#N/A</v>
      </c>
      <c r="K445" s="50" t="s">
        <v>97</v>
      </c>
      <c r="L445" s="50">
        <v>7741717</v>
      </c>
      <c r="M445" s="50">
        <v>7741717</v>
      </c>
      <c r="N445" s="50">
        <v>7741717</v>
      </c>
      <c r="O445" s="50">
        <v>14763</v>
      </c>
      <c r="P445" s="50" t="s">
        <v>2861</v>
      </c>
      <c r="Q445" s="50">
        <v>0</v>
      </c>
      <c r="R445" s="50">
        <v>0</v>
      </c>
      <c r="T445" s="50">
        <v>0</v>
      </c>
      <c r="U445" s="50">
        <v>0</v>
      </c>
      <c r="W445" s="50" t="s">
        <v>102</v>
      </c>
      <c r="X445" s="50" t="s">
        <v>103</v>
      </c>
      <c r="Y445" s="50" t="s">
        <v>398</v>
      </c>
      <c r="AA445" s="50" t="s">
        <v>12312</v>
      </c>
      <c r="AB445" s="50" t="s">
        <v>19553</v>
      </c>
      <c r="AC445" s="50" t="s">
        <v>13110</v>
      </c>
      <c r="AD445" s="50" t="s">
        <v>19554</v>
      </c>
      <c r="AE445" s="50" t="s">
        <v>12820</v>
      </c>
      <c r="AF445" s="50" t="s">
        <v>19555</v>
      </c>
      <c r="AG445" s="50" t="s">
        <v>109</v>
      </c>
      <c r="AH445" s="50" t="s">
        <v>102</v>
      </c>
      <c r="AI445" s="50" t="s">
        <v>19556</v>
      </c>
      <c r="AJ445" s="50" t="s">
        <v>4294</v>
      </c>
      <c r="AK445" s="50" t="s">
        <v>12123</v>
      </c>
      <c r="AL445" s="50" t="s">
        <v>19557</v>
      </c>
      <c r="AM445" s="50" t="s">
        <v>19558</v>
      </c>
      <c r="AN445" s="50" t="s">
        <v>19559</v>
      </c>
      <c r="AO445" s="50" t="s">
        <v>19560</v>
      </c>
      <c r="AP445" s="50" t="s">
        <v>19561</v>
      </c>
      <c r="AR445" s="50" t="s">
        <v>169</v>
      </c>
      <c r="AU445" s="50" t="s">
        <v>318</v>
      </c>
      <c r="AV445" s="50" t="s">
        <v>118</v>
      </c>
      <c r="AW445" s="50" t="s">
        <v>102</v>
      </c>
      <c r="AX445" s="50" t="s">
        <v>119</v>
      </c>
      <c r="BB445" s="50" t="s">
        <v>120</v>
      </c>
      <c r="BC445" s="50" t="s">
        <v>2204</v>
      </c>
      <c r="BD445" s="50" t="s">
        <v>121</v>
      </c>
      <c r="BE445" s="50" t="s">
        <v>122</v>
      </c>
      <c r="BF445" s="50" t="s">
        <v>123</v>
      </c>
      <c r="BG445" s="50" t="s">
        <v>124</v>
      </c>
      <c r="BH445" s="50" t="s">
        <v>12023</v>
      </c>
      <c r="BI445" s="50" t="s">
        <v>11889</v>
      </c>
      <c r="BJ445" s="50" t="s">
        <v>127</v>
      </c>
      <c r="BK445" s="50" t="s">
        <v>19562</v>
      </c>
      <c r="BL445" s="50" t="s">
        <v>19563</v>
      </c>
      <c r="BM445" s="50" t="s">
        <v>19564</v>
      </c>
      <c r="BN445" s="50" t="s">
        <v>13832</v>
      </c>
      <c r="BO445" s="50" t="s">
        <v>7743</v>
      </c>
      <c r="BP445" s="50" t="s">
        <v>350</v>
      </c>
      <c r="BQ445" s="50" t="s">
        <v>7744</v>
      </c>
      <c r="BR445" s="50" t="s">
        <v>7745</v>
      </c>
      <c r="BS445" s="50" t="s">
        <v>2215</v>
      </c>
      <c r="BU445" s="50" t="s">
        <v>19565</v>
      </c>
      <c r="BV445" s="50" t="s">
        <v>19566</v>
      </c>
      <c r="BW445" s="50" t="s">
        <v>138</v>
      </c>
      <c r="BX445" s="50" t="s">
        <v>225</v>
      </c>
      <c r="BY445" s="50" t="s">
        <v>19567</v>
      </c>
      <c r="BZ445" s="50" t="s">
        <v>19568</v>
      </c>
      <c r="CA445" s="50" t="s">
        <v>19569</v>
      </c>
      <c r="CB445" s="50" t="s">
        <v>19570</v>
      </c>
      <c r="CC445" s="50" t="s">
        <v>19567</v>
      </c>
      <c r="CD445" s="50" t="s">
        <v>19569</v>
      </c>
      <c r="CE445" s="50" t="s">
        <v>19570</v>
      </c>
      <c r="CF445" s="50" t="s">
        <v>19567</v>
      </c>
      <c r="CG445" s="50" t="s">
        <v>19153</v>
      </c>
      <c r="CH445" s="50" t="s">
        <v>19552</v>
      </c>
      <c r="CJ445" s="50" t="s">
        <v>147</v>
      </c>
      <c r="CK445" s="50" t="s">
        <v>19571</v>
      </c>
      <c r="CL445" s="50" t="s">
        <v>2204</v>
      </c>
      <c r="CM445" s="50" t="s">
        <v>121</v>
      </c>
      <c r="CN445" s="50" t="s">
        <v>147</v>
      </c>
      <c r="CO445" s="50" t="s">
        <v>2776</v>
      </c>
      <c r="CP445" s="50" t="s">
        <v>19571</v>
      </c>
      <c r="CQ445" s="50" t="s">
        <v>19571</v>
      </c>
    </row>
    <row r="446" spans="1:96">
      <c r="A446" s="95" t="s">
        <v>149</v>
      </c>
      <c r="B446" s="50">
        <v>617089</v>
      </c>
      <c r="C446" s="50" t="s">
        <v>985</v>
      </c>
      <c r="D446" s="50" t="s">
        <v>11330</v>
      </c>
      <c r="E446" s="50" t="e">
        <f>VLOOKUP(B446,aa!B:F,5,0)</f>
        <v>#N/A</v>
      </c>
      <c r="F446" s="50" t="e">
        <f>VLOOKUP(B446,aa!B:J,9,0)</f>
        <v>#N/A</v>
      </c>
      <c r="G446" s="50" t="e">
        <f>VLOOKUP(B446,aa!B:L,11,0)</f>
        <v>#N/A</v>
      </c>
      <c r="H446" s="50" t="e">
        <f>VLOOKUP(B446,aa!B:O,14,0)</f>
        <v>#N/A</v>
      </c>
      <c r="I446" s="50" t="e">
        <f>VLOOKUP(B446,aa!B:R,17,0)</f>
        <v>#N/A</v>
      </c>
      <c r="K446" s="50" t="s">
        <v>848</v>
      </c>
      <c r="L446" s="50">
        <v>97997</v>
      </c>
      <c r="M446" s="50">
        <v>115636</v>
      </c>
      <c r="N446" s="50">
        <v>0</v>
      </c>
      <c r="O446" s="50">
        <v>0</v>
      </c>
      <c r="Q446" s="50">
        <v>0</v>
      </c>
      <c r="R446" s="50">
        <v>0</v>
      </c>
      <c r="T446" s="50">
        <v>97997</v>
      </c>
      <c r="U446" s="50">
        <v>49</v>
      </c>
      <c r="V446" s="50" t="s">
        <v>7192</v>
      </c>
      <c r="W446" s="50" t="s">
        <v>102</v>
      </c>
      <c r="X446" s="50" t="s">
        <v>103</v>
      </c>
      <c r="Y446" s="50" t="s">
        <v>398</v>
      </c>
      <c r="AA446" s="50" t="s">
        <v>12040</v>
      </c>
      <c r="AB446" s="50" t="s">
        <v>21249</v>
      </c>
      <c r="AC446" s="50" t="s">
        <v>1427</v>
      </c>
      <c r="AD446" s="50" t="s">
        <v>21250</v>
      </c>
      <c r="AE446" s="50" t="s">
        <v>11886</v>
      </c>
      <c r="AF446" s="50" t="s">
        <v>21250</v>
      </c>
      <c r="AG446" s="50" t="s">
        <v>109</v>
      </c>
      <c r="AH446" s="50" t="s">
        <v>102</v>
      </c>
      <c r="AI446" s="50" t="s">
        <v>102</v>
      </c>
      <c r="AJ446" s="50" t="s">
        <v>12020</v>
      </c>
      <c r="AK446" s="50" t="s">
        <v>13863</v>
      </c>
      <c r="AL446" s="50" t="s">
        <v>21251</v>
      </c>
      <c r="AM446" s="50" t="s">
        <v>21252</v>
      </c>
      <c r="AN446" s="50" t="s">
        <v>21250</v>
      </c>
      <c r="AO446" s="50" t="s">
        <v>21253</v>
      </c>
      <c r="AP446" s="50" t="s">
        <v>21253</v>
      </c>
      <c r="AU446" s="50" t="s">
        <v>102</v>
      </c>
      <c r="AV446" s="50" t="s">
        <v>250</v>
      </c>
      <c r="AW446" s="50" t="s">
        <v>102</v>
      </c>
      <c r="AX446" s="50" t="s">
        <v>119</v>
      </c>
      <c r="BA446" s="50" t="s">
        <v>250</v>
      </c>
      <c r="BB446" s="50" t="s">
        <v>120</v>
      </c>
      <c r="BC446" s="50" t="s">
        <v>11335</v>
      </c>
      <c r="BD446" s="50" t="s">
        <v>621</v>
      </c>
      <c r="BE446" s="50" t="s">
        <v>622</v>
      </c>
      <c r="BF446" s="50" t="s">
        <v>976</v>
      </c>
      <c r="BG446" s="50" t="s">
        <v>124</v>
      </c>
      <c r="BH446" s="50" t="s">
        <v>13033</v>
      </c>
      <c r="BI446" s="50" t="s">
        <v>11960</v>
      </c>
      <c r="BJ446" s="50" t="s">
        <v>127</v>
      </c>
      <c r="BK446" s="50" t="s">
        <v>21254</v>
      </c>
      <c r="BL446" s="50" t="s">
        <v>11337</v>
      </c>
      <c r="BM446" s="50" t="s">
        <v>21255</v>
      </c>
      <c r="BN446" s="50" t="s">
        <v>13033</v>
      </c>
      <c r="BO446" s="50" t="s">
        <v>981</v>
      </c>
      <c r="BP446" s="50" t="s">
        <v>505</v>
      </c>
      <c r="BQ446" s="50" t="s">
        <v>982</v>
      </c>
      <c r="BR446" s="50" t="s">
        <v>983</v>
      </c>
      <c r="BS446" s="50" t="s">
        <v>984</v>
      </c>
      <c r="BU446" s="50" t="s">
        <v>21256</v>
      </c>
      <c r="BV446" s="50" t="s">
        <v>11340</v>
      </c>
      <c r="BW446" s="50" t="s">
        <v>354</v>
      </c>
      <c r="BX446" s="50" t="s">
        <v>11341</v>
      </c>
      <c r="BY446" s="50" t="s">
        <v>11342</v>
      </c>
      <c r="BZ446" s="50" t="s">
        <v>11343</v>
      </c>
      <c r="CA446" s="50" t="s">
        <v>11340</v>
      </c>
      <c r="CB446" s="50" t="s">
        <v>11341</v>
      </c>
      <c r="CC446" s="50" t="s">
        <v>11342</v>
      </c>
      <c r="CD446" s="50" t="s">
        <v>11340</v>
      </c>
      <c r="CE446" s="50" t="s">
        <v>11341</v>
      </c>
      <c r="CF446" s="50" t="s">
        <v>11342</v>
      </c>
      <c r="CG446" s="50" t="s">
        <v>102</v>
      </c>
      <c r="CH446" s="50" t="s">
        <v>21257</v>
      </c>
      <c r="CJ446" s="50" t="s">
        <v>11345</v>
      </c>
      <c r="CL446" s="50" t="s">
        <v>11335</v>
      </c>
      <c r="CM446" s="50" t="s">
        <v>621</v>
      </c>
      <c r="CN446" s="50" t="s">
        <v>11345</v>
      </c>
      <c r="CP446" s="50" t="s">
        <v>11344</v>
      </c>
      <c r="CQ446" s="50" t="s">
        <v>11344</v>
      </c>
      <c r="CR446" s="50" t="s">
        <v>26043</v>
      </c>
    </row>
    <row r="447" spans="1:96">
      <c r="A447" s="95" t="s">
        <v>149</v>
      </c>
      <c r="B447" s="50">
        <v>5016141</v>
      </c>
      <c r="C447" s="50" t="s">
        <v>1279</v>
      </c>
      <c r="D447" s="50" t="s">
        <v>9565</v>
      </c>
      <c r="E447" s="50" t="str">
        <f>VLOOKUP(B447,aa!B:F,5,0)</f>
        <v>Ei ASSET</v>
      </c>
      <c r="F447" s="50">
        <f>VLOOKUP(B447,aa!B:J,9,0)</f>
        <v>510300</v>
      </c>
      <c r="G447" s="50">
        <f>VLOOKUP(B447,aa!B:L,11,0)</f>
        <v>510300</v>
      </c>
      <c r="H447" s="50">
        <f>VLOOKUP(B447,aa!B:O,14,0)</f>
        <v>0</v>
      </c>
      <c r="I447" s="50">
        <f>VLOOKUP(B447,aa!B:R,17,0)</f>
        <v>0</v>
      </c>
      <c r="K447" s="50" t="s">
        <v>97</v>
      </c>
      <c r="L447" s="50">
        <v>685357</v>
      </c>
      <c r="M447" s="50">
        <v>685357</v>
      </c>
      <c r="N447" s="50">
        <v>685357</v>
      </c>
      <c r="O447" s="50">
        <v>1759</v>
      </c>
      <c r="P447" s="50" t="s">
        <v>18776</v>
      </c>
      <c r="Q447" s="50">
        <v>0</v>
      </c>
      <c r="R447" s="50">
        <v>0</v>
      </c>
      <c r="T447" s="50">
        <v>0</v>
      </c>
      <c r="U447" s="50">
        <v>0</v>
      </c>
      <c r="W447" s="50" t="s">
        <v>102</v>
      </c>
      <c r="X447" s="50" t="s">
        <v>275</v>
      </c>
      <c r="Z447" s="50" t="s">
        <v>18775</v>
      </c>
      <c r="AA447" s="50" t="s">
        <v>109</v>
      </c>
      <c r="AB447" s="50" t="s">
        <v>102</v>
      </c>
      <c r="AC447" s="50" t="s">
        <v>109</v>
      </c>
      <c r="AD447" s="50" t="s">
        <v>102</v>
      </c>
      <c r="AE447" s="50" t="s">
        <v>109</v>
      </c>
      <c r="AF447" s="50" t="s">
        <v>102</v>
      </c>
      <c r="AG447" s="50" t="s">
        <v>109</v>
      </c>
      <c r="AH447" s="50" t="s">
        <v>102</v>
      </c>
      <c r="AI447" s="50" t="s">
        <v>102</v>
      </c>
      <c r="AJ447" s="50" t="s">
        <v>18777</v>
      </c>
      <c r="AK447" s="50" t="s">
        <v>14705</v>
      </c>
      <c r="AL447" s="50" t="s">
        <v>18778</v>
      </c>
      <c r="AM447" s="50" t="s">
        <v>18779</v>
      </c>
      <c r="AN447" s="50" t="s">
        <v>2202</v>
      </c>
      <c r="AO447" s="50" t="s">
        <v>18780</v>
      </c>
      <c r="AP447" s="50" t="s">
        <v>18780</v>
      </c>
      <c r="AU447" s="50" t="s">
        <v>318</v>
      </c>
      <c r="AV447" s="50" t="s">
        <v>118</v>
      </c>
      <c r="AW447" s="50" t="s">
        <v>102</v>
      </c>
      <c r="AX447" s="50" t="s">
        <v>119</v>
      </c>
      <c r="BB447" s="50" t="s">
        <v>1964</v>
      </c>
      <c r="BC447" s="50" t="s">
        <v>623</v>
      </c>
      <c r="BD447" s="50" t="s">
        <v>621</v>
      </c>
      <c r="BE447" s="50" t="s">
        <v>622</v>
      </c>
      <c r="BF447" s="50" t="s">
        <v>623</v>
      </c>
      <c r="BG447" s="50" t="s">
        <v>124</v>
      </c>
      <c r="BH447" s="50" t="s">
        <v>11959</v>
      </c>
      <c r="BI447" s="50" t="s">
        <v>11886</v>
      </c>
      <c r="BJ447" s="50" t="s">
        <v>127</v>
      </c>
      <c r="BK447" s="50" t="s">
        <v>18781</v>
      </c>
      <c r="BL447" s="50" t="s">
        <v>9569</v>
      </c>
      <c r="BM447" s="50" t="s">
        <v>18782</v>
      </c>
      <c r="BN447" s="50" t="s">
        <v>18775</v>
      </c>
      <c r="BO447" s="50" t="s">
        <v>629</v>
      </c>
      <c r="BP447" s="50" t="s">
        <v>505</v>
      </c>
      <c r="BQ447" s="50" t="s">
        <v>630</v>
      </c>
      <c r="BR447" s="50" t="s">
        <v>631</v>
      </c>
      <c r="BS447" s="50" t="s">
        <v>1279</v>
      </c>
      <c r="BU447" s="50" t="s">
        <v>18783</v>
      </c>
      <c r="BV447" s="50" t="s">
        <v>18784</v>
      </c>
      <c r="BW447" s="50" t="s">
        <v>138</v>
      </c>
      <c r="BX447" s="50" t="s">
        <v>18785</v>
      </c>
      <c r="BY447" s="50" t="s">
        <v>18786</v>
      </c>
      <c r="BZ447" s="50" t="s">
        <v>9575</v>
      </c>
      <c r="CA447" s="50" t="s">
        <v>18784</v>
      </c>
      <c r="CB447" s="50" t="s">
        <v>18785</v>
      </c>
      <c r="CC447" s="50" t="s">
        <v>18786</v>
      </c>
      <c r="CD447" s="50" t="s">
        <v>18784</v>
      </c>
      <c r="CE447" s="50" t="s">
        <v>18785</v>
      </c>
      <c r="CF447" s="50" t="s">
        <v>18786</v>
      </c>
      <c r="CG447" s="50" t="s">
        <v>102</v>
      </c>
      <c r="CH447" s="50" t="s">
        <v>9576</v>
      </c>
      <c r="CJ447" s="50" t="s">
        <v>9577</v>
      </c>
      <c r="CL447" s="50" t="s">
        <v>623</v>
      </c>
      <c r="CM447" s="50" t="s">
        <v>621</v>
      </c>
      <c r="CN447" s="50" t="s">
        <v>9577</v>
      </c>
      <c r="CP447" s="50" t="s">
        <v>9576</v>
      </c>
      <c r="CQ447" s="50" t="s">
        <v>9578</v>
      </c>
    </row>
    <row r="448" spans="1:96">
      <c r="A448" s="50" t="s">
        <v>93</v>
      </c>
      <c r="B448" s="50">
        <v>5018520</v>
      </c>
      <c r="C448" s="50" t="s">
        <v>12121</v>
      </c>
      <c r="D448" s="50" t="s">
        <v>19976</v>
      </c>
      <c r="E448" s="50" t="e">
        <f>VLOOKUP(B448,aa!B:F,5,0)</f>
        <v>#N/A</v>
      </c>
      <c r="F448" s="50" t="e">
        <f>VLOOKUP(B448,aa!B:J,9,0)</f>
        <v>#N/A</v>
      </c>
      <c r="G448" s="50" t="e">
        <f>VLOOKUP(B448,aa!B:L,11,0)</f>
        <v>#N/A</v>
      </c>
      <c r="H448" s="50" t="e">
        <f>VLOOKUP(B448,aa!B:O,14,0)</f>
        <v>#N/A</v>
      </c>
      <c r="I448" s="50" t="e">
        <f>VLOOKUP(B448,aa!B:R,17,0)</f>
        <v>#N/A</v>
      </c>
      <c r="K448" s="50" t="s">
        <v>848</v>
      </c>
      <c r="L448" s="50">
        <v>237276</v>
      </c>
      <c r="M448" s="50">
        <v>279986</v>
      </c>
      <c r="N448" s="50">
        <v>0</v>
      </c>
      <c r="O448" s="50">
        <v>0</v>
      </c>
      <c r="Q448" s="50">
        <v>0</v>
      </c>
      <c r="R448" s="50">
        <v>0</v>
      </c>
      <c r="T448" s="50">
        <v>237276</v>
      </c>
      <c r="U448" s="50">
        <v>70</v>
      </c>
      <c r="V448" s="50" t="s">
        <v>9442</v>
      </c>
      <c r="W448" s="50" t="s">
        <v>102</v>
      </c>
      <c r="X448" s="50" t="s">
        <v>103</v>
      </c>
      <c r="Y448" s="50" t="s">
        <v>155</v>
      </c>
      <c r="AA448" s="50" t="s">
        <v>6918</v>
      </c>
      <c r="AB448" s="50" t="s">
        <v>19977</v>
      </c>
      <c r="AC448" s="50" t="s">
        <v>12836</v>
      </c>
      <c r="AD448" s="50" t="s">
        <v>19977</v>
      </c>
      <c r="AE448" s="50" t="s">
        <v>12838</v>
      </c>
      <c r="AF448" s="50" t="s">
        <v>19977</v>
      </c>
      <c r="AG448" s="50" t="s">
        <v>6895</v>
      </c>
      <c r="AH448" s="50" t="s">
        <v>19977</v>
      </c>
      <c r="AI448" s="50" t="s">
        <v>102</v>
      </c>
      <c r="AJ448" s="50" t="s">
        <v>12800</v>
      </c>
      <c r="AK448" s="50" t="s">
        <v>15363</v>
      </c>
      <c r="AL448" s="50" t="s">
        <v>19978</v>
      </c>
      <c r="AM448" s="50" t="s">
        <v>19979</v>
      </c>
      <c r="AN448" s="50" t="s">
        <v>19980</v>
      </c>
      <c r="AO448" s="50" t="s">
        <v>6263</v>
      </c>
      <c r="AP448" s="50" t="s">
        <v>6263</v>
      </c>
      <c r="AU448" s="50" t="s">
        <v>102</v>
      </c>
      <c r="AW448" s="50" t="s">
        <v>102</v>
      </c>
      <c r="AX448" s="50" t="s">
        <v>119</v>
      </c>
      <c r="BA448" s="50" t="s">
        <v>250</v>
      </c>
      <c r="BB448" s="50" t="s">
        <v>209</v>
      </c>
      <c r="BC448" s="50" t="s">
        <v>19981</v>
      </c>
      <c r="BD448" s="50" t="s">
        <v>556</v>
      </c>
      <c r="BE448" s="50" t="s">
        <v>122</v>
      </c>
      <c r="BF448" s="50" t="s">
        <v>557</v>
      </c>
      <c r="BG448" s="50" t="s">
        <v>124</v>
      </c>
      <c r="BH448" s="50" t="s">
        <v>11976</v>
      </c>
      <c r="BI448" s="50" t="s">
        <v>12720</v>
      </c>
      <c r="BJ448" s="50" t="s">
        <v>127</v>
      </c>
      <c r="BK448" s="50" t="s">
        <v>19982</v>
      </c>
      <c r="BL448" s="50" t="s">
        <v>19983</v>
      </c>
      <c r="BM448" s="50" t="s">
        <v>19984</v>
      </c>
      <c r="BN448" s="50" t="s">
        <v>13174</v>
      </c>
      <c r="BO448" s="50" t="s">
        <v>16526</v>
      </c>
      <c r="BP448" s="50" t="s">
        <v>350</v>
      </c>
      <c r="BQ448" s="50" t="s">
        <v>16527</v>
      </c>
      <c r="BR448" s="50" t="s">
        <v>16528</v>
      </c>
      <c r="BS448" s="50" t="s">
        <v>16529</v>
      </c>
      <c r="BU448" s="50" t="s">
        <v>19985</v>
      </c>
      <c r="BV448" s="50" t="s">
        <v>19986</v>
      </c>
      <c r="BW448" s="50" t="s">
        <v>354</v>
      </c>
      <c r="BX448" s="50" t="s">
        <v>19987</v>
      </c>
      <c r="BY448" s="50" t="s">
        <v>19988</v>
      </c>
      <c r="BZ448" s="50" t="s">
        <v>19987</v>
      </c>
      <c r="CA448" s="50" t="s">
        <v>19989</v>
      </c>
      <c r="CB448" s="50" t="s">
        <v>19987</v>
      </c>
      <c r="CC448" s="50" t="s">
        <v>19990</v>
      </c>
      <c r="CD448" s="50" t="s">
        <v>19991</v>
      </c>
      <c r="CE448" s="50" t="s">
        <v>19987</v>
      </c>
      <c r="CF448" s="50" t="s">
        <v>19992</v>
      </c>
      <c r="CG448" s="50" t="s">
        <v>8070</v>
      </c>
      <c r="CH448" s="50" t="s">
        <v>19993</v>
      </c>
      <c r="CJ448" s="50" t="s">
        <v>19994</v>
      </c>
      <c r="CK448" s="50" t="s">
        <v>19995</v>
      </c>
      <c r="CL448" s="50" t="s">
        <v>19981</v>
      </c>
      <c r="CM448" s="50" t="s">
        <v>556</v>
      </c>
      <c r="CN448" s="50" t="s">
        <v>19994</v>
      </c>
      <c r="CP448" s="50" t="s">
        <v>19996</v>
      </c>
      <c r="CQ448" s="50" t="s">
        <v>19996</v>
      </c>
    </row>
    <row r="449" spans="1:96">
      <c r="A449" s="95" t="s">
        <v>149</v>
      </c>
      <c r="B449" s="50">
        <v>3401697</v>
      </c>
      <c r="C449" s="50" t="s">
        <v>418</v>
      </c>
      <c r="D449" s="50" t="s">
        <v>5890</v>
      </c>
      <c r="E449" s="50" t="e">
        <f>VLOOKUP(B449,aa!B:F,5,0)</f>
        <v>#N/A</v>
      </c>
      <c r="F449" s="50" t="e">
        <f>VLOOKUP(B449,aa!B:J,9,0)</f>
        <v>#N/A</v>
      </c>
      <c r="G449" s="50" t="e">
        <f>VLOOKUP(B449,aa!B:L,11,0)</f>
        <v>#N/A</v>
      </c>
      <c r="H449" s="50" t="e">
        <f>VLOOKUP(B449,aa!B:O,14,0)</f>
        <v>#N/A</v>
      </c>
      <c r="I449" s="50" t="e">
        <f>VLOOKUP(B449,aa!B:R,17,0)</f>
        <v>#N/A</v>
      </c>
      <c r="K449" s="50" t="s">
        <v>848</v>
      </c>
      <c r="L449" s="50">
        <v>21445</v>
      </c>
      <c r="M449" s="50">
        <v>25305</v>
      </c>
      <c r="N449" s="50">
        <v>0</v>
      </c>
      <c r="O449" s="50">
        <v>0</v>
      </c>
      <c r="Q449" s="50">
        <v>0</v>
      </c>
      <c r="R449" s="50">
        <v>0</v>
      </c>
      <c r="T449" s="50">
        <v>21445</v>
      </c>
      <c r="U449" s="50">
        <v>22</v>
      </c>
      <c r="V449" s="50" t="s">
        <v>15864</v>
      </c>
      <c r="W449" s="50" t="s">
        <v>102</v>
      </c>
      <c r="X449" s="50" t="s">
        <v>103</v>
      </c>
      <c r="Y449" s="50" t="s">
        <v>104</v>
      </c>
      <c r="AA449" s="50" t="s">
        <v>11929</v>
      </c>
      <c r="AB449" s="50" t="s">
        <v>15865</v>
      </c>
      <c r="AC449" s="50" t="s">
        <v>12084</v>
      </c>
      <c r="AD449" s="50" t="s">
        <v>15865</v>
      </c>
      <c r="AE449" s="50" t="s">
        <v>109</v>
      </c>
      <c r="AF449" s="50" t="s">
        <v>102</v>
      </c>
      <c r="AG449" s="50" t="s">
        <v>109</v>
      </c>
      <c r="AH449" s="50" t="s">
        <v>102</v>
      </c>
      <c r="AI449" s="50" t="s">
        <v>102</v>
      </c>
      <c r="AL449" s="50" t="s">
        <v>15866</v>
      </c>
      <c r="AM449" s="50" t="s">
        <v>102</v>
      </c>
      <c r="AN449" s="50" t="s">
        <v>15866</v>
      </c>
      <c r="AO449" s="50" t="s">
        <v>15867</v>
      </c>
      <c r="AP449" s="50" t="s">
        <v>15867</v>
      </c>
      <c r="AU449" s="50" t="s">
        <v>102</v>
      </c>
      <c r="AW449" s="50" t="s">
        <v>102</v>
      </c>
      <c r="AX449" s="50" t="s">
        <v>119</v>
      </c>
      <c r="BA449" s="50" t="s">
        <v>250</v>
      </c>
      <c r="BB449" s="50" t="s">
        <v>120</v>
      </c>
      <c r="BC449" s="50" t="s">
        <v>5898</v>
      </c>
      <c r="BD449" s="50" t="s">
        <v>410</v>
      </c>
      <c r="BE449" s="50" t="s">
        <v>212</v>
      </c>
      <c r="BF449" s="50" t="s">
        <v>410</v>
      </c>
      <c r="BG449" s="50" t="s">
        <v>124</v>
      </c>
      <c r="BH449" s="50" t="s">
        <v>15470</v>
      </c>
      <c r="BI449" s="50" t="s">
        <v>11960</v>
      </c>
      <c r="BJ449" s="50" t="s">
        <v>127</v>
      </c>
      <c r="BK449" s="50" t="s">
        <v>15868</v>
      </c>
      <c r="BL449" s="50" t="s">
        <v>5900</v>
      </c>
      <c r="BM449" s="50" t="s">
        <v>15869</v>
      </c>
      <c r="BN449" s="50" t="s">
        <v>13511</v>
      </c>
      <c r="BO449" s="50" t="s">
        <v>866</v>
      </c>
      <c r="BP449" s="50" t="s">
        <v>132</v>
      </c>
      <c r="BQ449" s="50" t="s">
        <v>867</v>
      </c>
      <c r="BR449" s="50" t="s">
        <v>868</v>
      </c>
      <c r="BS449" s="50" t="s">
        <v>418</v>
      </c>
      <c r="BU449" s="50" t="s">
        <v>15870</v>
      </c>
      <c r="BV449" s="50" t="s">
        <v>3220</v>
      </c>
      <c r="BX449" s="50" t="s">
        <v>3221</v>
      </c>
      <c r="BY449" s="50" t="s">
        <v>3222</v>
      </c>
      <c r="BZ449" s="50" t="s">
        <v>5906</v>
      </c>
      <c r="CA449" s="50" t="s">
        <v>15871</v>
      </c>
      <c r="CB449" s="50" t="s">
        <v>3221</v>
      </c>
      <c r="CC449" s="50" t="s">
        <v>3222</v>
      </c>
      <c r="CD449" s="50" t="s">
        <v>15871</v>
      </c>
      <c r="CE449" s="50" t="s">
        <v>3221</v>
      </c>
      <c r="CF449" s="50" t="s">
        <v>3222</v>
      </c>
      <c r="CG449" s="50" t="s">
        <v>3968</v>
      </c>
      <c r="CH449" s="50" t="s">
        <v>5907</v>
      </c>
      <c r="CJ449" s="50" t="s">
        <v>5908</v>
      </c>
      <c r="CK449" s="50" t="s">
        <v>5907</v>
      </c>
      <c r="CL449" s="50" t="s">
        <v>5898</v>
      </c>
      <c r="CM449" s="50" t="s">
        <v>410</v>
      </c>
      <c r="CN449" s="50" t="s">
        <v>5908</v>
      </c>
      <c r="CP449" s="50" t="s">
        <v>5907</v>
      </c>
      <c r="CQ449" s="50" t="s">
        <v>5907</v>
      </c>
      <c r="CR449" s="50" t="s">
        <v>26044</v>
      </c>
    </row>
    <row r="450" spans="1:96">
      <c r="A450" s="95" t="s">
        <v>149</v>
      </c>
      <c r="B450" s="50">
        <v>2672</v>
      </c>
      <c r="C450" s="50" t="s">
        <v>12491</v>
      </c>
      <c r="D450" s="50" t="s">
        <v>2831</v>
      </c>
      <c r="E450" s="50" t="e">
        <f>VLOOKUP(B450,aa!B:F,5,0)</f>
        <v>#N/A</v>
      </c>
      <c r="F450" s="50" t="e">
        <f>VLOOKUP(B450,aa!B:J,9,0)</f>
        <v>#N/A</v>
      </c>
      <c r="G450" s="50" t="e">
        <f>VLOOKUP(B450,aa!B:L,11,0)</f>
        <v>#N/A</v>
      </c>
      <c r="H450" s="50" t="e">
        <f>VLOOKUP(B450,aa!B:O,14,0)</f>
        <v>#N/A</v>
      </c>
      <c r="I450" s="50" t="e">
        <f>VLOOKUP(B450,aa!B:R,17,0)</f>
        <v>#N/A</v>
      </c>
      <c r="K450" s="50" t="s">
        <v>97</v>
      </c>
      <c r="L450" s="50">
        <v>93486</v>
      </c>
      <c r="M450" s="50">
        <v>93486</v>
      </c>
      <c r="N450" s="50">
        <v>93486</v>
      </c>
      <c r="O450" s="50">
        <v>123</v>
      </c>
      <c r="P450" s="50" t="s">
        <v>14654</v>
      </c>
      <c r="Q450" s="50">
        <v>0</v>
      </c>
      <c r="R450" s="50">
        <v>0</v>
      </c>
      <c r="T450" s="50">
        <v>0</v>
      </c>
      <c r="U450" s="50">
        <v>0</v>
      </c>
      <c r="W450" s="50" t="s">
        <v>102</v>
      </c>
      <c r="X450" s="50" t="s">
        <v>275</v>
      </c>
      <c r="Z450" s="50" t="s">
        <v>11929</v>
      </c>
      <c r="AA450" s="50" t="s">
        <v>109</v>
      </c>
      <c r="AB450" s="50" t="s">
        <v>102</v>
      </c>
      <c r="AC450" s="50" t="s">
        <v>109</v>
      </c>
      <c r="AD450" s="50" t="s">
        <v>102</v>
      </c>
      <c r="AE450" s="50" t="s">
        <v>109</v>
      </c>
      <c r="AF450" s="50" t="s">
        <v>102</v>
      </c>
      <c r="AG450" s="50" t="s">
        <v>109</v>
      </c>
      <c r="AH450" s="50" t="s">
        <v>102</v>
      </c>
      <c r="AI450" s="50" t="s">
        <v>14655</v>
      </c>
      <c r="AJ450" s="50" t="s">
        <v>13511</v>
      </c>
      <c r="AK450" s="50" t="s">
        <v>13511</v>
      </c>
      <c r="AL450" s="50" t="s">
        <v>14656</v>
      </c>
      <c r="AM450" s="50" t="s">
        <v>14657</v>
      </c>
      <c r="AN450" s="50" t="s">
        <v>12878</v>
      </c>
      <c r="AO450" s="50" t="s">
        <v>14658</v>
      </c>
      <c r="AP450" s="50" t="s">
        <v>14658</v>
      </c>
      <c r="AU450" s="50" t="s">
        <v>318</v>
      </c>
      <c r="AV450" s="50" t="s">
        <v>118</v>
      </c>
      <c r="AW450" s="50" t="s">
        <v>102</v>
      </c>
      <c r="AX450" s="50" t="s">
        <v>119</v>
      </c>
      <c r="BB450" s="50" t="s">
        <v>120</v>
      </c>
      <c r="BC450" s="50" t="s">
        <v>1243</v>
      </c>
      <c r="BD450" s="50" t="s">
        <v>1244</v>
      </c>
      <c r="BE450" s="50" t="s">
        <v>122</v>
      </c>
      <c r="BF450" s="50" t="s">
        <v>1244</v>
      </c>
      <c r="BG450" s="50" t="s">
        <v>124</v>
      </c>
      <c r="BH450" s="50" t="s">
        <v>12023</v>
      </c>
      <c r="BI450" s="50" t="s">
        <v>11889</v>
      </c>
      <c r="BJ450" s="50" t="s">
        <v>127</v>
      </c>
      <c r="BK450" s="50" t="s">
        <v>14659</v>
      </c>
      <c r="BL450" s="50" t="s">
        <v>4277</v>
      </c>
      <c r="BM450" s="50" t="s">
        <v>14660</v>
      </c>
      <c r="BN450" s="50" t="s">
        <v>12040</v>
      </c>
      <c r="BO450" s="50" t="s">
        <v>8788</v>
      </c>
      <c r="BP450" s="50" t="s">
        <v>350</v>
      </c>
      <c r="BQ450" s="50" t="s">
        <v>8789</v>
      </c>
      <c r="BR450" s="50" t="s">
        <v>8790</v>
      </c>
      <c r="BS450" s="50" t="s">
        <v>1006</v>
      </c>
      <c r="BU450" s="50" t="s">
        <v>14661</v>
      </c>
      <c r="BV450" s="50" t="s">
        <v>4280</v>
      </c>
      <c r="BW450" s="50" t="s">
        <v>296</v>
      </c>
      <c r="BX450" s="50" t="s">
        <v>4281</v>
      </c>
      <c r="BY450" s="50" t="s">
        <v>4282</v>
      </c>
      <c r="BZ450" s="50" t="s">
        <v>4283</v>
      </c>
      <c r="CA450" s="50" t="s">
        <v>14662</v>
      </c>
      <c r="CB450" s="50" t="s">
        <v>14663</v>
      </c>
      <c r="CC450" s="50" t="s">
        <v>4282</v>
      </c>
      <c r="CD450" s="50" t="s">
        <v>4280</v>
      </c>
      <c r="CE450" s="50" t="s">
        <v>4281</v>
      </c>
      <c r="CF450" s="50" t="s">
        <v>4282</v>
      </c>
      <c r="CG450" s="50" t="s">
        <v>102</v>
      </c>
      <c r="CH450" s="50" t="s">
        <v>4284</v>
      </c>
      <c r="CJ450" s="50" t="s">
        <v>4285</v>
      </c>
      <c r="CL450" s="50" t="s">
        <v>1243</v>
      </c>
      <c r="CM450" s="50" t="s">
        <v>1244</v>
      </c>
      <c r="CN450" s="50" t="s">
        <v>4285</v>
      </c>
      <c r="CO450" s="50" t="s">
        <v>4286</v>
      </c>
      <c r="CP450" s="50" t="s">
        <v>4284</v>
      </c>
      <c r="CQ450" s="50" t="s">
        <v>4284</v>
      </c>
    </row>
    <row r="451" spans="1:96">
      <c r="A451" s="50" t="s">
        <v>93</v>
      </c>
      <c r="B451" s="50">
        <v>3033</v>
      </c>
      <c r="C451" s="50" t="s">
        <v>11898</v>
      </c>
      <c r="D451" s="50" t="s">
        <v>14859</v>
      </c>
      <c r="E451" s="50" t="str">
        <f>VLOOKUP(B451,aa!B:F,5,0)</f>
        <v>Ei ASSET, Ei Mindspark</v>
      </c>
      <c r="F451" s="50">
        <f>VLOOKUP(B451,aa!B:J,9,0)</f>
        <v>398029</v>
      </c>
      <c r="G451" s="50">
        <f>VLOOKUP(B451,aa!B:L,11,0)</f>
        <v>218044</v>
      </c>
      <c r="H451" s="50">
        <f>VLOOKUP(B451,aa!B:O,14,0)</f>
        <v>0</v>
      </c>
      <c r="I451" s="50">
        <f>VLOOKUP(B451,aa!B:R,17,0)</f>
        <v>179985</v>
      </c>
      <c r="K451" s="50" t="s">
        <v>97</v>
      </c>
      <c r="L451" s="50">
        <v>217072</v>
      </c>
      <c r="M451" s="50">
        <v>217072</v>
      </c>
      <c r="N451" s="50">
        <v>217072</v>
      </c>
      <c r="O451" s="50">
        <v>865</v>
      </c>
      <c r="P451" s="50" t="s">
        <v>14860</v>
      </c>
      <c r="Q451" s="50">
        <v>0</v>
      </c>
      <c r="R451" s="50">
        <v>0</v>
      </c>
      <c r="T451" s="50">
        <v>0</v>
      </c>
      <c r="U451" s="50">
        <v>0</v>
      </c>
      <c r="W451" s="50" t="s">
        <v>102</v>
      </c>
      <c r="X451" s="50" t="s">
        <v>103</v>
      </c>
      <c r="Y451" s="50" t="s">
        <v>104</v>
      </c>
      <c r="AA451" s="50" t="s">
        <v>12329</v>
      </c>
      <c r="AB451" s="50" t="s">
        <v>14861</v>
      </c>
      <c r="AC451" s="50" t="s">
        <v>12737</v>
      </c>
      <c r="AD451" s="50" t="s">
        <v>14861</v>
      </c>
      <c r="AE451" s="50" t="s">
        <v>109</v>
      </c>
      <c r="AF451" s="50" t="s">
        <v>102</v>
      </c>
      <c r="AG451" s="50" t="s">
        <v>109</v>
      </c>
      <c r="AH451" s="50" t="s">
        <v>102</v>
      </c>
      <c r="AI451" s="50" t="s">
        <v>14862</v>
      </c>
      <c r="AJ451" s="50" t="s">
        <v>10221</v>
      </c>
      <c r="AK451" s="50" t="s">
        <v>10221</v>
      </c>
      <c r="AL451" s="50" t="s">
        <v>14863</v>
      </c>
      <c r="AM451" s="50" t="s">
        <v>14864</v>
      </c>
      <c r="AN451" s="50" t="s">
        <v>14861</v>
      </c>
      <c r="AO451" s="50" t="s">
        <v>14865</v>
      </c>
      <c r="AP451" s="50" t="s">
        <v>14866</v>
      </c>
      <c r="AR451" s="50" t="s">
        <v>169</v>
      </c>
      <c r="AU451" s="50" t="s">
        <v>318</v>
      </c>
      <c r="AV451" s="50" t="s">
        <v>118</v>
      </c>
      <c r="AW451" s="50" t="s">
        <v>102</v>
      </c>
      <c r="AX451" s="50" t="s">
        <v>119</v>
      </c>
      <c r="BB451" s="50" t="s">
        <v>120</v>
      </c>
      <c r="BC451" s="50" t="s">
        <v>121</v>
      </c>
      <c r="BD451" s="50" t="s">
        <v>121</v>
      </c>
      <c r="BE451" s="50" t="s">
        <v>122</v>
      </c>
      <c r="BF451" s="50" t="s">
        <v>123</v>
      </c>
      <c r="BG451" s="50" t="s">
        <v>124</v>
      </c>
      <c r="BH451" s="50" t="s">
        <v>10030</v>
      </c>
      <c r="BI451" s="50" t="s">
        <v>11889</v>
      </c>
      <c r="BJ451" s="50" t="s">
        <v>127</v>
      </c>
      <c r="BK451" s="50" t="s">
        <v>14867</v>
      </c>
      <c r="BL451" s="50" t="s">
        <v>14868</v>
      </c>
      <c r="BM451" s="50" t="s">
        <v>14869</v>
      </c>
      <c r="BN451" s="50" t="s">
        <v>12040</v>
      </c>
      <c r="BO451" s="50" t="s">
        <v>131</v>
      </c>
      <c r="BP451" s="50" t="s">
        <v>505</v>
      </c>
      <c r="BQ451" s="50" t="s">
        <v>133</v>
      </c>
      <c r="BR451" s="50" t="s">
        <v>134</v>
      </c>
      <c r="BS451" s="50" t="s">
        <v>455</v>
      </c>
      <c r="BU451" s="50" t="s">
        <v>14870</v>
      </c>
      <c r="BV451" s="50" t="s">
        <v>14871</v>
      </c>
      <c r="BW451" s="50" t="s">
        <v>138</v>
      </c>
      <c r="BX451" s="50" t="s">
        <v>14872</v>
      </c>
      <c r="BY451" s="50" t="s">
        <v>14873</v>
      </c>
      <c r="BZ451" s="50" t="s">
        <v>14874</v>
      </c>
      <c r="CA451" s="50" t="s">
        <v>14871</v>
      </c>
      <c r="CB451" s="50" t="s">
        <v>14872</v>
      </c>
      <c r="CC451" s="50" t="s">
        <v>14873</v>
      </c>
      <c r="CD451" s="50" t="s">
        <v>14875</v>
      </c>
      <c r="CE451" s="50" t="s">
        <v>14876</v>
      </c>
      <c r="CF451" s="50" t="s">
        <v>14877</v>
      </c>
      <c r="CG451" s="50" t="s">
        <v>7248</v>
      </c>
      <c r="CH451" s="50" t="s">
        <v>14878</v>
      </c>
      <c r="CJ451" s="50" t="s">
        <v>14879</v>
      </c>
      <c r="CK451" s="50" t="s">
        <v>14878</v>
      </c>
      <c r="CL451" s="50" t="s">
        <v>121</v>
      </c>
      <c r="CM451" s="50" t="s">
        <v>2226</v>
      </c>
      <c r="CN451" s="50" t="s">
        <v>14879</v>
      </c>
      <c r="CP451" s="50" t="s">
        <v>14880</v>
      </c>
      <c r="CQ451" s="50" t="s">
        <v>14880</v>
      </c>
    </row>
    <row r="452" spans="1:96">
      <c r="A452" s="95" t="s">
        <v>149</v>
      </c>
      <c r="B452" s="50">
        <v>1558722</v>
      </c>
      <c r="C452" s="50" t="s">
        <v>12491</v>
      </c>
      <c r="D452" s="50" t="s">
        <v>1226</v>
      </c>
      <c r="E452" s="50" t="e">
        <f>VLOOKUP(B452,aa!B:F,5,0)</f>
        <v>#N/A</v>
      </c>
      <c r="F452" s="50" t="e">
        <f>VLOOKUP(B452,aa!B:J,9,0)</f>
        <v>#N/A</v>
      </c>
      <c r="G452" s="50" t="e">
        <f>VLOOKUP(B452,aa!B:L,11,0)</f>
        <v>#N/A</v>
      </c>
      <c r="H452" s="50" t="e">
        <f>VLOOKUP(B452,aa!B:O,14,0)</f>
        <v>#N/A</v>
      </c>
      <c r="I452" s="50" t="e">
        <f>VLOOKUP(B452,aa!B:R,17,0)</f>
        <v>#N/A</v>
      </c>
      <c r="K452" s="50" t="s">
        <v>193</v>
      </c>
      <c r="L452" s="50">
        <v>605075</v>
      </c>
      <c r="M452" s="50">
        <v>687336</v>
      </c>
      <c r="N452" s="50">
        <v>148069</v>
      </c>
      <c r="O452" s="50">
        <v>126</v>
      </c>
      <c r="P452" s="50" t="s">
        <v>12625</v>
      </c>
      <c r="Q452" s="50">
        <v>0</v>
      </c>
      <c r="R452" s="50">
        <v>0</v>
      </c>
      <c r="T452" s="50">
        <v>457006</v>
      </c>
      <c r="U452" s="50">
        <v>183</v>
      </c>
      <c r="V452" s="50" t="s">
        <v>1230</v>
      </c>
      <c r="W452" s="50" t="s">
        <v>102</v>
      </c>
      <c r="X452" s="50" t="s">
        <v>679</v>
      </c>
      <c r="Y452" s="50" t="s">
        <v>155</v>
      </c>
      <c r="Z452" s="50" t="s">
        <v>3679</v>
      </c>
      <c r="AA452" s="50" t="s">
        <v>12626</v>
      </c>
      <c r="AB452" s="50" t="s">
        <v>12627</v>
      </c>
      <c r="AC452" s="50" t="s">
        <v>12628</v>
      </c>
      <c r="AD452" s="50" t="s">
        <v>12627</v>
      </c>
      <c r="AE452" s="50" t="s">
        <v>12545</v>
      </c>
      <c r="AF452" s="50" t="s">
        <v>12627</v>
      </c>
      <c r="AG452" s="50" t="s">
        <v>12516</v>
      </c>
      <c r="AH452" s="50" t="s">
        <v>12627</v>
      </c>
      <c r="AI452" s="50" t="s">
        <v>12629</v>
      </c>
      <c r="AJ452" s="50" t="s">
        <v>12630</v>
      </c>
      <c r="AK452" s="50" t="s">
        <v>12631</v>
      </c>
      <c r="AL452" s="50" t="s">
        <v>12632</v>
      </c>
      <c r="AM452" s="50" t="s">
        <v>12633</v>
      </c>
      <c r="AN452" s="50" t="s">
        <v>12634</v>
      </c>
      <c r="AO452" s="50" t="s">
        <v>12635</v>
      </c>
      <c r="AP452" s="50" t="s">
        <v>12635</v>
      </c>
      <c r="AU452" s="50" t="s">
        <v>207</v>
      </c>
      <c r="AV452" s="50" t="s">
        <v>118</v>
      </c>
      <c r="AW452" s="50" t="s">
        <v>102</v>
      </c>
      <c r="AX452" s="50" t="s">
        <v>119</v>
      </c>
      <c r="BA452" s="50" t="s">
        <v>250</v>
      </c>
      <c r="BB452" s="50" t="s">
        <v>1242</v>
      </c>
      <c r="BC452" s="50" t="s">
        <v>1243</v>
      </c>
      <c r="BD452" s="50" t="s">
        <v>1244</v>
      </c>
      <c r="BE452" s="50" t="s">
        <v>122</v>
      </c>
      <c r="BF452" s="50" t="s">
        <v>1244</v>
      </c>
      <c r="BG452" s="50" t="s">
        <v>124</v>
      </c>
      <c r="BH452" s="50" t="s">
        <v>12636</v>
      </c>
      <c r="BI452" s="50" t="s">
        <v>12637</v>
      </c>
      <c r="BJ452" s="50" t="s">
        <v>127</v>
      </c>
      <c r="BK452" s="50" t="s">
        <v>12638</v>
      </c>
      <c r="BL452" s="50" t="s">
        <v>1247</v>
      </c>
      <c r="BM452" s="50" t="s">
        <v>12639</v>
      </c>
      <c r="BN452" s="50" t="s">
        <v>12624</v>
      </c>
      <c r="BO452" s="50" t="s">
        <v>8788</v>
      </c>
      <c r="BP452" s="50" t="s">
        <v>350</v>
      </c>
      <c r="BQ452" s="50" t="s">
        <v>8789</v>
      </c>
      <c r="BR452" s="50" t="s">
        <v>8790</v>
      </c>
      <c r="BS452" s="50" t="s">
        <v>1006</v>
      </c>
      <c r="BU452" s="50" t="s">
        <v>12640</v>
      </c>
      <c r="BV452" s="50" t="s">
        <v>1250</v>
      </c>
      <c r="BW452" s="50" t="s">
        <v>354</v>
      </c>
      <c r="BX452" s="50" t="s">
        <v>1251</v>
      </c>
      <c r="BY452" s="50" t="s">
        <v>1252</v>
      </c>
      <c r="BZ452" s="50" t="s">
        <v>1253</v>
      </c>
      <c r="CA452" s="50" t="s">
        <v>1250</v>
      </c>
      <c r="CB452" s="50" t="s">
        <v>1251</v>
      </c>
      <c r="CC452" s="50" t="s">
        <v>1252</v>
      </c>
      <c r="CD452" s="50" t="s">
        <v>12641</v>
      </c>
      <c r="CE452" s="50" t="s">
        <v>12642</v>
      </c>
      <c r="CF452" s="50" t="s">
        <v>12643</v>
      </c>
      <c r="CG452" s="50" t="s">
        <v>102</v>
      </c>
      <c r="CH452" s="50" t="s">
        <v>1257</v>
      </c>
      <c r="CJ452" s="50" t="s">
        <v>1258</v>
      </c>
      <c r="CL452" s="50" t="s">
        <v>1243</v>
      </c>
      <c r="CM452" s="50" t="s">
        <v>1244</v>
      </c>
      <c r="CN452" s="50" t="s">
        <v>1258</v>
      </c>
      <c r="CO452" s="50" t="s">
        <v>1259</v>
      </c>
      <c r="CP452" s="50" t="s">
        <v>1257</v>
      </c>
      <c r="CQ452" s="50" t="s">
        <v>1257</v>
      </c>
    </row>
    <row r="453" spans="1:96">
      <c r="A453" s="95" t="s">
        <v>149</v>
      </c>
      <c r="B453" s="50">
        <v>28275</v>
      </c>
      <c r="C453" s="50" t="s">
        <v>11898</v>
      </c>
      <c r="D453" s="50" t="s">
        <v>4460</v>
      </c>
      <c r="E453" s="50" t="e">
        <f>VLOOKUP(B453,aa!B:F,5,0)</f>
        <v>#N/A</v>
      </c>
      <c r="F453" s="50" t="e">
        <f>VLOOKUP(B453,aa!B:J,9,0)</f>
        <v>#N/A</v>
      </c>
      <c r="G453" s="50" t="e">
        <f>VLOOKUP(B453,aa!B:L,11,0)</f>
        <v>#N/A</v>
      </c>
      <c r="H453" s="50" t="e">
        <f>VLOOKUP(B453,aa!B:O,14,0)</f>
        <v>#N/A</v>
      </c>
      <c r="I453" s="50" t="e">
        <f>VLOOKUP(B453,aa!B:R,17,0)</f>
        <v>#N/A</v>
      </c>
      <c r="K453" s="50" t="s">
        <v>97</v>
      </c>
      <c r="L453" s="50">
        <v>180016</v>
      </c>
      <c r="M453" s="50">
        <v>180016</v>
      </c>
      <c r="N453" s="50">
        <v>180016</v>
      </c>
      <c r="O453" s="50">
        <v>196</v>
      </c>
      <c r="P453" s="50" t="s">
        <v>14750</v>
      </c>
      <c r="Q453" s="50">
        <v>0</v>
      </c>
      <c r="R453" s="50">
        <v>0</v>
      </c>
      <c r="T453" s="50">
        <v>0</v>
      </c>
      <c r="U453" s="50">
        <v>0</v>
      </c>
      <c r="W453" s="50" t="s">
        <v>102</v>
      </c>
      <c r="X453" s="50" t="s">
        <v>275</v>
      </c>
      <c r="Z453" s="50" t="s">
        <v>13496</v>
      </c>
      <c r="AA453" s="50" t="s">
        <v>109</v>
      </c>
      <c r="AB453" s="50" t="s">
        <v>102</v>
      </c>
      <c r="AC453" s="50" t="s">
        <v>109</v>
      </c>
      <c r="AD453" s="50" t="s">
        <v>102</v>
      </c>
      <c r="AE453" s="50" t="s">
        <v>109</v>
      </c>
      <c r="AF453" s="50" t="s">
        <v>102</v>
      </c>
      <c r="AG453" s="50" t="s">
        <v>109</v>
      </c>
      <c r="AH453" s="50" t="s">
        <v>102</v>
      </c>
      <c r="AI453" s="50" t="s">
        <v>102</v>
      </c>
      <c r="AJ453" s="50" t="s">
        <v>14751</v>
      </c>
      <c r="AK453" s="50" t="s">
        <v>14751</v>
      </c>
      <c r="AL453" s="50" t="s">
        <v>14752</v>
      </c>
      <c r="AM453" s="50" t="s">
        <v>14753</v>
      </c>
      <c r="AN453" s="50" t="s">
        <v>14754</v>
      </c>
      <c r="AO453" s="50" t="s">
        <v>14755</v>
      </c>
      <c r="AP453" s="50" t="s">
        <v>14755</v>
      </c>
      <c r="AU453" s="50" t="s">
        <v>318</v>
      </c>
      <c r="AV453" s="50" t="s">
        <v>118</v>
      </c>
      <c r="AW453" s="50" t="s">
        <v>102</v>
      </c>
      <c r="AX453" s="50" t="s">
        <v>119</v>
      </c>
      <c r="BB453" s="50" t="s">
        <v>1664</v>
      </c>
      <c r="BC453" s="50" t="s">
        <v>251</v>
      </c>
      <c r="BD453" s="50" t="s">
        <v>252</v>
      </c>
      <c r="BE453" s="50" t="s">
        <v>122</v>
      </c>
      <c r="BF453" s="50" t="s">
        <v>253</v>
      </c>
      <c r="BG453" s="50" t="s">
        <v>124</v>
      </c>
      <c r="BH453" s="50" t="s">
        <v>11929</v>
      </c>
      <c r="BI453" s="50" t="s">
        <v>11889</v>
      </c>
      <c r="BJ453" s="50" t="s">
        <v>127</v>
      </c>
      <c r="BK453" s="50" t="s">
        <v>14756</v>
      </c>
      <c r="BL453" s="50" t="s">
        <v>4467</v>
      </c>
      <c r="BM453" s="50" t="s">
        <v>14757</v>
      </c>
      <c r="BN453" s="50" t="s">
        <v>5351</v>
      </c>
      <c r="BO453" s="50" t="s">
        <v>1108</v>
      </c>
      <c r="BP453" s="50" t="s">
        <v>180</v>
      </c>
      <c r="BQ453" s="50" t="s">
        <v>1109</v>
      </c>
      <c r="BR453" s="50" t="s">
        <v>1110</v>
      </c>
      <c r="BS453" s="50" t="s">
        <v>1111</v>
      </c>
      <c r="BU453" s="50" t="s">
        <v>14758</v>
      </c>
      <c r="BV453" s="50" t="s">
        <v>14759</v>
      </c>
      <c r="BX453" s="50" t="s">
        <v>4471</v>
      </c>
      <c r="BY453" s="50" t="s">
        <v>4472</v>
      </c>
      <c r="BZ453" s="50" t="s">
        <v>4473</v>
      </c>
      <c r="CA453" s="50" t="s">
        <v>14759</v>
      </c>
      <c r="CB453" s="50" t="s">
        <v>4471</v>
      </c>
      <c r="CC453" s="50" t="s">
        <v>4472</v>
      </c>
      <c r="CD453" s="50" t="s">
        <v>14759</v>
      </c>
      <c r="CE453" s="50" t="s">
        <v>4471</v>
      </c>
      <c r="CF453" s="50" t="s">
        <v>4472</v>
      </c>
      <c r="CG453" s="50" t="s">
        <v>102</v>
      </c>
      <c r="CH453" s="50" t="s">
        <v>14760</v>
      </c>
      <c r="CJ453" s="50" t="s">
        <v>270</v>
      </c>
      <c r="CL453" s="50" t="s">
        <v>251</v>
      </c>
      <c r="CM453" s="50" t="s">
        <v>252</v>
      </c>
      <c r="CN453" s="50" t="s">
        <v>270</v>
      </c>
      <c r="CP453" s="50" t="s">
        <v>4474</v>
      </c>
      <c r="CQ453" s="50" t="s">
        <v>4474</v>
      </c>
    </row>
    <row r="454" spans="1:96">
      <c r="A454" s="50" t="s">
        <v>93</v>
      </c>
      <c r="B454" s="50">
        <v>856520</v>
      </c>
      <c r="C454" s="50" t="s">
        <v>12491</v>
      </c>
      <c r="D454" s="50" t="s">
        <v>21540</v>
      </c>
      <c r="E454" s="50" t="e">
        <f>VLOOKUP(B454,aa!B:F,5,0)</f>
        <v>#N/A</v>
      </c>
      <c r="F454" s="50" t="e">
        <f>VLOOKUP(B454,aa!B:J,9,0)</f>
        <v>#N/A</v>
      </c>
      <c r="G454" s="50" t="e">
        <f>VLOOKUP(B454,aa!B:L,11,0)</f>
        <v>#N/A</v>
      </c>
      <c r="H454" s="50" t="e">
        <f>VLOOKUP(B454,aa!B:O,14,0)</f>
        <v>#N/A</v>
      </c>
      <c r="I454" s="50" t="e">
        <f>VLOOKUP(B454,aa!B:R,17,0)</f>
        <v>#N/A</v>
      </c>
      <c r="K454" s="50" t="s">
        <v>848</v>
      </c>
      <c r="L454" s="50">
        <v>799972</v>
      </c>
      <c r="M454" s="50">
        <v>943967</v>
      </c>
      <c r="N454" s="50">
        <v>0</v>
      </c>
      <c r="O454" s="50">
        <v>0</v>
      </c>
      <c r="Q454" s="50">
        <v>0</v>
      </c>
      <c r="R454" s="50">
        <v>0</v>
      </c>
      <c r="T454" s="50">
        <v>799972</v>
      </c>
      <c r="U454" s="50">
        <v>400</v>
      </c>
      <c r="V454" s="50" t="s">
        <v>7192</v>
      </c>
      <c r="W454" s="50" t="s">
        <v>102</v>
      </c>
      <c r="X454" s="50" t="s">
        <v>103</v>
      </c>
      <c r="Y454" s="50" t="s">
        <v>398</v>
      </c>
      <c r="AA454" s="50" t="s">
        <v>13033</v>
      </c>
      <c r="AB454" s="50" t="s">
        <v>21541</v>
      </c>
      <c r="AC454" s="50" t="s">
        <v>13034</v>
      </c>
      <c r="AD454" s="50" t="s">
        <v>21542</v>
      </c>
      <c r="AE454" s="50" t="s">
        <v>6895</v>
      </c>
      <c r="AF454" s="50" t="s">
        <v>21542</v>
      </c>
      <c r="AG454" s="50" t="s">
        <v>109</v>
      </c>
      <c r="AH454" s="50" t="s">
        <v>102</v>
      </c>
      <c r="AI454" s="50" t="s">
        <v>21543</v>
      </c>
      <c r="AJ454" s="50" t="s">
        <v>8258</v>
      </c>
      <c r="AK454" s="50" t="s">
        <v>8258</v>
      </c>
      <c r="AL454" s="50" t="s">
        <v>21544</v>
      </c>
      <c r="AM454" s="50" t="s">
        <v>21545</v>
      </c>
      <c r="AN454" s="50" t="s">
        <v>21546</v>
      </c>
      <c r="AO454" s="50" t="s">
        <v>21253</v>
      </c>
      <c r="AP454" s="50" t="s">
        <v>21253</v>
      </c>
      <c r="AU454" s="50" t="s">
        <v>102</v>
      </c>
      <c r="AW454" s="50" t="s">
        <v>102</v>
      </c>
      <c r="AX454" s="50" t="s">
        <v>119</v>
      </c>
      <c r="BA454" s="50" t="s">
        <v>250</v>
      </c>
      <c r="BB454" s="50" t="s">
        <v>120</v>
      </c>
      <c r="BC454" s="50" t="s">
        <v>21547</v>
      </c>
      <c r="BD454" s="50" t="s">
        <v>1244</v>
      </c>
      <c r="BE454" s="50" t="s">
        <v>122</v>
      </c>
      <c r="BF454" s="50" t="s">
        <v>1244</v>
      </c>
      <c r="BG454" s="50" t="s">
        <v>124</v>
      </c>
      <c r="BH454" s="50" t="s">
        <v>11976</v>
      </c>
      <c r="BI454" s="50" t="s">
        <v>11889</v>
      </c>
      <c r="BJ454" s="50" t="s">
        <v>127</v>
      </c>
      <c r="BK454" s="50" t="s">
        <v>21548</v>
      </c>
      <c r="BL454" s="50" t="s">
        <v>21549</v>
      </c>
      <c r="BM454" s="50" t="s">
        <v>21550</v>
      </c>
      <c r="BN454" s="50" t="s">
        <v>5351</v>
      </c>
      <c r="BO454" s="50" t="s">
        <v>19163</v>
      </c>
      <c r="BP454" s="50" t="s">
        <v>505</v>
      </c>
      <c r="BQ454" s="50" t="s">
        <v>19164</v>
      </c>
      <c r="BR454" s="50" t="s">
        <v>19165</v>
      </c>
      <c r="BS454" s="50" t="s">
        <v>21551</v>
      </c>
      <c r="BU454" s="50" t="s">
        <v>21552</v>
      </c>
      <c r="BV454" s="50" t="s">
        <v>21553</v>
      </c>
      <c r="BW454" s="50" t="s">
        <v>138</v>
      </c>
      <c r="BX454" s="50" t="s">
        <v>225</v>
      </c>
      <c r="BY454" s="50" t="s">
        <v>21554</v>
      </c>
      <c r="BZ454" s="50" t="s">
        <v>21555</v>
      </c>
      <c r="CA454" s="50" t="s">
        <v>21553</v>
      </c>
      <c r="CB454" s="50" t="s">
        <v>225</v>
      </c>
      <c r="CC454" s="50" t="s">
        <v>21554</v>
      </c>
      <c r="CD454" s="50" t="s">
        <v>21553</v>
      </c>
      <c r="CE454" s="50" t="s">
        <v>225</v>
      </c>
      <c r="CF454" s="50" t="s">
        <v>21554</v>
      </c>
      <c r="CG454" s="50" t="s">
        <v>21556</v>
      </c>
      <c r="CH454" s="50" t="s">
        <v>21557</v>
      </c>
      <c r="CJ454" s="50" t="s">
        <v>21558</v>
      </c>
      <c r="CK454" s="50" t="s">
        <v>21557</v>
      </c>
      <c r="CL454" s="50" t="s">
        <v>21547</v>
      </c>
      <c r="CM454" s="50" t="s">
        <v>1244</v>
      </c>
      <c r="CN454" s="50" t="s">
        <v>21558</v>
      </c>
      <c r="CP454" s="50" t="s">
        <v>21559</v>
      </c>
      <c r="CQ454" s="50" t="s">
        <v>21559</v>
      </c>
    </row>
    <row r="455" spans="1:96">
      <c r="A455" s="95" t="s">
        <v>149</v>
      </c>
      <c r="B455" s="50">
        <v>1429114</v>
      </c>
      <c r="C455" s="50" t="s">
        <v>12423</v>
      </c>
      <c r="D455" s="50" t="s">
        <v>933</v>
      </c>
      <c r="E455" s="50" t="e">
        <f>VLOOKUP(B455,aa!B:F,5,0)</f>
        <v>#N/A</v>
      </c>
      <c r="F455" s="50" t="e">
        <f>VLOOKUP(B455,aa!B:J,9,0)</f>
        <v>#N/A</v>
      </c>
      <c r="G455" s="50" t="e">
        <f>VLOOKUP(B455,aa!B:L,11,0)</f>
        <v>#N/A</v>
      </c>
      <c r="H455" s="50" t="e">
        <f>VLOOKUP(B455,aa!B:O,14,0)</f>
        <v>#N/A</v>
      </c>
      <c r="I455" s="50" t="e">
        <f>VLOOKUP(B455,aa!B:R,17,0)</f>
        <v>#N/A</v>
      </c>
      <c r="K455" s="50" t="s">
        <v>152</v>
      </c>
      <c r="L455" s="50">
        <v>624000</v>
      </c>
      <c r="M455" s="50">
        <v>624000</v>
      </c>
      <c r="N455" s="50">
        <v>0</v>
      </c>
      <c r="O455" s="50">
        <v>0</v>
      </c>
      <c r="Q455" s="50">
        <v>624000</v>
      </c>
      <c r="R455" s="50">
        <v>300</v>
      </c>
      <c r="S455" s="50" t="s">
        <v>12479</v>
      </c>
      <c r="T455" s="50">
        <v>0</v>
      </c>
      <c r="U455" s="50">
        <v>0</v>
      </c>
      <c r="W455" s="50" t="s">
        <v>102</v>
      </c>
      <c r="X455" s="50" t="s">
        <v>103</v>
      </c>
      <c r="Y455" s="50" t="s">
        <v>398</v>
      </c>
      <c r="AA455" s="50" t="s">
        <v>12480</v>
      </c>
      <c r="AB455" s="50" t="s">
        <v>12481</v>
      </c>
      <c r="AC455" s="50" t="s">
        <v>12158</v>
      </c>
      <c r="AD455" s="50" t="s">
        <v>12482</v>
      </c>
      <c r="AE455" s="50" t="s">
        <v>12327</v>
      </c>
      <c r="AF455" s="50" t="s">
        <v>12482</v>
      </c>
      <c r="AG455" s="50" t="s">
        <v>109</v>
      </c>
      <c r="AH455" s="50" t="s">
        <v>102</v>
      </c>
      <c r="AI455" s="50" t="s">
        <v>102</v>
      </c>
      <c r="AJ455" s="50" t="s">
        <v>12211</v>
      </c>
      <c r="AK455" s="50" t="s">
        <v>12211</v>
      </c>
      <c r="AL455" s="50" t="s">
        <v>12483</v>
      </c>
      <c r="AM455" s="50" t="s">
        <v>12484</v>
      </c>
      <c r="AN455" s="50" t="s">
        <v>12485</v>
      </c>
      <c r="AO455" s="50" t="s">
        <v>12486</v>
      </c>
      <c r="AP455" s="50" t="s">
        <v>12486</v>
      </c>
      <c r="AU455" s="50" t="s">
        <v>102</v>
      </c>
      <c r="AW455" s="50" t="s">
        <v>655</v>
      </c>
      <c r="AX455" s="50" t="s">
        <v>119</v>
      </c>
      <c r="AY455" s="50" t="s">
        <v>170</v>
      </c>
      <c r="AZ455" s="50" t="s">
        <v>118</v>
      </c>
      <c r="BB455" s="50" t="s">
        <v>120</v>
      </c>
      <c r="BC455" s="50" t="s">
        <v>952</v>
      </c>
      <c r="BD455" s="50" t="s">
        <v>410</v>
      </c>
      <c r="BE455" s="50" t="s">
        <v>212</v>
      </c>
      <c r="BF455" s="50" t="s">
        <v>410</v>
      </c>
      <c r="BG455" s="50" t="s">
        <v>124</v>
      </c>
      <c r="BH455" s="50" t="s">
        <v>4294</v>
      </c>
      <c r="BI455" s="50" t="s">
        <v>12047</v>
      </c>
      <c r="BJ455" s="50" t="s">
        <v>127</v>
      </c>
      <c r="BK455" s="50" t="s">
        <v>12487</v>
      </c>
      <c r="BL455" s="50" t="s">
        <v>954</v>
      </c>
      <c r="BM455" s="50" t="s">
        <v>12488</v>
      </c>
      <c r="BN455" s="50" t="s">
        <v>4294</v>
      </c>
      <c r="BO455" s="50" t="s">
        <v>866</v>
      </c>
      <c r="BP455" s="50" t="s">
        <v>505</v>
      </c>
      <c r="BQ455" s="50" t="s">
        <v>867</v>
      </c>
      <c r="BR455" s="50" t="s">
        <v>868</v>
      </c>
      <c r="BS455" s="50" t="s">
        <v>418</v>
      </c>
      <c r="BU455" s="50" t="s">
        <v>12489</v>
      </c>
      <c r="BV455" s="50" t="s">
        <v>3585</v>
      </c>
      <c r="BW455" s="50" t="s">
        <v>598</v>
      </c>
      <c r="BX455" s="50" t="s">
        <v>225</v>
      </c>
      <c r="BY455" s="50" t="s">
        <v>12490</v>
      </c>
      <c r="BZ455" s="50" t="s">
        <v>964</v>
      </c>
      <c r="CA455" s="50" t="s">
        <v>3585</v>
      </c>
      <c r="CB455" s="50" t="s">
        <v>225</v>
      </c>
      <c r="CC455" s="50" t="s">
        <v>12490</v>
      </c>
      <c r="CD455" s="50" t="s">
        <v>3585</v>
      </c>
      <c r="CE455" s="50" t="s">
        <v>225</v>
      </c>
      <c r="CF455" s="50" t="s">
        <v>12490</v>
      </c>
      <c r="CG455" s="50" t="s">
        <v>102</v>
      </c>
      <c r="CH455" s="50" t="s">
        <v>965</v>
      </c>
      <c r="CJ455" s="50" t="s">
        <v>966</v>
      </c>
      <c r="CL455" s="50" t="s">
        <v>952</v>
      </c>
      <c r="CM455" s="50" t="s">
        <v>410</v>
      </c>
      <c r="CN455" s="50" t="s">
        <v>966</v>
      </c>
      <c r="CP455" s="50" t="s">
        <v>965</v>
      </c>
      <c r="CQ455" s="50" t="s">
        <v>965</v>
      </c>
      <c r="CR455" s="50" t="s">
        <v>26044</v>
      </c>
    </row>
    <row r="456" spans="1:96">
      <c r="A456" s="95" t="s">
        <v>149</v>
      </c>
      <c r="B456" s="50">
        <v>207682</v>
      </c>
      <c r="C456" s="50" t="s">
        <v>11947</v>
      </c>
      <c r="D456" s="50" t="s">
        <v>2648</v>
      </c>
      <c r="E456" s="50" t="e">
        <f>VLOOKUP(B456,aa!B:F,5,0)</f>
        <v>#N/A</v>
      </c>
      <c r="F456" s="50" t="e">
        <f>VLOOKUP(B456,aa!B:J,9,0)</f>
        <v>#N/A</v>
      </c>
      <c r="G456" s="50" t="e">
        <f>VLOOKUP(B456,aa!B:L,11,0)</f>
        <v>#N/A</v>
      </c>
      <c r="H456" s="50" t="e">
        <f>VLOOKUP(B456,aa!B:O,14,0)</f>
        <v>#N/A</v>
      </c>
      <c r="I456" s="50" t="e">
        <f>VLOOKUP(B456,aa!B:R,17,0)</f>
        <v>#N/A</v>
      </c>
      <c r="K456" s="50" t="s">
        <v>97</v>
      </c>
      <c r="L456" s="50">
        <v>546156</v>
      </c>
      <c r="M456" s="50">
        <v>546156</v>
      </c>
      <c r="N456" s="50">
        <v>546156</v>
      </c>
      <c r="O456" s="50">
        <v>1560</v>
      </c>
      <c r="P456" s="50" t="s">
        <v>2650</v>
      </c>
      <c r="Q456" s="50">
        <v>0</v>
      </c>
      <c r="R456" s="50">
        <v>0</v>
      </c>
      <c r="T456" s="50">
        <v>0</v>
      </c>
      <c r="U456" s="50">
        <v>0</v>
      </c>
      <c r="W456" s="50" t="s">
        <v>102</v>
      </c>
      <c r="X456" s="50" t="s">
        <v>275</v>
      </c>
      <c r="Z456" s="50" t="s">
        <v>13496</v>
      </c>
      <c r="AA456" s="50" t="s">
        <v>109</v>
      </c>
      <c r="AB456" s="50" t="s">
        <v>102</v>
      </c>
      <c r="AC456" s="50" t="s">
        <v>109</v>
      </c>
      <c r="AD456" s="50" t="s">
        <v>102</v>
      </c>
      <c r="AE456" s="50" t="s">
        <v>109</v>
      </c>
      <c r="AF456" s="50" t="s">
        <v>102</v>
      </c>
      <c r="AG456" s="50" t="s">
        <v>109</v>
      </c>
      <c r="AH456" s="50" t="s">
        <v>102</v>
      </c>
      <c r="AI456" s="50" t="s">
        <v>102</v>
      </c>
      <c r="AL456" s="50" t="s">
        <v>13497</v>
      </c>
      <c r="AM456" s="50" t="s">
        <v>102</v>
      </c>
      <c r="AN456" s="50" t="s">
        <v>13497</v>
      </c>
      <c r="AO456" s="50" t="s">
        <v>13498</v>
      </c>
      <c r="AP456" s="50" t="s">
        <v>13498</v>
      </c>
      <c r="AU456" s="50" t="s">
        <v>117</v>
      </c>
      <c r="AV456" s="50" t="s">
        <v>118</v>
      </c>
      <c r="AW456" s="50" t="s">
        <v>102</v>
      </c>
      <c r="AX456" s="50" t="s">
        <v>119</v>
      </c>
      <c r="BB456" s="50" t="s">
        <v>120</v>
      </c>
      <c r="BC456" s="50" t="s">
        <v>1786</v>
      </c>
      <c r="BD456" s="50" t="s">
        <v>410</v>
      </c>
      <c r="BE456" s="50" t="s">
        <v>212</v>
      </c>
      <c r="BF456" s="50" t="s">
        <v>213</v>
      </c>
      <c r="BG456" s="50" t="s">
        <v>124</v>
      </c>
      <c r="BH456" s="50" t="s">
        <v>11959</v>
      </c>
      <c r="BI456" s="50" t="s">
        <v>11960</v>
      </c>
      <c r="BJ456" s="50" t="s">
        <v>127</v>
      </c>
      <c r="BK456" s="50" t="s">
        <v>13499</v>
      </c>
      <c r="BL456" s="50" t="s">
        <v>2657</v>
      </c>
      <c r="BM456" s="50" t="s">
        <v>13500</v>
      </c>
      <c r="BN456" s="50" t="s">
        <v>10221</v>
      </c>
      <c r="BO456" s="50" t="s">
        <v>415</v>
      </c>
      <c r="BP456" s="50" t="s">
        <v>180</v>
      </c>
      <c r="BQ456" s="50" t="s">
        <v>416</v>
      </c>
      <c r="BR456" s="50" t="s">
        <v>417</v>
      </c>
      <c r="BS456" s="50" t="s">
        <v>2151</v>
      </c>
      <c r="BU456" s="50" t="s">
        <v>13501</v>
      </c>
      <c r="BV456" s="50" t="s">
        <v>13502</v>
      </c>
      <c r="BW456" s="50" t="s">
        <v>598</v>
      </c>
      <c r="BX456" s="50" t="s">
        <v>13503</v>
      </c>
      <c r="BY456" s="50" t="s">
        <v>13504</v>
      </c>
      <c r="BZ456" s="50" t="s">
        <v>2663</v>
      </c>
      <c r="CA456" s="50" t="s">
        <v>13505</v>
      </c>
      <c r="CB456" s="50" t="s">
        <v>13506</v>
      </c>
      <c r="CC456" s="50" t="s">
        <v>13504</v>
      </c>
      <c r="CD456" s="50" t="s">
        <v>13507</v>
      </c>
      <c r="CE456" s="50" t="s">
        <v>2667</v>
      </c>
      <c r="CF456" s="50" t="s">
        <v>2668</v>
      </c>
      <c r="CG456" s="50" t="s">
        <v>102</v>
      </c>
      <c r="CH456" s="50" t="s">
        <v>2669</v>
      </c>
      <c r="CJ456" s="50" t="s">
        <v>2670</v>
      </c>
      <c r="CL456" s="50" t="s">
        <v>1786</v>
      </c>
      <c r="CM456" s="50" t="s">
        <v>410</v>
      </c>
      <c r="CN456" s="50" t="s">
        <v>2670</v>
      </c>
      <c r="CP456" s="50" t="s">
        <v>2669</v>
      </c>
      <c r="CQ456" s="50" t="s">
        <v>2669</v>
      </c>
      <c r="CR456" s="50" t="s">
        <v>26040</v>
      </c>
    </row>
    <row r="457" spans="1:96">
      <c r="A457" s="95" t="s">
        <v>26356</v>
      </c>
      <c r="B457" s="50">
        <v>236318</v>
      </c>
      <c r="C457" s="50" t="s">
        <v>12491</v>
      </c>
      <c r="D457" s="50" t="s">
        <v>3071</v>
      </c>
      <c r="E457" s="50" t="str">
        <f>VLOOKUP(B457,aa!B:F,5,0)</f>
        <v>Ei ASSET, Ei Mindspark</v>
      </c>
      <c r="F457" s="50">
        <f>VLOOKUP(B457,aa!B:J,9,0)</f>
        <v>2461304</v>
      </c>
      <c r="G457" s="50">
        <f>VLOOKUP(B457,aa!B:L,11,0)</f>
        <v>820500</v>
      </c>
      <c r="H457" s="50">
        <f>VLOOKUP(B457,aa!B:O,14,0)</f>
        <v>0</v>
      </c>
      <c r="I457" s="50">
        <f>VLOOKUP(B457,aa!B:R,17,0)</f>
        <v>1640804</v>
      </c>
      <c r="K457" s="50" t="s">
        <v>97</v>
      </c>
      <c r="L457" s="50">
        <v>417750</v>
      </c>
      <c r="M457" s="50">
        <v>417750</v>
      </c>
      <c r="N457" s="50">
        <v>417750</v>
      </c>
      <c r="O457" s="50">
        <v>557</v>
      </c>
      <c r="P457" s="50" t="s">
        <v>101</v>
      </c>
      <c r="Q457" s="50">
        <v>0</v>
      </c>
      <c r="R457" s="50">
        <v>0</v>
      </c>
      <c r="T457" s="50">
        <v>0</v>
      </c>
      <c r="U457" s="50">
        <v>0</v>
      </c>
      <c r="W457" s="50" t="s">
        <v>102</v>
      </c>
      <c r="X457" s="50" t="s">
        <v>275</v>
      </c>
      <c r="Z457" s="50" t="s">
        <v>9460</v>
      </c>
      <c r="AA457" s="50" t="s">
        <v>109</v>
      </c>
      <c r="AB457" s="50" t="s">
        <v>102</v>
      </c>
      <c r="AC457" s="50" t="s">
        <v>109</v>
      </c>
      <c r="AD457" s="50" t="s">
        <v>102</v>
      </c>
      <c r="AE457" s="50" t="s">
        <v>109</v>
      </c>
      <c r="AF457" s="50" t="s">
        <v>102</v>
      </c>
      <c r="AG457" s="50" t="s">
        <v>109</v>
      </c>
      <c r="AH457" s="50" t="s">
        <v>102</v>
      </c>
      <c r="AI457" s="50" t="s">
        <v>102</v>
      </c>
      <c r="AJ457" s="50" t="s">
        <v>8258</v>
      </c>
      <c r="AK457" s="50" t="s">
        <v>8258</v>
      </c>
      <c r="AL457" s="50" t="s">
        <v>13758</v>
      </c>
      <c r="AM457" s="50" t="s">
        <v>13759</v>
      </c>
      <c r="AN457" s="50" t="s">
        <v>13760</v>
      </c>
      <c r="AO457" s="50" t="s">
        <v>116</v>
      </c>
      <c r="AP457" s="50" t="s">
        <v>116</v>
      </c>
      <c r="AU457" s="50" t="s">
        <v>117</v>
      </c>
      <c r="AV457" s="50" t="s">
        <v>118</v>
      </c>
      <c r="AW457" s="50" t="s">
        <v>102</v>
      </c>
      <c r="AX457" s="50" t="s">
        <v>119</v>
      </c>
      <c r="BB457" s="50" t="s">
        <v>120</v>
      </c>
      <c r="BC457" s="50" t="s">
        <v>3079</v>
      </c>
      <c r="BD457" s="50" t="s">
        <v>1244</v>
      </c>
      <c r="BE457" s="50" t="s">
        <v>122</v>
      </c>
      <c r="BF457" s="50" t="s">
        <v>1244</v>
      </c>
      <c r="BG457" s="50" t="s">
        <v>124</v>
      </c>
      <c r="BH457" s="50" t="s">
        <v>12023</v>
      </c>
      <c r="BI457" s="50" t="s">
        <v>11889</v>
      </c>
      <c r="BJ457" s="50" t="s">
        <v>127</v>
      </c>
      <c r="BK457" s="50" t="s">
        <v>13761</v>
      </c>
      <c r="BL457" s="50" t="s">
        <v>3081</v>
      </c>
      <c r="BM457" s="50" t="s">
        <v>13762</v>
      </c>
      <c r="BN457" s="50" t="s">
        <v>10221</v>
      </c>
      <c r="BO457" s="50" t="s">
        <v>8788</v>
      </c>
      <c r="BP457" s="50" t="s">
        <v>180</v>
      </c>
      <c r="BQ457" s="50" t="s">
        <v>8789</v>
      </c>
      <c r="BR457" s="50" t="s">
        <v>8790</v>
      </c>
      <c r="BS457" s="50" t="s">
        <v>1006</v>
      </c>
      <c r="BU457" s="50" t="s">
        <v>13763</v>
      </c>
      <c r="BV457" s="50" t="s">
        <v>13764</v>
      </c>
      <c r="BW457" s="50" t="s">
        <v>598</v>
      </c>
      <c r="BX457" s="50" t="s">
        <v>13765</v>
      </c>
      <c r="BY457" s="50" t="s">
        <v>13766</v>
      </c>
      <c r="BZ457" s="50" t="s">
        <v>3090</v>
      </c>
      <c r="CA457" s="50" t="s">
        <v>13767</v>
      </c>
      <c r="CB457" s="50" t="s">
        <v>3090</v>
      </c>
      <c r="CC457" s="50" t="s">
        <v>13766</v>
      </c>
      <c r="CD457" s="50" t="s">
        <v>13764</v>
      </c>
      <c r="CE457" s="50" t="s">
        <v>13765</v>
      </c>
      <c r="CF457" s="50" t="s">
        <v>13766</v>
      </c>
      <c r="CG457" s="50" t="s">
        <v>102</v>
      </c>
      <c r="CH457" s="50" t="s">
        <v>3091</v>
      </c>
      <c r="CJ457" s="50" t="s">
        <v>3092</v>
      </c>
      <c r="CL457" s="50" t="s">
        <v>3079</v>
      </c>
      <c r="CM457" s="50" t="s">
        <v>1244</v>
      </c>
      <c r="CN457" s="50" t="s">
        <v>3092</v>
      </c>
      <c r="CP457" s="50" t="s">
        <v>3091</v>
      </c>
      <c r="CQ457" s="50" t="s">
        <v>3091</v>
      </c>
    </row>
    <row r="458" spans="1:96">
      <c r="A458" s="95" t="s">
        <v>149</v>
      </c>
      <c r="B458" s="50">
        <v>5017809</v>
      </c>
      <c r="C458" s="50" t="s">
        <v>12507</v>
      </c>
      <c r="D458" s="50" t="s">
        <v>10213</v>
      </c>
      <c r="E458" s="50" t="e">
        <f>VLOOKUP(B458,aa!B:F,5,0)</f>
        <v>#N/A</v>
      </c>
      <c r="F458" s="50" t="e">
        <f>VLOOKUP(B458,aa!B:J,9,0)</f>
        <v>#N/A</v>
      </c>
      <c r="G458" s="50" t="e">
        <f>VLOOKUP(B458,aa!B:L,11,0)</f>
        <v>#N/A</v>
      </c>
      <c r="H458" s="50" t="e">
        <f>VLOOKUP(B458,aa!B:O,14,0)</f>
        <v>#N/A</v>
      </c>
      <c r="I458" s="50" t="e">
        <f>VLOOKUP(B458,aa!B:R,17,0)</f>
        <v>#N/A</v>
      </c>
      <c r="K458" s="50" t="s">
        <v>97</v>
      </c>
      <c r="L458" s="50">
        <v>169313</v>
      </c>
      <c r="M458" s="50">
        <v>169313</v>
      </c>
      <c r="N458" s="50">
        <v>169313</v>
      </c>
      <c r="O458" s="50">
        <v>141</v>
      </c>
      <c r="P458" s="50" t="s">
        <v>19156</v>
      </c>
      <c r="Q458" s="50">
        <v>0</v>
      </c>
      <c r="R458" s="50">
        <v>0</v>
      </c>
      <c r="T458" s="50">
        <v>0</v>
      </c>
      <c r="U458" s="50">
        <v>0</v>
      </c>
      <c r="W458" s="50" t="s">
        <v>102</v>
      </c>
      <c r="X458" s="50" t="s">
        <v>103</v>
      </c>
      <c r="Y458" s="50" t="s">
        <v>155</v>
      </c>
      <c r="AA458" s="50" t="s">
        <v>13033</v>
      </c>
      <c r="AB458" s="50" t="s">
        <v>19157</v>
      </c>
      <c r="AC458" s="50" t="s">
        <v>14057</v>
      </c>
      <c r="AD458" s="50" t="s">
        <v>19157</v>
      </c>
      <c r="AE458" s="50" t="s">
        <v>12041</v>
      </c>
      <c r="AF458" s="50" t="s">
        <v>19157</v>
      </c>
      <c r="AG458" s="50" t="s">
        <v>6895</v>
      </c>
      <c r="AH458" s="50" t="s">
        <v>19157</v>
      </c>
      <c r="AI458" s="50" t="s">
        <v>13288</v>
      </c>
      <c r="AJ458" s="50" t="s">
        <v>5351</v>
      </c>
      <c r="AK458" s="50" t="s">
        <v>13867</v>
      </c>
      <c r="AL458" s="50" t="s">
        <v>19158</v>
      </c>
      <c r="AM458" s="50" t="s">
        <v>19159</v>
      </c>
      <c r="AN458" s="50" t="s">
        <v>19157</v>
      </c>
      <c r="AO458" s="50" t="s">
        <v>19160</v>
      </c>
      <c r="AP458" s="50" t="s">
        <v>19160</v>
      </c>
      <c r="AU458" s="50" t="s">
        <v>318</v>
      </c>
      <c r="AV458" s="50" t="s">
        <v>118</v>
      </c>
      <c r="AW458" s="50" t="s">
        <v>102</v>
      </c>
      <c r="AX458" s="50" t="s">
        <v>119</v>
      </c>
      <c r="BB458" s="50" t="s">
        <v>1964</v>
      </c>
      <c r="BC458" s="50" t="s">
        <v>10227</v>
      </c>
      <c r="BD458" s="50" t="s">
        <v>1244</v>
      </c>
      <c r="BE458" s="50" t="s">
        <v>122</v>
      </c>
      <c r="BF458" s="50" t="s">
        <v>1244</v>
      </c>
      <c r="BG458" s="50" t="s">
        <v>124</v>
      </c>
      <c r="BH458" s="50" t="s">
        <v>11959</v>
      </c>
      <c r="BI458" s="50" t="s">
        <v>11960</v>
      </c>
      <c r="BJ458" s="50" t="s">
        <v>127</v>
      </c>
      <c r="BK458" s="50" t="s">
        <v>19161</v>
      </c>
      <c r="BL458" s="50" t="s">
        <v>10229</v>
      </c>
      <c r="BM458" s="50" t="s">
        <v>19162</v>
      </c>
      <c r="BN458" s="50" t="s">
        <v>13075</v>
      </c>
      <c r="BO458" s="50" t="s">
        <v>19163</v>
      </c>
      <c r="BP458" s="50" t="s">
        <v>350</v>
      </c>
      <c r="BQ458" s="50" t="s">
        <v>19164</v>
      </c>
      <c r="BR458" s="50" t="s">
        <v>19165</v>
      </c>
      <c r="BS458" s="50" t="s">
        <v>10231</v>
      </c>
      <c r="BT458" s="50" t="s">
        <v>1075</v>
      </c>
      <c r="BU458" s="50" t="s">
        <v>19166</v>
      </c>
      <c r="BV458" s="50" t="s">
        <v>10233</v>
      </c>
      <c r="BW458" s="50" t="s">
        <v>138</v>
      </c>
      <c r="BX458" s="50" t="s">
        <v>225</v>
      </c>
      <c r="BY458" s="50" t="s">
        <v>10235</v>
      </c>
      <c r="BZ458" s="50" t="s">
        <v>10234</v>
      </c>
      <c r="CA458" s="50" t="s">
        <v>10233</v>
      </c>
      <c r="CB458" s="50" t="s">
        <v>10234</v>
      </c>
      <c r="CC458" s="50" t="s">
        <v>10235</v>
      </c>
      <c r="CD458" s="50" t="s">
        <v>10233</v>
      </c>
      <c r="CE458" s="50" t="s">
        <v>10234</v>
      </c>
      <c r="CF458" s="50" t="s">
        <v>10235</v>
      </c>
      <c r="CG458" s="50" t="s">
        <v>3499</v>
      </c>
      <c r="CH458" s="50" t="s">
        <v>19167</v>
      </c>
      <c r="CJ458" s="50" t="s">
        <v>10237</v>
      </c>
      <c r="CK458" s="50" t="s">
        <v>19168</v>
      </c>
      <c r="CL458" s="50" t="s">
        <v>10227</v>
      </c>
      <c r="CM458" s="50" t="s">
        <v>1244</v>
      </c>
      <c r="CN458" s="50" t="s">
        <v>10237</v>
      </c>
      <c r="CO458" s="50" t="s">
        <v>10239</v>
      </c>
      <c r="CP458" s="50" t="s">
        <v>10236</v>
      </c>
      <c r="CQ458" s="50" t="s">
        <v>10238</v>
      </c>
    </row>
    <row r="459" spans="1:96">
      <c r="A459" s="95" t="s">
        <v>149</v>
      </c>
      <c r="B459" s="50">
        <v>5018350</v>
      </c>
      <c r="C459" s="50" t="s">
        <v>3562</v>
      </c>
      <c r="D459" s="50" t="s">
        <v>10705</v>
      </c>
      <c r="E459" s="50" t="e">
        <f>VLOOKUP(B459,aa!B:F,5,0)</f>
        <v>#N/A</v>
      </c>
      <c r="F459" s="50" t="e">
        <f>VLOOKUP(B459,aa!B:J,9,0)</f>
        <v>#N/A</v>
      </c>
      <c r="G459" s="50" t="e">
        <f>VLOOKUP(B459,aa!B:L,11,0)</f>
        <v>#N/A</v>
      </c>
      <c r="H459" s="50" t="e">
        <f>VLOOKUP(B459,aa!B:O,14,0)</f>
        <v>#N/A</v>
      </c>
      <c r="I459" s="50" t="e">
        <f>VLOOKUP(B459,aa!B:R,17,0)</f>
        <v>#N/A</v>
      </c>
      <c r="K459" s="50" t="s">
        <v>3549</v>
      </c>
      <c r="L459" s="50">
        <v>126830</v>
      </c>
      <c r="M459" s="50">
        <v>146623</v>
      </c>
      <c r="N459" s="50">
        <v>16867</v>
      </c>
      <c r="O459" s="50">
        <v>13</v>
      </c>
      <c r="P459" s="50" t="s">
        <v>19666</v>
      </c>
      <c r="Q459" s="50">
        <v>0</v>
      </c>
      <c r="R459" s="50">
        <v>0</v>
      </c>
      <c r="T459" s="50">
        <v>109963</v>
      </c>
      <c r="U459" s="50">
        <v>25</v>
      </c>
      <c r="V459" s="50" t="s">
        <v>19667</v>
      </c>
      <c r="W459" s="50" t="s">
        <v>102</v>
      </c>
      <c r="X459" s="50" t="s">
        <v>275</v>
      </c>
      <c r="Z459" s="50" t="s">
        <v>12480</v>
      </c>
      <c r="AA459" s="50" t="s">
        <v>109</v>
      </c>
      <c r="AB459" s="50" t="s">
        <v>102</v>
      </c>
      <c r="AC459" s="50" t="s">
        <v>109</v>
      </c>
      <c r="AD459" s="50" t="s">
        <v>102</v>
      </c>
      <c r="AE459" s="50" t="s">
        <v>109</v>
      </c>
      <c r="AF459" s="50" t="s">
        <v>102</v>
      </c>
      <c r="AG459" s="50" t="s">
        <v>109</v>
      </c>
      <c r="AH459" s="50" t="s">
        <v>102</v>
      </c>
      <c r="AI459" s="50" t="s">
        <v>102</v>
      </c>
      <c r="AJ459" s="50" t="s">
        <v>12289</v>
      </c>
      <c r="AK459" s="50" t="s">
        <v>12289</v>
      </c>
      <c r="AL459" s="50" t="s">
        <v>19668</v>
      </c>
      <c r="AM459" s="50" t="s">
        <v>19669</v>
      </c>
      <c r="AN459" s="50" t="s">
        <v>19670</v>
      </c>
      <c r="AO459" s="50" t="s">
        <v>19671</v>
      </c>
      <c r="AP459" s="50" t="s">
        <v>19672</v>
      </c>
      <c r="AS459" s="50" t="s">
        <v>169</v>
      </c>
      <c r="AU459" s="50" t="s">
        <v>117</v>
      </c>
      <c r="AV459" s="50" t="s">
        <v>118</v>
      </c>
      <c r="AW459" s="50" t="s">
        <v>102</v>
      </c>
      <c r="AX459" s="50" t="s">
        <v>119</v>
      </c>
      <c r="BA459" s="50" t="s">
        <v>250</v>
      </c>
      <c r="BB459" s="50" t="s">
        <v>209</v>
      </c>
      <c r="BC459" s="50" t="s">
        <v>3714</v>
      </c>
      <c r="BD459" s="50" t="s">
        <v>730</v>
      </c>
      <c r="BE459" s="50" t="s">
        <v>622</v>
      </c>
      <c r="BF459" s="50" t="s">
        <v>730</v>
      </c>
      <c r="BG459" s="50" t="s">
        <v>124</v>
      </c>
      <c r="BH459" s="50" t="s">
        <v>13496</v>
      </c>
      <c r="BI459" s="50" t="s">
        <v>19673</v>
      </c>
      <c r="BJ459" s="50" t="s">
        <v>127</v>
      </c>
      <c r="BK459" s="50" t="s">
        <v>19674</v>
      </c>
      <c r="BL459" s="50" t="s">
        <v>10713</v>
      </c>
      <c r="BM459" s="50" t="s">
        <v>19675</v>
      </c>
      <c r="BN459" s="50" t="s">
        <v>13075</v>
      </c>
      <c r="BO459" s="50" t="s">
        <v>3910</v>
      </c>
      <c r="BP459" s="50" t="s">
        <v>350</v>
      </c>
      <c r="BQ459" s="50" t="s">
        <v>3911</v>
      </c>
      <c r="BR459" s="50" t="s">
        <v>3912</v>
      </c>
      <c r="BS459" s="50" t="s">
        <v>2569</v>
      </c>
      <c r="BU459" s="50" t="s">
        <v>19676</v>
      </c>
      <c r="BV459" s="50" t="s">
        <v>19677</v>
      </c>
      <c r="BW459" s="50" t="s">
        <v>354</v>
      </c>
      <c r="BX459" s="50" t="s">
        <v>19678</v>
      </c>
      <c r="BY459" s="50" t="s">
        <v>10718</v>
      </c>
      <c r="BZ459" s="50" t="s">
        <v>10717</v>
      </c>
      <c r="CA459" s="50" t="s">
        <v>10719</v>
      </c>
      <c r="CB459" s="50" t="s">
        <v>19679</v>
      </c>
      <c r="CC459" s="50" t="s">
        <v>10721</v>
      </c>
      <c r="CD459" s="50" t="s">
        <v>10719</v>
      </c>
      <c r="CE459" s="50" t="s">
        <v>19679</v>
      </c>
      <c r="CF459" s="50" t="s">
        <v>10721</v>
      </c>
      <c r="CG459" s="50" t="s">
        <v>6457</v>
      </c>
      <c r="CH459" s="50" t="s">
        <v>10722</v>
      </c>
      <c r="CJ459" s="50" t="s">
        <v>10723</v>
      </c>
      <c r="CK459" s="50" t="s">
        <v>19680</v>
      </c>
      <c r="CL459" s="50" t="s">
        <v>3714</v>
      </c>
      <c r="CM459" s="50" t="s">
        <v>730</v>
      </c>
      <c r="CN459" s="50" t="s">
        <v>10723</v>
      </c>
      <c r="CP459" s="50" t="s">
        <v>10722</v>
      </c>
      <c r="CQ459" s="50" t="s">
        <v>10724</v>
      </c>
      <c r="CR459" s="50" t="s">
        <v>26047</v>
      </c>
    </row>
    <row r="460" spans="1:96">
      <c r="A460" s="95" t="s">
        <v>149</v>
      </c>
      <c r="B460" s="50">
        <v>60573</v>
      </c>
      <c r="C460" s="50" t="s">
        <v>12491</v>
      </c>
      <c r="D460" s="50" t="s">
        <v>11280</v>
      </c>
      <c r="E460" s="50" t="str">
        <f>VLOOKUP(B460,aa!B:F,5,0)</f>
        <v>Ei ASSET</v>
      </c>
      <c r="F460" s="50">
        <f>VLOOKUP(B460,aa!B:J,9,0)</f>
        <v>268062</v>
      </c>
      <c r="G460" s="50">
        <f>VLOOKUP(B460,aa!B:L,11,0)</f>
        <v>268062</v>
      </c>
      <c r="H460" s="50">
        <f>VLOOKUP(B460,aa!B:O,14,0)</f>
        <v>0</v>
      </c>
      <c r="I460" s="50">
        <f>VLOOKUP(B460,aa!B:R,17,0)</f>
        <v>0</v>
      </c>
      <c r="K460" s="50" t="s">
        <v>97</v>
      </c>
      <c r="L460" s="50">
        <v>332820</v>
      </c>
      <c r="M460" s="50">
        <v>332820</v>
      </c>
      <c r="N460" s="50">
        <v>332820</v>
      </c>
      <c r="O460" s="50">
        <v>516</v>
      </c>
      <c r="P460" s="50" t="s">
        <v>15191</v>
      </c>
      <c r="Q460" s="50">
        <v>0</v>
      </c>
      <c r="R460" s="50">
        <v>0</v>
      </c>
      <c r="T460" s="50">
        <v>0</v>
      </c>
      <c r="U460" s="50">
        <v>0</v>
      </c>
      <c r="W460" s="50" t="s">
        <v>102</v>
      </c>
      <c r="X460" s="50" t="s">
        <v>275</v>
      </c>
      <c r="Z460" s="50" t="s">
        <v>12467</v>
      </c>
      <c r="AA460" s="50" t="s">
        <v>109</v>
      </c>
      <c r="AB460" s="50" t="s">
        <v>102</v>
      </c>
      <c r="AC460" s="50" t="s">
        <v>109</v>
      </c>
      <c r="AD460" s="50" t="s">
        <v>102</v>
      </c>
      <c r="AE460" s="50" t="s">
        <v>109</v>
      </c>
      <c r="AF460" s="50" t="s">
        <v>102</v>
      </c>
      <c r="AG460" s="50" t="s">
        <v>109</v>
      </c>
      <c r="AH460" s="50" t="s">
        <v>102</v>
      </c>
      <c r="AI460" s="50" t="s">
        <v>21223</v>
      </c>
      <c r="AJ460" s="50" t="s">
        <v>1427</v>
      </c>
      <c r="AK460" s="50" t="s">
        <v>1427</v>
      </c>
      <c r="AL460" s="50" t="s">
        <v>21224</v>
      </c>
      <c r="AM460" s="50" t="s">
        <v>21225</v>
      </c>
      <c r="AN460" s="50" t="s">
        <v>102</v>
      </c>
      <c r="AO460" s="50" t="s">
        <v>14841</v>
      </c>
      <c r="AP460" s="50" t="s">
        <v>14841</v>
      </c>
      <c r="AU460" s="50" t="s">
        <v>117</v>
      </c>
      <c r="AV460" s="50" t="s">
        <v>118</v>
      </c>
      <c r="AW460" s="50" t="s">
        <v>102</v>
      </c>
      <c r="AX460" s="50" t="s">
        <v>119</v>
      </c>
      <c r="BB460" s="50" t="s">
        <v>120</v>
      </c>
      <c r="BC460" s="50" t="s">
        <v>2204</v>
      </c>
      <c r="BD460" s="50" t="s">
        <v>121</v>
      </c>
      <c r="BE460" s="50" t="s">
        <v>122</v>
      </c>
      <c r="BF460" s="50" t="s">
        <v>123</v>
      </c>
      <c r="BG460" s="50" t="s">
        <v>124</v>
      </c>
      <c r="BH460" s="50" t="s">
        <v>12023</v>
      </c>
      <c r="BI460" s="50" t="s">
        <v>11889</v>
      </c>
      <c r="BJ460" s="50" t="s">
        <v>127</v>
      </c>
      <c r="BK460" s="50" t="s">
        <v>21226</v>
      </c>
      <c r="BL460" s="50" t="s">
        <v>11286</v>
      </c>
      <c r="BM460" s="50" t="s">
        <v>21227</v>
      </c>
      <c r="BN460" s="50" t="s">
        <v>13075</v>
      </c>
      <c r="BO460" s="50" t="s">
        <v>8788</v>
      </c>
      <c r="BP460" s="50" t="s">
        <v>350</v>
      </c>
      <c r="BQ460" s="50" t="s">
        <v>8789</v>
      </c>
      <c r="BR460" s="50" t="s">
        <v>8790</v>
      </c>
      <c r="BS460" s="50" t="s">
        <v>11288</v>
      </c>
      <c r="BU460" s="50" t="s">
        <v>21228</v>
      </c>
      <c r="BV460" s="50" t="s">
        <v>11290</v>
      </c>
      <c r="BW460" s="50" t="s">
        <v>598</v>
      </c>
      <c r="BX460" s="50" t="s">
        <v>11291</v>
      </c>
      <c r="BY460" s="50" t="s">
        <v>11292</v>
      </c>
      <c r="BZ460" s="50" t="s">
        <v>11293</v>
      </c>
      <c r="CA460" s="50" t="s">
        <v>21229</v>
      </c>
      <c r="CB460" s="50" t="s">
        <v>21230</v>
      </c>
      <c r="CC460" s="50" t="s">
        <v>11292</v>
      </c>
      <c r="CD460" s="50" t="s">
        <v>11290</v>
      </c>
      <c r="CE460" s="50" t="s">
        <v>11291</v>
      </c>
      <c r="CF460" s="50" t="s">
        <v>11292</v>
      </c>
      <c r="CG460" s="50" t="s">
        <v>102</v>
      </c>
      <c r="CH460" s="50" t="s">
        <v>11294</v>
      </c>
      <c r="CJ460" s="50" t="s">
        <v>9367</v>
      </c>
      <c r="CL460" s="50" t="s">
        <v>2204</v>
      </c>
      <c r="CM460" s="50" t="s">
        <v>121</v>
      </c>
      <c r="CN460" s="50" t="s">
        <v>9367</v>
      </c>
      <c r="CO460" s="50" t="s">
        <v>11295</v>
      </c>
      <c r="CP460" s="50" t="s">
        <v>11294</v>
      </c>
      <c r="CQ460" s="50" t="s">
        <v>11294</v>
      </c>
    </row>
    <row r="461" spans="1:96">
      <c r="A461" s="95" t="s">
        <v>26356</v>
      </c>
      <c r="B461" s="50">
        <v>5018513</v>
      </c>
      <c r="C461" s="50" t="s">
        <v>11898</v>
      </c>
      <c r="D461" s="50" t="s">
        <v>10757</v>
      </c>
      <c r="E461" s="50" t="e">
        <f>VLOOKUP(B461,aa!B:F,5,0)</f>
        <v>#N/A</v>
      </c>
      <c r="F461" s="50" t="e">
        <f>VLOOKUP(B461,aa!B:J,9,0)</f>
        <v>#N/A</v>
      </c>
      <c r="G461" s="50" t="e">
        <f>VLOOKUP(B461,aa!B:L,11,0)</f>
        <v>#N/A</v>
      </c>
      <c r="H461" s="50" t="e">
        <f>VLOOKUP(B461,aa!B:O,14,0)</f>
        <v>#N/A</v>
      </c>
      <c r="I461" s="50" t="e">
        <f>VLOOKUP(B461,aa!B:R,17,0)</f>
        <v>#N/A</v>
      </c>
      <c r="K461" s="50" t="s">
        <v>1746</v>
      </c>
      <c r="L461" s="50">
        <v>0</v>
      </c>
      <c r="M461" s="50">
        <v>0</v>
      </c>
      <c r="N461" s="50">
        <v>0</v>
      </c>
      <c r="O461" s="50">
        <v>85</v>
      </c>
      <c r="P461" s="50" t="s">
        <v>102</v>
      </c>
      <c r="Q461" s="50">
        <v>0</v>
      </c>
      <c r="R461" s="50">
        <v>85</v>
      </c>
      <c r="S461" s="50" t="s">
        <v>102</v>
      </c>
      <c r="T461" s="50">
        <v>0</v>
      </c>
      <c r="U461" s="50">
        <v>166</v>
      </c>
      <c r="V461" s="50" t="s">
        <v>102</v>
      </c>
      <c r="W461" s="50" t="s">
        <v>102</v>
      </c>
      <c r="X461" s="50" t="s">
        <v>275</v>
      </c>
      <c r="Z461" s="50" t="s">
        <v>8258</v>
      </c>
      <c r="AA461" s="50" t="s">
        <v>109</v>
      </c>
      <c r="AB461" s="50" t="s">
        <v>102</v>
      </c>
      <c r="AC461" s="50" t="s">
        <v>109</v>
      </c>
      <c r="AD461" s="50" t="s">
        <v>102</v>
      </c>
      <c r="AE461" s="50" t="s">
        <v>109</v>
      </c>
      <c r="AF461" s="50" t="s">
        <v>102</v>
      </c>
      <c r="AG461" s="50" t="s">
        <v>109</v>
      </c>
      <c r="AH461" s="50" t="s">
        <v>102</v>
      </c>
      <c r="AI461" s="50" t="s">
        <v>102</v>
      </c>
      <c r="AL461" s="50" t="s">
        <v>102</v>
      </c>
      <c r="AM461" s="50" t="s">
        <v>102</v>
      </c>
      <c r="AN461" s="50" t="s">
        <v>102</v>
      </c>
      <c r="AO461" s="50" t="s">
        <v>115</v>
      </c>
      <c r="AP461" s="50" t="s">
        <v>115</v>
      </c>
      <c r="AU461" s="50" t="s">
        <v>6700</v>
      </c>
      <c r="AV461" s="50" t="s">
        <v>250</v>
      </c>
      <c r="AW461" s="50" t="s">
        <v>104</v>
      </c>
      <c r="AX461" s="50" t="s">
        <v>119</v>
      </c>
      <c r="AZ461" s="50" t="s">
        <v>250</v>
      </c>
      <c r="BA461" s="50" t="s">
        <v>250</v>
      </c>
      <c r="BB461" s="50" t="s">
        <v>120</v>
      </c>
      <c r="BC461" s="50" t="s">
        <v>1407</v>
      </c>
      <c r="BD461" s="50" t="s">
        <v>121</v>
      </c>
      <c r="BE461" s="50" t="s">
        <v>122</v>
      </c>
      <c r="BF461" s="50" t="s">
        <v>123</v>
      </c>
      <c r="BG461" s="50" t="s">
        <v>124</v>
      </c>
      <c r="BH461" s="50" t="s">
        <v>12082</v>
      </c>
      <c r="BI461" s="50" t="s">
        <v>11960</v>
      </c>
      <c r="BJ461" s="50" t="s">
        <v>127</v>
      </c>
      <c r="BK461" s="50" t="s">
        <v>19973</v>
      </c>
      <c r="BL461" s="50" t="s">
        <v>10761</v>
      </c>
      <c r="BM461" s="50" t="s">
        <v>19974</v>
      </c>
      <c r="BN461" s="50" t="s">
        <v>19972</v>
      </c>
      <c r="BO461" s="50" t="s">
        <v>18467</v>
      </c>
      <c r="BP461" s="50" t="s">
        <v>505</v>
      </c>
      <c r="BQ461" s="50" t="s">
        <v>18468</v>
      </c>
      <c r="BR461" s="50" t="s">
        <v>18469</v>
      </c>
      <c r="BS461" s="50" t="s">
        <v>566</v>
      </c>
      <c r="BU461" s="50" t="s">
        <v>19975</v>
      </c>
      <c r="BV461" s="50" t="s">
        <v>224</v>
      </c>
      <c r="BW461" s="50" t="s">
        <v>354</v>
      </c>
      <c r="BX461" s="50" t="s">
        <v>225</v>
      </c>
      <c r="BY461" s="50" t="s">
        <v>226</v>
      </c>
      <c r="BZ461" s="50" t="s">
        <v>10765</v>
      </c>
      <c r="CA461" s="50" t="s">
        <v>224</v>
      </c>
      <c r="CB461" s="50" t="s">
        <v>225</v>
      </c>
      <c r="CC461" s="50" t="s">
        <v>226</v>
      </c>
      <c r="CD461" s="50" t="s">
        <v>224</v>
      </c>
      <c r="CE461" s="50" t="s">
        <v>225</v>
      </c>
      <c r="CF461" s="50" t="s">
        <v>226</v>
      </c>
      <c r="CG461" s="50" t="s">
        <v>102</v>
      </c>
      <c r="CH461" s="50" t="s">
        <v>10769</v>
      </c>
      <c r="CJ461" s="50" t="s">
        <v>1419</v>
      </c>
      <c r="CL461" s="50" t="s">
        <v>1407</v>
      </c>
      <c r="CM461" s="50" t="s">
        <v>121</v>
      </c>
      <c r="CN461" s="50" t="s">
        <v>1419</v>
      </c>
      <c r="CP461" s="50" t="s">
        <v>10769</v>
      </c>
      <c r="CQ461" s="50" t="s">
        <v>10769</v>
      </c>
    </row>
    <row r="462" spans="1:96">
      <c r="A462" s="95" t="s">
        <v>149</v>
      </c>
      <c r="B462" s="50">
        <v>3871414</v>
      </c>
      <c r="C462" s="50" t="s">
        <v>11947</v>
      </c>
      <c r="D462" s="50" t="s">
        <v>5145</v>
      </c>
      <c r="E462" s="50" t="e">
        <f>VLOOKUP(B462,aa!B:F,5,0)</f>
        <v>#N/A</v>
      </c>
      <c r="F462" s="50" t="e">
        <f>VLOOKUP(B462,aa!B:J,9,0)</f>
        <v>#N/A</v>
      </c>
      <c r="G462" s="50" t="e">
        <f>VLOOKUP(B462,aa!B:L,11,0)</f>
        <v>#N/A</v>
      </c>
      <c r="H462" s="50" t="e">
        <f>VLOOKUP(B462,aa!B:O,14,0)</f>
        <v>#N/A</v>
      </c>
      <c r="I462" s="50" t="e">
        <f>VLOOKUP(B462,aa!B:R,17,0)</f>
        <v>#N/A</v>
      </c>
      <c r="K462" s="50" t="s">
        <v>97</v>
      </c>
      <c r="L462" s="50">
        <v>49140</v>
      </c>
      <c r="M462" s="50">
        <v>49140</v>
      </c>
      <c r="N462" s="50">
        <v>49140</v>
      </c>
      <c r="O462" s="50">
        <v>63</v>
      </c>
      <c r="P462" s="50" t="s">
        <v>2110</v>
      </c>
      <c r="Q462" s="50">
        <v>0</v>
      </c>
      <c r="R462" s="50">
        <v>0</v>
      </c>
      <c r="T462" s="50">
        <v>0</v>
      </c>
      <c r="U462" s="50">
        <v>0</v>
      </c>
      <c r="W462" s="50" t="s">
        <v>102</v>
      </c>
      <c r="X462" s="50" t="s">
        <v>275</v>
      </c>
      <c r="Z462" s="50" t="s">
        <v>8258</v>
      </c>
      <c r="AA462" s="50" t="s">
        <v>109</v>
      </c>
      <c r="AB462" s="50" t="s">
        <v>102</v>
      </c>
      <c r="AC462" s="50" t="s">
        <v>109</v>
      </c>
      <c r="AD462" s="50" t="s">
        <v>102</v>
      </c>
      <c r="AE462" s="50" t="s">
        <v>109</v>
      </c>
      <c r="AF462" s="50" t="s">
        <v>102</v>
      </c>
      <c r="AG462" s="50" t="s">
        <v>109</v>
      </c>
      <c r="AH462" s="50" t="s">
        <v>102</v>
      </c>
      <c r="AI462" s="50" t="s">
        <v>102</v>
      </c>
      <c r="AJ462" s="50" t="s">
        <v>15179</v>
      </c>
      <c r="AK462" s="50" t="s">
        <v>15179</v>
      </c>
      <c r="AL462" s="50" t="s">
        <v>17199</v>
      </c>
      <c r="AM462" s="50" t="s">
        <v>17199</v>
      </c>
      <c r="AN462" s="50" t="s">
        <v>102</v>
      </c>
      <c r="AO462" s="50" t="s">
        <v>6752</v>
      </c>
      <c r="AP462" s="50" t="s">
        <v>6752</v>
      </c>
      <c r="AU462" s="50" t="s">
        <v>318</v>
      </c>
      <c r="AV462" s="50" t="s">
        <v>250</v>
      </c>
      <c r="AW462" s="50" t="s">
        <v>102</v>
      </c>
      <c r="AX462" s="50" t="s">
        <v>119</v>
      </c>
      <c r="BB462" s="50" t="s">
        <v>120</v>
      </c>
      <c r="BC462" s="50" t="s">
        <v>7718</v>
      </c>
      <c r="BD462" s="50" t="s">
        <v>211</v>
      </c>
      <c r="BE462" s="50" t="s">
        <v>212</v>
      </c>
      <c r="BF462" s="50" t="s">
        <v>213</v>
      </c>
      <c r="BG462" s="50" t="s">
        <v>124</v>
      </c>
      <c r="BH462" s="50" t="s">
        <v>8258</v>
      </c>
      <c r="BI462" s="50" t="s">
        <v>11889</v>
      </c>
      <c r="BJ462" s="50" t="s">
        <v>127</v>
      </c>
      <c r="BK462" s="50" t="s">
        <v>17200</v>
      </c>
      <c r="BL462" s="50" t="s">
        <v>7721</v>
      </c>
      <c r="BM462" s="50" t="s">
        <v>17201</v>
      </c>
      <c r="BN462" s="50" t="s">
        <v>8258</v>
      </c>
      <c r="BO462" s="50" t="s">
        <v>1309</v>
      </c>
      <c r="BP462" s="50" t="s">
        <v>180</v>
      </c>
      <c r="BQ462" s="50" t="s">
        <v>1310</v>
      </c>
      <c r="BR462" s="50" t="s">
        <v>1311</v>
      </c>
      <c r="BS462" s="50" t="s">
        <v>1312</v>
      </c>
      <c r="BT462" s="50" t="s">
        <v>900</v>
      </c>
      <c r="BU462" s="50" t="s">
        <v>17202</v>
      </c>
      <c r="BV462" s="50" t="s">
        <v>17203</v>
      </c>
      <c r="BW462" s="50" t="s">
        <v>138</v>
      </c>
      <c r="BX462" s="50" t="s">
        <v>7725</v>
      </c>
      <c r="BY462" s="50" t="s">
        <v>7726</v>
      </c>
      <c r="BZ462" s="50" t="s">
        <v>7727</v>
      </c>
      <c r="CA462" s="50" t="s">
        <v>17203</v>
      </c>
      <c r="CB462" s="50" t="s">
        <v>7725</v>
      </c>
      <c r="CC462" s="50" t="s">
        <v>7726</v>
      </c>
      <c r="CD462" s="50" t="s">
        <v>8017</v>
      </c>
      <c r="CE462" s="50" t="s">
        <v>17204</v>
      </c>
      <c r="CF462" s="50" t="s">
        <v>17205</v>
      </c>
      <c r="CG462" s="50" t="s">
        <v>5811</v>
      </c>
      <c r="CH462" s="50" t="s">
        <v>17206</v>
      </c>
      <c r="CJ462" s="50" t="s">
        <v>5392</v>
      </c>
      <c r="CK462" s="50" t="s">
        <v>7728</v>
      </c>
      <c r="CL462" s="50" t="s">
        <v>7718</v>
      </c>
      <c r="CM462" s="50" t="s">
        <v>211</v>
      </c>
      <c r="CN462" s="50" t="s">
        <v>5392</v>
      </c>
      <c r="CP462" s="50" t="s">
        <v>7728</v>
      </c>
      <c r="CQ462" s="50" t="s">
        <v>7728</v>
      </c>
    </row>
    <row r="463" spans="1:96">
      <c r="A463" s="50" t="s">
        <v>93</v>
      </c>
      <c r="B463" s="50">
        <v>5017985</v>
      </c>
      <c r="C463" s="50" t="s">
        <v>11995</v>
      </c>
      <c r="D463" s="50" t="s">
        <v>9747</v>
      </c>
      <c r="E463" s="50" t="str">
        <f>VLOOKUP(B463,aa!B:F,5,0)</f>
        <v>Ei Mindspark</v>
      </c>
      <c r="F463" s="50">
        <f>VLOOKUP(B463,aa!B:J,9,0)</f>
        <v>565960</v>
      </c>
      <c r="G463" s="50">
        <f>VLOOKUP(B463,aa!B:L,11,0)</f>
        <v>0</v>
      </c>
      <c r="H463" s="50">
        <f>VLOOKUP(B463,aa!B:O,14,0)</f>
        <v>0</v>
      </c>
      <c r="I463" s="50">
        <f>VLOOKUP(B463,aa!B:R,17,0)</f>
        <v>565960</v>
      </c>
      <c r="K463" s="50" t="s">
        <v>848</v>
      </c>
      <c r="L463" s="50">
        <v>331188</v>
      </c>
      <c r="M463" s="50">
        <v>390802</v>
      </c>
      <c r="N463" s="50">
        <v>0</v>
      </c>
      <c r="O463" s="50">
        <v>0</v>
      </c>
      <c r="Q463" s="50">
        <v>0</v>
      </c>
      <c r="R463" s="50">
        <v>0</v>
      </c>
      <c r="T463" s="50">
        <v>331188</v>
      </c>
      <c r="U463" s="50">
        <v>138</v>
      </c>
      <c r="V463" s="50" t="s">
        <v>4372</v>
      </c>
      <c r="W463" s="50" t="s">
        <v>102</v>
      </c>
      <c r="X463" s="50" t="s">
        <v>275</v>
      </c>
      <c r="Z463" s="50" t="s">
        <v>126</v>
      </c>
      <c r="AA463" s="50" t="s">
        <v>109</v>
      </c>
      <c r="AB463" s="50" t="s">
        <v>102</v>
      </c>
      <c r="AC463" s="50" t="s">
        <v>109</v>
      </c>
      <c r="AD463" s="50" t="s">
        <v>102</v>
      </c>
      <c r="AE463" s="50" t="s">
        <v>109</v>
      </c>
      <c r="AF463" s="50" t="s">
        <v>102</v>
      </c>
      <c r="AG463" s="50" t="s">
        <v>109</v>
      </c>
      <c r="AH463" s="50" t="s">
        <v>102</v>
      </c>
      <c r="AI463" s="50" t="s">
        <v>102</v>
      </c>
      <c r="AJ463" s="50" t="s">
        <v>15179</v>
      </c>
      <c r="AK463" s="50" t="s">
        <v>15179</v>
      </c>
      <c r="AL463" s="50" t="s">
        <v>19300</v>
      </c>
      <c r="AM463" s="50" t="s">
        <v>19300</v>
      </c>
      <c r="AN463" s="50" t="s">
        <v>102</v>
      </c>
      <c r="AO463" s="50" t="s">
        <v>19301</v>
      </c>
      <c r="AP463" s="50" t="s">
        <v>19302</v>
      </c>
      <c r="AQ463" s="50" t="s">
        <v>343</v>
      </c>
      <c r="AU463" s="50" t="s">
        <v>102</v>
      </c>
      <c r="AW463" s="50" t="s">
        <v>102</v>
      </c>
      <c r="AX463" s="50" t="s">
        <v>119</v>
      </c>
      <c r="BA463" s="50" t="s">
        <v>250</v>
      </c>
      <c r="BB463" s="50" t="s">
        <v>120</v>
      </c>
      <c r="BC463" s="50" t="s">
        <v>284</v>
      </c>
      <c r="BD463" s="50" t="s">
        <v>285</v>
      </c>
      <c r="BE463" s="50" t="s">
        <v>212</v>
      </c>
      <c r="BF463" s="50" t="s">
        <v>286</v>
      </c>
      <c r="BG463" s="50" t="s">
        <v>124</v>
      </c>
      <c r="BH463" s="50" t="s">
        <v>11976</v>
      </c>
      <c r="BI463" s="50" t="s">
        <v>19303</v>
      </c>
      <c r="BJ463" s="50" t="s">
        <v>127</v>
      </c>
      <c r="BK463" s="50" t="s">
        <v>19304</v>
      </c>
      <c r="BL463" s="50" t="s">
        <v>19305</v>
      </c>
      <c r="BM463" s="50" t="s">
        <v>19306</v>
      </c>
      <c r="BN463" s="50" t="s">
        <v>8258</v>
      </c>
      <c r="BO463" s="50" t="s">
        <v>3997</v>
      </c>
      <c r="BP463" s="50" t="s">
        <v>258</v>
      </c>
      <c r="BQ463" s="50" t="s">
        <v>3998</v>
      </c>
      <c r="BR463" s="50" t="s">
        <v>3999</v>
      </c>
      <c r="BS463" s="50" t="s">
        <v>3362</v>
      </c>
      <c r="BU463" s="50" t="s">
        <v>19307</v>
      </c>
      <c r="BV463" s="50" t="s">
        <v>19308</v>
      </c>
      <c r="BW463" s="50" t="s">
        <v>138</v>
      </c>
      <c r="BX463" s="50" t="s">
        <v>19309</v>
      </c>
      <c r="BY463" s="50" t="s">
        <v>19310</v>
      </c>
      <c r="BZ463" s="50" t="s">
        <v>19309</v>
      </c>
      <c r="CA463" s="50" t="s">
        <v>19308</v>
      </c>
      <c r="CB463" s="50" t="s">
        <v>19309</v>
      </c>
      <c r="CC463" s="50" t="s">
        <v>19310</v>
      </c>
      <c r="CD463" s="50" t="s">
        <v>19311</v>
      </c>
      <c r="CE463" s="50" t="s">
        <v>19312</v>
      </c>
      <c r="CF463" s="50" t="s">
        <v>19313</v>
      </c>
      <c r="CG463" s="50" t="s">
        <v>102</v>
      </c>
      <c r="CH463" s="50" t="s">
        <v>19314</v>
      </c>
      <c r="CJ463" s="50" t="s">
        <v>19315</v>
      </c>
      <c r="CK463" s="50" t="s">
        <v>19316</v>
      </c>
      <c r="CL463" s="50" t="s">
        <v>284</v>
      </c>
      <c r="CM463" s="50" t="s">
        <v>285</v>
      </c>
      <c r="CN463" s="50" t="s">
        <v>19317</v>
      </c>
      <c r="CP463" s="50" t="s">
        <v>19318</v>
      </c>
      <c r="CQ463" s="50" t="s">
        <v>19319</v>
      </c>
    </row>
    <row r="464" spans="1:96">
      <c r="A464" s="50" t="s">
        <v>93</v>
      </c>
      <c r="B464" s="50">
        <v>5052054</v>
      </c>
      <c r="C464" s="50" t="s">
        <v>632</v>
      </c>
      <c r="D464" s="50" t="s">
        <v>20537</v>
      </c>
      <c r="E464" s="50" t="e">
        <f>VLOOKUP(B464,aa!B:F,5,0)</f>
        <v>#N/A</v>
      </c>
      <c r="F464" s="50" t="e">
        <f>VLOOKUP(B464,aa!B:J,9,0)</f>
        <v>#N/A</v>
      </c>
      <c r="G464" s="50" t="e">
        <f>VLOOKUP(B464,aa!B:L,11,0)</f>
        <v>#N/A</v>
      </c>
      <c r="H464" s="50" t="e">
        <f>VLOOKUP(B464,aa!B:O,14,0)</f>
        <v>#N/A</v>
      </c>
      <c r="I464" s="50" t="e">
        <f>VLOOKUP(B464,aa!B:R,17,0)</f>
        <v>#N/A</v>
      </c>
      <c r="K464" s="50" t="s">
        <v>97</v>
      </c>
      <c r="L464" s="50">
        <v>926886</v>
      </c>
      <c r="M464" s="50">
        <v>926886</v>
      </c>
      <c r="N464" s="50">
        <v>926886</v>
      </c>
      <c r="O464" s="50">
        <v>1426</v>
      </c>
      <c r="P464" s="50" t="s">
        <v>1122</v>
      </c>
      <c r="Q464" s="50">
        <v>0</v>
      </c>
      <c r="R464" s="50">
        <v>0</v>
      </c>
      <c r="T464" s="50">
        <v>0</v>
      </c>
      <c r="U464" s="50">
        <v>0</v>
      </c>
      <c r="W464" s="50" t="s">
        <v>102</v>
      </c>
      <c r="X464" s="50" t="s">
        <v>275</v>
      </c>
      <c r="Z464" s="50" t="s">
        <v>17874</v>
      </c>
      <c r="AA464" s="50" t="s">
        <v>109</v>
      </c>
      <c r="AB464" s="50" t="s">
        <v>102</v>
      </c>
      <c r="AC464" s="50" t="s">
        <v>109</v>
      </c>
      <c r="AD464" s="50" t="s">
        <v>102</v>
      </c>
      <c r="AE464" s="50" t="s">
        <v>109</v>
      </c>
      <c r="AF464" s="50" t="s">
        <v>102</v>
      </c>
      <c r="AG464" s="50" t="s">
        <v>109</v>
      </c>
      <c r="AH464" s="50" t="s">
        <v>102</v>
      </c>
      <c r="AI464" s="50" t="s">
        <v>102</v>
      </c>
      <c r="AL464" s="50" t="s">
        <v>20538</v>
      </c>
      <c r="AM464" s="50" t="s">
        <v>102</v>
      </c>
      <c r="AN464" s="50" t="s">
        <v>20538</v>
      </c>
      <c r="AO464" s="50" t="s">
        <v>20539</v>
      </c>
      <c r="AP464" s="50" t="s">
        <v>20539</v>
      </c>
      <c r="AU464" s="50" t="s">
        <v>117</v>
      </c>
      <c r="AV464" s="50" t="s">
        <v>118</v>
      </c>
      <c r="AW464" s="50" t="s">
        <v>102</v>
      </c>
      <c r="AX464" s="50" t="s">
        <v>119</v>
      </c>
      <c r="AZ464" s="50" t="s">
        <v>118</v>
      </c>
      <c r="BB464" s="50" t="s">
        <v>1964</v>
      </c>
      <c r="BC464" s="50" t="s">
        <v>623</v>
      </c>
      <c r="BD464" s="50" t="s">
        <v>621</v>
      </c>
      <c r="BE464" s="50" t="s">
        <v>622</v>
      </c>
      <c r="BF464" s="50" t="s">
        <v>623</v>
      </c>
      <c r="BG464" s="50" t="s">
        <v>124</v>
      </c>
      <c r="BH464" s="50" t="s">
        <v>9460</v>
      </c>
      <c r="BI464" s="50" t="s">
        <v>1427</v>
      </c>
      <c r="BJ464" s="50" t="s">
        <v>127</v>
      </c>
      <c r="BK464" s="50" t="s">
        <v>20540</v>
      </c>
      <c r="BL464" s="50" t="s">
        <v>20541</v>
      </c>
      <c r="BM464" s="50" t="s">
        <v>20542</v>
      </c>
      <c r="BN464" s="50" t="s">
        <v>8258</v>
      </c>
      <c r="BO464" s="50" t="s">
        <v>2284</v>
      </c>
      <c r="BP464" s="50" t="s">
        <v>132</v>
      </c>
      <c r="BQ464" s="50" t="s">
        <v>2285</v>
      </c>
      <c r="BR464" s="50" t="s">
        <v>2286</v>
      </c>
      <c r="BS464" s="50" t="s">
        <v>1342</v>
      </c>
      <c r="BU464" s="50" t="s">
        <v>20543</v>
      </c>
      <c r="BV464" s="50" t="s">
        <v>20544</v>
      </c>
      <c r="BW464" s="50" t="s">
        <v>138</v>
      </c>
      <c r="BX464" s="50" t="s">
        <v>20545</v>
      </c>
      <c r="BY464" s="50" t="s">
        <v>20546</v>
      </c>
      <c r="BZ464" s="50" t="s">
        <v>20547</v>
      </c>
      <c r="CA464" s="50" t="s">
        <v>20548</v>
      </c>
      <c r="CB464" s="50" t="s">
        <v>20545</v>
      </c>
      <c r="CC464" s="50" t="s">
        <v>20546</v>
      </c>
      <c r="CD464" s="50" t="s">
        <v>20548</v>
      </c>
      <c r="CE464" s="50" t="s">
        <v>20545</v>
      </c>
      <c r="CF464" s="50" t="s">
        <v>20546</v>
      </c>
      <c r="CG464" s="50" t="s">
        <v>9607</v>
      </c>
      <c r="CH464" s="50" t="s">
        <v>20549</v>
      </c>
      <c r="CJ464" s="50" t="s">
        <v>20550</v>
      </c>
      <c r="CK464" s="50" t="s">
        <v>20549</v>
      </c>
      <c r="CL464" s="50" t="s">
        <v>623</v>
      </c>
      <c r="CM464" s="50" t="s">
        <v>621</v>
      </c>
      <c r="CN464" s="50" t="s">
        <v>20550</v>
      </c>
      <c r="CP464" s="50" t="s">
        <v>20549</v>
      </c>
      <c r="CQ464" s="50" t="s">
        <v>20549</v>
      </c>
    </row>
    <row r="465" spans="1:96">
      <c r="A465" s="95" t="s">
        <v>149</v>
      </c>
      <c r="B465" s="50">
        <v>42625</v>
      </c>
      <c r="C465" s="50" t="s">
        <v>12030</v>
      </c>
      <c r="D465" s="50" t="s">
        <v>8921</v>
      </c>
      <c r="E465" s="50" t="str">
        <f>VLOOKUP(B465,aa!B:F,5,0)</f>
        <v>Ei CARES</v>
      </c>
      <c r="F465" s="50">
        <f>VLOOKUP(B465,aa!B:J,9,0)</f>
        <v>1713333</v>
      </c>
      <c r="G465" s="50">
        <f>VLOOKUP(B465,aa!B:L,11,0)</f>
        <v>0</v>
      </c>
      <c r="H465" s="50">
        <f>VLOOKUP(B465,aa!B:O,14,0)</f>
        <v>1713333</v>
      </c>
      <c r="I465" s="50">
        <f>VLOOKUP(B465,aa!B:R,17,0)</f>
        <v>0</v>
      </c>
      <c r="K465" s="50" t="s">
        <v>152</v>
      </c>
      <c r="L465" s="50">
        <v>1314840</v>
      </c>
      <c r="M465" s="50">
        <v>1314840</v>
      </c>
      <c r="N465" s="50">
        <v>0</v>
      </c>
      <c r="O465" s="50">
        <v>0</v>
      </c>
      <c r="Q465" s="50">
        <v>1314840</v>
      </c>
      <c r="R465" s="50">
        <v>915</v>
      </c>
      <c r="S465" s="50" t="s">
        <v>18300</v>
      </c>
      <c r="T465" s="50">
        <v>0</v>
      </c>
      <c r="U465" s="50">
        <v>0</v>
      </c>
      <c r="W465" s="50" t="s">
        <v>102</v>
      </c>
      <c r="X465" s="50" t="s">
        <v>103</v>
      </c>
      <c r="Y465" s="50" t="s">
        <v>398</v>
      </c>
      <c r="AA465" s="50" t="s">
        <v>12289</v>
      </c>
      <c r="AB465" s="50" t="s">
        <v>18301</v>
      </c>
      <c r="AC465" s="50" t="s">
        <v>1427</v>
      </c>
      <c r="AD465" s="50" t="s">
        <v>18302</v>
      </c>
      <c r="AE465" s="50" t="s">
        <v>6895</v>
      </c>
      <c r="AF465" s="50" t="s">
        <v>18302</v>
      </c>
      <c r="AG465" s="50" t="s">
        <v>109</v>
      </c>
      <c r="AH465" s="50" t="s">
        <v>102</v>
      </c>
      <c r="AI465" s="50" t="s">
        <v>18303</v>
      </c>
      <c r="AJ465" s="50" t="s">
        <v>12838</v>
      </c>
      <c r="AK465" s="50" t="s">
        <v>15733</v>
      </c>
      <c r="AL465" s="50" t="s">
        <v>18304</v>
      </c>
      <c r="AM465" s="50" t="s">
        <v>18305</v>
      </c>
      <c r="AN465" s="50" t="s">
        <v>18306</v>
      </c>
      <c r="AO465" s="50" t="s">
        <v>18307</v>
      </c>
      <c r="AP465" s="50" t="s">
        <v>18307</v>
      </c>
      <c r="AU465" s="50" t="s">
        <v>102</v>
      </c>
      <c r="AW465" s="50" t="s">
        <v>1758</v>
      </c>
      <c r="AX465" s="50" t="s">
        <v>119</v>
      </c>
      <c r="AY465" s="50" t="s">
        <v>170</v>
      </c>
      <c r="AZ465" s="50" t="s">
        <v>118</v>
      </c>
      <c r="BB465" s="50" t="s">
        <v>120</v>
      </c>
      <c r="BC465" s="50" t="s">
        <v>8930</v>
      </c>
      <c r="BD465" s="50" t="s">
        <v>2800</v>
      </c>
      <c r="BE465" s="50" t="s">
        <v>122</v>
      </c>
      <c r="BF465" s="50" t="s">
        <v>346</v>
      </c>
      <c r="BG465" s="50" t="s">
        <v>124</v>
      </c>
      <c r="BH465" s="50" t="s">
        <v>12023</v>
      </c>
      <c r="BI465" s="50" t="s">
        <v>11889</v>
      </c>
      <c r="BJ465" s="50" t="s">
        <v>127</v>
      </c>
      <c r="BK465" s="50" t="s">
        <v>18308</v>
      </c>
      <c r="BL465" s="50" t="s">
        <v>8932</v>
      </c>
      <c r="BM465" s="50" t="s">
        <v>18309</v>
      </c>
      <c r="BN465" s="50" t="s">
        <v>12429</v>
      </c>
      <c r="BO465" s="50" t="s">
        <v>593</v>
      </c>
      <c r="BP465" s="50" t="s">
        <v>505</v>
      </c>
      <c r="BQ465" s="50" t="s">
        <v>594</v>
      </c>
      <c r="BR465" s="50" t="s">
        <v>595</v>
      </c>
      <c r="BS465" s="50" t="s">
        <v>328</v>
      </c>
      <c r="BU465" s="50" t="s">
        <v>18310</v>
      </c>
      <c r="BV465" s="50" t="s">
        <v>8935</v>
      </c>
      <c r="BW465" s="50" t="s">
        <v>598</v>
      </c>
      <c r="BX465" s="50" t="s">
        <v>8936</v>
      </c>
      <c r="BY465" s="50" t="s">
        <v>8937</v>
      </c>
      <c r="BZ465" s="50" t="s">
        <v>8938</v>
      </c>
      <c r="CA465" s="50" t="s">
        <v>18311</v>
      </c>
      <c r="CB465" s="50" t="s">
        <v>18312</v>
      </c>
      <c r="CC465" s="50" t="s">
        <v>18313</v>
      </c>
      <c r="CD465" s="50" t="s">
        <v>18314</v>
      </c>
      <c r="CE465" s="50" t="s">
        <v>18315</v>
      </c>
      <c r="CF465" s="50" t="s">
        <v>18316</v>
      </c>
      <c r="CG465" s="50" t="s">
        <v>102</v>
      </c>
      <c r="CH465" s="50" t="s">
        <v>8939</v>
      </c>
      <c r="CJ465" s="50" t="s">
        <v>8940</v>
      </c>
      <c r="CL465" s="50" t="s">
        <v>8930</v>
      </c>
      <c r="CM465" s="50" t="s">
        <v>2800</v>
      </c>
      <c r="CN465" s="50" t="s">
        <v>8940</v>
      </c>
      <c r="CO465" s="50" t="s">
        <v>8941</v>
      </c>
      <c r="CP465" s="50" t="s">
        <v>8939</v>
      </c>
      <c r="CQ465" s="50" t="s">
        <v>8939</v>
      </c>
    </row>
    <row r="466" spans="1:96">
      <c r="A466" s="50" t="s">
        <v>26356</v>
      </c>
      <c r="B466" s="50">
        <v>5063250</v>
      </c>
      <c r="C466" s="50" t="s">
        <v>20687</v>
      </c>
      <c r="D466" s="50" t="s">
        <v>20686</v>
      </c>
      <c r="E466" s="50" t="e">
        <f>VLOOKUP(B466,aa!B:F,5,0)</f>
        <v>#N/A</v>
      </c>
      <c r="F466" s="50" t="e">
        <f>VLOOKUP(B466,aa!B:J,9,0)</f>
        <v>#N/A</v>
      </c>
      <c r="G466" s="50" t="e">
        <f>VLOOKUP(B466,aa!B:L,11,0)</f>
        <v>#N/A</v>
      </c>
      <c r="H466" s="50" t="e">
        <f>VLOOKUP(B466,aa!B:O,14,0)</f>
        <v>#N/A</v>
      </c>
      <c r="I466" s="50" t="e">
        <f>VLOOKUP(B466,aa!B:R,17,0)</f>
        <v>#N/A</v>
      </c>
      <c r="K466" s="50" t="s">
        <v>9078</v>
      </c>
      <c r="L466" s="50">
        <v>54094</v>
      </c>
      <c r="M466" s="50">
        <v>60896</v>
      </c>
      <c r="N466" s="50">
        <v>8670</v>
      </c>
      <c r="O466" s="50">
        <v>23</v>
      </c>
      <c r="P466" s="50" t="s">
        <v>20689</v>
      </c>
      <c r="Q466" s="50">
        <v>7637</v>
      </c>
      <c r="R466" s="50">
        <v>21</v>
      </c>
      <c r="S466" s="50" t="s">
        <v>20690</v>
      </c>
      <c r="T466" s="50">
        <v>37787</v>
      </c>
      <c r="U466" s="50">
        <v>36</v>
      </c>
      <c r="V466" s="50" t="s">
        <v>20691</v>
      </c>
      <c r="W466" s="50" t="s">
        <v>102</v>
      </c>
      <c r="X466" s="50" t="s">
        <v>275</v>
      </c>
      <c r="Z466" s="50" t="s">
        <v>20692</v>
      </c>
      <c r="AA466" s="50" t="s">
        <v>109</v>
      </c>
      <c r="AB466" s="50" t="s">
        <v>102</v>
      </c>
      <c r="AC466" s="50" t="s">
        <v>109</v>
      </c>
      <c r="AD466" s="50" t="s">
        <v>102</v>
      </c>
      <c r="AE466" s="50" t="s">
        <v>109</v>
      </c>
      <c r="AF466" s="50" t="s">
        <v>102</v>
      </c>
      <c r="AG466" s="50" t="s">
        <v>109</v>
      </c>
      <c r="AH466" s="50" t="s">
        <v>102</v>
      </c>
      <c r="AI466" s="50" t="s">
        <v>102</v>
      </c>
      <c r="AL466" s="50" t="s">
        <v>20693</v>
      </c>
      <c r="AM466" s="50" t="s">
        <v>102</v>
      </c>
      <c r="AN466" s="50" t="s">
        <v>20693</v>
      </c>
      <c r="AO466" s="50" t="s">
        <v>20694</v>
      </c>
      <c r="AP466" s="50" t="s">
        <v>20694</v>
      </c>
      <c r="AU466" s="50" t="s">
        <v>6700</v>
      </c>
      <c r="AV466" s="50" t="s">
        <v>250</v>
      </c>
      <c r="AW466" s="50" t="s">
        <v>1103</v>
      </c>
      <c r="AX466" s="50" t="s">
        <v>249</v>
      </c>
      <c r="AZ466" s="50" t="s">
        <v>250</v>
      </c>
      <c r="BA466" s="50" t="s">
        <v>250</v>
      </c>
      <c r="BB466" s="50" t="s">
        <v>1964</v>
      </c>
      <c r="BC466" s="50" t="s">
        <v>375</v>
      </c>
      <c r="BD466" s="50" t="s">
        <v>376</v>
      </c>
      <c r="BE466" s="50" t="s">
        <v>174</v>
      </c>
      <c r="BF466" s="50" t="s">
        <v>376</v>
      </c>
      <c r="BG466" s="50" t="s">
        <v>124</v>
      </c>
      <c r="BH466" s="50" t="s">
        <v>20695</v>
      </c>
      <c r="BI466" s="50" t="s">
        <v>20696</v>
      </c>
      <c r="BJ466" s="50" t="s">
        <v>127</v>
      </c>
      <c r="BK466" s="50" t="s">
        <v>20697</v>
      </c>
      <c r="BL466" s="50" t="s">
        <v>20698</v>
      </c>
      <c r="BM466" s="50" t="s">
        <v>20699</v>
      </c>
      <c r="BN466" s="50" t="s">
        <v>20688</v>
      </c>
      <c r="BO466" s="50" t="s">
        <v>179</v>
      </c>
      <c r="BP466" s="50" t="s">
        <v>7992</v>
      </c>
      <c r="BQ466" s="50" t="s">
        <v>181</v>
      </c>
      <c r="BR466" s="50" t="s">
        <v>182</v>
      </c>
      <c r="BS466" s="50" t="s">
        <v>1858</v>
      </c>
      <c r="BU466" s="50" t="s">
        <v>20700</v>
      </c>
      <c r="BV466" s="50" t="s">
        <v>20701</v>
      </c>
      <c r="BW466" s="50" t="s">
        <v>138</v>
      </c>
      <c r="BX466" s="50" t="s">
        <v>20702</v>
      </c>
      <c r="BY466" s="50" t="s">
        <v>20703</v>
      </c>
      <c r="BZ466" s="50" t="s">
        <v>20704</v>
      </c>
      <c r="CA466" s="50" t="s">
        <v>20701</v>
      </c>
      <c r="CB466" s="50" t="s">
        <v>20705</v>
      </c>
      <c r="CC466" s="50" t="s">
        <v>20703</v>
      </c>
      <c r="CD466" s="50" t="s">
        <v>20701</v>
      </c>
      <c r="CE466" s="50" t="s">
        <v>20705</v>
      </c>
      <c r="CF466" s="50" t="s">
        <v>20703</v>
      </c>
      <c r="CG466" s="50" t="s">
        <v>102</v>
      </c>
      <c r="CH466" s="50" t="s">
        <v>20686</v>
      </c>
      <c r="CJ466" s="50" t="s">
        <v>20706</v>
      </c>
      <c r="CL466" s="50" t="s">
        <v>375</v>
      </c>
      <c r="CM466" s="50" t="s">
        <v>376</v>
      </c>
      <c r="CN466" s="50" t="s">
        <v>20706</v>
      </c>
      <c r="CP466" s="50" t="s">
        <v>20707</v>
      </c>
      <c r="CQ466" s="50" t="s">
        <v>20707</v>
      </c>
      <c r="CR466" s="50" t="s">
        <v>26048</v>
      </c>
    </row>
    <row r="467" spans="1:96">
      <c r="A467" s="50" t="s">
        <v>26356</v>
      </c>
      <c r="B467" s="50">
        <v>5064415</v>
      </c>
      <c r="C467" s="50" t="s">
        <v>20687</v>
      </c>
      <c r="D467" s="50" t="s">
        <v>20723</v>
      </c>
      <c r="E467" s="50" t="e">
        <f>VLOOKUP(B467,aa!B:F,5,0)</f>
        <v>#N/A</v>
      </c>
      <c r="F467" s="50" t="e">
        <f>VLOOKUP(B467,aa!B:J,9,0)</f>
        <v>#N/A</v>
      </c>
      <c r="G467" s="50" t="e">
        <f>VLOOKUP(B467,aa!B:L,11,0)</f>
        <v>#N/A</v>
      </c>
      <c r="H467" s="50" t="e">
        <f>VLOOKUP(B467,aa!B:O,14,0)</f>
        <v>#N/A</v>
      </c>
      <c r="I467" s="50" t="e">
        <f>VLOOKUP(B467,aa!B:R,17,0)</f>
        <v>#N/A</v>
      </c>
      <c r="K467" s="50" t="s">
        <v>2884</v>
      </c>
      <c r="L467" s="50">
        <v>0</v>
      </c>
      <c r="M467" s="50">
        <v>0</v>
      </c>
      <c r="N467" s="50">
        <v>0</v>
      </c>
      <c r="O467" s="50">
        <v>13</v>
      </c>
      <c r="P467" s="50" t="s">
        <v>102</v>
      </c>
      <c r="Q467" s="50">
        <v>0</v>
      </c>
      <c r="R467" s="50">
        <v>22</v>
      </c>
      <c r="S467" s="50" t="s">
        <v>102</v>
      </c>
      <c r="T467" s="50">
        <v>0</v>
      </c>
      <c r="U467" s="50">
        <v>26</v>
      </c>
      <c r="V467" s="50" t="s">
        <v>102</v>
      </c>
      <c r="W467" s="50" t="s">
        <v>102</v>
      </c>
      <c r="X467" s="50" t="s">
        <v>275</v>
      </c>
      <c r="Z467" s="50" t="s">
        <v>20725</v>
      </c>
      <c r="AA467" s="50" t="s">
        <v>109</v>
      </c>
      <c r="AB467" s="50" t="s">
        <v>102</v>
      </c>
      <c r="AC467" s="50" t="s">
        <v>109</v>
      </c>
      <c r="AD467" s="50" t="s">
        <v>102</v>
      </c>
      <c r="AE467" s="50" t="s">
        <v>109</v>
      </c>
      <c r="AF467" s="50" t="s">
        <v>102</v>
      </c>
      <c r="AG467" s="50" t="s">
        <v>109</v>
      </c>
      <c r="AH467" s="50" t="s">
        <v>102</v>
      </c>
      <c r="AI467" s="50" t="s">
        <v>102</v>
      </c>
      <c r="AL467" s="50" t="s">
        <v>102</v>
      </c>
      <c r="AM467" s="50" t="s">
        <v>102</v>
      </c>
      <c r="AN467" s="50" t="s">
        <v>102</v>
      </c>
      <c r="AO467" s="50" t="s">
        <v>115</v>
      </c>
      <c r="AP467" s="50" t="s">
        <v>115</v>
      </c>
      <c r="AU467" s="50" t="s">
        <v>6700</v>
      </c>
      <c r="AV467" s="50" t="s">
        <v>250</v>
      </c>
      <c r="AW467" s="50" t="s">
        <v>104</v>
      </c>
      <c r="AX467" s="50" t="s">
        <v>447</v>
      </c>
      <c r="AZ467" s="50" t="s">
        <v>250</v>
      </c>
      <c r="BA467" s="50" t="s">
        <v>250</v>
      </c>
      <c r="BB467" s="50" t="s">
        <v>1964</v>
      </c>
      <c r="BC467" s="50" t="s">
        <v>375</v>
      </c>
      <c r="BD467" s="50" t="s">
        <v>376</v>
      </c>
      <c r="BE467" s="50" t="s">
        <v>174</v>
      </c>
      <c r="BF467" s="50" t="s">
        <v>376</v>
      </c>
      <c r="BG467" s="50" t="s">
        <v>124</v>
      </c>
      <c r="BH467" s="50" t="s">
        <v>12836</v>
      </c>
      <c r="BI467" s="50" t="s">
        <v>11889</v>
      </c>
      <c r="BJ467" s="50" t="s">
        <v>127</v>
      </c>
      <c r="BK467" s="50" t="s">
        <v>20726</v>
      </c>
      <c r="BL467" s="50" t="s">
        <v>20727</v>
      </c>
      <c r="BM467" s="50" t="s">
        <v>20728</v>
      </c>
      <c r="BN467" s="50" t="s">
        <v>20724</v>
      </c>
      <c r="BO467" s="50" t="s">
        <v>179</v>
      </c>
      <c r="BP467" s="50" t="s">
        <v>505</v>
      </c>
      <c r="BQ467" s="50" t="s">
        <v>181</v>
      </c>
      <c r="BR467" s="50" t="s">
        <v>182</v>
      </c>
      <c r="BS467" s="50" t="s">
        <v>1858</v>
      </c>
      <c r="BU467" s="50" t="s">
        <v>20729</v>
      </c>
      <c r="BV467" s="50" t="s">
        <v>224</v>
      </c>
      <c r="BW467" s="50" t="s">
        <v>1282</v>
      </c>
      <c r="BX467" s="50" t="s">
        <v>225</v>
      </c>
      <c r="BY467" s="50" t="s">
        <v>10475</v>
      </c>
      <c r="BZ467" s="50" t="s">
        <v>20704</v>
      </c>
      <c r="CA467" s="50" t="s">
        <v>20730</v>
      </c>
      <c r="CB467" s="50" t="s">
        <v>20702</v>
      </c>
      <c r="CC467" s="50" t="s">
        <v>20731</v>
      </c>
      <c r="CD467" s="50" t="s">
        <v>20730</v>
      </c>
      <c r="CE467" s="50" t="s">
        <v>20702</v>
      </c>
      <c r="CF467" s="50" t="s">
        <v>20731</v>
      </c>
      <c r="CG467" s="50" t="s">
        <v>102</v>
      </c>
      <c r="CH467" s="50" t="s">
        <v>20686</v>
      </c>
      <c r="CJ467" s="50" t="s">
        <v>20706</v>
      </c>
      <c r="CL467" s="50" t="s">
        <v>375</v>
      </c>
      <c r="CM467" s="50" t="s">
        <v>376</v>
      </c>
      <c r="CN467" s="50" t="s">
        <v>20706</v>
      </c>
      <c r="CP467" s="50" t="s">
        <v>20707</v>
      </c>
      <c r="CQ467" s="50" t="s">
        <v>20707</v>
      </c>
      <c r="CR467" s="50" t="s">
        <v>26048</v>
      </c>
    </row>
    <row r="468" spans="1:96">
      <c r="A468" s="50" t="s">
        <v>93</v>
      </c>
      <c r="B468" s="50">
        <v>5063726</v>
      </c>
      <c r="C468" s="50" t="s">
        <v>12491</v>
      </c>
      <c r="D468" s="50" t="s">
        <v>20708</v>
      </c>
      <c r="E468" s="50" t="e">
        <f>VLOOKUP(B468,aa!B:F,5,0)</f>
        <v>#N/A</v>
      </c>
      <c r="F468" s="50" t="e">
        <f>VLOOKUP(B468,aa!B:J,9,0)</f>
        <v>#N/A</v>
      </c>
      <c r="G468" s="50" t="e">
        <f>VLOOKUP(B468,aa!B:L,11,0)</f>
        <v>#N/A</v>
      </c>
      <c r="H468" s="50" t="e">
        <f>VLOOKUP(B468,aa!B:O,14,0)</f>
        <v>#N/A</v>
      </c>
      <c r="I468" s="50" t="e">
        <f>VLOOKUP(B468,aa!B:R,17,0)</f>
        <v>#N/A</v>
      </c>
      <c r="K468" s="50" t="s">
        <v>848</v>
      </c>
      <c r="L468" s="50">
        <v>146407</v>
      </c>
      <c r="M468" s="50">
        <v>172760</v>
      </c>
      <c r="N468" s="50">
        <v>0</v>
      </c>
      <c r="O468" s="50">
        <v>0</v>
      </c>
      <c r="Q468" s="50">
        <v>0</v>
      </c>
      <c r="R468" s="50">
        <v>0</v>
      </c>
      <c r="T468" s="50">
        <v>146407</v>
      </c>
      <c r="U468" s="50">
        <v>61</v>
      </c>
      <c r="V468" s="50" t="s">
        <v>4372</v>
      </c>
      <c r="W468" s="50" t="s">
        <v>102</v>
      </c>
      <c r="X468" s="50" t="s">
        <v>103</v>
      </c>
      <c r="Y468" s="50" t="s">
        <v>155</v>
      </c>
      <c r="AA468" s="50" t="s">
        <v>15642</v>
      </c>
      <c r="AB468" s="50" t="s">
        <v>20709</v>
      </c>
      <c r="AC468" s="50" t="s">
        <v>5651</v>
      </c>
      <c r="AD468" s="50" t="s">
        <v>20709</v>
      </c>
      <c r="AE468" s="50" t="s">
        <v>12327</v>
      </c>
      <c r="AF468" s="50" t="s">
        <v>20709</v>
      </c>
      <c r="AG468" s="50" t="s">
        <v>11886</v>
      </c>
      <c r="AH468" s="50" t="s">
        <v>20709</v>
      </c>
      <c r="AI468" s="50" t="s">
        <v>102</v>
      </c>
      <c r="AL468" s="50" t="s">
        <v>20710</v>
      </c>
      <c r="AM468" s="50" t="s">
        <v>102</v>
      </c>
      <c r="AN468" s="50" t="s">
        <v>20710</v>
      </c>
      <c r="AO468" s="50" t="s">
        <v>7699</v>
      </c>
      <c r="AP468" s="50" t="s">
        <v>7699</v>
      </c>
      <c r="AU468" s="50" t="s">
        <v>102</v>
      </c>
      <c r="AW468" s="50" t="s">
        <v>102</v>
      </c>
      <c r="AX468" s="50" t="s">
        <v>119</v>
      </c>
      <c r="BA468" s="50" t="s">
        <v>250</v>
      </c>
      <c r="BB468" s="50" t="s">
        <v>120</v>
      </c>
      <c r="BC468" s="50" t="s">
        <v>20711</v>
      </c>
      <c r="BD468" s="50" t="s">
        <v>1244</v>
      </c>
      <c r="BE468" s="50" t="s">
        <v>122</v>
      </c>
      <c r="BF468" s="50" t="s">
        <v>1244</v>
      </c>
      <c r="BG468" s="50" t="s">
        <v>124</v>
      </c>
      <c r="BH468" s="50" t="s">
        <v>11950</v>
      </c>
      <c r="BI468" s="50" t="s">
        <v>11960</v>
      </c>
      <c r="BJ468" s="50" t="s">
        <v>127</v>
      </c>
      <c r="BK468" s="50" t="s">
        <v>20712</v>
      </c>
      <c r="BL468" s="50" t="s">
        <v>20713</v>
      </c>
      <c r="BM468" s="50" t="s">
        <v>20714</v>
      </c>
      <c r="BN468" s="50" t="s">
        <v>11599</v>
      </c>
      <c r="BO468" s="50" t="s">
        <v>2262</v>
      </c>
      <c r="BP468" s="50" t="s">
        <v>350</v>
      </c>
      <c r="BQ468" s="50" t="s">
        <v>2263</v>
      </c>
      <c r="BR468" s="50" t="s">
        <v>2264</v>
      </c>
      <c r="BS468" s="50" t="s">
        <v>2569</v>
      </c>
      <c r="BT468" s="50" t="s">
        <v>1006</v>
      </c>
      <c r="BU468" s="50" t="s">
        <v>20715</v>
      </c>
      <c r="BV468" s="50" t="s">
        <v>20716</v>
      </c>
      <c r="BW468" s="50" t="s">
        <v>138</v>
      </c>
      <c r="BX468" s="50" t="s">
        <v>2263</v>
      </c>
      <c r="BY468" s="50" t="s">
        <v>20717</v>
      </c>
      <c r="BZ468" s="50" t="s">
        <v>20718</v>
      </c>
      <c r="CA468" s="50" t="s">
        <v>20716</v>
      </c>
      <c r="CB468" s="50" t="s">
        <v>20719</v>
      </c>
      <c r="CC468" s="50" t="s">
        <v>20717</v>
      </c>
      <c r="CD468" s="50" t="s">
        <v>20716</v>
      </c>
      <c r="CE468" s="50" t="s">
        <v>20719</v>
      </c>
      <c r="CF468" s="50" t="s">
        <v>20717</v>
      </c>
      <c r="CG468" s="50" t="s">
        <v>20720</v>
      </c>
      <c r="CH468" s="50" t="s">
        <v>20721</v>
      </c>
      <c r="CJ468" s="50" t="s">
        <v>20722</v>
      </c>
      <c r="CK468" s="50" t="s">
        <v>20721</v>
      </c>
      <c r="CL468" s="50" t="s">
        <v>20711</v>
      </c>
      <c r="CM468" s="50" t="s">
        <v>1244</v>
      </c>
      <c r="CN468" s="50" t="s">
        <v>20722</v>
      </c>
      <c r="CP468" s="50" t="s">
        <v>20711</v>
      </c>
      <c r="CQ468" s="50" t="s">
        <v>20711</v>
      </c>
    </row>
    <row r="469" spans="1:96">
      <c r="A469" s="95" t="s">
        <v>149</v>
      </c>
      <c r="B469" s="50">
        <v>3328278</v>
      </c>
      <c r="C469" s="50" t="s">
        <v>183</v>
      </c>
      <c r="D469" s="50" t="s">
        <v>5545</v>
      </c>
      <c r="E469" s="50" t="e">
        <f>VLOOKUP(B469,aa!B:F,5,0)</f>
        <v>#N/A</v>
      </c>
      <c r="F469" s="50" t="e">
        <f>VLOOKUP(B469,aa!B:J,9,0)</f>
        <v>#N/A</v>
      </c>
      <c r="G469" s="50" t="e">
        <f>VLOOKUP(B469,aa!B:L,11,0)</f>
        <v>#N/A</v>
      </c>
      <c r="H469" s="50" t="e">
        <f>VLOOKUP(B469,aa!B:O,14,0)</f>
        <v>#N/A</v>
      </c>
      <c r="I469" s="50" t="e">
        <f>VLOOKUP(B469,aa!B:R,17,0)</f>
        <v>#N/A</v>
      </c>
      <c r="K469" s="50" t="s">
        <v>152</v>
      </c>
      <c r="L469" s="50">
        <v>306576</v>
      </c>
      <c r="M469" s="50">
        <v>306576</v>
      </c>
      <c r="N469" s="50">
        <v>0</v>
      </c>
      <c r="O469" s="50">
        <v>0</v>
      </c>
      <c r="Q469" s="50">
        <v>306576</v>
      </c>
      <c r="R469" s="50">
        <v>383</v>
      </c>
      <c r="S469" s="50" t="s">
        <v>1297</v>
      </c>
      <c r="T469" s="50">
        <v>0</v>
      </c>
      <c r="U469" s="50">
        <v>0</v>
      </c>
      <c r="W469" s="50" t="s">
        <v>102</v>
      </c>
      <c r="X469" s="50" t="s">
        <v>103</v>
      </c>
      <c r="Y469" s="50" t="s">
        <v>155</v>
      </c>
      <c r="AA469" s="50" t="s">
        <v>14534</v>
      </c>
      <c r="AB469" s="50" t="s">
        <v>15643</v>
      </c>
      <c r="AC469" s="50" t="s">
        <v>11888</v>
      </c>
      <c r="AD469" s="50" t="s">
        <v>15643</v>
      </c>
      <c r="AE469" s="50" t="s">
        <v>12084</v>
      </c>
      <c r="AF469" s="50" t="s">
        <v>15643</v>
      </c>
      <c r="AG469" s="50" t="s">
        <v>11886</v>
      </c>
      <c r="AH469" s="50" t="s">
        <v>15643</v>
      </c>
      <c r="AI469" s="50" t="s">
        <v>102</v>
      </c>
      <c r="AJ469" s="50" t="s">
        <v>11599</v>
      </c>
      <c r="AK469" s="50" t="s">
        <v>11599</v>
      </c>
      <c r="AL469" s="50" t="s">
        <v>10267</v>
      </c>
      <c r="AM469" s="50" t="s">
        <v>15643</v>
      </c>
      <c r="AN469" s="50" t="s">
        <v>15644</v>
      </c>
      <c r="AO469" s="50" t="s">
        <v>9157</v>
      </c>
      <c r="AP469" s="50" t="s">
        <v>9157</v>
      </c>
      <c r="AU469" s="50" t="s">
        <v>102</v>
      </c>
      <c r="AW469" s="50" t="s">
        <v>104</v>
      </c>
      <c r="AX469" s="50" t="s">
        <v>119</v>
      </c>
      <c r="AY469" s="50" t="s">
        <v>170</v>
      </c>
      <c r="AZ469" s="50" t="s">
        <v>118</v>
      </c>
      <c r="BB469" s="50" t="s">
        <v>120</v>
      </c>
      <c r="BC469" s="50" t="s">
        <v>5553</v>
      </c>
      <c r="BD469" s="50" t="s">
        <v>1171</v>
      </c>
      <c r="BE469" s="50" t="s">
        <v>174</v>
      </c>
      <c r="BF469" s="50" t="s">
        <v>1172</v>
      </c>
      <c r="BG469" s="50" t="s">
        <v>124</v>
      </c>
      <c r="BH469" s="50" t="s">
        <v>12023</v>
      </c>
      <c r="BI469" s="50" t="s">
        <v>11889</v>
      </c>
      <c r="BJ469" s="50" t="s">
        <v>127</v>
      </c>
      <c r="BK469" s="50" t="s">
        <v>15645</v>
      </c>
      <c r="BL469" s="50" t="s">
        <v>5555</v>
      </c>
      <c r="BM469" s="50" t="s">
        <v>15646</v>
      </c>
      <c r="BN469" s="50" t="s">
        <v>15642</v>
      </c>
      <c r="BO469" s="50" t="s">
        <v>5557</v>
      </c>
      <c r="BP469" s="50" t="s">
        <v>505</v>
      </c>
      <c r="BQ469" s="50" t="s">
        <v>5558</v>
      </c>
      <c r="BR469" s="50" t="s">
        <v>5559</v>
      </c>
      <c r="BS469" s="50" t="s">
        <v>5560</v>
      </c>
      <c r="BU469" s="50" t="s">
        <v>15647</v>
      </c>
      <c r="BV469" s="50" t="s">
        <v>15648</v>
      </c>
      <c r="BW469" s="50" t="s">
        <v>138</v>
      </c>
      <c r="BX469" s="50" t="s">
        <v>5563</v>
      </c>
      <c r="BY469" s="50" t="s">
        <v>5564</v>
      </c>
      <c r="BZ469" s="50" t="s">
        <v>5563</v>
      </c>
      <c r="CA469" s="50" t="s">
        <v>15649</v>
      </c>
      <c r="CB469" s="50" t="s">
        <v>5563</v>
      </c>
      <c r="CC469" s="50" t="s">
        <v>5564</v>
      </c>
      <c r="CD469" s="50" t="s">
        <v>15649</v>
      </c>
      <c r="CE469" s="50" t="s">
        <v>5563</v>
      </c>
      <c r="CF469" s="50" t="s">
        <v>5564</v>
      </c>
      <c r="CG469" s="50" t="s">
        <v>5565</v>
      </c>
      <c r="CH469" s="50" t="s">
        <v>15650</v>
      </c>
      <c r="CJ469" s="50" t="s">
        <v>5567</v>
      </c>
      <c r="CK469" s="50" t="s">
        <v>15650</v>
      </c>
      <c r="CL469" s="50" t="s">
        <v>5553</v>
      </c>
      <c r="CM469" s="50" t="s">
        <v>1171</v>
      </c>
      <c r="CN469" s="50" t="s">
        <v>5567</v>
      </c>
      <c r="CP469" s="50" t="s">
        <v>5566</v>
      </c>
      <c r="CQ469" s="50" t="s">
        <v>5566</v>
      </c>
      <c r="CR469" s="50" t="s">
        <v>26053</v>
      </c>
    </row>
    <row r="470" spans="1:96">
      <c r="A470" s="95" t="s">
        <v>149</v>
      </c>
      <c r="B470" s="50">
        <v>356995</v>
      </c>
      <c r="C470" s="50" t="s">
        <v>3562</v>
      </c>
      <c r="D470" s="50" t="s">
        <v>6730</v>
      </c>
      <c r="E470" s="50" t="e">
        <f>VLOOKUP(B470,aa!B:F,5,0)</f>
        <v>#N/A</v>
      </c>
      <c r="F470" s="50" t="e">
        <f>VLOOKUP(B470,aa!B:J,9,0)</f>
        <v>#N/A</v>
      </c>
      <c r="G470" s="50" t="e">
        <f>VLOOKUP(B470,aa!B:L,11,0)</f>
        <v>#N/A</v>
      </c>
      <c r="H470" s="50" t="e">
        <f>VLOOKUP(B470,aa!B:O,14,0)</f>
        <v>#N/A</v>
      </c>
      <c r="I470" s="50" t="e">
        <f>VLOOKUP(B470,aa!B:R,17,0)</f>
        <v>#N/A</v>
      </c>
      <c r="K470" s="50" t="s">
        <v>848</v>
      </c>
      <c r="L470" s="50">
        <v>132146</v>
      </c>
      <c r="M470" s="50">
        <v>155932</v>
      </c>
      <c r="N470" s="50">
        <v>0</v>
      </c>
      <c r="O470" s="50">
        <v>0</v>
      </c>
      <c r="Q470" s="50">
        <v>0</v>
      </c>
      <c r="R470" s="50">
        <v>0</v>
      </c>
      <c r="T470" s="50">
        <v>132146</v>
      </c>
      <c r="U470" s="50">
        <v>75</v>
      </c>
      <c r="V470" s="50" t="s">
        <v>16499</v>
      </c>
      <c r="W470" s="50" t="s">
        <v>102</v>
      </c>
      <c r="X470" s="50" t="s">
        <v>275</v>
      </c>
      <c r="Z470" s="50" t="s">
        <v>9460</v>
      </c>
      <c r="AA470" s="50" t="s">
        <v>109</v>
      </c>
      <c r="AB470" s="50" t="s">
        <v>102</v>
      </c>
      <c r="AC470" s="50" t="s">
        <v>109</v>
      </c>
      <c r="AD470" s="50" t="s">
        <v>102</v>
      </c>
      <c r="AE470" s="50" t="s">
        <v>109</v>
      </c>
      <c r="AF470" s="50" t="s">
        <v>102</v>
      </c>
      <c r="AG470" s="50" t="s">
        <v>109</v>
      </c>
      <c r="AH470" s="50" t="s">
        <v>102</v>
      </c>
      <c r="AI470" s="50" t="s">
        <v>16500</v>
      </c>
      <c r="AJ470" s="50" t="s">
        <v>15221</v>
      </c>
      <c r="AK470" s="50" t="s">
        <v>15221</v>
      </c>
      <c r="AL470" s="50" t="s">
        <v>16501</v>
      </c>
      <c r="AM470" s="50" t="s">
        <v>16502</v>
      </c>
      <c r="AN470" s="50" t="s">
        <v>1205</v>
      </c>
      <c r="AO470" s="50" t="s">
        <v>16503</v>
      </c>
      <c r="AP470" s="50" t="s">
        <v>16504</v>
      </c>
      <c r="AT470" s="50" t="s">
        <v>169</v>
      </c>
      <c r="AU470" s="50" t="s">
        <v>102</v>
      </c>
      <c r="AW470" s="50" t="s">
        <v>102</v>
      </c>
      <c r="AX470" s="50" t="s">
        <v>119</v>
      </c>
      <c r="BA470" s="50" t="s">
        <v>250</v>
      </c>
      <c r="BB470" s="50" t="s">
        <v>120</v>
      </c>
      <c r="BC470" s="50" t="s">
        <v>1729</v>
      </c>
      <c r="BD470" s="50" t="s">
        <v>730</v>
      </c>
      <c r="BE470" s="50" t="s">
        <v>622</v>
      </c>
      <c r="BF470" s="50" t="s">
        <v>730</v>
      </c>
      <c r="BG470" s="50" t="s">
        <v>124</v>
      </c>
      <c r="BH470" s="50" t="s">
        <v>12082</v>
      </c>
      <c r="BI470" s="50" t="s">
        <v>11889</v>
      </c>
      <c r="BJ470" s="50" t="s">
        <v>127</v>
      </c>
      <c r="BK470" s="50" t="s">
        <v>16505</v>
      </c>
      <c r="BL470" s="50" t="s">
        <v>6739</v>
      </c>
      <c r="BM470" s="50" t="s">
        <v>16506</v>
      </c>
      <c r="BN470" s="50" t="s">
        <v>12659</v>
      </c>
      <c r="BO470" s="50" t="s">
        <v>7559</v>
      </c>
      <c r="BP470" s="50" t="s">
        <v>350</v>
      </c>
      <c r="BQ470" s="50" t="s">
        <v>7560</v>
      </c>
      <c r="BR470" s="50" t="s">
        <v>7561</v>
      </c>
      <c r="BS470" s="50" t="s">
        <v>3562</v>
      </c>
      <c r="BU470" s="50" t="s">
        <v>16507</v>
      </c>
      <c r="BV470" s="50" t="s">
        <v>6742</v>
      </c>
      <c r="BW470" s="50" t="s">
        <v>138</v>
      </c>
      <c r="BX470" s="50" t="s">
        <v>6743</v>
      </c>
      <c r="BY470" s="50" t="s">
        <v>6744</v>
      </c>
      <c r="BZ470" s="50" t="s">
        <v>6745</v>
      </c>
      <c r="CA470" s="50" t="s">
        <v>6742</v>
      </c>
      <c r="CB470" s="50" t="s">
        <v>6743</v>
      </c>
      <c r="CC470" s="50" t="s">
        <v>6744</v>
      </c>
      <c r="CD470" s="50" t="s">
        <v>16508</v>
      </c>
      <c r="CE470" s="50" t="s">
        <v>16509</v>
      </c>
      <c r="CF470" s="50" t="s">
        <v>16510</v>
      </c>
      <c r="CG470" s="50" t="s">
        <v>102</v>
      </c>
      <c r="CH470" s="50" t="s">
        <v>6746</v>
      </c>
      <c r="CJ470" s="50" t="s">
        <v>4103</v>
      </c>
      <c r="CL470" s="50" t="s">
        <v>1729</v>
      </c>
      <c r="CM470" s="50" t="s">
        <v>2273</v>
      </c>
      <c r="CN470" s="50" t="s">
        <v>4103</v>
      </c>
      <c r="CO470" s="50" t="s">
        <v>6747</v>
      </c>
      <c r="CP470" s="50" t="s">
        <v>6746</v>
      </c>
      <c r="CQ470" s="50" t="s">
        <v>6746</v>
      </c>
      <c r="CR470" s="50" t="s">
        <v>26047</v>
      </c>
    </row>
    <row r="471" spans="1:96">
      <c r="A471" s="50" t="s">
        <v>26356</v>
      </c>
      <c r="B471" s="50">
        <v>5018196</v>
      </c>
      <c r="C471" s="50" t="s">
        <v>13158</v>
      </c>
      <c r="D471" s="50" t="s">
        <v>19494</v>
      </c>
      <c r="E471" s="50" t="e">
        <f>VLOOKUP(B471,aa!B:F,5,0)</f>
        <v>#N/A</v>
      </c>
      <c r="F471" s="50" t="e">
        <f>VLOOKUP(B471,aa!B:J,9,0)</f>
        <v>#N/A</v>
      </c>
      <c r="G471" s="50" t="e">
        <f>VLOOKUP(B471,aa!B:L,11,0)</f>
        <v>#N/A</v>
      </c>
      <c r="H471" s="50" t="e">
        <f>VLOOKUP(B471,aa!B:O,14,0)</f>
        <v>#N/A</v>
      </c>
      <c r="I471" s="50" t="e">
        <f>VLOOKUP(B471,aa!B:R,17,0)</f>
        <v>#N/A</v>
      </c>
      <c r="K471" s="50" t="s">
        <v>97</v>
      </c>
      <c r="L471" s="50">
        <v>540558</v>
      </c>
      <c r="M471" s="50">
        <v>540558</v>
      </c>
      <c r="N471" s="50">
        <v>540558</v>
      </c>
      <c r="O471" s="50">
        <v>530</v>
      </c>
      <c r="P471" s="50" t="s">
        <v>19442</v>
      </c>
      <c r="Q471" s="50">
        <v>0</v>
      </c>
      <c r="R471" s="50">
        <v>0</v>
      </c>
      <c r="T471" s="50">
        <v>0</v>
      </c>
      <c r="U471" s="50">
        <v>0</v>
      </c>
      <c r="W471" s="50" t="s">
        <v>102</v>
      </c>
      <c r="X471" s="50" t="s">
        <v>103</v>
      </c>
      <c r="Y471" s="50" t="s">
        <v>104</v>
      </c>
      <c r="AA471" s="50" t="s">
        <v>12312</v>
      </c>
      <c r="AB471" s="50" t="s">
        <v>19495</v>
      </c>
      <c r="AC471" s="50" t="s">
        <v>12427</v>
      </c>
      <c r="AD471" s="50" t="s">
        <v>19495</v>
      </c>
      <c r="AE471" s="50" t="s">
        <v>109</v>
      </c>
      <c r="AF471" s="50" t="s">
        <v>102</v>
      </c>
      <c r="AG471" s="50" t="s">
        <v>109</v>
      </c>
      <c r="AH471" s="50" t="s">
        <v>102</v>
      </c>
      <c r="AI471" s="50" t="s">
        <v>19496</v>
      </c>
      <c r="AJ471" s="50" t="s">
        <v>13583</v>
      </c>
      <c r="AK471" s="50" t="s">
        <v>13583</v>
      </c>
      <c r="AL471" s="50" t="s">
        <v>19497</v>
      </c>
      <c r="AM471" s="50" t="s">
        <v>19498</v>
      </c>
      <c r="AN471" s="50" t="s">
        <v>19499</v>
      </c>
      <c r="AO471" s="50" t="s">
        <v>19445</v>
      </c>
      <c r="AP471" s="50" t="s">
        <v>19445</v>
      </c>
      <c r="AU471" s="50" t="s">
        <v>318</v>
      </c>
      <c r="AV471" s="50" t="s">
        <v>118</v>
      </c>
      <c r="AW471" s="50" t="s">
        <v>102</v>
      </c>
      <c r="AX471" s="50" t="s">
        <v>119</v>
      </c>
      <c r="BB471" s="50" t="s">
        <v>120</v>
      </c>
      <c r="BC471" s="50" t="s">
        <v>1407</v>
      </c>
      <c r="BD471" s="50" t="s">
        <v>449</v>
      </c>
      <c r="BE471" s="50" t="s">
        <v>122</v>
      </c>
      <c r="BF471" s="50" t="s">
        <v>450</v>
      </c>
      <c r="BG471" s="50" t="s">
        <v>124</v>
      </c>
      <c r="BH471" s="50" t="s">
        <v>12082</v>
      </c>
      <c r="BI471" s="50" t="s">
        <v>11889</v>
      </c>
      <c r="BJ471" s="50" t="s">
        <v>127</v>
      </c>
      <c r="BK471" s="50" t="s">
        <v>19500</v>
      </c>
      <c r="BL471" s="50" t="s">
        <v>19501</v>
      </c>
      <c r="BM471" s="50" t="s">
        <v>19502</v>
      </c>
      <c r="BN471" s="50" t="s">
        <v>9460</v>
      </c>
      <c r="BO471" s="50" t="s">
        <v>1108</v>
      </c>
      <c r="BP471" s="50" t="s">
        <v>350</v>
      </c>
      <c r="BQ471" s="50" t="s">
        <v>1109</v>
      </c>
      <c r="BR471" s="50" t="s">
        <v>1110</v>
      </c>
      <c r="BS471" s="50" t="s">
        <v>1111</v>
      </c>
      <c r="BU471" s="50" t="s">
        <v>19503</v>
      </c>
      <c r="BV471" s="50" t="s">
        <v>224</v>
      </c>
      <c r="BW471" s="50" t="s">
        <v>598</v>
      </c>
      <c r="BX471" s="50" t="s">
        <v>225</v>
      </c>
      <c r="BY471" s="50" t="s">
        <v>226</v>
      </c>
      <c r="CA471" s="50" t="s">
        <v>224</v>
      </c>
      <c r="CB471" s="50" t="s">
        <v>225</v>
      </c>
      <c r="CC471" s="50" t="s">
        <v>226</v>
      </c>
      <c r="CD471" s="50" t="s">
        <v>224</v>
      </c>
      <c r="CE471" s="50" t="s">
        <v>225</v>
      </c>
      <c r="CF471" s="50" t="s">
        <v>226</v>
      </c>
      <c r="CG471" s="50" t="s">
        <v>102</v>
      </c>
      <c r="CH471" s="50" t="s">
        <v>19504</v>
      </c>
      <c r="CJ471" s="50" t="s">
        <v>4078</v>
      </c>
      <c r="CL471" s="50" t="s">
        <v>1407</v>
      </c>
      <c r="CM471" s="50" t="s">
        <v>449</v>
      </c>
      <c r="CN471" s="50" t="s">
        <v>4078</v>
      </c>
      <c r="CO471" s="50" t="s">
        <v>5919</v>
      </c>
      <c r="CP471" s="50" t="s">
        <v>19505</v>
      </c>
      <c r="CQ471" s="50" t="s">
        <v>19505</v>
      </c>
    </row>
    <row r="472" spans="1:96">
      <c r="A472" s="50" t="s">
        <v>26356</v>
      </c>
      <c r="B472" s="50">
        <v>5018197</v>
      </c>
      <c r="C472" s="50" t="s">
        <v>13158</v>
      </c>
      <c r="D472" s="50" t="s">
        <v>19506</v>
      </c>
      <c r="E472" s="50" t="e">
        <f>VLOOKUP(B472,aa!B:F,5,0)</f>
        <v>#N/A</v>
      </c>
      <c r="F472" s="50" t="e">
        <f>VLOOKUP(B472,aa!B:J,9,0)</f>
        <v>#N/A</v>
      </c>
      <c r="G472" s="50" t="e">
        <f>VLOOKUP(B472,aa!B:L,11,0)</f>
        <v>#N/A</v>
      </c>
      <c r="H472" s="50" t="e">
        <f>VLOOKUP(B472,aa!B:O,14,0)</f>
        <v>#N/A</v>
      </c>
      <c r="I472" s="50" t="e">
        <f>VLOOKUP(B472,aa!B:R,17,0)</f>
        <v>#N/A</v>
      </c>
      <c r="K472" s="50" t="s">
        <v>97</v>
      </c>
      <c r="L472" s="50">
        <v>465084</v>
      </c>
      <c r="M472" s="50">
        <v>465084</v>
      </c>
      <c r="N472" s="50">
        <v>465084</v>
      </c>
      <c r="O472" s="50">
        <v>456</v>
      </c>
      <c r="P472" s="50" t="s">
        <v>19442</v>
      </c>
      <c r="Q472" s="50">
        <v>0</v>
      </c>
      <c r="R472" s="50">
        <v>0</v>
      </c>
      <c r="T472" s="50">
        <v>0</v>
      </c>
      <c r="U472" s="50">
        <v>0</v>
      </c>
      <c r="W472" s="50" t="s">
        <v>102</v>
      </c>
      <c r="X472" s="50" t="s">
        <v>103</v>
      </c>
      <c r="Y472" s="50" t="s">
        <v>104</v>
      </c>
      <c r="AA472" s="50" t="s">
        <v>12312</v>
      </c>
      <c r="AB472" s="50" t="s">
        <v>19507</v>
      </c>
      <c r="AC472" s="50" t="s">
        <v>12427</v>
      </c>
      <c r="AD472" s="50" t="s">
        <v>19507</v>
      </c>
      <c r="AE472" s="50" t="s">
        <v>109</v>
      </c>
      <c r="AF472" s="50" t="s">
        <v>102</v>
      </c>
      <c r="AG472" s="50" t="s">
        <v>109</v>
      </c>
      <c r="AH472" s="50" t="s">
        <v>102</v>
      </c>
      <c r="AI472" s="50" t="s">
        <v>19508</v>
      </c>
      <c r="AJ472" s="50" t="s">
        <v>13583</v>
      </c>
      <c r="AK472" s="50" t="s">
        <v>13583</v>
      </c>
      <c r="AL472" s="50" t="s">
        <v>19509</v>
      </c>
      <c r="AM472" s="50" t="s">
        <v>19510</v>
      </c>
      <c r="AN472" s="50" t="s">
        <v>19511</v>
      </c>
      <c r="AO472" s="50" t="s">
        <v>19445</v>
      </c>
      <c r="AP472" s="50" t="s">
        <v>19445</v>
      </c>
      <c r="AU472" s="50" t="s">
        <v>318</v>
      </c>
      <c r="AV472" s="50" t="s">
        <v>118</v>
      </c>
      <c r="AW472" s="50" t="s">
        <v>102</v>
      </c>
      <c r="AX472" s="50" t="s">
        <v>119</v>
      </c>
      <c r="BB472" s="50" t="s">
        <v>120</v>
      </c>
      <c r="BC472" s="50" t="s">
        <v>3058</v>
      </c>
      <c r="BD472" s="50" t="s">
        <v>320</v>
      </c>
      <c r="BE472" s="50" t="s">
        <v>122</v>
      </c>
      <c r="BF472" s="50" t="s">
        <v>123</v>
      </c>
      <c r="BG472" s="50" t="s">
        <v>124</v>
      </c>
      <c r="BH472" s="50" t="s">
        <v>13680</v>
      </c>
      <c r="BI472" s="50" t="s">
        <v>11889</v>
      </c>
      <c r="BJ472" s="50" t="s">
        <v>127</v>
      </c>
      <c r="BK472" s="50" t="s">
        <v>19512</v>
      </c>
      <c r="BL472" s="50" t="s">
        <v>19513</v>
      </c>
      <c r="BM472" s="50" t="s">
        <v>19514</v>
      </c>
      <c r="BN472" s="50" t="s">
        <v>9460</v>
      </c>
      <c r="BO472" s="50" t="s">
        <v>1108</v>
      </c>
      <c r="BP472" s="50" t="s">
        <v>350</v>
      </c>
      <c r="BQ472" s="50" t="s">
        <v>1109</v>
      </c>
      <c r="BR472" s="50" t="s">
        <v>1110</v>
      </c>
      <c r="BS472" s="50" t="s">
        <v>1111</v>
      </c>
      <c r="BU472" s="50" t="s">
        <v>19515</v>
      </c>
      <c r="BV472" s="50" t="s">
        <v>224</v>
      </c>
      <c r="BW472" s="50" t="s">
        <v>598</v>
      </c>
      <c r="BX472" s="50" t="s">
        <v>225</v>
      </c>
      <c r="BY472" s="50" t="s">
        <v>226</v>
      </c>
      <c r="CA472" s="50" t="s">
        <v>224</v>
      </c>
      <c r="CB472" s="50" t="s">
        <v>225</v>
      </c>
      <c r="CC472" s="50" t="s">
        <v>226</v>
      </c>
      <c r="CD472" s="50" t="s">
        <v>224</v>
      </c>
      <c r="CE472" s="50" t="s">
        <v>225</v>
      </c>
      <c r="CF472" s="50" t="s">
        <v>226</v>
      </c>
      <c r="CG472" s="50" t="s">
        <v>102</v>
      </c>
      <c r="CH472" s="50" t="s">
        <v>19516</v>
      </c>
      <c r="CJ472" s="50" t="s">
        <v>3070</v>
      </c>
      <c r="CL472" s="50" t="s">
        <v>3058</v>
      </c>
      <c r="CM472" s="50" t="s">
        <v>320</v>
      </c>
      <c r="CN472" s="50" t="s">
        <v>3070</v>
      </c>
      <c r="CO472" s="50" t="s">
        <v>5919</v>
      </c>
      <c r="CP472" s="50" t="s">
        <v>19516</v>
      </c>
      <c r="CQ472" s="50" t="s">
        <v>19516</v>
      </c>
    </row>
    <row r="473" spans="1:96">
      <c r="A473" s="50" t="s">
        <v>26356</v>
      </c>
      <c r="B473" s="50">
        <v>5018195</v>
      </c>
      <c r="C473" s="50" t="s">
        <v>13158</v>
      </c>
      <c r="D473" s="50" t="s">
        <v>19474</v>
      </c>
      <c r="E473" s="50" t="e">
        <f>VLOOKUP(B473,aa!B:F,5,0)</f>
        <v>#N/A</v>
      </c>
      <c r="F473" s="50" t="e">
        <f>VLOOKUP(B473,aa!B:J,9,0)</f>
        <v>#N/A</v>
      </c>
      <c r="G473" s="50" t="e">
        <f>VLOOKUP(B473,aa!B:L,11,0)</f>
        <v>#N/A</v>
      </c>
      <c r="H473" s="50" t="e">
        <f>VLOOKUP(B473,aa!B:O,14,0)</f>
        <v>#N/A</v>
      </c>
      <c r="I473" s="50" t="e">
        <f>VLOOKUP(B473,aa!B:R,17,0)</f>
        <v>#N/A</v>
      </c>
      <c r="K473" s="50" t="s">
        <v>97</v>
      </c>
      <c r="L473" s="50">
        <v>613966</v>
      </c>
      <c r="M473" s="50">
        <v>613966</v>
      </c>
      <c r="N473" s="50">
        <v>613966</v>
      </c>
      <c r="O473" s="50">
        <v>672</v>
      </c>
      <c r="P473" s="50" t="s">
        <v>19476</v>
      </c>
      <c r="Q473" s="50">
        <v>0</v>
      </c>
      <c r="R473" s="50">
        <v>0</v>
      </c>
      <c r="T473" s="50">
        <v>0</v>
      </c>
      <c r="U473" s="50">
        <v>0</v>
      </c>
      <c r="W473" s="50" t="s">
        <v>102</v>
      </c>
      <c r="X473" s="50" t="s">
        <v>679</v>
      </c>
      <c r="Y473" s="50" t="s">
        <v>104</v>
      </c>
      <c r="Z473" s="50" t="s">
        <v>11886</v>
      </c>
      <c r="AA473" s="50" t="s">
        <v>19477</v>
      </c>
      <c r="AB473" s="50" t="s">
        <v>19478</v>
      </c>
      <c r="AC473" s="50" t="s">
        <v>15488</v>
      </c>
      <c r="AD473" s="50" t="s">
        <v>19478</v>
      </c>
      <c r="AE473" s="50" t="s">
        <v>109</v>
      </c>
      <c r="AF473" s="50" t="s">
        <v>102</v>
      </c>
      <c r="AG473" s="50" t="s">
        <v>109</v>
      </c>
      <c r="AH473" s="50" t="s">
        <v>102</v>
      </c>
      <c r="AI473" s="50" t="s">
        <v>102</v>
      </c>
      <c r="AJ473" s="50" t="s">
        <v>12427</v>
      </c>
      <c r="AK473" s="50" t="s">
        <v>12427</v>
      </c>
      <c r="AL473" s="50" t="s">
        <v>19479</v>
      </c>
      <c r="AM473" s="50" t="s">
        <v>19480</v>
      </c>
      <c r="AN473" s="50" t="s">
        <v>19481</v>
      </c>
      <c r="AO473" s="50" t="s">
        <v>19482</v>
      </c>
      <c r="AP473" s="50" t="s">
        <v>19482</v>
      </c>
      <c r="AU473" s="50" t="s">
        <v>3439</v>
      </c>
      <c r="AV473" s="50" t="s">
        <v>118</v>
      </c>
      <c r="AW473" s="50" t="s">
        <v>102</v>
      </c>
      <c r="AX473" s="50" t="s">
        <v>119</v>
      </c>
      <c r="BB473" s="50" t="s">
        <v>120</v>
      </c>
      <c r="BC473" s="50" t="s">
        <v>4153</v>
      </c>
      <c r="BD473" s="50" t="s">
        <v>320</v>
      </c>
      <c r="BE473" s="50" t="s">
        <v>122</v>
      </c>
      <c r="BF473" s="50" t="s">
        <v>123</v>
      </c>
      <c r="BG473" s="50" t="s">
        <v>124</v>
      </c>
      <c r="BH473" s="50" t="s">
        <v>19483</v>
      </c>
      <c r="BI473" s="50" t="s">
        <v>11889</v>
      </c>
      <c r="BJ473" s="50" t="s">
        <v>127</v>
      </c>
      <c r="BK473" s="50" t="s">
        <v>19484</v>
      </c>
      <c r="BL473" s="50" t="s">
        <v>19485</v>
      </c>
      <c r="BM473" s="50" t="s">
        <v>19486</v>
      </c>
      <c r="BN473" s="50" t="s">
        <v>19475</v>
      </c>
      <c r="BO473" s="50" t="s">
        <v>14588</v>
      </c>
      <c r="BP473" s="50" t="s">
        <v>505</v>
      </c>
      <c r="BQ473" s="50" t="s">
        <v>14589</v>
      </c>
      <c r="BR473" s="50" t="s">
        <v>14590</v>
      </c>
      <c r="BS473" s="50" t="s">
        <v>1111</v>
      </c>
      <c r="BU473" s="50" t="s">
        <v>19487</v>
      </c>
      <c r="BV473" s="50" t="s">
        <v>19488</v>
      </c>
      <c r="BW473" s="50" t="s">
        <v>598</v>
      </c>
      <c r="BX473" s="50" t="s">
        <v>19489</v>
      </c>
      <c r="BY473" s="50" t="s">
        <v>19490</v>
      </c>
      <c r="CA473" s="50" t="s">
        <v>19491</v>
      </c>
      <c r="CB473" s="50" t="s">
        <v>19492</v>
      </c>
      <c r="CC473" s="50" t="s">
        <v>19490</v>
      </c>
      <c r="CD473" s="50" t="s">
        <v>19493</v>
      </c>
      <c r="CE473" s="50" t="s">
        <v>19489</v>
      </c>
      <c r="CF473" s="50" t="s">
        <v>19490</v>
      </c>
      <c r="CG473" s="50" t="s">
        <v>102</v>
      </c>
      <c r="CH473" s="50" t="s">
        <v>19441</v>
      </c>
      <c r="CJ473" s="50" t="s">
        <v>4160</v>
      </c>
      <c r="CL473" s="50" t="s">
        <v>4153</v>
      </c>
      <c r="CM473" s="50" t="s">
        <v>320</v>
      </c>
      <c r="CN473" s="50" t="s">
        <v>4160</v>
      </c>
      <c r="CP473" s="50" t="s">
        <v>19441</v>
      </c>
      <c r="CQ473" s="50" t="s">
        <v>19441</v>
      </c>
    </row>
    <row r="474" spans="1:96">
      <c r="A474" s="50" t="s">
        <v>93</v>
      </c>
      <c r="B474" s="50">
        <v>343343</v>
      </c>
      <c r="C474" s="50" t="s">
        <v>2525</v>
      </c>
      <c r="D474" s="50" t="s">
        <v>15949</v>
      </c>
      <c r="E474" s="50" t="str">
        <f>VLOOKUP(B474,aa!B:F,5,0)</f>
        <v>Ei Mindspark</v>
      </c>
      <c r="F474" s="50">
        <f>VLOOKUP(B474,aa!B:J,9,0)</f>
        <v>748000</v>
      </c>
      <c r="G474" s="50">
        <f>VLOOKUP(B474,aa!B:L,11,0)</f>
        <v>0</v>
      </c>
      <c r="H474" s="50">
        <f>VLOOKUP(B474,aa!B:O,14,0)</f>
        <v>0</v>
      </c>
      <c r="I474" s="50">
        <f>VLOOKUP(B474,aa!B:R,17,0)</f>
        <v>748000</v>
      </c>
      <c r="K474" s="50" t="s">
        <v>848</v>
      </c>
      <c r="L474" s="50">
        <v>352000</v>
      </c>
      <c r="M474" s="50">
        <v>415360</v>
      </c>
      <c r="N474" s="50">
        <v>0</v>
      </c>
      <c r="O474" s="50">
        <v>0</v>
      </c>
      <c r="P474" s="50" t="s">
        <v>102</v>
      </c>
      <c r="Q474" s="50">
        <v>0</v>
      </c>
      <c r="R474" s="50">
        <v>0</v>
      </c>
      <c r="S474" s="50" t="s">
        <v>102</v>
      </c>
      <c r="T474" s="50">
        <v>352000</v>
      </c>
      <c r="U474" s="50">
        <v>440</v>
      </c>
      <c r="V474" s="50" t="s">
        <v>102</v>
      </c>
      <c r="W474" s="50" t="s">
        <v>102</v>
      </c>
      <c r="X474" s="50" t="s">
        <v>275</v>
      </c>
      <c r="Y474" s="50" t="s">
        <v>115</v>
      </c>
      <c r="Z474" s="50" t="s">
        <v>15950</v>
      </c>
      <c r="AA474" s="50" t="s">
        <v>15951</v>
      </c>
      <c r="AB474" s="50" t="s">
        <v>102</v>
      </c>
      <c r="AC474" s="50" t="s">
        <v>15951</v>
      </c>
      <c r="AD474" s="50" t="s">
        <v>102</v>
      </c>
      <c r="AE474" s="50" t="s">
        <v>15951</v>
      </c>
      <c r="AF474" s="50" t="s">
        <v>102</v>
      </c>
      <c r="AG474" s="50" t="s">
        <v>15951</v>
      </c>
      <c r="AH474" s="50" t="s">
        <v>102</v>
      </c>
      <c r="AI474" s="50" t="s">
        <v>102</v>
      </c>
      <c r="AJ474" s="50" t="s">
        <v>15952</v>
      </c>
      <c r="AK474" s="50" t="s">
        <v>15953</v>
      </c>
      <c r="AL474" s="50" t="s">
        <v>15954</v>
      </c>
      <c r="AM474" s="50" t="s">
        <v>15955</v>
      </c>
      <c r="AN474" s="50" t="s">
        <v>15956</v>
      </c>
      <c r="AO474" s="50" t="s">
        <v>2202</v>
      </c>
      <c r="AP474" s="50" t="s">
        <v>2202</v>
      </c>
      <c r="AQ474" s="50" t="s">
        <v>102</v>
      </c>
      <c r="AR474" s="50" t="s">
        <v>102</v>
      </c>
      <c r="AS474" s="50" t="s">
        <v>102</v>
      </c>
      <c r="AT474" s="50" t="s">
        <v>102</v>
      </c>
      <c r="AU474" s="50" t="s">
        <v>102</v>
      </c>
      <c r="AW474" s="50" t="s">
        <v>102</v>
      </c>
      <c r="AX474" s="50" t="s">
        <v>119</v>
      </c>
      <c r="BA474" s="50" t="s">
        <v>250</v>
      </c>
      <c r="BB474" s="50" t="s">
        <v>120</v>
      </c>
      <c r="BC474" s="50" t="s">
        <v>4889</v>
      </c>
      <c r="BD474" s="50" t="s">
        <v>730</v>
      </c>
      <c r="BE474" s="50" t="s">
        <v>622</v>
      </c>
      <c r="BF474" s="50" t="s">
        <v>730</v>
      </c>
      <c r="BG474" s="50" t="s">
        <v>124</v>
      </c>
      <c r="BH474" s="50" t="s">
        <v>15957</v>
      </c>
      <c r="BI474" s="50" t="s">
        <v>15958</v>
      </c>
      <c r="BJ474" s="50" t="s">
        <v>15624</v>
      </c>
      <c r="BK474" s="50" t="s">
        <v>15959</v>
      </c>
      <c r="BL474" s="50" t="s">
        <v>15960</v>
      </c>
      <c r="BM474" s="50" t="s">
        <v>15961</v>
      </c>
      <c r="BN474" s="50" t="s">
        <v>12383</v>
      </c>
      <c r="BO474" s="50" t="s">
        <v>15962</v>
      </c>
      <c r="BP474" s="50" t="s">
        <v>2767</v>
      </c>
      <c r="BQ474" s="50" t="s">
        <v>15963</v>
      </c>
      <c r="BR474" s="50" t="s">
        <v>15964</v>
      </c>
      <c r="BS474" s="50" t="s">
        <v>15965</v>
      </c>
      <c r="BT474" s="50" t="s">
        <v>15966</v>
      </c>
      <c r="BU474" s="50" t="s">
        <v>15967</v>
      </c>
      <c r="BV474" s="50" t="s">
        <v>15968</v>
      </c>
      <c r="BW474" s="50" t="s">
        <v>138</v>
      </c>
      <c r="BX474" s="50" t="s">
        <v>15969</v>
      </c>
      <c r="BY474" s="50" t="s">
        <v>15970</v>
      </c>
      <c r="BZ474" s="50" t="s">
        <v>15971</v>
      </c>
      <c r="CA474" s="50" t="s">
        <v>15972</v>
      </c>
      <c r="CB474" s="50" t="s">
        <v>15969</v>
      </c>
      <c r="CC474" s="50" t="s">
        <v>15970</v>
      </c>
      <c r="CD474" s="50" t="s">
        <v>15972</v>
      </c>
      <c r="CE474" s="50" t="s">
        <v>15969</v>
      </c>
      <c r="CF474" s="50" t="s">
        <v>15970</v>
      </c>
      <c r="CG474" s="50" t="s">
        <v>15973</v>
      </c>
      <c r="CH474" s="50" t="s">
        <v>15974</v>
      </c>
      <c r="CJ474" s="50" t="s">
        <v>15975</v>
      </c>
      <c r="CK474" s="50" t="s">
        <v>15974</v>
      </c>
      <c r="CL474" s="50" t="s">
        <v>4889</v>
      </c>
      <c r="CM474" s="50" t="s">
        <v>730</v>
      </c>
      <c r="CN474" s="50" t="s">
        <v>15975</v>
      </c>
      <c r="CP474" s="50" t="s">
        <v>15976</v>
      </c>
      <c r="CQ474" s="50" t="s">
        <v>15976</v>
      </c>
    </row>
    <row r="475" spans="1:96">
      <c r="A475" s="95" t="s">
        <v>149</v>
      </c>
      <c r="B475" s="50">
        <v>252071</v>
      </c>
      <c r="C475" s="50" t="s">
        <v>2151</v>
      </c>
      <c r="D475" s="50" t="s">
        <v>3920</v>
      </c>
      <c r="E475" s="50" t="str">
        <f>VLOOKUP(B475,aa!B:F,5,0)</f>
        <v>Ei ASSET,Ei Mindspark</v>
      </c>
      <c r="F475" s="50">
        <f>VLOOKUP(B475,aa!B:J,9,0)</f>
        <v>2061118</v>
      </c>
      <c r="G475" s="50">
        <f>VLOOKUP(B475,aa!B:L,11,0)</f>
        <v>539044</v>
      </c>
      <c r="H475" s="50">
        <f>VLOOKUP(B475,aa!B:O,14,0)</f>
        <v>0</v>
      </c>
      <c r="I475" s="50">
        <f>VLOOKUP(B475,aa!B:R,17,0)</f>
        <v>1522074</v>
      </c>
      <c r="K475" s="50" t="s">
        <v>152</v>
      </c>
      <c r="L475" s="50">
        <v>173700</v>
      </c>
      <c r="M475" s="50">
        <v>173700</v>
      </c>
      <c r="N475" s="50">
        <v>0</v>
      </c>
      <c r="O475" s="50">
        <v>0</v>
      </c>
      <c r="Q475" s="50">
        <v>173700</v>
      </c>
      <c r="R475" s="50">
        <v>193</v>
      </c>
      <c r="S475" s="50" t="s">
        <v>2451</v>
      </c>
      <c r="T475" s="50">
        <v>0</v>
      </c>
      <c r="U475" s="50">
        <v>0</v>
      </c>
      <c r="W475" s="50" t="s">
        <v>102</v>
      </c>
      <c r="X475" s="50" t="s">
        <v>103</v>
      </c>
      <c r="Y475" s="50" t="s">
        <v>398</v>
      </c>
      <c r="AA475" s="50" t="s">
        <v>11954</v>
      </c>
      <c r="AB475" s="50" t="s">
        <v>14382</v>
      </c>
      <c r="AC475" s="50" t="s">
        <v>12838</v>
      </c>
      <c r="AD475" s="50" t="s">
        <v>14383</v>
      </c>
      <c r="AE475" s="50" t="s">
        <v>11886</v>
      </c>
      <c r="AF475" s="50" t="s">
        <v>14383</v>
      </c>
      <c r="AG475" s="50" t="s">
        <v>109</v>
      </c>
      <c r="AH475" s="50" t="s">
        <v>102</v>
      </c>
      <c r="AI475" s="50" t="s">
        <v>102</v>
      </c>
      <c r="AL475" s="50" t="s">
        <v>14384</v>
      </c>
      <c r="AM475" s="50" t="s">
        <v>102</v>
      </c>
      <c r="AN475" s="50" t="s">
        <v>14384</v>
      </c>
      <c r="AO475" s="50" t="s">
        <v>3213</v>
      </c>
      <c r="AP475" s="50" t="s">
        <v>3213</v>
      </c>
      <c r="AU475" s="50" t="s">
        <v>102</v>
      </c>
      <c r="AW475" s="50" t="s">
        <v>104</v>
      </c>
      <c r="AX475" s="50" t="s">
        <v>119</v>
      </c>
      <c r="AY475" s="50" t="s">
        <v>170</v>
      </c>
      <c r="AZ475" s="50" t="s">
        <v>118</v>
      </c>
      <c r="BB475" s="50" t="s">
        <v>1964</v>
      </c>
      <c r="BC475" s="50" t="s">
        <v>920</v>
      </c>
      <c r="BD475" s="50" t="s">
        <v>211</v>
      </c>
      <c r="BE475" s="50" t="s">
        <v>212</v>
      </c>
      <c r="BF475" s="50" t="s">
        <v>213</v>
      </c>
      <c r="BG475" s="50" t="s">
        <v>124</v>
      </c>
      <c r="BH475" s="50" t="s">
        <v>11959</v>
      </c>
      <c r="BI475" s="50" t="s">
        <v>11960</v>
      </c>
      <c r="BJ475" s="50" t="s">
        <v>127</v>
      </c>
      <c r="BK475" s="50" t="s">
        <v>14385</v>
      </c>
      <c r="BL475" s="50" t="s">
        <v>3939</v>
      </c>
      <c r="BM475" s="50" t="s">
        <v>14386</v>
      </c>
      <c r="BN475" s="50" t="s">
        <v>14381</v>
      </c>
      <c r="BO475" s="50" t="s">
        <v>415</v>
      </c>
      <c r="BP475" s="50" t="s">
        <v>180</v>
      </c>
      <c r="BQ475" s="50" t="s">
        <v>416</v>
      </c>
      <c r="BR475" s="50" t="s">
        <v>417</v>
      </c>
      <c r="BS475" s="50" t="s">
        <v>2151</v>
      </c>
      <c r="BU475" s="50" t="s">
        <v>14387</v>
      </c>
      <c r="BV475" s="50" t="s">
        <v>14388</v>
      </c>
      <c r="BW475" s="50" t="s">
        <v>354</v>
      </c>
      <c r="BX475" s="50" t="s">
        <v>3944</v>
      </c>
      <c r="BY475" s="50" t="s">
        <v>14389</v>
      </c>
      <c r="BZ475" s="50" t="s">
        <v>3946</v>
      </c>
      <c r="CA475" s="50" t="s">
        <v>14390</v>
      </c>
      <c r="CB475" s="50" t="s">
        <v>3944</v>
      </c>
      <c r="CC475" s="50" t="s">
        <v>14389</v>
      </c>
      <c r="CD475" s="50" t="s">
        <v>14390</v>
      </c>
      <c r="CE475" s="50" t="s">
        <v>3944</v>
      </c>
      <c r="CF475" s="50" t="s">
        <v>14389</v>
      </c>
      <c r="CG475" s="50" t="s">
        <v>102</v>
      </c>
      <c r="CH475" s="50" t="s">
        <v>3947</v>
      </c>
      <c r="CJ475" s="50" t="s">
        <v>2473</v>
      </c>
      <c r="CL475" s="50" t="s">
        <v>920</v>
      </c>
      <c r="CM475" s="50" t="s">
        <v>211</v>
      </c>
      <c r="CN475" s="50" t="s">
        <v>2473</v>
      </c>
      <c r="CP475" s="50" t="s">
        <v>3947</v>
      </c>
      <c r="CQ475" s="50" t="s">
        <v>3947</v>
      </c>
    </row>
    <row r="476" spans="1:96">
      <c r="A476" s="50" t="s">
        <v>93</v>
      </c>
      <c r="B476" s="50">
        <v>5018392</v>
      </c>
      <c r="C476" s="50" t="s">
        <v>12155</v>
      </c>
      <c r="D476" s="50" t="s">
        <v>19689</v>
      </c>
      <c r="E476" s="50" t="e">
        <f>VLOOKUP(B476,aa!B:F,5,0)</f>
        <v>#N/A</v>
      </c>
      <c r="F476" s="50" t="e">
        <f>VLOOKUP(B476,aa!B:J,9,0)</f>
        <v>#N/A</v>
      </c>
      <c r="G476" s="50" t="e">
        <f>VLOOKUP(B476,aa!B:L,11,0)</f>
        <v>#N/A</v>
      </c>
      <c r="H476" s="50" t="e">
        <f>VLOOKUP(B476,aa!B:O,14,0)</f>
        <v>#N/A</v>
      </c>
      <c r="I476" s="50" t="e">
        <f>VLOOKUP(B476,aa!B:R,17,0)</f>
        <v>#N/A</v>
      </c>
      <c r="K476" s="50" t="s">
        <v>152</v>
      </c>
      <c r="L476" s="50">
        <v>53100</v>
      </c>
      <c r="M476" s="50">
        <v>53100</v>
      </c>
      <c r="N476" s="50">
        <v>0</v>
      </c>
      <c r="O476" s="50">
        <v>0</v>
      </c>
      <c r="Q476" s="50">
        <v>53100</v>
      </c>
      <c r="R476" s="50">
        <v>59</v>
      </c>
      <c r="S476" s="50" t="s">
        <v>2451</v>
      </c>
      <c r="T476" s="50">
        <v>0</v>
      </c>
      <c r="U476" s="50">
        <v>0</v>
      </c>
      <c r="W476" s="50" t="s">
        <v>102</v>
      </c>
      <c r="X476" s="50" t="s">
        <v>275</v>
      </c>
      <c r="Z476" s="50" t="s">
        <v>11954</v>
      </c>
      <c r="AA476" s="50" t="s">
        <v>109</v>
      </c>
      <c r="AB476" s="50" t="s">
        <v>102</v>
      </c>
      <c r="AC476" s="50" t="s">
        <v>109</v>
      </c>
      <c r="AD476" s="50" t="s">
        <v>102</v>
      </c>
      <c r="AE476" s="50" t="s">
        <v>109</v>
      </c>
      <c r="AF476" s="50" t="s">
        <v>102</v>
      </c>
      <c r="AG476" s="50" t="s">
        <v>109</v>
      </c>
      <c r="AH476" s="50" t="s">
        <v>102</v>
      </c>
      <c r="AI476" s="50" t="s">
        <v>102</v>
      </c>
      <c r="AJ476" s="50" t="s">
        <v>4374</v>
      </c>
      <c r="AK476" s="50" t="s">
        <v>4374</v>
      </c>
      <c r="AL476" s="50" t="s">
        <v>19690</v>
      </c>
      <c r="AM476" s="50" t="s">
        <v>1594</v>
      </c>
      <c r="AN476" s="50" t="s">
        <v>19691</v>
      </c>
      <c r="AO476" s="50" t="s">
        <v>116</v>
      </c>
      <c r="AP476" s="50" t="s">
        <v>116</v>
      </c>
      <c r="AU476" s="50" t="s">
        <v>102</v>
      </c>
      <c r="AW476" s="50" t="s">
        <v>104</v>
      </c>
      <c r="AX476" s="50" t="s">
        <v>447</v>
      </c>
      <c r="AY476" s="50" t="s">
        <v>170</v>
      </c>
      <c r="AZ476" s="50" t="s">
        <v>118</v>
      </c>
      <c r="BB476" s="50" t="s">
        <v>120</v>
      </c>
      <c r="BC476" s="50" t="s">
        <v>19692</v>
      </c>
      <c r="BD476" s="50" t="s">
        <v>173</v>
      </c>
      <c r="BE476" s="50" t="s">
        <v>174</v>
      </c>
      <c r="BF476" s="50" t="s">
        <v>173</v>
      </c>
      <c r="BG476" s="50" t="s">
        <v>124</v>
      </c>
      <c r="BH476" s="50" t="s">
        <v>12023</v>
      </c>
      <c r="BI476" s="50" t="s">
        <v>11889</v>
      </c>
      <c r="BJ476" s="50" t="s">
        <v>127</v>
      </c>
      <c r="BK476" s="50" t="s">
        <v>19693</v>
      </c>
      <c r="BL476" s="50" t="s">
        <v>19694</v>
      </c>
      <c r="BM476" s="50" t="s">
        <v>19695</v>
      </c>
      <c r="BN476" s="50" t="s">
        <v>14381</v>
      </c>
      <c r="BO476" s="50" t="s">
        <v>9823</v>
      </c>
      <c r="BP476" s="50" t="s">
        <v>505</v>
      </c>
      <c r="BQ476" s="50" t="s">
        <v>9824</v>
      </c>
      <c r="BR476" s="50" t="s">
        <v>9825</v>
      </c>
      <c r="BS476" s="50" t="s">
        <v>1176</v>
      </c>
      <c r="BU476" s="50" t="s">
        <v>19696</v>
      </c>
      <c r="BV476" s="50" t="s">
        <v>19697</v>
      </c>
      <c r="BW476" s="50" t="s">
        <v>138</v>
      </c>
      <c r="BX476" s="50" t="s">
        <v>19698</v>
      </c>
      <c r="BY476" s="50" t="s">
        <v>19699</v>
      </c>
      <c r="BZ476" s="50" t="s">
        <v>19698</v>
      </c>
      <c r="CA476" s="50" t="s">
        <v>19697</v>
      </c>
      <c r="CB476" s="50" t="s">
        <v>19698</v>
      </c>
      <c r="CC476" s="50" t="s">
        <v>19699</v>
      </c>
      <c r="CD476" s="50" t="s">
        <v>19700</v>
      </c>
      <c r="CE476" s="50" t="s">
        <v>19698</v>
      </c>
      <c r="CF476" s="50" t="s">
        <v>19701</v>
      </c>
      <c r="CG476" s="50" t="s">
        <v>19702</v>
      </c>
      <c r="CH476" s="50" t="s">
        <v>19703</v>
      </c>
      <c r="CJ476" s="50" t="s">
        <v>19704</v>
      </c>
      <c r="CK476" s="50" t="s">
        <v>19705</v>
      </c>
      <c r="CL476" s="50" t="s">
        <v>19692</v>
      </c>
      <c r="CM476" s="50" t="s">
        <v>173</v>
      </c>
      <c r="CN476" s="50" t="s">
        <v>19704</v>
      </c>
      <c r="CP476" s="50" t="s">
        <v>19706</v>
      </c>
      <c r="CQ476" s="50" t="s">
        <v>19706</v>
      </c>
      <c r="CR476" s="50" t="s">
        <v>26046</v>
      </c>
    </row>
    <row r="477" spans="1:96">
      <c r="A477" s="50" t="s">
        <v>93</v>
      </c>
      <c r="B477" s="50">
        <v>463877</v>
      </c>
      <c r="C477" s="50" t="s">
        <v>632</v>
      </c>
      <c r="D477" s="50" t="s">
        <v>18377</v>
      </c>
      <c r="E477" s="50" t="str">
        <f>VLOOKUP(B477,aa!B:F,5,0)</f>
        <v>Ei CARES, Ei Mindspark</v>
      </c>
      <c r="F477" s="50">
        <f>VLOOKUP(B477,aa!B:J,9,0)</f>
        <v>311014</v>
      </c>
      <c r="G477" s="50">
        <f>VLOOKUP(B477,aa!B:L,11,0)</f>
        <v>0</v>
      </c>
      <c r="H477" s="50">
        <f>VLOOKUP(B477,aa!B:O,14,0)</f>
        <v>311014</v>
      </c>
      <c r="I477" s="50">
        <f>VLOOKUP(B477,aa!B:R,17,0)</f>
        <v>0</v>
      </c>
      <c r="K477" s="50" t="s">
        <v>152</v>
      </c>
      <c r="L477" s="50">
        <v>0</v>
      </c>
      <c r="M477" s="50">
        <v>0</v>
      </c>
      <c r="N477" s="50">
        <v>0</v>
      </c>
      <c r="O477" s="50">
        <v>0</v>
      </c>
      <c r="Q477" s="50">
        <v>0</v>
      </c>
      <c r="R477" s="50">
        <v>162</v>
      </c>
      <c r="S477" s="50" t="s">
        <v>102</v>
      </c>
      <c r="T477" s="50">
        <v>0</v>
      </c>
      <c r="U477" s="50">
        <v>0</v>
      </c>
      <c r="W477" s="50" t="s">
        <v>102</v>
      </c>
      <c r="X477" s="50" t="s">
        <v>275</v>
      </c>
      <c r="Z477" s="50" t="s">
        <v>16421</v>
      </c>
      <c r="AA477" s="50" t="s">
        <v>109</v>
      </c>
      <c r="AB477" s="50" t="s">
        <v>102</v>
      </c>
      <c r="AC477" s="50" t="s">
        <v>109</v>
      </c>
      <c r="AD477" s="50" t="s">
        <v>102</v>
      </c>
      <c r="AE477" s="50" t="s">
        <v>109</v>
      </c>
      <c r="AF477" s="50" t="s">
        <v>102</v>
      </c>
      <c r="AG477" s="50" t="s">
        <v>109</v>
      </c>
      <c r="AH477" s="50" t="s">
        <v>102</v>
      </c>
      <c r="AI477" s="50" t="s">
        <v>102</v>
      </c>
      <c r="AL477" s="50" t="s">
        <v>102</v>
      </c>
      <c r="AM477" s="50" t="s">
        <v>102</v>
      </c>
      <c r="AN477" s="50" t="s">
        <v>102</v>
      </c>
      <c r="AO477" s="50" t="s">
        <v>115</v>
      </c>
      <c r="AP477" s="50" t="s">
        <v>115</v>
      </c>
      <c r="AU477" s="50" t="s">
        <v>102</v>
      </c>
      <c r="AW477" s="50" t="s">
        <v>104</v>
      </c>
      <c r="AX477" s="50" t="s">
        <v>119</v>
      </c>
      <c r="AY477" s="50" t="s">
        <v>170</v>
      </c>
      <c r="AZ477" s="50" t="s">
        <v>118</v>
      </c>
      <c r="BB477" s="50" t="s">
        <v>209</v>
      </c>
      <c r="BC477" s="50" t="s">
        <v>623</v>
      </c>
      <c r="BD477" s="50" t="s">
        <v>621</v>
      </c>
      <c r="BE477" s="50" t="s">
        <v>622</v>
      </c>
      <c r="BF477" s="50" t="s">
        <v>623</v>
      </c>
      <c r="BG477" s="50" t="s">
        <v>124</v>
      </c>
      <c r="BH477" s="50" t="s">
        <v>11888</v>
      </c>
      <c r="BI477" s="50" t="s">
        <v>11889</v>
      </c>
      <c r="BJ477" s="50" t="s">
        <v>127</v>
      </c>
      <c r="BK477" s="50" t="s">
        <v>18378</v>
      </c>
      <c r="BL477" s="50" t="s">
        <v>18379</v>
      </c>
      <c r="BM477" s="50" t="s">
        <v>18380</v>
      </c>
      <c r="BN477" s="50" t="s">
        <v>15791</v>
      </c>
      <c r="BO477" s="50" t="s">
        <v>2284</v>
      </c>
      <c r="BP477" s="50" t="s">
        <v>505</v>
      </c>
      <c r="BQ477" s="50" t="s">
        <v>2285</v>
      </c>
      <c r="BR477" s="50" t="s">
        <v>2286</v>
      </c>
      <c r="BS477" s="50" t="s">
        <v>1342</v>
      </c>
      <c r="BU477" s="50" t="s">
        <v>18381</v>
      </c>
      <c r="BV477" s="50" t="s">
        <v>18382</v>
      </c>
      <c r="BX477" s="50" t="s">
        <v>18383</v>
      </c>
      <c r="BY477" s="50" t="s">
        <v>18384</v>
      </c>
      <c r="BZ477" s="50" t="s">
        <v>18385</v>
      </c>
      <c r="CA477" s="50" t="s">
        <v>18382</v>
      </c>
      <c r="CB477" s="50" t="s">
        <v>18383</v>
      </c>
      <c r="CC477" s="50" t="s">
        <v>18384</v>
      </c>
      <c r="CD477" s="50" t="s">
        <v>18382</v>
      </c>
      <c r="CE477" s="50" t="s">
        <v>18383</v>
      </c>
      <c r="CF477" s="50" t="s">
        <v>18384</v>
      </c>
      <c r="CG477" s="50" t="s">
        <v>9607</v>
      </c>
      <c r="CH477" s="50" t="s">
        <v>18386</v>
      </c>
      <c r="CJ477" s="50" t="s">
        <v>7250</v>
      </c>
      <c r="CK477" s="50" t="s">
        <v>18386</v>
      </c>
      <c r="CL477" s="50" t="s">
        <v>623</v>
      </c>
      <c r="CM477" s="50" t="s">
        <v>621</v>
      </c>
      <c r="CN477" s="50" t="s">
        <v>7250</v>
      </c>
      <c r="CO477" s="50" t="s">
        <v>18387</v>
      </c>
      <c r="CP477" s="50" t="s">
        <v>18388</v>
      </c>
      <c r="CQ477" s="50" t="s">
        <v>18388</v>
      </c>
    </row>
    <row r="478" spans="1:96">
      <c r="A478" s="95" t="s">
        <v>149</v>
      </c>
      <c r="B478" s="50">
        <v>1424516</v>
      </c>
      <c r="C478" s="50" t="s">
        <v>11947</v>
      </c>
      <c r="D478" s="50" t="s">
        <v>910</v>
      </c>
      <c r="E478" s="50" t="e">
        <f>VLOOKUP(B478,aa!B:F,5,0)</f>
        <v>#N/A</v>
      </c>
      <c r="F478" s="50" t="e">
        <f>VLOOKUP(B478,aa!B:J,9,0)</f>
        <v>#N/A</v>
      </c>
      <c r="G478" s="50" t="e">
        <f>VLOOKUP(B478,aa!B:L,11,0)</f>
        <v>#N/A</v>
      </c>
      <c r="H478" s="50" t="e">
        <f>VLOOKUP(B478,aa!B:O,14,0)</f>
        <v>#N/A</v>
      </c>
      <c r="I478" s="50" t="e">
        <f>VLOOKUP(B478,aa!B:R,17,0)</f>
        <v>#N/A</v>
      </c>
      <c r="K478" s="50" t="s">
        <v>97</v>
      </c>
      <c r="L478" s="50">
        <v>1008504</v>
      </c>
      <c r="M478" s="50">
        <v>1008504</v>
      </c>
      <c r="N478" s="50">
        <v>1008504</v>
      </c>
      <c r="O478" s="50">
        <v>1003</v>
      </c>
      <c r="P478" s="50" t="s">
        <v>12466</v>
      </c>
      <c r="Q478" s="50">
        <v>0</v>
      </c>
      <c r="R478" s="50">
        <v>0</v>
      </c>
      <c r="T478" s="50">
        <v>0</v>
      </c>
      <c r="U478" s="50">
        <v>0</v>
      </c>
      <c r="W478" s="50" t="s">
        <v>102</v>
      </c>
      <c r="X478" s="50" t="s">
        <v>103</v>
      </c>
      <c r="Y478" s="50" t="s">
        <v>104</v>
      </c>
      <c r="AA478" s="50" t="s">
        <v>12467</v>
      </c>
      <c r="AB478" s="50" t="s">
        <v>12468</v>
      </c>
      <c r="AC478" s="50" t="s">
        <v>11952</v>
      </c>
      <c r="AD478" s="50" t="s">
        <v>12469</v>
      </c>
      <c r="AE478" s="50" t="s">
        <v>109</v>
      </c>
      <c r="AF478" s="50" t="s">
        <v>102</v>
      </c>
      <c r="AG478" s="50" t="s">
        <v>109</v>
      </c>
      <c r="AH478" s="50" t="s">
        <v>102</v>
      </c>
      <c r="AI478" s="50" t="s">
        <v>102</v>
      </c>
      <c r="AJ478" s="50" t="s">
        <v>11930</v>
      </c>
      <c r="AK478" s="50" t="s">
        <v>12470</v>
      </c>
      <c r="AL478" s="50" t="s">
        <v>12471</v>
      </c>
      <c r="AM478" s="50" t="s">
        <v>12471</v>
      </c>
      <c r="AN478" s="50" t="s">
        <v>102</v>
      </c>
      <c r="AO478" s="50" t="s">
        <v>12472</v>
      </c>
      <c r="AP478" s="50" t="s">
        <v>12472</v>
      </c>
      <c r="AU478" s="50" t="s">
        <v>117</v>
      </c>
      <c r="AV478" s="50" t="s">
        <v>118</v>
      </c>
      <c r="AW478" s="50" t="s">
        <v>102</v>
      </c>
      <c r="AX478" s="50" t="s">
        <v>119</v>
      </c>
      <c r="BB478" s="50" t="s">
        <v>120</v>
      </c>
      <c r="BC478" s="50" t="s">
        <v>920</v>
      </c>
      <c r="BD478" s="50" t="s">
        <v>211</v>
      </c>
      <c r="BE478" s="50" t="s">
        <v>212</v>
      </c>
      <c r="BF478" s="50" t="s">
        <v>213</v>
      </c>
      <c r="BG478" s="50" t="s">
        <v>124</v>
      </c>
      <c r="BH478" s="50" t="s">
        <v>11976</v>
      </c>
      <c r="BI478" s="50" t="s">
        <v>12047</v>
      </c>
      <c r="BJ478" s="50" t="s">
        <v>127</v>
      </c>
      <c r="BK478" s="50" t="s">
        <v>12473</v>
      </c>
      <c r="BL478" s="50" t="s">
        <v>922</v>
      </c>
      <c r="BM478" s="50" t="s">
        <v>12474</v>
      </c>
      <c r="BN478" s="50" t="s">
        <v>11954</v>
      </c>
      <c r="BO478" s="50" t="s">
        <v>415</v>
      </c>
      <c r="BP478" s="50" t="s">
        <v>350</v>
      </c>
      <c r="BQ478" s="50" t="s">
        <v>416</v>
      </c>
      <c r="BR478" s="50" t="s">
        <v>417</v>
      </c>
      <c r="BS478" s="50" t="s">
        <v>293</v>
      </c>
      <c r="BU478" s="50" t="s">
        <v>12475</v>
      </c>
      <c r="BV478" s="50" t="s">
        <v>12476</v>
      </c>
      <c r="BW478" s="50" t="s">
        <v>138</v>
      </c>
      <c r="BX478" s="50" t="s">
        <v>12477</v>
      </c>
      <c r="BY478" s="50" t="s">
        <v>12478</v>
      </c>
      <c r="BZ478" s="50" t="s">
        <v>929</v>
      </c>
      <c r="CA478" s="50" t="s">
        <v>12476</v>
      </c>
      <c r="CB478" s="50" t="s">
        <v>12477</v>
      </c>
      <c r="CC478" s="50" t="s">
        <v>12478</v>
      </c>
      <c r="CD478" s="50" t="s">
        <v>12476</v>
      </c>
      <c r="CE478" s="50" t="s">
        <v>12477</v>
      </c>
      <c r="CF478" s="50" t="s">
        <v>12478</v>
      </c>
      <c r="CG478" s="50" t="s">
        <v>102</v>
      </c>
      <c r="CH478" s="50" t="s">
        <v>931</v>
      </c>
      <c r="CJ478" s="50" t="s">
        <v>932</v>
      </c>
      <c r="CL478" s="50" t="s">
        <v>920</v>
      </c>
      <c r="CM478" s="50" t="s">
        <v>211</v>
      </c>
      <c r="CN478" s="50" t="s">
        <v>932</v>
      </c>
      <c r="CP478" s="50" t="s">
        <v>931</v>
      </c>
      <c r="CQ478" s="50" t="s">
        <v>931</v>
      </c>
      <c r="CR478" s="50" t="s">
        <v>26044</v>
      </c>
    </row>
    <row r="479" spans="1:96">
      <c r="A479" s="50" t="s">
        <v>93</v>
      </c>
      <c r="B479" s="50">
        <v>3144641</v>
      </c>
      <c r="C479" s="50" t="s">
        <v>12423</v>
      </c>
      <c r="D479" s="50" t="s">
        <v>14967</v>
      </c>
      <c r="E479" s="50" t="e">
        <f>VLOOKUP(B479,aa!B:F,5,0)</f>
        <v>#N/A</v>
      </c>
      <c r="F479" s="50" t="e">
        <f>VLOOKUP(B479,aa!B:J,9,0)</f>
        <v>#N/A</v>
      </c>
      <c r="G479" s="50" t="e">
        <f>VLOOKUP(B479,aa!B:L,11,0)</f>
        <v>#N/A</v>
      </c>
      <c r="H479" s="50" t="e">
        <f>VLOOKUP(B479,aa!B:O,14,0)</f>
        <v>#N/A</v>
      </c>
      <c r="I479" s="50" t="e">
        <f>VLOOKUP(B479,aa!B:R,17,0)</f>
        <v>#N/A</v>
      </c>
      <c r="K479" s="50" t="s">
        <v>97</v>
      </c>
      <c r="L479" s="50">
        <v>249975</v>
      </c>
      <c r="M479" s="50">
        <v>249975</v>
      </c>
      <c r="N479" s="50">
        <v>249975</v>
      </c>
      <c r="O479" s="50">
        <v>500</v>
      </c>
      <c r="P479" s="50" t="s">
        <v>364</v>
      </c>
      <c r="Q479" s="50">
        <v>0</v>
      </c>
      <c r="R479" s="50">
        <v>0</v>
      </c>
      <c r="T479" s="50">
        <v>0</v>
      </c>
      <c r="U479" s="50">
        <v>0</v>
      </c>
      <c r="W479" s="50" t="s">
        <v>102</v>
      </c>
      <c r="X479" s="50" t="s">
        <v>103</v>
      </c>
      <c r="Y479" s="50" t="s">
        <v>104</v>
      </c>
      <c r="AA479" s="50" t="s">
        <v>12062</v>
      </c>
      <c r="AB479" s="50" t="s">
        <v>14968</v>
      </c>
      <c r="AC479" s="50" t="s">
        <v>6895</v>
      </c>
      <c r="AD479" s="50" t="s">
        <v>14969</v>
      </c>
      <c r="AE479" s="50" t="s">
        <v>109</v>
      </c>
      <c r="AF479" s="50" t="s">
        <v>102</v>
      </c>
      <c r="AG479" s="50" t="s">
        <v>109</v>
      </c>
      <c r="AH479" s="50" t="s">
        <v>102</v>
      </c>
      <c r="AI479" s="50" t="s">
        <v>102</v>
      </c>
      <c r="AJ479" s="50" t="s">
        <v>12062</v>
      </c>
      <c r="AK479" s="50" t="s">
        <v>12062</v>
      </c>
      <c r="AL479" s="50" t="s">
        <v>14970</v>
      </c>
      <c r="AM479" s="50" t="s">
        <v>14971</v>
      </c>
      <c r="AN479" s="50" t="s">
        <v>14972</v>
      </c>
      <c r="AO479" s="50" t="s">
        <v>2307</v>
      </c>
      <c r="AP479" s="50" t="s">
        <v>2307</v>
      </c>
      <c r="AU479" s="50" t="s">
        <v>117</v>
      </c>
      <c r="AV479" s="50" t="s">
        <v>118</v>
      </c>
      <c r="AW479" s="50" t="s">
        <v>102</v>
      </c>
      <c r="AX479" s="50" t="s">
        <v>119</v>
      </c>
      <c r="BB479" s="50" t="s">
        <v>120</v>
      </c>
      <c r="BC479" s="50" t="s">
        <v>952</v>
      </c>
      <c r="BD479" s="50" t="s">
        <v>410</v>
      </c>
      <c r="BE479" s="50" t="s">
        <v>212</v>
      </c>
      <c r="BF479" s="50" t="s">
        <v>410</v>
      </c>
      <c r="BG479" s="50" t="s">
        <v>124</v>
      </c>
      <c r="BH479" s="50" t="s">
        <v>5651</v>
      </c>
      <c r="BI479" s="50" t="s">
        <v>11889</v>
      </c>
      <c r="BJ479" s="50" t="s">
        <v>127</v>
      </c>
      <c r="BK479" s="50" t="s">
        <v>14973</v>
      </c>
      <c r="BL479" s="50" t="s">
        <v>14974</v>
      </c>
      <c r="BM479" s="50" t="s">
        <v>14975</v>
      </c>
      <c r="BN479" s="50" t="s">
        <v>11954</v>
      </c>
      <c r="BO479" s="50" t="s">
        <v>896</v>
      </c>
      <c r="BP479" s="50" t="s">
        <v>350</v>
      </c>
      <c r="BQ479" s="50" t="s">
        <v>897</v>
      </c>
      <c r="BR479" s="50" t="s">
        <v>898</v>
      </c>
      <c r="BS479" s="50" t="s">
        <v>899</v>
      </c>
      <c r="BU479" s="50" t="s">
        <v>14976</v>
      </c>
      <c r="BV479" s="50" t="s">
        <v>14977</v>
      </c>
      <c r="BW479" s="50" t="s">
        <v>138</v>
      </c>
      <c r="BX479" s="50" t="s">
        <v>14978</v>
      </c>
      <c r="BY479" s="50" t="s">
        <v>14979</v>
      </c>
      <c r="BZ479" s="50" t="s">
        <v>14980</v>
      </c>
      <c r="CA479" s="50" t="s">
        <v>14981</v>
      </c>
      <c r="CB479" s="50" t="s">
        <v>14978</v>
      </c>
      <c r="CC479" s="50" t="s">
        <v>14979</v>
      </c>
      <c r="CD479" s="50" t="s">
        <v>14981</v>
      </c>
      <c r="CE479" s="50" t="s">
        <v>14978</v>
      </c>
      <c r="CF479" s="50" t="s">
        <v>14979</v>
      </c>
      <c r="CG479" s="50" t="s">
        <v>3841</v>
      </c>
      <c r="CH479" s="50" t="s">
        <v>14982</v>
      </c>
      <c r="CJ479" s="50" t="s">
        <v>14983</v>
      </c>
      <c r="CK479" s="50" t="s">
        <v>14984</v>
      </c>
      <c r="CL479" s="50" t="s">
        <v>952</v>
      </c>
      <c r="CM479" s="50" t="s">
        <v>410</v>
      </c>
      <c r="CN479" s="50" t="s">
        <v>14983</v>
      </c>
      <c r="CP479" s="50" t="s">
        <v>14774</v>
      </c>
      <c r="CQ479" s="50" t="s">
        <v>14984</v>
      </c>
      <c r="CR479" s="50" t="s">
        <v>26044</v>
      </c>
    </row>
    <row r="480" spans="1:96">
      <c r="A480" s="50" t="s">
        <v>93</v>
      </c>
      <c r="B480" s="50">
        <v>5069315</v>
      </c>
      <c r="C480" s="50" t="s">
        <v>985</v>
      </c>
      <c r="D480" s="50" t="s">
        <v>20743</v>
      </c>
      <c r="E480" s="50" t="e">
        <f>VLOOKUP(B480,aa!B:F,5,0)</f>
        <v>#N/A</v>
      </c>
      <c r="F480" s="50" t="e">
        <f>VLOOKUP(B480,aa!B:J,9,0)</f>
        <v>#N/A</v>
      </c>
      <c r="G480" s="50" t="e">
        <f>VLOOKUP(B480,aa!B:L,11,0)</f>
        <v>#N/A</v>
      </c>
      <c r="H480" s="50" t="e">
        <f>VLOOKUP(B480,aa!B:O,14,0)</f>
        <v>#N/A</v>
      </c>
      <c r="I480" s="50" t="e">
        <f>VLOOKUP(B480,aa!B:R,17,0)</f>
        <v>#N/A</v>
      </c>
      <c r="K480" s="50" t="s">
        <v>97</v>
      </c>
      <c r="L480" s="50">
        <v>381631</v>
      </c>
      <c r="M480" s="50">
        <v>381631</v>
      </c>
      <c r="N480" s="50">
        <v>381631</v>
      </c>
      <c r="O480" s="50">
        <v>694</v>
      </c>
      <c r="P480" s="50" t="s">
        <v>3431</v>
      </c>
      <c r="Q480" s="50">
        <v>0</v>
      </c>
      <c r="R480" s="50">
        <v>0</v>
      </c>
      <c r="T480" s="50">
        <v>0</v>
      </c>
      <c r="U480" s="50">
        <v>0</v>
      </c>
      <c r="W480" s="50" t="s">
        <v>102</v>
      </c>
      <c r="X480" s="50" t="s">
        <v>275</v>
      </c>
      <c r="Z480" s="50" t="s">
        <v>13583</v>
      </c>
      <c r="AA480" s="50" t="s">
        <v>109</v>
      </c>
      <c r="AB480" s="50" t="s">
        <v>102</v>
      </c>
      <c r="AC480" s="50" t="s">
        <v>109</v>
      </c>
      <c r="AD480" s="50" t="s">
        <v>102</v>
      </c>
      <c r="AE480" s="50" t="s">
        <v>109</v>
      </c>
      <c r="AF480" s="50" t="s">
        <v>102</v>
      </c>
      <c r="AG480" s="50" t="s">
        <v>109</v>
      </c>
      <c r="AH480" s="50" t="s">
        <v>102</v>
      </c>
      <c r="AI480" s="50" t="s">
        <v>102</v>
      </c>
      <c r="AJ480" s="50" t="s">
        <v>11888</v>
      </c>
      <c r="AK480" s="50" t="s">
        <v>11888</v>
      </c>
      <c r="AL480" s="50" t="s">
        <v>20744</v>
      </c>
      <c r="AM480" s="50" t="s">
        <v>20745</v>
      </c>
      <c r="AN480" s="50" t="s">
        <v>20746</v>
      </c>
      <c r="AO480" s="50" t="s">
        <v>4840</v>
      </c>
      <c r="AP480" s="50" t="s">
        <v>4840</v>
      </c>
      <c r="AU480" s="50" t="s">
        <v>117</v>
      </c>
      <c r="AV480" s="50" t="s">
        <v>118</v>
      </c>
      <c r="AW480" s="50" t="s">
        <v>102</v>
      </c>
      <c r="AX480" s="50" t="s">
        <v>119</v>
      </c>
      <c r="BB480" s="50" t="s">
        <v>120</v>
      </c>
      <c r="BC480" s="50" t="s">
        <v>20747</v>
      </c>
      <c r="BD480" s="50" t="s">
        <v>621</v>
      </c>
      <c r="BE480" s="50" t="s">
        <v>622</v>
      </c>
      <c r="BF480" s="50" t="s">
        <v>976</v>
      </c>
      <c r="BG480" s="50" t="s">
        <v>124</v>
      </c>
      <c r="BH480" s="50" t="s">
        <v>13583</v>
      </c>
      <c r="BI480" s="50" t="s">
        <v>14059</v>
      </c>
      <c r="BJ480" s="50" t="s">
        <v>127</v>
      </c>
      <c r="BK480" s="50" t="s">
        <v>20748</v>
      </c>
      <c r="BL480" s="50" t="s">
        <v>20749</v>
      </c>
      <c r="BM480" s="50" t="s">
        <v>20750</v>
      </c>
      <c r="BN480" s="50" t="s">
        <v>11954</v>
      </c>
      <c r="BO480" s="50" t="s">
        <v>2284</v>
      </c>
      <c r="BP480" s="50" t="s">
        <v>132</v>
      </c>
      <c r="BQ480" s="50" t="s">
        <v>2285</v>
      </c>
      <c r="BR480" s="50" t="s">
        <v>2286</v>
      </c>
      <c r="BS480" s="50" t="s">
        <v>1342</v>
      </c>
      <c r="BU480" s="50" t="s">
        <v>20751</v>
      </c>
      <c r="BV480" s="50" t="s">
        <v>20752</v>
      </c>
      <c r="BW480" s="50" t="s">
        <v>138</v>
      </c>
      <c r="BX480" s="50" t="s">
        <v>20753</v>
      </c>
      <c r="BY480" s="50" t="s">
        <v>20754</v>
      </c>
      <c r="BZ480" s="50" t="s">
        <v>20755</v>
      </c>
      <c r="CA480" s="50" t="s">
        <v>20752</v>
      </c>
      <c r="CB480" s="50" t="s">
        <v>20753</v>
      </c>
      <c r="CC480" s="50" t="s">
        <v>20754</v>
      </c>
      <c r="CD480" s="50" t="s">
        <v>20752</v>
      </c>
      <c r="CE480" s="50" t="s">
        <v>20753</v>
      </c>
      <c r="CF480" s="50" t="s">
        <v>20754</v>
      </c>
      <c r="CG480" s="50" t="s">
        <v>102</v>
      </c>
      <c r="CH480" s="50" t="s">
        <v>20756</v>
      </c>
      <c r="CJ480" s="50" t="s">
        <v>20757</v>
      </c>
      <c r="CL480" s="50" t="s">
        <v>20747</v>
      </c>
      <c r="CM480" s="50" t="s">
        <v>621</v>
      </c>
      <c r="CN480" s="50" t="s">
        <v>20757</v>
      </c>
      <c r="CO480" s="50" t="s">
        <v>20758</v>
      </c>
      <c r="CP480" s="50" t="s">
        <v>20756</v>
      </c>
      <c r="CQ480" s="50" t="s">
        <v>20759</v>
      </c>
    </row>
    <row r="481" spans="1:96">
      <c r="A481" s="95" t="s">
        <v>149</v>
      </c>
      <c r="B481" s="50">
        <v>3269893</v>
      </c>
      <c r="C481" s="50" t="s">
        <v>11882</v>
      </c>
      <c r="D481" s="50" t="s">
        <v>5145</v>
      </c>
      <c r="E481" s="50" t="e">
        <f>VLOOKUP(B481,aa!B:F,5,0)</f>
        <v>#N/A</v>
      </c>
      <c r="F481" s="50" t="e">
        <f>VLOOKUP(B481,aa!B:J,9,0)</f>
        <v>#N/A</v>
      </c>
      <c r="G481" s="50" t="e">
        <f>VLOOKUP(B481,aa!B:L,11,0)</f>
        <v>#N/A</v>
      </c>
      <c r="H481" s="50" t="e">
        <f>VLOOKUP(B481,aa!B:O,14,0)</f>
        <v>#N/A</v>
      </c>
      <c r="I481" s="50" t="e">
        <f>VLOOKUP(B481,aa!B:R,17,0)</f>
        <v>#N/A</v>
      </c>
      <c r="K481" s="50" t="s">
        <v>97</v>
      </c>
      <c r="L481" s="50">
        <v>241800</v>
      </c>
      <c r="M481" s="50">
        <v>241800</v>
      </c>
      <c r="N481" s="50">
        <v>241800</v>
      </c>
      <c r="O481" s="50">
        <v>310</v>
      </c>
      <c r="P481" s="50" t="s">
        <v>2110</v>
      </c>
      <c r="Q481" s="50">
        <v>0</v>
      </c>
      <c r="R481" s="50">
        <v>0</v>
      </c>
      <c r="T481" s="50">
        <v>0</v>
      </c>
      <c r="U481" s="50">
        <v>0</v>
      </c>
      <c r="W481" s="50" t="s">
        <v>102</v>
      </c>
      <c r="X481" s="50" t="s">
        <v>275</v>
      </c>
      <c r="Z481" s="50" t="s">
        <v>13583</v>
      </c>
      <c r="AA481" s="50" t="s">
        <v>109</v>
      </c>
      <c r="AB481" s="50" t="s">
        <v>102</v>
      </c>
      <c r="AC481" s="50" t="s">
        <v>109</v>
      </c>
      <c r="AD481" s="50" t="s">
        <v>102</v>
      </c>
      <c r="AE481" s="50" t="s">
        <v>109</v>
      </c>
      <c r="AF481" s="50" t="s">
        <v>102</v>
      </c>
      <c r="AG481" s="50" t="s">
        <v>109</v>
      </c>
      <c r="AH481" s="50" t="s">
        <v>102</v>
      </c>
      <c r="AI481" s="50" t="s">
        <v>15296</v>
      </c>
      <c r="AJ481" s="50" t="s">
        <v>9814</v>
      </c>
      <c r="AK481" s="50" t="s">
        <v>9814</v>
      </c>
      <c r="AL481" s="50" t="s">
        <v>15297</v>
      </c>
      <c r="AM481" s="50" t="s">
        <v>15298</v>
      </c>
      <c r="AN481" s="50" t="s">
        <v>102</v>
      </c>
      <c r="AO481" s="50" t="s">
        <v>6752</v>
      </c>
      <c r="AP481" s="50" t="s">
        <v>6752</v>
      </c>
      <c r="AU481" s="50" t="s">
        <v>318</v>
      </c>
      <c r="AV481" s="50" t="s">
        <v>250</v>
      </c>
      <c r="AW481" s="50" t="s">
        <v>102</v>
      </c>
      <c r="AX481" s="50" t="s">
        <v>119</v>
      </c>
      <c r="BB481" s="50" t="s">
        <v>120</v>
      </c>
      <c r="BC481" s="50" t="s">
        <v>4153</v>
      </c>
      <c r="BD481" s="50" t="s">
        <v>320</v>
      </c>
      <c r="BE481" s="50" t="s">
        <v>122</v>
      </c>
      <c r="BF481" s="50" t="s">
        <v>123</v>
      </c>
      <c r="BG481" s="50" t="s">
        <v>124</v>
      </c>
      <c r="BH481" s="50" t="s">
        <v>12023</v>
      </c>
      <c r="BI481" s="50" t="s">
        <v>11889</v>
      </c>
      <c r="BJ481" s="50" t="s">
        <v>127</v>
      </c>
      <c r="BK481" s="50" t="s">
        <v>15299</v>
      </c>
      <c r="BL481" s="50" t="s">
        <v>5153</v>
      </c>
      <c r="BM481" s="50" t="s">
        <v>15300</v>
      </c>
      <c r="BN481" s="50" t="s">
        <v>15295</v>
      </c>
      <c r="BO481" s="50" t="s">
        <v>3267</v>
      </c>
      <c r="BP481" s="50" t="s">
        <v>350</v>
      </c>
      <c r="BQ481" s="50" t="s">
        <v>3268</v>
      </c>
      <c r="BR481" s="50" t="s">
        <v>3269</v>
      </c>
      <c r="BS481" s="50" t="s">
        <v>135</v>
      </c>
      <c r="BU481" s="50" t="s">
        <v>15301</v>
      </c>
      <c r="BV481" s="50" t="s">
        <v>15302</v>
      </c>
      <c r="BW481" s="50" t="s">
        <v>598</v>
      </c>
      <c r="BX481" s="50" t="s">
        <v>15303</v>
      </c>
      <c r="BY481" s="50" t="s">
        <v>15304</v>
      </c>
      <c r="BZ481" s="50" t="s">
        <v>5159</v>
      </c>
      <c r="CA481" s="50" t="s">
        <v>15305</v>
      </c>
      <c r="CB481" s="50" t="s">
        <v>15306</v>
      </c>
      <c r="CC481" s="50" t="s">
        <v>15304</v>
      </c>
      <c r="CD481" s="50" t="s">
        <v>15302</v>
      </c>
      <c r="CE481" s="50" t="s">
        <v>15303</v>
      </c>
      <c r="CF481" s="50" t="s">
        <v>15304</v>
      </c>
      <c r="CG481" s="50" t="s">
        <v>102</v>
      </c>
      <c r="CH481" s="50" t="s">
        <v>15307</v>
      </c>
      <c r="CJ481" s="50" t="s">
        <v>5161</v>
      </c>
      <c r="CL481" s="50" t="s">
        <v>4153</v>
      </c>
      <c r="CM481" s="50" t="s">
        <v>320</v>
      </c>
      <c r="CN481" s="50" t="s">
        <v>5161</v>
      </c>
      <c r="CO481" s="50" t="s">
        <v>5162</v>
      </c>
      <c r="CP481" s="50" t="s">
        <v>5160</v>
      </c>
      <c r="CQ481" s="50" t="s">
        <v>5160</v>
      </c>
    </row>
    <row r="482" spans="1:96">
      <c r="A482" s="95" t="s">
        <v>149</v>
      </c>
      <c r="B482" s="50">
        <v>28968</v>
      </c>
      <c r="C482" s="50" t="s">
        <v>12491</v>
      </c>
      <c r="D482" s="50" t="s">
        <v>4492</v>
      </c>
      <c r="E482" s="50" t="e">
        <f>VLOOKUP(B482,aa!B:F,5,0)</f>
        <v>#N/A</v>
      </c>
      <c r="F482" s="50" t="e">
        <f>VLOOKUP(B482,aa!B:J,9,0)</f>
        <v>#N/A</v>
      </c>
      <c r="G482" s="50" t="e">
        <f>VLOOKUP(B482,aa!B:L,11,0)</f>
        <v>#N/A</v>
      </c>
      <c r="H482" s="50" t="e">
        <f>VLOOKUP(B482,aa!B:O,14,0)</f>
        <v>#N/A</v>
      </c>
      <c r="I482" s="50" t="e">
        <f>VLOOKUP(B482,aa!B:R,17,0)</f>
        <v>#N/A</v>
      </c>
      <c r="K482" s="50" t="s">
        <v>152</v>
      </c>
      <c r="L482" s="50">
        <v>123843</v>
      </c>
      <c r="M482" s="50">
        <v>123843</v>
      </c>
      <c r="N482" s="50">
        <v>0</v>
      </c>
      <c r="O482" s="50">
        <v>0</v>
      </c>
      <c r="Q482" s="50">
        <v>123843</v>
      </c>
      <c r="R482" s="50">
        <v>112</v>
      </c>
      <c r="S482" s="50" t="s">
        <v>14805</v>
      </c>
      <c r="T482" s="50">
        <v>0</v>
      </c>
      <c r="U482" s="50">
        <v>0</v>
      </c>
      <c r="W482" s="50" t="s">
        <v>102</v>
      </c>
      <c r="X482" s="50" t="s">
        <v>103</v>
      </c>
      <c r="Y482" s="50" t="s">
        <v>155</v>
      </c>
      <c r="AA482" s="50" t="s">
        <v>14806</v>
      </c>
      <c r="AB482" s="50" t="s">
        <v>14807</v>
      </c>
      <c r="AC482" s="50" t="s">
        <v>14808</v>
      </c>
      <c r="AD482" s="50" t="s">
        <v>14807</v>
      </c>
      <c r="AE482" s="50" t="s">
        <v>14809</v>
      </c>
      <c r="AF482" s="50" t="s">
        <v>14807</v>
      </c>
      <c r="AG482" s="50" t="s">
        <v>14810</v>
      </c>
      <c r="AH482" s="50" t="s">
        <v>14807</v>
      </c>
      <c r="AI482" s="50" t="s">
        <v>14811</v>
      </c>
      <c r="AJ482" s="50" t="s">
        <v>13863</v>
      </c>
      <c r="AK482" s="50" t="s">
        <v>13964</v>
      </c>
      <c r="AL482" s="50" t="s">
        <v>14812</v>
      </c>
      <c r="AM482" s="50" t="s">
        <v>14813</v>
      </c>
      <c r="AN482" s="50" t="s">
        <v>14814</v>
      </c>
      <c r="AO482" s="50" t="s">
        <v>14815</v>
      </c>
      <c r="AP482" s="50" t="s">
        <v>14815</v>
      </c>
      <c r="AU482" s="50" t="s">
        <v>102</v>
      </c>
      <c r="AW482" s="50" t="s">
        <v>655</v>
      </c>
      <c r="AX482" s="50" t="s">
        <v>119</v>
      </c>
      <c r="AZ482" s="50" t="s">
        <v>250</v>
      </c>
      <c r="BB482" s="50" t="s">
        <v>120</v>
      </c>
      <c r="BC482" s="50" t="s">
        <v>448</v>
      </c>
      <c r="BD482" s="50" t="s">
        <v>449</v>
      </c>
      <c r="BE482" s="50" t="s">
        <v>122</v>
      </c>
      <c r="BF482" s="50" t="s">
        <v>450</v>
      </c>
      <c r="BG482" s="50" t="s">
        <v>124</v>
      </c>
      <c r="BH482" s="50" t="s">
        <v>5651</v>
      </c>
      <c r="BI482" s="50" t="s">
        <v>11889</v>
      </c>
      <c r="BJ482" s="50" t="s">
        <v>127</v>
      </c>
      <c r="BK482" s="50" t="s">
        <v>14816</v>
      </c>
      <c r="BL482" s="50" t="s">
        <v>4504</v>
      </c>
      <c r="BM482" s="50" t="s">
        <v>14817</v>
      </c>
      <c r="BN482" s="50" t="s">
        <v>14804</v>
      </c>
      <c r="BO482" s="50" t="s">
        <v>8788</v>
      </c>
      <c r="BP482" s="50" t="s">
        <v>132</v>
      </c>
      <c r="BQ482" s="50" t="s">
        <v>8789</v>
      </c>
      <c r="BR482" s="50" t="s">
        <v>8790</v>
      </c>
      <c r="BS482" s="50" t="s">
        <v>1006</v>
      </c>
      <c r="BU482" s="50" t="s">
        <v>14818</v>
      </c>
      <c r="BV482" s="50" t="s">
        <v>4507</v>
      </c>
      <c r="BW482" s="50" t="s">
        <v>138</v>
      </c>
      <c r="BX482" s="50" t="s">
        <v>4508</v>
      </c>
      <c r="BY482" s="50" t="s">
        <v>4509</v>
      </c>
      <c r="BZ482" s="50" t="s">
        <v>4510</v>
      </c>
      <c r="CA482" s="50" t="s">
        <v>4507</v>
      </c>
      <c r="CB482" s="50" t="s">
        <v>4508</v>
      </c>
      <c r="CC482" s="50" t="s">
        <v>4509</v>
      </c>
      <c r="CD482" s="50" t="s">
        <v>14819</v>
      </c>
      <c r="CE482" s="50" t="s">
        <v>14820</v>
      </c>
      <c r="CF482" s="50" t="s">
        <v>14821</v>
      </c>
      <c r="CG482" s="50" t="s">
        <v>102</v>
      </c>
      <c r="CH482" s="50" t="s">
        <v>4511</v>
      </c>
      <c r="CJ482" s="50" t="s">
        <v>4512</v>
      </c>
      <c r="CL482" s="50" t="s">
        <v>448</v>
      </c>
      <c r="CM482" s="50" t="s">
        <v>449</v>
      </c>
      <c r="CN482" s="50" t="s">
        <v>4512</v>
      </c>
      <c r="CO482" s="50" t="s">
        <v>4513</v>
      </c>
      <c r="CP482" s="50" t="s">
        <v>4511</v>
      </c>
      <c r="CQ482" s="50" t="s">
        <v>4511</v>
      </c>
    </row>
    <row r="483" spans="1:96">
      <c r="A483" s="95" t="s">
        <v>149</v>
      </c>
      <c r="B483" s="50">
        <v>5018174</v>
      </c>
      <c r="C483" s="50" t="s">
        <v>222</v>
      </c>
      <c r="D483" s="50" t="s">
        <v>10599</v>
      </c>
      <c r="E483" s="50" t="e">
        <f>VLOOKUP(B483,aa!B:F,5,0)</f>
        <v>#N/A</v>
      </c>
      <c r="F483" s="50" t="e">
        <f>VLOOKUP(B483,aa!B:J,9,0)</f>
        <v>#N/A</v>
      </c>
      <c r="G483" s="50" t="e">
        <f>VLOOKUP(B483,aa!B:L,11,0)</f>
        <v>#N/A</v>
      </c>
      <c r="H483" s="50" t="e">
        <f>VLOOKUP(B483,aa!B:O,14,0)</f>
        <v>#N/A</v>
      </c>
      <c r="I483" s="50" t="e">
        <f>VLOOKUP(B483,aa!B:R,17,0)</f>
        <v>#N/A</v>
      </c>
      <c r="K483" s="50" t="s">
        <v>152</v>
      </c>
      <c r="L483" s="50">
        <v>0</v>
      </c>
      <c r="M483" s="50">
        <v>0</v>
      </c>
      <c r="N483" s="50">
        <v>0</v>
      </c>
      <c r="O483" s="50">
        <v>0</v>
      </c>
      <c r="Q483" s="50">
        <v>0</v>
      </c>
      <c r="R483" s="50">
        <v>205</v>
      </c>
      <c r="S483" s="50" t="s">
        <v>102</v>
      </c>
      <c r="T483" s="50">
        <v>0</v>
      </c>
      <c r="U483" s="50">
        <v>0</v>
      </c>
      <c r="W483" s="50" t="s">
        <v>102</v>
      </c>
      <c r="X483" s="50" t="s">
        <v>275</v>
      </c>
      <c r="Z483" s="50" t="s">
        <v>19469</v>
      </c>
      <c r="AA483" s="50" t="s">
        <v>109</v>
      </c>
      <c r="AB483" s="50" t="s">
        <v>102</v>
      </c>
      <c r="AC483" s="50" t="s">
        <v>109</v>
      </c>
      <c r="AD483" s="50" t="s">
        <v>102</v>
      </c>
      <c r="AE483" s="50" t="s">
        <v>109</v>
      </c>
      <c r="AF483" s="50" t="s">
        <v>102</v>
      </c>
      <c r="AG483" s="50" t="s">
        <v>109</v>
      </c>
      <c r="AH483" s="50" t="s">
        <v>102</v>
      </c>
      <c r="AI483" s="50" t="s">
        <v>102</v>
      </c>
      <c r="AL483" s="50" t="s">
        <v>102</v>
      </c>
      <c r="AM483" s="50" t="s">
        <v>102</v>
      </c>
      <c r="AN483" s="50" t="s">
        <v>102</v>
      </c>
      <c r="AO483" s="50" t="s">
        <v>115</v>
      </c>
      <c r="AP483" s="50" t="s">
        <v>115</v>
      </c>
      <c r="AU483" s="50" t="s">
        <v>102</v>
      </c>
      <c r="AW483" s="50" t="s">
        <v>1384</v>
      </c>
      <c r="AX483" s="50" t="s">
        <v>119</v>
      </c>
      <c r="AZ483" s="50" t="s">
        <v>250</v>
      </c>
      <c r="BB483" s="50" t="s">
        <v>209</v>
      </c>
      <c r="BC483" s="50" t="s">
        <v>1759</v>
      </c>
      <c r="BD483" s="50" t="s">
        <v>410</v>
      </c>
      <c r="BE483" s="50" t="s">
        <v>212</v>
      </c>
      <c r="BF483" s="50" t="s">
        <v>410</v>
      </c>
      <c r="BG483" s="50" t="s">
        <v>124</v>
      </c>
      <c r="BH483" s="50" t="s">
        <v>12082</v>
      </c>
      <c r="BI483" s="50" t="s">
        <v>11889</v>
      </c>
      <c r="BJ483" s="50" t="s">
        <v>127</v>
      </c>
      <c r="BK483" s="50" t="s">
        <v>19470</v>
      </c>
      <c r="BL483" s="50" t="s">
        <v>10602</v>
      </c>
      <c r="BM483" s="50" t="s">
        <v>19471</v>
      </c>
      <c r="BN483" s="50" t="s">
        <v>18123</v>
      </c>
      <c r="BO483" s="50" t="s">
        <v>415</v>
      </c>
      <c r="BP483" s="50" t="s">
        <v>505</v>
      </c>
      <c r="BQ483" s="50" t="s">
        <v>416</v>
      </c>
      <c r="BR483" s="50" t="s">
        <v>417</v>
      </c>
      <c r="BS483" s="50" t="s">
        <v>222</v>
      </c>
      <c r="BU483" s="50" t="s">
        <v>19472</v>
      </c>
      <c r="BV483" s="50" t="s">
        <v>3585</v>
      </c>
      <c r="BW483" s="50" t="s">
        <v>598</v>
      </c>
      <c r="BX483" s="50" t="s">
        <v>225</v>
      </c>
      <c r="BY483" s="50" t="s">
        <v>10475</v>
      </c>
      <c r="BZ483" s="50" t="s">
        <v>1769</v>
      </c>
      <c r="CA483" s="50" t="s">
        <v>3585</v>
      </c>
      <c r="CB483" s="50" t="s">
        <v>225</v>
      </c>
      <c r="CC483" s="50" t="s">
        <v>10475</v>
      </c>
      <c r="CD483" s="50" t="s">
        <v>3585</v>
      </c>
      <c r="CE483" s="50" t="s">
        <v>225</v>
      </c>
      <c r="CF483" s="50" t="s">
        <v>10475</v>
      </c>
      <c r="CG483" s="50" t="s">
        <v>102</v>
      </c>
      <c r="CH483" s="50" t="s">
        <v>19473</v>
      </c>
      <c r="CJ483" s="50" t="s">
        <v>1774</v>
      </c>
      <c r="CL483" s="50" t="s">
        <v>1759</v>
      </c>
      <c r="CM483" s="50" t="s">
        <v>410</v>
      </c>
      <c r="CN483" s="50" t="s">
        <v>1774</v>
      </c>
      <c r="CP483" s="50" t="s">
        <v>1773</v>
      </c>
      <c r="CQ483" s="50" t="s">
        <v>1773</v>
      </c>
      <c r="CR483" s="50" t="s">
        <v>26048</v>
      </c>
    </row>
    <row r="484" spans="1:96">
      <c r="A484" s="50" t="s">
        <v>93</v>
      </c>
      <c r="B484" s="50">
        <v>214620</v>
      </c>
      <c r="C484" s="50" t="s">
        <v>183</v>
      </c>
      <c r="D484" s="50" t="s">
        <v>13582</v>
      </c>
      <c r="E484" s="50" t="e">
        <f>VLOOKUP(B484,aa!B:F,5,0)</f>
        <v>#N/A</v>
      </c>
      <c r="F484" s="50" t="e">
        <f>VLOOKUP(B484,aa!B:J,9,0)</f>
        <v>#N/A</v>
      </c>
      <c r="G484" s="50" t="e">
        <f>VLOOKUP(B484,aa!B:L,11,0)</f>
        <v>#N/A</v>
      </c>
      <c r="H484" s="50" t="e">
        <f>VLOOKUP(B484,aa!B:O,14,0)</f>
        <v>#N/A</v>
      </c>
      <c r="I484" s="50" t="e">
        <f>VLOOKUP(B484,aa!B:R,17,0)</f>
        <v>#N/A</v>
      </c>
      <c r="K484" s="50" t="s">
        <v>97</v>
      </c>
      <c r="L484" s="50">
        <v>474345</v>
      </c>
      <c r="M484" s="50">
        <v>474345</v>
      </c>
      <c r="N484" s="50">
        <v>474345</v>
      </c>
      <c r="O484" s="50">
        <v>620</v>
      </c>
      <c r="P484" s="50" t="s">
        <v>13584</v>
      </c>
      <c r="Q484" s="50">
        <v>0</v>
      </c>
      <c r="R484" s="50">
        <v>0</v>
      </c>
      <c r="T484" s="50">
        <v>0</v>
      </c>
      <c r="U484" s="50">
        <v>0</v>
      </c>
      <c r="W484" s="50" t="s">
        <v>102</v>
      </c>
      <c r="X484" s="50" t="s">
        <v>275</v>
      </c>
      <c r="Z484" s="50" t="s">
        <v>12158</v>
      </c>
      <c r="AA484" s="50" t="s">
        <v>109</v>
      </c>
      <c r="AB484" s="50" t="s">
        <v>102</v>
      </c>
      <c r="AC484" s="50" t="s">
        <v>109</v>
      </c>
      <c r="AD484" s="50" t="s">
        <v>102</v>
      </c>
      <c r="AE484" s="50" t="s">
        <v>109</v>
      </c>
      <c r="AF484" s="50" t="s">
        <v>102</v>
      </c>
      <c r="AG484" s="50" t="s">
        <v>109</v>
      </c>
      <c r="AH484" s="50" t="s">
        <v>102</v>
      </c>
      <c r="AI484" s="50" t="s">
        <v>102</v>
      </c>
      <c r="AJ484" s="50" t="s">
        <v>8060</v>
      </c>
      <c r="AK484" s="50" t="s">
        <v>8060</v>
      </c>
      <c r="AL484" s="50" t="s">
        <v>13585</v>
      </c>
      <c r="AM484" s="50" t="s">
        <v>13586</v>
      </c>
      <c r="AN484" s="50" t="s">
        <v>13587</v>
      </c>
      <c r="AO484" s="50" t="s">
        <v>13588</v>
      </c>
      <c r="AP484" s="50" t="s">
        <v>13588</v>
      </c>
      <c r="AU484" s="50" t="s">
        <v>117</v>
      </c>
      <c r="AV484" s="50" t="s">
        <v>118</v>
      </c>
      <c r="AW484" s="50" t="s">
        <v>102</v>
      </c>
      <c r="AX484" s="50" t="s">
        <v>119</v>
      </c>
      <c r="BB484" s="50" t="s">
        <v>120</v>
      </c>
      <c r="BC484" s="50" t="s">
        <v>375</v>
      </c>
      <c r="BD484" s="50" t="s">
        <v>376</v>
      </c>
      <c r="BE484" s="50" t="s">
        <v>174</v>
      </c>
      <c r="BF484" s="50" t="s">
        <v>376</v>
      </c>
      <c r="BG484" s="50" t="s">
        <v>124</v>
      </c>
      <c r="BH484" s="50" t="s">
        <v>12327</v>
      </c>
      <c r="BI484" s="50" t="s">
        <v>13208</v>
      </c>
      <c r="BJ484" s="50" t="s">
        <v>127</v>
      </c>
      <c r="BK484" s="50" t="s">
        <v>13589</v>
      </c>
      <c r="BL484" s="50" t="s">
        <v>13590</v>
      </c>
      <c r="BM484" s="50" t="s">
        <v>13591</v>
      </c>
      <c r="BN484" s="50" t="s">
        <v>13583</v>
      </c>
      <c r="BO484" s="50" t="s">
        <v>6926</v>
      </c>
      <c r="BP484" s="50" t="s">
        <v>180</v>
      </c>
      <c r="BQ484" s="50" t="s">
        <v>6927</v>
      </c>
      <c r="BR484" s="50" t="s">
        <v>6928</v>
      </c>
      <c r="BS484" s="50" t="s">
        <v>1858</v>
      </c>
      <c r="BU484" s="50" t="s">
        <v>13592</v>
      </c>
      <c r="BV484" s="50" t="s">
        <v>13593</v>
      </c>
      <c r="BW484" s="50" t="s">
        <v>138</v>
      </c>
      <c r="BX484" s="50" t="s">
        <v>13594</v>
      </c>
      <c r="BY484" s="50" t="s">
        <v>13595</v>
      </c>
      <c r="BZ484" s="50" t="s">
        <v>13596</v>
      </c>
      <c r="CA484" s="50" t="s">
        <v>13593</v>
      </c>
      <c r="CB484" s="50" t="s">
        <v>13594</v>
      </c>
      <c r="CC484" s="50" t="s">
        <v>13595</v>
      </c>
      <c r="CD484" s="50" t="s">
        <v>13593</v>
      </c>
      <c r="CE484" s="50" t="s">
        <v>13594</v>
      </c>
      <c r="CF484" s="50" t="s">
        <v>13595</v>
      </c>
      <c r="CG484" s="50" t="s">
        <v>13597</v>
      </c>
      <c r="CH484" s="50" t="s">
        <v>13598</v>
      </c>
      <c r="CJ484" s="50" t="s">
        <v>13599</v>
      </c>
      <c r="CK484" s="50" t="s">
        <v>13598</v>
      </c>
      <c r="CL484" s="50" t="s">
        <v>375</v>
      </c>
      <c r="CM484" s="50" t="s">
        <v>376</v>
      </c>
      <c r="CN484" s="50" t="s">
        <v>13599</v>
      </c>
      <c r="CP484" s="50" t="s">
        <v>13598</v>
      </c>
      <c r="CQ484" s="50" t="s">
        <v>13598</v>
      </c>
    </row>
    <row r="485" spans="1:96">
      <c r="A485" s="50" t="s">
        <v>26356</v>
      </c>
      <c r="B485" s="50">
        <v>416343</v>
      </c>
      <c r="C485" s="50" t="s">
        <v>632</v>
      </c>
      <c r="D485" s="50" t="s">
        <v>8816</v>
      </c>
      <c r="E485" s="50" t="e">
        <f>VLOOKUP(B485,aa!B:F,5,0)</f>
        <v>#N/A</v>
      </c>
      <c r="F485" s="50" t="e">
        <f>VLOOKUP(B485,aa!B:J,9,0)</f>
        <v>#N/A</v>
      </c>
      <c r="G485" s="50" t="e">
        <f>VLOOKUP(B485,aa!B:L,11,0)</f>
        <v>#N/A</v>
      </c>
      <c r="H485" s="50" t="e">
        <f>VLOOKUP(B485,aa!B:O,14,0)</f>
        <v>#N/A</v>
      </c>
      <c r="I485" s="50" t="e">
        <f>VLOOKUP(B485,aa!B:R,17,0)</f>
        <v>#N/A</v>
      </c>
      <c r="K485" s="50" t="s">
        <v>97</v>
      </c>
      <c r="L485" s="50">
        <v>542816</v>
      </c>
      <c r="M485" s="50">
        <v>542816</v>
      </c>
      <c r="N485" s="50">
        <v>542816</v>
      </c>
      <c r="O485" s="50">
        <v>656</v>
      </c>
      <c r="P485" s="50" t="s">
        <v>18213</v>
      </c>
      <c r="Q485" s="50">
        <v>0</v>
      </c>
      <c r="R485" s="50">
        <v>0</v>
      </c>
      <c r="T485" s="50">
        <v>0</v>
      </c>
      <c r="U485" s="50">
        <v>0</v>
      </c>
      <c r="W485" s="50" t="s">
        <v>102</v>
      </c>
      <c r="X485" s="50" t="s">
        <v>103</v>
      </c>
      <c r="Y485" s="50" t="s">
        <v>104</v>
      </c>
      <c r="AA485" s="50" t="s">
        <v>17783</v>
      </c>
      <c r="AB485" s="50" t="s">
        <v>18214</v>
      </c>
      <c r="AC485" s="50" t="s">
        <v>18215</v>
      </c>
      <c r="AD485" s="50" t="s">
        <v>18216</v>
      </c>
      <c r="AE485" s="50" t="s">
        <v>109</v>
      </c>
      <c r="AF485" s="50" t="s">
        <v>102</v>
      </c>
      <c r="AG485" s="50" t="s">
        <v>109</v>
      </c>
      <c r="AH485" s="50" t="s">
        <v>102</v>
      </c>
      <c r="AI485" s="50" t="s">
        <v>18217</v>
      </c>
      <c r="AJ485" s="50" t="s">
        <v>12873</v>
      </c>
      <c r="AK485" s="50" t="s">
        <v>13964</v>
      </c>
      <c r="AL485" s="50" t="s">
        <v>18218</v>
      </c>
      <c r="AM485" s="50" t="s">
        <v>18219</v>
      </c>
      <c r="AN485" s="50" t="s">
        <v>1089</v>
      </c>
      <c r="AO485" s="50" t="s">
        <v>18220</v>
      </c>
      <c r="AP485" s="50" t="s">
        <v>18220</v>
      </c>
      <c r="AU485" s="50" t="s">
        <v>117</v>
      </c>
      <c r="AV485" s="50" t="s">
        <v>118</v>
      </c>
      <c r="AW485" s="50" t="s">
        <v>102</v>
      </c>
      <c r="AX485" s="50" t="s">
        <v>119</v>
      </c>
      <c r="BB485" s="50" t="s">
        <v>120</v>
      </c>
      <c r="BC485" s="50" t="s">
        <v>8824</v>
      </c>
      <c r="BD485" s="50" t="s">
        <v>621</v>
      </c>
      <c r="BE485" s="50" t="s">
        <v>622</v>
      </c>
      <c r="BF485" s="50" t="s">
        <v>976</v>
      </c>
      <c r="BG485" s="50" t="s">
        <v>124</v>
      </c>
      <c r="BH485" s="50" t="s">
        <v>11959</v>
      </c>
      <c r="BI485" s="50" t="s">
        <v>11889</v>
      </c>
      <c r="BJ485" s="50" t="s">
        <v>127</v>
      </c>
      <c r="BK485" s="50" t="s">
        <v>18221</v>
      </c>
      <c r="BL485" s="50" t="s">
        <v>8826</v>
      </c>
      <c r="BM485" s="50" t="s">
        <v>18222</v>
      </c>
      <c r="BN485" s="50" t="s">
        <v>17783</v>
      </c>
      <c r="BO485" s="50" t="s">
        <v>1670</v>
      </c>
      <c r="BP485" s="50" t="s">
        <v>132</v>
      </c>
      <c r="BQ485" s="50" t="s">
        <v>1671</v>
      </c>
      <c r="BR485" s="50" t="s">
        <v>1672</v>
      </c>
      <c r="BS485" s="50" t="s">
        <v>507</v>
      </c>
      <c r="BU485" s="50" t="s">
        <v>18223</v>
      </c>
      <c r="BV485" s="50" t="s">
        <v>18224</v>
      </c>
      <c r="BW485" s="50" t="s">
        <v>138</v>
      </c>
      <c r="BX485" s="50" t="s">
        <v>8831</v>
      </c>
      <c r="BY485" s="50" t="s">
        <v>18225</v>
      </c>
      <c r="BZ485" s="50" t="s">
        <v>8829</v>
      </c>
      <c r="CA485" s="50" t="s">
        <v>18224</v>
      </c>
      <c r="CB485" s="50" t="s">
        <v>8831</v>
      </c>
      <c r="CC485" s="50" t="s">
        <v>18225</v>
      </c>
      <c r="CD485" s="50" t="s">
        <v>8833</v>
      </c>
      <c r="CE485" s="50" t="s">
        <v>8834</v>
      </c>
      <c r="CF485" s="50" t="s">
        <v>8835</v>
      </c>
      <c r="CG485" s="50" t="s">
        <v>102</v>
      </c>
      <c r="CH485" s="50" t="s">
        <v>18226</v>
      </c>
      <c r="CJ485" s="50" t="s">
        <v>7502</v>
      </c>
      <c r="CL485" s="50" t="s">
        <v>8824</v>
      </c>
      <c r="CM485" s="50" t="s">
        <v>621</v>
      </c>
      <c r="CN485" s="50" t="s">
        <v>7502</v>
      </c>
      <c r="CO485" s="50" t="s">
        <v>8837</v>
      </c>
      <c r="CP485" s="50" t="s">
        <v>8836</v>
      </c>
      <c r="CQ485" s="50" t="s">
        <v>8836</v>
      </c>
    </row>
    <row r="486" spans="1:96">
      <c r="A486" s="95" t="s">
        <v>149</v>
      </c>
      <c r="B486" s="50">
        <v>5002619</v>
      </c>
      <c r="C486" s="50" t="s">
        <v>183</v>
      </c>
      <c r="D486" s="50" t="s">
        <v>9128</v>
      </c>
      <c r="E486" s="50" t="e">
        <f>VLOOKUP(B486,aa!B:F,5,0)</f>
        <v>#N/A</v>
      </c>
      <c r="F486" s="50" t="e">
        <f>VLOOKUP(B486,aa!B:J,9,0)</f>
        <v>#N/A</v>
      </c>
      <c r="G486" s="50" t="e">
        <f>VLOOKUP(B486,aa!B:L,11,0)</f>
        <v>#N/A</v>
      </c>
      <c r="H486" s="50" t="e">
        <f>VLOOKUP(B486,aa!B:O,14,0)</f>
        <v>#N/A</v>
      </c>
      <c r="I486" s="50" t="e">
        <f>VLOOKUP(B486,aa!B:R,17,0)</f>
        <v>#N/A</v>
      </c>
      <c r="K486" s="50" t="s">
        <v>97</v>
      </c>
      <c r="L486" s="50">
        <v>204100</v>
      </c>
      <c r="M486" s="50">
        <v>204100</v>
      </c>
      <c r="N486" s="50">
        <v>204100</v>
      </c>
      <c r="O486" s="50">
        <v>298</v>
      </c>
      <c r="P486" s="50" t="s">
        <v>6543</v>
      </c>
      <c r="Q486" s="50">
        <v>0</v>
      </c>
      <c r="R486" s="50">
        <v>0</v>
      </c>
      <c r="T486" s="50">
        <v>0</v>
      </c>
      <c r="U486" s="50">
        <v>0</v>
      </c>
      <c r="W486" s="50" t="s">
        <v>102</v>
      </c>
      <c r="X486" s="50" t="s">
        <v>275</v>
      </c>
      <c r="Z486" s="50" t="s">
        <v>13340</v>
      </c>
      <c r="AA486" s="50" t="s">
        <v>109</v>
      </c>
      <c r="AB486" s="50" t="s">
        <v>102</v>
      </c>
      <c r="AC486" s="50" t="s">
        <v>109</v>
      </c>
      <c r="AD486" s="50" t="s">
        <v>102</v>
      </c>
      <c r="AE486" s="50" t="s">
        <v>109</v>
      </c>
      <c r="AF486" s="50" t="s">
        <v>102</v>
      </c>
      <c r="AG486" s="50" t="s">
        <v>109</v>
      </c>
      <c r="AH486" s="50" t="s">
        <v>102</v>
      </c>
      <c r="AI486" s="50" t="s">
        <v>102</v>
      </c>
      <c r="AJ486" s="50" t="s">
        <v>15422</v>
      </c>
      <c r="AK486" s="50" t="s">
        <v>15422</v>
      </c>
      <c r="AL486" s="50" t="s">
        <v>18491</v>
      </c>
      <c r="AM486" s="50" t="s">
        <v>18491</v>
      </c>
      <c r="AN486" s="50" t="s">
        <v>102</v>
      </c>
      <c r="AO486" s="50" t="s">
        <v>18492</v>
      </c>
      <c r="AP486" s="50" t="s">
        <v>18492</v>
      </c>
      <c r="AU486" s="50" t="s">
        <v>117</v>
      </c>
      <c r="AV486" s="50" t="s">
        <v>118</v>
      </c>
      <c r="AW486" s="50" t="s">
        <v>102</v>
      </c>
      <c r="AX486" s="50" t="s">
        <v>119</v>
      </c>
      <c r="BB486" s="50" t="s">
        <v>120</v>
      </c>
      <c r="BC486" s="50" t="s">
        <v>375</v>
      </c>
      <c r="BD486" s="50" t="s">
        <v>376</v>
      </c>
      <c r="BE486" s="50" t="s">
        <v>174</v>
      </c>
      <c r="BF486" s="50" t="s">
        <v>376</v>
      </c>
      <c r="BG486" s="50" t="s">
        <v>124</v>
      </c>
      <c r="BH486" s="50" t="s">
        <v>12427</v>
      </c>
      <c r="BI486" s="50" t="s">
        <v>11889</v>
      </c>
      <c r="BJ486" s="50" t="s">
        <v>127</v>
      </c>
      <c r="BK486" s="50" t="s">
        <v>18493</v>
      </c>
      <c r="BL486" s="50" t="s">
        <v>9135</v>
      </c>
      <c r="BM486" s="50" t="s">
        <v>18494</v>
      </c>
      <c r="BN486" s="50" t="s">
        <v>12158</v>
      </c>
      <c r="BO486" s="50" t="s">
        <v>179</v>
      </c>
      <c r="BP486" s="50" t="s">
        <v>180</v>
      </c>
      <c r="BQ486" s="50" t="s">
        <v>181</v>
      </c>
      <c r="BR486" s="50" t="s">
        <v>182</v>
      </c>
      <c r="BS486" s="50" t="s">
        <v>384</v>
      </c>
      <c r="BU486" s="50" t="s">
        <v>18495</v>
      </c>
      <c r="BV486" s="50" t="s">
        <v>9138</v>
      </c>
      <c r="BW486" s="50" t="s">
        <v>569</v>
      </c>
      <c r="BX486" s="50" t="s">
        <v>9142</v>
      </c>
      <c r="BY486" s="50" t="s">
        <v>9140</v>
      </c>
      <c r="BZ486" s="50" t="s">
        <v>9141</v>
      </c>
      <c r="CA486" s="50" t="s">
        <v>9138</v>
      </c>
      <c r="CB486" s="50" t="s">
        <v>9142</v>
      </c>
      <c r="CC486" s="50" t="s">
        <v>9140</v>
      </c>
      <c r="CD486" s="50" t="s">
        <v>18496</v>
      </c>
      <c r="CE486" s="50" t="s">
        <v>9144</v>
      </c>
      <c r="CF486" s="50" t="s">
        <v>9145</v>
      </c>
      <c r="CG486" s="50" t="s">
        <v>102</v>
      </c>
      <c r="CH486" s="50" t="s">
        <v>18497</v>
      </c>
      <c r="CJ486" s="50" t="s">
        <v>9147</v>
      </c>
      <c r="CL486" s="50" t="s">
        <v>375</v>
      </c>
      <c r="CM486" s="50" t="s">
        <v>376</v>
      </c>
      <c r="CN486" s="50" t="s">
        <v>9147</v>
      </c>
      <c r="CP486" s="50" t="s">
        <v>9148</v>
      </c>
      <c r="CQ486" s="50" t="s">
        <v>9149</v>
      </c>
      <c r="CR486" s="50" t="s">
        <v>26044</v>
      </c>
    </row>
    <row r="487" spans="1:96">
      <c r="A487" s="50" t="s">
        <v>93</v>
      </c>
      <c r="B487" s="50">
        <v>5015638</v>
      </c>
      <c r="C487" s="50" t="s">
        <v>12155</v>
      </c>
      <c r="D487" s="50" t="s">
        <v>18699</v>
      </c>
      <c r="E487" s="50" t="e">
        <f>VLOOKUP(B487,aa!B:F,5,0)</f>
        <v>#N/A</v>
      </c>
      <c r="F487" s="50" t="e">
        <f>VLOOKUP(B487,aa!B:J,9,0)</f>
        <v>#N/A</v>
      </c>
      <c r="G487" s="50" t="e">
        <f>VLOOKUP(B487,aa!B:L,11,0)</f>
        <v>#N/A</v>
      </c>
      <c r="H487" s="50" t="e">
        <f>VLOOKUP(B487,aa!B:O,14,0)</f>
        <v>#N/A</v>
      </c>
      <c r="I487" s="50" t="e">
        <f>VLOOKUP(B487,aa!B:R,17,0)</f>
        <v>#N/A</v>
      </c>
      <c r="K487" s="50" t="s">
        <v>152</v>
      </c>
      <c r="L487" s="50">
        <v>42480</v>
      </c>
      <c r="M487" s="50">
        <v>42480</v>
      </c>
      <c r="N487" s="50">
        <v>0</v>
      </c>
      <c r="O487" s="50">
        <v>0</v>
      </c>
      <c r="Q487" s="50">
        <v>42480</v>
      </c>
      <c r="R487" s="50">
        <v>59</v>
      </c>
      <c r="S487" s="50" t="s">
        <v>995</v>
      </c>
      <c r="T487" s="50">
        <v>0</v>
      </c>
      <c r="U487" s="50">
        <v>0</v>
      </c>
      <c r="W487" s="50" t="s">
        <v>102</v>
      </c>
      <c r="X487" s="50" t="s">
        <v>103</v>
      </c>
      <c r="Y487" s="50" t="s">
        <v>104</v>
      </c>
      <c r="AA487" s="50" t="s">
        <v>12873</v>
      </c>
      <c r="AB487" s="50" t="s">
        <v>18700</v>
      </c>
      <c r="AC487" s="50" t="s">
        <v>12713</v>
      </c>
      <c r="AD487" s="50" t="s">
        <v>18700</v>
      </c>
      <c r="AE487" s="50" t="s">
        <v>109</v>
      </c>
      <c r="AF487" s="50" t="s">
        <v>102</v>
      </c>
      <c r="AG487" s="50" t="s">
        <v>109</v>
      </c>
      <c r="AH487" s="50" t="s">
        <v>102</v>
      </c>
      <c r="AI487" s="50" t="s">
        <v>102</v>
      </c>
      <c r="AJ487" s="50" t="s">
        <v>2050</v>
      </c>
      <c r="AK487" s="50" t="s">
        <v>2050</v>
      </c>
      <c r="AL487" s="50" t="s">
        <v>18701</v>
      </c>
      <c r="AM487" s="50" t="s">
        <v>18700</v>
      </c>
      <c r="AN487" s="50" t="s">
        <v>18700</v>
      </c>
      <c r="AO487" s="50" t="s">
        <v>317</v>
      </c>
      <c r="AP487" s="50" t="s">
        <v>317</v>
      </c>
      <c r="AU487" s="50" t="s">
        <v>102</v>
      </c>
      <c r="AW487" s="50" t="s">
        <v>104</v>
      </c>
      <c r="AX487" s="50" t="s">
        <v>447</v>
      </c>
      <c r="AY487" s="50" t="s">
        <v>170</v>
      </c>
      <c r="AZ487" s="50" t="s">
        <v>118</v>
      </c>
      <c r="BB487" s="50" t="s">
        <v>120</v>
      </c>
      <c r="BC487" s="50" t="s">
        <v>12104</v>
      </c>
      <c r="BD487" s="50" t="s">
        <v>1208</v>
      </c>
      <c r="BE487" s="50" t="s">
        <v>174</v>
      </c>
      <c r="BF487" s="50" t="s">
        <v>1172</v>
      </c>
      <c r="BG487" s="50" t="s">
        <v>124</v>
      </c>
      <c r="BH487" s="50" t="s">
        <v>12023</v>
      </c>
      <c r="BI487" s="50" t="s">
        <v>11889</v>
      </c>
      <c r="BJ487" s="50" t="s">
        <v>127</v>
      </c>
      <c r="BK487" s="50" t="s">
        <v>18702</v>
      </c>
      <c r="BL487" s="50" t="s">
        <v>18703</v>
      </c>
      <c r="BM487" s="50" t="s">
        <v>18704</v>
      </c>
      <c r="BN487" s="50" t="s">
        <v>12158</v>
      </c>
      <c r="BO487" s="50" t="s">
        <v>1212</v>
      </c>
      <c r="BP487" s="50" t="s">
        <v>180</v>
      </c>
      <c r="BQ487" s="50" t="s">
        <v>1213</v>
      </c>
      <c r="BR487" s="50" t="s">
        <v>1214</v>
      </c>
      <c r="BS487" s="50" t="s">
        <v>1215</v>
      </c>
      <c r="BU487" s="50" t="s">
        <v>18705</v>
      </c>
      <c r="BV487" s="50" t="s">
        <v>18706</v>
      </c>
      <c r="BW487" s="50" t="s">
        <v>138</v>
      </c>
      <c r="BX487" s="50" t="s">
        <v>18707</v>
      </c>
      <c r="BY487" s="50" t="s">
        <v>18708</v>
      </c>
      <c r="BZ487" s="50" t="s">
        <v>18707</v>
      </c>
      <c r="CA487" s="50" t="s">
        <v>18706</v>
      </c>
      <c r="CB487" s="50" t="s">
        <v>18707</v>
      </c>
      <c r="CC487" s="50" t="s">
        <v>18708</v>
      </c>
      <c r="CD487" s="50" t="s">
        <v>18706</v>
      </c>
      <c r="CE487" s="50" t="s">
        <v>18707</v>
      </c>
      <c r="CF487" s="50" t="s">
        <v>18708</v>
      </c>
      <c r="CG487" s="50" t="s">
        <v>18709</v>
      </c>
      <c r="CH487" s="50" t="s">
        <v>18710</v>
      </c>
      <c r="CJ487" s="50" t="s">
        <v>18711</v>
      </c>
      <c r="CK487" s="50" t="s">
        <v>18710</v>
      </c>
      <c r="CL487" s="50" t="s">
        <v>12104</v>
      </c>
      <c r="CM487" s="50" t="s">
        <v>1208</v>
      </c>
      <c r="CN487" s="50" t="s">
        <v>18711</v>
      </c>
      <c r="CP487" s="50" t="s">
        <v>18712</v>
      </c>
      <c r="CQ487" s="50" t="s">
        <v>18712</v>
      </c>
      <c r="CR487" s="50" t="s">
        <v>26046</v>
      </c>
    </row>
    <row r="488" spans="1:96">
      <c r="A488" s="50" t="s">
        <v>93</v>
      </c>
      <c r="B488" s="50">
        <v>1881318</v>
      </c>
      <c r="C488" s="50" t="s">
        <v>12155</v>
      </c>
      <c r="D488" s="50" t="s">
        <v>13109</v>
      </c>
      <c r="E488" s="50" t="e">
        <f>VLOOKUP(B488,aa!B:F,5,0)</f>
        <v>#N/A</v>
      </c>
      <c r="F488" s="50" t="e">
        <f>VLOOKUP(B488,aa!B:J,9,0)</f>
        <v>#N/A</v>
      </c>
      <c r="G488" s="50" t="e">
        <f>VLOOKUP(B488,aa!B:L,11,0)</f>
        <v>#N/A</v>
      </c>
      <c r="H488" s="50" t="e">
        <f>VLOOKUP(B488,aa!B:O,14,0)</f>
        <v>#N/A</v>
      </c>
      <c r="I488" s="50" t="e">
        <f>VLOOKUP(B488,aa!B:R,17,0)</f>
        <v>#N/A</v>
      </c>
      <c r="K488" s="50" t="s">
        <v>848</v>
      </c>
      <c r="L488" s="50">
        <v>263997</v>
      </c>
      <c r="M488" s="50">
        <v>311516</v>
      </c>
      <c r="N488" s="50">
        <v>0</v>
      </c>
      <c r="O488" s="50">
        <v>0</v>
      </c>
      <c r="Q488" s="50">
        <v>0</v>
      </c>
      <c r="R488" s="50">
        <v>0</v>
      </c>
      <c r="T488" s="50">
        <v>263997</v>
      </c>
      <c r="U488" s="50">
        <v>416</v>
      </c>
      <c r="V488" s="50" t="s">
        <v>12956</v>
      </c>
      <c r="W488" s="50" t="s">
        <v>102</v>
      </c>
      <c r="X488" s="50" t="s">
        <v>103</v>
      </c>
      <c r="Y488" s="50" t="s">
        <v>104</v>
      </c>
      <c r="AA488" s="50" t="s">
        <v>11888</v>
      </c>
      <c r="AB488" s="50" t="s">
        <v>13111</v>
      </c>
      <c r="AC488" s="50" t="s">
        <v>12713</v>
      </c>
      <c r="AD488" s="50" t="s">
        <v>13111</v>
      </c>
      <c r="AE488" s="50" t="s">
        <v>109</v>
      </c>
      <c r="AF488" s="50" t="s">
        <v>102</v>
      </c>
      <c r="AG488" s="50" t="s">
        <v>109</v>
      </c>
      <c r="AH488" s="50" t="s">
        <v>102</v>
      </c>
      <c r="AI488" s="50" t="s">
        <v>102</v>
      </c>
      <c r="AJ488" s="50" t="s">
        <v>8747</v>
      </c>
      <c r="AK488" s="50" t="s">
        <v>8747</v>
      </c>
      <c r="AL488" s="50" t="s">
        <v>13112</v>
      </c>
      <c r="AM488" s="50" t="s">
        <v>13111</v>
      </c>
      <c r="AN488" s="50" t="s">
        <v>13111</v>
      </c>
      <c r="AO488" s="50" t="s">
        <v>13113</v>
      </c>
      <c r="AP488" s="50" t="s">
        <v>13113</v>
      </c>
      <c r="AU488" s="50" t="s">
        <v>102</v>
      </c>
      <c r="AW488" s="50" t="s">
        <v>102</v>
      </c>
      <c r="AX488" s="50" t="s">
        <v>119</v>
      </c>
      <c r="BA488" s="50" t="s">
        <v>250</v>
      </c>
      <c r="BB488" s="50" t="s">
        <v>120</v>
      </c>
      <c r="BC488" s="50" t="s">
        <v>7508</v>
      </c>
      <c r="BD488" s="50" t="s">
        <v>1208</v>
      </c>
      <c r="BE488" s="50" t="s">
        <v>174</v>
      </c>
      <c r="BF488" s="50" t="s">
        <v>1172</v>
      </c>
      <c r="BG488" s="50" t="s">
        <v>124</v>
      </c>
      <c r="BH488" s="50" t="s">
        <v>11888</v>
      </c>
      <c r="BI488" s="50" t="s">
        <v>11889</v>
      </c>
      <c r="BJ488" s="50" t="s">
        <v>127</v>
      </c>
      <c r="BK488" s="50" t="s">
        <v>13114</v>
      </c>
      <c r="BL488" s="50" t="s">
        <v>13115</v>
      </c>
      <c r="BM488" s="50" t="s">
        <v>13116</v>
      </c>
      <c r="BN488" s="50" t="s">
        <v>13110</v>
      </c>
      <c r="BO488" s="50" t="s">
        <v>1212</v>
      </c>
      <c r="BP488" s="50" t="s">
        <v>180</v>
      </c>
      <c r="BQ488" s="50" t="s">
        <v>1213</v>
      </c>
      <c r="BR488" s="50" t="s">
        <v>1214</v>
      </c>
      <c r="BS488" s="50" t="s">
        <v>1215</v>
      </c>
      <c r="BU488" s="50" t="s">
        <v>13117</v>
      </c>
      <c r="BV488" s="50" t="s">
        <v>13118</v>
      </c>
      <c r="BW488" s="50" t="s">
        <v>354</v>
      </c>
      <c r="BX488" s="50" t="s">
        <v>13119</v>
      </c>
      <c r="BY488" s="50" t="s">
        <v>13120</v>
      </c>
      <c r="BZ488" s="50" t="s">
        <v>13119</v>
      </c>
      <c r="CA488" s="50" t="s">
        <v>13118</v>
      </c>
      <c r="CB488" s="50" t="s">
        <v>13119</v>
      </c>
      <c r="CC488" s="50" t="s">
        <v>13120</v>
      </c>
      <c r="CD488" s="50" t="s">
        <v>13118</v>
      </c>
      <c r="CE488" s="50" t="s">
        <v>13119</v>
      </c>
      <c r="CF488" s="50" t="s">
        <v>13120</v>
      </c>
      <c r="CG488" s="50" t="s">
        <v>13121</v>
      </c>
      <c r="CH488" s="50" t="s">
        <v>13122</v>
      </c>
      <c r="CJ488" s="50" t="s">
        <v>7525</v>
      </c>
      <c r="CK488" s="50" t="s">
        <v>13122</v>
      </c>
      <c r="CL488" s="50" t="s">
        <v>7508</v>
      </c>
      <c r="CM488" s="50" t="s">
        <v>1208</v>
      </c>
      <c r="CN488" s="50" t="s">
        <v>7525</v>
      </c>
      <c r="CP488" s="50" t="s">
        <v>13123</v>
      </c>
      <c r="CQ488" s="50" t="s">
        <v>13123</v>
      </c>
    </row>
    <row r="489" spans="1:96">
      <c r="A489" s="50" t="s">
        <v>93</v>
      </c>
      <c r="B489" s="50">
        <v>3996943</v>
      </c>
      <c r="C489" s="50" t="s">
        <v>12096</v>
      </c>
      <c r="D489" s="50" t="s">
        <v>17697</v>
      </c>
      <c r="E489" s="50" t="e">
        <f>VLOOKUP(B489,aa!B:F,5,0)</f>
        <v>#N/A</v>
      </c>
      <c r="F489" s="50" t="e">
        <f>VLOOKUP(B489,aa!B:J,9,0)</f>
        <v>#N/A</v>
      </c>
      <c r="G489" s="50" t="e">
        <f>VLOOKUP(B489,aa!B:L,11,0)</f>
        <v>#N/A</v>
      </c>
      <c r="H489" s="50" t="e">
        <f>VLOOKUP(B489,aa!B:O,14,0)</f>
        <v>#N/A</v>
      </c>
      <c r="I489" s="50" t="e">
        <f>VLOOKUP(B489,aa!B:R,17,0)</f>
        <v>#N/A</v>
      </c>
      <c r="K489" s="50" t="s">
        <v>97</v>
      </c>
      <c r="L489" s="50">
        <v>123690</v>
      </c>
      <c r="M489" s="50">
        <v>123690</v>
      </c>
      <c r="N489" s="50">
        <v>123690</v>
      </c>
      <c r="O489" s="50">
        <v>70</v>
      </c>
      <c r="P489" s="50" t="s">
        <v>17698</v>
      </c>
      <c r="Q489" s="50">
        <v>0</v>
      </c>
      <c r="R489" s="50">
        <v>0</v>
      </c>
      <c r="T489" s="50">
        <v>0</v>
      </c>
      <c r="U489" s="50">
        <v>0</v>
      </c>
      <c r="W489" s="50" t="s">
        <v>102</v>
      </c>
      <c r="X489" s="50" t="s">
        <v>103</v>
      </c>
      <c r="Y489" s="50" t="s">
        <v>155</v>
      </c>
      <c r="AA489" s="50" t="s">
        <v>12289</v>
      </c>
      <c r="AB489" s="50" t="s">
        <v>17699</v>
      </c>
      <c r="AC489" s="50" t="s">
        <v>12041</v>
      </c>
      <c r="AD489" s="50" t="s">
        <v>17699</v>
      </c>
      <c r="AE489" s="50" t="s">
        <v>14059</v>
      </c>
      <c r="AF489" s="50" t="s">
        <v>17699</v>
      </c>
      <c r="AG489" s="50" t="s">
        <v>6895</v>
      </c>
      <c r="AH489" s="50" t="s">
        <v>17699</v>
      </c>
      <c r="AI489" s="50" t="s">
        <v>102</v>
      </c>
      <c r="AJ489" s="50" t="s">
        <v>8186</v>
      </c>
      <c r="AK489" s="50" t="s">
        <v>8186</v>
      </c>
      <c r="AL489" s="50" t="s">
        <v>17700</v>
      </c>
      <c r="AM489" s="50" t="s">
        <v>5650</v>
      </c>
      <c r="AN489" s="50" t="s">
        <v>17701</v>
      </c>
      <c r="AO489" s="50" t="s">
        <v>17702</v>
      </c>
      <c r="AP489" s="50" t="s">
        <v>17702</v>
      </c>
      <c r="AU489" s="50" t="s">
        <v>117</v>
      </c>
      <c r="AV489" s="50" t="s">
        <v>118</v>
      </c>
      <c r="AW489" s="50" t="s">
        <v>102</v>
      </c>
      <c r="AX489" s="50" t="s">
        <v>119</v>
      </c>
      <c r="BB489" s="50" t="s">
        <v>120</v>
      </c>
      <c r="BC489" s="50" t="s">
        <v>17703</v>
      </c>
      <c r="BD489" s="50" t="s">
        <v>376</v>
      </c>
      <c r="BE489" s="50" t="s">
        <v>174</v>
      </c>
      <c r="BF489" s="50" t="s">
        <v>376</v>
      </c>
      <c r="BG489" s="50" t="s">
        <v>124</v>
      </c>
      <c r="BH489" s="50" t="s">
        <v>12023</v>
      </c>
      <c r="BI489" s="50" t="s">
        <v>11889</v>
      </c>
      <c r="BJ489" s="50" t="s">
        <v>127</v>
      </c>
      <c r="BK489" s="50" t="s">
        <v>17704</v>
      </c>
      <c r="BL489" s="50" t="s">
        <v>17705</v>
      </c>
      <c r="BM489" s="50" t="s">
        <v>17706</v>
      </c>
      <c r="BN489" s="50" t="s">
        <v>13110</v>
      </c>
      <c r="BO489" s="50" t="s">
        <v>13780</v>
      </c>
      <c r="BP489" s="50" t="s">
        <v>180</v>
      </c>
      <c r="BQ489" s="50" t="s">
        <v>13781</v>
      </c>
      <c r="BR489" s="50" t="s">
        <v>13782</v>
      </c>
      <c r="BS489" s="50" t="s">
        <v>13783</v>
      </c>
      <c r="BU489" s="50" t="s">
        <v>17707</v>
      </c>
      <c r="BV489" s="50" t="s">
        <v>17708</v>
      </c>
      <c r="BW489" s="50" t="s">
        <v>138</v>
      </c>
      <c r="BX489" s="50" t="s">
        <v>17709</v>
      </c>
      <c r="BY489" s="50" t="s">
        <v>17710</v>
      </c>
      <c r="BZ489" s="50" t="s">
        <v>17711</v>
      </c>
      <c r="CA489" s="50" t="s">
        <v>17712</v>
      </c>
      <c r="CB489" s="50" t="s">
        <v>17709</v>
      </c>
      <c r="CC489" s="50" t="s">
        <v>17713</v>
      </c>
      <c r="CD489" s="50" t="s">
        <v>17712</v>
      </c>
      <c r="CE489" s="50" t="s">
        <v>17709</v>
      </c>
      <c r="CF489" s="50" t="s">
        <v>17713</v>
      </c>
      <c r="CG489" s="50" t="s">
        <v>2555</v>
      </c>
      <c r="CH489" s="50" t="s">
        <v>17714</v>
      </c>
      <c r="CJ489" s="50" t="s">
        <v>17715</v>
      </c>
      <c r="CK489" s="50" t="s">
        <v>17716</v>
      </c>
      <c r="CL489" s="50" t="s">
        <v>17703</v>
      </c>
      <c r="CM489" s="50" t="s">
        <v>376</v>
      </c>
      <c r="CN489" s="50" t="s">
        <v>17715</v>
      </c>
      <c r="CP489" s="50" t="s">
        <v>17717</v>
      </c>
      <c r="CQ489" s="50" t="s">
        <v>17717</v>
      </c>
    </row>
    <row r="490" spans="1:96">
      <c r="A490" s="50" t="s">
        <v>93</v>
      </c>
      <c r="B490" s="50">
        <v>5068265</v>
      </c>
      <c r="C490" s="50" t="s">
        <v>11995</v>
      </c>
      <c r="D490" s="50" t="s">
        <v>20732</v>
      </c>
      <c r="E490" s="50" t="str">
        <f>VLOOKUP(B490,aa!B:F,5,0)</f>
        <v>Ei CARES</v>
      </c>
      <c r="F490" s="50">
        <f>VLOOKUP(B490,aa!B:J,9,0)</f>
        <v>122850</v>
      </c>
      <c r="G490" s="50">
        <f>VLOOKUP(B490,aa!B:L,11,0)</f>
        <v>0</v>
      </c>
      <c r="H490" s="50">
        <f>VLOOKUP(B490,aa!B:O,14,0)</f>
        <v>122850</v>
      </c>
      <c r="I490" s="50">
        <f>VLOOKUP(B490,aa!B:R,17,0)</f>
        <v>0</v>
      </c>
      <c r="K490" s="50" t="s">
        <v>152</v>
      </c>
      <c r="L490" s="50">
        <v>122850</v>
      </c>
      <c r="M490" s="50">
        <v>122850</v>
      </c>
      <c r="N490" s="50">
        <v>0</v>
      </c>
      <c r="O490" s="50">
        <v>0</v>
      </c>
      <c r="Q490" s="50">
        <v>122850</v>
      </c>
      <c r="R490" s="50">
        <v>75</v>
      </c>
      <c r="S490" s="50" t="s">
        <v>20733</v>
      </c>
      <c r="T490" s="50">
        <v>0</v>
      </c>
      <c r="U490" s="50">
        <v>0</v>
      </c>
      <c r="W490" s="50" t="s">
        <v>102</v>
      </c>
      <c r="X490" s="50" t="s">
        <v>103</v>
      </c>
      <c r="Y490" s="50" t="s">
        <v>104</v>
      </c>
      <c r="AA490" s="50" t="s">
        <v>12041</v>
      </c>
      <c r="AB490" s="50" t="s">
        <v>8539</v>
      </c>
      <c r="AC490" s="50" t="s">
        <v>6895</v>
      </c>
      <c r="AD490" s="50" t="s">
        <v>8539</v>
      </c>
      <c r="AE490" s="50" t="s">
        <v>109</v>
      </c>
      <c r="AF490" s="50" t="s">
        <v>102</v>
      </c>
      <c r="AG490" s="50" t="s">
        <v>109</v>
      </c>
      <c r="AH490" s="50" t="s">
        <v>102</v>
      </c>
      <c r="AI490" s="50" t="s">
        <v>102</v>
      </c>
      <c r="AJ490" s="50" t="s">
        <v>13302</v>
      </c>
      <c r="AK490" s="50" t="s">
        <v>13302</v>
      </c>
      <c r="AL490" s="50" t="s">
        <v>20734</v>
      </c>
      <c r="AM490" s="50" t="s">
        <v>20734</v>
      </c>
      <c r="AN490" s="50" t="s">
        <v>102</v>
      </c>
      <c r="AO490" s="50" t="s">
        <v>4950</v>
      </c>
      <c r="AP490" s="50" t="s">
        <v>4950</v>
      </c>
      <c r="AU490" s="50" t="s">
        <v>102</v>
      </c>
      <c r="AW490" s="50" t="s">
        <v>102</v>
      </c>
      <c r="AX490" s="50" t="s">
        <v>119</v>
      </c>
      <c r="AY490" s="50" t="s">
        <v>1138</v>
      </c>
      <c r="AZ490" s="50" t="s">
        <v>118</v>
      </c>
      <c r="BB490" s="50" t="s">
        <v>209</v>
      </c>
      <c r="BC490" s="50" t="s">
        <v>1609</v>
      </c>
      <c r="BD490" s="50" t="s">
        <v>285</v>
      </c>
      <c r="BE490" s="50" t="s">
        <v>212</v>
      </c>
      <c r="BF490" s="50" t="s">
        <v>286</v>
      </c>
      <c r="BG490" s="50" t="s">
        <v>124</v>
      </c>
      <c r="BH490" s="50" t="s">
        <v>11959</v>
      </c>
      <c r="BI490" s="50" t="s">
        <v>12047</v>
      </c>
      <c r="BJ490" s="50" t="s">
        <v>127</v>
      </c>
      <c r="BK490" s="50" t="s">
        <v>20735</v>
      </c>
      <c r="BL490" s="50" t="s">
        <v>20736</v>
      </c>
      <c r="BM490" s="50" t="s">
        <v>20737</v>
      </c>
      <c r="BN490" s="50" t="s">
        <v>14210</v>
      </c>
      <c r="BO490" s="50" t="s">
        <v>3997</v>
      </c>
      <c r="BP490" s="50" t="s">
        <v>505</v>
      </c>
      <c r="BQ490" s="50" t="s">
        <v>3998</v>
      </c>
      <c r="BR490" s="50" t="s">
        <v>3999</v>
      </c>
      <c r="BS490" s="50" t="s">
        <v>3362</v>
      </c>
      <c r="BU490" s="50" t="s">
        <v>20738</v>
      </c>
      <c r="BV490" s="50" t="s">
        <v>19148</v>
      </c>
      <c r="BW490" s="50" t="s">
        <v>354</v>
      </c>
      <c r="BX490" s="50" t="s">
        <v>1618</v>
      </c>
      <c r="BY490" s="50" t="s">
        <v>1619</v>
      </c>
      <c r="BZ490" s="50" t="s">
        <v>1618</v>
      </c>
      <c r="CA490" s="50" t="s">
        <v>19148</v>
      </c>
      <c r="CB490" s="50" t="s">
        <v>1618</v>
      </c>
      <c r="CC490" s="50" t="s">
        <v>1619</v>
      </c>
      <c r="CD490" s="50" t="s">
        <v>20739</v>
      </c>
      <c r="CE490" s="50" t="s">
        <v>1615</v>
      </c>
      <c r="CF490" s="50" t="s">
        <v>1616</v>
      </c>
      <c r="CG490" s="50" t="s">
        <v>573</v>
      </c>
      <c r="CH490" s="50" t="s">
        <v>20740</v>
      </c>
      <c r="CJ490" s="50" t="s">
        <v>20741</v>
      </c>
      <c r="CK490" s="50" t="s">
        <v>20740</v>
      </c>
      <c r="CL490" s="50" t="s">
        <v>1609</v>
      </c>
      <c r="CM490" s="50" t="s">
        <v>285</v>
      </c>
      <c r="CN490" s="50" t="s">
        <v>20741</v>
      </c>
      <c r="CP490" s="50" t="s">
        <v>20742</v>
      </c>
      <c r="CQ490" s="50" t="s">
        <v>20742</v>
      </c>
    </row>
    <row r="491" spans="1:96">
      <c r="A491" s="50" t="s">
        <v>93</v>
      </c>
      <c r="B491" s="50">
        <v>2053321</v>
      </c>
      <c r="C491" s="50" t="s">
        <v>12507</v>
      </c>
      <c r="D491" s="50" t="s">
        <v>13393</v>
      </c>
      <c r="E491" s="50" t="e">
        <f>VLOOKUP(B491,aa!B:F,5,0)</f>
        <v>#N/A</v>
      </c>
      <c r="F491" s="50" t="e">
        <f>VLOOKUP(B491,aa!B:J,9,0)</f>
        <v>#N/A</v>
      </c>
      <c r="G491" s="50" t="e">
        <f>VLOOKUP(B491,aa!B:L,11,0)</f>
        <v>#N/A</v>
      </c>
      <c r="H491" s="50" t="e">
        <f>VLOOKUP(B491,aa!B:O,14,0)</f>
        <v>#N/A</v>
      </c>
      <c r="I491" s="50" t="e">
        <f>VLOOKUP(B491,aa!B:R,17,0)</f>
        <v>#N/A</v>
      </c>
      <c r="K491" s="50" t="s">
        <v>97</v>
      </c>
      <c r="L491" s="50">
        <v>95519</v>
      </c>
      <c r="M491" s="50">
        <v>95519</v>
      </c>
      <c r="N491" s="50">
        <v>95519</v>
      </c>
      <c r="O491" s="50">
        <v>191</v>
      </c>
      <c r="P491" s="50" t="s">
        <v>364</v>
      </c>
      <c r="Q491" s="50">
        <v>0</v>
      </c>
      <c r="R491" s="50">
        <v>0</v>
      </c>
      <c r="T491" s="50">
        <v>0</v>
      </c>
      <c r="U491" s="50">
        <v>0</v>
      </c>
      <c r="W491" s="50" t="s">
        <v>102</v>
      </c>
      <c r="X491" s="50" t="s">
        <v>103</v>
      </c>
      <c r="Y491" s="50" t="s">
        <v>104</v>
      </c>
      <c r="AA491" s="50" t="s">
        <v>12427</v>
      </c>
      <c r="AB491" s="50" t="s">
        <v>13394</v>
      </c>
      <c r="AC491" s="50" t="s">
        <v>13395</v>
      </c>
      <c r="AD491" s="50" t="s">
        <v>13394</v>
      </c>
      <c r="AE491" s="50" t="s">
        <v>109</v>
      </c>
      <c r="AF491" s="50" t="s">
        <v>102</v>
      </c>
      <c r="AG491" s="50" t="s">
        <v>109</v>
      </c>
      <c r="AH491" s="50" t="s">
        <v>102</v>
      </c>
      <c r="AI491" s="50" t="s">
        <v>102</v>
      </c>
      <c r="AJ491" s="50" t="s">
        <v>13340</v>
      </c>
      <c r="AK491" s="50" t="s">
        <v>13340</v>
      </c>
      <c r="AL491" s="50" t="s">
        <v>13396</v>
      </c>
      <c r="AM491" s="50" t="s">
        <v>13397</v>
      </c>
      <c r="AN491" s="50" t="s">
        <v>13398</v>
      </c>
      <c r="AO491" s="50" t="s">
        <v>2353</v>
      </c>
      <c r="AP491" s="50" t="s">
        <v>2353</v>
      </c>
      <c r="AU491" s="50" t="s">
        <v>117</v>
      </c>
      <c r="AV491" s="50" t="s">
        <v>118</v>
      </c>
      <c r="AW491" s="50" t="s">
        <v>102</v>
      </c>
      <c r="AX491" s="50" t="s">
        <v>119</v>
      </c>
      <c r="BB491" s="50" t="s">
        <v>120</v>
      </c>
      <c r="BC491" s="50" t="s">
        <v>2542</v>
      </c>
      <c r="BD491" s="50" t="s">
        <v>2543</v>
      </c>
      <c r="BE491" s="50" t="s">
        <v>122</v>
      </c>
      <c r="BF491" s="50" t="s">
        <v>557</v>
      </c>
      <c r="BG491" s="50" t="s">
        <v>124</v>
      </c>
      <c r="BH491" s="50" t="s">
        <v>12427</v>
      </c>
      <c r="BI491" s="50" t="s">
        <v>12047</v>
      </c>
      <c r="BJ491" s="50" t="s">
        <v>127</v>
      </c>
      <c r="BK491" s="50" t="s">
        <v>13399</v>
      </c>
      <c r="BL491" s="50" t="s">
        <v>13400</v>
      </c>
      <c r="BM491" s="50" t="s">
        <v>13401</v>
      </c>
      <c r="BN491" s="50" t="s">
        <v>2050</v>
      </c>
      <c r="BO491" s="50" t="s">
        <v>13402</v>
      </c>
      <c r="BP491" s="50" t="s">
        <v>350</v>
      </c>
      <c r="BQ491" s="50" t="s">
        <v>13403</v>
      </c>
      <c r="BR491" s="50" t="s">
        <v>13404</v>
      </c>
      <c r="BS491" s="50" t="s">
        <v>13405</v>
      </c>
      <c r="BU491" s="50" t="s">
        <v>13406</v>
      </c>
      <c r="BV491" s="50" t="s">
        <v>13407</v>
      </c>
      <c r="BW491" s="50" t="s">
        <v>138</v>
      </c>
      <c r="BX491" s="50" t="s">
        <v>13408</v>
      </c>
      <c r="BY491" s="50" t="s">
        <v>13409</v>
      </c>
      <c r="BZ491" s="50" t="s">
        <v>13408</v>
      </c>
      <c r="CA491" s="50" t="s">
        <v>13407</v>
      </c>
      <c r="CB491" s="50" t="s">
        <v>13408</v>
      </c>
      <c r="CC491" s="50" t="s">
        <v>13409</v>
      </c>
      <c r="CD491" s="50" t="s">
        <v>13410</v>
      </c>
      <c r="CE491" s="50" t="s">
        <v>13411</v>
      </c>
      <c r="CF491" s="50" t="s">
        <v>13412</v>
      </c>
      <c r="CG491" s="50" t="s">
        <v>7500</v>
      </c>
      <c r="CH491" s="50" t="s">
        <v>13413</v>
      </c>
      <c r="CJ491" s="50" t="s">
        <v>13414</v>
      </c>
      <c r="CL491" s="50" t="s">
        <v>2542</v>
      </c>
      <c r="CM491" s="50" t="s">
        <v>2543</v>
      </c>
      <c r="CN491" s="50" t="s">
        <v>13414</v>
      </c>
      <c r="CP491" s="50" t="s">
        <v>13415</v>
      </c>
      <c r="CQ491" s="50" t="s">
        <v>13416</v>
      </c>
    </row>
    <row r="492" spans="1:96">
      <c r="A492" s="95" t="s">
        <v>149</v>
      </c>
      <c r="B492" s="50">
        <v>3712077</v>
      </c>
      <c r="C492" s="50" t="s">
        <v>632</v>
      </c>
      <c r="D492" s="50" t="s">
        <v>7234</v>
      </c>
      <c r="E492" s="50" t="e">
        <f>VLOOKUP(B492,aa!B:F,5,0)</f>
        <v>#N/A</v>
      </c>
      <c r="F492" s="50" t="e">
        <f>VLOOKUP(B492,aa!B:J,9,0)</f>
        <v>#N/A</v>
      </c>
      <c r="G492" s="50" t="e">
        <f>VLOOKUP(B492,aa!B:L,11,0)</f>
        <v>#N/A</v>
      </c>
      <c r="H492" s="50" t="e">
        <f>VLOOKUP(B492,aa!B:O,14,0)</f>
        <v>#N/A</v>
      </c>
      <c r="I492" s="50" t="e">
        <f>VLOOKUP(B492,aa!B:R,17,0)</f>
        <v>#N/A</v>
      </c>
      <c r="K492" s="50" t="s">
        <v>97</v>
      </c>
      <c r="L492" s="50">
        <v>142805</v>
      </c>
      <c r="M492" s="50">
        <v>142805</v>
      </c>
      <c r="N492" s="50">
        <v>142805</v>
      </c>
      <c r="O492" s="50">
        <v>119</v>
      </c>
      <c r="P492" s="50" t="s">
        <v>880</v>
      </c>
      <c r="Q492" s="50">
        <v>0</v>
      </c>
      <c r="R492" s="50">
        <v>0</v>
      </c>
      <c r="T492" s="50">
        <v>0</v>
      </c>
      <c r="U492" s="50">
        <v>0</v>
      </c>
      <c r="W492" s="50" t="s">
        <v>102</v>
      </c>
      <c r="X492" s="50" t="s">
        <v>103</v>
      </c>
      <c r="Y492" s="50" t="s">
        <v>104</v>
      </c>
      <c r="AA492" s="50" t="s">
        <v>12217</v>
      </c>
      <c r="AB492" s="50" t="s">
        <v>16797</v>
      </c>
      <c r="AC492" s="50" t="s">
        <v>13395</v>
      </c>
      <c r="AD492" s="50" t="s">
        <v>16798</v>
      </c>
      <c r="AE492" s="50" t="s">
        <v>109</v>
      </c>
      <c r="AF492" s="50" t="s">
        <v>102</v>
      </c>
      <c r="AG492" s="50" t="s">
        <v>109</v>
      </c>
      <c r="AH492" s="50" t="s">
        <v>102</v>
      </c>
      <c r="AI492" s="50" t="s">
        <v>16799</v>
      </c>
      <c r="AJ492" s="50" t="s">
        <v>12609</v>
      </c>
      <c r="AK492" s="50" t="s">
        <v>12609</v>
      </c>
      <c r="AL492" s="50" t="s">
        <v>16800</v>
      </c>
      <c r="AM492" s="50" t="s">
        <v>16801</v>
      </c>
      <c r="AN492" s="50" t="s">
        <v>16798</v>
      </c>
      <c r="AO492" s="50" t="s">
        <v>16802</v>
      </c>
      <c r="AP492" s="50" t="s">
        <v>16802</v>
      </c>
      <c r="AU492" s="50" t="s">
        <v>117</v>
      </c>
      <c r="AV492" s="50" t="s">
        <v>118</v>
      </c>
      <c r="AW492" s="50" t="s">
        <v>102</v>
      </c>
      <c r="AX492" s="50" t="s">
        <v>119</v>
      </c>
      <c r="BB492" s="50" t="s">
        <v>2565</v>
      </c>
      <c r="BC492" s="50" t="s">
        <v>623</v>
      </c>
      <c r="BD492" s="50" t="s">
        <v>621</v>
      </c>
      <c r="BE492" s="50" t="s">
        <v>622</v>
      </c>
      <c r="BF492" s="50" t="s">
        <v>623</v>
      </c>
      <c r="BG492" s="50" t="s">
        <v>124</v>
      </c>
      <c r="BH492" s="50" t="s">
        <v>12023</v>
      </c>
      <c r="BI492" s="50" t="s">
        <v>11889</v>
      </c>
      <c r="BJ492" s="50" t="s">
        <v>127</v>
      </c>
      <c r="BK492" s="50" t="s">
        <v>16803</v>
      </c>
      <c r="BL492" s="50" t="s">
        <v>7241</v>
      </c>
      <c r="BM492" s="50" t="s">
        <v>16804</v>
      </c>
      <c r="BN492" s="50" t="s">
        <v>12873</v>
      </c>
      <c r="BO492" s="50" t="s">
        <v>1339</v>
      </c>
      <c r="BP492" s="50" t="s">
        <v>132</v>
      </c>
      <c r="BQ492" s="50" t="s">
        <v>1340</v>
      </c>
      <c r="BR492" s="50" t="s">
        <v>1341</v>
      </c>
      <c r="BS492" s="50" t="s">
        <v>507</v>
      </c>
      <c r="BU492" s="50" t="s">
        <v>16805</v>
      </c>
      <c r="BV492" s="50" t="s">
        <v>16806</v>
      </c>
      <c r="BX492" s="50" t="s">
        <v>7245</v>
      </c>
      <c r="BY492" s="50" t="s">
        <v>16807</v>
      </c>
      <c r="BZ492" s="50" t="s">
        <v>7245</v>
      </c>
      <c r="CA492" s="50" t="s">
        <v>16806</v>
      </c>
      <c r="CB492" s="50" t="s">
        <v>7245</v>
      </c>
      <c r="CC492" s="50" t="s">
        <v>16807</v>
      </c>
      <c r="CD492" s="50" t="s">
        <v>16806</v>
      </c>
      <c r="CE492" s="50" t="s">
        <v>7245</v>
      </c>
      <c r="CF492" s="50" t="s">
        <v>16807</v>
      </c>
      <c r="CG492" s="50" t="s">
        <v>7248</v>
      </c>
      <c r="CH492" s="50" t="s">
        <v>7249</v>
      </c>
      <c r="CJ492" s="50" t="s">
        <v>7250</v>
      </c>
      <c r="CL492" s="50" t="s">
        <v>623</v>
      </c>
      <c r="CM492" s="50" t="s">
        <v>621</v>
      </c>
      <c r="CN492" s="50" t="s">
        <v>7250</v>
      </c>
      <c r="CO492" s="50" t="s">
        <v>7251</v>
      </c>
      <c r="CP492" s="50" t="s">
        <v>7249</v>
      </c>
      <c r="CQ492" s="50" t="s">
        <v>7249</v>
      </c>
      <c r="CR492" s="50" t="s">
        <v>26048</v>
      </c>
    </row>
    <row r="493" spans="1:96">
      <c r="A493" s="95" t="s">
        <v>149</v>
      </c>
      <c r="B493" s="50">
        <v>249296</v>
      </c>
      <c r="C493" s="50" t="s">
        <v>2525</v>
      </c>
      <c r="D493" s="50" t="s">
        <v>3708</v>
      </c>
      <c r="E493" s="50" t="e">
        <f>VLOOKUP(B493,aa!B:F,5,0)</f>
        <v>#N/A</v>
      </c>
      <c r="F493" s="50" t="e">
        <f>VLOOKUP(B493,aa!B:J,9,0)</f>
        <v>#N/A</v>
      </c>
      <c r="G493" s="50" t="e">
        <f>VLOOKUP(B493,aa!B:L,11,0)</f>
        <v>#N/A</v>
      </c>
      <c r="H493" s="50" t="e">
        <f>VLOOKUP(B493,aa!B:O,14,0)</f>
        <v>#N/A</v>
      </c>
      <c r="I493" s="50" t="e">
        <f>VLOOKUP(B493,aa!B:R,17,0)</f>
        <v>#N/A</v>
      </c>
      <c r="K493" s="50" t="s">
        <v>97</v>
      </c>
      <c r="L493" s="50">
        <v>75899</v>
      </c>
      <c r="M493" s="50">
        <v>75899</v>
      </c>
      <c r="N493" s="50">
        <v>75899</v>
      </c>
      <c r="O493" s="50">
        <v>92</v>
      </c>
      <c r="P493" s="50" t="s">
        <v>3811</v>
      </c>
      <c r="Q493" s="50">
        <v>0</v>
      </c>
      <c r="R493" s="50">
        <v>0</v>
      </c>
      <c r="T493" s="50">
        <v>0</v>
      </c>
      <c r="U493" s="50">
        <v>0</v>
      </c>
      <c r="W493" s="50" t="s">
        <v>102</v>
      </c>
      <c r="X493" s="50" t="s">
        <v>275</v>
      </c>
      <c r="Z493" s="50" t="s">
        <v>126</v>
      </c>
      <c r="AA493" s="50" t="s">
        <v>109</v>
      </c>
      <c r="AB493" s="50" t="s">
        <v>102</v>
      </c>
      <c r="AC493" s="50" t="s">
        <v>109</v>
      </c>
      <c r="AD493" s="50" t="s">
        <v>102</v>
      </c>
      <c r="AE493" s="50" t="s">
        <v>109</v>
      </c>
      <c r="AF493" s="50" t="s">
        <v>102</v>
      </c>
      <c r="AG493" s="50" t="s">
        <v>109</v>
      </c>
      <c r="AH493" s="50" t="s">
        <v>102</v>
      </c>
      <c r="AI493" s="50" t="s">
        <v>102</v>
      </c>
      <c r="AJ493" s="50" t="s">
        <v>9814</v>
      </c>
      <c r="AK493" s="50" t="s">
        <v>9814</v>
      </c>
      <c r="AL493" s="50" t="s">
        <v>14224</v>
      </c>
      <c r="AM493" s="50" t="s">
        <v>14225</v>
      </c>
      <c r="AN493" s="50" t="s">
        <v>1544</v>
      </c>
      <c r="AO493" s="50" t="s">
        <v>14226</v>
      </c>
      <c r="AP493" s="50" t="s">
        <v>14227</v>
      </c>
      <c r="AQ493" s="50" t="s">
        <v>343</v>
      </c>
      <c r="AT493" s="50" t="s">
        <v>169</v>
      </c>
      <c r="AU493" s="50" t="s">
        <v>117</v>
      </c>
      <c r="AV493" s="50" t="s">
        <v>118</v>
      </c>
      <c r="AW493" s="50" t="s">
        <v>102</v>
      </c>
      <c r="AX493" s="50" t="s">
        <v>119</v>
      </c>
      <c r="BB493" s="50" t="s">
        <v>120</v>
      </c>
      <c r="BC493" s="50" t="s">
        <v>3714</v>
      </c>
      <c r="BD493" s="50" t="s">
        <v>730</v>
      </c>
      <c r="BE493" s="50" t="s">
        <v>622</v>
      </c>
      <c r="BF493" s="50" t="s">
        <v>730</v>
      </c>
      <c r="BG493" s="50" t="s">
        <v>124</v>
      </c>
      <c r="BH493" s="50" t="s">
        <v>12023</v>
      </c>
      <c r="BI493" s="50" t="s">
        <v>11889</v>
      </c>
      <c r="BJ493" s="50" t="s">
        <v>127</v>
      </c>
      <c r="BK493" s="50" t="s">
        <v>14228</v>
      </c>
      <c r="BL493" s="50" t="s">
        <v>3716</v>
      </c>
      <c r="BM493" s="50" t="s">
        <v>14229</v>
      </c>
      <c r="BN493" s="50" t="s">
        <v>12217</v>
      </c>
      <c r="BO493" s="50" t="s">
        <v>3606</v>
      </c>
      <c r="BP493" s="50" t="s">
        <v>350</v>
      </c>
      <c r="BQ493" s="50" t="s">
        <v>3607</v>
      </c>
      <c r="BR493" s="50" t="s">
        <v>3608</v>
      </c>
      <c r="BS493" s="50" t="s">
        <v>2525</v>
      </c>
      <c r="BU493" s="50" t="s">
        <v>14230</v>
      </c>
      <c r="BV493" s="50" t="s">
        <v>3719</v>
      </c>
      <c r="BW493" s="50" t="s">
        <v>598</v>
      </c>
      <c r="BX493" s="50" t="s">
        <v>3720</v>
      </c>
      <c r="BY493" s="50" t="s">
        <v>3721</v>
      </c>
      <c r="BZ493" s="50" t="s">
        <v>3722</v>
      </c>
      <c r="CA493" s="50" t="s">
        <v>14231</v>
      </c>
      <c r="CB493" s="50" t="s">
        <v>14232</v>
      </c>
      <c r="CC493" s="50" t="s">
        <v>3721</v>
      </c>
      <c r="CD493" s="50" t="s">
        <v>3719</v>
      </c>
      <c r="CE493" s="50" t="s">
        <v>14233</v>
      </c>
      <c r="CF493" s="50" t="s">
        <v>3721</v>
      </c>
      <c r="CG493" s="50" t="s">
        <v>102</v>
      </c>
      <c r="CH493" s="50" t="s">
        <v>3723</v>
      </c>
      <c r="CJ493" s="50" t="s">
        <v>3724</v>
      </c>
      <c r="CL493" s="50" t="s">
        <v>3714</v>
      </c>
      <c r="CM493" s="50" t="s">
        <v>730</v>
      </c>
      <c r="CN493" s="50" t="s">
        <v>3724</v>
      </c>
      <c r="CP493" s="50" t="s">
        <v>3723</v>
      </c>
      <c r="CQ493" s="50" t="s">
        <v>3723</v>
      </c>
      <c r="CR493" s="50" t="s">
        <v>26048</v>
      </c>
    </row>
    <row r="494" spans="1:96">
      <c r="A494" s="50" t="s">
        <v>93</v>
      </c>
      <c r="B494" s="50">
        <v>3402446</v>
      </c>
      <c r="C494" s="50" t="s">
        <v>12030</v>
      </c>
      <c r="D494" s="50" t="s">
        <v>15872</v>
      </c>
      <c r="E494" s="50" t="e">
        <f>VLOOKUP(B494,aa!B:F,5,0)</f>
        <v>#N/A</v>
      </c>
      <c r="F494" s="50" t="e">
        <f>VLOOKUP(B494,aa!B:J,9,0)</f>
        <v>#N/A</v>
      </c>
      <c r="G494" s="50" t="e">
        <f>VLOOKUP(B494,aa!B:L,11,0)</f>
        <v>#N/A</v>
      </c>
      <c r="H494" s="50" t="e">
        <f>VLOOKUP(B494,aa!B:O,14,0)</f>
        <v>#N/A</v>
      </c>
      <c r="I494" s="50" t="e">
        <f>VLOOKUP(B494,aa!B:R,17,0)</f>
        <v>#N/A</v>
      </c>
      <c r="K494" s="50" t="s">
        <v>97</v>
      </c>
      <c r="L494" s="50">
        <v>72600</v>
      </c>
      <c r="M494" s="50">
        <v>72600</v>
      </c>
      <c r="N494" s="50">
        <v>72600</v>
      </c>
      <c r="O494" s="50">
        <v>121</v>
      </c>
      <c r="P494" s="50" t="s">
        <v>310</v>
      </c>
      <c r="Q494" s="50">
        <v>0</v>
      </c>
      <c r="R494" s="50">
        <v>0</v>
      </c>
      <c r="T494" s="50">
        <v>0</v>
      </c>
      <c r="U494" s="50">
        <v>0</v>
      </c>
      <c r="W494" s="50" t="s">
        <v>102</v>
      </c>
      <c r="X494" s="50" t="s">
        <v>275</v>
      </c>
      <c r="Z494" s="50" t="s">
        <v>14597</v>
      </c>
      <c r="AA494" s="50" t="s">
        <v>109</v>
      </c>
      <c r="AB494" s="50" t="s">
        <v>102</v>
      </c>
      <c r="AC494" s="50" t="s">
        <v>109</v>
      </c>
      <c r="AD494" s="50" t="s">
        <v>102</v>
      </c>
      <c r="AE494" s="50" t="s">
        <v>109</v>
      </c>
      <c r="AF494" s="50" t="s">
        <v>102</v>
      </c>
      <c r="AG494" s="50" t="s">
        <v>109</v>
      </c>
      <c r="AH494" s="50" t="s">
        <v>102</v>
      </c>
      <c r="AI494" s="50" t="s">
        <v>102</v>
      </c>
      <c r="AL494" s="50" t="s">
        <v>12021</v>
      </c>
      <c r="AM494" s="50" t="s">
        <v>102</v>
      </c>
      <c r="AN494" s="50" t="s">
        <v>12021</v>
      </c>
      <c r="AO494" s="50" t="s">
        <v>317</v>
      </c>
      <c r="AP494" s="50" t="s">
        <v>317</v>
      </c>
      <c r="AU494" s="50" t="s">
        <v>318</v>
      </c>
      <c r="AV494" s="50" t="s">
        <v>118</v>
      </c>
      <c r="AW494" s="50" t="s">
        <v>102</v>
      </c>
      <c r="AX494" s="50" t="s">
        <v>119</v>
      </c>
      <c r="BB494" s="50" t="s">
        <v>120</v>
      </c>
      <c r="BC494" s="50" t="s">
        <v>5739</v>
      </c>
      <c r="BD494" s="50" t="s">
        <v>2800</v>
      </c>
      <c r="BE494" s="50" t="s">
        <v>122</v>
      </c>
      <c r="BF494" s="50" t="s">
        <v>346</v>
      </c>
      <c r="BG494" s="50" t="s">
        <v>124</v>
      </c>
      <c r="BH494" s="50" t="s">
        <v>12873</v>
      </c>
      <c r="BI494" s="50" t="s">
        <v>15873</v>
      </c>
      <c r="BJ494" s="50" t="s">
        <v>127</v>
      </c>
      <c r="BK494" s="50" t="s">
        <v>15874</v>
      </c>
      <c r="BL494" s="50" t="s">
        <v>15875</v>
      </c>
      <c r="BM494" s="50" t="s">
        <v>15876</v>
      </c>
      <c r="BN494" s="50" t="s">
        <v>12217</v>
      </c>
      <c r="BO494" s="50" t="s">
        <v>349</v>
      </c>
      <c r="BP494" s="50" t="s">
        <v>350</v>
      </c>
      <c r="BQ494" s="50" t="s">
        <v>351</v>
      </c>
      <c r="BR494" s="50" t="s">
        <v>352</v>
      </c>
      <c r="BS494" s="50" t="s">
        <v>6249</v>
      </c>
      <c r="BU494" s="50" t="s">
        <v>15877</v>
      </c>
      <c r="BV494" s="50" t="s">
        <v>15878</v>
      </c>
      <c r="BW494" s="50" t="s">
        <v>354</v>
      </c>
      <c r="BX494" s="50" t="s">
        <v>15879</v>
      </c>
      <c r="BY494" s="50" t="s">
        <v>15880</v>
      </c>
      <c r="BZ494" s="50" t="s">
        <v>15881</v>
      </c>
      <c r="CA494" s="50" t="s">
        <v>15882</v>
      </c>
      <c r="CB494" s="50" t="s">
        <v>15879</v>
      </c>
      <c r="CC494" s="50" t="s">
        <v>15883</v>
      </c>
      <c r="CD494" s="50" t="s">
        <v>15882</v>
      </c>
      <c r="CE494" s="50" t="s">
        <v>15879</v>
      </c>
      <c r="CF494" s="50" t="s">
        <v>15883</v>
      </c>
      <c r="CG494" s="50" t="s">
        <v>15884</v>
      </c>
      <c r="CH494" s="50" t="s">
        <v>15885</v>
      </c>
      <c r="CJ494" s="50" t="s">
        <v>15886</v>
      </c>
      <c r="CK494" s="50" t="s">
        <v>15885</v>
      </c>
      <c r="CL494" s="50" t="s">
        <v>5739</v>
      </c>
      <c r="CM494" s="50" t="s">
        <v>2800</v>
      </c>
      <c r="CN494" s="50" t="s">
        <v>15886</v>
      </c>
      <c r="CP494" s="50" t="s">
        <v>15887</v>
      </c>
      <c r="CQ494" s="50" t="s">
        <v>15887</v>
      </c>
    </row>
    <row r="495" spans="1:96">
      <c r="A495" s="50" t="s">
        <v>93</v>
      </c>
      <c r="B495" s="50">
        <v>5018211</v>
      </c>
      <c r="C495" s="50" t="s">
        <v>384</v>
      </c>
      <c r="D495" s="50" t="s">
        <v>19517</v>
      </c>
      <c r="E495" s="50" t="str">
        <f>VLOOKUP(B495,aa!B:F,5,0)</f>
        <v>Ei CARES</v>
      </c>
      <c r="F495" s="50">
        <f>VLOOKUP(B495,aa!B:J,9,0)</f>
        <v>735149</v>
      </c>
      <c r="G495" s="50">
        <f>VLOOKUP(B495,aa!B:L,11,0)</f>
        <v>0</v>
      </c>
      <c r="H495" s="50">
        <f>VLOOKUP(B495,aa!B:O,14,0)</f>
        <v>735149</v>
      </c>
      <c r="I495" s="50">
        <f>VLOOKUP(B495,aa!B:R,17,0)</f>
        <v>0</v>
      </c>
      <c r="K495" s="50" t="s">
        <v>152</v>
      </c>
      <c r="L495" s="50">
        <v>334747</v>
      </c>
      <c r="M495" s="50">
        <v>334747</v>
      </c>
      <c r="N495" s="50">
        <v>0</v>
      </c>
      <c r="O495" s="50">
        <v>0</v>
      </c>
      <c r="Q495" s="50">
        <v>334747</v>
      </c>
      <c r="R495" s="50">
        <v>418</v>
      </c>
      <c r="S495" s="50" t="s">
        <v>19169</v>
      </c>
      <c r="T495" s="50">
        <v>0</v>
      </c>
      <c r="U495" s="50">
        <v>0</v>
      </c>
      <c r="W495" s="50" t="s">
        <v>102</v>
      </c>
      <c r="X495" s="50" t="s">
        <v>103</v>
      </c>
      <c r="Y495" s="50" t="s">
        <v>104</v>
      </c>
      <c r="AA495" s="50" t="s">
        <v>14059</v>
      </c>
      <c r="AB495" s="50" t="s">
        <v>19518</v>
      </c>
      <c r="AC495" s="50" t="s">
        <v>11886</v>
      </c>
      <c r="AD495" s="50" t="s">
        <v>19518</v>
      </c>
      <c r="AE495" s="50" t="s">
        <v>109</v>
      </c>
      <c r="AF495" s="50" t="s">
        <v>102</v>
      </c>
      <c r="AG495" s="50" t="s">
        <v>109</v>
      </c>
      <c r="AH495" s="50" t="s">
        <v>102</v>
      </c>
      <c r="AI495" s="50" t="s">
        <v>102</v>
      </c>
      <c r="AJ495" s="50" t="s">
        <v>14597</v>
      </c>
      <c r="AK495" s="50" t="s">
        <v>17302</v>
      </c>
      <c r="AL495" s="50" t="s">
        <v>19519</v>
      </c>
      <c r="AM495" s="50" t="s">
        <v>19520</v>
      </c>
      <c r="AN495" s="50" t="s">
        <v>19521</v>
      </c>
      <c r="AO495" s="50" t="s">
        <v>19522</v>
      </c>
      <c r="AP495" s="50" t="s">
        <v>19522</v>
      </c>
      <c r="AU495" s="50" t="s">
        <v>102</v>
      </c>
      <c r="AW495" s="50" t="s">
        <v>104</v>
      </c>
      <c r="AX495" s="50" t="s">
        <v>447</v>
      </c>
      <c r="AY495" s="50" t="s">
        <v>170</v>
      </c>
      <c r="AZ495" s="50" t="s">
        <v>118</v>
      </c>
      <c r="BB495" s="50" t="s">
        <v>1964</v>
      </c>
      <c r="BC495" s="50" t="s">
        <v>19523</v>
      </c>
      <c r="BD495" s="50" t="s">
        <v>376</v>
      </c>
      <c r="BE495" s="50" t="s">
        <v>174</v>
      </c>
      <c r="BF495" s="50" t="s">
        <v>376</v>
      </c>
      <c r="BG495" s="50" t="s">
        <v>124</v>
      </c>
      <c r="BH495" s="50" t="s">
        <v>12023</v>
      </c>
      <c r="BI495" s="50" t="s">
        <v>11889</v>
      </c>
      <c r="BJ495" s="50" t="s">
        <v>127</v>
      </c>
      <c r="BK495" s="50" t="s">
        <v>19524</v>
      </c>
      <c r="BL495" s="50" t="s">
        <v>19525</v>
      </c>
      <c r="BM495" s="50" t="s">
        <v>19526</v>
      </c>
      <c r="BN495" s="50" t="s">
        <v>12217</v>
      </c>
      <c r="BO495" s="50" t="s">
        <v>13780</v>
      </c>
      <c r="BP495" s="50" t="s">
        <v>505</v>
      </c>
      <c r="BQ495" s="50" t="s">
        <v>13781</v>
      </c>
      <c r="BR495" s="50" t="s">
        <v>13782</v>
      </c>
      <c r="BS495" s="50" t="s">
        <v>13783</v>
      </c>
      <c r="BU495" s="50" t="s">
        <v>19527</v>
      </c>
      <c r="BV495" s="50" t="s">
        <v>19528</v>
      </c>
      <c r="BW495" s="50" t="s">
        <v>138</v>
      </c>
      <c r="BX495" s="50" t="s">
        <v>19529</v>
      </c>
      <c r="BY495" s="50" t="s">
        <v>19530</v>
      </c>
      <c r="BZ495" s="50" t="s">
        <v>19531</v>
      </c>
      <c r="CA495" s="50" t="s">
        <v>19528</v>
      </c>
      <c r="CB495" s="50" t="s">
        <v>19532</v>
      </c>
      <c r="CC495" s="50" t="s">
        <v>19530</v>
      </c>
      <c r="CD495" s="50" t="s">
        <v>19528</v>
      </c>
      <c r="CE495" s="50" t="s">
        <v>19533</v>
      </c>
      <c r="CF495" s="50" t="s">
        <v>19530</v>
      </c>
      <c r="CG495" s="50" t="s">
        <v>102</v>
      </c>
      <c r="CH495" s="50" t="s">
        <v>19534</v>
      </c>
      <c r="CJ495" s="50" t="s">
        <v>19535</v>
      </c>
      <c r="CK495" s="50" t="s">
        <v>19536</v>
      </c>
      <c r="CL495" s="50" t="s">
        <v>19523</v>
      </c>
      <c r="CM495" s="50" t="s">
        <v>376</v>
      </c>
      <c r="CN495" s="50" t="s">
        <v>19535</v>
      </c>
      <c r="CP495" s="50" t="s">
        <v>19537</v>
      </c>
      <c r="CQ495" s="50" t="s">
        <v>19537</v>
      </c>
    </row>
    <row r="496" spans="1:96">
      <c r="A496" s="95" t="s">
        <v>149</v>
      </c>
      <c r="B496" s="50">
        <v>2565760</v>
      </c>
      <c r="C496" s="50" t="s">
        <v>11995</v>
      </c>
      <c r="D496" s="50" t="s">
        <v>4161</v>
      </c>
      <c r="E496" s="50" t="e">
        <f>VLOOKUP(B496,aa!B:F,5,0)</f>
        <v>#N/A</v>
      </c>
      <c r="F496" s="50" t="e">
        <f>VLOOKUP(B496,aa!B:J,9,0)</f>
        <v>#N/A</v>
      </c>
      <c r="G496" s="50" t="e">
        <f>VLOOKUP(B496,aa!B:L,11,0)</f>
        <v>#N/A</v>
      </c>
      <c r="H496" s="50" t="e">
        <f>VLOOKUP(B496,aa!B:O,14,0)</f>
        <v>#N/A</v>
      </c>
      <c r="I496" s="50" t="e">
        <f>VLOOKUP(B496,aa!B:R,17,0)</f>
        <v>#N/A</v>
      </c>
      <c r="K496" s="50" t="s">
        <v>97</v>
      </c>
      <c r="L496" s="50">
        <v>1027051</v>
      </c>
      <c r="M496" s="50">
        <v>1027051</v>
      </c>
      <c r="N496" s="50">
        <v>1027051</v>
      </c>
      <c r="O496" s="50">
        <v>1388</v>
      </c>
      <c r="P496" s="50" t="s">
        <v>14598</v>
      </c>
      <c r="Q496" s="50">
        <v>0</v>
      </c>
      <c r="R496" s="50">
        <v>0</v>
      </c>
      <c r="T496" s="50">
        <v>0</v>
      </c>
      <c r="U496" s="50">
        <v>0</v>
      </c>
      <c r="W496" s="50" t="s">
        <v>102</v>
      </c>
      <c r="X496" s="50" t="s">
        <v>275</v>
      </c>
      <c r="Z496" s="50" t="s">
        <v>12099</v>
      </c>
      <c r="AA496" s="50" t="s">
        <v>109</v>
      </c>
      <c r="AB496" s="50" t="s">
        <v>102</v>
      </c>
      <c r="AC496" s="50" t="s">
        <v>109</v>
      </c>
      <c r="AD496" s="50" t="s">
        <v>102</v>
      </c>
      <c r="AE496" s="50" t="s">
        <v>109</v>
      </c>
      <c r="AF496" s="50" t="s">
        <v>102</v>
      </c>
      <c r="AG496" s="50" t="s">
        <v>109</v>
      </c>
      <c r="AH496" s="50" t="s">
        <v>102</v>
      </c>
      <c r="AI496" s="50" t="s">
        <v>102</v>
      </c>
      <c r="AL496" s="50" t="s">
        <v>14599</v>
      </c>
      <c r="AM496" s="50" t="s">
        <v>102</v>
      </c>
      <c r="AN496" s="50" t="s">
        <v>14599</v>
      </c>
      <c r="AO496" s="50" t="s">
        <v>14600</v>
      </c>
      <c r="AP496" s="50" t="s">
        <v>14600</v>
      </c>
      <c r="AU496" s="50" t="s">
        <v>117</v>
      </c>
      <c r="AV496" s="50" t="s">
        <v>118</v>
      </c>
      <c r="AW496" s="50" t="s">
        <v>102</v>
      </c>
      <c r="AX496" s="50" t="s">
        <v>119</v>
      </c>
      <c r="BB496" s="50" t="s">
        <v>120</v>
      </c>
      <c r="BC496" s="50" t="s">
        <v>284</v>
      </c>
      <c r="BD496" s="50" t="s">
        <v>285</v>
      </c>
      <c r="BE496" s="50" t="s">
        <v>212</v>
      </c>
      <c r="BF496" s="50" t="s">
        <v>286</v>
      </c>
      <c r="BG496" s="50" t="s">
        <v>124</v>
      </c>
      <c r="BH496" s="50" t="s">
        <v>11959</v>
      </c>
      <c r="BI496" s="50" t="s">
        <v>11889</v>
      </c>
      <c r="BJ496" s="50" t="s">
        <v>127</v>
      </c>
      <c r="BK496" s="50" t="s">
        <v>14601</v>
      </c>
      <c r="BL496" s="50" t="s">
        <v>4170</v>
      </c>
      <c r="BM496" s="50" t="s">
        <v>14602</v>
      </c>
      <c r="BN496" s="50" t="s">
        <v>14597</v>
      </c>
      <c r="BO496" s="50" t="s">
        <v>956</v>
      </c>
      <c r="BP496" s="50" t="s">
        <v>350</v>
      </c>
      <c r="BQ496" s="50" t="s">
        <v>958</v>
      </c>
      <c r="BR496" s="50" t="s">
        <v>959</v>
      </c>
      <c r="BS496" s="50" t="s">
        <v>293</v>
      </c>
      <c r="BU496" s="50" t="s">
        <v>14603</v>
      </c>
      <c r="BV496" s="50" t="s">
        <v>14604</v>
      </c>
      <c r="BW496" s="50" t="s">
        <v>138</v>
      </c>
      <c r="BX496" s="50" t="s">
        <v>4174</v>
      </c>
      <c r="BY496" s="50" t="s">
        <v>4175</v>
      </c>
      <c r="BZ496" s="50" t="s">
        <v>4176</v>
      </c>
      <c r="CA496" s="50" t="s">
        <v>14604</v>
      </c>
      <c r="CB496" s="50" t="s">
        <v>4174</v>
      </c>
      <c r="CC496" s="50" t="s">
        <v>4175</v>
      </c>
      <c r="CD496" s="50" t="s">
        <v>14604</v>
      </c>
      <c r="CE496" s="50" t="s">
        <v>4174</v>
      </c>
      <c r="CF496" s="50" t="s">
        <v>4175</v>
      </c>
      <c r="CG496" s="50" t="s">
        <v>102</v>
      </c>
      <c r="CH496" s="50" t="s">
        <v>4181</v>
      </c>
      <c r="CJ496" s="50" t="s">
        <v>4182</v>
      </c>
      <c r="CL496" s="50" t="s">
        <v>284</v>
      </c>
      <c r="CM496" s="50" t="s">
        <v>285</v>
      </c>
      <c r="CN496" s="50" t="s">
        <v>4182</v>
      </c>
      <c r="CP496" s="50" t="s">
        <v>4181</v>
      </c>
      <c r="CQ496" s="50" t="s">
        <v>4181</v>
      </c>
      <c r="CR496" s="50" t="s">
        <v>26040</v>
      </c>
    </row>
    <row r="497" spans="1:96">
      <c r="A497" s="95" t="s">
        <v>149</v>
      </c>
      <c r="B497" s="50">
        <v>3754524</v>
      </c>
      <c r="C497" s="50" t="s">
        <v>985</v>
      </c>
      <c r="D497" s="50" t="s">
        <v>7335</v>
      </c>
      <c r="E497" s="50" t="e">
        <f>VLOOKUP(B497,aa!B:F,5,0)</f>
        <v>#N/A</v>
      </c>
      <c r="F497" s="50" t="e">
        <f>VLOOKUP(B497,aa!B:J,9,0)</f>
        <v>#N/A</v>
      </c>
      <c r="G497" s="50" t="e">
        <f>VLOOKUP(B497,aa!B:L,11,0)</f>
        <v>#N/A</v>
      </c>
      <c r="H497" s="50" t="e">
        <f>VLOOKUP(B497,aa!B:O,14,0)</f>
        <v>#N/A</v>
      </c>
      <c r="I497" s="50" t="e">
        <f>VLOOKUP(B497,aa!B:R,17,0)</f>
        <v>#N/A</v>
      </c>
      <c r="K497" s="50" t="s">
        <v>97</v>
      </c>
      <c r="L497" s="50">
        <v>91858</v>
      </c>
      <c r="M497" s="50">
        <v>91858</v>
      </c>
      <c r="N497" s="50">
        <v>91858</v>
      </c>
      <c r="O497" s="50">
        <v>167</v>
      </c>
      <c r="P497" s="50" t="s">
        <v>3431</v>
      </c>
      <c r="Q497" s="50">
        <v>0</v>
      </c>
      <c r="R497" s="50">
        <v>0</v>
      </c>
      <c r="T497" s="50">
        <v>0</v>
      </c>
      <c r="U497" s="50">
        <v>0</v>
      </c>
      <c r="W497" s="50" t="s">
        <v>102</v>
      </c>
      <c r="X497" s="50" t="s">
        <v>103</v>
      </c>
      <c r="Y497" s="50" t="s">
        <v>104</v>
      </c>
      <c r="AA497" s="50" t="s">
        <v>1427</v>
      </c>
      <c r="AB497" s="50" t="s">
        <v>16853</v>
      </c>
      <c r="AC497" s="50" t="s">
        <v>12713</v>
      </c>
      <c r="AD497" s="50" t="s">
        <v>16853</v>
      </c>
      <c r="AE497" s="50" t="s">
        <v>109</v>
      </c>
      <c r="AF497" s="50" t="s">
        <v>102</v>
      </c>
      <c r="AG497" s="50" t="s">
        <v>109</v>
      </c>
      <c r="AH497" s="50" t="s">
        <v>102</v>
      </c>
      <c r="AI497" s="50" t="s">
        <v>102</v>
      </c>
      <c r="AJ497" s="50" t="s">
        <v>13242</v>
      </c>
      <c r="AK497" s="50" t="s">
        <v>13242</v>
      </c>
      <c r="AL497" s="50" t="s">
        <v>16854</v>
      </c>
      <c r="AM497" s="50" t="s">
        <v>16855</v>
      </c>
      <c r="AN497" s="50" t="s">
        <v>16856</v>
      </c>
      <c r="AO497" s="50" t="s">
        <v>3438</v>
      </c>
      <c r="AP497" s="50" t="s">
        <v>3438</v>
      </c>
      <c r="AU497" s="50" t="s">
        <v>117</v>
      </c>
      <c r="AV497" s="50" t="s">
        <v>118</v>
      </c>
      <c r="AW497" s="50" t="s">
        <v>102</v>
      </c>
      <c r="AX497" s="50" t="s">
        <v>119</v>
      </c>
      <c r="BB497" s="50" t="s">
        <v>120</v>
      </c>
      <c r="BC497" s="50" t="s">
        <v>7340</v>
      </c>
      <c r="BD497" s="50" t="s">
        <v>621</v>
      </c>
      <c r="BE497" s="50" t="s">
        <v>622</v>
      </c>
      <c r="BF497" s="50" t="s">
        <v>976</v>
      </c>
      <c r="BG497" s="50" t="s">
        <v>124</v>
      </c>
      <c r="BH497" s="50" t="s">
        <v>9814</v>
      </c>
      <c r="BI497" s="50" t="s">
        <v>11960</v>
      </c>
      <c r="BJ497" s="50" t="s">
        <v>127</v>
      </c>
      <c r="BK497" s="50" t="s">
        <v>16857</v>
      </c>
      <c r="BL497" s="50" t="s">
        <v>7342</v>
      </c>
      <c r="BM497" s="50" t="s">
        <v>16858</v>
      </c>
      <c r="BN497" s="50" t="s">
        <v>12289</v>
      </c>
      <c r="BO497" s="50" t="s">
        <v>981</v>
      </c>
      <c r="BP497" s="50" t="s">
        <v>505</v>
      </c>
      <c r="BQ497" s="50" t="s">
        <v>982</v>
      </c>
      <c r="BR497" s="50" t="s">
        <v>983</v>
      </c>
      <c r="BS497" s="50" t="s">
        <v>984</v>
      </c>
      <c r="BU497" s="50" t="s">
        <v>16859</v>
      </c>
      <c r="BV497" s="50" t="s">
        <v>7345</v>
      </c>
      <c r="BW497" s="50" t="s">
        <v>138</v>
      </c>
      <c r="BX497" s="50" t="s">
        <v>7346</v>
      </c>
      <c r="BY497" s="50" t="s">
        <v>16860</v>
      </c>
      <c r="BZ497" s="50" t="s">
        <v>7348</v>
      </c>
      <c r="CA497" s="50" t="s">
        <v>7345</v>
      </c>
      <c r="CB497" s="50" t="s">
        <v>7346</v>
      </c>
      <c r="CC497" s="50" t="s">
        <v>16860</v>
      </c>
      <c r="CD497" s="50" t="s">
        <v>16861</v>
      </c>
      <c r="CE497" s="50" t="s">
        <v>16862</v>
      </c>
      <c r="CF497" s="50" t="s">
        <v>16863</v>
      </c>
      <c r="CG497" s="50" t="s">
        <v>102</v>
      </c>
      <c r="CH497" s="50" t="s">
        <v>16864</v>
      </c>
      <c r="CJ497" s="50" t="s">
        <v>7350</v>
      </c>
      <c r="CL497" s="50" t="s">
        <v>7340</v>
      </c>
      <c r="CM497" s="50" t="s">
        <v>621</v>
      </c>
      <c r="CN497" s="50" t="s">
        <v>7350</v>
      </c>
      <c r="CO497" s="50" t="s">
        <v>7187</v>
      </c>
      <c r="CP497" s="50" t="s">
        <v>7349</v>
      </c>
      <c r="CQ497" s="50" t="s">
        <v>7349</v>
      </c>
      <c r="CR497" s="50" t="s">
        <v>26047</v>
      </c>
    </row>
    <row r="498" spans="1:96">
      <c r="A498" s="95" t="s">
        <v>149</v>
      </c>
      <c r="B498" s="50">
        <v>2408882</v>
      </c>
      <c r="C498" s="50" t="s">
        <v>11882</v>
      </c>
      <c r="D498" s="50" t="s">
        <v>3254</v>
      </c>
      <c r="E498" s="50" t="e">
        <f>VLOOKUP(B498,aa!B:F,5,0)</f>
        <v>#N/A</v>
      </c>
      <c r="F498" s="50" t="e">
        <f>VLOOKUP(B498,aa!B:J,9,0)</f>
        <v>#N/A</v>
      </c>
      <c r="G498" s="50" t="e">
        <f>VLOOKUP(B498,aa!B:L,11,0)</f>
        <v>#N/A</v>
      </c>
      <c r="H498" s="50" t="e">
        <f>VLOOKUP(B498,aa!B:O,14,0)</f>
        <v>#N/A</v>
      </c>
      <c r="I498" s="50" t="e">
        <f>VLOOKUP(B498,aa!B:R,17,0)</f>
        <v>#N/A</v>
      </c>
      <c r="K498" s="50" t="s">
        <v>97</v>
      </c>
      <c r="L498" s="50">
        <v>678099</v>
      </c>
      <c r="M498" s="50">
        <v>678099</v>
      </c>
      <c r="N498" s="50">
        <v>678099</v>
      </c>
      <c r="O498" s="50">
        <v>1211</v>
      </c>
      <c r="P498" s="50" t="s">
        <v>3257</v>
      </c>
      <c r="Q498" s="50">
        <v>0</v>
      </c>
      <c r="R498" s="50">
        <v>0</v>
      </c>
      <c r="T498" s="50">
        <v>0</v>
      </c>
      <c r="U498" s="50">
        <v>0</v>
      </c>
      <c r="W498" s="50" t="s">
        <v>102</v>
      </c>
      <c r="X498" s="50" t="s">
        <v>103</v>
      </c>
      <c r="Y498" s="50" t="s">
        <v>398</v>
      </c>
      <c r="AA498" s="50" t="s">
        <v>13833</v>
      </c>
      <c r="AB498" s="50" t="s">
        <v>13899</v>
      </c>
      <c r="AC498" s="50" t="s">
        <v>12084</v>
      </c>
      <c r="AD498" s="50" t="s">
        <v>13900</v>
      </c>
      <c r="AE498" s="50" t="s">
        <v>11886</v>
      </c>
      <c r="AF498" s="50" t="s">
        <v>13900</v>
      </c>
      <c r="AG498" s="50" t="s">
        <v>109</v>
      </c>
      <c r="AH498" s="50" t="s">
        <v>102</v>
      </c>
      <c r="AI498" s="50" t="s">
        <v>13901</v>
      </c>
      <c r="AJ498" s="50" t="s">
        <v>13902</v>
      </c>
      <c r="AK498" s="50" t="s">
        <v>13902</v>
      </c>
      <c r="AL498" s="50" t="s">
        <v>13903</v>
      </c>
      <c r="AM498" s="50" t="s">
        <v>13904</v>
      </c>
      <c r="AN498" s="50" t="s">
        <v>13899</v>
      </c>
      <c r="AO498" s="50" t="s">
        <v>3262</v>
      </c>
      <c r="AP498" s="50" t="s">
        <v>3262</v>
      </c>
      <c r="AU498" s="50" t="s">
        <v>117</v>
      </c>
      <c r="AV498" s="50" t="s">
        <v>118</v>
      </c>
      <c r="AW498" s="50" t="s">
        <v>102</v>
      </c>
      <c r="AX498" s="50" t="s">
        <v>119</v>
      </c>
      <c r="BB498" s="50" t="s">
        <v>120</v>
      </c>
      <c r="BC498" s="50" t="s">
        <v>3263</v>
      </c>
      <c r="BD498" s="50" t="s">
        <v>320</v>
      </c>
      <c r="BE498" s="50" t="s">
        <v>122</v>
      </c>
      <c r="BF498" s="50" t="s">
        <v>123</v>
      </c>
      <c r="BG498" s="50" t="s">
        <v>124</v>
      </c>
      <c r="BH498" s="50" t="s">
        <v>12023</v>
      </c>
      <c r="BI498" s="50" t="s">
        <v>11889</v>
      </c>
      <c r="BJ498" s="50" t="s">
        <v>127</v>
      </c>
      <c r="BK498" s="50" t="s">
        <v>13905</v>
      </c>
      <c r="BL498" s="50" t="s">
        <v>3265</v>
      </c>
      <c r="BM498" s="50" t="s">
        <v>13906</v>
      </c>
      <c r="BN498" s="50" t="s">
        <v>11888</v>
      </c>
      <c r="BO498" s="50" t="s">
        <v>3267</v>
      </c>
      <c r="BP498" s="50" t="s">
        <v>505</v>
      </c>
      <c r="BQ498" s="50" t="s">
        <v>3268</v>
      </c>
      <c r="BR498" s="50" t="s">
        <v>3269</v>
      </c>
      <c r="BS498" s="50" t="s">
        <v>135</v>
      </c>
      <c r="BU498" s="50" t="s">
        <v>13907</v>
      </c>
      <c r="BV498" s="50" t="s">
        <v>3271</v>
      </c>
      <c r="BW498" s="50" t="s">
        <v>138</v>
      </c>
      <c r="BX498" s="50" t="s">
        <v>3272</v>
      </c>
      <c r="BY498" s="50" t="s">
        <v>13908</v>
      </c>
      <c r="BZ498" s="50" t="s">
        <v>3274</v>
      </c>
      <c r="CA498" s="50" t="s">
        <v>3271</v>
      </c>
      <c r="CB498" s="50" t="s">
        <v>13909</v>
      </c>
      <c r="CC498" s="50" t="s">
        <v>13908</v>
      </c>
      <c r="CD498" s="50" t="s">
        <v>3271</v>
      </c>
      <c r="CE498" s="50" t="s">
        <v>13910</v>
      </c>
      <c r="CF498" s="50" t="s">
        <v>13908</v>
      </c>
      <c r="CG498" s="50" t="s">
        <v>102</v>
      </c>
      <c r="CH498" s="50" t="s">
        <v>13911</v>
      </c>
      <c r="CJ498" s="50" t="s">
        <v>2071</v>
      </c>
      <c r="CL498" s="50" t="s">
        <v>3263</v>
      </c>
      <c r="CM498" s="50" t="s">
        <v>320</v>
      </c>
      <c r="CN498" s="50" t="s">
        <v>2071</v>
      </c>
      <c r="CO498" s="50" t="s">
        <v>3276</v>
      </c>
      <c r="CP498" s="50" t="s">
        <v>3275</v>
      </c>
      <c r="CQ498" s="50" t="s">
        <v>3275</v>
      </c>
    </row>
    <row r="499" spans="1:96">
      <c r="A499" s="95" t="s">
        <v>149</v>
      </c>
      <c r="B499" s="50">
        <v>3639531</v>
      </c>
      <c r="C499" s="50" t="s">
        <v>11882</v>
      </c>
      <c r="D499" s="50" t="s">
        <v>16688</v>
      </c>
      <c r="E499" s="50" t="e">
        <f>VLOOKUP(B499,aa!B:F,5,0)</f>
        <v>#N/A</v>
      </c>
      <c r="F499" s="50" t="e">
        <f>VLOOKUP(B499,aa!B:J,9,0)</f>
        <v>#N/A</v>
      </c>
      <c r="G499" s="50" t="e">
        <f>VLOOKUP(B499,aa!B:L,11,0)</f>
        <v>#N/A</v>
      </c>
      <c r="H499" s="50" t="e">
        <f>VLOOKUP(B499,aa!B:O,14,0)</f>
        <v>#N/A</v>
      </c>
      <c r="I499" s="50" t="e">
        <f>VLOOKUP(B499,aa!B:R,17,0)</f>
        <v>#N/A</v>
      </c>
      <c r="K499" s="50" t="s">
        <v>97</v>
      </c>
      <c r="L499" s="50">
        <v>67080</v>
      </c>
      <c r="M499" s="50">
        <v>67080</v>
      </c>
      <c r="N499" s="50">
        <v>67080</v>
      </c>
      <c r="O499" s="50">
        <v>86</v>
      </c>
      <c r="P499" s="50" t="s">
        <v>2110</v>
      </c>
      <c r="Q499" s="50">
        <v>0</v>
      </c>
      <c r="R499" s="50">
        <v>0</v>
      </c>
      <c r="T499" s="50">
        <v>0</v>
      </c>
      <c r="U499" s="50">
        <v>0</v>
      </c>
      <c r="W499" s="50" t="s">
        <v>102</v>
      </c>
      <c r="X499" s="50" t="s">
        <v>275</v>
      </c>
      <c r="Z499" s="50" t="s">
        <v>12099</v>
      </c>
      <c r="AA499" s="50" t="s">
        <v>109</v>
      </c>
      <c r="AB499" s="50" t="s">
        <v>102</v>
      </c>
      <c r="AC499" s="50" t="s">
        <v>109</v>
      </c>
      <c r="AD499" s="50" t="s">
        <v>102</v>
      </c>
      <c r="AE499" s="50" t="s">
        <v>109</v>
      </c>
      <c r="AF499" s="50" t="s">
        <v>102</v>
      </c>
      <c r="AG499" s="50" t="s">
        <v>109</v>
      </c>
      <c r="AH499" s="50" t="s">
        <v>102</v>
      </c>
      <c r="AI499" s="50" t="s">
        <v>102</v>
      </c>
      <c r="AL499" s="50" t="s">
        <v>16689</v>
      </c>
      <c r="AM499" s="50" t="s">
        <v>102</v>
      </c>
      <c r="AN499" s="50" t="s">
        <v>16689</v>
      </c>
      <c r="AO499" s="50" t="s">
        <v>3357</v>
      </c>
      <c r="AP499" s="50" t="s">
        <v>3357</v>
      </c>
      <c r="AU499" s="50" t="s">
        <v>117</v>
      </c>
      <c r="AV499" s="50" t="s">
        <v>118</v>
      </c>
      <c r="AW499" s="50" t="s">
        <v>102</v>
      </c>
      <c r="AX499" s="50" t="s">
        <v>119</v>
      </c>
      <c r="BB499" s="50" t="s">
        <v>120</v>
      </c>
      <c r="BC499" s="50" t="s">
        <v>4153</v>
      </c>
      <c r="BD499" s="50" t="s">
        <v>320</v>
      </c>
      <c r="BE499" s="50" t="s">
        <v>122</v>
      </c>
      <c r="BF499" s="50" t="s">
        <v>123</v>
      </c>
      <c r="BG499" s="50" t="s">
        <v>124</v>
      </c>
      <c r="BH499" s="50" t="s">
        <v>11888</v>
      </c>
      <c r="BI499" s="50" t="s">
        <v>11889</v>
      </c>
      <c r="BJ499" s="50" t="s">
        <v>127</v>
      </c>
      <c r="BK499" s="50" t="s">
        <v>16690</v>
      </c>
      <c r="BL499" s="50" t="s">
        <v>6963</v>
      </c>
      <c r="BM499" s="50" t="s">
        <v>16691</v>
      </c>
      <c r="BN499" s="50" t="s">
        <v>12020</v>
      </c>
      <c r="BO499" s="50" t="s">
        <v>3267</v>
      </c>
      <c r="BP499" s="50" t="s">
        <v>350</v>
      </c>
      <c r="BQ499" s="50" t="s">
        <v>3268</v>
      </c>
      <c r="BR499" s="50" t="s">
        <v>3269</v>
      </c>
      <c r="BS499" s="50" t="s">
        <v>135</v>
      </c>
      <c r="BU499" s="50" t="s">
        <v>16692</v>
      </c>
      <c r="BV499" s="50" t="s">
        <v>6970</v>
      </c>
      <c r="BW499" s="50" t="s">
        <v>138</v>
      </c>
      <c r="BX499" s="50" t="s">
        <v>16693</v>
      </c>
      <c r="BY499" s="50" t="s">
        <v>16694</v>
      </c>
      <c r="BZ499" s="50" t="s">
        <v>6969</v>
      </c>
      <c r="CA499" s="50" t="s">
        <v>6970</v>
      </c>
      <c r="CB499" s="50" t="s">
        <v>16693</v>
      </c>
      <c r="CC499" s="50" t="s">
        <v>16694</v>
      </c>
      <c r="CD499" s="50" t="s">
        <v>6966</v>
      </c>
      <c r="CE499" s="50" t="s">
        <v>6967</v>
      </c>
      <c r="CF499" s="50" t="s">
        <v>6968</v>
      </c>
      <c r="CG499" s="50" t="s">
        <v>102</v>
      </c>
      <c r="CH499" s="50" t="s">
        <v>16695</v>
      </c>
      <c r="CJ499" s="50" t="s">
        <v>6973</v>
      </c>
      <c r="CL499" s="50" t="s">
        <v>4153</v>
      </c>
      <c r="CM499" s="50" t="s">
        <v>320</v>
      </c>
      <c r="CN499" s="50" t="s">
        <v>6973</v>
      </c>
      <c r="CP499" s="50" t="s">
        <v>6972</v>
      </c>
      <c r="CQ499" s="50" t="s">
        <v>6972</v>
      </c>
    </row>
    <row r="500" spans="1:96">
      <c r="A500" s="95" t="s">
        <v>149</v>
      </c>
      <c r="B500" s="50">
        <v>5017204</v>
      </c>
      <c r="C500" s="50" t="s">
        <v>11882</v>
      </c>
      <c r="D500" s="50" t="s">
        <v>9883</v>
      </c>
      <c r="E500" s="50" t="e">
        <f>VLOOKUP(B500,aa!B:F,5,0)</f>
        <v>#N/A</v>
      </c>
      <c r="F500" s="50" t="e">
        <f>VLOOKUP(B500,aa!B:J,9,0)</f>
        <v>#N/A</v>
      </c>
      <c r="G500" s="50" t="e">
        <f>VLOOKUP(B500,aa!B:L,11,0)</f>
        <v>#N/A</v>
      </c>
      <c r="H500" s="50" t="e">
        <f>VLOOKUP(B500,aa!B:O,14,0)</f>
        <v>#N/A</v>
      </c>
      <c r="I500" s="50" t="e">
        <f>VLOOKUP(B500,aa!B:R,17,0)</f>
        <v>#N/A</v>
      </c>
      <c r="K500" s="50" t="s">
        <v>97</v>
      </c>
      <c r="L500" s="50">
        <v>236340</v>
      </c>
      <c r="M500" s="50">
        <v>236340</v>
      </c>
      <c r="N500" s="50">
        <v>236340</v>
      </c>
      <c r="O500" s="50">
        <v>255</v>
      </c>
      <c r="P500" s="50" t="s">
        <v>13260</v>
      </c>
      <c r="Q500" s="50">
        <v>0</v>
      </c>
      <c r="R500" s="50">
        <v>0</v>
      </c>
      <c r="T500" s="50">
        <v>0</v>
      </c>
      <c r="U500" s="50">
        <v>0</v>
      </c>
      <c r="W500" s="50" t="s">
        <v>102</v>
      </c>
      <c r="X500" s="50" t="s">
        <v>275</v>
      </c>
      <c r="Z500" s="50" t="s">
        <v>12099</v>
      </c>
      <c r="AA500" s="50" t="s">
        <v>109</v>
      </c>
      <c r="AB500" s="50" t="s">
        <v>102</v>
      </c>
      <c r="AC500" s="50" t="s">
        <v>109</v>
      </c>
      <c r="AD500" s="50" t="s">
        <v>102</v>
      </c>
      <c r="AE500" s="50" t="s">
        <v>109</v>
      </c>
      <c r="AF500" s="50" t="s">
        <v>102</v>
      </c>
      <c r="AG500" s="50" t="s">
        <v>109</v>
      </c>
      <c r="AH500" s="50" t="s">
        <v>102</v>
      </c>
      <c r="AI500" s="50" t="s">
        <v>102</v>
      </c>
      <c r="AJ500" s="50" t="s">
        <v>12099</v>
      </c>
      <c r="AK500" s="50" t="s">
        <v>12099</v>
      </c>
      <c r="AL500" s="50" t="s">
        <v>19008</v>
      </c>
      <c r="AM500" s="50" t="s">
        <v>19009</v>
      </c>
      <c r="AN500" s="50" t="s">
        <v>19010</v>
      </c>
      <c r="AO500" s="50" t="s">
        <v>3357</v>
      </c>
      <c r="AP500" s="50" t="s">
        <v>3357</v>
      </c>
      <c r="AU500" s="50" t="s">
        <v>117</v>
      </c>
      <c r="AV500" s="50" t="s">
        <v>118</v>
      </c>
      <c r="AW500" s="50" t="s">
        <v>102</v>
      </c>
      <c r="AX500" s="50" t="s">
        <v>119</v>
      </c>
      <c r="BB500" s="50" t="s">
        <v>120</v>
      </c>
      <c r="BC500" s="50" t="s">
        <v>4153</v>
      </c>
      <c r="BD500" s="50" t="s">
        <v>320</v>
      </c>
      <c r="BE500" s="50" t="s">
        <v>122</v>
      </c>
      <c r="BF500" s="50" t="s">
        <v>123</v>
      </c>
      <c r="BG500" s="50" t="s">
        <v>124</v>
      </c>
      <c r="BH500" s="50" t="s">
        <v>11888</v>
      </c>
      <c r="BI500" s="50" t="s">
        <v>11889</v>
      </c>
      <c r="BJ500" s="50" t="s">
        <v>127</v>
      </c>
      <c r="BK500" s="50" t="s">
        <v>19011</v>
      </c>
      <c r="BL500" s="50" t="s">
        <v>9891</v>
      </c>
      <c r="BM500" s="50" t="s">
        <v>19012</v>
      </c>
      <c r="BN500" s="50" t="s">
        <v>12020</v>
      </c>
      <c r="BO500" s="50" t="s">
        <v>3267</v>
      </c>
      <c r="BP500" s="50" t="s">
        <v>350</v>
      </c>
      <c r="BQ500" s="50" t="s">
        <v>3268</v>
      </c>
      <c r="BR500" s="50" t="s">
        <v>3269</v>
      </c>
      <c r="BS500" s="50" t="s">
        <v>135</v>
      </c>
      <c r="BU500" s="50" t="s">
        <v>19013</v>
      </c>
      <c r="BV500" s="50" t="s">
        <v>6970</v>
      </c>
      <c r="BW500" s="50" t="s">
        <v>138</v>
      </c>
      <c r="BX500" s="50" t="s">
        <v>16693</v>
      </c>
      <c r="BY500" s="50" t="s">
        <v>16694</v>
      </c>
      <c r="BZ500" s="50" t="s">
        <v>6969</v>
      </c>
      <c r="CA500" s="50" t="s">
        <v>6970</v>
      </c>
      <c r="CB500" s="50" t="s">
        <v>16693</v>
      </c>
      <c r="CC500" s="50" t="s">
        <v>16694</v>
      </c>
      <c r="CD500" s="50" t="s">
        <v>6966</v>
      </c>
      <c r="CE500" s="50" t="s">
        <v>6967</v>
      </c>
      <c r="CF500" s="50" t="s">
        <v>6968</v>
      </c>
      <c r="CG500" s="50" t="s">
        <v>102</v>
      </c>
      <c r="CH500" s="50" t="s">
        <v>19014</v>
      </c>
      <c r="CJ500" s="50" t="s">
        <v>9897</v>
      </c>
      <c r="CL500" s="50" t="s">
        <v>4153</v>
      </c>
      <c r="CM500" s="50" t="s">
        <v>320</v>
      </c>
      <c r="CN500" s="50" t="s">
        <v>9897</v>
      </c>
      <c r="CP500" s="50" t="s">
        <v>9896</v>
      </c>
      <c r="CQ500" s="50" t="s">
        <v>9896</v>
      </c>
    </row>
    <row r="501" spans="1:96">
      <c r="A501" s="50" t="s">
        <v>26356</v>
      </c>
      <c r="B501" s="50">
        <v>251230</v>
      </c>
      <c r="C501" s="50" t="s">
        <v>183</v>
      </c>
      <c r="D501" s="50" t="s">
        <v>14345</v>
      </c>
      <c r="E501" s="50" t="str">
        <f>VLOOKUP(B501,aa!B:F,5,0)</f>
        <v>Ei ASSET, Ei Mindspark</v>
      </c>
      <c r="F501" s="50">
        <f>VLOOKUP(B501,aa!B:J,9,0)</f>
        <v>2307717</v>
      </c>
      <c r="G501" s="50">
        <f>VLOOKUP(B501,aa!B:L,11,0)</f>
        <v>577800</v>
      </c>
      <c r="H501" s="50">
        <f>VLOOKUP(B501,aa!B:O,14,0)</f>
        <v>0</v>
      </c>
      <c r="I501" s="50">
        <f>VLOOKUP(B501,aa!B:R,17,0)</f>
        <v>1729917</v>
      </c>
      <c r="K501" s="50" t="s">
        <v>1715</v>
      </c>
      <c r="L501" s="50">
        <v>1035220</v>
      </c>
      <c r="M501" s="50">
        <v>1115126</v>
      </c>
      <c r="N501" s="50">
        <v>591300</v>
      </c>
      <c r="O501" s="50">
        <v>659</v>
      </c>
      <c r="P501" s="50" t="s">
        <v>14346</v>
      </c>
      <c r="Q501" s="50">
        <v>0</v>
      </c>
      <c r="R501" s="50">
        <v>0</v>
      </c>
      <c r="T501" s="50">
        <v>443920</v>
      </c>
      <c r="U501" s="50">
        <v>778</v>
      </c>
      <c r="V501" s="50" t="s">
        <v>14347</v>
      </c>
      <c r="W501" s="50" t="s">
        <v>102</v>
      </c>
      <c r="X501" s="50" t="s">
        <v>679</v>
      </c>
      <c r="Y501" s="50" t="s">
        <v>104</v>
      </c>
      <c r="Z501" s="50" t="s">
        <v>14348</v>
      </c>
      <c r="AA501" s="50" t="s">
        <v>14349</v>
      </c>
      <c r="AB501" s="50" t="s">
        <v>14350</v>
      </c>
      <c r="AC501" s="50" t="s">
        <v>13263</v>
      </c>
      <c r="AD501" s="50" t="s">
        <v>14350</v>
      </c>
      <c r="AE501" s="50" t="s">
        <v>109</v>
      </c>
      <c r="AF501" s="50" t="s">
        <v>102</v>
      </c>
      <c r="AG501" s="50" t="s">
        <v>109</v>
      </c>
      <c r="AH501" s="50" t="s">
        <v>102</v>
      </c>
      <c r="AI501" s="50" t="s">
        <v>102</v>
      </c>
      <c r="AJ501" s="50" t="s">
        <v>14351</v>
      </c>
      <c r="AK501" s="50" t="s">
        <v>13344</v>
      </c>
      <c r="AL501" s="50" t="s">
        <v>14352</v>
      </c>
      <c r="AM501" s="50" t="s">
        <v>14353</v>
      </c>
      <c r="AN501" s="50" t="s">
        <v>14354</v>
      </c>
      <c r="AO501" s="50" t="s">
        <v>14355</v>
      </c>
      <c r="AP501" s="50" t="s">
        <v>14355</v>
      </c>
      <c r="AU501" s="50" t="s">
        <v>207</v>
      </c>
      <c r="AV501" s="50" t="s">
        <v>118</v>
      </c>
      <c r="AW501" s="50" t="s">
        <v>102</v>
      </c>
      <c r="AX501" s="50" t="s">
        <v>119</v>
      </c>
      <c r="BA501" s="50" t="s">
        <v>250</v>
      </c>
      <c r="BB501" s="50" t="s">
        <v>120</v>
      </c>
      <c r="BC501" s="50" t="s">
        <v>375</v>
      </c>
      <c r="BD501" s="50" t="s">
        <v>376</v>
      </c>
      <c r="BE501" s="50" t="s">
        <v>174</v>
      </c>
      <c r="BF501" s="50" t="s">
        <v>376</v>
      </c>
      <c r="BG501" s="50" t="s">
        <v>124</v>
      </c>
      <c r="BH501" s="50" t="s">
        <v>11888</v>
      </c>
      <c r="BI501" s="50" t="s">
        <v>11889</v>
      </c>
      <c r="BJ501" s="50" t="s">
        <v>127</v>
      </c>
      <c r="BK501" s="50" t="s">
        <v>14356</v>
      </c>
      <c r="BL501" s="50" t="s">
        <v>14357</v>
      </c>
      <c r="BM501" s="50" t="s">
        <v>14358</v>
      </c>
      <c r="BN501" s="50" t="s">
        <v>12838</v>
      </c>
      <c r="BO501" s="50" t="s">
        <v>6926</v>
      </c>
      <c r="BP501" s="50" t="s">
        <v>180</v>
      </c>
      <c r="BQ501" s="50" t="s">
        <v>6927</v>
      </c>
      <c r="BR501" s="50" t="s">
        <v>6928</v>
      </c>
      <c r="BS501" s="50" t="s">
        <v>1858</v>
      </c>
      <c r="BU501" s="50" t="s">
        <v>14359</v>
      </c>
      <c r="BV501" s="50" t="s">
        <v>14360</v>
      </c>
      <c r="BW501" s="50" t="s">
        <v>296</v>
      </c>
      <c r="BX501" s="50" t="s">
        <v>14361</v>
      </c>
      <c r="BY501" s="50" t="s">
        <v>14362</v>
      </c>
      <c r="BZ501" s="50" t="s">
        <v>14363</v>
      </c>
      <c r="CA501" s="50" t="s">
        <v>14364</v>
      </c>
      <c r="CB501" s="50" t="s">
        <v>14363</v>
      </c>
      <c r="CC501" s="50" t="s">
        <v>14365</v>
      </c>
      <c r="CD501" s="50" t="s">
        <v>14366</v>
      </c>
      <c r="CE501" s="50" t="s">
        <v>14367</v>
      </c>
      <c r="CF501" s="50" t="s">
        <v>14368</v>
      </c>
      <c r="CG501" s="50" t="s">
        <v>14369</v>
      </c>
      <c r="CH501" s="50" t="s">
        <v>14370</v>
      </c>
      <c r="CJ501" s="50" t="s">
        <v>14371</v>
      </c>
      <c r="CK501" s="50" t="s">
        <v>14370</v>
      </c>
      <c r="CL501" s="50" t="s">
        <v>375</v>
      </c>
      <c r="CM501" s="50" t="s">
        <v>376</v>
      </c>
      <c r="CN501" s="50" t="s">
        <v>14371</v>
      </c>
      <c r="CP501" s="50" t="s">
        <v>14370</v>
      </c>
      <c r="CQ501" s="50" t="s">
        <v>14370</v>
      </c>
    </row>
    <row r="502" spans="1:96">
      <c r="A502" s="50" t="s">
        <v>26356</v>
      </c>
      <c r="B502" s="50">
        <v>255648</v>
      </c>
      <c r="C502" s="50" t="s">
        <v>384</v>
      </c>
      <c r="D502" s="50" t="s">
        <v>14490</v>
      </c>
      <c r="E502" s="50" t="str">
        <f>VLOOKUP(B502,aa!B:F,5,0)</f>
        <v>Ei ASSET, Ei Mindspark</v>
      </c>
      <c r="F502" s="50">
        <f>VLOOKUP(B502,aa!B:J,9,0)</f>
        <v>1705014</v>
      </c>
      <c r="G502" s="50">
        <f>VLOOKUP(B502,aa!B:L,11,0)</f>
        <v>441900</v>
      </c>
      <c r="H502" s="50">
        <f>VLOOKUP(B502,aa!B:O,14,0)</f>
        <v>0</v>
      </c>
      <c r="I502" s="50">
        <f>VLOOKUP(B502,aa!B:R,17,0)</f>
        <v>1263114</v>
      </c>
      <c r="K502" s="50" t="s">
        <v>1715</v>
      </c>
      <c r="L502" s="50">
        <v>816393</v>
      </c>
      <c r="M502" s="50">
        <v>877970</v>
      </c>
      <c r="N502" s="50">
        <v>474300</v>
      </c>
      <c r="O502" s="50">
        <v>533</v>
      </c>
      <c r="P502" s="50" t="s">
        <v>14346</v>
      </c>
      <c r="Q502" s="50">
        <v>0</v>
      </c>
      <c r="R502" s="50">
        <v>0</v>
      </c>
      <c r="T502" s="50">
        <v>342093</v>
      </c>
      <c r="U502" s="50">
        <v>605</v>
      </c>
      <c r="V502" s="50" t="s">
        <v>14347</v>
      </c>
      <c r="W502" s="50" t="s">
        <v>102</v>
      </c>
      <c r="X502" s="50" t="s">
        <v>679</v>
      </c>
      <c r="Y502" s="50" t="s">
        <v>104</v>
      </c>
      <c r="Z502" s="50" t="s">
        <v>14348</v>
      </c>
      <c r="AA502" s="50" t="s">
        <v>14349</v>
      </c>
      <c r="AB502" s="50" t="s">
        <v>14491</v>
      </c>
      <c r="AC502" s="50" t="s">
        <v>13263</v>
      </c>
      <c r="AD502" s="50" t="s">
        <v>14491</v>
      </c>
      <c r="AE502" s="50" t="s">
        <v>109</v>
      </c>
      <c r="AF502" s="50" t="s">
        <v>102</v>
      </c>
      <c r="AG502" s="50" t="s">
        <v>109</v>
      </c>
      <c r="AH502" s="50" t="s">
        <v>102</v>
      </c>
      <c r="AI502" s="50" t="s">
        <v>102</v>
      </c>
      <c r="AJ502" s="50" t="s">
        <v>14351</v>
      </c>
      <c r="AK502" s="50" t="s">
        <v>13344</v>
      </c>
      <c r="AL502" s="50" t="s">
        <v>14492</v>
      </c>
      <c r="AM502" s="50" t="s">
        <v>14493</v>
      </c>
      <c r="AN502" s="50" t="s">
        <v>14494</v>
      </c>
      <c r="AO502" s="50" t="s">
        <v>14355</v>
      </c>
      <c r="AP502" s="50" t="s">
        <v>14355</v>
      </c>
      <c r="AU502" s="50" t="s">
        <v>207</v>
      </c>
      <c r="AV502" s="50" t="s">
        <v>118</v>
      </c>
      <c r="AW502" s="50" t="s">
        <v>102</v>
      </c>
      <c r="AX502" s="50" t="s">
        <v>119</v>
      </c>
      <c r="BA502" s="50" t="s">
        <v>250</v>
      </c>
      <c r="BB502" s="50" t="s">
        <v>120</v>
      </c>
      <c r="BC502" s="50" t="s">
        <v>2820</v>
      </c>
      <c r="BD502" s="50" t="s">
        <v>376</v>
      </c>
      <c r="BE502" s="50" t="s">
        <v>174</v>
      </c>
      <c r="BF502" s="50" t="s">
        <v>376</v>
      </c>
      <c r="BG502" s="50" t="s">
        <v>124</v>
      </c>
      <c r="BH502" s="50" t="s">
        <v>11888</v>
      </c>
      <c r="BI502" s="50" t="s">
        <v>11889</v>
      </c>
      <c r="BJ502" s="50" t="s">
        <v>127</v>
      </c>
      <c r="BK502" s="50" t="s">
        <v>14495</v>
      </c>
      <c r="BL502" s="50" t="s">
        <v>14496</v>
      </c>
      <c r="BM502" s="50" t="s">
        <v>14497</v>
      </c>
      <c r="BN502" s="50" t="s">
        <v>12838</v>
      </c>
      <c r="BO502" s="50" t="s">
        <v>6926</v>
      </c>
      <c r="BP502" s="50" t="s">
        <v>180</v>
      </c>
      <c r="BQ502" s="50" t="s">
        <v>6927</v>
      </c>
      <c r="BR502" s="50" t="s">
        <v>6928</v>
      </c>
      <c r="BS502" s="50" t="s">
        <v>1858</v>
      </c>
      <c r="BU502" s="50" t="s">
        <v>14498</v>
      </c>
      <c r="BV502" s="50" t="s">
        <v>14360</v>
      </c>
      <c r="BW502" s="50" t="s">
        <v>296</v>
      </c>
      <c r="BX502" s="50" t="s">
        <v>14361</v>
      </c>
      <c r="BY502" s="50" t="s">
        <v>14362</v>
      </c>
      <c r="BZ502" s="50" t="s">
        <v>14499</v>
      </c>
      <c r="CA502" s="50" t="s">
        <v>14500</v>
      </c>
      <c r="CB502" s="50" t="s">
        <v>14499</v>
      </c>
      <c r="CC502" s="50" t="s">
        <v>14501</v>
      </c>
      <c r="CD502" s="50" t="s">
        <v>14366</v>
      </c>
      <c r="CE502" s="50" t="s">
        <v>14367</v>
      </c>
      <c r="CF502" s="50" t="s">
        <v>14368</v>
      </c>
      <c r="CG502" s="50" t="s">
        <v>14502</v>
      </c>
      <c r="CH502" s="50" t="s">
        <v>14503</v>
      </c>
      <c r="CJ502" s="50" t="s">
        <v>10306</v>
      </c>
      <c r="CK502" s="50" t="s">
        <v>14504</v>
      </c>
      <c r="CL502" s="50" t="s">
        <v>2820</v>
      </c>
      <c r="CM502" s="50" t="s">
        <v>376</v>
      </c>
      <c r="CN502" s="50" t="s">
        <v>10306</v>
      </c>
      <c r="CP502" s="50" t="s">
        <v>14503</v>
      </c>
      <c r="CQ502" s="50" t="s">
        <v>14503</v>
      </c>
    </row>
    <row r="503" spans="1:96">
      <c r="A503" s="50" t="s">
        <v>26356</v>
      </c>
      <c r="B503" s="50">
        <v>4041890</v>
      </c>
      <c r="C503" s="50" t="s">
        <v>12155</v>
      </c>
      <c r="D503" s="50" t="s">
        <v>17994</v>
      </c>
      <c r="E503" s="50" t="str">
        <f>VLOOKUP(B503,aa!B:F,5,0)</f>
        <v>Ei ASSET, Ei Mindspark</v>
      </c>
      <c r="F503" s="50">
        <f>VLOOKUP(B503,aa!B:J,9,0)</f>
        <v>3250816</v>
      </c>
      <c r="G503" s="50">
        <f>VLOOKUP(B503,aa!B:L,11,0)</f>
        <v>800100</v>
      </c>
      <c r="H503" s="50">
        <f>VLOOKUP(B503,aa!B:O,14,0)</f>
        <v>0</v>
      </c>
      <c r="I503" s="50">
        <f>VLOOKUP(B503,aa!B:R,17,0)</f>
        <v>2450716</v>
      </c>
      <c r="K503" s="50" t="s">
        <v>1715</v>
      </c>
      <c r="L503" s="50">
        <v>1408530</v>
      </c>
      <c r="M503" s="50">
        <v>1517885</v>
      </c>
      <c r="N503" s="50">
        <v>801000</v>
      </c>
      <c r="O503" s="50">
        <v>917</v>
      </c>
      <c r="P503" s="50" t="s">
        <v>14346</v>
      </c>
      <c r="Q503" s="50">
        <v>0</v>
      </c>
      <c r="R503" s="50">
        <v>0</v>
      </c>
      <c r="T503" s="50">
        <v>607530</v>
      </c>
      <c r="U503" s="50">
        <v>1127</v>
      </c>
      <c r="V503" s="50" t="s">
        <v>14347</v>
      </c>
      <c r="W503" s="50" t="s">
        <v>102</v>
      </c>
      <c r="X503" s="50" t="s">
        <v>679</v>
      </c>
      <c r="Y503" s="50" t="s">
        <v>104</v>
      </c>
      <c r="Z503" s="50" t="s">
        <v>6895</v>
      </c>
      <c r="AA503" s="50" t="s">
        <v>14349</v>
      </c>
      <c r="AB503" s="50" t="s">
        <v>17995</v>
      </c>
      <c r="AC503" s="50" t="s">
        <v>13263</v>
      </c>
      <c r="AD503" s="50" t="s">
        <v>17995</v>
      </c>
      <c r="AE503" s="50" t="s">
        <v>109</v>
      </c>
      <c r="AF503" s="50" t="s">
        <v>102</v>
      </c>
      <c r="AG503" s="50" t="s">
        <v>109</v>
      </c>
      <c r="AH503" s="50" t="s">
        <v>102</v>
      </c>
      <c r="AI503" s="50" t="s">
        <v>102</v>
      </c>
      <c r="AJ503" s="50" t="s">
        <v>14351</v>
      </c>
      <c r="AK503" s="50" t="s">
        <v>13000</v>
      </c>
      <c r="AL503" s="50" t="s">
        <v>17996</v>
      </c>
      <c r="AM503" s="50" t="s">
        <v>17997</v>
      </c>
      <c r="AN503" s="50" t="s">
        <v>17998</v>
      </c>
      <c r="AO503" s="50" t="s">
        <v>14355</v>
      </c>
      <c r="AP503" s="50" t="s">
        <v>14355</v>
      </c>
      <c r="AU503" s="50" t="s">
        <v>207</v>
      </c>
      <c r="AV503" s="50" t="s">
        <v>118</v>
      </c>
      <c r="AW503" s="50" t="s">
        <v>102</v>
      </c>
      <c r="AX503" s="50" t="s">
        <v>119</v>
      </c>
      <c r="BA503" s="50" t="s">
        <v>250</v>
      </c>
      <c r="BB503" s="50" t="s">
        <v>120</v>
      </c>
      <c r="BC503" s="50" t="s">
        <v>1036</v>
      </c>
      <c r="BD503" s="50" t="s">
        <v>173</v>
      </c>
      <c r="BE503" s="50" t="s">
        <v>174</v>
      </c>
      <c r="BF503" s="50" t="s">
        <v>173</v>
      </c>
      <c r="BG503" s="50" t="s">
        <v>124</v>
      </c>
      <c r="BH503" s="50" t="s">
        <v>11888</v>
      </c>
      <c r="BI503" s="50" t="s">
        <v>11889</v>
      </c>
      <c r="BJ503" s="50" t="s">
        <v>127</v>
      </c>
      <c r="BK503" s="50" t="s">
        <v>17999</v>
      </c>
      <c r="BL503" s="50" t="s">
        <v>18000</v>
      </c>
      <c r="BM503" s="50" t="s">
        <v>18001</v>
      </c>
      <c r="BN503" s="50" t="s">
        <v>12838</v>
      </c>
      <c r="BO503" s="50" t="s">
        <v>8447</v>
      </c>
      <c r="BP503" s="50" t="s">
        <v>180</v>
      </c>
      <c r="BQ503" s="50" t="s">
        <v>8448</v>
      </c>
      <c r="BR503" s="50" t="s">
        <v>8449</v>
      </c>
      <c r="BS503" s="50" t="s">
        <v>8450</v>
      </c>
      <c r="BU503" s="50" t="s">
        <v>18002</v>
      </c>
      <c r="BV503" s="50" t="s">
        <v>18003</v>
      </c>
      <c r="BW503" s="50" t="s">
        <v>296</v>
      </c>
      <c r="BX503" s="50" t="s">
        <v>14361</v>
      </c>
      <c r="BY503" s="50" t="s">
        <v>14362</v>
      </c>
      <c r="BZ503" s="50" t="s">
        <v>18004</v>
      </c>
      <c r="CA503" s="50" t="s">
        <v>18005</v>
      </c>
      <c r="CB503" s="50" t="s">
        <v>18004</v>
      </c>
      <c r="CC503" s="50" t="s">
        <v>18006</v>
      </c>
      <c r="CD503" s="50" t="s">
        <v>14366</v>
      </c>
      <c r="CE503" s="50" t="s">
        <v>14367</v>
      </c>
      <c r="CF503" s="50" t="s">
        <v>14368</v>
      </c>
      <c r="CG503" s="50" t="s">
        <v>8526</v>
      </c>
      <c r="CH503" s="50" t="s">
        <v>18007</v>
      </c>
      <c r="CJ503" s="50" t="s">
        <v>18008</v>
      </c>
      <c r="CK503" s="50" t="s">
        <v>18009</v>
      </c>
      <c r="CL503" s="50" t="s">
        <v>1036</v>
      </c>
      <c r="CM503" s="50" t="s">
        <v>173</v>
      </c>
      <c r="CN503" s="50" t="s">
        <v>18008</v>
      </c>
      <c r="CP503" s="50" t="s">
        <v>18010</v>
      </c>
      <c r="CQ503" s="50" t="s">
        <v>18010</v>
      </c>
    </row>
    <row r="504" spans="1:96">
      <c r="A504" s="50" t="s">
        <v>26356</v>
      </c>
      <c r="B504" s="50">
        <v>5018035</v>
      </c>
      <c r="C504" s="50" t="s">
        <v>384</v>
      </c>
      <c r="D504" s="50" t="s">
        <v>19339</v>
      </c>
      <c r="E504" s="50" t="str">
        <f>VLOOKUP(B504,aa!B:F,5,0)</f>
        <v>Ei ASSET, Ei Mindspark</v>
      </c>
      <c r="F504" s="50">
        <f>VLOOKUP(B504,aa!B:J,9,0)</f>
        <v>898769</v>
      </c>
      <c r="G504" s="50">
        <f>VLOOKUP(B504,aa!B:L,11,0)</f>
        <v>191700</v>
      </c>
      <c r="H504" s="50">
        <f>VLOOKUP(B504,aa!B:O,14,0)</f>
        <v>0</v>
      </c>
      <c r="I504" s="50">
        <f>VLOOKUP(B504,aa!B:R,17,0)</f>
        <v>707069</v>
      </c>
      <c r="K504" s="50" t="s">
        <v>193</v>
      </c>
      <c r="L504" s="50">
        <v>170100</v>
      </c>
      <c r="M504" s="50">
        <v>170100</v>
      </c>
      <c r="N504" s="50">
        <v>170100</v>
      </c>
      <c r="O504" s="50">
        <v>190</v>
      </c>
      <c r="P504" s="50" t="s">
        <v>14346</v>
      </c>
      <c r="Q504" s="50">
        <v>0</v>
      </c>
      <c r="R504" s="50">
        <v>0</v>
      </c>
      <c r="T504" s="50">
        <v>0</v>
      </c>
      <c r="U504" s="50">
        <v>253</v>
      </c>
      <c r="V504" s="50" t="s">
        <v>102</v>
      </c>
      <c r="W504" s="50" t="s">
        <v>102</v>
      </c>
      <c r="X504" s="50" t="s">
        <v>679</v>
      </c>
      <c r="Y504" s="50" t="s">
        <v>104</v>
      </c>
      <c r="Z504" s="50" t="s">
        <v>19341</v>
      </c>
      <c r="AA504" s="50" t="s">
        <v>14349</v>
      </c>
      <c r="AB504" s="50" t="s">
        <v>19342</v>
      </c>
      <c r="AC504" s="50" t="s">
        <v>13263</v>
      </c>
      <c r="AD504" s="50" t="s">
        <v>19342</v>
      </c>
      <c r="AE504" s="50" t="s">
        <v>109</v>
      </c>
      <c r="AF504" s="50" t="s">
        <v>102</v>
      </c>
      <c r="AG504" s="50" t="s">
        <v>109</v>
      </c>
      <c r="AH504" s="50" t="s">
        <v>102</v>
      </c>
      <c r="AI504" s="50" t="s">
        <v>102</v>
      </c>
      <c r="AJ504" s="50" t="s">
        <v>14351</v>
      </c>
      <c r="AK504" s="50" t="s">
        <v>13000</v>
      </c>
      <c r="AL504" s="50" t="s">
        <v>19343</v>
      </c>
      <c r="AM504" s="50" t="s">
        <v>19344</v>
      </c>
      <c r="AN504" s="50" t="s">
        <v>19345</v>
      </c>
      <c r="AO504" s="50" t="s">
        <v>19346</v>
      </c>
      <c r="AP504" s="50" t="s">
        <v>19346</v>
      </c>
      <c r="AU504" s="50" t="s">
        <v>207</v>
      </c>
      <c r="AV504" s="50" t="s">
        <v>118</v>
      </c>
      <c r="AW504" s="50" t="s">
        <v>102</v>
      </c>
      <c r="AX504" s="50" t="s">
        <v>119</v>
      </c>
      <c r="BA504" s="50" t="s">
        <v>250</v>
      </c>
      <c r="BB504" s="50" t="s">
        <v>120</v>
      </c>
      <c r="BC504" s="50" t="s">
        <v>13207</v>
      </c>
      <c r="BD504" s="50" t="s">
        <v>376</v>
      </c>
      <c r="BE504" s="50" t="s">
        <v>174</v>
      </c>
      <c r="BF504" s="50" t="s">
        <v>376</v>
      </c>
      <c r="BG504" s="50" t="s">
        <v>124</v>
      </c>
      <c r="BH504" s="50" t="s">
        <v>19347</v>
      </c>
      <c r="BI504" s="50" t="s">
        <v>11889</v>
      </c>
      <c r="BJ504" s="50" t="s">
        <v>127</v>
      </c>
      <c r="BK504" s="50" t="s">
        <v>19348</v>
      </c>
      <c r="BL504" s="50" t="s">
        <v>19349</v>
      </c>
      <c r="BM504" s="50" t="s">
        <v>19350</v>
      </c>
      <c r="BN504" s="50" t="s">
        <v>19340</v>
      </c>
      <c r="BO504" s="50" t="s">
        <v>6926</v>
      </c>
      <c r="BP504" s="50" t="s">
        <v>180</v>
      </c>
      <c r="BQ504" s="50" t="s">
        <v>6927</v>
      </c>
      <c r="BR504" s="50" t="s">
        <v>6928</v>
      </c>
      <c r="BS504" s="50" t="s">
        <v>1858</v>
      </c>
      <c r="BU504" s="50" t="s">
        <v>19351</v>
      </c>
      <c r="BV504" s="50" t="s">
        <v>19352</v>
      </c>
      <c r="BW504" s="50" t="s">
        <v>16620</v>
      </c>
      <c r="BX504" s="50" t="s">
        <v>19353</v>
      </c>
      <c r="BY504" s="50" t="s">
        <v>19354</v>
      </c>
      <c r="BZ504" s="50" t="s">
        <v>19355</v>
      </c>
      <c r="CA504" s="50" t="s">
        <v>19356</v>
      </c>
      <c r="CB504" s="50" t="s">
        <v>19355</v>
      </c>
      <c r="CC504" s="50" t="s">
        <v>19357</v>
      </c>
      <c r="CD504" s="50" t="s">
        <v>19358</v>
      </c>
      <c r="CE504" s="50" t="s">
        <v>19359</v>
      </c>
      <c r="CF504" s="50" t="s">
        <v>19360</v>
      </c>
      <c r="CG504" s="50" t="s">
        <v>19361</v>
      </c>
      <c r="CH504" s="50" t="s">
        <v>19362</v>
      </c>
      <c r="CJ504" s="50" t="s">
        <v>19363</v>
      </c>
      <c r="CK504" s="50" t="s">
        <v>19362</v>
      </c>
      <c r="CL504" s="50" t="s">
        <v>13207</v>
      </c>
      <c r="CM504" s="50" t="s">
        <v>376</v>
      </c>
      <c r="CN504" s="50" t="s">
        <v>19363</v>
      </c>
      <c r="CP504" s="50" t="s">
        <v>19362</v>
      </c>
      <c r="CQ504" s="50" t="s">
        <v>19362</v>
      </c>
    </row>
    <row r="505" spans="1:96">
      <c r="A505" s="50" t="s">
        <v>26356</v>
      </c>
      <c r="B505" s="50">
        <v>5077577</v>
      </c>
      <c r="C505" s="50" t="s">
        <v>13158</v>
      </c>
      <c r="D505" s="50" t="s">
        <v>20831</v>
      </c>
      <c r="E505" s="50" t="e">
        <f>VLOOKUP(B505,aa!B:F,5,0)</f>
        <v>#N/A</v>
      </c>
      <c r="F505" s="50" t="e">
        <f>VLOOKUP(B505,aa!B:J,9,0)</f>
        <v>#N/A</v>
      </c>
      <c r="G505" s="50" t="e">
        <f>VLOOKUP(B505,aa!B:L,11,0)</f>
        <v>#N/A</v>
      </c>
      <c r="H505" s="50" t="e">
        <f>VLOOKUP(B505,aa!B:O,14,0)</f>
        <v>#N/A</v>
      </c>
      <c r="I505" s="50" t="e">
        <f>VLOOKUP(B505,aa!B:R,17,0)</f>
        <v>#N/A</v>
      </c>
      <c r="K505" s="50" t="s">
        <v>1746</v>
      </c>
      <c r="L505" s="50">
        <v>1344160</v>
      </c>
      <c r="M505" s="50">
        <v>1443232</v>
      </c>
      <c r="N505" s="50">
        <v>432960</v>
      </c>
      <c r="O505" s="50">
        <v>1000</v>
      </c>
      <c r="P505" s="50" t="s">
        <v>20832</v>
      </c>
      <c r="Q505" s="50">
        <v>360800</v>
      </c>
      <c r="R505" s="50">
        <v>500</v>
      </c>
      <c r="S505" s="50" t="s">
        <v>20833</v>
      </c>
      <c r="T505" s="50">
        <v>550400</v>
      </c>
      <c r="U505" s="50">
        <v>500</v>
      </c>
      <c r="V505" s="50" t="s">
        <v>6782</v>
      </c>
      <c r="W505" s="50" t="s">
        <v>102</v>
      </c>
      <c r="X505" s="50" t="s">
        <v>103</v>
      </c>
      <c r="Y505" s="50" t="s">
        <v>398</v>
      </c>
      <c r="AA505" s="50" t="s">
        <v>12099</v>
      </c>
      <c r="AB505" s="50" t="s">
        <v>20834</v>
      </c>
      <c r="AC505" s="50" t="s">
        <v>13395</v>
      </c>
      <c r="AD505" s="50" t="s">
        <v>20835</v>
      </c>
      <c r="AE505" s="50" t="s">
        <v>12713</v>
      </c>
      <c r="AF505" s="50" t="s">
        <v>20835</v>
      </c>
      <c r="AG505" s="50" t="s">
        <v>109</v>
      </c>
      <c r="AH505" s="50" t="s">
        <v>102</v>
      </c>
      <c r="AI505" s="50" t="s">
        <v>102</v>
      </c>
      <c r="AL505" s="50" t="s">
        <v>20836</v>
      </c>
      <c r="AM505" s="50" t="s">
        <v>102</v>
      </c>
      <c r="AN505" s="50" t="s">
        <v>20836</v>
      </c>
      <c r="AO505" s="50" t="s">
        <v>20837</v>
      </c>
      <c r="AP505" s="50" t="s">
        <v>20837</v>
      </c>
      <c r="AU505" s="50" t="s">
        <v>6700</v>
      </c>
      <c r="AV505" s="50" t="s">
        <v>250</v>
      </c>
      <c r="AW505" s="50" t="s">
        <v>155</v>
      </c>
      <c r="AX505" s="50" t="s">
        <v>119</v>
      </c>
      <c r="AZ505" s="50" t="s">
        <v>250</v>
      </c>
      <c r="BA505" s="50" t="s">
        <v>250</v>
      </c>
      <c r="BB505" s="50" t="s">
        <v>120</v>
      </c>
      <c r="BC505" s="50" t="s">
        <v>19371</v>
      </c>
      <c r="BD505" s="50" t="s">
        <v>19372</v>
      </c>
      <c r="BE505" s="50" t="s">
        <v>212</v>
      </c>
      <c r="BF505" s="50" t="s">
        <v>213</v>
      </c>
      <c r="BG505" s="50" t="s">
        <v>124</v>
      </c>
      <c r="BH505" s="50" t="s">
        <v>13680</v>
      </c>
      <c r="BI505" s="50" t="s">
        <v>12047</v>
      </c>
      <c r="BJ505" s="50" t="s">
        <v>127</v>
      </c>
      <c r="BK505" s="50" t="s">
        <v>20838</v>
      </c>
      <c r="BL505" s="50" t="s">
        <v>20839</v>
      </c>
      <c r="BM505" s="50" t="s">
        <v>20840</v>
      </c>
      <c r="BN505" s="50" t="s">
        <v>15177</v>
      </c>
      <c r="BO505" s="50" t="s">
        <v>956</v>
      </c>
      <c r="BP505" s="50" t="s">
        <v>180</v>
      </c>
      <c r="BQ505" s="50" t="s">
        <v>958</v>
      </c>
      <c r="BR505" s="50" t="s">
        <v>959</v>
      </c>
      <c r="BS505" s="50" t="s">
        <v>293</v>
      </c>
      <c r="BU505" s="50" t="s">
        <v>20841</v>
      </c>
      <c r="BV505" s="50" t="s">
        <v>10447</v>
      </c>
      <c r="BW505" s="50" t="s">
        <v>354</v>
      </c>
      <c r="BX505" s="50" t="s">
        <v>10448</v>
      </c>
      <c r="BY505" s="50" t="s">
        <v>9098</v>
      </c>
      <c r="BZ505" s="50" t="s">
        <v>20842</v>
      </c>
      <c r="CA505" s="50" t="s">
        <v>10447</v>
      </c>
      <c r="CB505" s="50" t="s">
        <v>10448</v>
      </c>
      <c r="CC505" s="50" t="s">
        <v>9098</v>
      </c>
      <c r="CD505" s="50" t="s">
        <v>10447</v>
      </c>
      <c r="CE505" s="50" t="s">
        <v>10448</v>
      </c>
      <c r="CF505" s="50" t="s">
        <v>9098</v>
      </c>
      <c r="CG505" s="50" t="s">
        <v>102</v>
      </c>
      <c r="CH505" s="50" t="s">
        <v>19376</v>
      </c>
      <c r="CJ505" s="50" t="s">
        <v>19377</v>
      </c>
      <c r="CL505" s="50" t="s">
        <v>19371</v>
      </c>
      <c r="CM505" s="50" t="s">
        <v>19372</v>
      </c>
      <c r="CN505" s="50" t="s">
        <v>19377</v>
      </c>
      <c r="CP505" s="50" t="s">
        <v>10451</v>
      </c>
      <c r="CQ505" s="50" t="s">
        <v>10451</v>
      </c>
      <c r="CR505" s="50" t="s">
        <v>26048</v>
      </c>
    </row>
    <row r="506" spans="1:96">
      <c r="A506" s="50" t="s">
        <v>26356</v>
      </c>
      <c r="B506" s="50">
        <v>5070312</v>
      </c>
      <c r="C506" s="50" t="s">
        <v>293</v>
      </c>
      <c r="D506" s="50" t="s">
        <v>20770</v>
      </c>
      <c r="E506" s="50" t="e">
        <f>VLOOKUP(B506,aa!B:F,5,0)</f>
        <v>#N/A</v>
      </c>
      <c r="F506" s="50" t="e">
        <f>VLOOKUP(B506,aa!B:J,9,0)</f>
        <v>#N/A</v>
      </c>
      <c r="G506" s="50" t="e">
        <f>VLOOKUP(B506,aa!B:L,11,0)</f>
        <v>#N/A</v>
      </c>
      <c r="H506" s="50" t="e">
        <f>VLOOKUP(B506,aa!B:O,14,0)</f>
        <v>#N/A</v>
      </c>
      <c r="I506" s="50" t="e">
        <f>VLOOKUP(B506,aa!B:R,17,0)</f>
        <v>#N/A</v>
      </c>
      <c r="K506" s="50" t="s">
        <v>1746</v>
      </c>
      <c r="L506" s="50">
        <v>0</v>
      </c>
      <c r="M506" s="50">
        <v>0</v>
      </c>
      <c r="N506" s="50">
        <v>0</v>
      </c>
      <c r="O506" s="50">
        <v>250</v>
      </c>
      <c r="P506" s="50" t="s">
        <v>102</v>
      </c>
      <c r="Q506" s="50">
        <v>0</v>
      </c>
      <c r="R506" s="50">
        <v>250</v>
      </c>
      <c r="S506" s="50" t="s">
        <v>102</v>
      </c>
      <c r="T506" s="50">
        <v>0</v>
      </c>
      <c r="U506" s="50">
        <v>250</v>
      </c>
      <c r="V506" s="50" t="s">
        <v>102</v>
      </c>
      <c r="W506" s="50" t="s">
        <v>102</v>
      </c>
      <c r="X506" s="50" t="s">
        <v>275</v>
      </c>
      <c r="Z506" s="50" t="s">
        <v>14705</v>
      </c>
      <c r="AA506" s="50" t="s">
        <v>109</v>
      </c>
      <c r="AB506" s="50" t="s">
        <v>102</v>
      </c>
      <c r="AC506" s="50" t="s">
        <v>109</v>
      </c>
      <c r="AD506" s="50" t="s">
        <v>102</v>
      </c>
      <c r="AE506" s="50" t="s">
        <v>109</v>
      </c>
      <c r="AF506" s="50" t="s">
        <v>102</v>
      </c>
      <c r="AG506" s="50" t="s">
        <v>109</v>
      </c>
      <c r="AH506" s="50" t="s">
        <v>102</v>
      </c>
      <c r="AI506" s="50" t="s">
        <v>102</v>
      </c>
      <c r="AL506" s="50" t="s">
        <v>102</v>
      </c>
      <c r="AM506" s="50" t="s">
        <v>102</v>
      </c>
      <c r="AN506" s="50" t="s">
        <v>102</v>
      </c>
      <c r="AO506" s="50" t="s">
        <v>115</v>
      </c>
      <c r="AP506" s="50" t="s">
        <v>115</v>
      </c>
      <c r="AU506" s="50" t="s">
        <v>6700</v>
      </c>
      <c r="AV506" s="50" t="s">
        <v>250</v>
      </c>
      <c r="AW506" s="50" t="s">
        <v>155</v>
      </c>
      <c r="AX506" s="50" t="s">
        <v>119</v>
      </c>
      <c r="AZ506" s="50" t="s">
        <v>250</v>
      </c>
      <c r="BA506" s="50" t="s">
        <v>250</v>
      </c>
      <c r="BB506" s="50" t="s">
        <v>120</v>
      </c>
      <c r="BC506" s="50" t="s">
        <v>7718</v>
      </c>
      <c r="BD506" s="50" t="s">
        <v>211</v>
      </c>
      <c r="BE506" s="50" t="s">
        <v>212</v>
      </c>
      <c r="BF506" s="50" t="s">
        <v>213</v>
      </c>
      <c r="BG506" s="50" t="s">
        <v>124</v>
      </c>
      <c r="BH506" s="50" t="s">
        <v>13680</v>
      </c>
      <c r="BI506" s="50" t="s">
        <v>12047</v>
      </c>
      <c r="BJ506" s="50" t="s">
        <v>127</v>
      </c>
      <c r="BK506" s="50" t="s">
        <v>20771</v>
      </c>
      <c r="BL506" s="50" t="s">
        <v>20772</v>
      </c>
      <c r="BM506" s="50" t="s">
        <v>20773</v>
      </c>
      <c r="BN506" s="50" t="s">
        <v>14705</v>
      </c>
      <c r="BO506" s="50" t="s">
        <v>956</v>
      </c>
      <c r="BP506" s="50" t="s">
        <v>258</v>
      </c>
      <c r="BQ506" s="50" t="s">
        <v>958</v>
      </c>
      <c r="BR506" s="50" t="s">
        <v>959</v>
      </c>
      <c r="BS506" s="50" t="s">
        <v>4765</v>
      </c>
      <c r="BU506" s="50" t="s">
        <v>20774</v>
      </c>
      <c r="BV506" s="50" t="s">
        <v>3585</v>
      </c>
      <c r="BX506" s="50" t="s">
        <v>225</v>
      </c>
      <c r="BY506" s="50" t="s">
        <v>8332</v>
      </c>
      <c r="CA506" s="50" t="s">
        <v>3585</v>
      </c>
      <c r="CB506" s="50" t="s">
        <v>225</v>
      </c>
      <c r="CC506" s="50" t="s">
        <v>8332</v>
      </c>
      <c r="CD506" s="50" t="s">
        <v>3585</v>
      </c>
      <c r="CE506" s="50" t="s">
        <v>225</v>
      </c>
      <c r="CF506" s="50" t="s">
        <v>8332</v>
      </c>
      <c r="CG506" s="50" t="s">
        <v>102</v>
      </c>
      <c r="CH506" s="50" t="s">
        <v>20775</v>
      </c>
      <c r="CJ506" s="50" t="s">
        <v>20776</v>
      </c>
      <c r="CL506" s="50" t="s">
        <v>7718</v>
      </c>
      <c r="CM506" s="50" t="s">
        <v>211</v>
      </c>
      <c r="CN506" s="50" t="s">
        <v>20776</v>
      </c>
      <c r="CP506" s="50" t="s">
        <v>20777</v>
      </c>
      <c r="CQ506" s="50" t="s">
        <v>20777</v>
      </c>
      <c r="CR506" s="50" t="s">
        <v>26048</v>
      </c>
    </row>
    <row r="507" spans="1:96">
      <c r="A507" s="50" t="s">
        <v>26356</v>
      </c>
      <c r="B507" s="50">
        <v>5070482</v>
      </c>
      <c r="C507" s="50" t="s">
        <v>293</v>
      </c>
      <c r="D507" s="50" t="s">
        <v>20778</v>
      </c>
      <c r="E507" s="50" t="e">
        <f>VLOOKUP(B507,aa!B:F,5,0)</f>
        <v>#N/A</v>
      </c>
      <c r="F507" s="50" t="e">
        <f>VLOOKUP(B507,aa!B:J,9,0)</f>
        <v>#N/A</v>
      </c>
      <c r="G507" s="50" t="e">
        <f>VLOOKUP(B507,aa!B:L,11,0)</f>
        <v>#N/A</v>
      </c>
      <c r="H507" s="50" t="e">
        <f>VLOOKUP(B507,aa!B:O,14,0)</f>
        <v>#N/A</v>
      </c>
      <c r="I507" s="50" t="e">
        <f>VLOOKUP(B507,aa!B:R,17,0)</f>
        <v>#N/A</v>
      </c>
      <c r="K507" s="50" t="s">
        <v>1746</v>
      </c>
      <c r="L507" s="50">
        <v>0</v>
      </c>
      <c r="M507" s="50">
        <v>0</v>
      </c>
      <c r="N507" s="50">
        <v>0</v>
      </c>
      <c r="O507" s="50">
        <v>250</v>
      </c>
      <c r="P507" s="50" t="s">
        <v>102</v>
      </c>
      <c r="Q507" s="50">
        <v>0</v>
      </c>
      <c r="R507" s="50">
        <v>250</v>
      </c>
      <c r="S507" s="50" t="s">
        <v>102</v>
      </c>
      <c r="T507" s="50">
        <v>0</v>
      </c>
      <c r="U507" s="50">
        <v>250</v>
      </c>
      <c r="V507" s="50" t="s">
        <v>102</v>
      </c>
      <c r="W507" s="50" t="s">
        <v>102</v>
      </c>
      <c r="X507" s="50" t="s">
        <v>275</v>
      </c>
      <c r="Z507" s="50" t="s">
        <v>14705</v>
      </c>
      <c r="AA507" s="50" t="s">
        <v>109</v>
      </c>
      <c r="AB507" s="50" t="s">
        <v>102</v>
      </c>
      <c r="AC507" s="50" t="s">
        <v>109</v>
      </c>
      <c r="AD507" s="50" t="s">
        <v>102</v>
      </c>
      <c r="AE507" s="50" t="s">
        <v>109</v>
      </c>
      <c r="AF507" s="50" t="s">
        <v>102</v>
      </c>
      <c r="AG507" s="50" t="s">
        <v>109</v>
      </c>
      <c r="AH507" s="50" t="s">
        <v>102</v>
      </c>
      <c r="AI507" s="50" t="s">
        <v>102</v>
      </c>
      <c r="AL507" s="50" t="s">
        <v>102</v>
      </c>
      <c r="AM507" s="50" t="s">
        <v>102</v>
      </c>
      <c r="AN507" s="50" t="s">
        <v>102</v>
      </c>
      <c r="AO507" s="50" t="s">
        <v>115</v>
      </c>
      <c r="AP507" s="50" t="s">
        <v>115</v>
      </c>
      <c r="AU507" s="50" t="s">
        <v>6700</v>
      </c>
      <c r="AV507" s="50" t="s">
        <v>250</v>
      </c>
      <c r="AW507" s="50" t="s">
        <v>155</v>
      </c>
      <c r="AX507" s="50" t="s">
        <v>119</v>
      </c>
      <c r="AZ507" s="50" t="s">
        <v>250</v>
      </c>
      <c r="BA507" s="50" t="s">
        <v>250</v>
      </c>
      <c r="BB507" s="50" t="s">
        <v>120</v>
      </c>
      <c r="BC507" s="50" t="s">
        <v>7718</v>
      </c>
      <c r="BD507" s="50" t="s">
        <v>211</v>
      </c>
      <c r="BE507" s="50" t="s">
        <v>212</v>
      </c>
      <c r="BF507" s="50" t="s">
        <v>213</v>
      </c>
      <c r="BG507" s="50" t="s">
        <v>124</v>
      </c>
      <c r="BH507" s="50" t="s">
        <v>13680</v>
      </c>
      <c r="BI507" s="50" t="s">
        <v>12047</v>
      </c>
      <c r="BJ507" s="50" t="s">
        <v>127</v>
      </c>
      <c r="BK507" s="50" t="s">
        <v>20779</v>
      </c>
      <c r="BL507" s="50" t="s">
        <v>20780</v>
      </c>
      <c r="BM507" s="50" t="s">
        <v>20781</v>
      </c>
      <c r="BN507" s="50" t="s">
        <v>14705</v>
      </c>
      <c r="BO507" s="50" t="s">
        <v>956</v>
      </c>
      <c r="BP507" s="50" t="s">
        <v>258</v>
      </c>
      <c r="BQ507" s="50" t="s">
        <v>958</v>
      </c>
      <c r="BR507" s="50" t="s">
        <v>959</v>
      </c>
      <c r="BS507" s="50" t="s">
        <v>4765</v>
      </c>
      <c r="BU507" s="50" t="s">
        <v>20782</v>
      </c>
      <c r="BV507" s="50" t="s">
        <v>3585</v>
      </c>
      <c r="BX507" s="50" t="s">
        <v>225</v>
      </c>
      <c r="BY507" s="50" t="s">
        <v>8332</v>
      </c>
      <c r="CA507" s="50" t="s">
        <v>3585</v>
      </c>
      <c r="CB507" s="50" t="s">
        <v>225</v>
      </c>
      <c r="CC507" s="50" t="s">
        <v>8332</v>
      </c>
      <c r="CD507" s="50" t="s">
        <v>3585</v>
      </c>
      <c r="CE507" s="50" t="s">
        <v>225</v>
      </c>
      <c r="CF507" s="50" t="s">
        <v>8332</v>
      </c>
      <c r="CG507" s="50" t="s">
        <v>102</v>
      </c>
      <c r="CH507" s="50" t="s">
        <v>20783</v>
      </c>
      <c r="CJ507" s="50" t="s">
        <v>20784</v>
      </c>
      <c r="CL507" s="50" t="s">
        <v>7718</v>
      </c>
      <c r="CM507" s="50" t="s">
        <v>211</v>
      </c>
      <c r="CN507" s="50" t="s">
        <v>20784</v>
      </c>
      <c r="CP507" s="50" t="s">
        <v>20785</v>
      </c>
      <c r="CQ507" s="50" t="s">
        <v>20785</v>
      </c>
      <c r="CR507" s="50" t="s">
        <v>26048</v>
      </c>
    </row>
    <row r="508" spans="1:96">
      <c r="A508" s="50" t="s">
        <v>26356</v>
      </c>
      <c r="B508" s="50">
        <v>2285293</v>
      </c>
      <c r="C508" s="50" t="s">
        <v>3562</v>
      </c>
      <c r="D508" s="50" t="s">
        <v>2966</v>
      </c>
      <c r="E508" s="50" t="e">
        <f>VLOOKUP(B508,aa!B:F,5,0)</f>
        <v>#N/A</v>
      </c>
      <c r="F508" s="50" t="e">
        <f>VLOOKUP(B508,aa!B:J,9,0)</f>
        <v>#N/A</v>
      </c>
      <c r="G508" s="50" t="e">
        <f>VLOOKUP(B508,aa!B:L,11,0)</f>
        <v>#N/A</v>
      </c>
      <c r="H508" s="50" t="e">
        <f>VLOOKUP(B508,aa!B:O,14,0)</f>
        <v>#N/A</v>
      </c>
      <c r="I508" s="50" t="e">
        <f>VLOOKUP(B508,aa!B:R,17,0)</f>
        <v>#N/A</v>
      </c>
      <c r="K508" s="50" t="s">
        <v>97</v>
      </c>
      <c r="L508" s="50">
        <v>748706</v>
      </c>
      <c r="M508" s="50">
        <v>748706</v>
      </c>
      <c r="N508" s="50">
        <v>748706</v>
      </c>
      <c r="O508" s="50">
        <v>468</v>
      </c>
      <c r="P508" s="50" t="s">
        <v>678</v>
      </c>
      <c r="Q508" s="50">
        <v>0</v>
      </c>
      <c r="R508" s="50">
        <v>0</v>
      </c>
      <c r="T508" s="50">
        <v>0</v>
      </c>
      <c r="U508" s="50">
        <v>0</v>
      </c>
      <c r="W508" s="50" t="s">
        <v>102</v>
      </c>
      <c r="X508" s="50" t="s">
        <v>275</v>
      </c>
      <c r="Z508" s="50" t="s">
        <v>12041</v>
      </c>
      <c r="AA508" s="50" t="s">
        <v>109</v>
      </c>
      <c r="AB508" s="50" t="s">
        <v>102</v>
      </c>
      <c r="AC508" s="50" t="s">
        <v>109</v>
      </c>
      <c r="AD508" s="50" t="s">
        <v>102</v>
      </c>
      <c r="AE508" s="50" t="s">
        <v>109</v>
      </c>
      <c r="AF508" s="50" t="s">
        <v>102</v>
      </c>
      <c r="AG508" s="50" t="s">
        <v>109</v>
      </c>
      <c r="AH508" s="50" t="s">
        <v>102</v>
      </c>
      <c r="AI508" s="50" t="s">
        <v>102</v>
      </c>
      <c r="AJ508" s="50" t="s">
        <v>3849</v>
      </c>
      <c r="AK508" s="50" t="s">
        <v>3849</v>
      </c>
      <c r="AL508" s="50" t="s">
        <v>13685</v>
      </c>
      <c r="AM508" s="50" t="s">
        <v>13686</v>
      </c>
      <c r="AN508" s="50" t="s">
        <v>13687</v>
      </c>
      <c r="AO508" s="50" t="s">
        <v>6139</v>
      </c>
      <c r="AP508" s="50" t="s">
        <v>6139</v>
      </c>
      <c r="AU508" s="50" t="s">
        <v>6700</v>
      </c>
      <c r="AV508" s="50" t="s">
        <v>118</v>
      </c>
      <c r="AW508" s="50" t="s">
        <v>102</v>
      </c>
      <c r="AX508" s="50" t="s">
        <v>119</v>
      </c>
      <c r="BB508" s="50" t="s">
        <v>2565</v>
      </c>
      <c r="BC508" s="50" t="s">
        <v>2327</v>
      </c>
      <c r="BD508" s="50" t="s">
        <v>730</v>
      </c>
      <c r="BE508" s="50" t="s">
        <v>622</v>
      </c>
      <c r="BF508" s="50" t="s">
        <v>730</v>
      </c>
      <c r="BG508" s="50" t="s">
        <v>124</v>
      </c>
      <c r="BH508" s="50" t="s">
        <v>11959</v>
      </c>
      <c r="BI508" s="50" t="s">
        <v>11960</v>
      </c>
      <c r="BJ508" s="50" t="s">
        <v>127</v>
      </c>
      <c r="BK508" s="50" t="s">
        <v>13688</v>
      </c>
      <c r="BL508" s="50" t="s">
        <v>2973</v>
      </c>
      <c r="BM508" s="50" t="s">
        <v>13689</v>
      </c>
      <c r="BN508" s="50" t="s">
        <v>13034</v>
      </c>
      <c r="BO508" s="50" t="s">
        <v>734</v>
      </c>
      <c r="BP508" s="50" t="s">
        <v>350</v>
      </c>
      <c r="BQ508" s="50" t="s">
        <v>735</v>
      </c>
      <c r="BR508" s="50" t="s">
        <v>736</v>
      </c>
      <c r="BS508" s="50" t="s">
        <v>2569</v>
      </c>
      <c r="BT508" s="50" t="s">
        <v>985</v>
      </c>
      <c r="BU508" s="50" t="s">
        <v>13690</v>
      </c>
      <c r="BV508" s="50" t="s">
        <v>13691</v>
      </c>
      <c r="BW508" s="50" t="s">
        <v>138</v>
      </c>
      <c r="BX508" s="50" t="s">
        <v>13692</v>
      </c>
      <c r="BY508" s="50" t="s">
        <v>13693</v>
      </c>
      <c r="BZ508" s="50" t="s">
        <v>2979</v>
      </c>
      <c r="CA508" s="50" t="s">
        <v>2976</v>
      </c>
      <c r="CB508" s="50" t="s">
        <v>13692</v>
      </c>
      <c r="CC508" s="50" t="s">
        <v>13693</v>
      </c>
      <c r="CD508" s="50" t="s">
        <v>13694</v>
      </c>
      <c r="CE508" s="50" t="s">
        <v>2979</v>
      </c>
      <c r="CF508" s="50" t="s">
        <v>13695</v>
      </c>
      <c r="CG508" s="50" t="s">
        <v>2980</v>
      </c>
      <c r="CH508" s="50" t="s">
        <v>13696</v>
      </c>
      <c r="CJ508" s="50" t="s">
        <v>2982</v>
      </c>
      <c r="CK508" s="50" t="s">
        <v>13697</v>
      </c>
      <c r="CL508" s="50" t="s">
        <v>2327</v>
      </c>
      <c r="CM508" s="50" t="s">
        <v>730</v>
      </c>
      <c r="CN508" s="50" t="s">
        <v>2982</v>
      </c>
      <c r="CP508" s="50" t="s">
        <v>2984</v>
      </c>
      <c r="CQ508" s="50" t="s">
        <v>2984</v>
      </c>
    </row>
    <row r="509" spans="1:96">
      <c r="A509" s="50" t="s">
        <v>26356</v>
      </c>
      <c r="B509" s="50">
        <v>365439</v>
      </c>
      <c r="C509" s="50" t="s">
        <v>3562</v>
      </c>
      <c r="D509" s="50" t="s">
        <v>7036</v>
      </c>
      <c r="E509" s="50" t="str">
        <f>VLOOKUP(B509,aa!B:F,5,0)</f>
        <v>Ei ASSET</v>
      </c>
      <c r="F509" s="50">
        <f>VLOOKUP(B509,aa!B:J,9,0)</f>
        <v>259018</v>
      </c>
      <c r="G509" s="50">
        <f>VLOOKUP(B509,aa!B:L,11,0)</f>
        <v>259018</v>
      </c>
      <c r="H509" s="50">
        <f>VLOOKUP(B509,aa!B:O,14,0)</f>
        <v>0</v>
      </c>
      <c r="I509" s="50">
        <f>VLOOKUP(B509,aa!B:R,17,0)</f>
        <v>0</v>
      </c>
      <c r="K509" s="50" t="s">
        <v>97</v>
      </c>
      <c r="L509" s="50">
        <v>498338</v>
      </c>
      <c r="M509" s="50">
        <v>498338</v>
      </c>
      <c r="N509" s="50">
        <v>498338</v>
      </c>
      <c r="O509" s="50">
        <v>623</v>
      </c>
      <c r="P509" s="50" t="s">
        <v>1297</v>
      </c>
      <c r="Q509" s="50">
        <v>0</v>
      </c>
      <c r="R509" s="50">
        <v>0</v>
      </c>
      <c r="T509" s="50">
        <v>0</v>
      </c>
      <c r="U509" s="50">
        <v>0</v>
      </c>
      <c r="W509" s="50" t="s">
        <v>102</v>
      </c>
      <c r="X509" s="50" t="s">
        <v>275</v>
      </c>
      <c r="Z509" s="50" t="s">
        <v>12041</v>
      </c>
      <c r="AA509" s="50" t="s">
        <v>109</v>
      </c>
      <c r="AB509" s="50" t="s">
        <v>102</v>
      </c>
      <c r="AC509" s="50" t="s">
        <v>109</v>
      </c>
      <c r="AD509" s="50" t="s">
        <v>102</v>
      </c>
      <c r="AE509" s="50" t="s">
        <v>109</v>
      </c>
      <c r="AF509" s="50" t="s">
        <v>102</v>
      </c>
      <c r="AG509" s="50" t="s">
        <v>109</v>
      </c>
      <c r="AH509" s="50" t="s">
        <v>102</v>
      </c>
      <c r="AI509" s="50" t="s">
        <v>102</v>
      </c>
      <c r="AJ509" s="50" t="s">
        <v>3849</v>
      </c>
      <c r="AK509" s="50" t="s">
        <v>3849</v>
      </c>
      <c r="AL509" s="50" t="s">
        <v>16713</v>
      </c>
      <c r="AM509" s="50" t="s">
        <v>16714</v>
      </c>
      <c r="AN509" s="50" t="s">
        <v>16715</v>
      </c>
      <c r="AO509" s="50" t="s">
        <v>6139</v>
      </c>
      <c r="AP509" s="50" t="s">
        <v>16716</v>
      </c>
      <c r="AT509" s="50" t="s">
        <v>169</v>
      </c>
      <c r="AU509" s="50" t="s">
        <v>117</v>
      </c>
      <c r="AV509" s="50" t="s">
        <v>118</v>
      </c>
      <c r="AW509" s="50" t="s">
        <v>102</v>
      </c>
      <c r="AX509" s="50" t="s">
        <v>119</v>
      </c>
      <c r="BB509" s="50" t="s">
        <v>171</v>
      </c>
      <c r="BC509" s="50" t="s">
        <v>2327</v>
      </c>
      <c r="BD509" s="50" t="s">
        <v>730</v>
      </c>
      <c r="BE509" s="50" t="s">
        <v>622</v>
      </c>
      <c r="BF509" s="50" t="s">
        <v>730</v>
      </c>
      <c r="BG509" s="50" t="s">
        <v>124</v>
      </c>
      <c r="BH509" s="50" t="s">
        <v>11959</v>
      </c>
      <c r="BI509" s="50" t="s">
        <v>11960</v>
      </c>
      <c r="BJ509" s="50" t="s">
        <v>127</v>
      </c>
      <c r="BK509" s="50" t="s">
        <v>16717</v>
      </c>
      <c r="BL509" s="50" t="s">
        <v>7042</v>
      </c>
      <c r="BM509" s="50" t="s">
        <v>16718</v>
      </c>
      <c r="BN509" s="50" t="s">
        <v>13034</v>
      </c>
      <c r="BO509" s="50" t="s">
        <v>734</v>
      </c>
      <c r="BP509" s="50" t="s">
        <v>350</v>
      </c>
      <c r="BQ509" s="50" t="s">
        <v>735</v>
      </c>
      <c r="BR509" s="50" t="s">
        <v>736</v>
      </c>
      <c r="BS509" s="50" t="s">
        <v>2569</v>
      </c>
      <c r="BT509" s="50" t="s">
        <v>985</v>
      </c>
      <c r="BU509" s="50" t="s">
        <v>16719</v>
      </c>
      <c r="BV509" s="50" t="s">
        <v>7044</v>
      </c>
      <c r="BW509" s="50" t="s">
        <v>138</v>
      </c>
      <c r="BX509" s="50" t="s">
        <v>16720</v>
      </c>
      <c r="BY509" s="50" t="s">
        <v>16721</v>
      </c>
      <c r="BZ509" s="50" t="s">
        <v>7046</v>
      </c>
      <c r="CA509" s="50" t="s">
        <v>7044</v>
      </c>
      <c r="CB509" s="50" t="s">
        <v>16720</v>
      </c>
      <c r="CC509" s="50" t="s">
        <v>16721</v>
      </c>
      <c r="CD509" s="50" t="s">
        <v>13694</v>
      </c>
      <c r="CE509" s="50" t="s">
        <v>7046</v>
      </c>
      <c r="CF509" s="50" t="s">
        <v>13695</v>
      </c>
      <c r="CG509" s="50" t="s">
        <v>3841</v>
      </c>
      <c r="CH509" s="50" t="s">
        <v>13696</v>
      </c>
      <c r="CJ509" s="50" t="s">
        <v>2982</v>
      </c>
      <c r="CK509" s="50" t="s">
        <v>13697</v>
      </c>
      <c r="CL509" s="50" t="s">
        <v>2327</v>
      </c>
      <c r="CM509" s="50" t="s">
        <v>730</v>
      </c>
      <c r="CN509" s="50" t="s">
        <v>2982</v>
      </c>
      <c r="CO509" s="50" t="s">
        <v>2983</v>
      </c>
      <c r="CP509" s="50" t="s">
        <v>7047</v>
      </c>
      <c r="CQ509" s="50" t="s">
        <v>7047</v>
      </c>
    </row>
    <row r="510" spans="1:96">
      <c r="A510" s="95" t="s">
        <v>149</v>
      </c>
      <c r="B510" s="50">
        <v>3826566</v>
      </c>
      <c r="C510" s="50" t="s">
        <v>3562</v>
      </c>
      <c r="D510" s="50" t="s">
        <v>7553</v>
      </c>
      <c r="E510" s="50" t="e">
        <f>VLOOKUP(B510,aa!B:F,5,0)</f>
        <v>#N/A</v>
      </c>
      <c r="F510" s="50" t="e">
        <f>VLOOKUP(B510,aa!B:J,9,0)</f>
        <v>#N/A</v>
      </c>
      <c r="G510" s="50" t="e">
        <f>VLOOKUP(B510,aa!B:L,11,0)</f>
        <v>#N/A</v>
      </c>
      <c r="H510" s="50" t="e">
        <f>VLOOKUP(B510,aa!B:O,14,0)</f>
        <v>#N/A</v>
      </c>
      <c r="I510" s="50" t="e">
        <f>VLOOKUP(B510,aa!B:R,17,0)</f>
        <v>#N/A</v>
      </c>
      <c r="K510" s="50" t="s">
        <v>97</v>
      </c>
      <c r="L510" s="50">
        <v>274336</v>
      </c>
      <c r="M510" s="50">
        <v>274336</v>
      </c>
      <c r="N510" s="50">
        <v>274336</v>
      </c>
      <c r="O510" s="50">
        <v>422</v>
      </c>
      <c r="P510" s="50" t="s">
        <v>1122</v>
      </c>
      <c r="Q510" s="50">
        <v>0</v>
      </c>
      <c r="R510" s="50">
        <v>0</v>
      </c>
      <c r="T510" s="50">
        <v>0</v>
      </c>
      <c r="U510" s="50">
        <v>0</v>
      </c>
      <c r="W510" s="50" t="s">
        <v>102</v>
      </c>
      <c r="X510" s="50" t="s">
        <v>275</v>
      </c>
      <c r="Z510" s="50" t="s">
        <v>126</v>
      </c>
      <c r="AA510" s="50" t="s">
        <v>109</v>
      </c>
      <c r="AB510" s="50" t="s">
        <v>102</v>
      </c>
      <c r="AC510" s="50" t="s">
        <v>109</v>
      </c>
      <c r="AD510" s="50" t="s">
        <v>102</v>
      </c>
      <c r="AE510" s="50" t="s">
        <v>109</v>
      </c>
      <c r="AF510" s="50" t="s">
        <v>102</v>
      </c>
      <c r="AG510" s="50" t="s">
        <v>109</v>
      </c>
      <c r="AH510" s="50" t="s">
        <v>102</v>
      </c>
      <c r="AI510" s="50" t="s">
        <v>102</v>
      </c>
      <c r="AL510" s="50" t="s">
        <v>17075</v>
      </c>
      <c r="AM510" s="50" t="s">
        <v>102</v>
      </c>
      <c r="AN510" s="50" t="s">
        <v>17075</v>
      </c>
      <c r="AO510" s="50" t="s">
        <v>17076</v>
      </c>
      <c r="AP510" s="50" t="s">
        <v>17077</v>
      </c>
      <c r="AQ510" s="50" t="s">
        <v>169</v>
      </c>
      <c r="AT510" s="50" t="s">
        <v>169</v>
      </c>
      <c r="AU510" s="50" t="s">
        <v>117</v>
      </c>
      <c r="AV510" s="50" t="s">
        <v>118</v>
      </c>
      <c r="AW510" s="50" t="s">
        <v>102</v>
      </c>
      <c r="AX510" s="50" t="s">
        <v>119</v>
      </c>
      <c r="BB510" s="50" t="s">
        <v>120</v>
      </c>
      <c r="BC510" s="50" t="s">
        <v>1729</v>
      </c>
      <c r="BD510" s="50" t="s">
        <v>730</v>
      </c>
      <c r="BE510" s="50" t="s">
        <v>622</v>
      </c>
      <c r="BF510" s="50" t="s">
        <v>730</v>
      </c>
      <c r="BG510" s="50" t="s">
        <v>124</v>
      </c>
      <c r="BH510" s="50" t="s">
        <v>126</v>
      </c>
      <c r="BI510" s="50" t="s">
        <v>12250</v>
      </c>
      <c r="BJ510" s="50" t="s">
        <v>127</v>
      </c>
      <c r="BK510" s="50" t="s">
        <v>17078</v>
      </c>
      <c r="BL510" s="50" t="s">
        <v>7557</v>
      </c>
      <c r="BM510" s="50" t="s">
        <v>17079</v>
      </c>
      <c r="BN510" s="50" t="s">
        <v>15873</v>
      </c>
      <c r="BO510" s="50" t="s">
        <v>7559</v>
      </c>
      <c r="BP510" s="50" t="s">
        <v>505</v>
      </c>
      <c r="BQ510" s="50" t="s">
        <v>7560</v>
      </c>
      <c r="BR510" s="50" t="s">
        <v>7561</v>
      </c>
      <c r="BS510" s="50" t="s">
        <v>3562</v>
      </c>
      <c r="BU510" s="50" t="s">
        <v>17080</v>
      </c>
      <c r="BV510" s="50" t="s">
        <v>17081</v>
      </c>
      <c r="BW510" s="50" t="s">
        <v>354</v>
      </c>
      <c r="BX510" s="50" t="s">
        <v>17082</v>
      </c>
      <c r="BY510" s="50" t="s">
        <v>17083</v>
      </c>
      <c r="BZ510" s="50" t="s">
        <v>7566</v>
      </c>
      <c r="CA510" s="50" t="s">
        <v>17081</v>
      </c>
      <c r="CB510" s="50" t="s">
        <v>17082</v>
      </c>
      <c r="CC510" s="50" t="s">
        <v>17083</v>
      </c>
      <c r="CD510" s="50" t="s">
        <v>17081</v>
      </c>
      <c r="CE510" s="50" t="s">
        <v>17082</v>
      </c>
      <c r="CF510" s="50" t="s">
        <v>17083</v>
      </c>
      <c r="CG510" s="50" t="s">
        <v>102</v>
      </c>
      <c r="CH510" s="50" t="s">
        <v>7568</v>
      </c>
      <c r="CJ510" s="50" t="s">
        <v>7569</v>
      </c>
      <c r="CL510" s="50" t="s">
        <v>1729</v>
      </c>
      <c r="CM510" s="50" t="s">
        <v>730</v>
      </c>
      <c r="CN510" s="50" t="s">
        <v>7569</v>
      </c>
      <c r="CP510" s="50" t="s">
        <v>7568</v>
      </c>
      <c r="CQ510" s="50" t="s">
        <v>7568</v>
      </c>
      <c r="CR510" s="50" t="s">
        <v>26048</v>
      </c>
    </row>
    <row r="511" spans="1:96">
      <c r="A511" s="50" t="s">
        <v>93</v>
      </c>
      <c r="B511" s="50">
        <v>5074421</v>
      </c>
      <c r="C511" s="50" t="s">
        <v>11882</v>
      </c>
      <c r="D511" s="50" t="s">
        <v>20825</v>
      </c>
      <c r="E511" s="50" t="e">
        <f>VLOOKUP(B511,aa!B:F,5,0)</f>
        <v>#N/A</v>
      </c>
      <c r="F511" s="50" t="e">
        <f>VLOOKUP(B511,aa!B:J,9,0)</f>
        <v>#N/A</v>
      </c>
      <c r="G511" s="50" t="e">
        <f>VLOOKUP(B511,aa!B:L,11,0)</f>
        <v>#N/A</v>
      </c>
      <c r="H511" s="50" t="e">
        <f>VLOOKUP(B511,aa!B:O,14,0)</f>
        <v>#N/A</v>
      </c>
      <c r="I511" s="50" t="e">
        <f>VLOOKUP(B511,aa!B:R,17,0)</f>
        <v>#N/A</v>
      </c>
      <c r="K511" s="50" t="s">
        <v>97</v>
      </c>
      <c r="L511" s="50">
        <v>7020</v>
      </c>
      <c r="M511" s="50">
        <v>7020</v>
      </c>
      <c r="N511" s="50">
        <v>7020</v>
      </c>
      <c r="O511" s="50">
        <v>9</v>
      </c>
      <c r="P511" s="50" t="s">
        <v>2110</v>
      </c>
      <c r="Q511" s="50">
        <v>0</v>
      </c>
      <c r="R511" s="50">
        <v>0</v>
      </c>
      <c r="T511" s="50">
        <v>0</v>
      </c>
      <c r="U511" s="50">
        <v>0</v>
      </c>
      <c r="W511" s="50" t="s">
        <v>102</v>
      </c>
      <c r="X511" s="50" t="s">
        <v>275</v>
      </c>
      <c r="Z511" s="50" t="s">
        <v>18515</v>
      </c>
      <c r="AA511" s="50" t="s">
        <v>109</v>
      </c>
      <c r="AB511" s="50" t="s">
        <v>102</v>
      </c>
      <c r="AC511" s="50" t="s">
        <v>109</v>
      </c>
      <c r="AD511" s="50" t="s">
        <v>102</v>
      </c>
      <c r="AE511" s="50" t="s">
        <v>109</v>
      </c>
      <c r="AF511" s="50" t="s">
        <v>102</v>
      </c>
      <c r="AG511" s="50" t="s">
        <v>109</v>
      </c>
      <c r="AH511" s="50" t="s">
        <v>102</v>
      </c>
      <c r="AI511" s="50" t="s">
        <v>102</v>
      </c>
      <c r="AL511" s="50" t="s">
        <v>10458</v>
      </c>
      <c r="AM511" s="50" t="s">
        <v>102</v>
      </c>
      <c r="AN511" s="50" t="s">
        <v>10458</v>
      </c>
      <c r="AO511" s="50" t="s">
        <v>3357</v>
      </c>
      <c r="AP511" s="50" t="s">
        <v>3357</v>
      </c>
      <c r="AU511" s="50" t="s">
        <v>117</v>
      </c>
      <c r="AV511" s="50" t="s">
        <v>118</v>
      </c>
      <c r="AW511" s="50" t="s">
        <v>102</v>
      </c>
      <c r="AX511" s="50" t="s">
        <v>119</v>
      </c>
      <c r="BB511" s="50" t="s">
        <v>120</v>
      </c>
      <c r="BC511" s="50" t="s">
        <v>4153</v>
      </c>
      <c r="BD511" s="50" t="s">
        <v>320</v>
      </c>
      <c r="BE511" s="50" t="s">
        <v>122</v>
      </c>
      <c r="BF511" s="50" t="s">
        <v>123</v>
      </c>
      <c r="BG511" s="50" t="s">
        <v>124</v>
      </c>
      <c r="BH511" s="50" t="s">
        <v>11888</v>
      </c>
      <c r="BI511" s="50" t="s">
        <v>11889</v>
      </c>
      <c r="BJ511" s="50" t="s">
        <v>127</v>
      </c>
      <c r="BK511" s="50" t="s">
        <v>20826</v>
      </c>
      <c r="BL511" s="50" t="s">
        <v>20827</v>
      </c>
      <c r="BM511" s="50" t="s">
        <v>20828</v>
      </c>
      <c r="BN511" s="50" t="s">
        <v>16372</v>
      </c>
      <c r="BO511" s="50" t="s">
        <v>3267</v>
      </c>
      <c r="BP511" s="50" t="s">
        <v>350</v>
      </c>
      <c r="BQ511" s="50" t="s">
        <v>3268</v>
      </c>
      <c r="BR511" s="50" t="s">
        <v>3269</v>
      </c>
      <c r="BS511" s="50" t="s">
        <v>135</v>
      </c>
      <c r="BU511" s="50" t="s">
        <v>20829</v>
      </c>
      <c r="BV511" s="50" t="s">
        <v>6970</v>
      </c>
      <c r="BW511" s="50" t="s">
        <v>138</v>
      </c>
      <c r="BX511" s="50" t="s">
        <v>16693</v>
      </c>
      <c r="BY511" s="50" t="s">
        <v>16694</v>
      </c>
      <c r="CA511" s="50" t="s">
        <v>6970</v>
      </c>
      <c r="CB511" s="50" t="s">
        <v>16693</v>
      </c>
      <c r="CC511" s="50" t="s">
        <v>16694</v>
      </c>
      <c r="CD511" s="50" t="s">
        <v>6966</v>
      </c>
      <c r="CE511" s="50" t="s">
        <v>6967</v>
      </c>
      <c r="CF511" s="50" t="s">
        <v>16694</v>
      </c>
      <c r="CG511" s="50" t="s">
        <v>102</v>
      </c>
      <c r="CH511" s="50" t="s">
        <v>19014</v>
      </c>
      <c r="CJ511" s="50" t="s">
        <v>9897</v>
      </c>
      <c r="CL511" s="50" t="s">
        <v>4153</v>
      </c>
      <c r="CM511" s="50" t="s">
        <v>320</v>
      </c>
      <c r="CN511" s="50" t="s">
        <v>9897</v>
      </c>
      <c r="CP511" s="50" t="s">
        <v>20830</v>
      </c>
      <c r="CQ511" s="50" t="s">
        <v>20830</v>
      </c>
    </row>
    <row r="512" spans="1:96">
      <c r="A512" s="50" t="s">
        <v>337</v>
      </c>
      <c r="B512" s="50">
        <v>5000918</v>
      </c>
      <c r="C512" s="50" t="s">
        <v>985</v>
      </c>
      <c r="D512" s="50" t="s">
        <v>18438</v>
      </c>
      <c r="E512" s="50" t="str">
        <f>VLOOKUP(B512,aa!B:F,5,0)</f>
        <v>Ei ASSET</v>
      </c>
      <c r="F512" s="50">
        <f>VLOOKUP(B512,aa!B:J,9,0)</f>
        <v>1294802</v>
      </c>
      <c r="G512" s="50">
        <f>VLOOKUP(B512,aa!B:L,11,0)</f>
        <v>1294802</v>
      </c>
      <c r="H512" s="50">
        <f>VLOOKUP(B512,aa!B:O,14,0)</f>
        <v>0</v>
      </c>
      <c r="I512" s="50">
        <f>VLOOKUP(B512,aa!B:R,17,0)</f>
        <v>0</v>
      </c>
      <c r="K512" s="50" t="s">
        <v>97</v>
      </c>
      <c r="L512" s="50">
        <v>1294802</v>
      </c>
      <c r="M512" s="50">
        <v>1294802</v>
      </c>
      <c r="N512" s="50">
        <v>1294802</v>
      </c>
      <c r="O512" s="50">
        <v>1423</v>
      </c>
      <c r="P512" s="50" t="s">
        <v>1798</v>
      </c>
      <c r="Q512" s="50">
        <v>0</v>
      </c>
      <c r="R512" s="50">
        <v>0</v>
      </c>
      <c r="T512" s="50">
        <v>0</v>
      </c>
      <c r="U512" s="50">
        <v>0</v>
      </c>
      <c r="W512" s="50" t="s">
        <v>102</v>
      </c>
      <c r="X512" s="50" t="s">
        <v>275</v>
      </c>
      <c r="Z512" s="50" t="s">
        <v>13863</v>
      </c>
      <c r="AA512" s="50" t="s">
        <v>109</v>
      </c>
      <c r="AB512" s="50" t="s">
        <v>102</v>
      </c>
      <c r="AC512" s="50" t="s">
        <v>109</v>
      </c>
      <c r="AD512" s="50" t="s">
        <v>102</v>
      </c>
      <c r="AE512" s="50" t="s">
        <v>109</v>
      </c>
      <c r="AF512" s="50" t="s">
        <v>102</v>
      </c>
      <c r="AG512" s="50" t="s">
        <v>109</v>
      </c>
      <c r="AH512" s="50" t="s">
        <v>102</v>
      </c>
      <c r="AI512" s="50" t="s">
        <v>18440</v>
      </c>
      <c r="AJ512" s="50" t="s">
        <v>12084</v>
      </c>
      <c r="AK512" s="50" t="s">
        <v>12752</v>
      </c>
      <c r="AL512" s="50" t="s">
        <v>18441</v>
      </c>
      <c r="AM512" s="50" t="s">
        <v>18442</v>
      </c>
      <c r="AN512" s="50" t="s">
        <v>102</v>
      </c>
      <c r="AO512" s="50" t="s">
        <v>18443</v>
      </c>
      <c r="AP512" s="50" t="s">
        <v>18443</v>
      </c>
      <c r="AU512" s="50" t="s">
        <v>117</v>
      </c>
      <c r="AV512" s="50" t="s">
        <v>118</v>
      </c>
      <c r="AW512" s="50" t="s">
        <v>102</v>
      </c>
      <c r="AX512" s="50" t="s">
        <v>119</v>
      </c>
      <c r="BB512" s="50" t="s">
        <v>120</v>
      </c>
      <c r="BC512" s="50" t="s">
        <v>2127</v>
      </c>
      <c r="BD512" s="50" t="s">
        <v>621</v>
      </c>
      <c r="BE512" s="50" t="s">
        <v>622</v>
      </c>
      <c r="BF512" s="50" t="s">
        <v>976</v>
      </c>
      <c r="BG512" s="50" t="s">
        <v>124</v>
      </c>
      <c r="BH512" s="50" t="s">
        <v>13863</v>
      </c>
      <c r="BI512" s="50" t="s">
        <v>11889</v>
      </c>
      <c r="BJ512" s="50" t="s">
        <v>127</v>
      </c>
      <c r="BK512" s="50" t="s">
        <v>18444</v>
      </c>
      <c r="BL512" s="50" t="s">
        <v>18445</v>
      </c>
      <c r="BM512" s="50" t="s">
        <v>18446</v>
      </c>
      <c r="BN512" s="50" t="s">
        <v>18439</v>
      </c>
      <c r="BO512" s="50" t="s">
        <v>13638</v>
      </c>
      <c r="BP512" s="50" t="s">
        <v>132</v>
      </c>
      <c r="BQ512" s="50" t="s">
        <v>13639</v>
      </c>
      <c r="BR512" s="50" t="s">
        <v>13640</v>
      </c>
      <c r="BS512" s="50" t="s">
        <v>2847</v>
      </c>
      <c r="BU512" s="50" t="s">
        <v>18447</v>
      </c>
      <c r="BV512" s="50" t="s">
        <v>18448</v>
      </c>
      <c r="BW512" s="50" t="s">
        <v>598</v>
      </c>
      <c r="BX512" s="50" t="s">
        <v>18449</v>
      </c>
      <c r="BY512" s="50" t="s">
        <v>18450</v>
      </c>
      <c r="BZ512" s="50" t="s">
        <v>18451</v>
      </c>
      <c r="CA512" s="50" t="s">
        <v>18452</v>
      </c>
      <c r="CB512" s="50" t="s">
        <v>18453</v>
      </c>
      <c r="CC512" s="50" t="s">
        <v>18454</v>
      </c>
      <c r="CD512" s="50" t="s">
        <v>18455</v>
      </c>
      <c r="CE512" s="50" t="s">
        <v>18456</v>
      </c>
      <c r="CF512" s="50" t="s">
        <v>18454</v>
      </c>
      <c r="CG512" s="50" t="s">
        <v>18457</v>
      </c>
      <c r="CH512" s="50" t="s">
        <v>18458</v>
      </c>
      <c r="CJ512" s="50" t="s">
        <v>18459</v>
      </c>
      <c r="CK512" s="50" t="s">
        <v>18460</v>
      </c>
      <c r="CL512" s="50" t="s">
        <v>2127</v>
      </c>
      <c r="CM512" s="50" t="s">
        <v>621</v>
      </c>
      <c r="CN512" s="50" t="s">
        <v>18459</v>
      </c>
      <c r="CO512" s="50" t="s">
        <v>18461</v>
      </c>
      <c r="CP512" s="50" t="s">
        <v>18462</v>
      </c>
      <c r="CQ512" s="50" t="s">
        <v>18463</v>
      </c>
    </row>
    <row r="513" spans="1:96">
      <c r="A513" s="50" t="s">
        <v>337</v>
      </c>
      <c r="B513" s="50">
        <v>5099788</v>
      </c>
      <c r="C513" s="50" t="s">
        <v>985</v>
      </c>
      <c r="D513" s="50" t="s">
        <v>20874</v>
      </c>
      <c r="E513" s="50" t="str">
        <f>VLOOKUP(B513,aa!B:F,5,0)</f>
        <v>Ei ASSET, Ei Mindspark</v>
      </c>
      <c r="F513" s="50">
        <f>VLOOKUP(B513,aa!B:J,9,0)</f>
        <v>194721</v>
      </c>
      <c r="G513" s="50">
        <f>VLOOKUP(B513,aa!B:L,11,0)</f>
        <v>194721</v>
      </c>
      <c r="H513" s="50">
        <f>VLOOKUP(B513,aa!B:O,14,0)</f>
        <v>0</v>
      </c>
      <c r="I513" s="50">
        <f>VLOOKUP(B513,aa!B:R,17,0)</f>
        <v>0</v>
      </c>
      <c r="K513" s="50" t="s">
        <v>97</v>
      </c>
      <c r="L513" s="50">
        <v>194721</v>
      </c>
      <c r="M513" s="50">
        <v>194721</v>
      </c>
      <c r="N513" s="50">
        <v>194721</v>
      </c>
      <c r="O513" s="50">
        <v>214</v>
      </c>
      <c r="P513" s="50" t="s">
        <v>1798</v>
      </c>
      <c r="Q513" s="50">
        <v>0</v>
      </c>
      <c r="R513" s="50">
        <v>0</v>
      </c>
      <c r="T513" s="50">
        <v>0</v>
      </c>
      <c r="U513" s="50">
        <v>0</v>
      </c>
      <c r="W513" s="50" t="s">
        <v>102</v>
      </c>
      <c r="X513" s="50" t="s">
        <v>275</v>
      </c>
      <c r="Z513" s="50" t="s">
        <v>13863</v>
      </c>
      <c r="AA513" s="50" t="s">
        <v>109</v>
      </c>
      <c r="AB513" s="50" t="s">
        <v>102</v>
      </c>
      <c r="AC513" s="50" t="s">
        <v>109</v>
      </c>
      <c r="AD513" s="50" t="s">
        <v>102</v>
      </c>
      <c r="AE513" s="50" t="s">
        <v>109</v>
      </c>
      <c r="AF513" s="50" t="s">
        <v>102</v>
      </c>
      <c r="AG513" s="50" t="s">
        <v>109</v>
      </c>
      <c r="AH513" s="50" t="s">
        <v>102</v>
      </c>
      <c r="AI513" s="50" t="s">
        <v>20875</v>
      </c>
      <c r="AJ513" s="50" t="s">
        <v>12084</v>
      </c>
      <c r="AK513" s="50" t="s">
        <v>12752</v>
      </c>
      <c r="AL513" s="50" t="s">
        <v>20876</v>
      </c>
      <c r="AM513" s="50" t="s">
        <v>20877</v>
      </c>
      <c r="AN513" s="50" t="s">
        <v>102</v>
      </c>
      <c r="AO513" s="50" t="s">
        <v>18443</v>
      </c>
      <c r="AP513" s="50" t="s">
        <v>18443</v>
      </c>
      <c r="AU513" s="50" t="s">
        <v>117</v>
      </c>
      <c r="AV513" s="50" t="s">
        <v>118</v>
      </c>
      <c r="AW513" s="50" t="s">
        <v>102</v>
      </c>
      <c r="AX513" s="50" t="s">
        <v>119</v>
      </c>
      <c r="BB513" s="50" t="s">
        <v>120</v>
      </c>
      <c r="BC513" s="50" t="s">
        <v>2127</v>
      </c>
      <c r="BD513" s="50" t="s">
        <v>621</v>
      </c>
      <c r="BE513" s="50" t="s">
        <v>622</v>
      </c>
      <c r="BF513" s="50" t="s">
        <v>976</v>
      </c>
      <c r="BG513" s="50" t="s">
        <v>124</v>
      </c>
      <c r="BH513" s="50" t="s">
        <v>13863</v>
      </c>
      <c r="BI513" s="50" t="s">
        <v>11889</v>
      </c>
      <c r="BJ513" s="50" t="s">
        <v>127</v>
      </c>
      <c r="BK513" s="50" t="s">
        <v>20878</v>
      </c>
      <c r="BL513" s="50" t="s">
        <v>20879</v>
      </c>
      <c r="BM513" s="50" t="s">
        <v>20880</v>
      </c>
      <c r="BN513" s="50" t="s">
        <v>18439</v>
      </c>
      <c r="BO513" s="50" t="s">
        <v>13638</v>
      </c>
      <c r="BP513" s="50" t="s">
        <v>132</v>
      </c>
      <c r="BQ513" s="50" t="s">
        <v>13639</v>
      </c>
      <c r="BR513" s="50" t="s">
        <v>13640</v>
      </c>
      <c r="BS513" s="50" t="s">
        <v>2847</v>
      </c>
      <c r="BU513" s="50" t="s">
        <v>20881</v>
      </c>
      <c r="BV513" s="50" t="s">
        <v>18448</v>
      </c>
      <c r="BW513" s="50" t="s">
        <v>598</v>
      </c>
      <c r="BX513" s="50" t="s">
        <v>18449</v>
      </c>
      <c r="BY513" s="50" t="s">
        <v>18450</v>
      </c>
      <c r="BZ513" s="50" t="s">
        <v>20882</v>
      </c>
      <c r="CA513" s="50" t="s">
        <v>18452</v>
      </c>
      <c r="CB513" s="50" t="s">
        <v>18453</v>
      </c>
      <c r="CC513" s="50" t="s">
        <v>20883</v>
      </c>
      <c r="CD513" s="50" t="s">
        <v>20884</v>
      </c>
      <c r="CE513" s="50" t="s">
        <v>20885</v>
      </c>
      <c r="CF513" s="50" t="s">
        <v>20883</v>
      </c>
      <c r="CG513" s="50" t="s">
        <v>18457</v>
      </c>
      <c r="CH513" s="50" t="s">
        <v>18458</v>
      </c>
      <c r="CJ513" s="50" t="s">
        <v>18459</v>
      </c>
      <c r="CK513" s="50" t="s">
        <v>20886</v>
      </c>
      <c r="CL513" s="50" t="s">
        <v>2127</v>
      </c>
      <c r="CM513" s="50" t="s">
        <v>621</v>
      </c>
      <c r="CN513" s="50" t="s">
        <v>20887</v>
      </c>
      <c r="CO513" s="50" t="s">
        <v>18461</v>
      </c>
      <c r="CP513" s="50" t="s">
        <v>20888</v>
      </c>
      <c r="CQ513" s="50" t="s">
        <v>20889</v>
      </c>
    </row>
    <row r="514" spans="1:96">
      <c r="A514" s="50" t="s">
        <v>93</v>
      </c>
      <c r="B514" s="50">
        <v>1324784</v>
      </c>
      <c r="C514" s="50" t="s">
        <v>12030</v>
      </c>
      <c r="D514" s="50" t="s">
        <v>12392</v>
      </c>
      <c r="E514" s="50" t="str">
        <f>VLOOKUP(B514,aa!B:F,5,0)</f>
        <v>Ei CARES</v>
      </c>
      <c r="F514" s="50">
        <f>VLOOKUP(B514,aa!B:J,9,0)</f>
        <v>180024</v>
      </c>
      <c r="G514" s="50">
        <f>VLOOKUP(B514,aa!B:L,11,0)</f>
        <v>0</v>
      </c>
      <c r="H514" s="50">
        <f>VLOOKUP(B514,aa!B:O,14,0)</f>
        <v>180024</v>
      </c>
      <c r="I514" s="50">
        <f>VLOOKUP(B514,aa!B:R,17,0)</f>
        <v>0</v>
      </c>
      <c r="K514" s="50" t="s">
        <v>152</v>
      </c>
      <c r="L514" s="50">
        <v>49148</v>
      </c>
      <c r="M514" s="50">
        <v>49148</v>
      </c>
      <c r="N514" s="50">
        <v>0</v>
      </c>
      <c r="O514" s="50">
        <v>0</v>
      </c>
      <c r="Q514" s="50">
        <v>49148</v>
      </c>
      <c r="R514" s="50">
        <v>119</v>
      </c>
      <c r="S514" s="50" t="s">
        <v>12394</v>
      </c>
      <c r="T514" s="50">
        <v>0</v>
      </c>
      <c r="U514" s="50">
        <v>0</v>
      </c>
      <c r="W514" s="50" t="s">
        <v>102</v>
      </c>
      <c r="X514" s="50" t="s">
        <v>103</v>
      </c>
      <c r="Y514" s="50" t="s">
        <v>104</v>
      </c>
      <c r="AA514" s="50" t="s">
        <v>12395</v>
      </c>
      <c r="AB514" s="50" t="s">
        <v>12396</v>
      </c>
      <c r="AC514" s="50" t="s">
        <v>11886</v>
      </c>
      <c r="AD514" s="50" t="s">
        <v>12396</v>
      </c>
      <c r="AE514" s="50" t="s">
        <v>109</v>
      </c>
      <c r="AF514" s="50" t="s">
        <v>102</v>
      </c>
      <c r="AG514" s="50" t="s">
        <v>109</v>
      </c>
      <c r="AH514" s="50" t="s">
        <v>102</v>
      </c>
      <c r="AI514" s="50" t="s">
        <v>102</v>
      </c>
      <c r="AJ514" s="50" t="s">
        <v>12397</v>
      </c>
      <c r="AK514" s="50" t="s">
        <v>12397</v>
      </c>
      <c r="AL514" s="50" t="s">
        <v>12398</v>
      </c>
      <c r="AM514" s="50" t="s">
        <v>12399</v>
      </c>
      <c r="AN514" s="50" t="s">
        <v>12400</v>
      </c>
      <c r="AO514" s="50" t="s">
        <v>12401</v>
      </c>
      <c r="AP514" s="50" t="s">
        <v>12401</v>
      </c>
      <c r="AU514" s="50" t="s">
        <v>102</v>
      </c>
      <c r="AW514" s="50" t="s">
        <v>104</v>
      </c>
      <c r="AX514" s="50" t="s">
        <v>447</v>
      </c>
      <c r="AY514" s="50" t="s">
        <v>170</v>
      </c>
      <c r="AZ514" s="50" t="s">
        <v>118</v>
      </c>
      <c r="BB514" s="50" t="s">
        <v>120</v>
      </c>
      <c r="BC514" s="50" t="s">
        <v>319</v>
      </c>
      <c r="BD514" s="50" t="s">
        <v>320</v>
      </c>
      <c r="BE514" s="50" t="s">
        <v>122</v>
      </c>
      <c r="BF514" s="50" t="s">
        <v>123</v>
      </c>
      <c r="BG514" s="50" t="s">
        <v>124</v>
      </c>
      <c r="BH514" s="50" t="s">
        <v>12327</v>
      </c>
      <c r="BI514" s="50" t="s">
        <v>11889</v>
      </c>
      <c r="BJ514" s="50" t="s">
        <v>127</v>
      </c>
      <c r="BK514" s="50" t="s">
        <v>12402</v>
      </c>
      <c r="BL514" s="50" t="s">
        <v>12403</v>
      </c>
      <c r="BM514" s="50" t="s">
        <v>12404</v>
      </c>
      <c r="BN514" s="50" t="s">
        <v>12393</v>
      </c>
      <c r="BO514" s="50" t="s">
        <v>4845</v>
      </c>
      <c r="BP514" s="50" t="s">
        <v>350</v>
      </c>
      <c r="BQ514" s="50" t="s">
        <v>4846</v>
      </c>
      <c r="BR514" s="50" t="s">
        <v>4847</v>
      </c>
      <c r="BS514" s="50" t="s">
        <v>8756</v>
      </c>
      <c r="BT514" s="50" t="s">
        <v>5574</v>
      </c>
      <c r="BU514" s="50" t="s">
        <v>12405</v>
      </c>
      <c r="BV514" s="50" t="s">
        <v>12406</v>
      </c>
      <c r="BW514" s="50" t="s">
        <v>138</v>
      </c>
      <c r="BX514" s="50" t="s">
        <v>12407</v>
      </c>
      <c r="BY514" s="50" t="s">
        <v>12408</v>
      </c>
      <c r="BZ514" s="50" t="s">
        <v>12409</v>
      </c>
      <c r="CA514" s="50" t="s">
        <v>12406</v>
      </c>
      <c r="CB514" s="50" t="s">
        <v>12407</v>
      </c>
      <c r="CC514" s="50" t="s">
        <v>12408</v>
      </c>
      <c r="CD514" s="50" t="s">
        <v>12406</v>
      </c>
      <c r="CE514" s="50" t="s">
        <v>12407</v>
      </c>
      <c r="CF514" s="50" t="s">
        <v>12408</v>
      </c>
      <c r="CG514" s="50" t="s">
        <v>12115</v>
      </c>
      <c r="CH514" s="50" t="s">
        <v>12410</v>
      </c>
      <c r="CJ514" s="50" t="s">
        <v>12411</v>
      </c>
      <c r="CK514" s="50" t="s">
        <v>12412</v>
      </c>
      <c r="CL514" s="50" t="s">
        <v>319</v>
      </c>
      <c r="CM514" s="50" t="s">
        <v>320</v>
      </c>
      <c r="CN514" s="50" t="s">
        <v>12411</v>
      </c>
      <c r="CP514" s="50" t="s">
        <v>12410</v>
      </c>
      <c r="CQ514" s="50" t="s">
        <v>12410</v>
      </c>
    </row>
    <row r="515" spans="1:96">
      <c r="A515" s="95" t="s">
        <v>26356</v>
      </c>
      <c r="B515" s="50">
        <v>551567</v>
      </c>
      <c r="C515" s="50" t="s">
        <v>11882</v>
      </c>
      <c r="D515" s="50" t="s">
        <v>11091</v>
      </c>
      <c r="E515" s="50" t="e">
        <f>VLOOKUP(B515,aa!B:F,5,0)</f>
        <v>#N/A</v>
      </c>
      <c r="F515" s="50" t="e">
        <f>VLOOKUP(B515,aa!B:J,9,0)</f>
        <v>#N/A</v>
      </c>
      <c r="G515" s="50" t="e">
        <f>VLOOKUP(B515,aa!B:L,11,0)</f>
        <v>#N/A</v>
      </c>
      <c r="H515" s="50" t="e">
        <f>VLOOKUP(B515,aa!B:O,14,0)</f>
        <v>#N/A</v>
      </c>
      <c r="I515" s="50" t="e">
        <f>VLOOKUP(B515,aa!B:R,17,0)</f>
        <v>#N/A</v>
      </c>
      <c r="K515" s="50" t="s">
        <v>97</v>
      </c>
      <c r="L515" s="50">
        <v>370377</v>
      </c>
      <c r="M515" s="50">
        <v>370377</v>
      </c>
      <c r="N515" s="50">
        <v>370377</v>
      </c>
      <c r="O515" s="50">
        <v>463</v>
      </c>
      <c r="P515" s="50" t="s">
        <v>1297</v>
      </c>
      <c r="Q515" s="50">
        <v>0</v>
      </c>
      <c r="R515" s="50">
        <v>0</v>
      </c>
      <c r="T515" s="50">
        <v>0</v>
      </c>
      <c r="U515" s="50">
        <v>0</v>
      </c>
      <c r="W515" s="50" t="s">
        <v>102</v>
      </c>
      <c r="X515" s="50" t="s">
        <v>103</v>
      </c>
      <c r="Y515" s="50" t="s">
        <v>104</v>
      </c>
      <c r="AA515" s="50" t="s">
        <v>11884</v>
      </c>
      <c r="AB515" s="50" t="s">
        <v>21104</v>
      </c>
      <c r="AC515" s="50" t="s">
        <v>11886</v>
      </c>
      <c r="AD515" s="50" t="s">
        <v>21104</v>
      </c>
      <c r="AE515" s="50" t="s">
        <v>109</v>
      </c>
      <c r="AF515" s="50" t="s">
        <v>102</v>
      </c>
      <c r="AG515" s="50" t="s">
        <v>109</v>
      </c>
      <c r="AH515" s="50" t="s">
        <v>102</v>
      </c>
      <c r="AI515" s="50" t="s">
        <v>21105</v>
      </c>
      <c r="AJ515" s="50" t="s">
        <v>21106</v>
      </c>
      <c r="AK515" s="50" t="s">
        <v>21106</v>
      </c>
      <c r="AL515" s="50" t="s">
        <v>21107</v>
      </c>
      <c r="AM515" s="50" t="s">
        <v>21108</v>
      </c>
      <c r="AN515" s="50" t="s">
        <v>21109</v>
      </c>
      <c r="AO515" s="50" t="s">
        <v>1304</v>
      </c>
      <c r="AP515" s="50" t="s">
        <v>1304</v>
      </c>
      <c r="AU515" s="50" t="s">
        <v>117</v>
      </c>
      <c r="AV515" s="50" t="s">
        <v>118</v>
      </c>
      <c r="AW515" s="50" t="s">
        <v>102</v>
      </c>
      <c r="AX515" s="50" t="s">
        <v>119</v>
      </c>
      <c r="BB515" s="50" t="s">
        <v>120</v>
      </c>
      <c r="BC515" s="50" t="s">
        <v>1407</v>
      </c>
      <c r="BD515" s="50" t="s">
        <v>449</v>
      </c>
      <c r="BE515" s="50" t="s">
        <v>122</v>
      </c>
      <c r="BF515" s="50" t="s">
        <v>450</v>
      </c>
      <c r="BG515" s="50" t="s">
        <v>124</v>
      </c>
      <c r="BH515" s="50" t="s">
        <v>11888</v>
      </c>
      <c r="BI515" s="50" t="s">
        <v>11889</v>
      </c>
      <c r="BJ515" s="50" t="s">
        <v>127</v>
      </c>
      <c r="BK515" s="50" t="s">
        <v>21110</v>
      </c>
      <c r="BL515" s="50" t="s">
        <v>11104</v>
      </c>
      <c r="BM515" s="50" t="s">
        <v>21111</v>
      </c>
      <c r="BN515" s="50" t="s">
        <v>12393</v>
      </c>
      <c r="BO515" s="50" t="s">
        <v>3267</v>
      </c>
      <c r="BP515" s="50" t="s">
        <v>350</v>
      </c>
      <c r="BQ515" s="50" t="s">
        <v>3268</v>
      </c>
      <c r="BR515" s="50" t="s">
        <v>3269</v>
      </c>
      <c r="BS515" s="50" t="s">
        <v>135</v>
      </c>
      <c r="BU515" s="50" t="s">
        <v>21112</v>
      </c>
      <c r="BV515" s="50" t="s">
        <v>11893</v>
      </c>
      <c r="BW515" s="50" t="s">
        <v>598</v>
      </c>
      <c r="BX515" s="50" t="s">
        <v>7967</v>
      </c>
      <c r="BY515" s="50" t="s">
        <v>11894</v>
      </c>
      <c r="BZ515" s="50" t="s">
        <v>11113</v>
      </c>
      <c r="CA515" s="50" t="s">
        <v>11114</v>
      </c>
      <c r="CB515" s="50" t="s">
        <v>21113</v>
      </c>
      <c r="CC515" s="50" t="s">
        <v>11894</v>
      </c>
      <c r="CD515" s="50" t="s">
        <v>11893</v>
      </c>
      <c r="CE515" s="50" t="s">
        <v>7967</v>
      </c>
      <c r="CF515" s="50" t="s">
        <v>11894</v>
      </c>
      <c r="CG515" s="50" t="s">
        <v>1417</v>
      </c>
      <c r="CH515" s="50" t="s">
        <v>21114</v>
      </c>
      <c r="CJ515" s="50" t="s">
        <v>4271</v>
      </c>
      <c r="CK515" s="50" t="s">
        <v>21115</v>
      </c>
      <c r="CL515" s="50" t="s">
        <v>1407</v>
      </c>
      <c r="CM515" s="50" t="s">
        <v>449</v>
      </c>
      <c r="CN515" s="50" t="s">
        <v>4271</v>
      </c>
      <c r="CO515" s="50" t="s">
        <v>11122</v>
      </c>
      <c r="CP515" s="50" t="s">
        <v>11123</v>
      </c>
      <c r="CQ515" s="50" t="s">
        <v>11123</v>
      </c>
    </row>
    <row r="516" spans="1:96">
      <c r="A516" s="95" t="s">
        <v>26356</v>
      </c>
      <c r="B516" s="50">
        <v>82810</v>
      </c>
      <c r="C516" s="50" t="s">
        <v>11882</v>
      </c>
      <c r="D516" s="50" t="s">
        <v>21529</v>
      </c>
      <c r="E516" s="50" t="e">
        <f>VLOOKUP(B516,aa!B:F,5,0)</f>
        <v>#N/A</v>
      </c>
      <c r="F516" s="50" t="e">
        <f>VLOOKUP(B516,aa!B:J,9,0)</f>
        <v>#N/A</v>
      </c>
      <c r="G516" s="50" t="e">
        <f>VLOOKUP(B516,aa!B:L,11,0)</f>
        <v>#N/A</v>
      </c>
      <c r="H516" s="50" t="e">
        <f>VLOOKUP(B516,aa!B:O,14,0)</f>
        <v>#N/A</v>
      </c>
      <c r="I516" s="50" t="e">
        <f>VLOOKUP(B516,aa!B:R,17,0)</f>
        <v>#N/A</v>
      </c>
      <c r="K516" s="50" t="s">
        <v>97</v>
      </c>
      <c r="L516" s="50">
        <v>603961</v>
      </c>
      <c r="M516" s="50">
        <v>603961</v>
      </c>
      <c r="N516" s="50">
        <v>603961</v>
      </c>
      <c r="O516" s="50">
        <v>762</v>
      </c>
      <c r="P516" s="50" t="s">
        <v>18563</v>
      </c>
      <c r="Q516" s="50">
        <v>0</v>
      </c>
      <c r="R516" s="50">
        <v>0</v>
      </c>
      <c r="T516" s="50">
        <v>0</v>
      </c>
      <c r="U516" s="50">
        <v>0</v>
      </c>
      <c r="W516" s="50" t="s">
        <v>102</v>
      </c>
      <c r="X516" s="50" t="s">
        <v>103</v>
      </c>
      <c r="Y516" s="50" t="s">
        <v>104</v>
      </c>
      <c r="AA516" s="50" t="s">
        <v>11884</v>
      </c>
      <c r="AB516" s="50" t="s">
        <v>21530</v>
      </c>
      <c r="AC516" s="50" t="s">
        <v>11886</v>
      </c>
      <c r="AD516" s="50" t="s">
        <v>21530</v>
      </c>
      <c r="AE516" s="50" t="s">
        <v>109</v>
      </c>
      <c r="AF516" s="50" t="s">
        <v>102</v>
      </c>
      <c r="AG516" s="50" t="s">
        <v>109</v>
      </c>
      <c r="AH516" s="50" t="s">
        <v>102</v>
      </c>
      <c r="AI516" s="50" t="s">
        <v>21531</v>
      </c>
      <c r="AJ516" s="50" t="s">
        <v>13867</v>
      </c>
      <c r="AK516" s="50" t="s">
        <v>13867</v>
      </c>
      <c r="AL516" s="50" t="s">
        <v>21532</v>
      </c>
      <c r="AM516" s="50" t="s">
        <v>21533</v>
      </c>
      <c r="AN516" s="50" t="s">
        <v>21530</v>
      </c>
      <c r="AO516" s="50" t="s">
        <v>21534</v>
      </c>
      <c r="AP516" s="50" t="s">
        <v>21534</v>
      </c>
      <c r="AU516" s="50" t="s">
        <v>117</v>
      </c>
      <c r="AV516" s="50" t="s">
        <v>118</v>
      </c>
      <c r="AW516" s="50" t="s">
        <v>102</v>
      </c>
      <c r="AX516" s="50" t="s">
        <v>119</v>
      </c>
      <c r="BB516" s="50" t="s">
        <v>120</v>
      </c>
      <c r="BC516" s="50" t="s">
        <v>2204</v>
      </c>
      <c r="BD516" s="50" t="s">
        <v>121</v>
      </c>
      <c r="BE516" s="50" t="s">
        <v>122</v>
      </c>
      <c r="BF516" s="50" t="s">
        <v>123</v>
      </c>
      <c r="BG516" s="50" t="s">
        <v>124</v>
      </c>
      <c r="BH516" s="50" t="s">
        <v>11888</v>
      </c>
      <c r="BI516" s="50" t="s">
        <v>11889</v>
      </c>
      <c r="BJ516" s="50" t="s">
        <v>127</v>
      </c>
      <c r="BK516" s="50" t="s">
        <v>21535</v>
      </c>
      <c r="BL516" s="50" t="s">
        <v>11719</v>
      </c>
      <c r="BM516" s="50" t="s">
        <v>21536</v>
      </c>
      <c r="BN516" s="50" t="s">
        <v>12393</v>
      </c>
      <c r="BO516" s="50" t="s">
        <v>3267</v>
      </c>
      <c r="BP516" s="50" t="s">
        <v>350</v>
      </c>
      <c r="BQ516" s="50" t="s">
        <v>3268</v>
      </c>
      <c r="BR516" s="50" t="s">
        <v>3269</v>
      </c>
      <c r="BS516" s="50" t="s">
        <v>135</v>
      </c>
      <c r="BU516" s="50" t="s">
        <v>21537</v>
      </c>
      <c r="BV516" s="50" t="s">
        <v>11893</v>
      </c>
      <c r="BW516" s="50" t="s">
        <v>598</v>
      </c>
      <c r="BX516" s="50" t="s">
        <v>7967</v>
      </c>
      <c r="BY516" s="50" t="s">
        <v>11894</v>
      </c>
      <c r="BZ516" s="50" t="s">
        <v>11725</v>
      </c>
      <c r="CA516" s="50" t="s">
        <v>21538</v>
      </c>
      <c r="CB516" s="50" t="s">
        <v>11723</v>
      </c>
      <c r="CC516" s="50" t="s">
        <v>11894</v>
      </c>
      <c r="CD516" s="50" t="s">
        <v>11893</v>
      </c>
      <c r="CE516" s="50" t="s">
        <v>7967</v>
      </c>
      <c r="CF516" s="50" t="s">
        <v>11894</v>
      </c>
      <c r="CG516" s="50" t="s">
        <v>11726</v>
      </c>
      <c r="CH516" s="50" t="s">
        <v>21539</v>
      </c>
      <c r="CJ516" s="50" t="s">
        <v>147</v>
      </c>
      <c r="CL516" s="50" t="s">
        <v>2204</v>
      </c>
      <c r="CM516" s="50" t="s">
        <v>121</v>
      </c>
      <c r="CN516" s="50" t="s">
        <v>147</v>
      </c>
      <c r="CO516" s="50" t="s">
        <v>11728</v>
      </c>
      <c r="CP516" s="50" t="s">
        <v>11727</v>
      </c>
      <c r="CQ516" s="50" t="s">
        <v>11727</v>
      </c>
    </row>
    <row r="517" spans="1:96">
      <c r="A517" s="95" t="s">
        <v>26356</v>
      </c>
      <c r="B517" s="50">
        <v>1002463</v>
      </c>
      <c r="C517" s="50" t="s">
        <v>11882</v>
      </c>
      <c r="D517" s="50" t="s">
        <v>94</v>
      </c>
      <c r="E517" s="50" t="e">
        <f>VLOOKUP(B517,aa!B:F,5,0)</f>
        <v>#N/A</v>
      </c>
      <c r="F517" s="50" t="e">
        <f>VLOOKUP(B517,aa!B:J,9,0)</f>
        <v>#N/A</v>
      </c>
      <c r="G517" s="50" t="e">
        <f>VLOOKUP(B517,aa!B:L,11,0)</f>
        <v>#N/A</v>
      </c>
      <c r="H517" s="50" t="e">
        <f>VLOOKUP(B517,aa!B:O,14,0)</f>
        <v>#N/A</v>
      </c>
      <c r="I517" s="50" t="e">
        <f>VLOOKUP(B517,aa!B:R,17,0)</f>
        <v>#N/A</v>
      </c>
      <c r="K517" s="50" t="s">
        <v>97</v>
      </c>
      <c r="L517" s="50">
        <v>283982</v>
      </c>
      <c r="M517" s="50">
        <v>283982</v>
      </c>
      <c r="N517" s="50">
        <v>283982</v>
      </c>
      <c r="O517" s="50">
        <v>355</v>
      </c>
      <c r="P517" s="50" t="s">
        <v>1297</v>
      </c>
      <c r="Q517" s="50">
        <v>0</v>
      </c>
      <c r="R517" s="50">
        <v>0</v>
      </c>
      <c r="T517" s="50">
        <v>0</v>
      </c>
      <c r="U517" s="50">
        <v>0</v>
      </c>
      <c r="W517" s="50" t="s">
        <v>102</v>
      </c>
      <c r="X517" s="50" t="s">
        <v>103</v>
      </c>
      <c r="Y517" s="50" t="s">
        <v>104</v>
      </c>
      <c r="AA517" s="50" t="s">
        <v>11884</v>
      </c>
      <c r="AB517" s="50" t="s">
        <v>11885</v>
      </c>
      <c r="AC517" s="50" t="s">
        <v>11886</v>
      </c>
      <c r="AD517" s="50" t="s">
        <v>11885</v>
      </c>
      <c r="AE517" s="50" t="s">
        <v>109</v>
      </c>
      <c r="AF517" s="50" t="s">
        <v>102</v>
      </c>
      <c r="AG517" s="50" t="s">
        <v>109</v>
      </c>
      <c r="AH517" s="50" t="s">
        <v>102</v>
      </c>
      <c r="AI517" s="50" t="s">
        <v>102</v>
      </c>
      <c r="AL517" s="50" t="s">
        <v>11887</v>
      </c>
      <c r="AM517" s="50" t="s">
        <v>102</v>
      </c>
      <c r="AN517" s="50" t="s">
        <v>11887</v>
      </c>
      <c r="AO517" s="50" t="s">
        <v>1304</v>
      </c>
      <c r="AP517" s="50" t="s">
        <v>1304</v>
      </c>
      <c r="AU517" s="50" t="s">
        <v>117</v>
      </c>
      <c r="AV517" s="50" t="s">
        <v>118</v>
      </c>
      <c r="AW517" s="50" t="s">
        <v>102</v>
      </c>
      <c r="AX517" s="50" t="s">
        <v>119</v>
      </c>
      <c r="BB517" s="50" t="s">
        <v>120</v>
      </c>
      <c r="BC517" s="50" t="s">
        <v>121</v>
      </c>
      <c r="BD517" s="50" t="s">
        <v>121</v>
      </c>
      <c r="BE517" s="50" t="s">
        <v>122</v>
      </c>
      <c r="BF517" s="50" t="s">
        <v>123</v>
      </c>
      <c r="BG517" s="50" t="s">
        <v>124</v>
      </c>
      <c r="BH517" s="50" t="s">
        <v>11888</v>
      </c>
      <c r="BI517" s="50" t="s">
        <v>11889</v>
      </c>
      <c r="BJ517" s="50" t="s">
        <v>127</v>
      </c>
      <c r="BK517" s="50" t="s">
        <v>11890</v>
      </c>
      <c r="BL517" s="50" t="s">
        <v>129</v>
      </c>
      <c r="BM517" s="50" t="s">
        <v>11891</v>
      </c>
      <c r="BN517" s="50" t="s">
        <v>11883</v>
      </c>
      <c r="BO517" s="50" t="s">
        <v>3267</v>
      </c>
      <c r="BP517" s="50" t="s">
        <v>132</v>
      </c>
      <c r="BQ517" s="50" t="s">
        <v>3268</v>
      </c>
      <c r="BR517" s="50" t="s">
        <v>3269</v>
      </c>
      <c r="BS517" s="50" t="s">
        <v>135</v>
      </c>
      <c r="BU517" s="50" t="s">
        <v>11892</v>
      </c>
      <c r="BV517" s="50" t="s">
        <v>11893</v>
      </c>
      <c r="BW517" s="50" t="s">
        <v>598</v>
      </c>
      <c r="BX517" s="50" t="s">
        <v>7967</v>
      </c>
      <c r="BY517" s="50" t="s">
        <v>11894</v>
      </c>
      <c r="BZ517" s="50" t="s">
        <v>141</v>
      </c>
      <c r="CA517" s="50" t="s">
        <v>11895</v>
      </c>
      <c r="CB517" s="50" t="s">
        <v>139</v>
      </c>
      <c r="CC517" s="50" t="s">
        <v>11894</v>
      </c>
      <c r="CD517" s="50" t="s">
        <v>11893</v>
      </c>
      <c r="CE517" s="50" t="s">
        <v>7967</v>
      </c>
      <c r="CF517" s="50" t="s">
        <v>11894</v>
      </c>
      <c r="CG517" s="50" t="s">
        <v>145</v>
      </c>
      <c r="CH517" s="50" t="s">
        <v>11896</v>
      </c>
      <c r="CJ517" s="50" t="s">
        <v>147</v>
      </c>
      <c r="CL517" s="50" t="s">
        <v>121</v>
      </c>
      <c r="CM517" s="50" t="s">
        <v>121</v>
      </c>
      <c r="CN517" s="50" t="s">
        <v>147</v>
      </c>
      <c r="CO517" s="50" t="s">
        <v>148</v>
      </c>
      <c r="CP517" s="50" t="s">
        <v>146</v>
      </c>
      <c r="CQ517" s="50" t="s">
        <v>146</v>
      </c>
    </row>
    <row r="518" spans="1:96">
      <c r="A518" s="95" t="s">
        <v>26356</v>
      </c>
      <c r="B518" s="50">
        <v>395154</v>
      </c>
      <c r="C518" s="50" t="s">
        <v>11882</v>
      </c>
      <c r="D518" s="50" t="s">
        <v>7952</v>
      </c>
      <c r="E518" s="50" t="e">
        <f>VLOOKUP(B518,aa!B:F,5,0)</f>
        <v>#N/A</v>
      </c>
      <c r="F518" s="50" t="e">
        <f>VLOOKUP(B518,aa!B:J,9,0)</f>
        <v>#N/A</v>
      </c>
      <c r="G518" s="50" t="e">
        <f>VLOOKUP(B518,aa!B:L,11,0)</f>
        <v>#N/A</v>
      </c>
      <c r="H518" s="50" t="e">
        <f>VLOOKUP(B518,aa!B:O,14,0)</f>
        <v>#N/A</v>
      </c>
      <c r="I518" s="50" t="e">
        <f>VLOOKUP(B518,aa!B:R,17,0)</f>
        <v>#N/A</v>
      </c>
      <c r="K518" s="50" t="s">
        <v>97</v>
      </c>
      <c r="L518" s="50">
        <v>755153</v>
      </c>
      <c r="M518" s="50">
        <v>755153</v>
      </c>
      <c r="N518" s="50">
        <v>755153</v>
      </c>
      <c r="O518" s="50">
        <v>944</v>
      </c>
      <c r="P518" s="50" t="s">
        <v>1297</v>
      </c>
      <c r="Q518" s="50">
        <v>0</v>
      </c>
      <c r="R518" s="50">
        <v>0</v>
      </c>
      <c r="T518" s="50">
        <v>0</v>
      </c>
      <c r="U518" s="50">
        <v>0</v>
      </c>
      <c r="W518" s="50" t="s">
        <v>102</v>
      </c>
      <c r="X518" s="50" t="s">
        <v>103</v>
      </c>
      <c r="Y518" s="50" t="s">
        <v>104</v>
      </c>
      <c r="AA518" s="50" t="s">
        <v>11884</v>
      </c>
      <c r="AB518" s="50" t="s">
        <v>17368</v>
      </c>
      <c r="AC518" s="50" t="s">
        <v>11886</v>
      </c>
      <c r="AD518" s="50" t="s">
        <v>17368</v>
      </c>
      <c r="AE518" s="50" t="s">
        <v>109</v>
      </c>
      <c r="AF518" s="50" t="s">
        <v>102</v>
      </c>
      <c r="AG518" s="50" t="s">
        <v>109</v>
      </c>
      <c r="AH518" s="50" t="s">
        <v>102</v>
      </c>
      <c r="AI518" s="50" t="s">
        <v>17369</v>
      </c>
      <c r="AJ518" s="50" t="s">
        <v>13344</v>
      </c>
      <c r="AK518" s="50" t="s">
        <v>13344</v>
      </c>
      <c r="AL518" s="50" t="s">
        <v>17370</v>
      </c>
      <c r="AM518" s="50" t="s">
        <v>17371</v>
      </c>
      <c r="AN518" s="50" t="s">
        <v>5926</v>
      </c>
      <c r="AO518" s="50" t="s">
        <v>1304</v>
      </c>
      <c r="AP518" s="50" t="s">
        <v>1304</v>
      </c>
      <c r="AU518" s="50" t="s">
        <v>117</v>
      </c>
      <c r="AV518" s="50" t="s">
        <v>118</v>
      </c>
      <c r="AW518" s="50" t="s">
        <v>102</v>
      </c>
      <c r="AX518" s="50" t="s">
        <v>119</v>
      </c>
      <c r="BB518" s="50" t="s">
        <v>120</v>
      </c>
      <c r="BC518" s="50" t="s">
        <v>448</v>
      </c>
      <c r="BD518" s="50" t="s">
        <v>449</v>
      </c>
      <c r="BE518" s="50" t="s">
        <v>122</v>
      </c>
      <c r="BF518" s="50" t="s">
        <v>450</v>
      </c>
      <c r="BG518" s="50" t="s">
        <v>124</v>
      </c>
      <c r="BH518" s="50" t="s">
        <v>11888</v>
      </c>
      <c r="BI518" s="50" t="s">
        <v>11889</v>
      </c>
      <c r="BJ518" s="50" t="s">
        <v>127</v>
      </c>
      <c r="BK518" s="50" t="s">
        <v>17372</v>
      </c>
      <c r="BL518" s="50" t="s">
        <v>7961</v>
      </c>
      <c r="BM518" s="50" t="s">
        <v>17373</v>
      </c>
      <c r="BN518" s="50" t="s">
        <v>14080</v>
      </c>
      <c r="BO518" s="50" t="s">
        <v>3267</v>
      </c>
      <c r="BP518" s="50" t="s">
        <v>350</v>
      </c>
      <c r="BQ518" s="50" t="s">
        <v>3268</v>
      </c>
      <c r="BR518" s="50" t="s">
        <v>3269</v>
      </c>
      <c r="BS518" s="50" t="s">
        <v>135</v>
      </c>
      <c r="BU518" s="50" t="s">
        <v>17374</v>
      </c>
      <c r="BV518" s="50" t="s">
        <v>11893</v>
      </c>
      <c r="BW518" s="50" t="s">
        <v>598</v>
      </c>
      <c r="BX518" s="50" t="s">
        <v>7967</v>
      </c>
      <c r="BY518" s="50" t="s">
        <v>11894</v>
      </c>
      <c r="BZ518" s="50" t="s">
        <v>7967</v>
      </c>
      <c r="CA518" s="50" t="s">
        <v>17375</v>
      </c>
      <c r="CB518" s="50" t="s">
        <v>7965</v>
      </c>
      <c r="CC518" s="50" t="s">
        <v>11894</v>
      </c>
      <c r="CD518" s="50" t="s">
        <v>11893</v>
      </c>
      <c r="CE518" s="50" t="s">
        <v>7967</v>
      </c>
      <c r="CF518" s="50" t="s">
        <v>11894</v>
      </c>
      <c r="CG518" s="50" t="s">
        <v>3251</v>
      </c>
      <c r="CH518" s="50" t="s">
        <v>17376</v>
      </c>
      <c r="CJ518" s="50" t="s">
        <v>7972</v>
      </c>
      <c r="CL518" s="50" t="s">
        <v>448</v>
      </c>
      <c r="CM518" s="50" t="s">
        <v>449</v>
      </c>
      <c r="CN518" s="50" t="s">
        <v>7972</v>
      </c>
      <c r="CO518" s="50" t="s">
        <v>7974</v>
      </c>
      <c r="CP518" s="50" t="s">
        <v>7971</v>
      </c>
      <c r="CQ518" s="50" t="s">
        <v>7973</v>
      </c>
    </row>
    <row r="519" spans="1:96">
      <c r="A519" s="95" t="s">
        <v>149</v>
      </c>
      <c r="B519" s="50">
        <v>3283255</v>
      </c>
      <c r="C519" s="50" t="s">
        <v>3562</v>
      </c>
      <c r="D519" s="50" t="s">
        <v>5188</v>
      </c>
      <c r="E519" s="50" t="str">
        <f>VLOOKUP(B519,aa!B:F,5,0)</f>
        <v>Ei ASSET</v>
      </c>
      <c r="F519" s="50">
        <f>VLOOKUP(B519,aa!B:J,9,0)</f>
        <v>582547</v>
      </c>
      <c r="G519" s="50">
        <f>VLOOKUP(B519,aa!B:L,11,0)</f>
        <v>582547</v>
      </c>
      <c r="H519" s="50">
        <f>VLOOKUP(B519,aa!B:O,14,0)</f>
        <v>0</v>
      </c>
      <c r="I519" s="50">
        <f>VLOOKUP(B519,aa!B:R,17,0)</f>
        <v>0</v>
      </c>
      <c r="K519" s="50" t="s">
        <v>97</v>
      </c>
      <c r="L519" s="50">
        <v>137216</v>
      </c>
      <c r="M519" s="50">
        <v>137216</v>
      </c>
      <c r="N519" s="50">
        <v>137216</v>
      </c>
      <c r="O519" s="50">
        <v>196</v>
      </c>
      <c r="P519" s="50" t="s">
        <v>799</v>
      </c>
      <c r="Q519" s="50">
        <v>0</v>
      </c>
      <c r="R519" s="50">
        <v>0</v>
      </c>
      <c r="T519" s="50">
        <v>0</v>
      </c>
      <c r="U519" s="50">
        <v>0</v>
      </c>
      <c r="W519" s="50" t="s">
        <v>102</v>
      </c>
      <c r="X519" s="50" t="s">
        <v>275</v>
      </c>
      <c r="Z519" s="50" t="s">
        <v>12395</v>
      </c>
      <c r="AA519" s="50" t="s">
        <v>109</v>
      </c>
      <c r="AB519" s="50" t="s">
        <v>102</v>
      </c>
      <c r="AC519" s="50" t="s">
        <v>109</v>
      </c>
      <c r="AD519" s="50" t="s">
        <v>102</v>
      </c>
      <c r="AE519" s="50" t="s">
        <v>109</v>
      </c>
      <c r="AF519" s="50" t="s">
        <v>102</v>
      </c>
      <c r="AG519" s="50" t="s">
        <v>109</v>
      </c>
      <c r="AH519" s="50" t="s">
        <v>102</v>
      </c>
      <c r="AI519" s="50" t="s">
        <v>102</v>
      </c>
      <c r="AJ519" s="50" t="s">
        <v>13395</v>
      </c>
      <c r="AK519" s="50" t="s">
        <v>13395</v>
      </c>
      <c r="AL519" s="50" t="s">
        <v>15319</v>
      </c>
      <c r="AM519" s="50" t="s">
        <v>15320</v>
      </c>
      <c r="AN519" s="50" t="s">
        <v>15321</v>
      </c>
      <c r="AO519" s="50" t="s">
        <v>5193</v>
      </c>
      <c r="AP519" s="50" t="s">
        <v>5193</v>
      </c>
      <c r="AU519" s="50" t="s">
        <v>117</v>
      </c>
      <c r="AV519" s="50" t="s">
        <v>250</v>
      </c>
      <c r="AW519" s="50" t="s">
        <v>102</v>
      </c>
      <c r="AX519" s="50" t="s">
        <v>119</v>
      </c>
      <c r="BB519" s="50" t="s">
        <v>120</v>
      </c>
      <c r="BC519" s="50" t="s">
        <v>4889</v>
      </c>
      <c r="BD519" s="50" t="s">
        <v>730</v>
      </c>
      <c r="BE519" s="50" t="s">
        <v>622</v>
      </c>
      <c r="BF519" s="50" t="s">
        <v>730</v>
      </c>
      <c r="BG519" s="50" t="s">
        <v>124</v>
      </c>
      <c r="BH519" s="50" t="s">
        <v>12023</v>
      </c>
      <c r="BI519" s="50" t="s">
        <v>11889</v>
      </c>
      <c r="BJ519" s="50" t="s">
        <v>127</v>
      </c>
      <c r="BK519" s="50" t="s">
        <v>15322</v>
      </c>
      <c r="BL519" s="50" t="s">
        <v>5195</v>
      </c>
      <c r="BM519" s="50" t="s">
        <v>5196</v>
      </c>
      <c r="BN519" s="50" t="s">
        <v>12395</v>
      </c>
      <c r="BO519" s="50" t="s">
        <v>5197</v>
      </c>
      <c r="BP519" s="50" t="s">
        <v>350</v>
      </c>
      <c r="BQ519" s="50" t="s">
        <v>5198</v>
      </c>
      <c r="BR519" s="50" t="s">
        <v>5199</v>
      </c>
      <c r="BS519" s="50" t="s">
        <v>2569</v>
      </c>
      <c r="BU519" s="50" t="s">
        <v>15323</v>
      </c>
      <c r="BV519" s="50" t="s">
        <v>15324</v>
      </c>
      <c r="BW519" s="50" t="s">
        <v>138</v>
      </c>
      <c r="BX519" s="50" t="s">
        <v>5202</v>
      </c>
      <c r="BY519" s="50" t="s">
        <v>5203</v>
      </c>
      <c r="BZ519" s="50" t="s">
        <v>5204</v>
      </c>
      <c r="CA519" s="50" t="s">
        <v>15325</v>
      </c>
      <c r="CB519" s="50" t="s">
        <v>5202</v>
      </c>
      <c r="CC519" s="50" t="s">
        <v>5203</v>
      </c>
      <c r="CD519" s="50" t="s">
        <v>15326</v>
      </c>
      <c r="CE519" s="50" t="s">
        <v>15327</v>
      </c>
      <c r="CF519" s="50" t="s">
        <v>15328</v>
      </c>
      <c r="CG519" s="50" t="s">
        <v>5207</v>
      </c>
      <c r="CH519" s="50" t="s">
        <v>5208</v>
      </c>
      <c r="CJ519" s="50" t="s">
        <v>4903</v>
      </c>
      <c r="CK519" s="50" t="s">
        <v>5209</v>
      </c>
      <c r="CL519" s="50" t="s">
        <v>4889</v>
      </c>
      <c r="CM519" s="50" t="s">
        <v>730</v>
      </c>
      <c r="CN519" s="50" t="s">
        <v>4903</v>
      </c>
      <c r="CP519" s="50" t="s">
        <v>5210</v>
      </c>
      <c r="CQ519" s="50" t="s">
        <v>5211</v>
      </c>
    </row>
    <row r="520" spans="1:96">
      <c r="A520" s="50" t="s">
        <v>93</v>
      </c>
      <c r="B520" s="50">
        <v>1011788</v>
      </c>
      <c r="C520" s="50" t="s">
        <v>11898</v>
      </c>
      <c r="D520" s="50" t="s">
        <v>11897</v>
      </c>
      <c r="E520" s="50" t="e">
        <f>VLOOKUP(B520,aa!B:F,5,0)</f>
        <v>#N/A</v>
      </c>
      <c r="F520" s="50" t="e">
        <f>VLOOKUP(B520,aa!B:J,9,0)</f>
        <v>#N/A</v>
      </c>
      <c r="G520" s="50" t="e">
        <f>VLOOKUP(B520,aa!B:L,11,0)</f>
        <v>#N/A</v>
      </c>
      <c r="H520" s="50" t="e">
        <f>VLOOKUP(B520,aa!B:O,14,0)</f>
        <v>#N/A</v>
      </c>
      <c r="I520" s="50" t="e">
        <f>VLOOKUP(B520,aa!B:R,17,0)</f>
        <v>#N/A</v>
      </c>
      <c r="K520" s="50" t="s">
        <v>97</v>
      </c>
      <c r="L520" s="50">
        <v>570210</v>
      </c>
      <c r="M520" s="50">
        <v>570210</v>
      </c>
      <c r="N520" s="50">
        <v>570210</v>
      </c>
      <c r="O520" s="50">
        <v>2075</v>
      </c>
      <c r="P520" s="50" t="s">
        <v>11900</v>
      </c>
      <c r="Q520" s="50">
        <v>0</v>
      </c>
      <c r="R520" s="50">
        <v>0</v>
      </c>
      <c r="T520" s="50">
        <v>0</v>
      </c>
      <c r="U520" s="50">
        <v>0</v>
      </c>
      <c r="W520" s="50" t="s">
        <v>102</v>
      </c>
      <c r="X520" s="50" t="s">
        <v>103</v>
      </c>
      <c r="Y520" s="50" t="s">
        <v>104</v>
      </c>
      <c r="AA520" s="50" t="s">
        <v>11899</v>
      </c>
      <c r="AB520" s="50" t="s">
        <v>11901</v>
      </c>
      <c r="AC520" s="50" t="s">
        <v>11902</v>
      </c>
      <c r="AD520" s="50" t="s">
        <v>11903</v>
      </c>
      <c r="AE520" s="50" t="s">
        <v>109</v>
      </c>
      <c r="AF520" s="50" t="s">
        <v>102</v>
      </c>
      <c r="AG520" s="50" t="s">
        <v>109</v>
      </c>
      <c r="AH520" s="50" t="s">
        <v>102</v>
      </c>
      <c r="AI520" s="50" t="s">
        <v>11904</v>
      </c>
      <c r="AJ520" s="50" t="s">
        <v>11905</v>
      </c>
      <c r="AK520" s="50" t="s">
        <v>11905</v>
      </c>
      <c r="AL520" s="50" t="s">
        <v>11906</v>
      </c>
      <c r="AM520" s="50" t="s">
        <v>11907</v>
      </c>
      <c r="AN520" s="50" t="s">
        <v>11908</v>
      </c>
      <c r="AO520" s="50" t="s">
        <v>11909</v>
      </c>
      <c r="AP520" s="50" t="s">
        <v>11910</v>
      </c>
      <c r="AR520" s="50" t="s">
        <v>169</v>
      </c>
      <c r="AU520" s="50" t="s">
        <v>117</v>
      </c>
      <c r="AV520" s="50" t="s">
        <v>118</v>
      </c>
      <c r="AW520" s="50" t="s">
        <v>102</v>
      </c>
      <c r="AX520" s="50" t="s">
        <v>119</v>
      </c>
      <c r="BB520" s="50" t="s">
        <v>120</v>
      </c>
      <c r="BC520" s="50" t="s">
        <v>121</v>
      </c>
      <c r="BD520" s="50" t="s">
        <v>121</v>
      </c>
      <c r="BE520" s="50" t="s">
        <v>122</v>
      </c>
      <c r="BF520" s="50" t="s">
        <v>123</v>
      </c>
      <c r="BG520" s="50" t="s">
        <v>124</v>
      </c>
      <c r="BH520" s="50" t="s">
        <v>11911</v>
      </c>
      <c r="BI520" s="50" t="s">
        <v>11889</v>
      </c>
      <c r="BJ520" s="50" t="s">
        <v>127</v>
      </c>
      <c r="BK520" s="50" t="s">
        <v>11912</v>
      </c>
      <c r="BL520" s="50" t="s">
        <v>11913</v>
      </c>
      <c r="BM520" s="50" t="s">
        <v>11914</v>
      </c>
      <c r="BN520" s="50" t="s">
        <v>11899</v>
      </c>
      <c r="BO520" s="50" t="s">
        <v>7005</v>
      </c>
      <c r="BP520" s="50" t="s">
        <v>350</v>
      </c>
      <c r="BQ520" s="50" t="s">
        <v>7006</v>
      </c>
      <c r="BR520" s="50" t="s">
        <v>7007</v>
      </c>
      <c r="BS520" s="50" t="s">
        <v>7008</v>
      </c>
      <c r="BU520" s="50" t="s">
        <v>11915</v>
      </c>
      <c r="BV520" s="50" t="s">
        <v>11916</v>
      </c>
      <c r="BW520" s="50" t="s">
        <v>598</v>
      </c>
      <c r="BX520" s="50" t="s">
        <v>11917</v>
      </c>
      <c r="BY520" s="50" t="s">
        <v>11918</v>
      </c>
      <c r="BZ520" s="50" t="s">
        <v>11919</v>
      </c>
      <c r="CA520" s="50" t="s">
        <v>11920</v>
      </c>
      <c r="CB520" s="50" t="s">
        <v>11917</v>
      </c>
      <c r="CC520" s="50" t="s">
        <v>11918</v>
      </c>
      <c r="CD520" s="50" t="s">
        <v>11921</v>
      </c>
      <c r="CE520" s="50" t="s">
        <v>11917</v>
      </c>
      <c r="CF520" s="50" t="s">
        <v>11918</v>
      </c>
      <c r="CG520" s="50" t="s">
        <v>6919</v>
      </c>
      <c r="CH520" s="50" t="s">
        <v>11897</v>
      </c>
      <c r="CJ520" s="50" t="s">
        <v>11649</v>
      </c>
      <c r="CK520" s="50" t="s">
        <v>11922</v>
      </c>
      <c r="CL520" s="50" t="s">
        <v>121</v>
      </c>
      <c r="CM520" s="50" t="s">
        <v>2226</v>
      </c>
      <c r="CN520" s="50" t="s">
        <v>11649</v>
      </c>
      <c r="CO520" s="50" t="s">
        <v>11923</v>
      </c>
      <c r="CP520" s="50" t="s">
        <v>11924</v>
      </c>
      <c r="CQ520" s="50" t="s">
        <v>11924</v>
      </c>
    </row>
    <row r="521" spans="1:96">
      <c r="A521" s="95" t="s">
        <v>149</v>
      </c>
      <c r="B521" s="50">
        <v>3707644</v>
      </c>
      <c r="C521" s="50" t="s">
        <v>11947</v>
      </c>
      <c r="D521" s="50" t="s">
        <v>7217</v>
      </c>
      <c r="E521" s="50" t="e">
        <f>VLOOKUP(B521,aa!B:F,5,0)</f>
        <v>#N/A</v>
      </c>
      <c r="F521" s="50" t="e">
        <f>VLOOKUP(B521,aa!B:J,9,0)</f>
        <v>#N/A</v>
      </c>
      <c r="G521" s="50" t="e">
        <f>VLOOKUP(B521,aa!B:L,11,0)</f>
        <v>#N/A</v>
      </c>
      <c r="H521" s="50" t="e">
        <f>VLOOKUP(B521,aa!B:O,14,0)</f>
        <v>#N/A</v>
      </c>
      <c r="I521" s="50" t="e">
        <f>VLOOKUP(B521,aa!B:R,17,0)</f>
        <v>#N/A</v>
      </c>
      <c r="K521" s="50" t="s">
        <v>97</v>
      </c>
      <c r="L521" s="50">
        <v>30485</v>
      </c>
      <c r="M521" s="50">
        <v>30485</v>
      </c>
      <c r="N521" s="50">
        <v>30485</v>
      </c>
      <c r="O521" s="50">
        <v>44</v>
      </c>
      <c r="P521" s="50" t="s">
        <v>16790</v>
      </c>
      <c r="Q521" s="50">
        <v>0</v>
      </c>
      <c r="R521" s="50">
        <v>0</v>
      </c>
      <c r="T521" s="50">
        <v>0</v>
      </c>
      <c r="U521" s="50">
        <v>0</v>
      </c>
      <c r="W521" s="50" t="s">
        <v>102</v>
      </c>
      <c r="X521" s="50" t="s">
        <v>275</v>
      </c>
      <c r="Z521" s="50" t="s">
        <v>11884</v>
      </c>
      <c r="AA521" s="50" t="s">
        <v>109</v>
      </c>
      <c r="AB521" s="50" t="s">
        <v>102</v>
      </c>
      <c r="AC521" s="50" t="s">
        <v>109</v>
      </c>
      <c r="AD521" s="50" t="s">
        <v>102</v>
      </c>
      <c r="AE521" s="50" t="s">
        <v>109</v>
      </c>
      <c r="AF521" s="50" t="s">
        <v>102</v>
      </c>
      <c r="AG521" s="50" t="s">
        <v>109</v>
      </c>
      <c r="AH521" s="50" t="s">
        <v>102</v>
      </c>
      <c r="AI521" s="50" t="s">
        <v>102</v>
      </c>
      <c r="AJ521" s="50" t="s">
        <v>11899</v>
      </c>
      <c r="AK521" s="50" t="s">
        <v>14455</v>
      </c>
      <c r="AL521" s="50" t="s">
        <v>16791</v>
      </c>
      <c r="AM521" s="50" t="s">
        <v>16791</v>
      </c>
      <c r="AN521" s="50" t="s">
        <v>102</v>
      </c>
      <c r="AO521" s="50" t="s">
        <v>16792</v>
      </c>
      <c r="AP521" s="50" t="s">
        <v>16792</v>
      </c>
      <c r="AU521" s="50" t="s">
        <v>117</v>
      </c>
      <c r="AV521" s="50" t="s">
        <v>118</v>
      </c>
      <c r="AW521" s="50" t="s">
        <v>102</v>
      </c>
      <c r="AX521" s="50" t="s">
        <v>119</v>
      </c>
      <c r="BB521" s="50" t="s">
        <v>120</v>
      </c>
      <c r="BC521" s="50" t="s">
        <v>920</v>
      </c>
      <c r="BD521" s="50" t="s">
        <v>211</v>
      </c>
      <c r="BE521" s="50" t="s">
        <v>212</v>
      </c>
      <c r="BF521" s="50" t="s">
        <v>213</v>
      </c>
      <c r="BG521" s="50" t="s">
        <v>124</v>
      </c>
      <c r="BH521" s="50" t="s">
        <v>11959</v>
      </c>
      <c r="BI521" s="50" t="s">
        <v>11889</v>
      </c>
      <c r="BJ521" s="50" t="s">
        <v>127</v>
      </c>
      <c r="BK521" s="50" t="s">
        <v>16793</v>
      </c>
      <c r="BL521" s="50" t="s">
        <v>7223</v>
      </c>
      <c r="BM521" s="50" t="s">
        <v>16794</v>
      </c>
      <c r="BN521" s="50" t="s">
        <v>11899</v>
      </c>
      <c r="BO521" s="50" t="s">
        <v>415</v>
      </c>
      <c r="BP521" s="50" t="s">
        <v>180</v>
      </c>
      <c r="BQ521" s="50" t="s">
        <v>416</v>
      </c>
      <c r="BR521" s="50" t="s">
        <v>417</v>
      </c>
      <c r="BS521" s="50" t="s">
        <v>7225</v>
      </c>
      <c r="BU521" s="50" t="s">
        <v>16795</v>
      </c>
      <c r="BV521" s="50" t="s">
        <v>16796</v>
      </c>
      <c r="BW521" s="50" t="s">
        <v>354</v>
      </c>
      <c r="BX521" s="50" t="s">
        <v>7228</v>
      </c>
      <c r="BY521" s="50" t="s">
        <v>7229</v>
      </c>
      <c r="BZ521" s="50" t="s">
        <v>7230</v>
      </c>
      <c r="CA521" s="50" t="s">
        <v>16796</v>
      </c>
      <c r="CB521" s="50" t="s">
        <v>7228</v>
      </c>
      <c r="CC521" s="50" t="s">
        <v>7229</v>
      </c>
      <c r="CD521" s="50" t="s">
        <v>16796</v>
      </c>
      <c r="CE521" s="50" t="s">
        <v>7228</v>
      </c>
      <c r="CF521" s="50" t="s">
        <v>7229</v>
      </c>
      <c r="CG521" s="50" t="s">
        <v>102</v>
      </c>
      <c r="CH521" s="50" t="s">
        <v>7232</v>
      </c>
      <c r="CJ521" s="50" t="s">
        <v>7233</v>
      </c>
      <c r="CL521" s="50" t="s">
        <v>920</v>
      </c>
      <c r="CM521" s="50" t="s">
        <v>211</v>
      </c>
      <c r="CN521" s="50" t="s">
        <v>7233</v>
      </c>
      <c r="CP521" s="50" t="s">
        <v>7232</v>
      </c>
      <c r="CQ521" s="50" t="s">
        <v>7232</v>
      </c>
      <c r="CR521" s="50" t="s">
        <v>26044</v>
      </c>
    </row>
    <row r="522" spans="1:96">
      <c r="A522" s="95" t="s">
        <v>149</v>
      </c>
      <c r="B522" s="50">
        <v>5004123</v>
      </c>
      <c r="C522" s="50" t="s">
        <v>2525</v>
      </c>
      <c r="D522" s="50" t="s">
        <v>9190</v>
      </c>
      <c r="E522" s="50" t="e">
        <f>VLOOKUP(B522,aa!B:F,5,0)</f>
        <v>#N/A</v>
      </c>
      <c r="F522" s="50" t="e">
        <f>VLOOKUP(B522,aa!B:J,9,0)</f>
        <v>#N/A</v>
      </c>
      <c r="G522" s="50" t="e">
        <f>VLOOKUP(B522,aa!B:L,11,0)</f>
        <v>#N/A</v>
      </c>
      <c r="H522" s="50" t="e">
        <f>VLOOKUP(B522,aa!B:O,14,0)</f>
        <v>#N/A</v>
      </c>
      <c r="I522" s="50" t="e">
        <f>VLOOKUP(B522,aa!B:R,17,0)</f>
        <v>#N/A</v>
      </c>
      <c r="K522" s="50" t="s">
        <v>97</v>
      </c>
      <c r="L522" s="50">
        <v>317442</v>
      </c>
      <c r="M522" s="50">
        <v>317442</v>
      </c>
      <c r="N522" s="50">
        <v>317442</v>
      </c>
      <c r="O522" s="50">
        <v>444</v>
      </c>
      <c r="P522" s="50" t="s">
        <v>1954</v>
      </c>
      <c r="Q522" s="50">
        <v>0</v>
      </c>
      <c r="R522" s="50">
        <v>0</v>
      </c>
      <c r="T522" s="50">
        <v>0</v>
      </c>
      <c r="U522" s="50">
        <v>0</v>
      </c>
      <c r="W522" s="50" t="s">
        <v>102</v>
      </c>
      <c r="X522" s="50" t="s">
        <v>275</v>
      </c>
      <c r="Z522" s="50" t="s">
        <v>126</v>
      </c>
      <c r="AA522" s="50" t="s">
        <v>109</v>
      </c>
      <c r="AB522" s="50" t="s">
        <v>102</v>
      </c>
      <c r="AC522" s="50" t="s">
        <v>109</v>
      </c>
      <c r="AD522" s="50" t="s">
        <v>102</v>
      </c>
      <c r="AE522" s="50" t="s">
        <v>109</v>
      </c>
      <c r="AF522" s="50" t="s">
        <v>102</v>
      </c>
      <c r="AG522" s="50" t="s">
        <v>109</v>
      </c>
      <c r="AH522" s="50" t="s">
        <v>102</v>
      </c>
      <c r="AI522" s="50" t="s">
        <v>102</v>
      </c>
      <c r="AJ522" s="50" t="s">
        <v>3849</v>
      </c>
      <c r="AK522" s="50" t="s">
        <v>3849</v>
      </c>
      <c r="AL522" s="50" t="s">
        <v>18548</v>
      </c>
      <c r="AM522" s="50" t="s">
        <v>18549</v>
      </c>
      <c r="AN522" s="50" t="s">
        <v>18550</v>
      </c>
      <c r="AO522" s="50" t="s">
        <v>18551</v>
      </c>
      <c r="AP522" s="50" t="s">
        <v>18552</v>
      </c>
      <c r="AQ522" s="50" t="s">
        <v>343</v>
      </c>
      <c r="AT522" s="50" t="s">
        <v>169</v>
      </c>
      <c r="AU522" s="50" t="s">
        <v>117</v>
      </c>
      <c r="AV522" s="50" t="s">
        <v>118</v>
      </c>
      <c r="AW522" s="50" t="s">
        <v>102</v>
      </c>
      <c r="AX522" s="50" t="s">
        <v>119</v>
      </c>
      <c r="BB522" s="50" t="s">
        <v>3678</v>
      </c>
      <c r="BC522" s="50" t="s">
        <v>2327</v>
      </c>
      <c r="BD522" s="50" t="s">
        <v>730</v>
      </c>
      <c r="BE522" s="50" t="s">
        <v>622</v>
      </c>
      <c r="BF522" s="50" t="s">
        <v>730</v>
      </c>
      <c r="BG522" s="50" t="s">
        <v>124</v>
      </c>
      <c r="BH522" s="50" t="s">
        <v>11959</v>
      </c>
      <c r="BI522" s="50" t="s">
        <v>11960</v>
      </c>
      <c r="BJ522" s="50" t="s">
        <v>127</v>
      </c>
      <c r="BK522" s="50" t="s">
        <v>18553</v>
      </c>
      <c r="BL522" s="50" t="s">
        <v>9201</v>
      </c>
      <c r="BM522" s="50" t="s">
        <v>18554</v>
      </c>
      <c r="BN522" s="50" t="s">
        <v>11884</v>
      </c>
      <c r="BO522" s="50" t="s">
        <v>3606</v>
      </c>
      <c r="BP522" s="50" t="s">
        <v>350</v>
      </c>
      <c r="BQ522" s="50" t="s">
        <v>3607</v>
      </c>
      <c r="BR522" s="50" t="s">
        <v>3608</v>
      </c>
      <c r="BS522" s="50" t="s">
        <v>2525</v>
      </c>
      <c r="BU522" s="50" t="s">
        <v>18555</v>
      </c>
      <c r="BV522" s="50" t="s">
        <v>18556</v>
      </c>
      <c r="BX522" s="50" t="s">
        <v>18557</v>
      </c>
      <c r="BY522" s="50" t="s">
        <v>18558</v>
      </c>
      <c r="BZ522" s="50" t="s">
        <v>9207</v>
      </c>
      <c r="CA522" s="50" t="s">
        <v>18559</v>
      </c>
      <c r="CB522" s="50" t="s">
        <v>18560</v>
      </c>
      <c r="CC522" s="50" t="s">
        <v>18561</v>
      </c>
      <c r="CD522" s="50" t="s">
        <v>18559</v>
      </c>
      <c r="CE522" s="50" t="s">
        <v>18560</v>
      </c>
      <c r="CF522" s="50" t="s">
        <v>18561</v>
      </c>
      <c r="CG522" s="50" t="s">
        <v>102</v>
      </c>
      <c r="CH522" s="50" t="s">
        <v>18562</v>
      </c>
      <c r="CJ522" s="50" t="s">
        <v>4712</v>
      </c>
      <c r="CL522" s="50" t="s">
        <v>2327</v>
      </c>
      <c r="CM522" s="50" t="s">
        <v>730</v>
      </c>
      <c r="CN522" s="50" t="s">
        <v>4712</v>
      </c>
      <c r="CP522" s="50" t="s">
        <v>9208</v>
      </c>
      <c r="CQ522" s="50" t="s">
        <v>9208</v>
      </c>
      <c r="CR522" s="50" t="s">
        <v>26048</v>
      </c>
    </row>
    <row r="523" spans="1:96">
      <c r="A523" s="50" t="s">
        <v>93</v>
      </c>
      <c r="B523" s="50">
        <v>2827739</v>
      </c>
      <c r="C523" s="50" t="s">
        <v>293</v>
      </c>
      <c r="D523" s="50" t="s">
        <v>14761</v>
      </c>
      <c r="E523" s="50" t="str">
        <f>VLOOKUP(B523,aa!B:F,5,0)</f>
        <v>Ei CARES, Ei Mindspark</v>
      </c>
      <c r="F523" s="50">
        <f>VLOOKUP(B523,aa!B:J,9,0)</f>
        <v>1080881</v>
      </c>
      <c r="G523" s="50">
        <f>VLOOKUP(B523,aa!B:L,11,0)</f>
        <v>0</v>
      </c>
      <c r="H523" s="50">
        <f>VLOOKUP(B523,aa!B:O,14,0)</f>
        <v>585503</v>
      </c>
      <c r="I523" s="50">
        <f>VLOOKUP(B523,aa!B:R,17,0)</f>
        <v>495378</v>
      </c>
      <c r="K523" s="50" t="s">
        <v>152</v>
      </c>
      <c r="L523" s="50">
        <v>0</v>
      </c>
      <c r="M523" s="50">
        <v>0</v>
      </c>
      <c r="N523" s="50">
        <v>0</v>
      </c>
      <c r="O523" s="50">
        <v>0</v>
      </c>
      <c r="Q523" s="50">
        <v>0</v>
      </c>
      <c r="R523" s="50">
        <v>366</v>
      </c>
      <c r="S523" s="50" t="s">
        <v>102</v>
      </c>
      <c r="T523" s="50">
        <v>0</v>
      </c>
      <c r="U523" s="50">
        <v>0</v>
      </c>
      <c r="W523" s="50" t="s">
        <v>102</v>
      </c>
      <c r="X523" s="50" t="s">
        <v>275</v>
      </c>
      <c r="Z523" s="50" t="s">
        <v>12043</v>
      </c>
      <c r="AA523" s="50" t="s">
        <v>109</v>
      </c>
      <c r="AB523" s="50" t="s">
        <v>102</v>
      </c>
      <c r="AC523" s="50" t="s">
        <v>109</v>
      </c>
      <c r="AD523" s="50" t="s">
        <v>102</v>
      </c>
      <c r="AE523" s="50" t="s">
        <v>109</v>
      </c>
      <c r="AF523" s="50" t="s">
        <v>102</v>
      </c>
      <c r="AG523" s="50" t="s">
        <v>109</v>
      </c>
      <c r="AH523" s="50" t="s">
        <v>102</v>
      </c>
      <c r="AI523" s="50" t="s">
        <v>102</v>
      </c>
      <c r="AL523" s="50" t="s">
        <v>102</v>
      </c>
      <c r="AM523" s="50" t="s">
        <v>102</v>
      </c>
      <c r="AN523" s="50" t="s">
        <v>102</v>
      </c>
      <c r="AO523" s="50" t="s">
        <v>115</v>
      </c>
      <c r="AP523" s="50" t="s">
        <v>115</v>
      </c>
      <c r="AU523" s="50" t="s">
        <v>102</v>
      </c>
      <c r="AW523" s="50" t="s">
        <v>104</v>
      </c>
      <c r="AX523" s="50" t="s">
        <v>447</v>
      </c>
      <c r="AY523" s="50" t="s">
        <v>170</v>
      </c>
      <c r="AZ523" s="50" t="s">
        <v>118</v>
      </c>
      <c r="BB523" s="50" t="s">
        <v>120</v>
      </c>
      <c r="BC523" s="50" t="s">
        <v>14762</v>
      </c>
      <c r="BD523" s="50" t="s">
        <v>410</v>
      </c>
      <c r="BE523" s="50" t="s">
        <v>212</v>
      </c>
      <c r="BF523" s="50" t="s">
        <v>410</v>
      </c>
      <c r="BG523" s="50" t="s">
        <v>124</v>
      </c>
      <c r="BH523" s="50" t="s">
        <v>12043</v>
      </c>
      <c r="BI523" s="50" t="s">
        <v>11889</v>
      </c>
      <c r="BJ523" s="50" t="s">
        <v>127</v>
      </c>
      <c r="BK523" s="50" t="s">
        <v>14763</v>
      </c>
      <c r="BL523" s="50" t="s">
        <v>14764</v>
      </c>
      <c r="BM523" s="50" t="s">
        <v>14765</v>
      </c>
      <c r="BN523" s="50" t="s">
        <v>12043</v>
      </c>
      <c r="BO523" s="50" t="s">
        <v>896</v>
      </c>
      <c r="BP523" s="50" t="s">
        <v>258</v>
      </c>
      <c r="BQ523" s="50" t="s">
        <v>897</v>
      </c>
      <c r="BR523" s="50" t="s">
        <v>898</v>
      </c>
      <c r="BS523" s="50" t="s">
        <v>899</v>
      </c>
      <c r="BU523" s="50" t="s">
        <v>14766</v>
      </c>
      <c r="BV523" s="50" t="s">
        <v>14767</v>
      </c>
      <c r="BW523" s="50" t="s">
        <v>354</v>
      </c>
      <c r="BX523" s="50" t="s">
        <v>14768</v>
      </c>
      <c r="BY523" s="50" t="s">
        <v>14769</v>
      </c>
      <c r="BZ523" s="50" t="s">
        <v>14770</v>
      </c>
      <c r="CA523" s="50" t="s">
        <v>14771</v>
      </c>
      <c r="CB523" s="50" t="s">
        <v>14770</v>
      </c>
      <c r="CC523" s="50" t="s">
        <v>14769</v>
      </c>
      <c r="CD523" s="50" t="s">
        <v>14771</v>
      </c>
      <c r="CE523" s="50" t="s">
        <v>14770</v>
      </c>
      <c r="CF523" s="50" t="s">
        <v>14769</v>
      </c>
      <c r="CG523" s="50" t="s">
        <v>3841</v>
      </c>
      <c r="CH523" s="50" t="s">
        <v>14772</v>
      </c>
      <c r="CJ523" s="50" t="s">
        <v>14773</v>
      </c>
      <c r="CK523" s="50" t="s">
        <v>14772</v>
      </c>
      <c r="CL523" s="50" t="s">
        <v>14762</v>
      </c>
      <c r="CM523" s="50" t="s">
        <v>410</v>
      </c>
      <c r="CN523" s="50" t="s">
        <v>14773</v>
      </c>
      <c r="CP523" s="50" t="s">
        <v>14774</v>
      </c>
      <c r="CQ523" s="50" t="s">
        <v>14772</v>
      </c>
    </row>
    <row r="524" spans="1:96">
      <c r="A524" s="50" t="s">
        <v>93</v>
      </c>
      <c r="B524" s="50">
        <v>5100324</v>
      </c>
      <c r="C524" s="50" t="s">
        <v>3562</v>
      </c>
      <c r="D524" s="50" t="s">
        <v>20890</v>
      </c>
      <c r="E524" s="50" t="str">
        <f>VLOOKUP(B524,aa!B:F,5,0)</f>
        <v>Ei Mindspark</v>
      </c>
      <c r="F524" s="50">
        <f>VLOOKUP(B524,aa!B:J,9,0)</f>
        <v>294530</v>
      </c>
      <c r="G524" s="50">
        <f>VLOOKUP(B524,aa!B:L,11,0)</f>
        <v>0</v>
      </c>
      <c r="H524" s="50">
        <f>VLOOKUP(B524,aa!B:O,14,0)</f>
        <v>0</v>
      </c>
      <c r="I524" s="50">
        <f>VLOOKUP(B524,aa!B:R,17,0)</f>
        <v>294530</v>
      </c>
      <c r="K524" s="50" t="s">
        <v>848</v>
      </c>
      <c r="L524" s="50">
        <v>117826</v>
      </c>
      <c r="M524" s="50">
        <v>139035</v>
      </c>
      <c r="N524" s="50">
        <v>0</v>
      </c>
      <c r="O524" s="50">
        <v>0</v>
      </c>
      <c r="Q524" s="50">
        <v>0</v>
      </c>
      <c r="R524" s="50">
        <v>0</v>
      </c>
      <c r="T524" s="50">
        <v>117826</v>
      </c>
      <c r="U524" s="50">
        <v>139</v>
      </c>
      <c r="V524" s="50" t="s">
        <v>19950</v>
      </c>
      <c r="W524" s="50" t="s">
        <v>102</v>
      </c>
      <c r="X524" s="50" t="s">
        <v>103</v>
      </c>
      <c r="Y524" s="50" t="s">
        <v>104</v>
      </c>
      <c r="AA524" s="50" t="s">
        <v>12043</v>
      </c>
      <c r="AB524" s="50" t="s">
        <v>20891</v>
      </c>
      <c r="AC524" s="50" t="s">
        <v>11886</v>
      </c>
      <c r="AD524" s="50" t="s">
        <v>20891</v>
      </c>
      <c r="AE524" s="50" t="s">
        <v>109</v>
      </c>
      <c r="AF524" s="50" t="s">
        <v>102</v>
      </c>
      <c r="AG524" s="50" t="s">
        <v>109</v>
      </c>
      <c r="AH524" s="50" t="s">
        <v>102</v>
      </c>
      <c r="AI524" s="50" t="s">
        <v>102</v>
      </c>
      <c r="AJ524" s="50" t="s">
        <v>6895</v>
      </c>
      <c r="AK524" s="50" t="s">
        <v>6895</v>
      </c>
      <c r="AL524" s="50" t="s">
        <v>20892</v>
      </c>
      <c r="AM524" s="50" t="s">
        <v>20893</v>
      </c>
      <c r="AN524" s="50" t="s">
        <v>20894</v>
      </c>
      <c r="AO524" s="50" t="s">
        <v>20895</v>
      </c>
      <c r="AP524" s="50" t="s">
        <v>20895</v>
      </c>
      <c r="AU524" s="50" t="s">
        <v>102</v>
      </c>
      <c r="AW524" s="50" t="s">
        <v>102</v>
      </c>
      <c r="AX524" s="50" t="s">
        <v>119</v>
      </c>
      <c r="BA524" s="50" t="s">
        <v>250</v>
      </c>
      <c r="BB524" s="50" t="s">
        <v>120</v>
      </c>
      <c r="BC524" s="50" t="s">
        <v>1729</v>
      </c>
      <c r="BD524" s="50" t="s">
        <v>730</v>
      </c>
      <c r="BE524" s="50" t="s">
        <v>622</v>
      </c>
      <c r="BF524" s="50" t="s">
        <v>730</v>
      </c>
      <c r="BG524" s="50" t="s">
        <v>124</v>
      </c>
      <c r="BH524" s="50" t="s">
        <v>12043</v>
      </c>
      <c r="BI524" s="50" t="s">
        <v>11889</v>
      </c>
      <c r="BJ524" s="50" t="s">
        <v>127</v>
      </c>
      <c r="BK524" s="50" t="s">
        <v>20896</v>
      </c>
      <c r="BL524" s="50" t="s">
        <v>20897</v>
      </c>
      <c r="BM524" s="50" t="s">
        <v>20898</v>
      </c>
      <c r="BN524" s="50" t="s">
        <v>12043</v>
      </c>
      <c r="BO524" s="50" t="s">
        <v>3910</v>
      </c>
      <c r="BP524" s="50" t="s">
        <v>350</v>
      </c>
      <c r="BQ524" s="50" t="s">
        <v>3911</v>
      </c>
      <c r="BR524" s="50" t="s">
        <v>3912</v>
      </c>
      <c r="BS524" s="50" t="s">
        <v>7862</v>
      </c>
      <c r="BU524" s="50" t="s">
        <v>20899</v>
      </c>
      <c r="BV524" s="50" t="s">
        <v>20900</v>
      </c>
      <c r="BW524" s="50" t="s">
        <v>354</v>
      </c>
      <c r="BX524" s="50" t="s">
        <v>20901</v>
      </c>
      <c r="BY524" s="50" t="s">
        <v>20902</v>
      </c>
      <c r="BZ524" s="50" t="s">
        <v>20903</v>
      </c>
      <c r="CA524" s="50" t="s">
        <v>20904</v>
      </c>
      <c r="CB524" s="50" t="s">
        <v>17082</v>
      </c>
      <c r="CC524" s="50" t="s">
        <v>20905</v>
      </c>
      <c r="CD524" s="50" t="s">
        <v>20904</v>
      </c>
      <c r="CE524" s="50" t="s">
        <v>17082</v>
      </c>
      <c r="CF524" s="50" t="s">
        <v>20905</v>
      </c>
      <c r="CG524" s="50" t="s">
        <v>492</v>
      </c>
      <c r="CH524" s="50" t="s">
        <v>20906</v>
      </c>
      <c r="CJ524" s="50" t="s">
        <v>6855</v>
      </c>
      <c r="CK524" s="50" t="s">
        <v>20907</v>
      </c>
      <c r="CL524" s="50" t="s">
        <v>1729</v>
      </c>
      <c r="CM524" s="50" t="s">
        <v>730</v>
      </c>
      <c r="CN524" s="50" t="s">
        <v>6855</v>
      </c>
      <c r="CP524" s="50" t="s">
        <v>20908</v>
      </c>
      <c r="CQ524" s="50" t="s">
        <v>20908</v>
      </c>
    </row>
    <row r="525" spans="1:96">
      <c r="A525" s="50" t="s">
        <v>93</v>
      </c>
      <c r="B525" s="50">
        <v>5097252</v>
      </c>
      <c r="C525" s="50" t="s">
        <v>12121</v>
      </c>
      <c r="D525" s="50" t="s">
        <v>20859</v>
      </c>
      <c r="E525" s="50" t="e">
        <f>VLOOKUP(B525,aa!B:F,5,0)</f>
        <v>#N/A</v>
      </c>
      <c r="F525" s="50" t="e">
        <f>VLOOKUP(B525,aa!B:J,9,0)</f>
        <v>#N/A</v>
      </c>
      <c r="G525" s="50" t="e">
        <f>VLOOKUP(B525,aa!B:L,11,0)</f>
        <v>#N/A</v>
      </c>
      <c r="H525" s="50" t="e">
        <f>VLOOKUP(B525,aa!B:O,14,0)</f>
        <v>#N/A</v>
      </c>
      <c r="I525" s="50" t="e">
        <f>VLOOKUP(B525,aa!B:R,17,0)</f>
        <v>#N/A</v>
      </c>
      <c r="K525" s="50" t="s">
        <v>97</v>
      </c>
      <c r="L525" s="50">
        <v>487822</v>
      </c>
      <c r="M525" s="50">
        <v>487822</v>
      </c>
      <c r="N525" s="50">
        <v>487822</v>
      </c>
      <c r="O525" s="50">
        <v>841</v>
      </c>
      <c r="P525" s="50" t="s">
        <v>14554</v>
      </c>
      <c r="Q525" s="50">
        <v>0</v>
      </c>
      <c r="R525" s="50">
        <v>0</v>
      </c>
      <c r="T525" s="50">
        <v>0</v>
      </c>
      <c r="U525" s="50">
        <v>0</v>
      </c>
      <c r="W525" s="50" t="s">
        <v>102</v>
      </c>
      <c r="X525" s="50" t="s">
        <v>275</v>
      </c>
      <c r="Z525" s="50" t="s">
        <v>12211</v>
      </c>
      <c r="AA525" s="50" t="s">
        <v>109</v>
      </c>
      <c r="AB525" s="50" t="s">
        <v>102</v>
      </c>
      <c r="AC525" s="50" t="s">
        <v>109</v>
      </c>
      <c r="AD525" s="50" t="s">
        <v>102</v>
      </c>
      <c r="AE525" s="50" t="s">
        <v>109</v>
      </c>
      <c r="AF525" s="50" t="s">
        <v>102</v>
      </c>
      <c r="AG525" s="50" t="s">
        <v>109</v>
      </c>
      <c r="AH525" s="50" t="s">
        <v>102</v>
      </c>
      <c r="AI525" s="50" t="s">
        <v>102</v>
      </c>
      <c r="AJ525" s="50" t="s">
        <v>11911</v>
      </c>
      <c r="AK525" s="50" t="s">
        <v>11911</v>
      </c>
      <c r="AL525" s="50" t="s">
        <v>20860</v>
      </c>
      <c r="AM525" s="50" t="s">
        <v>20861</v>
      </c>
      <c r="AN525" s="50" t="s">
        <v>20862</v>
      </c>
      <c r="AO525" s="50" t="s">
        <v>20863</v>
      </c>
      <c r="AP525" s="50" t="s">
        <v>20863</v>
      </c>
      <c r="AU525" s="50" t="s">
        <v>117</v>
      </c>
      <c r="AV525" s="50" t="s">
        <v>118</v>
      </c>
      <c r="AW525" s="50" t="s">
        <v>102</v>
      </c>
      <c r="AX525" s="50" t="s">
        <v>119</v>
      </c>
      <c r="BB525" s="50" t="s">
        <v>20864</v>
      </c>
      <c r="BC525" s="50" t="s">
        <v>1104</v>
      </c>
      <c r="BD525" s="50" t="s">
        <v>449</v>
      </c>
      <c r="BE525" s="50" t="s">
        <v>122</v>
      </c>
      <c r="BF525" s="50" t="s">
        <v>253</v>
      </c>
      <c r="BG525" s="50" t="s">
        <v>124</v>
      </c>
      <c r="BH525" s="50" t="s">
        <v>12023</v>
      </c>
      <c r="BI525" s="50" t="s">
        <v>11889</v>
      </c>
      <c r="BJ525" s="50" t="s">
        <v>127</v>
      </c>
      <c r="BK525" s="50" t="s">
        <v>20865</v>
      </c>
      <c r="BL525" s="50" t="s">
        <v>20866</v>
      </c>
      <c r="BM525" s="50" t="s">
        <v>20867</v>
      </c>
      <c r="BN525" s="50" t="s">
        <v>12211</v>
      </c>
      <c r="BO525" s="50" t="s">
        <v>10675</v>
      </c>
      <c r="BP525" s="50" t="s">
        <v>350</v>
      </c>
      <c r="BQ525" s="50" t="s">
        <v>10676</v>
      </c>
      <c r="BR525" s="50" t="s">
        <v>10677</v>
      </c>
      <c r="BS525" s="50" t="s">
        <v>10678</v>
      </c>
      <c r="BU525" s="50" t="s">
        <v>20868</v>
      </c>
      <c r="BV525" s="50" t="s">
        <v>20869</v>
      </c>
      <c r="BW525" s="50" t="s">
        <v>138</v>
      </c>
      <c r="BX525" s="50" t="s">
        <v>1997</v>
      </c>
      <c r="BY525" s="50" t="s">
        <v>20870</v>
      </c>
      <c r="BZ525" s="50" t="s">
        <v>20871</v>
      </c>
      <c r="CA525" s="50" t="s">
        <v>20869</v>
      </c>
      <c r="CB525" s="50" t="s">
        <v>1997</v>
      </c>
      <c r="CC525" s="50" t="s">
        <v>20870</v>
      </c>
      <c r="CD525" s="50" t="s">
        <v>20869</v>
      </c>
      <c r="CE525" s="50" t="s">
        <v>1997</v>
      </c>
      <c r="CF525" s="50" t="s">
        <v>20870</v>
      </c>
      <c r="CG525" s="50" t="s">
        <v>11377</v>
      </c>
      <c r="CH525" s="50" t="s">
        <v>20872</v>
      </c>
      <c r="CJ525" s="50" t="s">
        <v>10687</v>
      </c>
      <c r="CK525" s="50" t="s">
        <v>20872</v>
      </c>
      <c r="CL525" s="50" t="s">
        <v>1104</v>
      </c>
      <c r="CM525" s="50" t="s">
        <v>449</v>
      </c>
      <c r="CN525" s="50" t="s">
        <v>10687</v>
      </c>
      <c r="CP525" s="50" t="s">
        <v>20873</v>
      </c>
      <c r="CQ525" s="50" t="s">
        <v>20873</v>
      </c>
    </row>
    <row r="526" spans="1:96">
      <c r="A526" s="95" t="s">
        <v>26356</v>
      </c>
      <c r="B526" s="50">
        <v>549920</v>
      </c>
      <c r="C526" s="50" t="s">
        <v>11882</v>
      </c>
      <c r="D526" s="50" t="s">
        <v>21092</v>
      </c>
      <c r="E526" s="50" t="e">
        <f>VLOOKUP(B526,aa!B:F,5,0)</f>
        <v>#N/A</v>
      </c>
      <c r="F526" s="50" t="e">
        <f>VLOOKUP(B526,aa!B:J,9,0)</f>
        <v>#N/A</v>
      </c>
      <c r="G526" s="50" t="e">
        <f>VLOOKUP(B526,aa!B:L,11,0)</f>
        <v>#N/A</v>
      </c>
      <c r="H526" s="50" t="e">
        <f>VLOOKUP(B526,aa!B:O,14,0)</f>
        <v>#N/A</v>
      </c>
      <c r="I526" s="50" t="e">
        <f>VLOOKUP(B526,aa!B:R,17,0)</f>
        <v>#N/A</v>
      </c>
      <c r="K526" s="50" t="s">
        <v>97</v>
      </c>
      <c r="L526" s="50">
        <v>267183</v>
      </c>
      <c r="M526" s="50">
        <v>267183</v>
      </c>
      <c r="N526" s="50">
        <v>267183</v>
      </c>
      <c r="O526" s="50">
        <v>334</v>
      </c>
      <c r="P526" s="50" t="s">
        <v>1297</v>
      </c>
      <c r="Q526" s="50">
        <v>0</v>
      </c>
      <c r="R526" s="50">
        <v>0</v>
      </c>
      <c r="T526" s="50">
        <v>0</v>
      </c>
      <c r="U526" s="50">
        <v>0</v>
      </c>
      <c r="W526" s="50" t="s">
        <v>102</v>
      </c>
      <c r="X526" s="50" t="s">
        <v>103</v>
      </c>
      <c r="Y526" s="50" t="s">
        <v>104</v>
      </c>
      <c r="AA526" s="50" t="s">
        <v>12975</v>
      </c>
      <c r="AB526" s="50" t="s">
        <v>21093</v>
      </c>
      <c r="AC526" s="50" t="s">
        <v>11886</v>
      </c>
      <c r="AD526" s="50" t="s">
        <v>21093</v>
      </c>
      <c r="AE526" s="50" t="s">
        <v>109</v>
      </c>
      <c r="AF526" s="50" t="s">
        <v>102</v>
      </c>
      <c r="AG526" s="50" t="s">
        <v>109</v>
      </c>
      <c r="AH526" s="50" t="s">
        <v>102</v>
      </c>
      <c r="AI526" s="50" t="s">
        <v>21094</v>
      </c>
      <c r="AJ526" s="50" t="s">
        <v>12728</v>
      </c>
      <c r="AK526" s="50" t="s">
        <v>12728</v>
      </c>
      <c r="AL526" s="50" t="s">
        <v>21095</v>
      </c>
      <c r="AM526" s="50" t="s">
        <v>21096</v>
      </c>
      <c r="AN526" s="50" t="s">
        <v>21097</v>
      </c>
      <c r="AO526" s="50" t="s">
        <v>1304</v>
      </c>
      <c r="AP526" s="50" t="s">
        <v>1304</v>
      </c>
      <c r="AU526" s="50" t="s">
        <v>117</v>
      </c>
      <c r="AV526" s="50" t="s">
        <v>118</v>
      </c>
      <c r="AW526" s="50" t="s">
        <v>102</v>
      </c>
      <c r="AX526" s="50" t="s">
        <v>119</v>
      </c>
      <c r="BB526" s="50" t="s">
        <v>120</v>
      </c>
      <c r="BC526" s="50" t="s">
        <v>1407</v>
      </c>
      <c r="BD526" s="50" t="s">
        <v>449</v>
      </c>
      <c r="BE526" s="50" t="s">
        <v>122</v>
      </c>
      <c r="BF526" s="50" t="s">
        <v>450</v>
      </c>
      <c r="BG526" s="50" t="s">
        <v>124</v>
      </c>
      <c r="BH526" s="50" t="s">
        <v>11888</v>
      </c>
      <c r="BI526" s="50" t="s">
        <v>11889</v>
      </c>
      <c r="BJ526" s="50" t="s">
        <v>127</v>
      </c>
      <c r="BK526" s="50" t="s">
        <v>21098</v>
      </c>
      <c r="BL526" s="50" t="s">
        <v>11079</v>
      </c>
      <c r="BM526" s="50" t="s">
        <v>21099</v>
      </c>
      <c r="BN526" s="50" t="s">
        <v>12211</v>
      </c>
      <c r="BO526" s="50" t="s">
        <v>3267</v>
      </c>
      <c r="BP526" s="50" t="s">
        <v>350</v>
      </c>
      <c r="BQ526" s="50" t="s">
        <v>3268</v>
      </c>
      <c r="BR526" s="50" t="s">
        <v>3269</v>
      </c>
      <c r="BS526" s="50" t="s">
        <v>135</v>
      </c>
      <c r="BU526" s="50" t="s">
        <v>21100</v>
      </c>
      <c r="BV526" s="50" t="s">
        <v>11893</v>
      </c>
      <c r="BW526" s="50" t="s">
        <v>598</v>
      </c>
      <c r="BX526" s="50" t="s">
        <v>7967</v>
      </c>
      <c r="BY526" s="50" t="s">
        <v>11894</v>
      </c>
      <c r="BZ526" s="50" t="s">
        <v>11085</v>
      </c>
      <c r="CA526" s="50" t="s">
        <v>21101</v>
      </c>
      <c r="CB526" s="50" t="s">
        <v>21102</v>
      </c>
      <c r="CC526" s="50" t="s">
        <v>11894</v>
      </c>
      <c r="CD526" s="50" t="s">
        <v>11893</v>
      </c>
      <c r="CE526" s="50" t="s">
        <v>7967</v>
      </c>
      <c r="CF526" s="50" t="s">
        <v>11894</v>
      </c>
      <c r="CG526" s="50" t="s">
        <v>3251</v>
      </c>
      <c r="CH526" s="50" t="s">
        <v>21103</v>
      </c>
      <c r="CJ526" s="50" t="s">
        <v>1419</v>
      </c>
      <c r="CL526" s="50" t="s">
        <v>1407</v>
      </c>
      <c r="CM526" s="50" t="s">
        <v>449</v>
      </c>
      <c r="CN526" s="50" t="s">
        <v>1419</v>
      </c>
      <c r="CO526" s="50" t="s">
        <v>11090</v>
      </c>
      <c r="CP526" s="50" t="s">
        <v>11089</v>
      </c>
      <c r="CQ526" s="50" t="s">
        <v>11089</v>
      </c>
    </row>
    <row r="527" spans="1:96">
      <c r="A527" s="50" t="s">
        <v>93</v>
      </c>
      <c r="B527" s="50">
        <v>5103484</v>
      </c>
      <c r="C527" s="50" t="s">
        <v>2151</v>
      </c>
      <c r="D527" s="50" t="s">
        <v>20909</v>
      </c>
      <c r="E527" s="50" t="str">
        <f>VLOOKUP(B527,aa!B:F,5,0)</f>
        <v>Ei Mindspark</v>
      </c>
      <c r="F527" s="50">
        <f>VLOOKUP(B527,aa!B:J,9,0)</f>
        <v>406759</v>
      </c>
      <c r="G527" s="50">
        <f>VLOOKUP(B527,aa!B:L,11,0)</f>
        <v>0</v>
      </c>
      <c r="H527" s="50">
        <f>VLOOKUP(B527,aa!B:O,14,0)</f>
        <v>0</v>
      </c>
      <c r="I527" s="50">
        <f>VLOOKUP(B527,aa!B:R,17,0)</f>
        <v>406759</v>
      </c>
      <c r="K527" s="50" t="s">
        <v>193</v>
      </c>
      <c r="L527" s="50">
        <v>81000</v>
      </c>
      <c r="M527" s="50">
        <v>81000</v>
      </c>
      <c r="N527" s="50">
        <v>81000</v>
      </c>
      <c r="O527" s="50">
        <v>90</v>
      </c>
      <c r="P527" s="50" t="s">
        <v>2451</v>
      </c>
      <c r="Q527" s="50">
        <v>0</v>
      </c>
      <c r="R527" s="50">
        <v>0</v>
      </c>
      <c r="T527" s="50">
        <v>0</v>
      </c>
      <c r="U527" s="50">
        <v>120</v>
      </c>
      <c r="V527" s="50" t="s">
        <v>102</v>
      </c>
      <c r="W527" s="50" t="s">
        <v>102</v>
      </c>
      <c r="X527" s="50" t="s">
        <v>275</v>
      </c>
      <c r="Z527" s="50" t="s">
        <v>20910</v>
      </c>
      <c r="AA527" s="50" t="s">
        <v>109</v>
      </c>
      <c r="AB527" s="50" t="s">
        <v>102</v>
      </c>
      <c r="AC527" s="50" t="s">
        <v>109</v>
      </c>
      <c r="AD527" s="50" t="s">
        <v>102</v>
      </c>
      <c r="AE527" s="50" t="s">
        <v>109</v>
      </c>
      <c r="AF527" s="50" t="s">
        <v>102</v>
      </c>
      <c r="AG527" s="50" t="s">
        <v>109</v>
      </c>
      <c r="AH527" s="50" t="s">
        <v>102</v>
      </c>
      <c r="AI527" s="50" t="s">
        <v>102</v>
      </c>
      <c r="AJ527" s="50" t="s">
        <v>13242</v>
      </c>
      <c r="AK527" s="50" t="s">
        <v>13242</v>
      </c>
      <c r="AL527" s="50" t="s">
        <v>20911</v>
      </c>
      <c r="AM527" s="50" t="s">
        <v>20912</v>
      </c>
      <c r="AN527" s="50" t="s">
        <v>20913</v>
      </c>
      <c r="AO527" s="50" t="s">
        <v>19346</v>
      </c>
      <c r="AP527" s="50" t="s">
        <v>19346</v>
      </c>
      <c r="AU527" s="50" t="s">
        <v>207</v>
      </c>
      <c r="AV527" s="50" t="s">
        <v>118</v>
      </c>
      <c r="AW527" s="50" t="s">
        <v>102</v>
      </c>
      <c r="AX527" s="50" t="s">
        <v>119</v>
      </c>
      <c r="BA527" s="50" t="s">
        <v>250</v>
      </c>
      <c r="BB527" s="50" t="s">
        <v>20914</v>
      </c>
      <c r="BC527" s="50" t="s">
        <v>920</v>
      </c>
      <c r="BD527" s="50" t="s">
        <v>211</v>
      </c>
      <c r="BE527" s="50" t="s">
        <v>212</v>
      </c>
      <c r="BF527" s="50" t="s">
        <v>213</v>
      </c>
      <c r="BG527" s="50" t="s">
        <v>124</v>
      </c>
      <c r="BH527" s="50" t="s">
        <v>20910</v>
      </c>
      <c r="BI527" s="50" t="s">
        <v>12435</v>
      </c>
      <c r="BJ527" s="50" t="s">
        <v>127</v>
      </c>
      <c r="BK527" s="50" t="s">
        <v>20915</v>
      </c>
      <c r="BL527" s="50" t="s">
        <v>20916</v>
      </c>
      <c r="BM527" s="50" t="s">
        <v>20917</v>
      </c>
      <c r="BN527" s="50" t="s">
        <v>20910</v>
      </c>
      <c r="BO527" s="50" t="s">
        <v>1309</v>
      </c>
      <c r="BP527" s="50" t="s">
        <v>180</v>
      </c>
      <c r="BQ527" s="50" t="s">
        <v>1310</v>
      </c>
      <c r="BR527" s="50" t="s">
        <v>1311</v>
      </c>
      <c r="BS527" s="50" t="s">
        <v>1312</v>
      </c>
      <c r="BU527" s="50" t="s">
        <v>20918</v>
      </c>
      <c r="BV527" s="50" t="s">
        <v>20919</v>
      </c>
      <c r="BW527" s="50" t="s">
        <v>9184</v>
      </c>
      <c r="BX527" s="50" t="s">
        <v>20920</v>
      </c>
      <c r="BY527" s="50" t="s">
        <v>20921</v>
      </c>
      <c r="BZ527" s="50" t="s">
        <v>20922</v>
      </c>
      <c r="CA527" s="50" t="s">
        <v>20919</v>
      </c>
      <c r="CB527" s="50" t="s">
        <v>20922</v>
      </c>
      <c r="CC527" s="50" t="s">
        <v>20923</v>
      </c>
      <c r="CD527" s="50" t="s">
        <v>20919</v>
      </c>
      <c r="CE527" s="50" t="s">
        <v>20922</v>
      </c>
      <c r="CF527" s="50" t="s">
        <v>20923</v>
      </c>
      <c r="CG527" s="50" t="s">
        <v>5007</v>
      </c>
      <c r="CH527" s="50" t="s">
        <v>20924</v>
      </c>
      <c r="CJ527" s="50" t="s">
        <v>932</v>
      </c>
      <c r="CK527" s="50" t="s">
        <v>20924</v>
      </c>
      <c r="CL527" s="50" t="s">
        <v>920</v>
      </c>
      <c r="CM527" s="50" t="s">
        <v>211</v>
      </c>
      <c r="CN527" s="50" t="s">
        <v>932</v>
      </c>
      <c r="CP527" s="50" t="s">
        <v>20925</v>
      </c>
      <c r="CQ527" s="50" t="s">
        <v>20925</v>
      </c>
    </row>
    <row r="528" spans="1:96">
      <c r="A528" s="50" t="s">
        <v>93</v>
      </c>
      <c r="B528" s="50">
        <v>4007320</v>
      </c>
      <c r="C528" s="50" t="s">
        <v>985</v>
      </c>
      <c r="D528" s="50" t="s">
        <v>17957</v>
      </c>
      <c r="E528" s="50" t="e">
        <f>VLOOKUP(B528,aa!B:F,5,0)</f>
        <v>#N/A</v>
      </c>
      <c r="F528" s="50" t="e">
        <f>VLOOKUP(B528,aa!B:J,9,0)</f>
        <v>#N/A</v>
      </c>
      <c r="G528" s="50" t="e">
        <f>VLOOKUP(B528,aa!B:L,11,0)</f>
        <v>#N/A</v>
      </c>
      <c r="H528" s="50" t="e">
        <f>VLOOKUP(B528,aa!B:O,14,0)</f>
        <v>#N/A</v>
      </c>
      <c r="I528" s="50" t="e">
        <f>VLOOKUP(B528,aa!B:R,17,0)</f>
        <v>#N/A</v>
      </c>
      <c r="K528" s="50" t="s">
        <v>152</v>
      </c>
      <c r="L528" s="50">
        <v>41998</v>
      </c>
      <c r="M528" s="50">
        <v>41998</v>
      </c>
      <c r="N528" s="50">
        <v>0</v>
      </c>
      <c r="O528" s="50">
        <v>0</v>
      </c>
      <c r="Q528" s="50">
        <v>41998</v>
      </c>
      <c r="R528" s="50">
        <v>61</v>
      </c>
      <c r="S528" s="50" t="s">
        <v>1750</v>
      </c>
      <c r="T528" s="50">
        <v>0</v>
      </c>
      <c r="U528" s="50">
        <v>0</v>
      </c>
      <c r="W528" s="50" t="s">
        <v>102</v>
      </c>
      <c r="X528" s="50" t="s">
        <v>275</v>
      </c>
      <c r="Z528" s="50" t="s">
        <v>15933</v>
      </c>
      <c r="AA528" s="50" t="s">
        <v>109</v>
      </c>
      <c r="AB528" s="50" t="s">
        <v>102</v>
      </c>
      <c r="AC528" s="50" t="s">
        <v>109</v>
      </c>
      <c r="AD528" s="50" t="s">
        <v>102</v>
      </c>
      <c r="AE528" s="50" t="s">
        <v>109</v>
      </c>
      <c r="AF528" s="50" t="s">
        <v>102</v>
      </c>
      <c r="AG528" s="50" t="s">
        <v>109</v>
      </c>
      <c r="AH528" s="50" t="s">
        <v>102</v>
      </c>
      <c r="AI528" s="50" t="s">
        <v>102</v>
      </c>
      <c r="AJ528" s="50" t="s">
        <v>13302</v>
      </c>
      <c r="AK528" s="50" t="s">
        <v>13302</v>
      </c>
      <c r="AL528" s="50" t="s">
        <v>17958</v>
      </c>
      <c r="AM528" s="50" t="s">
        <v>8459</v>
      </c>
      <c r="AN528" s="50" t="s">
        <v>5926</v>
      </c>
      <c r="AO528" s="50" t="s">
        <v>17959</v>
      </c>
      <c r="AP528" s="50" t="s">
        <v>17959</v>
      </c>
      <c r="AU528" s="50" t="s">
        <v>102</v>
      </c>
      <c r="AW528" s="50" t="s">
        <v>102</v>
      </c>
      <c r="AX528" s="50" t="s">
        <v>119</v>
      </c>
      <c r="AY528" s="50" t="s">
        <v>170</v>
      </c>
      <c r="AZ528" s="50" t="s">
        <v>118</v>
      </c>
      <c r="BB528" s="50" t="s">
        <v>209</v>
      </c>
      <c r="BC528" s="50" t="s">
        <v>2127</v>
      </c>
      <c r="BD528" s="50" t="s">
        <v>621</v>
      </c>
      <c r="BE528" s="50" t="s">
        <v>622</v>
      </c>
      <c r="BF528" s="50" t="s">
        <v>976</v>
      </c>
      <c r="BG528" s="50" t="s">
        <v>124</v>
      </c>
      <c r="BH528" s="50" t="s">
        <v>14415</v>
      </c>
      <c r="BI528" s="50" t="s">
        <v>11889</v>
      </c>
      <c r="BJ528" s="50" t="s">
        <v>127</v>
      </c>
      <c r="BK528" s="50" t="s">
        <v>17960</v>
      </c>
      <c r="BL528" s="50" t="s">
        <v>17961</v>
      </c>
      <c r="BM528" s="50" t="s">
        <v>17962</v>
      </c>
      <c r="BN528" s="50" t="s">
        <v>3849</v>
      </c>
      <c r="BO528" s="50" t="s">
        <v>13638</v>
      </c>
      <c r="BP528" s="50" t="s">
        <v>505</v>
      </c>
      <c r="BQ528" s="50" t="s">
        <v>13639</v>
      </c>
      <c r="BR528" s="50" t="s">
        <v>13640</v>
      </c>
      <c r="BS528" s="50" t="s">
        <v>2847</v>
      </c>
      <c r="BU528" s="50" t="s">
        <v>17963</v>
      </c>
      <c r="BV528" s="50" t="s">
        <v>17964</v>
      </c>
      <c r="BW528" s="50" t="s">
        <v>138</v>
      </c>
      <c r="BX528" s="50" t="s">
        <v>17965</v>
      </c>
      <c r="BY528" s="50" t="s">
        <v>17966</v>
      </c>
      <c r="BZ528" s="50" t="s">
        <v>17965</v>
      </c>
      <c r="CA528" s="50" t="s">
        <v>17964</v>
      </c>
      <c r="CB528" s="50" t="s">
        <v>17965</v>
      </c>
      <c r="CC528" s="50" t="s">
        <v>17966</v>
      </c>
      <c r="CD528" s="50" t="s">
        <v>17967</v>
      </c>
      <c r="CE528" s="50" t="s">
        <v>17965</v>
      </c>
      <c r="CF528" s="50" t="s">
        <v>17968</v>
      </c>
      <c r="CG528" s="50" t="s">
        <v>10117</v>
      </c>
      <c r="CH528" s="50" t="s">
        <v>17969</v>
      </c>
      <c r="CJ528" s="50" t="s">
        <v>8655</v>
      </c>
      <c r="CK528" s="50" t="s">
        <v>17970</v>
      </c>
      <c r="CL528" s="50" t="s">
        <v>2127</v>
      </c>
      <c r="CM528" s="50" t="s">
        <v>621</v>
      </c>
      <c r="CN528" s="50" t="s">
        <v>8655</v>
      </c>
      <c r="CP528" s="50" t="s">
        <v>17969</v>
      </c>
      <c r="CQ528" s="50" t="s">
        <v>17969</v>
      </c>
    </row>
    <row r="529" spans="1:96">
      <c r="A529" s="50" t="s">
        <v>93</v>
      </c>
      <c r="B529" s="50">
        <v>4129415</v>
      </c>
      <c r="C529" s="50" t="s">
        <v>384</v>
      </c>
      <c r="D529" s="50" t="s">
        <v>18149</v>
      </c>
      <c r="E529" s="50" t="str">
        <f>VLOOKUP(B529,aa!B:F,5,0)</f>
        <v>Ei Mindspark</v>
      </c>
      <c r="F529" s="50">
        <f>VLOOKUP(B529,aa!B:J,9,0)</f>
        <v>358492</v>
      </c>
      <c r="G529" s="50">
        <f>VLOOKUP(B529,aa!B:L,11,0)</f>
        <v>0</v>
      </c>
      <c r="H529" s="50">
        <f>VLOOKUP(B529,aa!B:O,14,0)</f>
        <v>0</v>
      </c>
      <c r="I529" s="50">
        <f>VLOOKUP(B529,aa!B:R,17,0)</f>
        <v>358492</v>
      </c>
      <c r="K529" s="50" t="s">
        <v>848</v>
      </c>
      <c r="L529" s="50">
        <v>48816</v>
      </c>
      <c r="M529" s="50">
        <v>57603</v>
      </c>
      <c r="N529" s="50">
        <v>0</v>
      </c>
      <c r="O529" s="50">
        <v>0</v>
      </c>
      <c r="Q529" s="50">
        <v>0</v>
      </c>
      <c r="R529" s="50">
        <v>0</v>
      </c>
      <c r="T529" s="50">
        <v>48816</v>
      </c>
      <c r="U529" s="50">
        <v>192</v>
      </c>
      <c r="V529" s="50" t="s">
        <v>18150</v>
      </c>
      <c r="W529" s="50" t="s">
        <v>102</v>
      </c>
      <c r="X529" s="50" t="s">
        <v>275</v>
      </c>
      <c r="Z529" s="50" t="s">
        <v>11886</v>
      </c>
      <c r="AA529" s="50" t="s">
        <v>109</v>
      </c>
      <c r="AB529" s="50" t="s">
        <v>102</v>
      </c>
      <c r="AC529" s="50" t="s">
        <v>109</v>
      </c>
      <c r="AD529" s="50" t="s">
        <v>102</v>
      </c>
      <c r="AE529" s="50" t="s">
        <v>109</v>
      </c>
      <c r="AF529" s="50" t="s">
        <v>102</v>
      </c>
      <c r="AG529" s="50" t="s">
        <v>109</v>
      </c>
      <c r="AH529" s="50" t="s">
        <v>102</v>
      </c>
      <c r="AI529" s="50" t="s">
        <v>102</v>
      </c>
      <c r="AJ529" s="50" t="s">
        <v>17126</v>
      </c>
      <c r="AK529" s="50" t="s">
        <v>17126</v>
      </c>
      <c r="AL529" s="50" t="s">
        <v>18151</v>
      </c>
      <c r="AM529" s="50" t="s">
        <v>1221</v>
      </c>
      <c r="AN529" s="50" t="s">
        <v>18152</v>
      </c>
      <c r="AO529" s="50" t="s">
        <v>18153</v>
      </c>
      <c r="AP529" s="50" t="s">
        <v>18153</v>
      </c>
      <c r="AU529" s="50" t="s">
        <v>102</v>
      </c>
      <c r="AW529" s="50" t="s">
        <v>102</v>
      </c>
      <c r="AX529" s="50" t="s">
        <v>119</v>
      </c>
      <c r="BA529" s="50" t="s">
        <v>250</v>
      </c>
      <c r="BB529" s="50" t="s">
        <v>120</v>
      </c>
      <c r="BC529" s="50" t="s">
        <v>18154</v>
      </c>
      <c r="BD529" s="50" t="s">
        <v>1171</v>
      </c>
      <c r="BE529" s="50" t="s">
        <v>174</v>
      </c>
      <c r="BF529" s="50" t="s">
        <v>1172</v>
      </c>
      <c r="BG529" s="50" t="s">
        <v>124</v>
      </c>
      <c r="BH529" s="50" t="s">
        <v>18155</v>
      </c>
      <c r="BI529" s="50" t="s">
        <v>11889</v>
      </c>
      <c r="BJ529" s="50" t="s">
        <v>127</v>
      </c>
      <c r="BK529" s="50" t="s">
        <v>18156</v>
      </c>
      <c r="BL529" s="50" t="s">
        <v>18157</v>
      </c>
      <c r="BM529" s="50" t="s">
        <v>18158</v>
      </c>
      <c r="BN529" s="50" t="s">
        <v>15933</v>
      </c>
      <c r="BO529" s="50" t="s">
        <v>5557</v>
      </c>
      <c r="BP529" s="50" t="s">
        <v>180</v>
      </c>
      <c r="BQ529" s="50" t="s">
        <v>5558</v>
      </c>
      <c r="BR529" s="50" t="s">
        <v>5559</v>
      </c>
      <c r="BS529" s="50" t="s">
        <v>5560</v>
      </c>
      <c r="BU529" s="50" t="s">
        <v>18159</v>
      </c>
      <c r="BV529" s="50" t="s">
        <v>18160</v>
      </c>
      <c r="BW529" s="50" t="s">
        <v>354</v>
      </c>
      <c r="BX529" s="50" t="s">
        <v>18161</v>
      </c>
      <c r="BY529" s="50" t="s">
        <v>18162</v>
      </c>
      <c r="BZ529" s="50" t="s">
        <v>18161</v>
      </c>
      <c r="CA529" s="50" t="s">
        <v>18163</v>
      </c>
      <c r="CB529" s="50" t="s">
        <v>18161</v>
      </c>
      <c r="CC529" s="50" t="s">
        <v>18162</v>
      </c>
      <c r="CD529" s="50" t="s">
        <v>18163</v>
      </c>
      <c r="CE529" s="50" t="s">
        <v>18161</v>
      </c>
      <c r="CF529" s="50" t="s">
        <v>18162</v>
      </c>
      <c r="CG529" s="50" t="s">
        <v>18164</v>
      </c>
      <c r="CH529" s="50" t="s">
        <v>18165</v>
      </c>
      <c r="CJ529" s="50" t="s">
        <v>18166</v>
      </c>
      <c r="CK529" s="50" t="s">
        <v>18165</v>
      </c>
      <c r="CL529" s="50" t="s">
        <v>18154</v>
      </c>
      <c r="CM529" s="50" t="s">
        <v>1171</v>
      </c>
      <c r="CN529" s="50" t="s">
        <v>18166</v>
      </c>
      <c r="CP529" s="50" t="s">
        <v>14774</v>
      </c>
      <c r="CQ529" s="50" t="s">
        <v>18167</v>
      </c>
    </row>
    <row r="530" spans="1:96">
      <c r="A530" s="50" t="s">
        <v>93</v>
      </c>
      <c r="B530" s="50">
        <v>5107064</v>
      </c>
      <c r="C530" s="50" t="s">
        <v>384</v>
      </c>
      <c r="D530" s="50" t="s">
        <v>20926</v>
      </c>
      <c r="E530" s="50" t="str">
        <f>VLOOKUP(B530,aa!B:F,5,0)</f>
        <v>Ei Mindspark</v>
      </c>
      <c r="F530" s="50">
        <f>VLOOKUP(B530,aa!B:J,9,0)</f>
        <v>273064</v>
      </c>
      <c r="G530" s="50">
        <f>VLOOKUP(B530,aa!B:L,11,0)</f>
        <v>0</v>
      </c>
      <c r="H530" s="50">
        <f>VLOOKUP(B530,aa!B:O,14,0)</f>
        <v>0</v>
      </c>
      <c r="I530" s="50">
        <f>VLOOKUP(B530,aa!B:R,17,0)</f>
        <v>273064</v>
      </c>
      <c r="K530" s="50" t="s">
        <v>848</v>
      </c>
      <c r="L530" s="50">
        <v>28730</v>
      </c>
      <c r="M530" s="50">
        <v>33901</v>
      </c>
      <c r="N530" s="50">
        <v>0</v>
      </c>
      <c r="O530" s="50">
        <v>0</v>
      </c>
      <c r="Q530" s="50">
        <v>0</v>
      </c>
      <c r="R530" s="50">
        <v>0</v>
      </c>
      <c r="T530" s="50">
        <v>28730</v>
      </c>
      <c r="U530" s="50">
        <v>113</v>
      </c>
      <c r="V530" s="50" t="s">
        <v>18150</v>
      </c>
      <c r="W530" s="50" t="s">
        <v>102</v>
      </c>
      <c r="X530" s="50" t="s">
        <v>275</v>
      </c>
      <c r="Z530" s="50" t="s">
        <v>11886</v>
      </c>
      <c r="AA530" s="50" t="s">
        <v>109</v>
      </c>
      <c r="AB530" s="50" t="s">
        <v>102</v>
      </c>
      <c r="AC530" s="50" t="s">
        <v>109</v>
      </c>
      <c r="AD530" s="50" t="s">
        <v>102</v>
      </c>
      <c r="AE530" s="50" t="s">
        <v>109</v>
      </c>
      <c r="AF530" s="50" t="s">
        <v>102</v>
      </c>
      <c r="AG530" s="50" t="s">
        <v>109</v>
      </c>
      <c r="AH530" s="50" t="s">
        <v>102</v>
      </c>
      <c r="AI530" s="50" t="s">
        <v>102</v>
      </c>
      <c r="AJ530" s="50" t="s">
        <v>17126</v>
      </c>
      <c r="AK530" s="50" t="s">
        <v>17126</v>
      </c>
      <c r="AL530" s="50" t="s">
        <v>20927</v>
      </c>
      <c r="AM530" s="50" t="s">
        <v>1221</v>
      </c>
      <c r="AN530" s="50" t="s">
        <v>20928</v>
      </c>
      <c r="AO530" s="50" t="s">
        <v>18153</v>
      </c>
      <c r="AP530" s="50" t="s">
        <v>18153</v>
      </c>
      <c r="AU530" s="50" t="s">
        <v>102</v>
      </c>
      <c r="AW530" s="50" t="s">
        <v>102</v>
      </c>
      <c r="AX530" s="50" t="s">
        <v>119</v>
      </c>
      <c r="BA530" s="50" t="s">
        <v>250</v>
      </c>
      <c r="BB530" s="50" t="s">
        <v>120</v>
      </c>
      <c r="BC530" s="50" t="s">
        <v>18154</v>
      </c>
      <c r="BD530" s="50" t="s">
        <v>1171</v>
      </c>
      <c r="BE530" s="50" t="s">
        <v>174</v>
      </c>
      <c r="BF530" s="50" t="s">
        <v>1172</v>
      </c>
      <c r="BG530" s="50" t="s">
        <v>124</v>
      </c>
      <c r="BH530" s="50" t="s">
        <v>18155</v>
      </c>
      <c r="BI530" s="50" t="s">
        <v>11889</v>
      </c>
      <c r="BJ530" s="50" t="s">
        <v>127</v>
      </c>
      <c r="BK530" s="50" t="s">
        <v>20929</v>
      </c>
      <c r="BL530" s="50" t="s">
        <v>20930</v>
      </c>
      <c r="BM530" s="50" t="s">
        <v>20931</v>
      </c>
      <c r="BN530" s="50" t="s">
        <v>15933</v>
      </c>
      <c r="BO530" s="50" t="s">
        <v>5557</v>
      </c>
      <c r="BP530" s="50" t="s">
        <v>180</v>
      </c>
      <c r="BQ530" s="50" t="s">
        <v>5558</v>
      </c>
      <c r="BR530" s="50" t="s">
        <v>5559</v>
      </c>
      <c r="BS530" s="50" t="s">
        <v>5560</v>
      </c>
      <c r="BU530" s="50" t="s">
        <v>20932</v>
      </c>
      <c r="BV530" s="50" t="s">
        <v>20933</v>
      </c>
      <c r="BW530" s="50" t="s">
        <v>354</v>
      </c>
      <c r="BX530" s="50" t="s">
        <v>18161</v>
      </c>
      <c r="BY530" s="50" t="s">
        <v>20934</v>
      </c>
      <c r="CA530" s="50" t="s">
        <v>20935</v>
      </c>
      <c r="CB530" s="50" t="s">
        <v>18161</v>
      </c>
      <c r="CC530" s="50" t="s">
        <v>18162</v>
      </c>
      <c r="CD530" s="50" t="s">
        <v>20935</v>
      </c>
      <c r="CE530" s="50" t="s">
        <v>18161</v>
      </c>
      <c r="CF530" s="50" t="s">
        <v>18162</v>
      </c>
      <c r="CG530" s="50" t="s">
        <v>102</v>
      </c>
      <c r="CH530" s="50" t="s">
        <v>20936</v>
      </c>
      <c r="CJ530" s="50" t="s">
        <v>20937</v>
      </c>
      <c r="CL530" s="50" t="s">
        <v>18154</v>
      </c>
      <c r="CM530" s="50" t="s">
        <v>1171</v>
      </c>
      <c r="CN530" s="50" t="s">
        <v>20937</v>
      </c>
      <c r="CP530" s="50" t="s">
        <v>20938</v>
      </c>
      <c r="CQ530" s="50" t="s">
        <v>20938</v>
      </c>
    </row>
    <row r="531" spans="1:96">
      <c r="A531" s="50" t="s">
        <v>93</v>
      </c>
      <c r="B531" s="50">
        <v>5018337</v>
      </c>
      <c r="C531" s="50" t="s">
        <v>293</v>
      </c>
      <c r="D531" s="50" t="s">
        <v>19626</v>
      </c>
      <c r="E531" s="50" t="str">
        <f>VLOOKUP(B531,aa!B:F,5,0)</f>
        <v>Ei CARES</v>
      </c>
      <c r="F531" s="50">
        <f>VLOOKUP(B531,aa!B:J,9,0)</f>
        <v>1000314</v>
      </c>
      <c r="G531" s="50">
        <f>VLOOKUP(B531,aa!B:L,11,0)</f>
        <v>0</v>
      </c>
      <c r="H531" s="50">
        <f>VLOOKUP(B531,aa!B:O,14,0)</f>
        <v>1000314</v>
      </c>
      <c r="I531" s="50">
        <f>VLOOKUP(B531,aa!B:R,17,0)</f>
        <v>0</v>
      </c>
      <c r="K531" s="50" t="s">
        <v>152</v>
      </c>
      <c r="L531" s="50">
        <v>909207</v>
      </c>
      <c r="M531" s="50">
        <v>909207</v>
      </c>
      <c r="N531" s="50">
        <v>0</v>
      </c>
      <c r="O531" s="50">
        <v>0</v>
      </c>
      <c r="Q531" s="50">
        <v>909207</v>
      </c>
      <c r="R531" s="50">
        <v>505</v>
      </c>
      <c r="S531" s="50" t="s">
        <v>3005</v>
      </c>
      <c r="T531" s="50">
        <v>0</v>
      </c>
      <c r="U531" s="50">
        <v>0</v>
      </c>
      <c r="W531" s="50" t="s">
        <v>102</v>
      </c>
      <c r="X531" s="50" t="s">
        <v>103</v>
      </c>
      <c r="Y531" s="50" t="s">
        <v>155</v>
      </c>
      <c r="AA531" s="50" t="s">
        <v>11959</v>
      </c>
      <c r="AB531" s="50" t="s">
        <v>19627</v>
      </c>
      <c r="AC531" s="50" t="s">
        <v>5651</v>
      </c>
      <c r="AD531" s="50" t="s">
        <v>19627</v>
      </c>
      <c r="AE531" s="50" t="s">
        <v>12327</v>
      </c>
      <c r="AF531" s="50" t="s">
        <v>19627</v>
      </c>
      <c r="AG531" s="50" t="s">
        <v>12084</v>
      </c>
      <c r="AH531" s="50" t="s">
        <v>19627</v>
      </c>
      <c r="AI531" s="50" t="s">
        <v>102</v>
      </c>
      <c r="AL531" s="50" t="s">
        <v>19628</v>
      </c>
      <c r="AM531" s="50" t="s">
        <v>102</v>
      </c>
      <c r="AN531" s="50" t="s">
        <v>19628</v>
      </c>
      <c r="AO531" s="50" t="s">
        <v>19629</v>
      </c>
      <c r="AP531" s="50" t="s">
        <v>19629</v>
      </c>
      <c r="AU531" s="50" t="s">
        <v>102</v>
      </c>
      <c r="AW531" s="50" t="s">
        <v>155</v>
      </c>
      <c r="AX531" s="50" t="s">
        <v>447</v>
      </c>
      <c r="AY531" s="50" t="s">
        <v>1138</v>
      </c>
      <c r="AZ531" s="50" t="s">
        <v>118</v>
      </c>
      <c r="BA531" s="50" t="s">
        <v>208</v>
      </c>
      <c r="BB531" s="50" t="s">
        <v>1964</v>
      </c>
      <c r="BC531" s="50" t="s">
        <v>7718</v>
      </c>
      <c r="BD531" s="50" t="s">
        <v>211</v>
      </c>
      <c r="BE531" s="50" t="s">
        <v>212</v>
      </c>
      <c r="BF531" s="50" t="s">
        <v>213</v>
      </c>
      <c r="BG531" s="50" t="s">
        <v>124</v>
      </c>
      <c r="BH531" s="50" t="s">
        <v>13680</v>
      </c>
      <c r="BI531" s="50" t="s">
        <v>11960</v>
      </c>
      <c r="BJ531" s="50" t="s">
        <v>127</v>
      </c>
      <c r="BK531" s="50" t="s">
        <v>19630</v>
      </c>
      <c r="BL531" s="50" t="s">
        <v>19631</v>
      </c>
      <c r="BM531" s="50" t="s">
        <v>19632</v>
      </c>
      <c r="BN531" s="50" t="s">
        <v>17126</v>
      </c>
      <c r="BO531" s="50" t="s">
        <v>19633</v>
      </c>
      <c r="BP531" s="50" t="s">
        <v>505</v>
      </c>
      <c r="BQ531" s="50" t="s">
        <v>19634</v>
      </c>
      <c r="BR531" s="50" t="s">
        <v>19635</v>
      </c>
      <c r="BS531" s="50" t="s">
        <v>2463</v>
      </c>
      <c r="BU531" s="50" t="s">
        <v>19636</v>
      </c>
      <c r="BV531" s="50" t="s">
        <v>19637</v>
      </c>
      <c r="BW531" s="50" t="s">
        <v>598</v>
      </c>
      <c r="BX531" s="50" t="s">
        <v>225</v>
      </c>
      <c r="BY531" s="50" t="s">
        <v>19638</v>
      </c>
      <c r="BZ531" s="50" t="s">
        <v>19639</v>
      </c>
      <c r="CA531" s="50" t="s">
        <v>19640</v>
      </c>
      <c r="CB531" s="50" t="s">
        <v>225</v>
      </c>
      <c r="CC531" s="50" t="s">
        <v>19638</v>
      </c>
      <c r="CD531" s="50" t="s">
        <v>19641</v>
      </c>
      <c r="CE531" s="50" t="s">
        <v>225</v>
      </c>
      <c r="CF531" s="50" t="s">
        <v>19642</v>
      </c>
      <c r="CG531" s="50" t="s">
        <v>9458</v>
      </c>
      <c r="CH531" s="50" t="s">
        <v>19643</v>
      </c>
      <c r="CJ531" s="50" t="s">
        <v>19644</v>
      </c>
      <c r="CK531" s="50" t="s">
        <v>19645</v>
      </c>
      <c r="CL531" s="50" t="s">
        <v>7718</v>
      </c>
      <c r="CM531" s="50" t="s">
        <v>211</v>
      </c>
      <c r="CN531" s="50" t="s">
        <v>19644</v>
      </c>
      <c r="CP531" s="50" t="s">
        <v>19643</v>
      </c>
      <c r="CQ531" s="50" t="s">
        <v>19643</v>
      </c>
    </row>
    <row r="532" spans="1:96">
      <c r="A532" s="50" t="s">
        <v>93</v>
      </c>
      <c r="B532" s="50">
        <v>3996253</v>
      </c>
      <c r="C532" s="50" t="s">
        <v>11995</v>
      </c>
      <c r="D532" s="50" t="s">
        <v>17677</v>
      </c>
      <c r="E532" s="50" t="e">
        <f>VLOOKUP(B532,aa!B:F,5,0)</f>
        <v>#N/A</v>
      </c>
      <c r="F532" s="50" t="e">
        <f>VLOOKUP(B532,aa!B:J,9,0)</f>
        <v>#N/A</v>
      </c>
      <c r="G532" s="50" t="e">
        <f>VLOOKUP(B532,aa!B:L,11,0)</f>
        <v>#N/A</v>
      </c>
      <c r="H532" s="50" t="e">
        <f>VLOOKUP(B532,aa!B:O,14,0)</f>
        <v>#N/A</v>
      </c>
      <c r="I532" s="50" t="e">
        <f>VLOOKUP(B532,aa!B:R,17,0)</f>
        <v>#N/A</v>
      </c>
      <c r="K532" s="50" t="s">
        <v>97</v>
      </c>
      <c r="L532" s="50">
        <v>226500</v>
      </c>
      <c r="M532" s="50">
        <v>226500</v>
      </c>
      <c r="N532" s="50">
        <v>226500</v>
      </c>
      <c r="O532" s="50">
        <v>302</v>
      </c>
      <c r="P532" s="50" t="s">
        <v>101</v>
      </c>
      <c r="Q532" s="50">
        <v>0</v>
      </c>
      <c r="R532" s="50">
        <v>0</v>
      </c>
      <c r="T532" s="50">
        <v>0</v>
      </c>
      <c r="U532" s="50">
        <v>0</v>
      </c>
      <c r="W532" s="50" t="s">
        <v>102</v>
      </c>
      <c r="X532" s="50" t="s">
        <v>103</v>
      </c>
      <c r="Y532" s="50" t="s">
        <v>104</v>
      </c>
      <c r="AA532" s="50" t="s">
        <v>12430</v>
      </c>
      <c r="AB532" s="50" t="s">
        <v>17678</v>
      </c>
      <c r="AC532" s="50" t="s">
        <v>11886</v>
      </c>
      <c r="AD532" s="50" t="s">
        <v>17678</v>
      </c>
      <c r="AE532" s="50" t="s">
        <v>109</v>
      </c>
      <c r="AF532" s="50" t="s">
        <v>102</v>
      </c>
      <c r="AG532" s="50" t="s">
        <v>109</v>
      </c>
      <c r="AH532" s="50" t="s">
        <v>102</v>
      </c>
      <c r="AI532" s="50" t="s">
        <v>102</v>
      </c>
      <c r="AL532" s="50" t="s">
        <v>17679</v>
      </c>
      <c r="AM532" s="50" t="s">
        <v>102</v>
      </c>
      <c r="AN532" s="50" t="s">
        <v>17679</v>
      </c>
      <c r="AO532" s="50" t="s">
        <v>116</v>
      </c>
      <c r="AP532" s="50" t="s">
        <v>116</v>
      </c>
      <c r="AU532" s="50" t="s">
        <v>117</v>
      </c>
      <c r="AV532" s="50" t="s">
        <v>118</v>
      </c>
      <c r="AW532" s="50" t="s">
        <v>102</v>
      </c>
      <c r="AX532" s="50" t="s">
        <v>119</v>
      </c>
      <c r="BB532" s="50" t="s">
        <v>120</v>
      </c>
      <c r="BC532" s="50" t="s">
        <v>17680</v>
      </c>
      <c r="BD532" s="50" t="s">
        <v>6390</v>
      </c>
      <c r="BE532" s="50" t="s">
        <v>212</v>
      </c>
      <c r="BF532" s="50" t="s">
        <v>286</v>
      </c>
      <c r="BG532" s="50" t="s">
        <v>124</v>
      </c>
      <c r="BH532" s="50" t="s">
        <v>12430</v>
      </c>
      <c r="BI532" s="50" t="s">
        <v>12047</v>
      </c>
      <c r="BJ532" s="50" t="s">
        <v>127</v>
      </c>
      <c r="BK532" s="50" t="s">
        <v>17681</v>
      </c>
      <c r="BL532" s="50" t="s">
        <v>17682</v>
      </c>
      <c r="BM532" s="50" t="s">
        <v>17683</v>
      </c>
      <c r="BN532" s="50" t="s">
        <v>12430</v>
      </c>
      <c r="BO532" s="50" t="s">
        <v>17684</v>
      </c>
      <c r="BP532" s="50" t="s">
        <v>132</v>
      </c>
      <c r="BQ532" s="50" t="s">
        <v>17685</v>
      </c>
      <c r="BR532" s="50" t="s">
        <v>17686</v>
      </c>
      <c r="BS532" s="50" t="s">
        <v>17687</v>
      </c>
      <c r="BU532" s="50" t="s">
        <v>17688</v>
      </c>
      <c r="BV532" s="50" t="s">
        <v>17689</v>
      </c>
      <c r="BW532" s="50" t="s">
        <v>354</v>
      </c>
      <c r="BX532" s="50" t="s">
        <v>17690</v>
      </c>
      <c r="BY532" s="50" t="s">
        <v>17691</v>
      </c>
      <c r="BZ532" s="50" t="s">
        <v>17692</v>
      </c>
      <c r="CA532" s="50" t="s">
        <v>17693</v>
      </c>
      <c r="CB532" s="50" t="s">
        <v>17690</v>
      </c>
      <c r="CC532" s="50" t="s">
        <v>17694</v>
      </c>
      <c r="CD532" s="50" t="s">
        <v>17693</v>
      </c>
      <c r="CE532" s="50" t="s">
        <v>17690</v>
      </c>
      <c r="CF532" s="50" t="s">
        <v>17694</v>
      </c>
      <c r="CG532" s="50" t="s">
        <v>6401</v>
      </c>
      <c r="CH532" s="50" t="s">
        <v>17695</v>
      </c>
      <c r="CJ532" s="50" t="s">
        <v>17696</v>
      </c>
      <c r="CK532" s="50" t="s">
        <v>17695</v>
      </c>
      <c r="CL532" s="50" t="s">
        <v>17680</v>
      </c>
      <c r="CM532" s="50" t="s">
        <v>6390</v>
      </c>
      <c r="CN532" s="50" t="s">
        <v>17696</v>
      </c>
      <c r="CP532" s="50" t="s">
        <v>17695</v>
      </c>
      <c r="CQ532" s="50" t="s">
        <v>17695</v>
      </c>
      <c r="CR532" s="50" t="s">
        <v>26049</v>
      </c>
    </row>
    <row r="533" spans="1:96">
      <c r="A533" s="50" t="s">
        <v>26356</v>
      </c>
      <c r="B533" s="50">
        <v>2509933</v>
      </c>
      <c r="C533" s="50" t="s">
        <v>13158</v>
      </c>
      <c r="D533" s="50" t="s">
        <v>3879</v>
      </c>
      <c r="E533" s="50" t="e">
        <f>VLOOKUP(B533,aa!B:F,5,0)</f>
        <v>#N/A</v>
      </c>
      <c r="F533" s="50" t="e">
        <f>VLOOKUP(B533,aa!B:J,9,0)</f>
        <v>#N/A</v>
      </c>
      <c r="G533" s="50" t="e">
        <f>VLOOKUP(B533,aa!B:L,11,0)</f>
        <v>#N/A</v>
      </c>
      <c r="H533" s="50" t="e">
        <f>VLOOKUP(B533,aa!B:O,14,0)</f>
        <v>#N/A</v>
      </c>
      <c r="I533" s="50" t="e">
        <f>VLOOKUP(B533,aa!B:R,17,0)</f>
        <v>#N/A</v>
      </c>
      <c r="K533" s="50" t="s">
        <v>97</v>
      </c>
      <c r="L533" s="50">
        <v>0</v>
      </c>
      <c r="M533" s="50">
        <v>0</v>
      </c>
      <c r="N533" s="50">
        <v>0</v>
      </c>
      <c r="O533" s="50">
        <v>984</v>
      </c>
      <c r="P533" s="50" t="s">
        <v>102</v>
      </c>
      <c r="Q533" s="50">
        <v>0</v>
      </c>
      <c r="R533" s="50">
        <v>0</v>
      </c>
      <c r="T533" s="50">
        <v>0</v>
      </c>
      <c r="U533" s="50">
        <v>0</v>
      </c>
      <c r="W533" s="50" t="s">
        <v>102</v>
      </c>
      <c r="X533" s="50" t="s">
        <v>275</v>
      </c>
      <c r="Z533" s="50" t="s">
        <v>12820</v>
      </c>
      <c r="AA533" s="50" t="s">
        <v>109</v>
      </c>
      <c r="AB533" s="50" t="s">
        <v>102</v>
      </c>
      <c r="AC533" s="50" t="s">
        <v>109</v>
      </c>
      <c r="AD533" s="50" t="s">
        <v>102</v>
      </c>
      <c r="AE533" s="50" t="s">
        <v>109</v>
      </c>
      <c r="AF533" s="50" t="s">
        <v>102</v>
      </c>
      <c r="AG533" s="50" t="s">
        <v>109</v>
      </c>
      <c r="AH533" s="50" t="s">
        <v>102</v>
      </c>
      <c r="AI533" s="50" t="s">
        <v>102</v>
      </c>
      <c r="AL533" s="50" t="s">
        <v>102</v>
      </c>
      <c r="AM533" s="50" t="s">
        <v>102</v>
      </c>
      <c r="AN533" s="50" t="s">
        <v>102</v>
      </c>
      <c r="AO533" s="50" t="s">
        <v>115</v>
      </c>
      <c r="AP533" s="50" t="s">
        <v>115</v>
      </c>
      <c r="AU533" s="50" t="s">
        <v>117</v>
      </c>
      <c r="AV533" s="50" t="s">
        <v>118</v>
      </c>
      <c r="AW533" s="50" t="s">
        <v>102</v>
      </c>
      <c r="AX533" s="50" t="s">
        <v>119</v>
      </c>
      <c r="BB533" s="50" t="s">
        <v>120</v>
      </c>
      <c r="BC533" s="50" t="s">
        <v>1407</v>
      </c>
      <c r="BD533" s="50" t="s">
        <v>449</v>
      </c>
      <c r="BE533" s="50" t="s">
        <v>122</v>
      </c>
      <c r="BF533" s="50" t="s">
        <v>450</v>
      </c>
      <c r="BG533" s="50" t="s">
        <v>124</v>
      </c>
      <c r="BH533" s="50" t="s">
        <v>12084</v>
      </c>
      <c r="BI533" s="50" t="s">
        <v>11889</v>
      </c>
      <c r="BJ533" s="50" t="s">
        <v>127</v>
      </c>
      <c r="BK533" s="50" t="s">
        <v>14333</v>
      </c>
      <c r="BL533" s="50" t="s">
        <v>14334</v>
      </c>
      <c r="BM533" s="50" t="s">
        <v>14335</v>
      </c>
      <c r="BN533" s="50" t="s">
        <v>12820</v>
      </c>
      <c r="BO533" s="50" t="s">
        <v>180</v>
      </c>
      <c r="BP533" s="50" t="s">
        <v>505</v>
      </c>
      <c r="BQ533" s="50" t="s">
        <v>8588</v>
      </c>
      <c r="BR533" s="50" t="s">
        <v>14336</v>
      </c>
      <c r="BS533" s="50" t="s">
        <v>2593</v>
      </c>
      <c r="BT533" s="50" t="s">
        <v>4765</v>
      </c>
      <c r="BU533" s="50" t="s">
        <v>14337</v>
      </c>
      <c r="BV533" s="50" t="s">
        <v>14338</v>
      </c>
      <c r="BW533" s="50" t="s">
        <v>598</v>
      </c>
      <c r="BX533" s="50" t="s">
        <v>14339</v>
      </c>
      <c r="BY533" s="50" t="s">
        <v>14340</v>
      </c>
      <c r="BZ533" s="50" t="s">
        <v>14341</v>
      </c>
      <c r="CA533" s="50" t="s">
        <v>14342</v>
      </c>
      <c r="CB533" s="50" t="s">
        <v>8588</v>
      </c>
      <c r="CC533" s="50" t="s">
        <v>14343</v>
      </c>
      <c r="CD533" s="50" t="s">
        <v>14342</v>
      </c>
      <c r="CE533" s="50" t="s">
        <v>8588</v>
      </c>
      <c r="CF533" s="50" t="s">
        <v>14343</v>
      </c>
      <c r="CG533" s="50" t="s">
        <v>907</v>
      </c>
      <c r="CH533" s="50" t="s">
        <v>1407</v>
      </c>
      <c r="CJ533" s="50" t="s">
        <v>1419</v>
      </c>
      <c r="CK533" s="50" t="s">
        <v>14344</v>
      </c>
      <c r="CL533" s="50" t="s">
        <v>1407</v>
      </c>
      <c r="CM533" s="50" t="s">
        <v>449</v>
      </c>
      <c r="CN533" s="50" t="s">
        <v>1419</v>
      </c>
      <c r="CP533" s="50" t="s">
        <v>14344</v>
      </c>
      <c r="CQ533" s="50" t="s">
        <v>14344</v>
      </c>
    </row>
    <row r="534" spans="1:96">
      <c r="A534" s="50" t="s">
        <v>26356</v>
      </c>
      <c r="B534" s="50">
        <v>3031830</v>
      </c>
      <c r="C534" s="50" t="s">
        <v>13158</v>
      </c>
      <c r="D534" s="50" t="s">
        <v>3879</v>
      </c>
      <c r="E534" s="50" t="e">
        <f>VLOOKUP(B534,aa!B:F,5,0)</f>
        <v>#N/A</v>
      </c>
      <c r="F534" s="50" t="e">
        <f>VLOOKUP(B534,aa!B:J,9,0)</f>
        <v>#N/A</v>
      </c>
      <c r="G534" s="50" t="e">
        <f>VLOOKUP(B534,aa!B:L,11,0)</f>
        <v>#N/A</v>
      </c>
      <c r="H534" s="50" t="e">
        <f>VLOOKUP(B534,aa!B:O,14,0)</f>
        <v>#N/A</v>
      </c>
      <c r="I534" s="50" t="e">
        <f>VLOOKUP(B534,aa!B:R,17,0)</f>
        <v>#N/A</v>
      </c>
      <c r="K534" s="50" t="s">
        <v>97</v>
      </c>
      <c r="L534" s="50">
        <v>0</v>
      </c>
      <c r="M534" s="50">
        <v>0</v>
      </c>
      <c r="N534" s="50">
        <v>0</v>
      </c>
      <c r="O534" s="50">
        <v>1309</v>
      </c>
      <c r="P534" s="50" t="s">
        <v>102</v>
      </c>
      <c r="Q534" s="50">
        <v>0</v>
      </c>
      <c r="R534" s="50">
        <v>0</v>
      </c>
      <c r="T534" s="50">
        <v>0</v>
      </c>
      <c r="U534" s="50">
        <v>0</v>
      </c>
      <c r="W534" s="50" t="s">
        <v>102</v>
      </c>
      <c r="X534" s="50" t="s">
        <v>275</v>
      </c>
      <c r="Z534" s="50" t="s">
        <v>12820</v>
      </c>
      <c r="AA534" s="50" t="s">
        <v>109</v>
      </c>
      <c r="AB534" s="50" t="s">
        <v>102</v>
      </c>
      <c r="AC534" s="50" t="s">
        <v>109</v>
      </c>
      <c r="AD534" s="50" t="s">
        <v>102</v>
      </c>
      <c r="AE534" s="50" t="s">
        <v>109</v>
      </c>
      <c r="AF534" s="50" t="s">
        <v>102</v>
      </c>
      <c r="AG534" s="50" t="s">
        <v>109</v>
      </c>
      <c r="AH534" s="50" t="s">
        <v>102</v>
      </c>
      <c r="AI534" s="50" t="s">
        <v>102</v>
      </c>
      <c r="AL534" s="50" t="s">
        <v>102</v>
      </c>
      <c r="AM534" s="50" t="s">
        <v>102</v>
      </c>
      <c r="AN534" s="50" t="s">
        <v>102</v>
      </c>
      <c r="AO534" s="50" t="s">
        <v>115</v>
      </c>
      <c r="AP534" s="50" t="s">
        <v>115</v>
      </c>
      <c r="AU534" s="50" t="s">
        <v>117</v>
      </c>
      <c r="AV534" s="50" t="s">
        <v>118</v>
      </c>
      <c r="AW534" s="50" t="s">
        <v>102</v>
      </c>
      <c r="AX534" s="50" t="s">
        <v>119</v>
      </c>
      <c r="BB534" s="50" t="s">
        <v>120</v>
      </c>
      <c r="BC534" s="50" t="s">
        <v>920</v>
      </c>
      <c r="BD534" s="50" t="s">
        <v>211</v>
      </c>
      <c r="BE534" s="50" t="s">
        <v>212</v>
      </c>
      <c r="BF534" s="50" t="s">
        <v>213</v>
      </c>
      <c r="BG534" s="50" t="s">
        <v>124</v>
      </c>
      <c r="BH534" s="50" t="s">
        <v>12084</v>
      </c>
      <c r="BI534" s="50" t="s">
        <v>11889</v>
      </c>
      <c r="BJ534" s="50" t="s">
        <v>127</v>
      </c>
      <c r="BK534" s="50" t="s">
        <v>14853</v>
      </c>
      <c r="BL534" s="50" t="s">
        <v>14854</v>
      </c>
      <c r="BM534" s="50" t="s">
        <v>14855</v>
      </c>
      <c r="BN534" s="50" t="s">
        <v>12820</v>
      </c>
      <c r="BO534" s="50" t="s">
        <v>180</v>
      </c>
      <c r="BP534" s="50" t="s">
        <v>180</v>
      </c>
      <c r="BQ534" s="50" t="s">
        <v>8588</v>
      </c>
      <c r="BR534" s="50" t="s">
        <v>14336</v>
      </c>
      <c r="BS534" s="50" t="s">
        <v>2593</v>
      </c>
      <c r="BT534" s="50" t="s">
        <v>4765</v>
      </c>
      <c r="BU534" s="50" t="s">
        <v>14856</v>
      </c>
      <c r="BV534" s="50" t="s">
        <v>14338</v>
      </c>
      <c r="BW534" s="50" t="s">
        <v>598</v>
      </c>
      <c r="BX534" s="50" t="s">
        <v>14339</v>
      </c>
      <c r="BY534" s="50" t="s">
        <v>14340</v>
      </c>
      <c r="BZ534" s="50" t="s">
        <v>14857</v>
      </c>
      <c r="CA534" s="50" t="s">
        <v>14342</v>
      </c>
      <c r="CB534" s="50" t="s">
        <v>8588</v>
      </c>
      <c r="CC534" s="50" t="s">
        <v>14343</v>
      </c>
      <c r="CD534" s="50" t="s">
        <v>14342</v>
      </c>
      <c r="CE534" s="50" t="s">
        <v>8588</v>
      </c>
      <c r="CF534" s="50" t="s">
        <v>14343</v>
      </c>
      <c r="CG534" s="50" t="s">
        <v>907</v>
      </c>
      <c r="CH534" s="50" t="s">
        <v>7718</v>
      </c>
      <c r="CJ534" s="50" t="s">
        <v>8919</v>
      </c>
      <c r="CK534" s="50" t="s">
        <v>14858</v>
      </c>
      <c r="CL534" s="50" t="s">
        <v>920</v>
      </c>
      <c r="CM534" s="50" t="s">
        <v>211</v>
      </c>
      <c r="CN534" s="50" t="s">
        <v>8919</v>
      </c>
      <c r="CP534" s="50" t="s">
        <v>14858</v>
      </c>
      <c r="CQ534" s="50" t="s">
        <v>14858</v>
      </c>
    </row>
    <row r="535" spans="1:96">
      <c r="A535" s="50" t="s">
        <v>26356</v>
      </c>
      <c r="B535" s="50">
        <v>3149549</v>
      </c>
      <c r="C535" s="50" t="s">
        <v>13158</v>
      </c>
      <c r="D535" s="50" t="s">
        <v>3879</v>
      </c>
      <c r="E535" s="50" t="e">
        <f>VLOOKUP(B535,aa!B:F,5,0)</f>
        <v>#N/A</v>
      </c>
      <c r="F535" s="50" t="e">
        <f>VLOOKUP(B535,aa!B:J,9,0)</f>
        <v>#N/A</v>
      </c>
      <c r="G535" s="50" t="e">
        <f>VLOOKUP(B535,aa!B:L,11,0)</f>
        <v>#N/A</v>
      </c>
      <c r="H535" s="50" t="e">
        <f>VLOOKUP(B535,aa!B:O,14,0)</f>
        <v>#N/A</v>
      </c>
      <c r="I535" s="50" t="e">
        <f>VLOOKUP(B535,aa!B:R,17,0)</f>
        <v>#N/A</v>
      </c>
      <c r="K535" s="50" t="s">
        <v>97</v>
      </c>
      <c r="L535" s="50">
        <v>0</v>
      </c>
      <c r="M535" s="50">
        <v>0</v>
      </c>
      <c r="N535" s="50">
        <v>0</v>
      </c>
      <c r="O535" s="50">
        <v>2079</v>
      </c>
      <c r="P535" s="50" t="s">
        <v>102</v>
      </c>
      <c r="Q535" s="50">
        <v>0</v>
      </c>
      <c r="R535" s="50">
        <v>0</v>
      </c>
      <c r="T535" s="50">
        <v>0</v>
      </c>
      <c r="U535" s="50">
        <v>0</v>
      </c>
      <c r="W535" s="50" t="s">
        <v>102</v>
      </c>
      <c r="X535" s="50" t="s">
        <v>275</v>
      </c>
      <c r="Z535" s="50" t="s">
        <v>12820</v>
      </c>
      <c r="AA535" s="50" t="s">
        <v>109</v>
      </c>
      <c r="AB535" s="50" t="s">
        <v>102</v>
      </c>
      <c r="AC535" s="50" t="s">
        <v>109</v>
      </c>
      <c r="AD535" s="50" t="s">
        <v>102</v>
      </c>
      <c r="AE535" s="50" t="s">
        <v>109</v>
      </c>
      <c r="AF535" s="50" t="s">
        <v>102</v>
      </c>
      <c r="AG535" s="50" t="s">
        <v>109</v>
      </c>
      <c r="AH535" s="50" t="s">
        <v>102</v>
      </c>
      <c r="AI535" s="50" t="s">
        <v>102</v>
      </c>
      <c r="AL535" s="50" t="s">
        <v>102</v>
      </c>
      <c r="AM535" s="50" t="s">
        <v>102</v>
      </c>
      <c r="AN535" s="50" t="s">
        <v>102</v>
      </c>
      <c r="AO535" s="50" t="s">
        <v>115</v>
      </c>
      <c r="AP535" s="50" t="s">
        <v>115</v>
      </c>
      <c r="AU535" s="50" t="s">
        <v>117</v>
      </c>
      <c r="AV535" s="50" t="s">
        <v>118</v>
      </c>
      <c r="AW535" s="50" t="s">
        <v>102</v>
      </c>
      <c r="AX535" s="50" t="s">
        <v>119</v>
      </c>
      <c r="BB535" s="50" t="s">
        <v>120</v>
      </c>
      <c r="BC535" s="50" t="s">
        <v>2327</v>
      </c>
      <c r="BD535" s="50" t="s">
        <v>730</v>
      </c>
      <c r="BE535" s="50" t="s">
        <v>622</v>
      </c>
      <c r="BF535" s="50" t="s">
        <v>730</v>
      </c>
      <c r="BG535" s="50" t="s">
        <v>124</v>
      </c>
      <c r="BH535" s="50" t="s">
        <v>12084</v>
      </c>
      <c r="BI535" s="50" t="s">
        <v>11889</v>
      </c>
      <c r="BJ535" s="50" t="s">
        <v>127</v>
      </c>
      <c r="BK535" s="50" t="s">
        <v>15004</v>
      </c>
      <c r="BL535" s="50" t="s">
        <v>15005</v>
      </c>
      <c r="BM535" s="50" t="s">
        <v>15006</v>
      </c>
      <c r="BN535" s="50" t="s">
        <v>12820</v>
      </c>
      <c r="BO535" s="50" t="s">
        <v>180</v>
      </c>
      <c r="BP535" s="50" t="s">
        <v>505</v>
      </c>
      <c r="BQ535" s="50" t="s">
        <v>8588</v>
      </c>
      <c r="BR535" s="50" t="s">
        <v>14336</v>
      </c>
      <c r="BS535" s="50" t="s">
        <v>2593</v>
      </c>
      <c r="BT535" s="50" t="s">
        <v>4765</v>
      </c>
      <c r="BU535" s="50" t="s">
        <v>15007</v>
      </c>
      <c r="BV535" s="50" t="s">
        <v>14338</v>
      </c>
      <c r="BW535" s="50" t="s">
        <v>598</v>
      </c>
      <c r="BX535" s="50" t="s">
        <v>14339</v>
      </c>
      <c r="BY535" s="50" t="s">
        <v>14340</v>
      </c>
      <c r="BZ535" s="50" t="s">
        <v>15008</v>
      </c>
      <c r="CA535" s="50" t="s">
        <v>14342</v>
      </c>
      <c r="CB535" s="50" t="s">
        <v>8588</v>
      </c>
      <c r="CC535" s="50" t="s">
        <v>14343</v>
      </c>
      <c r="CD535" s="50" t="s">
        <v>14342</v>
      </c>
      <c r="CE535" s="50" t="s">
        <v>8588</v>
      </c>
      <c r="CF535" s="50" t="s">
        <v>14343</v>
      </c>
      <c r="CG535" s="50" t="s">
        <v>102</v>
      </c>
      <c r="CH535" s="50" t="s">
        <v>2327</v>
      </c>
      <c r="CJ535" s="50" t="s">
        <v>9694</v>
      </c>
      <c r="CL535" s="50" t="s">
        <v>2327</v>
      </c>
      <c r="CM535" s="50" t="s">
        <v>730</v>
      </c>
      <c r="CN535" s="50" t="s">
        <v>9694</v>
      </c>
      <c r="CP535" s="50" t="s">
        <v>15009</v>
      </c>
      <c r="CQ535" s="50" t="s">
        <v>15009</v>
      </c>
    </row>
    <row r="536" spans="1:96">
      <c r="A536" s="50" t="s">
        <v>93</v>
      </c>
      <c r="B536" s="50">
        <v>3409378</v>
      </c>
      <c r="C536" s="50" t="s">
        <v>418</v>
      </c>
      <c r="D536" s="50" t="s">
        <v>15907</v>
      </c>
      <c r="E536" s="50" t="str">
        <f>VLOOKUP(B536,aa!B:F,5,0)</f>
        <v>Ei CARES</v>
      </c>
      <c r="F536" s="50">
        <f>VLOOKUP(B536,aa!B:J,9,0)</f>
        <v>564127</v>
      </c>
      <c r="G536" s="50">
        <f>VLOOKUP(B536,aa!B:L,11,0)</f>
        <v>0</v>
      </c>
      <c r="H536" s="50">
        <f>VLOOKUP(B536,aa!B:O,14,0)</f>
        <v>564127</v>
      </c>
      <c r="I536" s="50">
        <f>VLOOKUP(B536,aa!B:R,17,0)</f>
        <v>0</v>
      </c>
      <c r="K536" s="50" t="s">
        <v>152</v>
      </c>
      <c r="L536" s="50">
        <v>0</v>
      </c>
      <c r="M536" s="50">
        <v>0</v>
      </c>
      <c r="N536" s="50">
        <v>0</v>
      </c>
      <c r="O536" s="50">
        <v>0</v>
      </c>
      <c r="Q536" s="50">
        <v>0</v>
      </c>
      <c r="R536" s="50">
        <v>97</v>
      </c>
      <c r="S536" s="50" t="s">
        <v>102</v>
      </c>
      <c r="T536" s="50">
        <v>0</v>
      </c>
      <c r="U536" s="50">
        <v>0</v>
      </c>
      <c r="W536" s="50" t="s">
        <v>102</v>
      </c>
      <c r="X536" s="50" t="s">
        <v>275</v>
      </c>
      <c r="Z536" s="50" t="s">
        <v>11886</v>
      </c>
      <c r="AA536" s="50" t="s">
        <v>109</v>
      </c>
      <c r="AB536" s="50" t="s">
        <v>102</v>
      </c>
      <c r="AC536" s="50" t="s">
        <v>109</v>
      </c>
      <c r="AD536" s="50" t="s">
        <v>102</v>
      </c>
      <c r="AE536" s="50" t="s">
        <v>109</v>
      </c>
      <c r="AF536" s="50" t="s">
        <v>102</v>
      </c>
      <c r="AG536" s="50" t="s">
        <v>109</v>
      </c>
      <c r="AH536" s="50" t="s">
        <v>102</v>
      </c>
      <c r="AI536" s="50" t="s">
        <v>102</v>
      </c>
      <c r="AL536" s="50" t="s">
        <v>102</v>
      </c>
      <c r="AM536" s="50" t="s">
        <v>102</v>
      </c>
      <c r="AN536" s="50" t="s">
        <v>102</v>
      </c>
      <c r="AO536" s="50" t="s">
        <v>115</v>
      </c>
      <c r="AP536" s="50" t="s">
        <v>115</v>
      </c>
      <c r="AU536" s="50" t="s">
        <v>102</v>
      </c>
      <c r="AW536" s="50" t="s">
        <v>102</v>
      </c>
      <c r="AX536" s="50" t="s">
        <v>447</v>
      </c>
      <c r="AY536" s="50" t="s">
        <v>170</v>
      </c>
      <c r="AZ536" s="50" t="s">
        <v>118</v>
      </c>
      <c r="BB536" s="50" t="s">
        <v>120</v>
      </c>
      <c r="BC536" s="50" t="s">
        <v>409</v>
      </c>
      <c r="BD536" s="50" t="s">
        <v>410</v>
      </c>
      <c r="BE536" s="50" t="s">
        <v>212</v>
      </c>
      <c r="BF536" s="50" t="s">
        <v>410</v>
      </c>
      <c r="BG536" s="50" t="s">
        <v>124</v>
      </c>
      <c r="BH536" s="50" t="s">
        <v>12084</v>
      </c>
      <c r="BI536" s="50" t="s">
        <v>11889</v>
      </c>
      <c r="BJ536" s="50" t="s">
        <v>127</v>
      </c>
      <c r="BK536" s="50" t="s">
        <v>15908</v>
      </c>
      <c r="BL536" s="50" t="s">
        <v>15909</v>
      </c>
      <c r="BM536" s="50" t="s">
        <v>15910</v>
      </c>
      <c r="BN536" s="50" t="s">
        <v>12820</v>
      </c>
      <c r="BO536" s="50" t="s">
        <v>15911</v>
      </c>
      <c r="BP536" s="50" t="s">
        <v>505</v>
      </c>
      <c r="BQ536" s="50" t="s">
        <v>15912</v>
      </c>
      <c r="BR536" s="50" t="s">
        <v>15913</v>
      </c>
      <c r="BS536" s="50" t="s">
        <v>9337</v>
      </c>
      <c r="BU536" s="50" t="s">
        <v>15914</v>
      </c>
      <c r="BV536" s="50" t="s">
        <v>15915</v>
      </c>
      <c r="BW536" s="50" t="s">
        <v>598</v>
      </c>
      <c r="BX536" s="50" t="s">
        <v>15916</v>
      </c>
      <c r="BY536" s="50" t="s">
        <v>15917</v>
      </c>
      <c r="BZ536" s="50" t="s">
        <v>15916</v>
      </c>
      <c r="CA536" s="50" t="s">
        <v>15915</v>
      </c>
      <c r="CB536" s="50" t="s">
        <v>15916</v>
      </c>
      <c r="CC536" s="50" t="s">
        <v>15917</v>
      </c>
      <c r="CD536" s="50" t="s">
        <v>15915</v>
      </c>
      <c r="CE536" s="50" t="s">
        <v>15916</v>
      </c>
      <c r="CF536" s="50" t="s">
        <v>15917</v>
      </c>
      <c r="CG536" s="50" t="s">
        <v>573</v>
      </c>
      <c r="CH536" s="50" t="s">
        <v>15918</v>
      </c>
      <c r="CJ536" s="50" t="s">
        <v>9348</v>
      </c>
      <c r="CK536" s="50" t="s">
        <v>15918</v>
      </c>
      <c r="CL536" s="50" t="s">
        <v>409</v>
      </c>
      <c r="CM536" s="50" t="s">
        <v>410</v>
      </c>
      <c r="CN536" s="50" t="s">
        <v>9348</v>
      </c>
      <c r="CP536" s="50" t="s">
        <v>15918</v>
      </c>
      <c r="CQ536" s="50" t="s">
        <v>15918</v>
      </c>
    </row>
    <row r="537" spans="1:96">
      <c r="A537" s="95" t="s">
        <v>26356</v>
      </c>
      <c r="B537" s="50">
        <v>348782</v>
      </c>
      <c r="C537" s="50" t="s">
        <v>13158</v>
      </c>
      <c r="D537" s="50" t="s">
        <v>6337</v>
      </c>
      <c r="E537" s="50" t="e">
        <f>VLOOKUP(B537,aa!B:F,5,0)</f>
        <v>#N/A</v>
      </c>
      <c r="F537" s="50" t="e">
        <f>VLOOKUP(B537,aa!B:J,9,0)</f>
        <v>#N/A</v>
      </c>
      <c r="G537" s="50" t="e">
        <f>VLOOKUP(B537,aa!B:L,11,0)</f>
        <v>#N/A</v>
      </c>
      <c r="H537" s="50" t="e">
        <f>VLOOKUP(B537,aa!B:O,14,0)</f>
        <v>#N/A</v>
      </c>
      <c r="I537" s="50" t="e">
        <f>VLOOKUP(B537,aa!B:R,17,0)</f>
        <v>#N/A</v>
      </c>
      <c r="K537" s="50" t="s">
        <v>97</v>
      </c>
      <c r="L537" s="50">
        <v>0</v>
      </c>
      <c r="M537" s="50">
        <v>0</v>
      </c>
      <c r="N537" s="50">
        <v>0</v>
      </c>
      <c r="O537" s="50">
        <v>553</v>
      </c>
      <c r="P537" s="50" t="s">
        <v>102</v>
      </c>
      <c r="Q537" s="50">
        <v>0</v>
      </c>
      <c r="R537" s="50">
        <v>0</v>
      </c>
      <c r="T537" s="50">
        <v>0</v>
      </c>
      <c r="U537" s="50">
        <v>0</v>
      </c>
      <c r="W537" s="50" t="s">
        <v>102</v>
      </c>
      <c r="X537" s="50" t="s">
        <v>275</v>
      </c>
      <c r="Z537" s="50" t="s">
        <v>12820</v>
      </c>
      <c r="AA537" s="50" t="s">
        <v>109</v>
      </c>
      <c r="AB537" s="50" t="s">
        <v>102</v>
      </c>
      <c r="AC537" s="50" t="s">
        <v>109</v>
      </c>
      <c r="AD537" s="50" t="s">
        <v>102</v>
      </c>
      <c r="AE537" s="50" t="s">
        <v>109</v>
      </c>
      <c r="AF537" s="50" t="s">
        <v>102</v>
      </c>
      <c r="AG537" s="50" t="s">
        <v>109</v>
      </c>
      <c r="AH537" s="50" t="s">
        <v>102</v>
      </c>
      <c r="AI537" s="50" t="s">
        <v>102</v>
      </c>
      <c r="AL537" s="50" t="s">
        <v>102</v>
      </c>
      <c r="AM537" s="50" t="s">
        <v>102</v>
      </c>
      <c r="AN537" s="50" t="s">
        <v>102</v>
      </c>
      <c r="AO537" s="50" t="s">
        <v>115</v>
      </c>
      <c r="AP537" s="50" t="s">
        <v>115</v>
      </c>
      <c r="AU537" s="50" t="s">
        <v>117</v>
      </c>
      <c r="AV537" s="50" t="s">
        <v>118</v>
      </c>
      <c r="AW537" s="50" t="s">
        <v>102</v>
      </c>
      <c r="AX537" s="50" t="s">
        <v>119</v>
      </c>
      <c r="BB537" s="50" t="s">
        <v>120</v>
      </c>
      <c r="BC537" s="50" t="s">
        <v>284</v>
      </c>
      <c r="BD537" s="50" t="s">
        <v>285</v>
      </c>
      <c r="BE537" s="50" t="s">
        <v>212</v>
      </c>
      <c r="BF537" s="50" t="s">
        <v>286</v>
      </c>
      <c r="BG537" s="50" t="s">
        <v>124</v>
      </c>
      <c r="BH537" s="50" t="s">
        <v>12084</v>
      </c>
      <c r="BI537" s="50" t="s">
        <v>11889</v>
      </c>
      <c r="BJ537" s="50" t="s">
        <v>127</v>
      </c>
      <c r="BK537" s="50" t="s">
        <v>16231</v>
      </c>
      <c r="BL537" s="50" t="s">
        <v>6346</v>
      </c>
      <c r="BM537" s="50" t="s">
        <v>16232</v>
      </c>
      <c r="BN537" s="50" t="s">
        <v>12820</v>
      </c>
      <c r="BO537" s="50" t="s">
        <v>180</v>
      </c>
      <c r="BP537" s="50" t="s">
        <v>180</v>
      </c>
      <c r="BQ537" s="50" t="s">
        <v>8588</v>
      </c>
      <c r="BR537" s="50" t="s">
        <v>14336</v>
      </c>
      <c r="BS537" s="50" t="s">
        <v>2593</v>
      </c>
      <c r="BT537" s="50" t="s">
        <v>4765</v>
      </c>
      <c r="BU537" s="50" t="s">
        <v>16233</v>
      </c>
      <c r="BV537" s="50" t="s">
        <v>14338</v>
      </c>
      <c r="BW537" s="50" t="s">
        <v>598</v>
      </c>
      <c r="BX537" s="50" t="s">
        <v>14339</v>
      </c>
      <c r="BY537" s="50" t="s">
        <v>14340</v>
      </c>
      <c r="CA537" s="50" t="s">
        <v>14342</v>
      </c>
      <c r="CB537" s="50" t="s">
        <v>8588</v>
      </c>
      <c r="CC537" s="50" t="s">
        <v>14343</v>
      </c>
      <c r="CD537" s="50" t="s">
        <v>14342</v>
      </c>
      <c r="CE537" s="50" t="s">
        <v>8588</v>
      </c>
      <c r="CF537" s="50" t="s">
        <v>14343</v>
      </c>
      <c r="CG537" s="50" t="s">
        <v>102</v>
      </c>
      <c r="CH537" s="50" t="s">
        <v>284</v>
      </c>
      <c r="CJ537" s="50" t="s">
        <v>6355</v>
      </c>
      <c r="CL537" s="50" t="s">
        <v>284</v>
      </c>
      <c r="CM537" s="50" t="s">
        <v>285</v>
      </c>
      <c r="CN537" s="50" t="s">
        <v>6355</v>
      </c>
      <c r="CP537" s="50" t="s">
        <v>6354</v>
      </c>
      <c r="CQ537" s="50" t="s">
        <v>6354</v>
      </c>
    </row>
    <row r="538" spans="1:96">
      <c r="A538" s="50" t="s">
        <v>26356</v>
      </c>
      <c r="B538" s="50">
        <v>3588889</v>
      </c>
      <c r="C538" s="50" t="s">
        <v>13158</v>
      </c>
      <c r="D538" s="50" t="s">
        <v>6778</v>
      </c>
      <c r="E538" s="50" t="e">
        <f>VLOOKUP(B538,aa!B:F,5,0)</f>
        <v>#N/A</v>
      </c>
      <c r="F538" s="50" t="e">
        <f>VLOOKUP(B538,aa!B:J,9,0)</f>
        <v>#N/A</v>
      </c>
      <c r="G538" s="50" t="e">
        <f>VLOOKUP(B538,aa!B:L,11,0)</f>
        <v>#N/A</v>
      </c>
      <c r="H538" s="50" t="e">
        <f>VLOOKUP(B538,aa!B:O,14,0)</f>
        <v>#N/A</v>
      </c>
      <c r="I538" s="50" t="e">
        <f>VLOOKUP(B538,aa!B:R,17,0)</f>
        <v>#N/A</v>
      </c>
      <c r="K538" s="50" t="s">
        <v>97</v>
      </c>
      <c r="L538" s="50">
        <v>0</v>
      </c>
      <c r="M538" s="50">
        <v>0</v>
      </c>
      <c r="N538" s="50">
        <v>0</v>
      </c>
      <c r="O538" s="50">
        <v>862</v>
      </c>
      <c r="P538" s="50" t="s">
        <v>102</v>
      </c>
      <c r="Q538" s="50">
        <v>0</v>
      </c>
      <c r="R538" s="50">
        <v>0</v>
      </c>
      <c r="T538" s="50">
        <v>0</v>
      </c>
      <c r="U538" s="50">
        <v>0</v>
      </c>
      <c r="W538" s="50" t="s">
        <v>102</v>
      </c>
      <c r="X538" s="50" t="s">
        <v>275</v>
      </c>
      <c r="Z538" s="50" t="s">
        <v>12820</v>
      </c>
      <c r="AA538" s="50" t="s">
        <v>109</v>
      </c>
      <c r="AB538" s="50" t="s">
        <v>102</v>
      </c>
      <c r="AC538" s="50" t="s">
        <v>109</v>
      </c>
      <c r="AD538" s="50" t="s">
        <v>102</v>
      </c>
      <c r="AE538" s="50" t="s">
        <v>109</v>
      </c>
      <c r="AF538" s="50" t="s">
        <v>102</v>
      </c>
      <c r="AG538" s="50" t="s">
        <v>109</v>
      </c>
      <c r="AH538" s="50" t="s">
        <v>102</v>
      </c>
      <c r="AI538" s="50" t="s">
        <v>102</v>
      </c>
      <c r="AL538" s="50" t="s">
        <v>102</v>
      </c>
      <c r="AM538" s="50" t="s">
        <v>102</v>
      </c>
      <c r="AN538" s="50" t="s">
        <v>102</v>
      </c>
      <c r="AO538" s="50" t="s">
        <v>115</v>
      </c>
      <c r="AP538" s="50" t="s">
        <v>115</v>
      </c>
      <c r="AU538" s="50" t="s">
        <v>117</v>
      </c>
      <c r="AV538" s="50" t="s">
        <v>118</v>
      </c>
      <c r="AW538" s="50" t="s">
        <v>102</v>
      </c>
      <c r="AX538" s="50" t="s">
        <v>119</v>
      </c>
      <c r="BB538" s="50" t="s">
        <v>120</v>
      </c>
      <c r="BC538" s="50" t="s">
        <v>2127</v>
      </c>
      <c r="BD538" s="50" t="s">
        <v>621</v>
      </c>
      <c r="BE538" s="50" t="s">
        <v>622</v>
      </c>
      <c r="BF538" s="50" t="s">
        <v>976</v>
      </c>
      <c r="BG538" s="50" t="s">
        <v>124</v>
      </c>
      <c r="BH538" s="50" t="s">
        <v>12084</v>
      </c>
      <c r="BI538" s="50" t="s">
        <v>11889</v>
      </c>
      <c r="BJ538" s="50" t="s">
        <v>127</v>
      </c>
      <c r="BK538" s="50" t="s">
        <v>16542</v>
      </c>
      <c r="BL538" s="50" t="s">
        <v>16543</v>
      </c>
      <c r="BM538" s="50" t="s">
        <v>16544</v>
      </c>
      <c r="BN538" s="50" t="s">
        <v>12820</v>
      </c>
      <c r="BO538" s="50" t="s">
        <v>180</v>
      </c>
      <c r="BP538" s="50" t="s">
        <v>180</v>
      </c>
      <c r="BQ538" s="50" t="s">
        <v>8588</v>
      </c>
      <c r="BR538" s="50" t="s">
        <v>14336</v>
      </c>
      <c r="BS538" s="50" t="s">
        <v>2593</v>
      </c>
      <c r="BT538" s="50" t="s">
        <v>4765</v>
      </c>
      <c r="BU538" s="50" t="s">
        <v>16545</v>
      </c>
      <c r="BV538" s="50" t="s">
        <v>14338</v>
      </c>
      <c r="BW538" s="50" t="s">
        <v>598</v>
      </c>
      <c r="BX538" s="50" t="s">
        <v>14339</v>
      </c>
      <c r="BY538" s="50" t="s">
        <v>14340</v>
      </c>
      <c r="BZ538" s="50" t="s">
        <v>16546</v>
      </c>
      <c r="CA538" s="50" t="s">
        <v>16547</v>
      </c>
      <c r="CB538" s="50" t="s">
        <v>8588</v>
      </c>
      <c r="CC538" s="50" t="s">
        <v>14343</v>
      </c>
      <c r="CD538" s="50" t="s">
        <v>16547</v>
      </c>
      <c r="CE538" s="50" t="s">
        <v>8588</v>
      </c>
      <c r="CF538" s="50" t="s">
        <v>14343</v>
      </c>
      <c r="CG538" s="50" t="s">
        <v>907</v>
      </c>
      <c r="CH538" s="50" t="s">
        <v>16548</v>
      </c>
      <c r="CJ538" s="50" t="s">
        <v>6953</v>
      </c>
      <c r="CK538" s="50" t="s">
        <v>16549</v>
      </c>
      <c r="CL538" s="50" t="s">
        <v>2127</v>
      </c>
      <c r="CM538" s="50" t="s">
        <v>621</v>
      </c>
      <c r="CN538" s="50" t="s">
        <v>6953</v>
      </c>
      <c r="CP538" s="50" t="s">
        <v>16548</v>
      </c>
      <c r="CQ538" s="50" t="s">
        <v>16548</v>
      </c>
    </row>
    <row r="539" spans="1:96">
      <c r="A539" s="50" t="s">
        <v>93</v>
      </c>
      <c r="B539" s="50">
        <v>3638758</v>
      </c>
      <c r="C539" s="50" t="s">
        <v>418</v>
      </c>
      <c r="D539" s="50" t="s">
        <v>16676</v>
      </c>
      <c r="E539" s="50" t="e">
        <f>VLOOKUP(B539,aa!B:F,5,0)</f>
        <v>#N/A</v>
      </c>
      <c r="F539" s="50" t="e">
        <f>VLOOKUP(B539,aa!B:J,9,0)</f>
        <v>#N/A</v>
      </c>
      <c r="G539" s="50" t="e">
        <f>VLOOKUP(B539,aa!B:L,11,0)</f>
        <v>#N/A</v>
      </c>
      <c r="H539" s="50" t="e">
        <f>VLOOKUP(B539,aa!B:O,14,0)</f>
        <v>#N/A</v>
      </c>
      <c r="I539" s="50" t="e">
        <f>VLOOKUP(B539,aa!B:R,17,0)</f>
        <v>#N/A</v>
      </c>
      <c r="K539" s="50" t="s">
        <v>152</v>
      </c>
      <c r="L539" s="50">
        <v>0</v>
      </c>
      <c r="M539" s="50">
        <v>0</v>
      </c>
      <c r="N539" s="50">
        <v>0</v>
      </c>
      <c r="O539" s="50">
        <v>0</v>
      </c>
      <c r="Q539" s="50">
        <v>0</v>
      </c>
      <c r="R539" s="50">
        <v>86</v>
      </c>
      <c r="S539" s="50" t="s">
        <v>102</v>
      </c>
      <c r="T539" s="50">
        <v>0</v>
      </c>
      <c r="U539" s="50">
        <v>0</v>
      </c>
      <c r="W539" s="50" t="s">
        <v>102</v>
      </c>
      <c r="X539" s="50" t="s">
        <v>275</v>
      </c>
      <c r="Z539" s="50" t="s">
        <v>11886</v>
      </c>
      <c r="AA539" s="50" t="s">
        <v>109</v>
      </c>
      <c r="AB539" s="50" t="s">
        <v>102</v>
      </c>
      <c r="AC539" s="50" t="s">
        <v>109</v>
      </c>
      <c r="AD539" s="50" t="s">
        <v>102</v>
      </c>
      <c r="AE539" s="50" t="s">
        <v>109</v>
      </c>
      <c r="AF539" s="50" t="s">
        <v>102</v>
      </c>
      <c r="AG539" s="50" t="s">
        <v>109</v>
      </c>
      <c r="AH539" s="50" t="s">
        <v>102</v>
      </c>
      <c r="AI539" s="50" t="s">
        <v>102</v>
      </c>
      <c r="AL539" s="50" t="s">
        <v>102</v>
      </c>
      <c r="AM539" s="50" t="s">
        <v>102</v>
      </c>
      <c r="AN539" s="50" t="s">
        <v>102</v>
      </c>
      <c r="AO539" s="50" t="s">
        <v>115</v>
      </c>
      <c r="AP539" s="50" t="s">
        <v>115</v>
      </c>
      <c r="AU539" s="50" t="s">
        <v>102</v>
      </c>
      <c r="AW539" s="50" t="s">
        <v>104</v>
      </c>
      <c r="AX539" s="50" t="s">
        <v>447</v>
      </c>
      <c r="AY539" s="50" t="s">
        <v>170</v>
      </c>
      <c r="AZ539" s="50" t="s">
        <v>118</v>
      </c>
      <c r="BB539" s="50" t="s">
        <v>120</v>
      </c>
      <c r="BC539" s="50" t="s">
        <v>9329</v>
      </c>
      <c r="BD539" s="50" t="s">
        <v>410</v>
      </c>
      <c r="BE539" s="50" t="s">
        <v>212</v>
      </c>
      <c r="BF539" s="50" t="s">
        <v>410</v>
      </c>
      <c r="BG539" s="50" t="s">
        <v>124</v>
      </c>
      <c r="BH539" s="50" t="s">
        <v>12084</v>
      </c>
      <c r="BI539" s="50" t="s">
        <v>11889</v>
      </c>
      <c r="BJ539" s="50" t="s">
        <v>127</v>
      </c>
      <c r="BK539" s="50" t="s">
        <v>16677</v>
      </c>
      <c r="BL539" s="50" t="s">
        <v>16678</v>
      </c>
      <c r="BM539" s="50" t="s">
        <v>16679</v>
      </c>
      <c r="BN539" s="50" t="s">
        <v>12820</v>
      </c>
      <c r="BO539" s="50" t="s">
        <v>15911</v>
      </c>
      <c r="BP539" s="50" t="s">
        <v>505</v>
      </c>
      <c r="BQ539" s="50" t="s">
        <v>15912</v>
      </c>
      <c r="BR539" s="50" t="s">
        <v>15913</v>
      </c>
      <c r="BS539" s="50" t="s">
        <v>9337</v>
      </c>
      <c r="BT539" s="50" t="s">
        <v>15159</v>
      </c>
      <c r="BU539" s="50" t="s">
        <v>16680</v>
      </c>
      <c r="BV539" s="50" t="s">
        <v>16681</v>
      </c>
      <c r="BW539" s="50" t="s">
        <v>138</v>
      </c>
      <c r="BX539" s="50" t="s">
        <v>16682</v>
      </c>
      <c r="BY539" s="50" t="s">
        <v>16683</v>
      </c>
      <c r="BZ539" s="50" t="s">
        <v>16684</v>
      </c>
      <c r="CA539" s="50" t="s">
        <v>16681</v>
      </c>
      <c r="CB539" s="50" t="s">
        <v>16682</v>
      </c>
      <c r="CC539" s="50" t="s">
        <v>16683</v>
      </c>
      <c r="CD539" s="50" t="s">
        <v>16681</v>
      </c>
      <c r="CE539" s="50" t="s">
        <v>16682</v>
      </c>
      <c r="CF539" s="50" t="s">
        <v>16683</v>
      </c>
      <c r="CG539" s="50" t="s">
        <v>4937</v>
      </c>
      <c r="CH539" s="50" t="s">
        <v>16685</v>
      </c>
      <c r="CJ539" s="50" t="s">
        <v>16686</v>
      </c>
      <c r="CK539" s="50" t="s">
        <v>16685</v>
      </c>
      <c r="CL539" s="50" t="s">
        <v>9329</v>
      </c>
      <c r="CM539" s="50" t="s">
        <v>410</v>
      </c>
      <c r="CN539" s="50" t="s">
        <v>16686</v>
      </c>
      <c r="CP539" s="50" t="s">
        <v>16687</v>
      </c>
      <c r="CQ539" s="50" t="s">
        <v>16687</v>
      </c>
      <c r="CR539" s="50" t="s">
        <v>26050</v>
      </c>
    </row>
    <row r="540" spans="1:96">
      <c r="A540" s="50" t="s">
        <v>26356</v>
      </c>
      <c r="B540" s="50">
        <v>3889453</v>
      </c>
      <c r="C540" s="50" t="s">
        <v>13158</v>
      </c>
      <c r="D540" s="50" t="s">
        <v>17275</v>
      </c>
      <c r="E540" s="50" t="e">
        <f>VLOOKUP(B540,aa!B:F,5,0)</f>
        <v>#N/A</v>
      </c>
      <c r="F540" s="50" t="e">
        <f>VLOOKUP(B540,aa!B:J,9,0)</f>
        <v>#N/A</v>
      </c>
      <c r="G540" s="50" t="e">
        <f>VLOOKUP(B540,aa!B:L,11,0)</f>
        <v>#N/A</v>
      </c>
      <c r="H540" s="50" t="e">
        <f>VLOOKUP(B540,aa!B:O,14,0)</f>
        <v>#N/A</v>
      </c>
      <c r="I540" s="50" t="e">
        <f>VLOOKUP(B540,aa!B:R,17,0)</f>
        <v>#N/A</v>
      </c>
      <c r="K540" s="50" t="s">
        <v>97</v>
      </c>
      <c r="L540" s="50">
        <v>0</v>
      </c>
      <c r="M540" s="50">
        <v>0</v>
      </c>
      <c r="N540" s="50">
        <v>0</v>
      </c>
      <c r="O540" s="50">
        <v>677</v>
      </c>
      <c r="P540" s="50" t="s">
        <v>102</v>
      </c>
      <c r="Q540" s="50">
        <v>0</v>
      </c>
      <c r="R540" s="50">
        <v>0</v>
      </c>
      <c r="T540" s="50">
        <v>0</v>
      </c>
      <c r="U540" s="50">
        <v>0</v>
      </c>
      <c r="W540" s="50" t="s">
        <v>102</v>
      </c>
      <c r="X540" s="50" t="s">
        <v>275</v>
      </c>
      <c r="Z540" s="50" t="s">
        <v>12820</v>
      </c>
      <c r="AA540" s="50" t="s">
        <v>109</v>
      </c>
      <c r="AB540" s="50" t="s">
        <v>102</v>
      </c>
      <c r="AC540" s="50" t="s">
        <v>109</v>
      </c>
      <c r="AD540" s="50" t="s">
        <v>102</v>
      </c>
      <c r="AE540" s="50" t="s">
        <v>109</v>
      </c>
      <c r="AF540" s="50" t="s">
        <v>102</v>
      </c>
      <c r="AG540" s="50" t="s">
        <v>109</v>
      </c>
      <c r="AH540" s="50" t="s">
        <v>102</v>
      </c>
      <c r="AI540" s="50" t="s">
        <v>102</v>
      </c>
      <c r="AL540" s="50" t="s">
        <v>102</v>
      </c>
      <c r="AM540" s="50" t="s">
        <v>102</v>
      </c>
      <c r="AN540" s="50" t="s">
        <v>102</v>
      </c>
      <c r="AO540" s="50" t="s">
        <v>115</v>
      </c>
      <c r="AP540" s="50" t="s">
        <v>115</v>
      </c>
      <c r="AU540" s="50" t="s">
        <v>117</v>
      </c>
      <c r="AV540" s="50" t="s">
        <v>118</v>
      </c>
      <c r="AW540" s="50" t="s">
        <v>102</v>
      </c>
      <c r="AX540" s="50" t="s">
        <v>119</v>
      </c>
      <c r="BB540" s="50" t="s">
        <v>120</v>
      </c>
      <c r="BC540" s="50" t="s">
        <v>2127</v>
      </c>
      <c r="BD540" s="50" t="s">
        <v>621</v>
      </c>
      <c r="BE540" s="50" t="s">
        <v>622</v>
      </c>
      <c r="BF540" s="50" t="s">
        <v>976</v>
      </c>
      <c r="BG540" s="50" t="s">
        <v>124</v>
      </c>
      <c r="BH540" s="50" t="s">
        <v>12084</v>
      </c>
      <c r="BI540" s="50" t="s">
        <v>11889</v>
      </c>
      <c r="BJ540" s="50" t="s">
        <v>127</v>
      </c>
      <c r="BK540" s="50" t="s">
        <v>17276</v>
      </c>
      <c r="BL540" s="50" t="s">
        <v>17277</v>
      </c>
      <c r="BM540" s="50" t="s">
        <v>17278</v>
      </c>
      <c r="BN540" s="50" t="s">
        <v>12820</v>
      </c>
      <c r="BO540" s="50" t="s">
        <v>180</v>
      </c>
      <c r="BP540" s="50" t="s">
        <v>180</v>
      </c>
      <c r="BQ540" s="50" t="s">
        <v>8588</v>
      </c>
      <c r="BR540" s="50" t="s">
        <v>14336</v>
      </c>
      <c r="BS540" s="50" t="s">
        <v>2593</v>
      </c>
      <c r="BT540" s="50" t="s">
        <v>4765</v>
      </c>
      <c r="BU540" s="50" t="s">
        <v>17279</v>
      </c>
      <c r="BV540" s="50" t="s">
        <v>14338</v>
      </c>
      <c r="BW540" s="50" t="s">
        <v>598</v>
      </c>
      <c r="BX540" s="50" t="s">
        <v>14339</v>
      </c>
      <c r="BY540" s="50" t="s">
        <v>14340</v>
      </c>
      <c r="BZ540" s="50" t="s">
        <v>17280</v>
      </c>
      <c r="CA540" s="50" t="s">
        <v>14342</v>
      </c>
      <c r="CB540" s="50" t="s">
        <v>8588</v>
      </c>
      <c r="CC540" s="50" t="s">
        <v>14343</v>
      </c>
      <c r="CD540" s="50" t="s">
        <v>14342</v>
      </c>
      <c r="CE540" s="50" t="s">
        <v>8588</v>
      </c>
      <c r="CF540" s="50" t="s">
        <v>14343</v>
      </c>
      <c r="CG540" s="50" t="s">
        <v>907</v>
      </c>
      <c r="CH540" s="50" t="s">
        <v>2127</v>
      </c>
      <c r="CJ540" s="50" t="s">
        <v>6540</v>
      </c>
      <c r="CK540" s="50" t="s">
        <v>17281</v>
      </c>
      <c r="CL540" s="50" t="s">
        <v>2127</v>
      </c>
      <c r="CM540" s="50" t="s">
        <v>621</v>
      </c>
      <c r="CN540" s="50" t="s">
        <v>6540</v>
      </c>
      <c r="CP540" s="50" t="s">
        <v>17282</v>
      </c>
      <c r="CQ540" s="50" t="s">
        <v>17282</v>
      </c>
    </row>
    <row r="541" spans="1:96">
      <c r="A541" s="50" t="s">
        <v>26356</v>
      </c>
      <c r="B541" s="50">
        <v>4000118</v>
      </c>
      <c r="C541" s="50" t="s">
        <v>13158</v>
      </c>
      <c r="D541" s="50" t="s">
        <v>8523</v>
      </c>
      <c r="E541" s="50" t="e">
        <f>VLOOKUP(B541,aa!B:F,5,0)</f>
        <v>#N/A</v>
      </c>
      <c r="F541" s="50" t="e">
        <f>VLOOKUP(B541,aa!B:J,9,0)</f>
        <v>#N/A</v>
      </c>
      <c r="G541" s="50" t="e">
        <f>VLOOKUP(B541,aa!B:L,11,0)</f>
        <v>#N/A</v>
      </c>
      <c r="H541" s="50" t="e">
        <f>VLOOKUP(B541,aa!B:O,14,0)</f>
        <v>#N/A</v>
      </c>
      <c r="I541" s="50" t="e">
        <f>VLOOKUP(B541,aa!B:R,17,0)</f>
        <v>#N/A</v>
      </c>
      <c r="K541" s="50" t="s">
        <v>97</v>
      </c>
      <c r="L541" s="50">
        <v>0</v>
      </c>
      <c r="M541" s="50">
        <v>0</v>
      </c>
      <c r="N541" s="50">
        <v>0</v>
      </c>
      <c r="O541" s="50">
        <v>603</v>
      </c>
      <c r="P541" s="50" t="s">
        <v>102</v>
      </c>
      <c r="Q541" s="50">
        <v>0</v>
      </c>
      <c r="R541" s="50">
        <v>0</v>
      </c>
      <c r="T541" s="50">
        <v>0</v>
      </c>
      <c r="U541" s="50">
        <v>0</v>
      </c>
      <c r="W541" s="50" t="s">
        <v>102</v>
      </c>
      <c r="X541" s="50" t="s">
        <v>275</v>
      </c>
      <c r="Z541" s="50" t="s">
        <v>12820</v>
      </c>
      <c r="AA541" s="50" t="s">
        <v>109</v>
      </c>
      <c r="AB541" s="50" t="s">
        <v>102</v>
      </c>
      <c r="AC541" s="50" t="s">
        <v>109</v>
      </c>
      <c r="AD541" s="50" t="s">
        <v>102</v>
      </c>
      <c r="AE541" s="50" t="s">
        <v>109</v>
      </c>
      <c r="AF541" s="50" t="s">
        <v>102</v>
      </c>
      <c r="AG541" s="50" t="s">
        <v>109</v>
      </c>
      <c r="AH541" s="50" t="s">
        <v>102</v>
      </c>
      <c r="AI541" s="50" t="s">
        <v>102</v>
      </c>
      <c r="AL541" s="50" t="s">
        <v>102</v>
      </c>
      <c r="AM541" s="50" t="s">
        <v>102</v>
      </c>
      <c r="AN541" s="50" t="s">
        <v>102</v>
      </c>
      <c r="AO541" s="50" t="s">
        <v>115</v>
      </c>
      <c r="AP541" s="50" t="s">
        <v>115</v>
      </c>
      <c r="AU541" s="50" t="s">
        <v>117</v>
      </c>
      <c r="AV541" s="50" t="s">
        <v>118</v>
      </c>
      <c r="AW541" s="50" t="s">
        <v>102</v>
      </c>
      <c r="AX541" s="50" t="s">
        <v>119</v>
      </c>
      <c r="BB541" s="50" t="s">
        <v>120</v>
      </c>
      <c r="BC541" s="50" t="s">
        <v>8524</v>
      </c>
      <c r="BD541" s="50" t="s">
        <v>1244</v>
      </c>
      <c r="BE541" s="50" t="s">
        <v>122</v>
      </c>
      <c r="BF541" s="50" t="s">
        <v>1244</v>
      </c>
      <c r="BG541" s="50" t="s">
        <v>124</v>
      </c>
      <c r="BH541" s="50" t="s">
        <v>12084</v>
      </c>
      <c r="BI541" s="50" t="s">
        <v>11889</v>
      </c>
      <c r="BJ541" s="50" t="s">
        <v>127</v>
      </c>
      <c r="BK541" s="50" t="s">
        <v>17903</v>
      </c>
      <c r="BL541" s="50" t="s">
        <v>17904</v>
      </c>
      <c r="BM541" s="50" t="s">
        <v>17905</v>
      </c>
      <c r="BN541" s="50" t="s">
        <v>12820</v>
      </c>
      <c r="BO541" s="50" t="s">
        <v>180</v>
      </c>
      <c r="BP541" s="50" t="s">
        <v>505</v>
      </c>
      <c r="BQ541" s="50" t="s">
        <v>8588</v>
      </c>
      <c r="BR541" s="50" t="s">
        <v>14336</v>
      </c>
      <c r="BS541" s="50" t="s">
        <v>2593</v>
      </c>
      <c r="BT541" s="50" t="s">
        <v>4765</v>
      </c>
      <c r="BU541" s="50" t="s">
        <v>17906</v>
      </c>
      <c r="BV541" s="50" t="s">
        <v>14338</v>
      </c>
      <c r="BW541" s="50" t="s">
        <v>598</v>
      </c>
      <c r="BX541" s="50" t="s">
        <v>14339</v>
      </c>
      <c r="BY541" s="50" t="s">
        <v>14340</v>
      </c>
      <c r="BZ541" s="50" t="s">
        <v>17907</v>
      </c>
      <c r="CA541" s="50" t="s">
        <v>14342</v>
      </c>
      <c r="CB541" s="50" t="s">
        <v>8588</v>
      </c>
      <c r="CC541" s="50" t="s">
        <v>14343</v>
      </c>
      <c r="CD541" s="50" t="s">
        <v>14342</v>
      </c>
      <c r="CE541" s="50" t="s">
        <v>8588</v>
      </c>
      <c r="CF541" s="50" t="s">
        <v>14343</v>
      </c>
      <c r="CG541" s="50" t="s">
        <v>102</v>
      </c>
      <c r="CH541" s="50" t="s">
        <v>8524</v>
      </c>
      <c r="CJ541" s="50" t="s">
        <v>17908</v>
      </c>
      <c r="CL541" s="50" t="s">
        <v>8524</v>
      </c>
      <c r="CM541" s="50" t="s">
        <v>1244</v>
      </c>
      <c r="CN541" s="50" t="s">
        <v>17908</v>
      </c>
      <c r="CP541" s="50" t="s">
        <v>17909</v>
      </c>
      <c r="CQ541" s="50" t="s">
        <v>17909</v>
      </c>
    </row>
    <row r="542" spans="1:96">
      <c r="A542" s="50" t="s">
        <v>26356</v>
      </c>
      <c r="B542" s="50">
        <v>4000123</v>
      </c>
      <c r="C542" s="50" t="s">
        <v>13158</v>
      </c>
      <c r="D542" s="50" t="s">
        <v>8525</v>
      </c>
      <c r="E542" s="50" t="e">
        <f>VLOOKUP(B542,aa!B:F,5,0)</f>
        <v>#N/A</v>
      </c>
      <c r="F542" s="50" t="e">
        <f>VLOOKUP(B542,aa!B:J,9,0)</f>
        <v>#N/A</v>
      </c>
      <c r="G542" s="50" t="e">
        <f>VLOOKUP(B542,aa!B:L,11,0)</f>
        <v>#N/A</v>
      </c>
      <c r="H542" s="50" t="e">
        <f>VLOOKUP(B542,aa!B:O,14,0)</f>
        <v>#N/A</v>
      </c>
      <c r="I542" s="50" t="e">
        <f>VLOOKUP(B542,aa!B:R,17,0)</f>
        <v>#N/A</v>
      </c>
      <c r="K542" s="50" t="s">
        <v>97</v>
      </c>
      <c r="L542" s="50">
        <v>0</v>
      </c>
      <c r="M542" s="50">
        <v>0</v>
      </c>
      <c r="N542" s="50">
        <v>0</v>
      </c>
      <c r="O542" s="50">
        <v>361</v>
      </c>
      <c r="P542" s="50" t="s">
        <v>102</v>
      </c>
      <c r="Q542" s="50">
        <v>0</v>
      </c>
      <c r="R542" s="50">
        <v>0</v>
      </c>
      <c r="T542" s="50">
        <v>0</v>
      </c>
      <c r="U542" s="50">
        <v>0</v>
      </c>
      <c r="W542" s="50" t="s">
        <v>102</v>
      </c>
      <c r="X542" s="50" t="s">
        <v>275</v>
      </c>
      <c r="Z542" s="50" t="s">
        <v>12820</v>
      </c>
      <c r="AA542" s="50" t="s">
        <v>109</v>
      </c>
      <c r="AB542" s="50" t="s">
        <v>102</v>
      </c>
      <c r="AC542" s="50" t="s">
        <v>109</v>
      </c>
      <c r="AD542" s="50" t="s">
        <v>102</v>
      </c>
      <c r="AE542" s="50" t="s">
        <v>109</v>
      </c>
      <c r="AF542" s="50" t="s">
        <v>102</v>
      </c>
      <c r="AG542" s="50" t="s">
        <v>109</v>
      </c>
      <c r="AH542" s="50" t="s">
        <v>102</v>
      </c>
      <c r="AI542" s="50" t="s">
        <v>102</v>
      </c>
      <c r="AL542" s="50" t="s">
        <v>102</v>
      </c>
      <c r="AM542" s="50" t="s">
        <v>102</v>
      </c>
      <c r="AN542" s="50" t="s">
        <v>102</v>
      </c>
      <c r="AO542" s="50" t="s">
        <v>115</v>
      </c>
      <c r="AP542" s="50" t="s">
        <v>115</v>
      </c>
      <c r="AU542" s="50" t="s">
        <v>117</v>
      </c>
      <c r="AV542" s="50" t="s">
        <v>118</v>
      </c>
      <c r="AW542" s="50" t="s">
        <v>102</v>
      </c>
      <c r="AX542" s="50" t="s">
        <v>119</v>
      </c>
      <c r="BB542" s="50" t="s">
        <v>120</v>
      </c>
      <c r="BC542" s="50" t="s">
        <v>8527</v>
      </c>
      <c r="BD542" s="50" t="s">
        <v>1244</v>
      </c>
      <c r="BE542" s="50" t="s">
        <v>122</v>
      </c>
      <c r="BF542" s="50" t="s">
        <v>1244</v>
      </c>
      <c r="BG542" s="50" t="s">
        <v>124</v>
      </c>
      <c r="BH542" s="50" t="s">
        <v>12084</v>
      </c>
      <c r="BI542" s="50" t="s">
        <v>11889</v>
      </c>
      <c r="BJ542" s="50" t="s">
        <v>127</v>
      </c>
      <c r="BK542" s="50" t="s">
        <v>17910</v>
      </c>
      <c r="BL542" s="50" t="s">
        <v>17911</v>
      </c>
      <c r="BM542" s="50" t="s">
        <v>17912</v>
      </c>
      <c r="BN542" s="50" t="s">
        <v>12820</v>
      </c>
      <c r="BO542" s="50" t="s">
        <v>180</v>
      </c>
      <c r="BP542" s="50" t="s">
        <v>180</v>
      </c>
      <c r="BQ542" s="50" t="s">
        <v>8588</v>
      </c>
      <c r="BR542" s="50" t="s">
        <v>14336</v>
      </c>
      <c r="BS542" s="50" t="s">
        <v>2593</v>
      </c>
      <c r="BT542" s="50" t="s">
        <v>4765</v>
      </c>
      <c r="BU542" s="50" t="s">
        <v>17913</v>
      </c>
      <c r="BV542" s="50" t="s">
        <v>14338</v>
      </c>
      <c r="BW542" s="50" t="s">
        <v>598</v>
      </c>
      <c r="BX542" s="50" t="s">
        <v>14339</v>
      </c>
      <c r="BY542" s="50" t="s">
        <v>14340</v>
      </c>
      <c r="CA542" s="50" t="s">
        <v>14342</v>
      </c>
      <c r="CB542" s="50" t="s">
        <v>8588</v>
      </c>
      <c r="CC542" s="50" t="s">
        <v>14343</v>
      </c>
      <c r="CD542" s="50" t="s">
        <v>14342</v>
      </c>
      <c r="CE542" s="50" t="s">
        <v>8588</v>
      </c>
      <c r="CF542" s="50" t="s">
        <v>14343</v>
      </c>
      <c r="CG542" s="50" t="s">
        <v>102</v>
      </c>
      <c r="CH542" s="50" t="s">
        <v>8527</v>
      </c>
      <c r="CJ542" s="50" t="s">
        <v>17914</v>
      </c>
      <c r="CL542" s="50" t="s">
        <v>8527</v>
      </c>
      <c r="CM542" s="50" t="s">
        <v>1244</v>
      </c>
      <c r="CN542" s="50" t="s">
        <v>17914</v>
      </c>
      <c r="CP542" s="50" t="s">
        <v>17915</v>
      </c>
      <c r="CQ542" s="50" t="s">
        <v>17915</v>
      </c>
    </row>
    <row r="543" spans="1:96">
      <c r="A543" s="50" t="s">
        <v>26356</v>
      </c>
      <c r="B543" s="50">
        <v>4000126</v>
      </c>
      <c r="C543" s="50" t="s">
        <v>13158</v>
      </c>
      <c r="D543" s="50" t="s">
        <v>8528</v>
      </c>
      <c r="E543" s="50" t="e">
        <f>VLOOKUP(B543,aa!B:F,5,0)</f>
        <v>#N/A</v>
      </c>
      <c r="F543" s="50" t="e">
        <f>VLOOKUP(B543,aa!B:J,9,0)</f>
        <v>#N/A</v>
      </c>
      <c r="G543" s="50" t="e">
        <f>VLOOKUP(B543,aa!B:L,11,0)</f>
        <v>#N/A</v>
      </c>
      <c r="H543" s="50" t="e">
        <f>VLOOKUP(B543,aa!B:O,14,0)</f>
        <v>#N/A</v>
      </c>
      <c r="I543" s="50" t="e">
        <f>VLOOKUP(B543,aa!B:R,17,0)</f>
        <v>#N/A</v>
      </c>
      <c r="K543" s="50" t="s">
        <v>97</v>
      </c>
      <c r="L543" s="50">
        <v>0</v>
      </c>
      <c r="M543" s="50">
        <v>0</v>
      </c>
      <c r="N543" s="50">
        <v>0</v>
      </c>
      <c r="O543" s="50">
        <v>914</v>
      </c>
      <c r="P543" s="50" t="s">
        <v>102</v>
      </c>
      <c r="Q543" s="50">
        <v>0</v>
      </c>
      <c r="R543" s="50">
        <v>0</v>
      </c>
      <c r="T543" s="50">
        <v>0</v>
      </c>
      <c r="U543" s="50">
        <v>0</v>
      </c>
      <c r="W543" s="50" t="s">
        <v>102</v>
      </c>
      <c r="X543" s="50" t="s">
        <v>275</v>
      </c>
      <c r="Z543" s="50" t="s">
        <v>12820</v>
      </c>
      <c r="AA543" s="50" t="s">
        <v>109</v>
      </c>
      <c r="AB543" s="50" t="s">
        <v>102</v>
      </c>
      <c r="AC543" s="50" t="s">
        <v>109</v>
      </c>
      <c r="AD543" s="50" t="s">
        <v>102</v>
      </c>
      <c r="AE543" s="50" t="s">
        <v>109</v>
      </c>
      <c r="AF543" s="50" t="s">
        <v>102</v>
      </c>
      <c r="AG543" s="50" t="s">
        <v>109</v>
      </c>
      <c r="AH543" s="50" t="s">
        <v>102</v>
      </c>
      <c r="AI543" s="50" t="s">
        <v>102</v>
      </c>
      <c r="AL543" s="50" t="s">
        <v>102</v>
      </c>
      <c r="AM543" s="50" t="s">
        <v>102</v>
      </c>
      <c r="AN543" s="50" t="s">
        <v>102</v>
      </c>
      <c r="AO543" s="50" t="s">
        <v>115</v>
      </c>
      <c r="AP543" s="50" t="s">
        <v>115</v>
      </c>
      <c r="AU543" s="50" t="s">
        <v>117</v>
      </c>
      <c r="AV543" s="50" t="s">
        <v>118</v>
      </c>
      <c r="AW543" s="50" t="s">
        <v>102</v>
      </c>
      <c r="AX543" s="50" t="s">
        <v>119</v>
      </c>
      <c r="BB543" s="50" t="s">
        <v>171</v>
      </c>
      <c r="BC543" s="50" t="s">
        <v>623</v>
      </c>
      <c r="BD543" s="50" t="s">
        <v>621</v>
      </c>
      <c r="BE543" s="50" t="s">
        <v>622</v>
      </c>
      <c r="BF543" s="50" t="s">
        <v>623</v>
      </c>
      <c r="BG543" s="50" t="s">
        <v>124</v>
      </c>
      <c r="BH543" s="50" t="s">
        <v>12084</v>
      </c>
      <c r="BI543" s="50" t="s">
        <v>11889</v>
      </c>
      <c r="BJ543" s="50" t="s">
        <v>127</v>
      </c>
      <c r="BK543" s="50" t="s">
        <v>17916</v>
      </c>
      <c r="BL543" s="50" t="s">
        <v>17917</v>
      </c>
      <c r="BM543" s="50" t="s">
        <v>17918</v>
      </c>
      <c r="BN543" s="50" t="s">
        <v>12820</v>
      </c>
      <c r="BO543" s="50" t="s">
        <v>180</v>
      </c>
      <c r="BP543" s="50" t="s">
        <v>505</v>
      </c>
      <c r="BQ543" s="50" t="s">
        <v>8588</v>
      </c>
      <c r="BR543" s="50" t="s">
        <v>14336</v>
      </c>
      <c r="BS543" s="50" t="s">
        <v>2593</v>
      </c>
      <c r="BT543" s="50" t="s">
        <v>4765</v>
      </c>
      <c r="BU543" s="50" t="s">
        <v>17919</v>
      </c>
      <c r="BV543" s="50" t="s">
        <v>14338</v>
      </c>
      <c r="BW543" s="50" t="s">
        <v>598</v>
      </c>
      <c r="BX543" s="50" t="s">
        <v>14339</v>
      </c>
      <c r="BY543" s="50" t="s">
        <v>14340</v>
      </c>
      <c r="BZ543" s="50" t="s">
        <v>17920</v>
      </c>
      <c r="CA543" s="50" t="s">
        <v>17921</v>
      </c>
      <c r="CB543" s="50" t="s">
        <v>8588</v>
      </c>
      <c r="CC543" s="50" t="s">
        <v>14343</v>
      </c>
      <c r="CD543" s="50" t="s">
        <v>17921</v>
      </c>
      <c r="CE543" s="50" t="s">
        <v>8588</v>
      </c>
      <c r="CF543" s="50" t="s">
        <v>14343</v>
      </c>
      <c r="CG543" s="50" t="s">
        <v>102</v>
      </c>
      <c r="CH543" s="50" t="s">
        <v>623</v>
      </c>
      <c r="CJ543" s="50" t="s">
        <v>17922</v>
      </c>
      <c r="CL543" s="50" t="s">
        <v>623</v>
      </c>
      <c r="CM543" s="50" t="s">
        <v>621</v>
      </c>
      <c r="CN543" s="50" t="s">
        <v>17922</v>
      </c>
      <c r="CP543" s="50" t="s">
        <v>17923</v>
      </c>
      <c r="CQ543" s="50" t="s">
        <v>17923</v>
      </c>
    </row>
    <row r="544" spans="1:96">
      <c r="A544" s="50" t="s">
        <v>26356</v>
      </c>
      <c r="B544" s="50">
        <v>4062318</v>
      </c>
      <c r="C544" s="50" t="s">
        <v>13158</v>
      </c>
      <c r="D544" s="50" t="s">
        <v>8657</v>
      </c>
      <c r="E544" s="50" t="e">
        <f>VLOOKUP(B544,aa!B:F,5,0)</f>
        <v>#N/A</v>
      </c>
      <c r="F544" s="50" t="e">
        <f>VLOOKUP(B544,aa!B:J,9,0)</f>
        <v>#N/A</v>
      </c>
      <c r="G544" s="50" t="e">
        <f>VLOOKUP(B544,aa!B:L,11,0)</f>
        <v>#N/A</v>
      </c>
      <c r="H544" s="50" t="e">
        <f>VLOOKUP(B544,aa!B:O,14,0)</f>
        <v>#N/A</v>
      </c>
      <c r="I544" s="50" t="e">
        <f>VLOOKUP(B544,aa!B:R,17,0)</f>
        <v>#N/A</v>
      </c>
      <c r="K544" s="50" t="s">
        <v>97</v>
      </c>
      <c r="L544" s="50">
        <v>0</v>
      </c>
      <c r="M544" s="50">
        <v>0</v>
      </c>
      <c r="N544" s="50">
        <v>0</v>
      </c>
      <c r="O544" s="50">
        <v>270</v>
      </c>
      <c r="P544" s="50" t="s">
        <v>102</v>
      </c>
      <c r="Q544" s="50">
        <v>0</v>
      </c>
      <c r="R544" s="50">
        <v>0</v>
      </c>
      <c r="T544" s="50">
        <v>0</v>
      </c>
      <c r="U544" s="50">
        <v>0</v>
      </c>
      <c r="W544" s="50" t="s">
        <v>102</v>
      </c>
      <c r="X544" s="50" t="s">
        <v>275</v>
      </c>
      <c r="Z544" s="50" t="s">
        <v>12820</v>
      </c>
      <c r="AA544" s="50" t="s">
        <v>109</v>
      </c>
      <c r="AB544" s="50" t="s">
        <v>102</v>
      </c>
      <c r="AC544" s="50" t="s">
        <v>109</v>
      </c>
      <c r="AD544" s="50" t="s">
        <v>102</v>
      </c>
      <c r="AE544" s="50" t="s">
        <v>109</v>
      </c>
      <c r="AF544" s="50" t="s">
        <v>102</v>
      </c>
      <c r="AG544" s="50" t="s">
        <v>109</v>
      </c>
      <c r="AH544" s="50" t="s">
        <v>102</v>
      </c>
      <c r="AI544" s="50" t="s">
        <v>102</v>
      </c>
      <c r="AL544" s="50" t="s">
        <v>102</v>
      </c>
      <c r="AM544" s="50" t="s">
        <v>102</v>
      </c>
      <c r="AN544" s="50" t="s">
        <v>102</v>
      </c>
      <c r="AO544" s="50" t="s">
        <v>115</v>
      </c>
      <c r="AP544" s="50" t="s">
        <v>115</v>
      </c>
      <c r="AU544" s="50" t="s">
        <v>117</v>
      </c>
      <c r="AV544" s="50" t="s">
        <v>118</v>
      </c>
      <c r="AW544" s="50" t="s">
        <v>102</v>
      </c>
      <c r="AX544" s="50" t="s">
        <v>119</v>
      </c>
      <c r="BB544" s="50" t="s">
        <v>120</v>
      </c>
      <c r="BC544" s="50" t="s">
        <v>7718</v>
      </c>
      <c r="BD544" s="50" t="s">
        <v>211</v>
      </c>
      <c r="BE544" s="50" t="s">
        <v>212</v>
      </c>
      <c r="BF544" s="50" t="s">
        <v>213</v>
      </c>
      <c r="BG544" s="50" t="s">
        <v>124</v>
      </c>
      <c r="BH544" s="50" t="s">
        <v>12084</v>
      </c>
      <c r="BI544" s="50" t="s">
        <v>11889</v>
      </c>
      <c r="BJ544" s="50" t="s">
        <v>127</v>
      </c>
      <c r="BK544" s="50" t="s">
        <v>18025</v>
      </c>
      <c r="BL544" s="50" t="s">
        <v>18026</v>
      </c>
      <c r="BM544" s="50" t="s">
        <v>18027</v>
      </c>
      <c r="BN544" s="50" t="s">
        <v>12820</v>
      </c>
      <c r="BO544" s="50" t="s">
        <v>180</v>
      </c>
      <c r="BP544" s="50" t="s">
        <v>180</v>
      </c>
      <c r="BQ544" s="50" t="s">
        <v>8588</v>
      </c>
      <c r="BR544" s="50" t="s">
        <v>14336</v>
      </c>
      <c r="BS544" s="50" t="s">
        <v>2593</v>
      </c>
      <c r="BT544" s="50" t="s">
        <v>4765</v>
      </c>
      <c r="BU544" s="50" t="s">
        <v>18028</v>
      </c>
      <c r="BV544" s="50" t="s">
        <v>14338</v>
      </c>
      <c r="BW544" s="50" t="s">
        <v>598</v>
      </c>
      <c r="BX544" s="50" t="s">
        <v>14339</v>
      </c>
      <c r="BY544" s="50" t="s">
        <v>14340</v>
      </c>
      <c r="BZ544" s="50" t="s">
        <v>18029</v>
      </c>
      <c r="CA544" s="50" t="s">
        <v>14342</v>
      </c>
      <c r="CB544" s="50" t="s">
        <v>8588</v>
      </c>
      <c r="CC544" s="50" t="s">
        <v>14343</v>
      </c>
      <c r="CD544" s="50" t="s">
        <v>14342</v>
      </c>
      <c r="CE544" s="50" t="s">
        <v>8588</v>
      </c>
      <c r="CF544" s="50" t="s">
        <v>14343</v>
      </c>
      <c r="CG544" s="50" t="s">
        <v>907</v>
      </c>
      <c r="CH544" s="50" t="s">
        <v>920</v>
      </c>
      <c r="CJ544" s="50" t="s">
        <v>5844</v>
      </c>
      <c r="CK544" s="50" t="s">
        <v>18030</v>
      </c>
      <c r="CL544" s="50" t="s">
        <v>7718</v>
      </c>
      <c r="CM544" s="50" t="s">
        <v>211</v>
      </c>
      <c r="CN544" s="50" t="s">
        <v>5844</v>
      </c>
      <c r="CP544" s="50" t="s">
        <v>18030</v>
      </c>
      <c r="CQ544" s="50" t="s">
        <v>18030</v>
      </c>
    </row>
    <row r="545" spans="1:96">
      <c r="A545" s="50" t="s">
        <v>26356</v>
      </c>
      <c r="B545" s="50">
        <v>434619</v>
      </c>
      <c r="C545" s="50" t="s">
        <v>13158</v>
      </c>
      <c r="D545" s="50" t="s">
        <v>8942</v>
      </c>
      <c r="E545" s="50" t="e">
        <f>VLOOKUP(B545,aa!B:F,5,0)</f>
        <v>#N/A</v>
      </c>
      <c r="F545" s="50" t="e">
        <f>VLOOKUP(B545,aa!B:J,9,0)</f>
        <v>#N/A</v>
      </c>
      <c r="G545" s="50" t="e">
        <f>VLOOKUP(B545,aa!B:L,11,0)</f>
        <v>#N/A</v>
      </c>
      <c r="H545" s="50" t="e">
        <f>VLOOKUP(B545,aa!B:O,14,0)</f>
        <v>#N/A</v>
      </c>
      <c r="I545" s="50" t="e">
        <f>VLOOKUP(B545,aa!B:R,17,0)</f>
        <v>#N/A</v>
      </c>
      <c r="K545" s="50" t="s">
        <v>97</v>
      </c>
      <c r="L545" s="50">
        <v>0</v>
      </c>
      <c r="M545" s="50">
        <v>0</v>
      </c>
      <c r="N545" s="50">
        <v>0</v>
      </c>
      <c r="O545" s="50">
        <v>518</v>
      </c>
      <c r="P545" s="50" t="s">
        <v>102</v>
      </c>
      <c r="Q545" s="50">
        <v>0</v>
      </c>
      <c r="R545" s="50">
        <v>0</v>
      </c>
      <c r="T545" s="50">
        <v>0</v>
      </c>
      <c r="U545" s="50">
        <v>0</v>
      </c>
      <c r="W545" s="50" t="s">
        <v>102</v>
      </c>
      <c r="X545" s="50" t="s">
        <v>275</v>
      </c>
      <c r="Z545" s="50" t="s">
        <v>12820</v>
      </c>
      <c r="AA545" s="50" t="s">
        <v>109</v>
      </c>
      <c r="AB545" s="50" t="s">
        <v>102</v>
      </c>
      <c r="AC545" s="50" t="s">
        <v>109</v>
      </c>
      <c r="AD545" s="50" t="s">
        <v>102</v>
      </c>
      <c r="AE545" s="50" t="s">
        <v>109</v>
      </c>
      <c r="AF545" s="50" t="s">
        <v>102</v>
      </c>
      <c r="AG545" s="50" t="s">
        <v>109</v>
      </c>
      <c r="AH545" s="50" t="s">
        <v>102</v>
      </c>
      <c r="AI545" s="50" t="s">
        <v>102</v>
      </c>
      <c r="AL545" s="50" t="s">
        <v>102</v>
      </c>
      <c r="AM545" s="50" t="s">
        <v>102</v>
      </c>
      <c r="AN545" s="50" t="s">
        <v>102</v>
      </c>
      <c r="AO545" s="50" t="s">
        <v>115</v>
      </c>
      <c r="AP545" s="50" t="s">
        <v>115</v>
      </c>
      <c r="AU545" s="50" t="s">
        <v>117</v>
      </c>
      <c r="AV545" s="50" t="s">
        <v>118</v>
      </c>
      <c r="AW545" s="50" t="s">
        <v>102</v>
      </c>
      <c r="AX545" s="50" t="s">
        <v>119</v>
      </c>
      <c r="BB545" s="50" t="s">
        <v>171</v>
      </c>
      <c r="BC545" s="50" t="s">
        <v>623</v>
      </c>
      <c r="BD545" s="50" t="s">
        <v>621</v>
      </c>
      <c r="BE545" s="50" t="s">
        <v>622</v>
      </c>
      <c r="BF545" s="50" t="s">
        <v>623</v>
      </c>
      <c r="BG545" s="50" t="s">
        <v>124</v>
      </c>
      <c r="BH545" s="50" t="s">
        <v>12084</v>
      </c>
      <c r="BI545" s="50" t="s">
        <v>11889</v>
      </c>
      <c r="BJ545" s="50" t="s">
        <v>127</v>
      </c>
      <c r="BK545" s="50" t="s">
        <v>18317</v>
      </c>
      <c r="BL545" s="50" t="s">
        <v>18318</v>
      </c>
      <c r="BM545" s="50" t="s">
        <v>18319</v>
      </c>
      <c r="BN545" s="50" t="s">
        <v>12820</v>
      </c>
      <c r="BO545" s="50" t="s">
        <v>180</v>
      </c>
      <c r="BP545" s="50" t="s">
        <v>180</v>
      </c>
      <c r="BQ545" s="50" t="s">
        <v>8588</v>
      </c>
      <c r="BR545" s="50" t="s">
        <v>14336</v>
      </c>
      <c r="BS545" s="50" t="s">
        <v>2593</v>
      </c>
      <c r="BT545" s="50" t="s">
        <v>4765</v>
      </c>
      <c r="BU545" s="50" t="s">
        <v>18320</v>
      </c>
      <c r="BV545" s="50" t="s">
        <v>14338</v>
      </c>
      <c r="BW545" s="50" t="s">
        <v>598</v>
      </c>
      <c r="BX545" s="50" t="s">
        <v>14339</v>
      </c>
      <c r="BY545" s="50" t="s">
        <v>14340</v>
      </c>
      <c r="BZ545" s="50" t="s">
        <v>18321</v>
      </c>
      <c r="CA545" s="50" t="s">
        <v>14342</v>
      </c>
      <c r="CB545" s="50" t="s">
        <v>8588</v>
      </c>
      <c r="CC545" s="50" t="s">
        <v>14343</v>
      </c>
      <c r="CD545" s="50" t="s">
        <v>14342</v>
      </c>
      <c r="CE545" s="50" t="s">
        <v>8588</v>
      </c>
      <c r="CF545" s="50" t="s">
        <v>14343</v>
      </c>
      <c r="CG545" s="50" t="s">
        <v>102</v>
      </c>
      <c r="CH545" s="50" t="s">
        <v>623</v>
      </c>
      <c r="CJ545" s="50" t="s">
        <v>18322</v>
      </c>
      <c r="CL545" s="50" t="s">
        <v>623</v>
      </c>
      <c r="CM545" s="50" t="s">
        <v>621</v>
      </c>
      <c r="CN545" s="50" t="s">
        <v>18322</v>
      </c>
      <c r="CP545" s="50" t="s">
        <v>18323</v>
      </c>
      <c r="CQ545" s="50" t="s">
        <v>18323</v>
      </c>
    </row>
    <row r="546" spans="1:96">
      <c r="A546" s="50" t="s">
        <v>26356</v>
      </c>
      <c r="B546" s="50">
        <v>5017050</v>
      </c>
      <c r="C546" s="50" t="s">
        <v>985</v>
      </c>
      <c r="D546" s="50" t="s">
        <v>3879</v>
      </c>
      <c r="E546" s="50" t="e">
        <f>VLOOKUP(B546,aa!B:F,5,0)</f>
        <v>#N/A</v>
      </c>
      <c r="F546" s="50" t="e">
        <f>VLOOKUP(B546,aa!B:J,9,0)</f>
        <v>#N/A</v>
      </c>
      <c r="G546" s="50" t="e">
        <f>VLOOKUP(B546,aa!B:L,11,0)</f>
        <v>#N/A</v>
      </c>
      <c r="H546" s="50" t="e">
        <f>VLOOKUP(B546,aa!B:O,14,0)</f>
        <v>#N/A</v>
      </c>
      <c r="I546" s="50" t="e">
        <f>VLOOKUP(B546,aa!B:R,17,0)</f>
        <v>#N/A</v>
      </c>
      <c r="K546" s="50" t="s">
        <v>97</v>
      </c>
      <c r="L546" s="50">
        <v>0</v>
      </c>
      <c r="M546" s="50">
        <v>0</v>
      </c>
      <c r="N546" s="50">
        <v>0</v>
      </c>
      <c r="O546" s="50">
        <v>200</v>
      </c>
      <c r="P546" s="50" t="s">
        <v>102</v>
      </c>
      <c r="Q546" s="50">
        <v>0</v>
      </c>
      <c r="R546" s="50">
        <v>0</v>
      </c>
      <c r="T546" s="50">
        <v>0</v>
      </c>
      <c r="U546" s="50">
        <v>0</v>
      </c>
      <c r="W546" s="50" t="s">
        <v>102</v>
      </c>
      <c r="X546" s="50" t="s">
        <v>275</v>
      </c>
      <c r="Z546" s="50" t="s">
        <v>18984</v>
      </c>
      <c r="AA546" s="50" t="s">
        <v>109</v>
      </c>
      <c r="AB546" s="50" t="s">
        <v>102</v>
      </c>
      <c r="AC546" s="50" t="s">
        <v>109</v>
      </c>
      <c r="AD546" s="50" t="s">
        <v>102</v>
      </c>
      <c r="AE546" s="50" t="s">
        <v>109</v>
      </c>
      <c r="AF546" s="50" t="s">
        <v>102</v>
      </c>
      <c r="AG546" s="50" t="s">
        <v>109</v>
      </c>
      <c r="AH546" s="50" t="s">
        <v>102</v>
      </c>
      <c r="AI546" s="50" t="s">
        <v>102</v>
      </c>
      <c r="AL546" s="50" t="s">
        <v>102</v>
      </c>
      <c r="AM546" s="50" t="s">
        <v>102</v>
      </c>
      <c r="AN546" s="50" t="s">
        <v>102</v>
      </c>
      <c r="AO546" s="50" t="s">
        <v>115</v>
      </c>
      <c r="AP546" s="50" t="s">
        <v>115</v>
      </c>
      <c r="AU546" s="50" t="s">
        <v>117</v>
      </c>
      <c r="AV546" s="50" t="s">
        <v>118</v>
      </c>
      <c r="AW546" s="50" t="s">
        <v>102</v>
      </c>
      <c r="AX546" s="50" t="s">
        <v>119</v>
      </c>
      <c r="BB546" s="50" t="s">
        <v>120</v>
      </c>
      <c r="BC546" s="50" t="s">
        <v>8152</v>
      </c>
      <c r="BD546" s="50" t="s">
        <v>621</v>
      </c>
      <c r="BE546" s="50" t="s">
        <v>622</v>
      </c>
      <c r="BF546" s="50" t="s">
        <v>976</v>
      </c>
      <c r="BG546" s="50" t="s">
        <v>124</v>
      </c>
      <c r="BH546" s="50" t="s">
        <v>12084</v>
      </c>
      <c r="BI546" s="50" t="s">
        <v>11889</v>
      </c>
      <c r="BJ546" s="50" t="s">
        <v>127</v>
      </c>
      <c r="BK546" s="50" t="s">
        <v>18985</v>
      </c>
      <c r="BL546" s="50" t="s">
        <v>18986</v>
      </c>
      <c r="BM546" s="50" t="s">
        <v>18987</v>
      </c>
      <c r="BN546" s="50" t="s">
        <v>12820</v>
      </c>
      <c r="BO546" s="50" t="s">
        <v>505</v>
      </c>
      <c r="BP546" s="50" t="s">
        <v>505</v>
      </c>
      <c r="BQ546" s="50" t="s">
        <v>225</v>
      </c>
      <c r="BR546" s="50" t="s">
        <v>506</v>
      </c>
      <c r="BS546" s="50" t="s">
        <v>2593</v>
      </c>
      <c r="BT546" s="50" t="s">
        <v>4765</v>
      </c>
      <c r="BU546" s="50" t="s">
        <v>18988</v>
      </c>
      <c r="BV546" s="50" t="s">
        <v>14338</v>
      </c>
      <c r="BW546" s="50" t="s">
        <v>598</v>
      </c>
      <c r="BX546" s="50" t="s">
        <v>14339</v>
      </c>
      <c r="BY546" s="50" t="s">
        <v>14340</v>
      </c>
      <c r="BZ546" s="50" t="s">
        <v>18989</v>
      </c>
      <c r="CA546" s="50" t="s">
        <v>14338</v>
      </c>
      <c r="CB546" s="50" t="s">
        <v>14339</v>
      </c>
      <c r="CC546" s="50" t="s">
        <v>14340</v>
      </c>
      <c r="CD546" s="50" t="s">
        <v>14338</v>
      </c>
      <c r="CE546" s="50" t="s">
        <v>14339</v>
      </c>
      <c r="CF546" s="50" t="s">
        <v>14340</v>
      </c>
      <c r="CG546" s="50" t="s">
        <v>18990</v>
      </c>
      <c r="CH546" s="50" t="s">
        <v>8152</v>
      </c>
      <c r="CJ546" s="50" t="s">
        <v>10909</v>
      </c>
      <c r="CK546" s="50" t="s">
        <v>18991</v>
      </c>
      <c r="CL546" s="50" t="s">
        <v>8152</v>
      </c>
      <c r="CM546" s="50" t="s">
        <v>621</v>
      </c>
      <c r="CN546" s="50" t="s">
        <v>10909</v>
      </c>
      <c r="CP546" s="50" t="s">
        <v>18992</v>
      </c>
      <c r="CQ546" s="50" t="s">
        <v>18992</v>
      </c>
    </row>
    <row r="547" spans="1:96">
      <c r="A547" s="50" t="s">
        <v>93</v>
      </c>
      <c r="B547" s="50">
        <v>5108173</v>
      </c>
      <c r="C547" s="50" t="s">
        <v>13158</v>
      </c>
      <c r="D547" s="50" t="s">
        <v>20939</v>
      </c>
      <c r="E547" s="50" t="e">
        <f>VLOOKUP(B547,aa!B:F,5,0)</f>
        <v>#N/A</v>
      </c>
      <c r="F547" s="50" t="e">
        <f>VLOOKUP(B547,aa!B:J,9,0)</f>
        <v>#N/A</v>
      </c>
      <c r="G547" s="50" t="e">
        <f>VLOOKUP(B547,aa!B:L,11,0)</f>
        <v>#N/A</v>
      </c>
      <c r="H547" s="50" t="e">
        <f>VLOOKUP(B547,aa!B:O,14,0)</f>
        <v>#N/A</v>
      </c>
      <c r="I547" s="50" t="e">
        <f>VLOOKUP(B547,aa!B:R,17,0)</f>
        <v>#N/A</v>
      </c>
      <c r="K547" s="50" t="s">
        <v>97</v>
      </c>
      <c r="L547" s="50">
        <v>0</v>
      </c>
      <c r="M547" s="50">
        <v>0</v>
      </c>
      <c r="N547" s="50">
        <v>0</v>
      </c>
      <c r="O547" s="50">
        <v>248</v>
      </c>
      <c r="P547" s="50" t="s">
        <v>102</v>
      </c>
      <c r="Q547" s="50">
        <v>0</v>
      </c>
      <c r="R547" s="50">
        <v>0</v>
      </c>
      <c r="T547" s="50">
        <v>0</v>
      </c>
      <c r="U547" s="50">
        <v>0</v>
      </c>
      <c r="W547" s="50" t="s">
        <v>102</v>
      </c>
      <c r="X547" s="50" t="s">
        <v>275</v>
      </c>
      <c r="Z547" s="50" t="s">
        <v>18984</v>
      </c>
      <c r="AA547" s="50" t="s">
        <v>109</v>
      </c>
      <c r="AB547" s="50" t="s">
        <v>102</v>
      </c>
      <c r="AC547" s="50" t="s">
        <v>109</v>
      </c>
      <c r="AD547" s="50" t="s">
        <v>102</v>
      </c>
      <c r="AE547" s="50" t="s">
        <v>109</v>
      </c>
      <c r="AF547" s="50" t="s">
        <v>102</v>
      </c>
      <c r="AG547" s="50" t="s">
        <v>109</v>
      </c>
      <c r="AH547" s="50" t="s">
        <v>102</v>
      </c>
      <c r="AI547" s="50" t="s">
        <v>102</v>
      </c>
      <c r="AL547" s="50" t="s">
        <v>102</v>
      </c>
      <c r="AM547" s="50" t="s">
        <v>102</v>
      </c>
      <c r="AN547" s="50" t="s">
        <v>102</v>
      </c>
      <c r="AO547" s="50" t="s">
        <v>115</v>
      </c>
      <c r="AP547" s="50" t="s">
        <v>115</v>
      </c>
      <c r="AU547" s="50" t="s">
        <v>117</v>
      </c>
      <c r="AV547" s="50" t="s">
        <v>118</v>
      </c>
      <c r="AW547" s="50" t="s">
        <v>102</v>
      </c>
      <c r="AX547" s="50" t="s">
        <v>119</v>
      </c>
      <c r="BB547" s="50" t="s">
        <v>1964</v>
      </c>
      <c r="BC547" s="50" t="s">
        <v>1759</v>
      </c>
      <c r="BD547" s="50" t="s">
        <v>410</v>
      </c>
      <c r="BE547" s="50" t="s">
        <v>212</v>
      </c>
      <c r="BF547" s="50" t="s">
        <v>410</v>
      </c>
      <c r="BG547" s="50" t="s">
        <v>124</v>
      </c>
      <c r="BH547" s="50" t="s">
        <v>12084</v>
      </c>
      <c r="BI547" s="50" t="s">
        <v>11889</v>
      </c>
      <c r="BJ547" s="50" t="s">
        <v>127</v>
      </c>
      <c r="BK547" s="50" t="s">
        <v>20940</v>
      </c>
      <c r="BL547" s="50" t="s">
        <v>20941</v>
      </c>
      <c r="BM547" s="50" t="s">
        <v>20942</v>
      </c>
      <c r="BN547" s="50" t="s">
        <v>12820</v>
      </c>
      <c r="BO547" s="50" t="s">
        <v>505</v>
      </c>
      <c r="BP547" s="50" t="s">
        <v>505</v>
      </c>
      <c r="BQ547" s="50" t="s">
        <v>225</v>
      </c>
      <c r="BR547" s="50" t="s">
        <v>506</v>
      </c>
      <c r="BS547" s="50" t="s">
        <v>2593</v>
      </c>
      <c r="BT547" s="50" t="s">
        <v>4765</v>
      </c>
      <c r="BU547" s="50" t="s">
        <v>20943</v>
      </c>
      <c r="BV547" s="50" t="s">
        <v>14338</v>
      </c>
      <c r="BW547" s="50" t="s">
        <v>598</v>
      </c>
      <c r="BX547" s="50" t="s">
        <v>14339</v>
      </c>
      <c r="BY547" s="50" t="s">
        <v>14340</v>
      </c>
      <c r="CA547" s="50" t="s">
        <v>14338</v>
      </c>
      <c r="CB547" s="50" t="s">
        <v>14339</v>
      </c>
      <c r="CC547" s="50" t="s">
        <v>14340</v>
      </c>
      <c r="CD547" s="50" t="s">
        <v>14338</v>
      </c>
      <c r="CE547" s="50" t="s">
        <v>14339</v>
      </c>
      <c r="CF547" s="50" t="s">
        <v>14340</v>
      </c>
      <c r="CG547" s="50" t="s">
        <v>102</v>
      </c>
      <c r="CH547" s="50" t="s">
        <v>20944</v>
      </c>
      <c r="CJ547" s="50" t="s">
        <v>3654</v>
      </c>
      <c r="CL547" s="50" t="s">
        <v>1759</v>
      </c>
      <c r="CM547" s="50" t="s">
        <v>410</v>
      </c>
      <c r="CN547" s="50" t="s">
        <v>3654</v>
      </c>
      <c r="CP547" s="50" t="s">
        <v>20944</v>
      </c>
      <c r="CQ547" s="50" t="s">
        <v>20944</v>
      </c>
    </row>
    <row r="548" spans="1:96">
      <c r="A548" s="50" t="s">
        <v>93</v>
      </c>
      <c r="B548" s="50">
        <v>5108240</v>
      </c>
      <c r="C548" s="50" t="s">
        <v>13158</v>
      </c>
      <c r="D548" s="50" t="s">
        <v>20945</v>
      </c>
      <c r="E548" s="50" t="e">
        <f>VLOOKUP(B548,aa!B:F,5,0)</f>
        <v>#N/A</v>
      </c>
      <c r="F548" s="50" t="e">
        <f>VLOOKUP(B548,aa!B:J,9,0)</f>
        <v>#N/A</v>
      </c>
      <c r="G548" s="50" t="e">
        <f>VLOOKUP(B548,aa!B:L,11,0)</f>
        <v>#N/A</v>
      </c>
      <c r="H548" s="50" t="e">
        <f>VLOOKUP(B548,aa!B:O,14,0)</f>
        <v>#N/A</v>
      </c>
      <c r="I548" s="50" t="e">
        <f>VLOOKUP(B548,aa!B:R,17,0)</f>
        <v>#N/A</v>
      </c>
      <c r="K548" s="50" t="s">
        <v>97</v>
      </c>
      <c r="L548" s="50">
        <v>0</v>
      </c>
      <c r="M548" s="50">
        <v>0</v>
      </c>
      <c r="N548" s="50">
        <v>0</v>
      </c>
      <c r="O548" s="50">
        <v>298</v>
      </c>
      <c r="P548" s="50" t="s">
        <v>102</v>
      </c>
      <c r="Q548" s="50">
        <v>0</v>
      </c>
      <c r="R548" s="50">
        <v>0</v>
      </c>
      <c r="T548" s="50">
        <v>0</v>
      </c>
      <c r="U548" s="50">
        <v>0</v>
      </c>
      <c r="W548" s="50" t="s">
        <v>102</v>
      </c>
      <c r="X548" s="50" t="s">
        <v>275</v>
      </c>
      <c r="Z548" s="50" t="s">
        <v>18984</v>
      </c>
      <c r="AA548" s="50" t="s">
        <v>109</v>
      </c>
      <c r="AB548" s="50" t="s">
        <v>102</v>
      </c>
      <c r="AC548" s="50" t="s">
        <v>109</v>
      </c>
      <c r="AD548" s="50" t="s">
        <v>102</v>
      </c>
      <c r="AE548" s="50" t="s">
        <v>109</v>
      </c>
      <c r="AF548" s="50" t="s">
        <v>102</v>
      </c>
      <c r="AG548" s="50" t="s">
        <v>109</v>
      </c>
      <c r="AH548" s="50" t="s">
        <v>102</v>
      </c>
      <c r="AI548" s="50" t="s">
        <v>102</v>
      </c>
      <c r="AL548" s="50" t="s">
        <v>102</v>
      </c>
      <c r="AM548" s="50" t="s">
        <v>102</v>
      </c>
      <c r="AN548" s="50" t="s">
        <v>102</v>
      </c>
      <c r="AO548" s="50" t="s">
        <v>115</v>
      </c>
      <c r="AP548" s="50" t="s">
        <v>115</v>
      </c>
      <c r="AU548" s="50" t="s">
        <v>117</v>
      </c>
      <c r="AV548" s="50" t="s">
        <v>118</v>
      </c>
      <c r="AW548" s="50" t="s">
        <v>102</v>
      </c>
      <c r="AX548" s="50" t="s">
        <v>119</v>
      </c>
      <c r="BB548" s="50" t="s">
        <v>1964</v>
      </c>
      <c r="BC548" s="50" t="s">
        <v>1759</v>
      </c>
      <c r="BD548" s="50" t="s">
        <v>410</v>
      </c>
      <c r="BE548" s="50" t="s">
        <v>212</v>
      </c>
      <c r="BF548" s="50" t="s">
        <v>410</v>
      </c>
      <c r="BG548" s="50" t="s">
        <v>124</v>
      </c>
      <c r="BH548" s="50" t="s">
        <v>12084</v>
      </c>
      <c r="BI548" s="50" t="s">
        <v>11889</v>
      </c>
      <c r="BJ548" s="50" t="s">
        <v>127</v>
      </c>
      <c r="BK548" s="50" t="s">
        <v>20946</v>
      </c>
      <c r="BL548" s="50" t="s">
        <v>20947</v>
      </c>
      <c r="BM548" s="50" t="s">
        <v>20948</v>
      </c>
      <c r="BN548" s="50" t="s">
        <v>12820</v>
      </c>
      <c r="BO548" s="50" t="s">
        <v>505</v>
      </c>
      <c r="BP548" s="50" t="s">
        <v>505</v>
      </c>
      <c r="BQ548" s="50" t="s">
        <v>225</v>
      </c>
      <c r="BR548" s="50" t="s">
        <v>506</v>
      </c>
      <c r="BS548" s="50" t="s">
        <v>2593</v>
      </c>
      <c r="BT548" s="50" t="s">
        <v>4765</v>
      </c>
      <c r="BU548" s="50" t="s">
        <v>20949</v>
      </c>
      <c r="BV548" s="50" t="s">
        <v>14338</v>
      </c>
      <c r="BW548" s="50" t="s">
        <v>598</v>
      </c>
      <c r="BX548" s="50" t="s">
        <v>14339</v>
      </c>
      <c r="BY548" s="50" t="s">
        <v>14340</v>
      </c>
      <c r="CA548" s="50" t="s">
        <v>14338</v>
      </c>
      <c r="CB548" s="50" t="s">
        <v>14339</v>
      </c>
      <c r="CC548" s="50" t="s">
        <v>14340</v>
      </c>
      <c r="CD548" s="50" t="s">
        <v>14338</v>
      </c>
      <c r="CE548" s="50" t="s">
        <v>14339</v>
      </c>
      <c r="CF548" s="50" t="s">
        <v>14340</v>
      </c>
      <c r="CG548" s="50" t="s">
        <v>102</v>
      </c>
      <c r="CH548" s="50" t="s">
        <v>20950</v>
      </c>
      <c r="CJ548" s="50" t="s">
        <v>6272</v>
      </c>
      <c r="CL548" s="50" t="s">
        <v>1759</v>
      </c>
      <c r="CM548" s="50" t="s">
        <v>410</v>
      </c>
      <c r="CN548" s="50" t="s">
        <v>6272</v>
      </c>
      <c r="CP548" s="50" t="s">
        <v>20950</v>
      </c>
      <c r="CQ548" s="50" t="s">
        <v>20950</v>
      </c>
    </row>
    <row r="549" spans="1:96">
      <c r="A549" s="50" t="s">
        <v>93</v>
      </c>
      <c r="B549" s="50">
        <v>5108368</v>
      </c>
      <c r="C549" s="50" t="s">
        <v>13158</v>
      </c>
      <c r="D549" s="50" t="s">
        <v>20951</v>
      </c>
      <c r="E549" s="50" t="e">
        <f>VLOOKUP(B549,aa!B:F,5,0)</f>
        <v>#N/A</v>
      </c>
      <c r="F549" s="50" t="e">
        <f>VLOOKUP(B549,aa!B:J,9,0)</f>
        <v>#N/A</v>
      </c>
      <c r="G549" s="50" t="e">
        <f>VLOOKUP(B549,aa!B:L,11,0)</f>
        <v>#N/A</v>
      </c>
      <c r="H549" s="50" t="e">
        <f>VLOOKUP(B549,aa!B:O,14,0)</f>
        <v>#N/A</v>
      </c>
      <c r="I549" s="50" t="e">
        <f>VLOOKUP(B549,aa!B:R,17,0)</f>
        <v>#N/A</v>
      </c>
      <c r="K549" s="50" t="s">
        <v>97</v>
      </c>
      <c r="L549" s="50">
        <v>0</v>
      </c>
      <c r="M549" s="50">
        <v>0</v>
      </c>
      <c r="N549" s="50">
        <v>0</v>
      </c>
      <c r="O549" s="50">
        <v>503</v>
      </c>
      <c r="P549" s="50" t="s">
        <v>102</v>
      </c>
      <c r="Q549" s="50">
        <v>0</v>
      </c>
      <c r="R549" s="50">
        <v>0</v>
      </c>
      <c r="T549" s="50">
        <v>0</v>
      </c>
      <c r="U549" s="50">
        <v>0</v>
      </c>
      <c r="W549" s="50" t="s">
        <v>102</v>
      </c>
      <c r="X549" s="50" t="s">
        <v>275</v>
      </c>
      <c r="Z549" s="50" t="s">
        <v>18984</v>
      </c>
      <c r="AA549" s="50" t="s">
        <v>109</v>
      </c>
      <c r="AB549" s="50" t="s">
        <v>102</v>
      </c>
      <c r="AC549" s="50" t="s">
        <v>109</v>
      </c>
      <c r="AD549" s="50" t="s">
        <v>102</v>
      </c>
      <c r="AE549" s="50" t="s">
        <v>109</v>
      </c>
      <c r="AF549" s="50" t="s">
        <v>102</v>
      </c>
      <c r="AG549" s="50" t="s">
        <v>109</v>
      </c>
      <c r="AH549" s="50" t="s">
        <v>102</v>
      </c>
      <c r="AI549" s="50" t="s">
        <v>102</v>
      </c>
      <c r="AL549" s="50" t="s">
        <v>102</v>
      </c>
      <c r="AM549" s="50" t="s">
        <v>102</v>
      </c>
      <c r="AN549" s="50" t="s">
        <v>102</v>
      </c>
      <c r="AO549" s="50" t="s">
        <v>115</v>
      </c>
      <c r="AP549" s="50" t="s">
        <v>115</v>
      </c>
      <c r="AU549" s="50" t="s">
        <v>117</v>
      </c>
      <c r="AV549" s="50" t="s">
        <v>118</v>
      </c>
      <c r="AW549" s="50" t="s">
        <v>102</v>
      </c>
      <c r="AX549" s="50" t="s">
        <v>119</v>
      </c>
      <c r="BB549" s="50" t="s">
        <v>1964</v>
      </c>
      <c r="BC549" s="50" t="s">
        <v>1759</v>
      </c>
      <c r="BD549" s="50" t="s">
        <v>410</v>
      </c>
      <c r="BE549" s="50" t="s">
        <v>212</v>
      </c>
      <c r="BF549" s="50" t="s">
        <v>410</v>
      </c>
      <c r="BG549" s="50" t="s">
        <v>124</v>
      </c>
      <c r="BH549" s="50" t="s">
        <v>12084</v>
      </c>
      <c r="BI549" s="50" t="s">
        <v>11889</v>
      </c>
      <c r="BJ549" s="50" t="s">
        <v>127</v>
      </c>
      <c r="BK549" s="50" t="s">
        <v>20952</v>
      </c>
      <c r="BL549" s="50" t="s">
        <v>20953</v>
      </c>
      <c r="BM549" s="50" t="s">
        <v>20954</v>
      </c>
      <c r="BN549" s="50" t="s">
        <v>12820</v>
      </c>
      <c r="BO549" s="50" t="s">
        <v>505</v>
      </c>
      <c r="BP549" s="50" t="s">
        <v>505</v>
      </c>
      <c r="BQ549" s="50" t="s">
        <v>225</v>
      </c>
      <c r="BR549" s="50" t="s">
        <v>506</v>
      </c>
      <c r="BS549" s="50" t="s">
        <v>2593</v>
      </c>
      <c r="BT549" s="50" t="s">
        <v>4765</v>
      </c>
      <c r="BU549" s="50" t="s">
        <v>20955</v>
      </c>
      <c r="BV549" s="50" t="s">
        <v>14338</v>
      </c>
      <c r="BW549" s="50" t="s">
        <v>598</v>
      </c>
      <c r="BX549" s="50" t="s">
        <v>14339</v>
      </c>
      <c r="BY549" s="50" t="s">
        <v>14340</v>
      </c>
      <c r="CA549" s="50" t="s">
        <v>14338</v>
      </c>
      <c r="CB549" s="50" t="s">
        <v>14339</v>
      </c>
      <c r="CC549" s="50" t="s">
        <v>14340</v>
      </c>
      <c r="CD549" s="50" t="s">
        <v>14338</v>
      </c>
      <c r="CE549" s="50" t="s">
        <v>14339</v>
      </c>
      <c r="CF549" s="50" t="s">
        <v>14340</v>
      </c>
      <c r="CG549" s="50" t="s">
        <v>102</v>
      </c>
      <c r="CH549" s="50" t="s">
        <v>20956</v>
      </c>
      <c r="CJ549" s="50" t="s">
        <v>3350</v>
      </c>
      <c r="CL549" s="50" t="s">
        <v>1759</v>
      </c>
      <c r="CM549" s="50" t="s">
        <v>410</v>
      </c>
      <c r="CN549" s="50" t="s">
        <v>3350</v>
      </c>
      <c r="CP549" s="50" t="s">
        <v>20956</v>
      </c>
      <c r="CQ549" s="50" t="s">
        <v>20956</v>
      </c>
    </row>
    <row r="550" spans="1:96">
      <c r="A550" s="50" t="s">
        <v>93</v>
      </c>
      <c r="B550" s="50">
        <v>5108463</v>
      </c>
      <c r="C550" s="50" t="s">
        <v>13158</v>
      </c>
      <c r="D550" s="50" t="s">
        <v>20957</v>
      </c>
      <c r="E550" s="50" t="e">
        <f>VLOOKUP(B550,aa!B:F,5,0)</f>
        <v>#N/A</v>
      </c>
      <c r="F550" s="50" t="e">
        <f>VLOOKUP(B550,aa!B:J,9,0)</f>
        <v>#N/A</v>
      </c>
      <c r="G550" s="50" t="e">
        <f>VLOOKUP(B550,aa!B:L,11,0)</f>
        <v>#N/A</v>
      </c>
      <c r="H550" s="50" t="e">
        <f>VLOOKUP(B550,aa!B:O,14,0)</f>
        <v>#N/A</v>
      </c>
      <c r="I550" s="50" t="e">
        <f>VLOOKUP(B550,aa!B:R,17,0)</f>
        <v>#N/A</v>
      </c>
      <c r="K550" s="50" t="s">
        <v>97</v>
      </c>
      <c r="L550" s="50">
        <v>0</v>
      </c>
      <c r="M550" s="50">
        <v>0</v>
      </c>
      <c r="N550" s="50">
        <v>0</v>
      </c>
      <c r="O550" s="50">
        <v>465</v>
      </c>
      <c r="P550" s="50" t="s">
        <v>102</v>
      </c>
      <c r="Q550" s="50">
        <v>0</v>
      </c>
      <c r="R550" s="50">
        <v>0</v>
      </c>
      <c r="T550" s="50">
        <v>0</v>
      </c>
      <c r="U550" s="50">
        <v>0</v>
      </c>
      <c r="W550" s="50" t="s">
        <v>102</v>
      </c>
      <c r="X550" s="50" t="s">
        <v>275</v>
      </c>
      <c r="Z550" s="50" t="s">
        <v>18984</v>
      </c>
      <c r="AA550" s="50" t="s">
        <v>109</v>
      </c>
      <c r="AB550" s="50" t="s">
        <v>102</v>
      </c>
      <c r="AC550" s="50" t="s">
        <v>109</v>
      </c>
      <c r="AD550" s="50" t="s">
        <v>102</v>
      </c>
      <c r="AE550" s="50" t="s">
        <v>109</v>
      </c>
      <c r="AF550" s="50" t="s">
        <v>102</v>
      </c>
      <c r="AG550" s="50" t="s">
        <v>109</v>
      </c>
      <c r="AH550" s="50" t="s">
        <v>102</v>
      </c>
      <c r="AI550" s="50" t="s">
        <v>102</v>
      </c>
      <c r="AL550" s="50" t="s">
        <v>102</v>
      </c>
      <c r="AM550" s="50" t="s">
        <v>102</v>
      </c>
      <c r="AN550" s="50" t="s">
        <v>102</v>
      </c>
      <c r="AO550" s="50" t="s">
        <v>115</v>
      </c>
      <c r="AP550" s="50" t="s">
        <v>115</v>
      </c>
      <c r="AU550" s="50" t="s">
        <v>117</v>
      </c>
      <c r="AV550" s="50" t="s">
        <v>118</v>
      </c>
      <c r="AW550" s="50" t="s">
        <v>102</v>
      </c>
      <c r="AX550" s="50" t="s">
        <v>119</v>
      </c>
      <c r="BB550" s="50" t="s">
        <v>1964</v>
      </c>
      <c r="BC550" s="50" t="s">
        <v>1759</v>
      </c>
      <c r="BD550" s="50" t="s">
        <v>410</v>
      </c>
      <c r="BE550" s="50" t="s">
        <v>212</v>
      </c>
      <c r="BF550" s="50" t="s">
        <v>410</v>
      </c>
      <c r="BG550" s="50" t="s">
        <v>124</v>
      </c>
      <c r="BH550" s="50" t="s">
        <v>12084</v>
      </c>
      <c r="BI550" s="50" t="s">
        <v>11889</v>
      </c>
      <c r="BJ550" s="50" t="s">
        <v>127</v>
      </c>
      <c r="BK550" s="50" t="s">
        <v>20958</v>
      </c>
      <c r="BL550" s="50" t="s">
        <v>20959</v>
      </c>
      <c r="BM550" s="50" t="s">
        <v>20960</v>
      </c>
      <c r="BN550" s="50" t="s">
        <v>12820</v>
      </c>
      <c r="BO550" s="50" t="s">
        <v>505</v>
      </c>
      <c r="BP550" s="50" t="s">
        <v>505</v>
      </c>
      <c r="BQ550" s="50" t="s">
        <v>225</v>
      </c>
      <c r="BR550" s="50" t="s">
        <v>506</v>
      </c>
      <c r="BS550" s="50" t="s">
        <v>2593</v>
      </c>
      <c r="BT550" s="50" t="s">
        <v>4765</v>
      </c>
      <c r="BU550" s="50" t="s">
        <v>20961</v>
      </c>
      <c r="BV550" s="50" t="s">
        <v>14338</v>
      </c>
      <c r="BW550" s="50" t="s">
        <v>598</v>
      </c>
      <c r="BX550" s="50" t="s">
        <v>14339</v>
      </c>
      <c r="BY550" s="50" t="s">
        <v>14340</v>
      </c>
      <c r="CA550" s="50" t="s">
        <v>14338</v>
      </c>
      <c r="CB550" s="50" t="s">
        <v>14339</v>
      </c>
      <c r="CC550" s="50" t="s">
        <v>14340</v>
      </c>
      <c r="CD550" s="50" t="s">
        <v>14338</v>
      </c>
      <c r="CE550" s="50" t="s">
        <v>14339</v>
      </c>
      <c r="CF550" s="50" t="s">
        <v>14340</v>
      </c>
      <c r="CG550" s="50" t="s">
        <v>102</v>
      </c>
      <c r="CH550" s="50" t="s">
        <v>20962</v>
      </c>
      <c r="CJ550" s="50" t="s">
        <v>2740</v>
      </c>
      <c r="CL550" s="50" t="s">
        <v>1759</v>
      </c>
      <c r="CM550" s="50" t="s">
        <v>410</v>
      </c>
      <c r="CN550" s="50" t="s">
        <v>2740</v>
      </c>
      <c r="CP550" s="50" t="s">
        <v>20962</v>
      </c>
      <c r="CQ550" s="50" t="s">
        <v>20962</v>
      </c>
    </row>
    <row r="551" spans="1:96">
      <c r="A551" s="50" t="s">
        <v>26356</v>
      </c>
      <c r="B551" s="50">
        <v>5070237</v>
      </c>
      <c r="C551" s="50" t="s">
        <v>293</v>
      </c>
      <c r="D551" s="50" t="s">
        <v>20760</v>
      </c>
      <c r="E551" s="50" t="e">
        <f>VLOOKUP(B551,aa!B:F,5,0)</f>
        <v>#N/A</v>
      </c>
      <c r="F551" s="50" t="e">
        <f>VLOOKUP(B551,aa!B:J,9,0)</f>
        <v>#N/A</v>
      </c>
      <c r="G551" s="50" t="e">
        <f>VLOOKUP(B551,aa!B:L,11,0)</f>
        <v>#N/A</v>
      </c>
      <c r="H551" s="50" t="e">
        <f>VLOOKUP(B551,aa!B:O,14,0)</f>
        <v>#N/A</v>
      </c>
      <c r="I551" s="50" t="e">
        <f>VLOOKUP(B551,aa!B:R,17,0)</f>
        <v>#N/A</v>
      </c>
      <c r="K551" s="50" t="s">
        <v>97</v>
      </c>
      <c r="L551" s="50">
        <v>0</v>
      </c>
      <c r="M551" s="50">
        <v>0</v>
      </c>
      <c r="N551" s="50">
        <v>0</v>
      </c>
      <c r="O551" s="50">
        <v>250</v>
      </c>
      <c r="P551" s="50" t="s">
        <v>102</v>
      </c>
      <c r="Q551" s="50">
        <v>0</v>
      </c>
      <c r="R551" s="50">
        <v>0</v>
      </c>
      <c r="T551" s="50">
        <v>0</v>
      </c>
      <c r="U551" s="50">
        <v>0</v>
      </c>
      <c r="W551" s="50" t="s">
        <v>102</v>
      </c>
      <c r="X551" s="50" t="s">
        <v>275</v>
      </c>
      <c r="Z551" s="50" t="s">
        <v>13964</v>
      </c>
      <c r="AA551" s="50" t="s">
        <v>109</v>
      </c>
      <c r="AB551" s="50" t="s">
        <v>102</v>
      </c>
      <c r="AC551" s="50" t="s">
        <v>109</v>
      </c>
      <c r="AD551" s="50" t="s">
        <v>102</v>
      </c>
      <c r="AE551" s="50" t="s">
        <v>109</v>
      </c>
      <c r="AF551" s="50" t="s">
        <v>102</v>
      </c>
      <c r="AG551" s="50" t="s">
        <v>109</v>
      </c>
      <c r="AH551" s="50" t="s">
        <v>102</v>
      </c>
      <c r="AI551" s="50" t="s">
        <v>102</v>
      </c>
      <c r="AL551" s="50" t="s">
        <v>102</v>
      </c>
      <c r="AM551" s="50" t="s">
        <v>102</v>
      </c>
      <c r="AN551" s="50" t="s">
        <v>102</v>
      </c>
      <c r="AO551" s="50" t="s">
        <v>115</v>
      </c>
      <c r="AP551" s="50" t="s">
        <v>115</v>
      </c>
      <c r="AU551" s="50" t="s">
        <v>117</v>
      </c>
      <c r="AV551" s="50" t="s">
        <v>118</v>
      </c>
      <c r="AW551" s="50" t="s">
        <v>102</v>
      </c>
      <c r="AX551" s="50" t="s">
        <v>119</v>
      </c>
      <c r="BB551" s="50" t="s">
        <v>120</v>
      </c>
      <c r="BC551" s="50" t="s">
        <v>7718</v>
      </c>
      <c r="BD551" s="50" t="s">
        <v>211</v>
      </c>
      <c r="BE551" s="50" t="s">
        <v>212</v>
      </c>
      <c r="BF551" s="50" t="s">
        <v>213</v>
      </c>
      <c r="BG551" s="50" t="s">
        <v>124</v>
      </c>
      <c r="BH551" s="50" t="s">
        <v>11959</v>
      </c>
      <c r="BI551" s="50" t="s">
        <v>11889</v>
      </c>
      <c r="BJ551" s="50" t="s">
        <v>127</v>
      </c>
      <c r="BK551" s="50" t="s">
        <v>20761</v>
      </c>
      <c r="BL551" s="50" t="s">
        <v>20762</v>
      </c>
      <c r="BM551" s="50" t="s">
        <v>20763</v>
      </c>
      <c r="BN551" s="50" t="s">
        <v>13964</v>
      </c>
      <c r="BO551" s="50" t="s">
        <v>290</v>
      </c>
      <c r="BP551" s="50" t="s">
        <v>505</v>
      </c>
      <c r="BQ551" s="50" t="s">
        <v>291</v>
      </c>
      <c r="BR551" s="50" t="s">
        <v>292</v>
      </c>
      <c r="BS551" s="50" t="s">
        <v>4765</v>
      </c>
      <c r="BU551" s="50" t="s">
        <v>20764</v>
      </c>
      <c r="BV551" s="50" t="s">
        <v>3585</v>
      </c>
      <c r="BW551" s="50" t="s">
        <v>598</v>
      </c>
      <c r="BX551" s="50" t="s">
        <v>225</v>
      </c>
      <c r="BY551" s="50" t="s">
        <v>8332</v>
      </c>
      <c r="CA551" s="50" t="s">
        <v>20765</v>
      </c>
      <c r="CB551" s="50" t="s">
        <v>20766</v>
      </c>
      <c r="CC551" s="50" t="s">
        <v>20767</v>
      </c>
      <c r="CD551" s="50" t="s">
        <v>20765</v>
      </c>
      <c r="CE551" s="50" t="s">
        <v>20766</v>
      </c>
      <c r="CF551" s="50" t="s">
        <v>20767</v>
      </c>
      <c r="CG551" s="50" t="s">
        <v>102</v>
      </c>
      <c r="CH551" s="50" t="s">
        <v>20768</v>
      </c>
      <c r="CJ551" s="50" t="s">
        <v>10157</v>
      </c>
      <c r="CL551" s="50" t="s">
        <v>7718</v>
      </c>
      <c r="CM551" s="50" t="s">
        <v>211</v>
      </c>
      <c r="CN551" s="50" t="s">
        <v>10157</v>
      </c>
      <c r="CP551" s="50" t="s">
        <v>20769</v>
      </c>
      <c r="CQ551" s="50" t="s">
        <v>20769</v>
      </c>
      <c r="CR551" s="50" t="s">
        <v>26048</v>
      </c>
    </row>
    <row r="552" spans="1:96">
      <c r="A552" s="50" t="s">
        <v>93</v>
      </c>
      <c r="B552" s="50">
        <v>5070551</v>
      </c>
      <c r="C552" s="50" t="s">
        <v>293</v>
      </c>
      <c r="D552" s="50" t="s">
        <v>20786</v>
      </c>
      <c r="E552" s="50" t="e">
        <f>VLOOKUP(B552,aa!B:F,5,0)</f>
        <v>#N/A</v>
      </c>
      <c r="F552" s="50" t="e">
        <f>VLOOKUP(B552,aa!B:J,9,0)</f>
        <v>#N/A</v>
      </c>
      <c r="G552" s="50" t="e">
        <f>VLOOKUP(B552,aa!B:L,11,0)</f>
        <v>#N/A</v>
      </c>
      <c r="H552" s="50" t="e">
        <f>VLOOKUP(B552,aa!B:O,14,0)</f>
        <v>#N/A</v>
      </c>
      <c r="I552" s="50" t="e">
        <f>VLOOKUP(B552,aa!B:R,17,0)</f>
        <v>#N/A</v>
      </c>
      <c r="K552" s="50" t="s">
        <v>97</v>
      </c>
      <c r="L552" s="50">
        <v>0</v>
      </c>
      <c r="M552" s="50">
        <v>0</v>
      </c>
      <c r="N552" s="50">
        <v>0</v>
      </c>
      <c r="O552" s="50">
        <v>250</v>
      </c>
      <c r="P552" s="50" t="s">
        <v>102</v>
      </c>
      <c r="Q552" s="50">
        <v>0</v>
      </c>
      <c r="R552" s="50">
        <v>0</v>
      </c>
      <c r="T552" s="50">
        <v>0</v>
      </c>
      <c r="U552" s="50">
        <v>0</v>
      </c>
      <c r="W552" s="50" t="s">
        <v>102</v>
      </c>
      <c r="X552" s="50" t="s">
        <v>275</v>
      </c>
      <c r="Z552" s="50" t="s">
        <v>13964</v>
      </c>
      <c r="AA552" s="50" t="s">
        <v>109</v>
      </c>
      <c r="AB552" s="50" t="s">
        <v>102</v>
      </c>
      <c r="AC552" s="50" t="s">
        <v>109</v>
      </c>
      <c r="AD552" s="50" t="s">
        <v>102</v>
      </c>
      <c r="AE552" s="50" t="s">
        <v>109</v>
      </c>
      <c r="AF552" s="50" t="s">
        <v>102</v>
      </c>
      <c r="AG552" s="50" t="s">
        <v>109</v>
      </c>
      <c r="AH552" s="50" t="s">
        <v>102</v>
      </c>
      <c r="AI552" s="50" t="s">
        <v>102</v>
      </c>
      <c r="AL552" s="50" t="s">
        <v>102</v>
      </c>
      <c r="AM552" s="50" t="s">
        <v>102</v>
      </c>
      <c r="AN552" s="50" t="s">
        <v>102</v>
      </c>
      <c r="AO552" s="50" t="s">
        <v>115</v>
      </c>
      <c r="AP552" s="50" t="s">
        <v>115</v>
      </c>
      <c r="AU552" s="50" t="s">
        <v>117</v>
      </c>
      <c r="AV552" s="50" t="s">
        <v>118</v>
      </c>
      <c r="AW552" s="50" t="s">
        <v>102</v>
      </c>
      <c r="AX552" s="50" t="s">
        <v>119</v>
      </c>
      <c r="BB552" s="50" t="s">
        <v>120</v>
      </c>
      <c r="BC552" s="50" t="s">
        <v>7718</v>
      </c>
      <c r="BD552" s="50" t="s">
        <v>211</v>
      </c>
      <c r="BE552" s="50" t="s">
        <v>212</v>
      </c>
      <c r="BF552" s="50" t="s">
        <v>213</v>
      </c>
      <c r="BG552" s="50" t="s">
        <v>124</v>
      </c>
      <c r="BH552" s="50" t="s">
        <v>11959</v>
      </c>
      <c r="BI552" s="50" t="s">
        <v>11889</v>
      </c>
      <c r="BJ552" s="50" t="s">
        <v>127</v>
      </c>
      <c r="BK552" s="50" t="s">
        <v>20787</v>
      </c>
      <c r="BL552" s="50" t="s">
        <v>20788</v>
      </c>
      <c r="BM552" s="50" t="s">
        <v>20789</v>
      </c>
      <c r="BN552" s="50" t="s">
        <v>13964</v>
      </c>
      <c r="BO552" s="50" t="s">
        <v>290</v>
      </c>
      <c r="BP552" s="50" t="s">
        <v>505</v>
      </c>
      <c r="BQ552" s="50" t="s">
        <v>291</v>
      </c>
      <c r="BR552" s="50" t="s">
        <v>292</v>
      </c>
      <c r="BS552" s="50" t="s">
        <v>4765</v>
      </c>
      <c r="BU552" s="50" t="s">
        <v>20790</v>
      </c>
      <c r="BV552" s="50" t="s">
        <v>3585</v>
      </c>
      <c r="BW552" s="50" t="s">
        <v>598</v>
      </c>
      <c r="BX552" s="50" t="s">
        <v>225</v>
      </c>
      <c r="BY552" s="50" t="s">
        <v>226</v>
      </c>
      <c r="CA552" s="50" t="s">
        <v>20791</v>
      </c>
      <c r="CB552" s="50" t="s">
        <v>20792</v>
      </c>
      <c r="CC552" s="50" t="s">
        <v>20793</v>
      </c>
      <c r="CD552" s="50" t="s">
        <v>20791</v>
      </c>
      <c r="CE552" s="50" t="s">
        <v>20792</v>
      </c>
      <c r="CF552" s="50" t="s">
        <v>20793</v>
      </c>
      <c r="CG552" s="50" t="s">
        <v>102</v>
      </c>
      <c r="CH552" s="50" t="s">
        <v>20794</v>
      </c>
      <c r="CJ552" s="50" t="s">
        <v>20795</v>
      </c>
      <c r="CL552" s="50" t="s">
        <v>7718</v>
      </c>
      <c r="CM552" s="50" t="s">
        <v>211</v>
      </c>
      <c r="CN552" s="50" t="s">
        <v>20795</v>
      </c>
      <c r="CP552" s="50" t="s">
        <v>20796</v>
      </c>
      <c r="CQ552" s="50" t="s">
        <v>20796</v>
      </c>
      <c r="CR552" s="50" t="s">
        <v>26048</v>
      </c>
    </row>
    <row r="553" spans="1:96" customFormat="1">
      <c r="A553" t="s">
        <v>337</v>
      </c>
      <c r="B553">
        <v>1027451</v>
      </c>
      <c r="C553" s="50"/>
      <c r="D553" t="s">
        <v>21660</v>
      </c>
      <c r="E553" s="50"/>
      <c r="I553" s="50"/>
      <c r="J553" s="51"/>
      <c r="K553" t="s">
        <v>848</v>
      </c>
      <c r="L553">
        <v>603021</v>
      </c>
      <c r="M553">
        <v>711565</v>
      </c>
      <c r="N553">
        <v>0</v>
      </c>
      <c r="O553">
        <v>0</v>
      </c>
      <c r="Q553">
        <v>0</v>
      </c>
      <c r="R553">
        <v>0</v>
      </c>
      <c r="T553">
        <v>603021</v>
      </c>
      <c r="U553">
        <v>593</v>
      </c>
      <c r="V553" t="s">
        <v>3924</v>
      </c>
      <c r="W553" t="s">
        <v>102</v>
      </c>
      <c r="X553" t="s">
        <v>103</v>
      </c>
      <c r="Y553" t="s">
        <v>155</v>
      </c>
      <c r="AA553" t="s">
        <v>12250</v>
      </c>
      <c r="AB553" t="s">
        <v>21663</v>
      </c>
      <c r="AC553" t="s">
        <v>21664</v>
      </c>
      <c r="AD553" t="s">
        <v>21663</v>
      </c>
      <c r="AE553" t="s">
        <v>21665</v>
      </c>
      <c r="AF553" t="s">
        <v>21663</v>
      </c>
      <c r="AG553" t="s">
        <v>21666</v>
      </c>
      <c r="AH553" t="s">
        <v>21663</v>
      </c>
      <c r="AI553" t="s">
        <v>102</v>
      </c>
      <c r="AJ553" t="s">
        <v>17302</v>
      </c>
      <c r="AK553" t="s">
        <v>17302</v>
      </c>
      <c r="AL553" t="s">
        <v>21663</v>
      </c>
      <c r="AM553" t="s">
        <v>1538</v>
      </c>
      <c r="AN553" t="s">
        <v>24047</v>
      </c>
      <c r="AO553" t="s">
        <v>2307</v>
      </c>
      <c r="AP553" t="s">
        <v>2307</v>
      </c>
      <c r="AU553" t="s">
        <v>102</v>
      </c>
      <c r="AW553" t="s">
        <v>102</v>
      </c>
      <c r="AX553" t="s">
        <v>119</v>
      </c>
      <c r="BA553" t="s">
        <v>250</v>
      </c>
      <c r="BB553" t="s">
        <v>120</v>
      </c>
      <c r="BC553" t="s">
        <v>1170</v>
      </c>
      <c r="BD553" t="s">
        <v>1171</v>
      </c>
      <c r="BE553" t="s">
        <v>174</v>
      </c>
      <c r="BF553" t="s">
        <v>1172</v>
      </c>
      <c r="BG553" t="s">
        <v>124</v>
      </c>
      <c r="BH553" t="s">
        <v>12250</v>
      </c>
      <c r="BI553" t="s">
        <v>21667</v>
      </c>
      <c r="BJ553" t="s">
        <v>127</v>
      </c>
      <c r="BK553" t="s">
        <v>21668</v>
      </c>
      <c r="BL553" t="s">
        <v>21669</v>
      </c>
      <c r="BM553" t="s">
        <v>21670</v>
      </c>
      <c r="BN553" t="s">
        <v>12752</v>
      </c>
      <c r="BO553" t="s">
        <v>5557</v>
      </c>
      <c r="BP553" t="s">
        <v>180</v>
      </c>
      <c r="BQ553" t="s">
        <v>5558</v>
      </c>
      <c r="BR553" t="s">
        <v>5559</v>
      </c>
      <c r="BS553" t="s">
        <v>5560</v>
      </c>
      <c r="BU553" t="s">
        <v>21671</v>
      </c>
      <c r="BV553" t="s">
        <v>21672</v>
      </c>
      <c r="BW553" t="s">
        <v>138</v>
      </c>
      <c r="BX553" t="s">
        <v>21673</v>
      </c>
      <c r="BY553" t="s">
        <v>21674</v>
      </c>
      <c r="BZ553" t="s">
        <v>21675</v>
      </c>
      <c r="CA553" t="s">
        <v>21672</v>
      </c>
      <c r="CB553" t="s">
        <v>21673</v>
      </c>
      <c r="CC553" t="s">
        <v>21674</v>
      </c>
      <c r="CD553" t="s">
        <v>21676</v>
      </c>
      <c r="CE553" t="s">
        <v>21677</v>
      </c>
      <c r="CF553" t="s">
        <v>21678</v>
      </c>
      <c r="CG553" t="s">
        <v>3968</v>
      </c>
      <c r="CH553" t="s">
        <v>1170</v>
      </c>
      <c r="CJ553" t="s">
        <v>21679</v>
      </c>
      <c r="CK553" t="s">
        <v>21680</v>
      </c>
      <c r="CL553" t="s">
        <v>1170</v>
      </c>
      <c r="CM553" t="s">
        <v>1171</v>
      </c>
      <c r="CN553" t="s">
        <v>21679</v>
      </c>
      <c r="CP553" t="s">
        <v>21681</v>
      </c>
      <c r="CQ553" t="s">
        <v>21681</v>
      </c>
    </row>
    <row r="554" spans="1:96" customFormat="1">
      <c r="A554" t="s">
        <v>337</v>
      </c>
      <c r="B554">
        <v>1091054</v>
      </c>
      <c r="C554" s="50"/>
      <c r="D554" t="s">
        <v>21682</v>
      </c>
      <c r="E554" s="50"/>
      <c r="I554" s="50"/>
      <c r="J554" s="51"/>
      <c r="K554" t="s">
        <v>152</v>
      </c>
      <c r="L554">
        <v>311805</v>
      </c>
      <c r="M554">
        <v>311805</v>
      </c>
      <c r="N554">
        <v>0</v>
      </c>
      <c r="O554">
        <v>0</v>
      </c>
      <c r="Q554">
        <v>311805</v>
      </c>
      <c r="R554">
        <v>260</v>
      </c>
      <c r="S554" t="s">
        <v>21684</v>
      </c>
      <c r="T554">
        <v>0</v>
      </c>
      <c r="U554">
        <v>0</v>
      </c>
      <c r="W554" t="s">
        <v>102</v>
      </c>
      <c r="X554" t="s">
        <v>103</v>
      </c>
      <c r="Y554" t="s">
        <v>155</v>
      </c>
      <c r="AA554" t="s">
        <v>11952</v>
      </c>
      <c r="AB554" t="s">
        <v>21685</v>
      </c>
      <c r="AC554" t="s">
        <v>12720</v>
      </c>
      <c r="AD554" t="s">
        <v>21685</v>
      </c>
      <c r="AE554" t="s">
        <v>21686</v>
      </c>
      <c r="AF554" t="s">
        <v>21685</v>
      </c>
      <c r="AG554" t="s">
        <v>21687</v>
      </c>
      <c r="AH554" t="s">
        <v>21685</v>
      </c>
      <c r="AI554" t="s">
        <v>102</v>
      </c>
      <c r="AJ554" t="s">
        <v>15141</v>
      </c>
      <c r="AK554" t="s">
        <v>25697</v>
      </c>
      <c r="AL554" t="s">
        <v>21685</v>
      </c>
      <c r="AM554" t="s">
        <v>21685</v>
      </c>
      <c r="AN554" t="s">
        <v>102</v>
      </c>
      <c r="AO554" t="s">
        <v>21688</v>
      </c>
      <c r="AP554" t="s">
        <v>21688</v>
      </c>
      <c r="AU554" t="s">
        <v>102</v>
      </c>
      <c r="AW554" t="s">
        <v>102</v>
      </c>
      <c r="AX554" t="s">
        <v>119</v>
      </c>
      <c r="AY554" t="s">
        <v>170</v>
      </c>
      <c r="AZ554" t="s">
        <v>118</v>
      </c>
      <c r="BB554" t="s">
        <v>120</v>
      </c>
      <c r="BC554" t="s">
        <v>251</v>
      </c>
      <c r="BD554" t="s">
        <v>252</v>
      </c>
      <c r="BE554" t="s">
        <v>122</v>
      </c>
      <c r="BF554" t="s">
        <v>253</v>
      </c>
      <c r="BG554" t="s">
        <v>124</v>
      </c>
      <c r="BH554" t="s">
        <v>12250</v>
      </c>
      <c r="BI554" t="s">
        <v>21667</v>
      </c>
      <c r="BJ554" t="s">
        <v>127</v>
      </c>
      <c r="BK554" t="s">
        <v>21689</v>
      </c>
      <c r="BL554" t="s">
        <v>21690</v>
      </c>
      <c r="BM554" t="s">
        <v>21691</v>
      </c>
      <c r="BN554" t="s">
        <v>11952</v>
      </c>
      <c r="BO554" t="s">
        <v>12453</v>
      </c>
      <c r="BP554" t="s">
        <v>350</v>
      </c>
      <c r="BQ554" t="s">
        <v>12454</v>
      </c>
      <c r="BR554" t="s">
        <v>12455</v>
      </c>
      <c r="BS554" t="s">
        <v>1111</v>
      </c>
      <c r="BT554" t="s">
        <v>1111</v>
      </c>
      <c r="BU554" t="s">
        <v>21692</v>
      </c>
      <c r="BV554" t="s">
        <v>21693</v>
      </c>
      <c r="BW554" t="s">
        <v>354</v>
      </c>
      <c r="BX554" t="s">
        <v>21694</v>
      </c>
      <c r="BY554" t="s">
        <v>21695</v>
      </c>
      <c r="BZ554" t="s">
        <v>21694</v>
      </c>
      <c r="CA554" t="s">
        <v>21693</v>
      </c>
      <c r="CB554" t="s">
        <v>21694</v>
      </c>
      <c r="CC554" t="s">
        <v>21695</v>
      </c>
      <c r="CD554" t="s">
        <v>21693</v>
      </c>
      <c r="CE554" t="s">
        <v>21694</v>
      </c>
      <c r="CF554" t="s">
        <v>21695</v>
      </c>
      <c r="CG554" t="s">
        <v>5207</v>
      </c>
      <c r="CH554" t="s">
        <v>21696</v>
      </c>
      <c r="CJ554" t="s">
        <v>270</v>
      </c>
      <c r="CK554" t="s">
        <v>21696</v>
      </c>
      <c r="CL554" t="s">
        <v>251</v>
      </c>
      <c r="CM554" t="s">
        <v>252</v>
      </c>
      <c r="CN554" t="s">
        <v>270</v>
      </c>
      <c r="CP554" t="s">
        <v>21696</v>
      </c>
      <c r="CQ554" t="s">
        <v>21696</v>
      </c>
    </row>
    <row r="555" spans="1:96" customFormat="1">
      <c r="A555" t="s">
        <v>337</v>
      </c>
      <c r="B555">
        <v>1244461</v>
      </c>
      <c r="C555" s="50"/>
      <c r="D555" t="s">
        <v>21706</v>
      </c>
      <c r="E555" s="50"/>
      <c r="I555" s="50"/>
      <c r="J555" s="51"/>
      <c r="K555" t="s">
        <v>848</v>
      </c>
      <c r="L555">
        <v>464384</v>
      </c>
      <c r="M555">
        <v>547973</v>
      </c>
      <c r="N555">
        <v>0</v>
      </c>
      <c r="O555">
        <v>0</v>
      </c>
      <c r="Q555">
        <v>0</v>
      </c>
      <c r="R555">
        <v>0</v>
      </c>
      <c r="T555">
        <v>464384</v>
      </c>
      <c r="U555">
        <v>387</v>
      </c>
      <c r="V555" t="s">
        <v>880</v>
      </c>
      <c r="W555" t="s">
        <v>102</v>
      </c>
      <c r="X555" t="s">
        <v>103</v>
      </c>
      <c r="Y555" t="s">
        <v>155</v>
      </c>
      <c r="AA555" t="s">
        <v>12713</v>
      </c>
      <c r="AB555" t="s">
        <v>21709</v>
      </c>
      <c r="AC555" t="s">
        <v>21664</v>
      </c>
      <c r="AD555" t="s">
        <v>21709</v>
      </c>
      <c r="AE555" t="s">
        <v>21665</v>
      </c>
      <c r="AF555" t="s">
        <v>21709</v>
      </c>
      <c r="AG555" t="s">
        <v>21710</v>
      </c>
      <c r="AH555" t="s">
        <v>21709</v>
      </c>
      <c r="AI555" t="s">
        <v>102</v>
      </c>
      <c r="AJ555" t="s">
        <v>21711</v>
      </c>
      <c r="AK555" t="s">
        <v>21711</v>
      </c>
      <c r="AL555" t="s">
        <v>21709</v>
      </c>
      <c r="AM555" t="s">
        <v>21709</v>
      </c>
      <c r="AN555" t="s">
        <v>102</v>
      </c>
      <c r="AO555" t="s">
        <v>21712</v>
      </c>
      <c r="AP555" t="s">
        <v>21712</v>
      </c>
      <c r="AU555" t="s">
        <v>102</v>
      </c>
      <c r="AW555" t="s">
        <v>102</v>
      </c>
      <c r="AX555" t="s">
        <v>119</v>
      </c>
      <c r="BA555" t="s">
        <v>250</v>
      </c>
      <c r="BB555" t="s">
        <v>120</v>
      </c>
      <c r="BC555" t="s">
        <v>448</v>
      </c>
      <c r="BD555" t="s">
        <v>449</v>
      </c>
      <c r="BE555" t="s">
        <v>122</v>
      </c>
      <c r="BF555" t="s">
        <v>450</v>
      </c>
      <c r="BG555" t="s">
        <v>124</v>
      </c>
      <c r="BH555" t="s">
        <v>12250</v>
      </c>
      <c r="BI555" t="s">
        <v>21667</v>
      </c>
      <c r="BJ555" t="s">
        <v>127</v>
      </c>
      <c r="BK555" t="s">
        <v>21713</v>
      </c>
      <c r="BL555" t="s">
        <v>21714</v>
      </c>
      <c r="BM555" t="s">
        <v>21715</v>
      </c>
      <c r="BN555" t="s">
        <v>21707</v>
      </c>
      <c r="BO555" t="s">
        <v>131</v>
      </c>
      <c r="BP555" t="s">
        <v>350</v>
      </c>
      <c r="BQ555" t="s">
        <v>133</v>
      </c>
      <c r="BR555" t="s">
        <v>134</v>
      </c>
      <c r="BS555" t="s">
        <v>455</v>
      </c>
      <c r="BU555" t="s">
        <v>21716</v>
      </c>
      <c r="BV555" t="s">
        <v>21717</v>
      </c>
      <c r="BW555" t="s">
        <v>354</v>
      </c>
      <c r="BX555" t="s">
        <v>21718</v>
      </c>
      <c r="BY555" t="s">
        <v>21719</v>
      </c>
      <c r="BZ555" t="s">
        <v>21720</v>
      </c>
      <c r="CA555" t="s">
        <v>21721</v>
      </c>
      <c r="CB555" t="s">
        <v>21722</v>
      </c>
      <c r="CC555" t="s">
        <v>21723</v>
      </c>
      <c r="CD555" t="s">
        <v>21721</v>
      </c>
      <c r="CE555" t="s">
        <v>21722</v>
      </c>
      <c r="CF555" t="s">
        <v>21723</v>
      </c>
      <c r="CG555" t="s">
        <v>14701</v>
      </c>
      <c r="CH555" t="s">
        <v>21724</v>
      </c>
      <c r="CJ555" t="s">
        <v>21725</v>
      </c>
      <c r="CK555" t="s">
        <v>21724</v>
      </c>
      <c r="CL555" t="s">
        <v>448</v>
      </c>
      <c r="CM555" t="s">
        <v>449</v>
      </c>
      <c r="CN555" t="s">
        <v>21725</v>
      </c>
      <c r="CP555" t="s">
        <v>21724</v>
      </c>
      <c r="CQ555" t="s">
        <v>21724</v>
      </c>
    </row>
    <row r="556" spans="1:96" customFormat="1">
      <c r="A556" t="s">
        <v>337</v>
      </c>
      <c r="B556">
        <v>1556044</v>
      </c>
      <c r="C556" s="50"/>
      <c r="D556" t="s">
        <v>23440</v>
      </c>
      <c r="E556" s="50"/>
      <c r="I556" s="50"/>
      <c r="J556" s="51"/>
      <c r="K556" t="s">
        <v>97</v>
      </c>
      <c r="L556">
        <v>233067</v>
      </c>
      <c r="M556">
        <v>233067</v>
      </c>
      <c r="N556">
        <v>233067</v>
      </c>
      <c r="O556">
        <v>333</v>
      </c>
      <c r="P556" t="s">
        <v>799</v>
      </c>
      <c r="Q556">
        <v>0</v>
      </c>
      <c r="R556">
        <v>0</v>
      </c>
      <c r="T556">
        <v>0</v>
      </c>
      <c r="U556">
        <v>0</v>
      </c>
      <c r="W556" t="s">
        <v>102</v>
      </c>
      <c r="X556" t="s">
        <v>103</v>
      </c>
      <c r="Y556" t="s">
        <v>155</v>
      </c>
      <c r="AA556" t="s">
        <v>12435</v>
      </c>
      <c r="AB556" t="s">
        <v>23442</v>
      </c>
      <c r="AC556" t="s">
        <v>12720</v>
      </c>
      <c r="AD556" t="s">
        <v>23442</v>
      </c>
      <c r="AE556" t="s">
        <v>22119</v>
      </c>
      <c r="AF556" t="s">
        <v>23442</v>
      </c>
      <c r="AG556" t="s">
        <v>21687</v>
      </c>
      <c r="AH556" t="s">
        <v>23442</v>
      </c>
      <c r="AI556" t="s">
        <v>102</v>
      </c>
      <c r="AJ556" t="s">
        <v>21784</v>
      </c>
      <c r="AK556" t="s">
        <v>21784</v>
      </c>
      <c r="AL556" t="s">
        <v>102</v>
      </c>
      <c r="AM556" t="s">
        <v>2555</v>
      </c>
      <c r="AN556" t="s">
        <v>22120</v>
      </c>
      <c r="AO556" t="s">
        <v>10612</v>
      </c>
      <c r="AP556" t="s">
        <v>10612</v>
      </c>
      <c r="AU556" t="s">
        <v>318</v>
      </c>
      <c r="AV556" t="s">
        <v>118</v>
      </c>
      <c r="AW556" t="s">
        <v>102</v>
      </c>
      <c r="AX556" t="s">
        <v>119</v>
      </c>
      <c r="BB556" t="s">
        <v>120</v>
      </c>
      <c r="BC556" t="s">
        <v>12104</v>
      </c>
      <c r="BD556" t="s">
        <v>1208</v>
      </c>
      <c r="BE556" t="s">
        <v>174</v>
      </c>
      <c r="BF556" t="s">
        <v>1172</v>
      </c>
      <c r="BG556" t="s">
        <v>124</v>
      </c>
      <c r="BH556" t="s">
        <v>12250</v>
      </c>
      <c r="BI556" t="s">
        <v>21667</v>
      </c>
      <c r="BJ556" t="s">
        <v>127</v>
      </c>
      <c r="BK556" t="s">
        <v>23443</v>
      </c>
      <c r="BL556" t="s">
        <v>23444</v>
      </c>
      <c r="BM556" t="s">
        <v>23445</v>
      </c>
      <c r="BN556" t="s">
        <v>13245</v>
      </c>
      <c r="BO556" t="s">
        <v>7512</v>
      </c>
      <c r="BP556" t="s">
        <v>180</v>
      </c>
      <c r="BQ556" t="s">
        <v>7513</v>
      </c>
      <c r="BR556" t="s">
        <v>7514</v>
      </c>
      <c r="BS556" t="s">
        <v>7515</v>
      </c>
      <c r="BU556" t="s">
        <v>23446</v>
      </c>
      <c r="BV556" t="s">
        <v>22126</v>
      </c>
      <c r="BW556" t="s">
        <v>138</v>
      </c>
      <c r="BX556" t="s">
        <v>23447</v>
      </c>
      <c r="BY556" t="s">
        <v>22128</v>
      </c>
      <c r="BZ556" t="s">
        <v>23448</v>
      </c>
      <c r="CA556" t="s">
        <v>22129</v>
      </c>
      <c r="CB556" t="s">
        <v>23447</v>
      </c>
      <c r="CC556" t="s">
        <v>22128</v>
      </c>
      <c r="CD556" t="s">
        <v>22129</v>
      </c>
      <c r="CE556" t="s">
        <v>23447</v>
      </c>
      <c r="CF556" t="s">
        <v>22128</v>
      </c>
      <c r="CG556" t="s">
        <v>20469</v>
      </c>
      <c r="CH556" t="s">
        <v>23449</v>
      </c>
      <c r="CJ556" t="s">
        <v>23450</v>
      </c>
      <c r="CK556" t="s">
        <v>23449</v>
      </c>
      <c r="CL556" t="s">
        <v>12104</v>
      </c>
      <c r="CM556" t="s">
        <v>1208</v>
      </c>
      <c r="CN556" t="s">
        <v>23450</v>
      </c>
      <c r="CP556" t="s">
        <v>12104</v>
      </c>
      <c r="CQ556" t="s">
        <v>12104</v>
      </c>
    </row>
    <row r="557" spans="1:96" customFormat="1">
      <c r="A557" t="s">
        <v>337</v>
      </c>
      <c r="B557">
        <v>1740931</v>
      </c>
      <c r="C557" s="50"/>
      <c r="D557" t="s">
        <v>24080</v>
      </c>
      <c r="E557" s="50"/>
      <c r="I557" s="50"/>
      <c r="J557" s="51"/>
      <c r="K557" t="s">
        <v>97</v>
      </c>
      <c r="L557">
        <v>0</v>
      </c>
      <c r="M557">
        <v>0</v>
      </c>
      <c r="N557">
        <v>0</v>
      </c>
      <c r="O557">
        <v>330</v>
      </c>
      <c r="P557" t="s">
        <v>102</v>
      </c>
      <c r="Q557">
        <v>0</v>
      </c>
      <c r="R557">
        <v>0</v>
      </c>
      <c r="T557">
        <v>0</v>
      </c>
      <c r="U557">
        <v>0</v>
      </c>
      <c r="W557" t="s">
        <v>102</v>
      </c>
      <c r="X557" t="s">
        <v>275</v>
      </c>
      <c r="Z557" t="s">
        <v>14400</v>
      </c>
      <c r="AA557" t="s">
        <v>109</v>
      </c>
      <c r="AB557" t="s">
        <v>102</v>
      </c>
      <c r="AC557" t="s">
        <v>109</v>
      </c>
      <c r="AD557" t="s">
        <v>102</v>
      </c>
      <c r="AE557" t="s">
        <v>109</v>
      </c>
      <c r="AF557" t="s">
        <v>102</v>
      </c>
      <c r="AG557" t="s">
        <v>109</v>
      </c>
      <c r="AH557" t="s">
        <v>102</v>
      </c>
      <c r="AI557" t="s">
        <v>102</v>
      </c>
      <c r="AL557" t="s">
        <v>102</v>
      </c>
      <c r="AM557" t="s">
        <v>102</v>
      </c>
      <c r="AN557" t="s">
        <v>102</v>
      </c>
      <c r="AO557" t="s">
        <v>115</v>
      </c>
      <c r="AP557" t="s">
        <v>115</v>
      </c>
      <c r="AU557" t="s">
        <v>318</v>
      </c>
      <c r="AV557" t="s">
        <v>118</v>
      </c>
      <c r="AW557" t="s">
        <v>102</v>
      </c>
      <c r="AX557" t="s">
        <v>119</v>
      </c>
      <c r="BB557" t="s">
        <v>120</v>
      </c>
      <c r="BC557" t="s">
        <v>8527</v>
      </c>
      <c r="BD557" t="s">
        <v>1244</v>
      </c>
      <c r="BE557" t="s">
        <v>122</v>
      </c>
      <c r="BF557" t="s">
        <v>1244</v>
      </c>
      <c r="BG557" t="s">
        <v>124</v>
      </c>
      <c r="BH557" t="s">
        <v>12250</v>
      </c>
      <c r="BI557" t="s">
        <v>21667</v>
      </c>
      <c r="BJ557" t="s">
        <v>127</v>
      </c>
      <c r="BK557" t="s">
        <v>24082</v>
      </c>
      <c r="BL557" t="s">
        <v>24083</v>
      </c>
      <c r="BM557" t="s">
        <v>24084</v>
      </c>
      <c r="BN557" t="s">
        <v>14400</v>
      </c>
      <c r="BO557" t="s">
        <v>19163</v>
      </c>
      <c r="BP557" t="s">
        <v>350</v>
      </c>
      <c r="BQ557" t="s">
        <v>19164</v>
      </c>
      <c r="BR557" t="s">
        <v>19165</v>
      </c>
      <c r="BS557" t="s">
        <v>24085</v>
      </c>
      <c r="BT557" t="s">
        <v>5574</v>
      </c>
      <c r="BU557" t="s">
        <v>24086</v>
      </c>
      <c r="BV557" t="s">
        <v>24087</v>
      </c>
      <c r="BW557" t="s">
        <v>138</v>
      </c>
      <c r="BX557" t="s">
        <v>225</v>
      </c>
      <c r="BY557" t="s">
        <v>24088</v>
      </c>
      <c r="BZ557" t="s">
        <v>24089</v>
      </c>
      <c r="CA557" t="s">
        <v>24087</v>
      </c>
      <c r="CB557" t="s">
        <v>24090</v>
      </c>
      <c r="CC557" t="s">
        <v>24088</v>
      </c>
      <c r="CD557" t="s">
        <v>24087</v>
      </c>
      <c r="CE557" t="s">
        <v>24090</v>
      </c>
      <c r="CF557" t="s">
        <v>24088</v>
      </c>
      <c r="CG557" t="s">
        <v>24091</v>
      </c>
      <c r="CH557" t="s">
        <v>24092</v>
      </c>
      <c r="CJ557" t="s">
        <v>17914</v>
      </c>
      <c r="CK557" t="s">
        <v>24092</v>
      </c>
      <c r="CL557" t="s">
        <v>8527</v>
      </c>
      <c r="CM557" t="s">
        <v>1244</v>
      </c>
      <c r="CN557" t="s">
        <v>17914</v>
      </c>
      <c r="CP557" t="s">
        <v>24093</v>
      </c>
      <c r="CQ557" t="s">
        <v>24093</v>
      </c>
    </row>
    <row r="558" spans="1:96" customFormat="1">
      <c r="A558" t="s">
        <v>337</v>
      </c>
      <c r="B558">
        <v>1826430</v>
      </c>
      <c r="C558" s="50"/>
      <c r="D558" t="s">
        <v>24957</v>
      </c>
      <c r="E558" s="50"/>
      <c r="I558" s="50"/>
      <c r="J558" s="51"/>
      <c r="K558" t="s">
        <v>848</v>
      </c>
      <c r="L558">
        <v>114435</v>
      </c>
      <c r="M558">
        <v>135033</v>
      </c>
      <c r="N558">
        <v>0</v>
      </c>
      <c r="O558">
        <v>0</v>
      </c>
      <c r="Q558">
        <v>0</v>
      </c>
      <c r="R558">
        <v>0</v>
      </c>
      <c r="T558">
        <v>114435</v>
      </c>
      <c r="U558">
        <v>225</v>
      </c>
      <c r="V558" t="s">
        <v>196</v>
      </c>
      <c r="W558" t="s">
        <v>102</v>
      </c>
      <c r="X558" t="s">
        <v>103</v>
      </c>
      <c r="Y558" t="s">
        <v>104</v>
      </c>
      <c r="AA558" t="s">
        <v>22459</v>
      </c>
      <c r="AB558" t="s">
        <v>24959</v>
      </c>
      <c r="AC558" t="s">
        <v>21828</v>
      </c>
      <c r="AD558" t="s">
        <v>24959</v>
      </c>
      <c r="AE558" t="s">
        <v>109</v>
      </c>
      <c r="AF558" t="s">
        <v>102</v>
      </c>
      <c r="AG558" t="s">
        <v>109</v>
      </c>
      <c r="AH558" t="s">
        <v>102</v>
      </c>
      <c r="AI558" t="s">
        <v>102</v>
      </c>
      <c r="AL558" t="s">
        <v>102</v>
      </c>
      <c r="AM558" t="s">
        <v>102</v>
      </c>
      <c r="AN558" t="s">
        <v>102</v>
      </c>
      <c r="AO558" t="s">
        <v>20895</v>
      </c>
      <c r="AP558" t="s">
        <v>20895</v>
      </c>
      <c r="AU558" t="s">
        <v>102</v>
      </c>
      <c r="AW558" t="s">
        <v>102</v>
      </c>
      <c r="AX558" t="s">
        <v>119</v>
      </c>
      <c r="BA558" t="s">
        <v>250</v>
      </c>
      <c r="BB558" t="s">
        <v>120</v>
      </c>
      <c r="BC558" t="s">
        <v>24960</v>
      </c>
      <c r="BD558" t="s">
        <v>376</v>
      </c>
      <c r="BE558" t="s">
        <v>174</v>
      </c>
      <c r="BF558" t="s">
        <v>376</v>
      </c>
      <c r="BG558" t="s">
        <v>124</v>
      </c>
      <c r="BH558" t="s">
        <v>12250</v>
      </c>
      <c r="BI558" t="s">
        <v>21667</v>
      </c>
      <c r="BJ558" t="s">
        <v>127</v>
      </c>
      <c r="BK558" t="s">
        <v>24961</v>
      </c>
      <c r="BL558" t="s">
        <v>24962</v>
      </c>
      <c r="BM558" t="s">
        <v>24963</v>
      </c>
      <c r="BN558" t="s">
        <v>15028</v>
      </c>
      <c r="BO558" t="s">
        <v>13780</v>
      </c>
      <c r="BP558" t="s">
        <v>180</v>
      </c>
      <c r="BQ558" t="s">
        <v>13781</v>
      </c>
      <c r="BR558" t="s">
        <v>13782</v>
      </c>
      <c r="BS558" t="s">
        <v>13783</v>
      </c>
      <c r="BU558" t="s">
        <v>24964</v>
      </c>
      <c r="BV558" t="s">
        <v>24965</v>
      </c>
      <c r="BW558" t="s">
        <v>138</v>
      </c>
      <c r="BX558" t="s">
        <v>24966</v>
      </c>
      <c r="BY558" t="s">
        <v>24967</v>
      </c>
      <c r="BZ558" t="s">
        <v>24966</v>
      </c>
      <c r="CA558" t="s">
        <v>24968</v>
      </c>
      <c r="CB558" t="s">
        <v>24969</v>
      </c>
      <c r="CC558" t="s">
        <v>24967</v>
      </c>
      <c r="CD558" t="s">
        <v>24968</v>
      </c>
      <c r="CE558" t="s">
        <v>24969</v>
      </c>
      <c r="CF558" t="s">
        <v>24967</v>
      </c>
      <c r="CG558" t="s">
        <v>6370</v>
      </c>
      <c r="CH558" t="s">
        <v>24970</v>
      </c>
      <c r="CJ558" t="s">
        <v>24971</v>
      </c>
      <c r="CK558" t="s">
        <v>24970</v>
      </c>
      <c r="CL558" t="s">
        <v>24960</v>
      </c>
      <c r="CM558" t="s">
        <v>376</v>
      </c>
      <c r="CN558" t="s">
        <v>24971</v>
      </c>
      <c r="CP558" t="s">
        <v>24972</v>
      </c>
      <c r="CQ558" t="s">
        <v>24972</v>
      </c>
    </row>
    <row r="559" spans="1:96" customFormat="1">
      <c r="A559" t="s">
        <v>337</v>
      </c>
      <c r="B559">
        <v>1884049</v>
      </c>
      <c r="C559" s="50"/>
      <c r="D559" t="s">
        <v>21822</v>
      </c>
      <c r="E559" s="50"/>
      <c r="I559" s="50"/>
      <c r="J559" s="51"/>
      <c r="K559" t="s">
        <v>848</v>
      </c>
      <c r="L559">
        <v>718419</v>
      </c>
      <c r="M559">
        <v>847734</v>
      </c>
      <c r="N559">
        <v>0</v>
      </c>
      <c r="O559">
        <v>0</v>
      </c>
      <c r="Q559">
        <v>0</v>
      </c>
      <c r="R559">
        <v>0</v>
      </c>
      <c r="T559">
        <v>718419</v>
      </c>
      <c r="U559">
        <v>705</v>
      </c>
      <c r="V559" t="s">
        <v>21824</v>
      </c>
      <c r="W559" t="s">
        <v>102</v>
      </c>
      <c r="X559" t="s">
        <v>103</v>
      </c>
      <c r="Y559" t="s">
        <v>398</v>
      </c>
      <c r="AA559" t="s">
        <v>12250</v>
      </c>
      <c r="AB559" t="s">
        <v>21825</v>
      </c>
      <c r="AC559" t="s">
        <v>21826</v>
      </c>
      <c r="AD559" t="s">
        <v>21827</v>
      </c>
      <c r="AE559" t="s">
        <v>21828</v>
      </c>
      <c r="AF559" t="s">
        <v>21827</v>
      </c>
      <c r="AG559" t="s">
        <v>109</v>
      </c>
      <c r="AH559" t="s">
        <v>102</v>
      </c>
      <c r="AI559" t="s">
        <v>102</v>
      </c>
      <c r="AJ559" t="s">
        <v>13725</v>
      </c>
      <c r="AK559" t="s">
        <v>13725</v>
      </c>
      <c r="AL559" t="s">
        <v>21825</v>
      </c>
      <c r="AM559" t="s">
        <v>9607</v>
      </c>
      <c r="AN559" t="s">
        <v>24122</v>
      </c>
      <c r="AO559" t="s">
        <v>21829</v>
      </c>
      <c r="AP559" t="s">
        <v>21829</v>
      </c>
      <c r="AU559" t="s">
        <v>102</v>
      </c>
      <c r="AW559" t="s">
        <v>102</v>
      </c>
      <c r="AX559" t="s">
        <v>119</v>
      </c>
      <c r="BA559" t="s">
        <v>250</v>
      </c>
      <c r="BB559" t="s">
        <v>120</v>
      </c>
      <c r="BC559" t="s">
        <v>21830</v>
      </c>
      <c r="BD559" t="s">
        <v>1208</v>
      </c>
      <c r="BE559" t="s">
        <v>174</v>
      </c>
      <c r="BF559" t="s">
        <v>1172</v>
      </c>
      <c r="BG559" t="s">
        <v>124</v>
      </c>
      <c r="BH559" t="s">
        <v>12250</v>
      </c>
      <c r="BI559" t="s">
        <v>21667</v>
      </c>
      <c r="BJ559" t="s">
        <v>127</v>
      </c>
      <c r="BK559" t="s">
        <v>21831</v>
      </c>
      <c r="BL559" t="s">
        <v>21832</v>
      </c>
      <c r="BM559" t="s">
        <v>21833</v>
      </c>
      <c r="BN559" t="s">
        <v>13110</v>
      </c>
      <c r="BO559" t="s">
        <v>1212</v>
      </c>
      <c r="BP559" t="s">
        <v>180</v>
      </c>
      <c r="BQ559" t="s">
        <v>1213</v>
      </c>
      <c r="BR559" t="s">
        <v>1214</v>
      </c>
      <c r="BS559" t="s">
        <v>7515</v>
      </c>
      <c r="BU559" t="s">
        <v>21834</v>
      </c>
      <c r="BV559" t="s">
        <v>21835</v>
      </c>
      <c r="BW559" t="s">
        <v>354</v>
      </c>
      <c r="BX559" t="s">
        <v>21836</v>
      </c>
      <c r="BY559" t="s">
        <v>21837</v>
      </c>
      <c r="BZ559" t="s">
        <v>23453</v>
      </c>
      <c r="CA559" t="s">
        <v>21838</v>
      </c>
      <c r="CB559" t="s">
        <v>21836</v>
      </c>
      <c r="CC559" t="s">
        <v>21837</v>
      </c>
      <c r="CD559" t="s">
        <v>21838</v>
      </c>
      <c r="CE559" t="s">
        <v>21836</v>
      </c>
      <c r="CF559" t="s">
        <v>21837</v>
      </c>
      <c r="CG559" t="s">
        <v>15511</v>
      </c>
      <c r="CH559" t="s">
        <v>21822</v>
      </c>
      <c r="CJ559" t="s">
        <v>21839</v>
      </c>
      <c r="CK559" t="s">
        <v>21822</v>
      </c>
      <c r="CL559" t="s">
        <v>21830</v>
      </c>
      <c r="CM559" t="s">
        <v>1208</v>
      </c>
      <c r="CN559" t="s">
        <v>21839</v>
      </c>
      <c r="CP559" t="s">
        <v>21840</v>
      </c>
      <c r="CQ559" t="s">
        <v>21840</v>
      </c>
    </row>
    <row r="560" spans="1:96" customFormat="1">
      <c r="A560" t="s">
        <v>337</v>
      </c>
      <c r="B560">
        <v>199955</v>
      </c>
      <c r="C560" s="50"/>
      <c r="D560" t="s">
        <v>24123</v>
      </c>
      <c r="E560" s="50"/>
      <c r="I560" s="50"/>
      <c r="J560" s="51"/>
      <c r="K560" t="s">
        <v>643</v>
      </c>
      <c r="L560">
        <v>683689</v>
      </c>
      <c r="M560">
        <v>752326</v>
      </c>
      <c r="N560">
        <v>0</v>
      </c>
      <c r="O560">
        <v>0</v>
      </c>
      <c r="Q560">
        <v>302375</v>
      </c>
      <c r="R560">
        <v>180</v>
      </c>
      <c r="S560" t="s">
        <v>12097</v>
      </c>
      <c r="T560">
        <v>381314</v>
      </c>
      <c r="U560">
        <v>180</v>
      </c>
      <c r="V560" t="s">
        <v>24126</v>
      </c>
      <c r="W560" t="s">
        <v>102</v>
      </c>
      <c r="X560" t="s">
        <v>103</v>
      </c>
      <c r="Y560" t="s">
        <v>5317</v>
      </c>
      <c r="AA560" t="s">
        <v>24127</v>
      </c>
      <c r="AB560" t="s">
        <v>24128</v>
      </c>
      <c r="AC560" t="s">
        <v>24129</v>
      </c>
      <c r="AD560" t="s">
        <v>24130</v>
      </c>
      <c r="AE560" t="s">
        <v>21742</v>
      </c>
      <c r="AF560" t="s">
        <v>24131</v>
      </c>
      <c r="AG560" t="s">
        <v>109</v>
      </c>
      <c r="AH560" t="s">
        <v>102</v>
      </c>
      <c r="AI560" t="s">
        <v>102</v>
      </c>
      <c r="AJ560" t="s">
        <v>14161</v>
      </c>
      <c r="AK560" t="s">
        <v>14161</v>
      </c>
      <c r="AL560" t="s">
        <v>24128</v>
      </c>
      <c r="AM560" t="s">
        <v>24132</v>
      </c>
      <c r="AN560" t="s">
        <v>24133</v>
      </c>
      <c r="AO560" t="s">
        <v>24134</v>
      </c>
      <c r="AP560" t="s">
        <v>24134</v>
      </c>
      <c r="AU560" t="s">
        <v>102</v>
      </c>
      <c r="AW560" t="s">
        <v>655</v>
      </c>
      <c r="AX560" t="s">
        <v>119</v>
      </c>
      <c r="AY560" t="s">
        <v>170</v>
      </c>
      <c r="AZ560" t="s">
        <v>118</v>
      </c>
      <c r="BA560" t="s">
        <v>250</v>
      </c>
      <c r="BB560" t="s">
        <v>1242</v>
      </c>
      <c r="BC560" t="s">
        <v>623</v>
      </c>
      <c r="BD560" t="s">
        <v>621</v>
      </c>
      <c r="BE560" t="s">
        <v>622</v>
      </c>
      <c r="BF560" t="s">
        <v>623</v>
      </c>
      <c r="BG560" t="s">
        <v>124</v>
      </c>
      <c r="BH560" t="s">
        <v>21123</v>
      </c>
      <c r="BI560" t="s">
        <v>24135</v>
      </c>
      <c r="BJ560" t="s">
        <v>127</v>
      </c>
      <c r="BK560" t="s">
        <v>24136</v>
      </c>
      <c r="BL560" t="s">
        <v>24137</v>
      </c>
      <c r="BM560" t="s">
        <v>24138</v>
      </c>
      <c r="BN560" t="s">
        <v>24124</v>
      </c>
      <c r="BO560" t="s">
        <v>2284</v>
      </c>
      <c r="BP560" t="s">
        <v>505</v>
      </c>
      <c r="BQ560" t="s">
        <v>2285</v>
      </c>
      <c r="BR560" t="s">
        <v>2286</v>
      </c>
      <c r="BS560" t="s">
        <v>1342</v>
      </c>
      <c r="BT560" t="s">
        <v>632</v>
      </c>
      <c r="BU560" t="s">
        <v>24139</v>
      </c>
      <c r="BV560" t="s">
        <v>24140</v>
      </c>
      <c r="BW560" t="s">
        <v>354</v>
      </c>
      <c r="BX560" t="s">
        <v>24141</v>
      </c>
      <c r="BY560" t="s">
        <v>24142</v>
      </c>
      <c r="BZ560" t="s">
        <v>24143</v>
      </c>
      <c r="CA560" t="s">
        <v>24144</v>
      </c>
      <c r="CB560" t="s">
        <v>24145</v>
      </c>
      <c r="CC560" t="s">
        <v>24146</v>
      </c>
      <c r="CD560" t="s">
        <v>24144</v>
      </c>
      <c r="CE560" t="s">
        <v>24145</v>
      </c>
      <c r="CF560" t="s">
        <v>24146</v>
      </c>
      <c r="CG560" t="s">
        <v>24147</v>
      </c>
      <c r="CH560" t="s">
        <v>24148</v>
      </c>
      <c r="CJ560" t="s">
        <v>24149</v>
      </c>
      <c r="CK560" t="s">
        <v>24148</v>
      </c>
      <c r="CL560" t="s">
        <v>623</v>
      </c>
      <c r="CM560" t="s">
        <v>621</v>
      </c>
      <c r="CN560" t="s">
        <v>24149</v>
      </c>
      <c r="CP560" t="s">
        <v>24148</v>
      </c>
      <c r="CQ560" t="s">
        <v>24148</v>
      </c>
    </row>
    <row r="561" spans="1:95" customFormat="1">
      <c r="A561" t="s">
        <v>26356</v>
      </c>
      <c r="B561">
        <v>2271541</v>
      </c>
      <c r="C561" s="50"/>
      <c r="D561" t="s">
        <v>24987</v>
      </c>
      <c r="E561" s="50"/>
      <c r="I561" s="50"/>
      <c r="J561" s="51"/>
      <c r="K561" t="s">
        <v>848</v>
      </c>
      <c r="L561">
        <v>519791</v>
      </c>
      <c r="M561">
        <v>613353</v>
      </c>
      <c r="N561">
        <v>0</v>
      </c>
      <c r="O561">
        <v>0</v>
      </c>
      <c r="Q561">
        <v>0</v>
      </c>
      <c r="R561">
        <v>0</v>
      </c>
      <c r="T561">
        <v>519791</v>
      </c>
      <c r="U561">
        <v>1022</v>
      </c>
      <c r="V561" t="s">
        <v>196</v>
      </c>
      <c r="W561" t="s">
        <v>102</v>
      </c>
      <c r="X561" t="s">
        <v>103</v>
      </c>
      <c r="Y561" t="s">
        <v>104</v>
      </c>
      <c r="AA561" t="s">
        <v>22459</v>
      </c>
      <c r="AB561" t="s">
        <v>24989</v>
      </c>
      <c r="AC561" t="s">
        <v>21828</v>
      </c>
      <c r="AD561" t="s">
        <v>24989</v>
      </c>
      <c r="AE561" t="s">
        <v>109</v>
      </c>
      <c r="AF561" t="s">
        <v>102</v>
      </c>
      <c r="AG561" t="s">
        <v>109</v>
      </c>
      <c r="AH561" t="s">
        <v>102</v>
      </c>
      <c r="AI561" t="s">
        <v>102</v>
      </c>
      <c r="AJ561" t="s">
        <v>20476</v>
      </c>
      <c r="AK561" t="s">
        <v>20476</v>
      </c>
      <c r="AL561" t="s">
        <v>102</v>
      </c>
      <c r="AM561" t="s">
        <v>13597</v>
      </c>
      <c r="AN561" t="s">
        <v>24990</v>
      </c>
      <c r="AO561" t="s">
        <v>20895</v>
      </c>
      <c r="AP561" t="s">
        <v>20895</v>
      </c>
      <c r="AU561" t="s">
        <v>102</v>
      </c>
      <c r="AW561" t="s">
        <v>102</v>
      </c>
      <c r="AX561" t="s">
        <v>119</v>
      </c>
      <c r="BA561" t="s">
        <v>250</v>
      </c>
      <c r="BB561" t="s">
        <v>120</v>
      </c>
      <c r="BC561" t="s">
        <v>24991</v>
      </c>
      <c r="BD561" t="s">
        <v>376</v>
      </c>
      <c r="BE561" t="s">
        <v>174</v>
      </c>
      <c r="BF561" t="s">
        <v>376</v>
      </c>
      <c r="BG561" t="s">
        <v>124</v>
      </c>
      <c r="BH561" t="s">
        <v>12250</v>
      </c>
      <c r="BI561" t="s">
        <v>21667</v>
      </c>
      <c r="BJ561" t="s">
        <v>127</v>
      </c>
      <c r="BK561" t="s">
        <v>24992</v>
      </c>
      <c r="BL561" t="s">
        <v>24993</v>
      </c>
      <c r="BM561" t="s">
        <v>24994</v>
      </c>
      <c r="BN561" t="s">
        <v>15028</v>
      </c>
      <c r="BO561" t="s">
        <v>13780</v>
      </c>
      <c r="BP561" t="s">
        <v>180</v>
      </c>
      <c r="BQ561" t="s">
        <v>13781</v>
      </c>
      <c r="BR561" t="s">
        <v>13782</v>
      </c>
      <c r="BS561" t="s">
        <v>13783</v>
      </c>
      <c r="BU561" t="s">
        <v>24995</v>
      </c>
      <c r="BV561" t="s">
        <v>24996</v>
      </c>
      <c r="BW561" t="s">
        <v>138</v>
      </c>
      <c r="BX561" t="s">
        <v>24997</v>
      </c>
      <c r="BY561" t="s">
        <v>24998</v>
      </c>
      <c r="BZ561" t="s">
        <v>24999</v>
      </c>
      <c r="CA561" t="s">
        <v>25000</v>
      </c>
      <c r="CB561" t="s">
        <v>24997</v>
      </c>
      <c r="CC561" t="s">
        <v>24998</v>
      </c>
      <c r="CD561" t="s">
        <v>25000</v>
      </c>
      <c r="CE561" t="s">
        <v>24997</v>
      </c>
      <c r="CF561" t="s">
        <v>24998</v>
      </c>
      <c r="CG561" t="s">
        <v>358</v>
      </c>
      <c r="CH561" t="s">
        <v>25001</v>
      </c>
      <c r="CJ561" t="s">
        <v>25002</v>
      </c>
      <c r="CK561" t="s">
        <v>25003</v>
      </c>
      <c r="CL561" t="s">
        <v>24991</v>
      </c>
      <c r="CM561" t="s">
        <v>376</v>
      </c>
      <c r="CN561" t="s">
        <v>25002</v>
      </c>
      <c r="CP561" t="s">
        <v>25004</v>
      </c>
      <c r="CQ561" t="s">
        <v>25004</v>
      </c>
    </row>
    <row r="562" spans="1:95" customFormat="1">
      <c r="A562" t="s">
        <v>26356</v>
      </c>
      <c r="B562">
        <v>2271943</v>
      </c>
      <c r="C562" s="50"/>
      <c r="D562" t="s">
        <v>25005</v>
      </c>
      <c r="E562" s="50"/>
      <c r="I562" s="50"/>
      <c r="J562" s="51"/>
      <c r="K562" t="s">
        <v>848</v>
      </c>
      <c r="L562">
        <v>342798</v>
      </c>
      <c r="M562">
        <v>404502</v>
      </c>
      <c r="N562">
        <v>0</v>
      </c>
      <c r="O562">
        <v>0</v>
      </c>
      <c r="Q562">
        <v>0</v>
      </c>
      <c r="R562">
        <v>0</v>
      </c>
      <c r="T562">
        <v>342798</v>
      </c>
      <c r="U562">
        <v>674</v>
      </c>
      <c r="V562" t="s">
        <v>196</v>
      </c>
      <c r="W562" t="s">
        <v>102</v>
      </c>
      <c r="X562" t="s">
        <v>103</v>
      </c>
      <c r="Y562" t="s">
        <v>104</v>
      </c>
      <c r="AA562" t="s">
        <v>22459</v>
      </c>
      <c r="AB562" t="s">
        <v>25007</v>
      </c>
      <c r="AC562" t="s">
        <v>21828</v>
      </c>
      <c r="AD562" t="s">
        <v>25007</v>
      </c>
      <c r="AE562" t="s">
        <v>109</v>
      </c>
      <c r="AF562" t="s">
        <v>102</v>
      </c>
      <c r="AG562" t="s">
        <v>109</v>
      </c>
      <c r="AH562" t="s">
        <v>102</v>
      </c>
      <c r="AI562" t="s">
        <v>102</v>
      </c>
      <c r="AJ562" t="s">
        <v>13662</v>
      </c>
      <c r="AK562" t="s">
        <v>13662</v>
      </c>
      <c r="AL562" t="s">
        <v>102</v>
      </c>
      <c r="AM562" t="s">
        <v>13597</v>
      </c>
      <c r="AN562" t="s">
        <v>24990</v>
      </c>
      <c r="AO562" t="s">
        <v>20895</v>
      </c>
      <c r="AP562" t="s">
        <v>20895</v>
      </c>
      <c r="AU562" t="s">
        <v>102</v>
      </c>
      <c r="AW562" t="s">
        <v>102</v>
      </c>
      <c r="AX562" t="s">
        <v>119</v>
      </c>
      <c r="BA562" t="s">
        <v>250</v>
      </c>
      <c r="BB562" t="s">
        <v>120</v>
      </c>
      <c r="BC562" t="s">
        <v>19577</v>
      </c>
      <c r="BD562" t="s">
        <v>376</v>
      </c>
      <c r="BE562" t="s">
        <v>174</v>
      </c>
      <c r="BF562" t="s">
        <v>376</v>
      </c>
      <c r="BG562" t="s">
        <v>124</v>
      </c>
      <c r="BH562" t="s">
        <v>12250</v>
      </c>
      <c r="BI562" t="s">
        <v>21667</v>
      </c>
      <c r="BJ562" t="s">
        <v>127</v>
      </c>
      <c r="BK562" t="s">
        <v>25008</v>
      </c>
      <c r="BL562" t="s">
        <v>25009</v>
      </c>
      <c r="BM562" t="s">
        <v>25010</v>
      </c>
      <c r="BN562" t="s">
        <v>15028</v>
      </c>
      <c r="BO562" t="s">
        <v>13780</v>
      </c>
      <c r="BP562" t="s">
        <v>180</v>
      </c>
      <c r="BQ562" t="s">
        <v>13781</v>
      </c>
      <c r="BR562" t="s">
        <v>13782</v>
      </c>
      <c r="BS562" t="s">
        <v>13783</v>
      </c>
      <c r="BT562" t="s">
        <v>13612</v>
      </c>
      <c r="BU562" t="s">
        <v>25011</v>
      </c>
      <c r="BV562" t="s">
        <v>25012</v>
      </c>
      <c r="BW562" t="s">
        <v>138</v>
      </c>
      <c r="BX562" t="s">
        <v>25013</v>
      </c>
      <c r="BY562" t="s">
        <v>25014</v>
      </c>
      <c r="BZ562" t="s">
        <v>25013</v>
      </c>
      <c r="CA562" t="s">
        <v>25015</v>
      </c>
      <c r="CB562" t="s">
        <v>25016</v>
      </c>
      <c r="CC562" t="s">
        <v>25014</v>
      </c>
      <c r="CD562" t="s">
        <v>25015</v>
      </c>
      <c r="CE562" t="s">
        <v>25016</v>
      </c>
      <c r="CF562" t="s">
        <v>25014</v>
      </c>
      <c r="CG562" t="s">
        <v>6370</v>
      </c>
      <c r="CH562" t="s">
        <v>25017</v>
      </c>
      <c r="CJ562" t="s">
        <v>25018</v>
      </c>
      <c r="CK562" t="s">
        <v>25019</v>
      </c>
      <c r="CL562" t="s">
        <v>19577</v>
      </c>
      <c r="CM562" t="s">
        <v>376</v>
      </c>
      <c r="CN562" t="s">
        <v>25018</v>
      </c>
      <c r="CP562" t="s">
        <v>25020</v>
      </c>
      <c r="CQ562" t="s">
        <v>25020</v>
      </c>
    </row>
    <row r="563" spans="1:95" customFormat="1">
      <c r="A563" t="s">
        <v>337</v>
      </c>
      <c r="B563">
        <v>2401378</v>
      </c>
      <c r="C563" s="50"/>
      <c r="D563" t="s">
        <v>23465</v>
      </c>
      <c r="E563" s="50"/>
      <c r="I563" s="50"/>
      <c r="J563" s="51"/>
      <c r="K563" t="s">
        <v>152</v>
      </c>
      <c r="L563">
        <v>1989675</v>
      </c>
      <c r="M563">
        <v>1989675</v>
      </c>
      <c r="N563">
        <v>0</v>
      </c>
      <c r="O563">
        <v>0</v>
      </c>
      <c r="Q563">
        <v>1989675</v>
      </c>
      <c r="R563">
        <v>882</v>
      </c>
      <c r="S563" t="s">
        <v>13724</v>
      </c>
      <c r="T563">
        <v>0</v>
      </c>
      <c r="U563">
        <v>0</v>
      </c>
      <c r="W563" t="s">
        <v>102</v>
      </c>
      <c r="X563" t="s">
        <v>103</v>
      </c>
      <c r="Y563" t="s">
        <v>155</v>
      </c>
      <c r="AA563" t="s">
        <v>13662</v>
      </c>
      <c r="AB563" t="s">
        <v>23468</v>
      </c>
      <c r="AC563" t="s">
        <v>22645</v>
      </c>
      <c r="AD563" t="s">
        <v>23468</v>
      </c>
      <c r="AE563" t="s">
        <v>22312</v>
      </c>
      <c r="AF563" t="s">
        <v>23468</v>
      </c>
      <c r="AG563" t="s">
        <v>22104</v>
      </c>
      <c r="AH563" t="s">
        <v>23468</v>
      </c>
      <c r="AI563" t="s">
        <v>102</v>
      </c>
      <c r="AJ563" t="s">
        <v>21784</v>
      </c>
      <c r="AK563" t="s">
        <v>21784</v>
      </c>
      <c r="AL563" t="s">
        <v>23468</v>
      </c>
      <c r="AM563" t="s">
        <v>23468</v>
      </c>
      <c r="AN563" t="s">
        <v>102</v>
      </c>
      <c r="AO563" t="s">
        <v>13206</v>
      </c>
      <c r="AP563" t="s">
        <v>13206</v>
      </c>
      <c r="AU563" t="s">
        <v>102</v>
      </c>
      <c r="AW563" t="s">
        <v>155</v>
      </c>
      <c r="AX563" t="s">
        <v>447</v>
      </c>
      <c r="AY563" t="s">
        <v>170</v>
      </c>
      <c r="AZ563" t="s">
        <v>118</v>
      </c>
      <c r="BB563" t="s">
        <v>171</v>
      </c>
      <c r="BC563" t="s">
        <v>4216</v>
      </c>
      <c r="BD563" t="s">
        <v>556</v>
      </c>
      <c r="BE563" t="s">
        <v>122</v>
      </c>
      <c r="BF563" t="s">
        <v>557</v>
      </c>
      <c r="BG563" t="s">
        <v>124</v>
      </c>
      <c r="BH563" t="s">
        <v>12250</v>
      </c>
      <c r="BI563" t="s">
        <v>21667</v>
      </c>
      <c r="BJ563" t="s">
        <v>127</v>
      </c>
      <c r="BK563" t="s">
        <v>23469</v>
      </c>
      <c r="BL563" t="s">
        <v>23470</v>
      </c>
      <c r="BM563" t="s">
        <v>23471</v>
      </c>
      <c r="BN563" t="s">
        <v>23466</v>
      </c>
      <c r="BO563" t="s">
        <v>1071</v>
      </c>
      <c r="BP563" t="s">
        <v>350</v>
      </c>
      <c r="BQ563" t="s">
        <v>1072</v>
      </c>
      <c r="BR563" t="s">
        <v>1073</v>
      </c>
      <c r="BS563" t="s">
        <v>1074</v>
      </c>
      <c r="BT563" t="s">
        <v>2332</v>
      </c>
      <c r="BU563" t="s">
        <v>23472</v>
      </c>
      <c r="BV563" t="s">
        <v>23473</v>
      </c>
      <c r="BW563" t="s">
        <v>138</v>
      </c>
      <c r="BX563" t="s">
        <v>23474</v>
      </c>
      <c r="BY563" t="s">
        <v>23475</v>
      </c>
      <c r="BZ563" t="s">
        <v>23476</v>
      </c>
      <c r="CA563" t="s">
        <v>23477</v>
      </c>
      <c r="CB563" t="s">
        <v>23474</v>
      </c>
      <c r="CC563" t="s">
        <v>23475</v>
      </c>
      <c r="CD563" t="s">
        <v>23477</v>
      </c>
      <c r="CE563" t="s">
        <v>23474</v>
      </c>
      <c r="CF563" t="s">
        <v>23475</v>
      </c>
      <c r="CG563" t="s">
        <v>23478</v>
      </c>
      <c r="CH563" t="s">
        <v>23479</v>
      </c>
      <c r="CJ563" t="s">
        <v>4230</v>
      </c>
      <c r="CK563" t="s">
        <v>23479</v>
      </c>
      <c r="CL563" t="s">
        <v>4216</v>
      </c>
      <c r="CM563" t="s">
        <v>556</v>
      </c>
      <c r="CN563" t="s">
        <v>4230</v>
      </c>
      <c r="CP563" t="s">
        <v>23480</v>
      </c>
      <c r="CQ563" t="s">
        <v>23480</v>
      </c>
    </row>
    <row r="564" spans="1:95" customFormat="1">
      <c r="A564" t="s">
        <v>26356</v>
      </c>
      <c r="B564">
        <v>2403448</v>
      </c>
      <c r="C564" s="50"/>
      <c r="D564" t="s">
        <v>21899</v>
      </c>
      <c r="E564" s="50"/>
      <c r="I564" s="50"/>
      <c r="J564" s="51"/>
      <c r="K564" t="s">
        <v>97</v>
      </c>
      <c r="L564">
        <v>439800</v>
      </c>
      <c r="M564">
        <v>439800</v>
      </c>
      <c r="N564">
        <v>439800</v>
      </c>
      <c r="O564">
        <v>733</v>
      </c>
      <c r="P564" t="s">
        <v>310</v>
      </c>
      <c r="Q564">
        <v>0</v>
      </c>
      <c r="R564">
        <v>0</v>
      </c>
      <c r="T564">
        <v>0</v>
      </c>
      <c r="U564">
        <v>0</v>
      </c>
      <c r="W564" t="s">
        <v>102</v>
      </c>
      <c r="X564" t="s">
        <v>103</v>
      </c>
      <c r="Y564" t="s">
        <v>104</v>
      </c>
      <c r="AA564" t="s">
        <v>12086</v>
      </c>
      <c r="AB564" t="s">
        <v>21901</v>
      </c>
      <c r="AC564" t="s">
        <v>21762</v>
      </c>
      <c r="AD564" t="s">
        <v>21901</v>
      </c>
      <c r="AE564" t="s">
        <v>109</v>
      </c>
      <c r="AF564" t="s">
        <v>102</v>
      </c>
      <c r="AG564" t="s">
        <v>109</v>
      </c>
      <c r="AH564" t="s">
        <v>102</v>
      </c>
      <c r="AI564" t="s">
        <v>24191</v>
      </c>
      <c r="AJ564" t="s">
        <v>23756</v>
      </c>
      <c r="AK564" t="s">
        <v>23756</v>
      </c>
      <c r="AL564" t="s">
        <v>21901</v>
      </c>
      <c r="AM564" t="s">
        <v>24192</v>
      </c>
      <c r="AN564" t="s">
        <v>24193</v>
      </c>
      <c r="AO564" t="s">
        <v>317</v>
      </c>
      <c r="AP564" t="s">
        <v>317</v>
      </c>
      <c r="AU564" t="s">
        <v>318</v>
      </c>
      <c r="AV564" t="s">
        <v>118</v>
      </c>
      <c r="AW564" t="s">
        <v>102</v>
      </c>
      <c r="AX564" t="s">
        <v>119</v>
      </c>
      <c r="BB564" t="s">
        <v>120</v>
      </c>
      <c r="BC564" t="s">
        <v>9178</v>
      </c>
      <c r="BD564" t="s">
        <v>320</v>
      </c>
      <c r="BE564" t="s">
        <v>122</v>
      </c>
      <c r="BF564" t="s">
        <v>123</v>
      </c>
      <c r="BG564" t="s">
        <v>124</v>
      </c>
      <c r="BH564" t="s">
        <v>12250</v>
      </c>
      <c r="BI564" t="s">
        <v>21667</v>
      </c>
      <c r="BJ564" t="s">
        <v>127</v>
      </c>
      <c r="BK564" t="s">
        <v>21902</v>
      </c>
      <c r="BL564" t="s">
        <v>21903</v>
      </c>
      <c r="BM564" t="s">
        <v>21904</v>
      </c>
      <c r="BN564" t="s">
        <v>12086</v>
      </c>
      <c r="BO564" t="s">
        <v>131</v>
      </c>
      <c r="BP564" t="s">
        <v>350</v>
      </c>
      <c r="BQ564" t="s">
        <v>133</v>
      </c>
      <c r="BR564" t="s">
        <v>134</v>
      </c>
      <c r="BS564" t="s">
        <v>455</v>
      </c>
      <c r="BU564" t="s">
        <v>21905</v>
      </c>
      <c r="BV564" t="s">
        <v>21906</v>
      </c>
      <c r="BW564" t="s">
        <v>138</v>
      </c>
      <c r="BX564" t="s">
        <v>21907</v>
      </c>
      <c r="BY564" t="s">
        <v>21908</v>
      </c>
      <c r="BZ564" t="s">
        <v>21909</v>
      </c>
      <c r="CA564" t="s">
        <v>21906</v>
      </c>
      <c r="CB564" t="s">
        <v>21907</v>
      </c>
      <c r="CC564" t="s">
        <v>21908</v>
      </c>
      <c r="CD564" t="s">
        <v>21910</v>
      </c>
      <c r="CE564" t="s">
        <v>21911</v>
      </c>
      <c r="CF564" t="s">
        <v>21912</v>
      </c>
      <c r="CG564" t="s">
        <v>21913</v>
      </c>
      <c r="CH564" t="s">
        <v>21914</v>
      </c>
      <c r="CJ564" t="s">
        <v>5161</v>
      </c>
      <c r="CK564" t="s">
        <v>21914</v>
      </c>
      <c r="CL564" t="s">
        <v>9178</v>
      </c>
      <c r="CM564" t="s">
        <v>320</v>
      </c>
      <c r="CN564" t="s">
        <v>5161</v>
      </c>
      <c r="CO564" t="s">
        <v>24194</v>
      </c>
      <c r="CP564" t="s">
        <v>21915</v>
      </c>
      <c r="CQ564" t="s">
        <v>21915</v>
      </c>
    </row>
    <row r="565" spans="1:95" customFormat="1">
      <c r="A565" t="s">
        <v>337</v>
      </c>
      <c r="B565">
        <v>2474591</v>
      </c>
      <c r="C565" s="50"/>
      <c r="D565" t="s">
        <v>21923</v>
      </c>
      <c r="E565" s="50"/>
      <c r="I565" s="50"/>
      <c r="J565" s="51"/>
      <c r="K565" t="s">
        <v>848</v>
      </c>
      <c r="L565">
        <v>662078</v>
      </c>
      <c r="M565">
        <v>781252</v>
      </c>
      <c r="N565">
        <v>0</v>
      </c>
      <c r="O565">
        <v>0</v>
      </c>
      <c r="Q565">
        <v>0</v>
      </c>
      <c r="R565">
        <v>0</v>
      </c>
      <c r="T565">
        <v>662078</v>
      </c>
      <c r="U565">
        <v>662</v>
      </c>
      <c r="V565" t="s">
        <v>5042</v>
      </c>
      <c r="W565" t="s">
        <v>102</v>
      </c>
      <c r="X565" t="s">
        <v>103</v>
      </c>
      <c r="Y565" t="s">
        <v>398</v>
      </c>
      <c r="AA565" t="s">
        <v>17302</v>
      </c>
      <c r="AB565" t="s">
        <v>21924</v>
      </c>
      <c r="AC565" t="s">
        <v>21826</v>
      </c>
      <c r="AD565" t="s">
        <v>21925</v>
      </c>
      <c r="AE565" t="s">
        <v>21828</v>
      </c>
      <c r="AF565" t="s">
        <v>21926</v>
      </c>
      <c r="AG565" t="s">
        <v>109</v>
      </c>
      <c r="AH565" t="s">
        <v>102</v>
      </c>
      <c r="AI565" t="s">
        <v>23502</v>
      </c>
      <c r="AJ565" t="s">
        <v>17302</v>
      </c>
      <c r="AK565" t="s">
        <v>17302</v>
      </c>
      <c r="AL565" t="s">
        <v>21924</v>
      </c>
      <c r="AM565" t="s">
        <v>23503</v>
      </c>
      <c r="AN565" t="s">
        <v>23504</v>
      </c>
      <c r="AO565" t="s">
        <v>9482</v>
      </c>
      <c r="AP565" t="s">
        <v>9482</v>
      </c>
      <c r="AU565" t="s">
        <v>102</v>
      </c>
      <c r="AW565" t="s">
        <v>102</v>
      </c>
      <c r="AX565" t="s">
        <v>119</v>
      </c>
      <c r="BA565" t="s">
        <v>250</v>
      </c>
      <c r="BB565" t="s">
        <v>120</v>
      </c>
      <c r="BC565" t="s">
        <v>2542</v>
      </c>
      <c r="BD565" t="s">
        <v>2543</v>
      </c>
      <c r="BE565" t="s">
        <v>122</v>
      </c>
      <c r="BF565" t="s">
        <v>557</v>
      </c>
      <c r="BG565" t="s">
        <v>124</v>
      </c>
      <c r="BH565" t="s">
        <v>21784</v>
      </c>
      <c r="BI565" t="s">
        <v>21667</v>
      </c>
      <c r="BJ565" t="s">
        <v>127</v>
      </c>
      <c r="BK565" t="s">
        <v>24208</v>
      </c>
      <c r="BL565" t="s">
        <v>21927</v>
      </c>
      <c r="BM565" t="s">
        <v>21928</v>
      </c>
      <c r="BN565" t="s">
        <v>22571</v>
      </c>
      <c r="BO565" t="s">
        <v>13402</v>
      </c>
      <c r="BP565" t="s">
        <v>350</v>
      </c>
      <c r="BQ565" t="s">
        <v>13403</v>
      </c>
      <c r="BR565" t="s">
        <v>13404</v>
      </c>
      <c r="BS565" t="s">
        <v>13405</v>
      </c>
      <c r="BU565" t="s">
        <v>24209</v>
      </c>
      <c r="BV565" t="s">
        <v>21929</v>
      </c>
      <c r="BW565" t="s">
        <v>354</v>
      </c>
      <c r="BX565" t="s">
        <v>21930</v>
      </c>
      <c r="BY565" t="s">
        <v>21931</v>
      </c>
      <c r="BZ565" t="s">
        <v>21930</v>
      </c>
      <c r="CA565" t="s">
        <v>21932</v>
      </c>
      <c r="CB565" t="s">
        <v>21933</v>
      </c>
      <c r="CC565" t="s">
        <v>21934</v>
      </c>
      <c r="CD565" t="s">
        <v>21935</v>
      </c>
      <c r="CE565" t="s">
        <v>21936</v>
      </c>
      <c r="CF565" t="s">
        <v>21937</v>
      </c>
      <c r="CG565" t="s">
        <v>5207</v>
      </c>
      <c r="CH565" t="s">
        <v>21938</v>
      </c>
      <c r="CJ565" t="s">
        <v>7610</v>
      </c>
      <c r="CL565" t="s">
        <v>2542</v>
      </c>
      <c r="CM565" t="s">
        <v>2543</v>
      </c>
      <c r="CN565" t="s">
        <v>7610</v>
      </c>
      <c r="CO565" t="s">
        <v>21939</v>
      </c>
      <c r="CP565" t="s">
        <v>21940</v>
      </c>
      <c r="CQ565" t="s">
        <v>21941</v>
      </c>
    </row>
    <row r="566" spans="1:95" customFormat="1">
      <c r="A566" t="s">
        <v>337</v>
      </c>
      <c r="B566">
        <v>2499678</v>
      </c>
      <c r="C566" s="50"/>
      <c r="D566" t="s">
        <v>25739</v>
      </c>
      <c r="E566" s="50"/>
      <c r="I566" s="50"/>
      <c r="J566" s="51"/>
      <c r="K566" t="s">
        <v>97</v>
      </c>
      <c r="L566">
        <v>257400</v>
      </c>
      <c r="M566">
        <v>257400</v>
      </c>
      <c r="N566">
        <v>257400</v>
      </c>
      <c r="O566">
        <v>286</v>
      </c>
      <c r="P566" t="s">
        <v>2451</v>
      </c>
      <c r="Q566">
        <v>0</v>
      </c>
      <c r="R566">
        <v>0</v>
      </c>
      <c r="T566">
        <v>0</v>
      </c>
      <c r="U566">
        <v>0</v>
      </c>
      <c r="W566" t="s">
        <v>102</v>
      </c>
      <c r="X566" t="s">
        <v>275</v>
      </c>
      <c r="Z566" t="s">
        <v>20476</v>
      </c>
      <c r="AA566" t="s">
        <v>109</v>
      </c>
      <c r="AB566" t="s">
        <v>102</v>
      </c>
      <c r="AC566" t="s">
        <v>109</v>
      </c>
      <c r="AD566" t="s">
        <v>102</v>
      </c>
      <c r="AE566" t="s">
        <v>109</v>
      </c>
      <c r="AF566" t="s">
        <v>102</v>
      </c>
      <c r="AG566" t="s">
        <v>109</v>
      </c>
      <c r="AH566" t="s">
        <v>102</v>
      </c>
      <c r="AI566" t="s">
        <v>102</v>
      </c>
      <c r="AJ566" t="s">
        <v>21790</v>
      </c>
      <c r="AK566" t="s">
        <v>21790</v>
      </c>
      <c r="AL566" t="s">
        <v>25741</v>
      </c>
      <c r="AM566" t="s">
        <v>25742</v>
      </c>
      <c r="AN566" t="s">
        <v>25743</v>
      </c>
      <c r="AO566" t="s">
        <v>554</v>
      </c>
      <c r="AP566" t="s">
        <v>24610</v>
      </c>
      <c r="AQ566" t="s">
        <v>102</v>
      </c>
      <c r="AR566" t="s">
        <v>102</v>
      </c>
      <c r="AS566" t="s">
        <v>102</v>
      </c>
      <c r="AT566" t="s">
        <v>102</v>
      </c>
      <c r="AU566" t="s">
        <v>318</v>
      </c>
      <c r="AV566" t="s">
        <v>118</v>
      </c>
      <c r="AW566" t="s">
        <v>102</v>
      </c>
      <c r="AX566" t="s">
        <v>119</v>
      </c>
      <c r="BB566" t="s">
        <v>120</v>
      </c>
      <c r="BC566" t="s">
        <v>25744</v>
      </c>
      <c r="BD566" t="s">
        <v>15570</v>
      </c>
      <c r="BE566" t="s">
        <v>212</v>
      </c>
      <c r="BF566" t="s">
        <v>213</v>
      </c>
      <c r="BG566" t="s">
        <v>124</v>
      </c>
      <c r="BH566" t="s">
        <v>25745</v>
      </c>
      <c r="BI566" t="s">
        <v>25746</v>
      </c>
      <c r="BJ566" t="s">
        <v>127</v>
      </c>
      <c r="BK566" t="s">
        <v>25747</v>
      </c>
      <c r="BL566" t="s">
        <v>25748</v>
      </c>
      <c r="BM566" t="s">
        <v>25749</v>
      </c>
      <c r="BN566" t="s">
        <v>25108</v>
      </c>
      <c r="BO566" t="s">
        <v>15574</v>
      </c>
      <c r="BP566" t="s">
        <v>180</v>
      </c>
      <c r="BQ566" t="s">
        <v>15575</v>
      </c>
      <c r="BR566" t="s">
        <v>15576</v>
      </c>
      <c r="BS566" t="s">
        <v>7225</v>
      </c>
      <c r="BT566" t="s">
        <v>483</v>
      </c>
      <c r="BU566" t="s">
        <v>25750</v>
      </c>
      <c r="BV566" t="s">
        <v>25751</v>
      </c>
      <c r="BW566" t="s">
        <v>138</v>
      </c>
      <c r="BX566" t="s">
        <v>25752</v>
      </c>
      <c r="BY566" t="s">
        <v>25753</v>
      </c>
      <c r="BZ566" t="s">
        <v>25754</v>
      </c>
      <c r="CA566" t="s">
        <v>25755</v>
      </c>
      <c r="CB566" t="s">
        <v>25752</v>
      </c>
      <c r="CC566" t="s">
        <v>25753</v>
      </c>
      <c r="CD566" t="s">
        <v>25755</v>
      </c>
      <c r="CE566" t="s">
        <v>25752</v>
      </c>
      <c r="CF566" t="s">
        <v>25753</v>
      </c>
      <c r="CG566" t="s">
        <v>25756</v>
      </c>
      <c r="CH566" t="s">
        <v>25757</v>
      </c>
      <c r="CJ566" t="s">
        <v>25758</v>
      </c>
      <c r="CK566" t="s">
        <v>25757</v>
      </c>
      <c r="CL566" t="s">
        <v>25744</v>
      </c>
      <c r="CM566" t="s">
        <v>15570</v>
      </c>
      <c r="CN566" t="s">
        <v>25758</v>
      </c>
      <c r="CP566" t="s">
        <v>25759</v>
      </c>
      <c r="CQ566" t="s">
        <v>25759</v>
      </c>
    </row>
    <row r="567" spans="1:95" customFormat="1">
      <c r="A567" t="s">
        <v>26356</v>
      </c>
      <c r="B567">
        <v>251230</v>
      </c>
      <c r="C567" s="50"/>
      <c r="D567" t="s">
        <v>14345</v>
      </c>
      <c r="E567" s="50"/>
      <c r="I567" s="50"/>
      <c r="J567" s="51"/>
      <c r="K567" t="s">
        <v>193</v>
      </c>
      <c r="L567">
        <v>2307717</v>
      </c>
      <c r="M567">
        <v>2619102</v>
      </c>
      <c r="N567">
        <v>577800</v>
      </c>
      <c r="O567">
        <v>642</v>
      </c>
      <c r="P567" t="s">
        <v>2451</v>
      </c>
      <c r="Q567">
        <v>0</v>
      </c>
      <c r="R567">
        <v>0</v>
      </c>
      <c r="T567">
        <v>1729917</v>
      </c>
      <c r="U567">
        <v>758</v>
      </c>
      <c r="V567" t="s">
        <v>21961</v>
      </c>
      <c r="W567" t="s">
        <v>102</v>
      </c>
      <c r="X567" t="s">
        <v>679</v>
      </c>
      <c r="Y567" t="s">
        <v>801</v>
      </c>
      <c r="Z567" t="s">
        <v>21962</v>
      </c>
      <c r="AA567" t="s">
        <v>21963</v>
      </c>
      <c r="AB567" t="s">
        <v>21964</v>
      </c>
      <c r="AC567" t="s">
        <v>21965</v>
      </c>
      <c r="AD567" t="s">
        <v>21964</v>
      </c>
      <c r="AE567" t="s">
        <v>21966</v>
      </c>
      <c r="AF567" t="s">
        <v>21967</v>
      </c>
      <c r="AG567" t="s">
        <v>21968</v>
      </c>
      <c r="AH567" t="s">
        <v>21967</v>
      </c>
      <c r="AI567" t="s">
        <v>102</v>
      </c>
      <c r="AL567" t="s">
        <v>21967</v>
      </c>
      <c r="AM567" t="s">
        <v>102</v>
      </c>
      <c r="AN567" t="s">
        <v>21967</v>
      </c>
      <c r="AO567" t="s">
        <v>21969</v>
      </c>
      <c r="AP567" t="s">
        <v>21969</v>
      </c>
      <c r="AU567" t="s">
        <v>207</v>
      </c>
      <c r="AV567" t="s">
        <v>118</v>
      </c>
      <c r="AW567" t="s">
        <v>102</v>
      </c>
      <c r="AX567" t="s">
        <v>119</v>
      </c>
      <c r="BA567" t="s">
        <v>250</v>
      </c>
      <c r="BB567" t="s">
        <v>120</v>
      </c>
      <c r="BC567" t="s">
        <v>375</v>
      </c>
      <c r="BD567" t="s">
        <v>376</v>
      </c>
      <c r="BE567" t="s">
        <v>174</v>
      </c>
      <c r="BF567" t="s">
        <v>376</v>
      </c>
      <c r="BG567" t="s">
        <v>124</v>
      </c>
      <c r="BH567" t="s">
        <v>12250</v>
      </c>
      <c r="BI567" t="s">
        <v>21667</v>
      </c>
      <c r="BJ567" t="s">
        <v>127</v>
      </c>
      <c r="BK567" t="s">
        <v>21970</v>
      </c>
      <c r="BL567" t="s">
        <v>14357</v>
      </c>
      <c r="BM567" t="s">
        <v>21971</v>
      </c>
      <c r="BN567" t="s">
        <v>21959</v>
      </c>
      <c r="BO567" t="s">
        <v>6926</v>
      </c>
      <c r="BP567" t="s">
        <v>180</v>
      </c>
      <c r="BQ567" t="s">
        <v>6927</v>
      </c>
      <c r="BR567" t="s">
        <v>6928</v>
      </c>
      <c r="BS567" t="s">
        <v>1858</v>
      </c>
      <c r="BU567" t="s">
        <v>21972</v>
      </c>
      <c r="BV567" t="s">
        <v>19352</v>
      </c>
      <c r="BW567" t="s">
        <v>296</v>
      </c>
      <c r="BX567" t="s">
        <v>19353</v>
      </c>
      <c r="BY567" t="s">
        <v>19354</v>
      </c>
      <c r="BZ567" t="s">
        <v>14363</v>
      </c>
      <c r="CA567" t="s">
        <v>14364</v>
      </c>
      <c r="CB567" t="s">
        <v>14363</v>
      </c>
      <c r="CC567" t="s">
        <v>14365</v>
      </c>
      <c r="CD567" t="s">
        <v>14366</v>
      </c>
      <c r="CE567" t="s">
        <v>14367</v>
      </c>
      <c r="CF567" t="s">
        <v>14368</v>
      </c>
      <c r="CG567" t="s">
        <v>14369</v>
      </c>
      <c r="CH567" t="s">
        <v>14370</v>
      </c>
      <c r="CJ567" t="s">
        <v>14371</v>
      </c>
      <c r="CK567" t="s">
        <v>14370</v>
      </c>
      <c r="CL567" t="s">
        <v>375</v>
      </c>
      <c r="CM567" t="s">
        <v>376</v>
      </c>
      <c r="CN567" t="s">
        <v>14371</v>
      </c>
      <c r="CP567" t="s">
        <v>14370</v>
      </c>
      <c r="CQ567" t="s">
        <v>14370</v>
      </c>
    </row>
    <row r="568" spans="1:95" customFormat="1">
      <c r="A568" t="s">
        <v>26356</v>
      </c>
      <c r="B568">
        <v>255648</v>
      </c>
      <c r="C568" s="50"/>
      <c r="D568" t="s">
        <v>14490</v>
      </c>
      <c r="E568" s="50"/>
      <c r="I568" s="50"/>
      <c r="J568" s="51"/>
      <c r="K568" t="s">
        <v>193</v>
      </c>
      <c r="L568">
        <v>1705014</v>
      </c>
      <c r="M568">
        <v>1932375</v>
      </c>
      <c r="N568">
        <v>441900</v>
      </c>
      <c r="O568">
        <v>491</v>
      </c>
      <c r="P568" t="s">
        <v>2451</v>
      </c>
      <c r="Q568">
        <v>0</v>
      </c>
      <c r="R568">
        <v>0</v>
      </c>
      <c r="T568">
        <v>1263114</v>
      </c>
      <c r="U568">
        <v>558</v>
      </c>
      <c r="V568" t="s">
        <v>21961</v>
      </c>
      <c r="W568" t="s">
        <v>102</v>
      </c>
      <c r="X568" t="s">
        <v>679</v>
      </c>
      <c r="Y568" t="s">
        <v>801</v>
      </c>
      <c r="Z568" t="s">
        <v>21962</v>
      </c>
      <c r="AA568" t="s">
        <v>21963</v>
      </c>
      <c r="AB568" t="s">
        <v>21974</v>
      </c>
      <c r="AC568" t="s">
        <v>21965</v>
      </c>
      <c r="AD568" t="s">
        <v>21974</v>
      </c>
      <c r="AE568" t="s">
        <v>21966</v>
      </c>
      <c r="AF568" t="s">
        <v>21975</v>
      </c>
      <c r="AG568" t="s">
        <v>21968</v>
      </c>
      <c r="AH568" t="s">
        <v>21975</v>
      </c>
      <c r="AI568" t="s">
        <v>102</v>
      </c>
      <c r="AJ568" t="s">
        <v>11889</v>
      </c>
      <c r="AK568" t="s">
        <v>11889</v>
      </c>
      <c r="AL568" t="s">
        <v>21975</v>
      </c>
      <c r="AM568" t="s">
        <v>24210</v>
      </c>
      <c r="AN568" t="s">
        <v>24211</v>
      </c>
      <c r="AO568" t="s">
        <v>21969</v>
      </c>
      <c r="AP568" t="s">
        <v>21969</v>
      </c>
      <c r="AU568" t="s">
        <v>207</v>
      </c>
      <c r="AV568" t="s">
        <v>118</v>
      </c>
      <c r="AW568" t="s">
        <v>102</v>
      </c>
      <c r="AX568" t="s">
        <v>119</v>
      </c>
      <c r="BA568" t="s">
        <v>250</v>
      </c>
      <c r="BB568" t="s">
        <v>120</v>
      </c>
      <c r="BC568" t="s">
        <v>2820</v>
      </c>
      <c r="BD568" t="s">
        <v>376</v>
      </c>
      <c r="BE568" t="s">
        <v>174</v>
      </c>
      <c r="BF568" t="s">
        <v>376</v>
      </c>
      <c r="BG568" t="s">
        <v>124</v>
      </c>
      <c r="BH568" t="s">
        <v>12250</v>
      </c>
      <c r="BI568" t="s">
        <v>21667</v>
      </c>
      <c r="BJ568" t="s">
        <v>127</v>
      </c>
      <c r="BK568" t="s">
        <v>21976</v>
      </c>
      <c r="BL568" t="s">
        <v>14496</v>
      </c>
      <c r="BM568" t="s">
        <v>21977</v>
      </c>
      <c r="BN568" t="s">
        <v>21959</v>
      </c>
      <c r="BO568" t="s">
        <v>6926</v>
      </c>
      <c r="BP568" t="s">
        <v>180</v>
      </c>
      <c r="BQ568" t="s">
        <v>6927</v>
      </c>
      <c r="BR568" t="s">
        <v>6928</v>
      </c>
      <c r="BS568" t="s">
        <v>1858</v>
      </c>
      <c r="BU568" t="s">
        <v>21978</v>
      </c>
      <c r="BV568" t="s">
        <v>19352</v>
      </c>
      <c r="BW568" t="s">
        <v>16620</v>
      </c>
      <c r="BX568" t="s">
        <v>19353</v>
      </c>
      <c r="BY568" t="s">
        <v>19354</v>
      </c>
      <c r="BZ568" t="s">
        <v>14499</v>
      </c>
      <c r="CA568" t="s">
        <v>14500</v>
      </c>
      <c r="CB568" t="s">
        <v>14499</v>
      </c>
      <c r="CC568" t="s">
        <v>14501</v>
      </c>
      <c r="CD568" t="s">
        <v>14366</v>
      </c>
      <c r="CE568" t="s">
        <v>14367</v>
      </c>
      <c r="CF568" t="s">
        <v>14368</v>
      </c>
      <c r="CG568" t="s">
        <v>14502</v>
      </c>
      <c r="CH568" t="s">
        <v>14503</v>
      </c>
      <c r="CJ568" t="s">
        <v>10306</v>
      </c>
      <c r="CK568" t="s">
        <v>14504</v>
      </c>
      <c r="CL568" t="s">
        <v>2820</v>
      </c>
      <c r="CM568" t="s">
        <v>376</v>
      </c>
      <c r="CN568" t="s">
        <v>10306</v>
      </c>
      <c r="CP568" t="s">
        <v>14503</v>
      </c>
      <c r="CQ568" t="s">
        <v>14503</v>
      </c>
    </row>
    <row r="569" spans="1:95" customFormat="1">
      <c r="A569" t="s">
        <v>337</v>
      </c>
      <c r="B569">
        <v>260054</v>
      </c>
      <c r="C569" s="50"/>
      <c r="D569" t="s">
        <v>24212</v>
      </c>
      <c r="E569" s="50"/>
      <c r="I569" s="50"/>
      <c r="J569" s="51"/>
      <c r="K569" t="s">
        <v>97</v>
      </c>
      <c r="L569">
        <v>56250</v>
      </c>
      <c r="M569">
        <v>56250</v>
      </c>
      <c r="N569">
        <v>56250</v>
      </c>
      <c r="O569">
        <v>375</v>
      </c>
      <c r="P569" t="s">
        <v>24049</v>
      </c>
      <c r="Q569">
        <v>0</v>
      </c>
      <c r="R569">
        <v>0</v>
      </c>
      <c r="T569">
        <v>0</v>
      </c>
      <c r="U569">
        <v>0</v>
      </c>
      <c r="W569" t="s">
        <v>102</v>
      </c>
      <c r="X569" t="s">
        <v>103</v>
      </c>
      <c r="Y569" t="s">
        <v>104</v>
      </c>
      <c r="AA569" t="s">
        <v>14623</v>
      </c>
      <c r="AB569" t="s">
        <v>24214</v>
      </c>
      <c r="AC569" t="s">
        <v>20023</v>
      </c>
      <c r="AD569" t="s">
        <v>24214</v>
      </c>
      <c r="AE569" t="s">
        <v>109</v>
      </c>
      <c r="AF569" t="s">
        <v>102</v>
      </c>
      <c r="AG569" t="s">
        <v>109</v>
      </c>
      <c r="AH569" t="s">
        <v>102</v>
      </c>
      <c r="AI569" t="s">
        <v>102</v>
      </c>
      <c r="AJ569" t="s">
        <v>12859</v>
      </c>
      <c r="AK569" t="s">
        <v>12859</v>
      </c>
      <c r="AL569" t="s">
        <v>24214</v>
      </c>
      <c r="AM569" t="s">
        <v>25034</v>
      </c>
      <c r="AN569" t="s">
        <v>25035</v>
      </c>
      <c r="AO569" t="s">
        <v>24053</v>
      </c>
      <c r="AP569" t="s">
        <v>24054</v>
      </c>
      <c r="AQ569" t="s">
        <v>102</v>
      </c>
      <c r="AR569" t="s">
        <v>102</v>
      </c>
      <c r="AS569" t="s">
        <v>102</v>
      </c>
      <c r="AT569" t="s">
        <v>102</v>
      </c>
      <c r="AU569" t="s">
        <v>318</v>
      </c>
      <c r="AV569" t="s">
        <v>118</v>
      </c>
      <c r="AW569" t="s">
        <v>102</v>
      </c>
      <c r="AX569" t="s">
        <v>119</v>
      </c>
      <c r="BB569" t="s">
        <v>209</v>
      </c>
      <c r="BC569" t="s">
        <v>23301</v>
      </c>
      <c r="BD569" t="s">
        <v>730</v>
      </c>
      <c r="BE569" t="s">
        <v>622</v>
      </c>
      <c r="BF569" t="s">
        <v>730</v>
      </c>
      <c r="BG569" t="s">
        <v>124</v>
      </c>
      <c r="BH569" t="s">
        <v>12250</v>
      </c>
      <c r="BI569" t="s">
        <v>21667</v>
      </c>
      <c r="BJ569" t="s">
        <v>127</v>
      </c>
      <c r="BK569" t="s">
        <v>24215</v>
      </c>
      <c r="BL569" t="s">
        <v>24216</v>
      </c>
      <c r="BM569" t="s">
        <v>24217</v>
      </c>
      <c r="BN569" t="s">
        <v>14400</v>
      </c>
      <c r="BO569" t="s">
        <v>22240</v>
      </c>
      <c r="BP569" t="s">
        <v>505</v>
      </c>
      <c r="BQ569" t="s">
        <v>22241</v>
      </c>
      <c r="BR569" t="s">
        <v>22242</v>
      </c>
      <c r="BS569" t="s">
        <v>2331</v>
      </c>
      <c r="BU569" t="s">
        <v>24218</v>
      </c>
      <c r="BV569" t="s">
        <v>24219</v>
      </c>
      <c r="BW569" t="s">
        <v>598</v>
      </c>
      <c r="BX569" t="s">
        <v>24220</v>
      </c>
      <c r="BY569" t="s">
        <v>24221</v>
      </c>
      <c r="BZ569" t="s">
        <v>24222</v>
      </c>
      <c r="CA569" t="s">
        <v>24223</v>
      </c>
      <c r="CB569" t="s">
        <v>24224</v>
      </c>
      <c r="CC569" t="s">
        <v>24221</v>
      </c>
      <c r="CD569" t="s">
        <v>24223</v>
      </c>
      <c r="CE569" t="s">
        <v>24224</v>
      </c>
      <c r="CF569" t="s">
        <v>24221</v>
      </c>
      <c r="CG569" t="s">
        <v>24225</v>
      </c>
      <c r="CH569" t="s">
        <v>24226</v>
      </c>
      <c r="CJ569" t="s">
        <v>24227</v>
      </c>
      <c r="CK569" t="s">
        <v>24226</v>
      </c>
      <c r="CL569" t="s">
        <v>23301</v>
      </c>
      <c r="CM569" t="s">
        <v>730</v>
      </c>
      <c r="CN569" t="s">
        <v>24227</v>
      </c>
      <c r="CP569" t="s">
        <v>24226</v>
      </c>
      <c r="CQ569" t="s">
        <v>24226</v>
      </c>
    </row>
    <row r="570" spans="1:95" customFormat="1">
      <c r="A570" t="s">
        <v>337</v>
      </c>
      <c r="B570">
        <v>27561</v>
      </c>
      <c r="C570" s="50"/>
      <c r="D570" t="s">
        <v>21991</v>
      </c>
      <c r="E570" s="50"/>
      <c r="I570" s="50"/>
      <c r="J570" s="51"/>
      <c r="K570" t="s">
        <v>97</v>
      </c>
      <c r="L570">
        <v>192568</v>
      </c>
      <c r="M570">
        <v>192568</v>
      </c>
      <c r="N570">
        <v>192568</v>
      </c>
      <c r="O570">
        <v>214</v>
      </c>
      <c r="P570" t="s">
        <v>2451</v>
      </c>
      <c r="Q570">
        <v>0</v>
      </c>
      <c r="R570">
        <v>0</v>
      </c>
      <c r="T570">
        <v>0</v>
      </c>
      <c r="U570">
        <v>0</v>
      </c>
      <c r="W570" t="s">
        <v>102</v>
      </c>
      <c r="X570" t="s">
        <v>103</v>
      </c>
      <c r="Y570" t="s">
        <v>104</v>
      </c>
      <c r="AA570" t="s">
        <v>14455</v>
      </c>
      <c r="AB570" t="s">
        <v>25785</v>
      </c>
      <c r="AC570" t="s">
        <v>24708</v>
      </c>
      <c r="AD570" t="s">
        <v>25785</v>
      </c>
      <c r="AE570" t="s">
        <v>109</v>
      </c>
      <c r="AF570" t="s">
        <v>102</v>
      </c>
      <c r="AG570" t="s">
        <v>109</v>
      </c>
      <c r="AH570" t="s">
        <v>102</v>
      </c>
      <c r="AI570" t="s">
        <v>102</v>
      </c>
      <c r="AJ570" t="s">
        <v>17302</v>
      </c>
      <c r="AK570" t="s">
        <v>17302</v>
      </c>
      <c r="AL570" t="s">
        <v>25785</v>
      </c>
      <c r="AM570" t="s">
        <v>25786</v>
      </c>
      <c r="AN570" t="s">
        <v>25787</v>
      </c>
      <c r="AO570" t="s">
        <v>25788</v>
      </c>
      <c r="AP570" t="s">
        <v>25789</v>
      </c>
      <c r="AQ570" t="s">
        <v>102</v>
      </c>
      <c r="AR570" t="s">
        <v>102</v>
      </c>
      <c r="AS570" t="s">
        <v>102</v>
      </c>
      <c r="AT570" t="s">
        <v>102</v>
      </c>
      <c r="AU570" t="s">
        <v>318</v>
      </c>
      <c r="AV570" t="s">
        <v>118</v>
      </c>
      <c r="AW570" t="s">
        <v>102</v>
      </c>
      <c r="AX570" t="s">
        <v>119</v>
      </c>
      <c r="BB570" t="s">
        <v>120</v>
      </c>
      <c r="BC570" t="s">
        <v>920</v>
      </c>
      <c r="BD570" t="s">
        <v>211</v>
      </c>
      <c r="BE570" t="s">
        <v>212</v>
      </c>
      <c r="BF570" t="s">
        <v>213</v>
      </c>
      <c r="BG570" t="s">
        <v>124</v>
      </c>
      <c r="BH570" t="s">
        <v>23818</v>
      </c>
      <c r="BI570" t="s">
        <v>25790</v>
      </c>
      <c r="BJ570" t="s">
        <v>127</v>
      </c>
      <c r="BK570" t="s">
        <v>25791</v>
      </c>
      <c r="BL570" t="s">
        <v>21992</v>
      </c>
      <c r="BM570" t="s">
        <v>21993</v>
      </c>
      <c r="BN570" t="s">
        <v>25697</v>
      </c>
      <c r="BO570" t="s">
        <v>15574</v>
      </c>
      <c r="BP570" t="s">
        <v>180</v>
      </c>
      <c r="BQ570" t="s">
        <v>15575</v>
      </c>
      <c r="BR570" t="s">
        <v>15576</v>
      </c>
      <c r="BS570" t="s">
        <v>7225</v>
      </c>
      <c r="BU570" t="s">
        <v>25792</v>
      </c>
      <c r="BV570" t="s">
        <v>21994</v>
      </c>
      <c r="BW570" t="s">
        <v>138</v>
      </c>
      <c r="BX570" t="s">
        <v>21995</v>
      </c>
      <c r="BY570" t="s">
        <v>21996</v>
      </c>
      <c r="BZ570" t="s">
        <v>21997</v>
      </c>
      <c r="CA570" t="s">
        <v>21994</v>
      </c>
      <c r="CB570" t="s">
        <v>21995</v>
      </c>
      <c r="CC570" t="s">
        <v>21996</v>
      </c>
      <c r="CD570" t="s">
        <v>21994</v>
      </c>
      <c r="CE570" t="s">
        <v>21995</v>
      </c>
      <c r="CF570" t="s">
        <v>21996</v>
      </c>
      <c r="CG570" t="s">
        <v>10344</v>
      </c>
      <c r="CH570" t="s">
        <v>21998</v>
      </c>
      <c r="CJ570" t="s">
        <v>2248</v>
      </c>
      <c r="CK570" t="s">
        <v>21998</v>
      </c>
      <c r="CL570" t="s">
        <v>920</v>
      </c>
      <c r="CM570" t="s">
        <v>2474</v>
      </c>
      <c r="CN570" t="s">
        <v>2248</v>
      </c>
      <c r="CP570" t="s">
        <v>21999</v>
      </c>
      <c r="CQ570" t="s">
        <v>21999</v>
      </c>
    </row>
    <row r="571" spans="1:95" customFormat="1">
      <c r="A571" t="s">
        <v>337</v>
      </c>
      <c r="B571">
        <v>276791</v>
      </c>
      <c r="C571" s="50"/>
      <c r="D571" t="s">
        <v>4393</v>
      </c>
      <c r="E571" s="50"/>
      <c r="I571" s="50"/>
      <c r="J571" s="51"/>
      <c r="K571" t="s">
        <v>848</v>
      </c>
      <c r="L571">
        <v>276596</v>
      </c>
      <c r="M571">
        <v>326383</v>
      </c>
      <c r="N571">
        <v>0</v>
      </c>
      <c r="O571">
        <v>0</v>
      </c>
      <c r="Q571">
        <v>0</v>
      </c>
      <c r="R571">
        <v>0</v>
      </c>
      <c r="T571">
        <v>276596</v>
      </c>
      <c r="U571">
        <v>272</v>
      </c>
      <c r="V571" t="s">
        <v>3924</v>
      </c>
      <c r="W571" t="s">
        <v>102</v>
      </c>
      <c r="X571" t="s">
        <v>103</v>
      </c>
      <c r="Y571" t="s">
        <v>155</v>
      </c>
      <c r="AA571" t="s">
        <v>12250</v>
      </c>
      <c r="AB571" t="s">
        <v>24236</v>
      </c>
      <c r="AC571" t="s">
        <v>21664</v>
      </c>
      <c r="AD571" t="s">
        <v>24236</v>
      </c>
      <c r="AE571" t="s">
        <v>21665</v>
      </c>
      <c r="AF571" t="s">
        <v>24236</v>
      </c>
      <c r="AG571" t="s">
        <v>21687</v>
      </c>
      <c r="AH571" t="s">
        <v>24236</v>
      </c>
      <c r="AI571" t="s">
        <v>102</v>
      </c>
      <c r="AJ571" t="s">
        <v>11889</v>
      </c>
      <c r="AK571" t="s">
        <v>11889</v>
      </c>
      <c r="AL571" t="s">
        <v>24236</v>
      </c>
      <c r="AM571" t="s">
        <v>13597</v>
      </c>
      <c r="AN571" t="s">
        <v>24237</v>
      </c>
      <c r="AO571" t="s">
        <v>2307</v>
      </c>
      <c r="AP571" t="s">
        <v>2307</v>
      </c>
      <c r="AU571" t="s">
        <v>102</v>
      </c>
      <c r="AW571" t="s">
        <v>102</v>
      </c>
      <c r="AX571" t="s">
        <v>119</v>
      </c>
      <c r="BA571" t="s">
        <v>250</v>
      </c>
      <c r="BB571" t="s">
        <v>120</v>
      </c>
      <c r="BC571" t="s">
        <v>4403</v>
      </c>
      <c r="BD571" t="s">
        <v>4404</v>
      </c>
      <c r="BE571" t="s">
        <v>174</v>
      </c>
      <c r="BF571" t="s">
        <v>4405</v>
      </c>
      <c r="BG571" t="s">
        <v>124</v>
      </c>
      <c r="BH571" t="s">
        <v>12602</v>
      </c>
      <c r="BI571" t="s">
        <v>21667</v>
      </c>
      <c r="BJ571" t="s">
        <v>127</v>
      </c>
      <c r="BK571" t="s">
        <v>24238</v>
      </c>
      <c r="BL571" t="s">
        <v>4408</v>
      </c>
      <c r="BM571" t="s">
        <v>24239</v>
      </c>
      <c r="BN571" t="s">
        <v>12875</v>
      </c>
      <c r="BO571" t="s">
        <v>16015</v>
      </c>
      <c r="BP571" t="s">
        <v>180</v>
      </c>
      <c r="BQ571" t="s">
        <v>16016</v>
      </c>
      <c r="BR571" t="s">
        <v>16017</v>
      </c>
      <c r="BS571" t="s">
        <v>4413</v>
      </c>
      <c r="BT571" t="s">
        <v>1111</v>
      </c>
      <c r="BU571" t="s">
        <v>24240</v>
      </c>
      <c r="BV571" t="s">
        <v>24241</v>
      </c>
      <c r="BW571" t="s">
        <v>354</v>
      </c>
      <c r="BX571" t="s">
        <v>4421</v>
      </c>
      <c r="BY571" t="s">
        <v>4422</v>
      </c>
      <c r="BZ571" t="s">
        <v>4419</v>
      </c>
      <c r="CA571" t="s">
        <v>24242</v>
      </c>
      <c r="CB571" t="s">
        <v>4421</v>
      </c>
      <c r="CC571" t="s">
        <v>4422</v>
      </c>
      <c r="CD571" t="s">
        <v>24243</v>
      </c>
      <c r="CE571" t="s">
        <v>4421</v>
      </c>
      <c r="CF571" t="s">
        <v>24244</v>
      </c>
      <c r="CG571" t="s">
        <v>4425</v>
      </c>
      <c r="CH571" t="s">
        <v>24245</v>
      </c>
      <c r="CJ571" t="s">
        <v>4427</v>
      </c>
      <c r="CK571" t="s">
        <v>24246</v>
      </c>
      <c r="CL571" t="s">
        <v>4403</v>
      </c>
      <c r="CM571" t="s">
        <v>4404</v>
      </c>
      <c r="CN571" t="s">
        <v>4427</v>
      </c>
      <c r="CP571" t="s">
        <v>4426</v>
      </c>
      <c r="CQ571" t="s">
        <v>4428</v>
      </c>
    </row>
    <row r="572" spans="1:95" customFormat="1">
      <c r="A572" t="s">
        <v>93</v>
      </c>
      <c r="B572">
        <v>2827739</v>
      </c>
      <c r="C572" s="50"/>
      <c r="D572" t="s">
        <v>14761</v>
      </c>
      <c r="E572" s="50"/>
      <c r="I572" s="50"/>
      <c r="J572" s="51"/>
      <c r="K572" t="s">
        <v>643</v>
      </c>
      <c r="L572">
        <v>1080881</v>
      </c>
      <c r="M572">
        <v>1170049</v>
      </c>
      <c r="N572">
        <v>0</v>
      </c>
      <c r="O572">
        <v>0</v>
      </c>
      <c r="Q572">
        <v>585503</v>
      </c>
      <c r="R572">
        <v>366</v>
      </c>
      <c r="S572" t="s">
        <v>678</v>
      </c>
      <c r="T572">
        <v>495378</v>
      </c>
      <c r="U572">
        <v>487</v>
      </c>
      <c r="V572" t="s">
        <v>3924</v>
      </c>
      <c r="W572" t="s">
        <v>102</v>
      </c>
      <c r="X572" t="s">
        <v>103</v>
      </c>
      <c r="Y572" t="s">
        <v>155</v>
      </c>
      <c r="AA572" t="s">
        <v>22002</v>
      </c>
      <c r="AB572" t="s">
        <v>22003</v>
      </c>
      <c r="AC572" t="s">
        <v>22004</v>
      </c>
      <c r="AD572" t="s">
        <v>22003</v>
      </c>
      <c r="AE572" t="s">
        <v>22005</v>
      </c>
      <c r="AF572" t="s">
        <v>22003</v>
      </c>
      <c r="AG572" t="s">
        <v>21821</v>
      </c>
      <c r="AH572" t="s">
        <v>22003</v>
      </c>
      <c r="AI572" t="s">
        <v>102</v>
      </c>
      <c r="AJ572" t="s">
        <v>11911</v>
      </c>
      <c r="AK572" t="s">
        <v>11911</v>
      </c>
      <c r="AL572" t="s">
        <v>22003</v>
      </c>
      <c r="AM572" t="s">
        <v>22006</v>
      </c>
      <c r="AN572" t="s">
        <v>22007</v>
      </c>
      <c r="AO572" t="s">
        <v>22008</v>
      </c>
      <c r="AP572" t="s">
        <v>22008</v>
      </c>
      <c r="AU572" t="s">
        <v>102</v>
      </c>
      <c r="AW572" t="s">
        <v>3536</v>
      </c>
      <c r="AX572" t="s">
        <v>249</v>
      </c>
      <c r="AY572" t="s">
        <v>170</v>
      </c>
      <c r="AZ572" t="s">
        <v>118</v>
      </c>
      <c r="BA572" t="s">
        <v>250</v>
      </c>
      <c r="BB572" t="s">
        <v>120</v>
      </c>
      <c r="BC572" t="s">
        <v>14762</v>
      </c>
      <c r="BD572" t="s">
        <v>410</v>
      </c>
      <c r="BE572" t="s">
        <v>212</v>
      </c>
      <c r="BF572" t="s">
        <v>410</v>
      </c>
      <c r="BG572" t="s">
        <v>124</v>
      </c>
      <c r="BH572" t="s">
        <v>12250</v>
      </c>
      <c r="BI572" t="s">
        <v>21667</v>
      </c>
      <c r="BJ572" t="s">
        <v>127</v>
      </c>
      <c r="BK572" t="s">
        <v>22009</v>
      </c>
      <c r="BL572" t="s">
        <v>14764</v>
      </c>
      <c r="BM572" t="s">
        <v>22010</v>
      </c>
      <c r="BN572" t="s">
        <v>22000</v>
      </c>
      <c r="BO572" t="s">
        <v>896</v>
      </c>
      <c r="BP572" t="s">
        <v>132</v>
      </c>
      <c r="BQ572" t="s">
        <v>897</v>
      </c>
      <c r="BR572" t="s">
        <v>898</v>
      </c>
      <c r="BS572" t="s">
        <v>899</v>
      </c>
      <c r="BU572" t="s">
        <v>22011</v>
      </c>
      <c r="BV572" t="s">
        <v>22012</v>
      </c>
      <c r="BW572" t="s">
        <v>354</v>
      </c>
      <c r="BX572" t="s">
        <v>14768</v>
      </c>
      <c r="BY572" t="s">
        <v>14769</v>
      </c>
      <c r="BZ572" t="s">
        <v>14770</v>
      </c>
      <c r="CA572" t="s">
        <v>14771</v>
      </c>
      <c r="CB572" t="s">
        <v>14768</v>
      </c>
      <c r="CC572" t="s">
        <v>14769</v>
      </c>
      <c r="CD572" t="s">
        <v>14771</v>
      </c>
      <c r="CE572" t="s">
        <v>14768</v>
      </c>
      <c r="CF572" t="s">
        <v>14769</v>
      </c>
      <c r="CG572" t="s">
        <v>3841</v>
      </c>
      <c r="CH572" t="s">
        <v>14772</v>
      </c>
      <c r="CJ572" t="s">
        <v>14773</v>
      </c>
      <c r="CK572" t="s">
        <v>14772</v>
      </c>
      <c r="CL572" t="s">
        <v>14762</v>
      </c>
      <c r="CM572" t="s">
        <v>410</v>
      </c>
      <c r="CN572" t="s">
        <v>14773</v>
      </c>
      <c r="CP572" t="s">
        <v>14774</v>
      </c>
      <c r="CQ572" t="s">
        <v>14772</v>
      </c>
    </row>
    <row r="573" spans="1:95" customFormat="1">
      <c r="A573" t="s">
        <v>337</v>
      </c>
      <c r="B573">
        <v>3091250</v>
      </c>
      <c r="C573" s="50"/>
      <c r="D573" t="s">
        <v>24247</v>
      </c>
      <c r="E573" s="50"/>
      <c r="I573" s="50"/>
      <c r="J573" s="51"/>
      <c r="K573" t="s">
        <v>97</v>
      </c>
      <c r="L573">
        <v>463005</v>
      </c>
      <c r="M573">
        <v>463005</v>
      </c>
      <c r="N573">
        <v>463005</v>
      </c>
      <c r="O573">
        <v>691</v>
      </c>
      <c r="P573" t="s">
        <v>24249</v>
      </c>
      <c r="Q573">
        <v>0</v>
      </c>
      <c r="R573">
        <v>0</v>
      </c>
      <c r="T573">
        <v>0</v>
      </c>
      <c r="U573">
        <v>0</v>
      </c>
      <c r="W573" t="s">
        <v>102</v>
      </c>
      <c r="X573" t="s">
        <v>103</v>
      </c>
      <c r="Y573" t="s">
        <v>104</v>
      </c>
      <c r="AA573" t="s">
        <v>21768</v>
      </c>
      <c r="AB573" t="s">
        <v>24250</v>
      </c>
      <c r="AC573" t="s">
        <v>24251</v>
      </c>
      <c r="AD573" t="s">
        <v>24250</v>
      </c>
      <c r="AE573" t="s">
        <v>109</v>
      </c>
      <c r="AF573" t="s">
        <v>102</v>
      </c>
      <c r="AG573" t="s">
        <v>109</v>
      </c>
      <c r="AH573" t="s">
        <v>102</v>
      </c>
      <c r="AI573" t="s">
        <v>102</v>
      </c>
      <c r="AJ573" t="s">
        <v>23889</v>
      </c>
      <c r="AK573" t="s">
        <v>23889</v>
      </c>
      <c r="AL573" t="s">
        <v>24250</v>
      </c>
      <c r="AM573" t="s">
        <v>25036</v>
      </c>
      <c r="AN573" t="s">
        <v>25037</v>
      </c>
      <c r="AO573" t="s">
        <v>24252</v>
      </c>
      <c r="AP573" t="s">
        <v>24253</v>
      </c>
      <c r="AQ573" t="s">
        <v>102</v>
      </c>
      <c r="AR573" t="s">
        <v>102</v>
      </c>
      <c r="AS573" t="s">
        <v>102</v>
      </c>
      <c r="AT573" t="s">
        <v>102</v>
      </c>
      <c r="AU573" t="s">
        <v>318</v>
      </c>
      <c r="AV573" t="s">
        <v>118</v>
      </c>
      <c r="AW573" t="s">
        <v>102</v>
      </c>
      <c r="AX573" t="s">
        <v>119</v>
      </c>
      <c r="BB573" t="s">
        <v>120</v>
      </c>
      <c r="BC573" t="s">
        <v>4889</v>
      </c>
      <c r="BD573" t="s">
        <v>730</v>
      </c>
      <c r="BE573" t="s">
        <v>622</v>
      </c>
      <c r="BF573" t="s">
        <v>730</v>
      </c>
      <c r="BG573" t="s">
        <v>124</v>
      </c>
      <c r="BH573" t="s">
        <v>12250</v>
      </c>
      <c r="BI573" t="s">
        <v>21667</v>
      </c>
      <c r="BJ573" t="s">
        <v>127</v>
      </c>
      <c r="BK573" t="s">
        <v>24254</v>
      </c>
      <c r="BL573" t="s">
        <v>24255</v>
      </c>
      <c r="BM573" t="s">
        <v>24256</v>
      </c>
      <c r="BN573" t="s">
        <v>11889</v>
      </c>
      <c r="BO573" t="s">
        <v>5197</v>
      </c>
      <c r="BP573" t="s">
        <v>505</v>
      </c>
      <c r="BQ573" t="s">
        <v>5198</v>
      </c>
      <c r="BR573" t="s">
        <v>5199</v>
      </c>
      <c r="BS573" t="s">
        <v>5199</v>
      </c>
      <c r="BU573" t="s">
        <v>24257</v>
      </c>
      <c r="BV573" t="s">
        <v>24258</v>
      </c>
      <c r="BW573" t="s">
        <v>138</v>
      </c>
      <c r="BX573" t="s">
        <v>15969</v>
      </c>
      <c r="BY573" t="s">
        <v>24259</v>
      </c>
      <c r="BZ573" t="s">
        <v>24260</v>
      </c>
      <c r="CA573" t="s">
        <v>24261</v>
      </c>
      <c r="CB573" t="s">
        <v>24262</v>
      </c>
      <c r="CC573" t="s">
        <v>24259</v>
      </c>
      <c r="CD573" t="s">
        <v>24263</v>
      </c>
      <c r="CE573" t="s">
        <v>24264</v>
      </c>
      <c r="CF573" t="s">
        <v>24265</v>
      </c>
      <c r="CG573" t="s">
        <v>907</v>
      </c>
      <c r="CH573" t="s">
        <v>24266</v>
      </c>
      <c r="CJ573" t="s">
        <v>4903</v>
      </c>
      <c r="CK573" t="s">
        <v>24266</v>
      </c>
      <c r="CL573" t="s">
        <v>4889</v>
      </c>
      <c r="CM573" t="s">
        <v>730</v>
      </c>
      <c r="CN573" t="s">
        <v>4903</v>
      </c>
      <c r="CP573" t="s">
        <v>24267</v>
      </c>
      <c r="CQ573" t="s">
        <v>24267</v>
      </c>
    </row>
    <row r="574" spans="1:95" customFormat="1">
      <c r="A574" t="s">
        <v>337</v>
      </c>
      <c r="B574">
        <v>3150853</v>
      </c>
      <c r="C574" s="50"/>
      <c r="D574" t="s">
        <v>22045</v>
      </c>
      <c r="E574" s="50"/>
      <c r="I574" s="50"/>
      <c r="J574" s="51"/>
      <c r="K574" t="s">
        <v>152</v>
      </c>
      <c r="L574">
        <v>345643</v>
      </c>
      <c r="M574">
        <v>345643</v>
      </c>
      <c r="N574">
        <v>0</v>
      </c>
      <c r="O574">
        <v>0</v>
      </c>
      <c r="Q574">
        <v>345643</v>
      </c>
      <c r="R574">
        <v>432</v>
      </c>
      <c r="S574" t="s">
        <v>1297</v>
      </c>
      <c r="T574">
        <v>0</v>
      </c>
      <c r="U574">
        <v>0</v>
      </c>
      <c r="W574" t="s">
        <v>102</v>
      </c>
      <c r="X574" t="s">
        <v>103</v>
      </c>
      <c r="Y574" t="s">
        <v>155</v>
      </c>
      <c r="AA574" t="s">
        <v>21843</v>
      </c>
      <c r="AB574" t="s">
        <v>22047</v>
      </c>
      <c r="AC574" t="s">
        <v>21845</v>
      </c>
      <c r="AD574" t="s">
        <v>22047</v>
      </c>
      <c r="AE574" t="s">
        <v>21846</v>
      </c>
      <c r="AF574" t="s">
        <v>22047</v>
      </c>
      <c r="AG574" t="s">
        <v>21666</v>
      </c>
      <c r="AH574" t="s">
        <v>22047</v>
      </c>
      <c r="AI574" t="s">
        <v>102</v>
      </c>
      <c r="AJ574" t="s">
        <v>15489</v>
      </c>
      <c r="AK574" t="s">
        <v>15489</v>
      </c>
      <c r="AL574" t="s">
        <v>22047</v>
      </c>
      <c r="AM574" t="s">
        <v>5650</v>
      </c>
      <c r="AN574" t="s">
        <v>24289</v>
      </c>
      <c r="AO574" t="s">
        <v>13347</v>
      </c>
      <c r="AP574" t="s">
        <v>13347</v>
      </c>
      <c r="AU574" t="s">
        <v>102</v>
      </c>
      <c r="AW574" t="s">
        <v>104</v>
      </c>
      <c r="AX574" t="s">
        <v>447</v>
      </c>
      <c r="AY574" t="s">
        <v>170</v>
      </c>
      <c r="AZ574" t="s">
        <v>118</v>
      </c>
      <c r="BB574" t="s">
        <v>120</v>
      </c>
      <c r="BC574" t="s">
        <v>22048</v>
      </c>
      <c r="BD574" t="s">
        <v>376</v>
      </c>
      <c r="BE574" t="s">
        <v>174</v>
      </c>
      <c r="BF574" t="s">
        <v>376</v>
      </c>
      <c r="BG574" t="s">
        <v>124</v>
      </c>
      <c r="BH574" t="s">
        <v>12250</v>
      </c>
      <c r="BI574" t="s">
        <v>21667</v>
      </c>
      <c r="BJ574" t="s">
        <v>127</v>
      </c>
      <c r="BK574" t="s">
        <v>22049</v>
      </c>
      <c r="BL574" t="s">
        <v>22050</v>
      </c>
      <c r="BM574" t="s">
        <v>22051</v>
      </c>
      <c r="BN574" t="s">
        <v>12696</v>
      </c>
      <c r="BO574" t="s">
        <v>13780</v>
      </c>
      <c r="BP574" t="s">
        <v>180</v>
      </c>
      <c r="BQ574" t="s">
        <v>13781</v>
      </c>
      <c r="BR574" t="s">
        <v>13782</v>
      </c>
      <c r="BS574" t="s">
        <v>13783</v>
      </c>
      <c r="BU574" t="s">
        <v>22052</v>
      </c>
      <c r="BV574" t="s">
        <v>22053</v>
      </c>
      <c r="BW574" t="s">
        <v>138</v>
      </c>
      <c r="BX574" t="s">
        <v>22054</v>
      </c>
      <c r="BY574" t="s">
        <v>22055</v>
      </c>
      <c r="BZ574" t="s">
        <v>22056</v>
      </c>
      <c r="CA574" t="s">
        <v>22053</v>
      </c>
      <c r="CB574" t="s">
        <v>22054</v>
      </c>
      <c r="CC574" t="s">
        <v>22055</v>
      </c>
      <c r="CD574" t="s">
        <v>22053</v>
      </c>
      <c r="CE574" t="s">
        <v>22054</v>
      </c>
      <c r="CF574" t="s">
        <v>22055</v>
      </c>
      <c r="CG574" t="s">
        <v>102</v>
      </c>
      <c r="CH574" t="s">
        <v>22057</v>
      </c>
      <c r="CJ574" t="s">
        <v>22058</v>
      </c>
      <c r="CK574" t="s">
        <v>22057</v>
      </c>
      <c r="CL574" t="s">
        <v>22048</v>
      </c>
      <c r="CM574" t="s">
        <v>376</v>
      </c>
      <c r="CN574" t="s">
        <v>22058</v>
      </c>
      <c r="CP574" t="s">
        <v>22059</v>
      </c>
      <c r="CQ574" t="s">
        <v>22059</v>
      </c>
    </row>
    <row r="575" spans="1:95" customFormat="1">
      <c r="A575" t="s">
        <v>337</v>
      </c>
      <c r="B575">
        <v>3166222</v>
      </c>
      <c r="C575" s="50"/>
      <c r="D575" t="s">
        <v>22067</v>
      </c>
      <c r="E575" s="50"/>
      <c r="I575" s="50"/>
      <c r="J575" s="51"/>
      <c r="K575" t="s">
        <v>848</v>
      </c>
      <c r="L575">
        <v>311456</v>
      </c>
      <c r="M575">
        <v>367518</v>
      </c>
      <c r="N575">
        <v>0</v>
      </c>
      <c r="O575">
        <v>0</v>
      </c>
      <c r="Q575">
        <v>0</v>
      </c>
      <c r="R575">
        <v>0</v>
      </c>
      <c r="T575">
        <v>311456</v>
      </c>
      <c r="U575">
        <v>175</v>
      </c>
      <c r="V575" t="s">
        <v>4042</v>
      </c>
      <c r="W575" t="s">
        <v>102</v>
      </c>
      <c r="X575" t="s">
        <v>103</v>
      </c>
      <c r="Y575" t="s">
        <v>155</v>
      </c>
      <c r="AA575" t="s">
        <v>6615</v>
      </c>
      <c r="AB575" t="s">
        <v>22069</v>
      </c>
      <c r="AC575" t="s">
        <v>22070</v>
      </c>
      <c r="AD575" t="s">
        <v>22069</v>
      </c>
      <c r="AE575" t="s">
        <v>22071</v>
      </c>
      <c r="AF575" t="s">
        <v>22069</v>
      </c>
      <c r="AG575" t="s">
        <v>22072</v>
      </c>
      <c r="AH575" t="s">
        <v>22069</v>
      </c>
      <c r="AI575" t="s">
        <v>102</v>
      </c>
      <c r="AL575" t="s">
        <v>22069</v>
      </c>
      <c r="AM575" t="s">
        <v>102</v>
      </c>
      <c r="AN575" t="s">
        <v>22069</v>
      </c>
      <c r="AO575" t="s">
        <v>12067</v>
      </c>
      <c r="AP575" t="s">
        <v>12067</v>
      </c>
      <c r="AU575" t="s">
        <v>102</v>
      </c>
      <c r="AW575" t="s">
        <v>102</v>
      </c>
      <c r="AX575" t="s">
        <v>119</v>
      </c>
      <c r="BA575" t="s">
        <v>250</v>
      </c>
      <c r="BB575" t="s">
        <v>120</v>
      </c>
      <c r="BC575" t="s">
        <v>4216</v>
      </c>
      <c r="BD575" t="s">
        <v>556</v>
      </c>
      <c r="BE575" t="s">
        <v>122</v>
      </c>
      <c r="BF575" t="s">
        <v>557</v>
      </c>
      <c r="BG575" t="s">
        <v>124</v>
      </c>
      <c r="BH575" t="s">
        <v>12250</v>
      </c>
      <c r="BI575" t="s">
        <v>21667</v>
      </c>
      <c r="BJ575" t="s">
        <v>127</v>
      </c>
      <c r="BK575" t="s">
        <v>22073</v>
      </c>
      <c r="BL575" t="s">
        <v>22074</v>
      </c>
      <c r="BM575" t="s">
        <v>22075</v>
      </c>
      <c r="BN575" t="s">
        <v>12470</v>
      </c>
      <c r="BO575" t="s">
        <v>1071</v>
      </c>
      <c r="BP575" t="s">
        <v>350</v>
      </c>
      <c r="BQ575" t="s">
        <v>1072</v>
      </c>
      <c r="BR575" t="s">
        <v>1073</v>
      </c>
      <c r="BS575" t="s">
        <v>1074</v>
      </c>
      <c r="BT575" t="s">
        <v>2332</v>
      </c>
      <c r="BU575" t="s">
        <v>22076</v>
      </c>
      <c r="BV575" t="s">
        <v>22077</v>
      </c>
      <c r="BW575" t="s">
        <v>138</v>
      </c>
      <c r="BX575" t="s">
        <v>22078</v>
      </c>
      <c r="BY575" t="s">
        <v>22079</v>
      </c>
      <c r="BZ575" t="s">
        <v>22080</v>
      </c>
      <c r="CA575" t="s">
        <v>22077</v>
      </c>
      <c r="CB575" t="s">
        <v>22080</v>
      </c>
      <c r="CC575" t="s">
        <v>22079</v>
      </c>
      <c r="CD575" t="s">
        <v>22077</v>
      </c>
      <c r="CE575" t="s">
        <v>22080</v>
      </c>
      <c r="CF575" t="s">
        <v>22079</v>
      </c>
      <c r="CG575" t="s">
        <v>22081</v>
      </c>
      <c r="CH575" t="s">
        <v>22082</v>
      </c>
      <c r="CJ575" t="s">
        <v>10809</v>
      </c>
      <c r="CK575" t="s">
        <v>22083</v>
      </c>
      <c r="CL575" t="s">
        <v>4216</v>
      </c>
      <c r="CM575" t="s">
        <v>556</v>
      </c>
      <c r="CN575" t="s">
        <v>10809</v>
      </c>
      <c r="CP575" t="s">
        <v>22084</v>
      </c>
      <c r="CQ575" t="s">
        <v>22084</v>
      </c>
    </row>
    <row r="576" spans="1:95" customFormat="1">
      <c r="A576" t="s">
        <v>26356</v>
      </c>
      <c r="B576">
        <v>3191158</v>
      </c>
      <c r="C576" s="50"/>
      <c r="D576" t="s">
        <v>25040</v>
      </c>
      <c r="E576" s="50"/>
      <c r="I576" s="50"/>
      <c r="J576" s="51"/>
      <c r="K576" t="s">
        <v>848</v>
      </c>
      <c r="L576">
        <v>171399</v>
      </c>
      <c r="M576">
        <v>202251</v>
      </c>
      <c r="N576">
        <v>0</v>
      </c>
      <c r="O576">
        <v>0</v>
      </c>
      <c r="Q576">
        <v>0</v>
      </c>
      <c r="R576">
        <v>0</v>
      </c>
      <c r="T576">
        <v>171399</v>
      </c>
      <c r="U576">
        <v>337</v>
      </c>
      <c r="V576" t="s">
        <v>196</v>
      </c>
      <c r="W576" t="s">
        <v>102</v>
      </c>
      <c r="X576" t="s">
        <v>103</v>
      </c>
      <c r="Y576" t="s">
        <v>104</v>
      </c>
      <c r="AA576" t="s">
        <v>22459</v>
      </c>
      <c r="AB576" t="s">
        <v>25042</v>
      </c>
      <c r="AC576" t="s">
        <v>21828</v>
      </c>
      <c r="AD576" t="s">
        <v>25042</v>
      </c>
      <c r="AE576" t="s">
        <v>109</v>
      </c>
      <c r="AF576" t="s">
        <v>102</v>
      </c>
      <c r="AG576" t="s">
        <v>109</v>
      </c>
      <c r="AH576" t="s">
        <v>102</v>
      </c>
      <c r="AI576" t="s">
        <v>102</v>
      </c>
      <c r="AL576" t="s">
        <v>102</v>
      </c>
      <c r="AM576" t="s">
        <v>102</v>
      </c>
      <c r="AN576" t="s">
        <v>102</v>
      </c>
      <c r="AO576" t="s">
        <v>20895</v>
      </c>
      <c r="AP576" t="s">
        <v>20895</v>
      </c>
      <c r="AU576" t="s">
        <v>102</v>
      </c>
      <c r="AW576" t="s">
        <v>102</v>
      </c>
      <c r="AX576" t="s">
        <v>119</v>
      </c>
      <c r="BA576" t="s">
        <v>250</v>
      </c>
      <c r="BB576" t="s">
        <v>120</v>
      </c>
      <c r="BC576" t="s">
        <v>25043</v>
      </c>
      <c r="BD576" t="s">
        <v>376</v>
      </c>
      <c r="BE576" t="s">
        <v>174</v>
      </c>
      <c r="BF576" t="s">
        <v>376</v>
      </c>
      <c r="BG576" t="s">
        <v>124</v>
      </c>
      <c r="BH576" t="s">
        <v>12250</v>
      </c>
      <c r="BI576" t="s">
        <v>21667</v>
      </c>
      <c r="BJ576" t="s">
        <v>127</v>
      </c>
      <c r="BK576" t="s">
        <v>25044</v>
      </c>
      <c r="BL576" t="s">
        <v>25045</v>
      </c>
      <c r="BM576" t="s">
        <v>25046</v>
      </c>
      <c r="BN576" t="s">
        <v>15028</v>
      </c>
      <c r="BO576" t="s">
        <v>13780</v>
      </c>
      <c r="BP576" t="s">
        <v>180</v>
      </c>
      <c r="BQ576" t="s">
        <v>13781</v>
      </c>
      <c r="BR576" t="s">
        <v>13782</v>
      </c>
      <c r="BS576" t="s">
        <v>13783</v>
      </c>
      <c r="BU576" t="s">
        <v>25047</v>
      </c>
      <c r="BV576" t="s">
        <v>25048</v>
      </c>
      <c r="BW576" t="s">
        <v>138</v>
      </c>
      <c r="BX576" t="s">
        <v>25049</v>
      </c>
      <c r="BY576" t="s">
        <v>25050</v>
      </c>
      <c r="BZ576" t="s">
        <v>25051</v>
      </c>
      <c r="CA576" t="s">
        <v>25052</v>
      </c>
      <c r="CB576" t="s">
        <v>25049</v>
      </c>
      <c r="CC576" t="s">
        <v>25050</v>
      </c>
      <c r="CD576" t="s">
        <v>25052</v>
      </c>
      <c r="CE576" t="s">
        <v>25049</v>
      </c>
      <c r="CF576" t="s">
        <v>25050</v>
      </c>
      <c r="CG576" t="s">
        <v>102</v>
      </c>
      <c r="CH576" t="s">
        <v>25053</v>
      </c>
      <c r="CJ576" t="s">
        <v>11592</v>
      </c>
      <c r="CK576" t="s">
        <v>25053</v>
      </c>
      <c r="CL576" t="s">
        <v>25043</v>
      </c>
      <c r="CM576" t="s">
        <v>376</v>
      </c>
      <c r="CN576" t="s">
        <v>11592</v>
      </c>
      <c r="CP576" t="s">
        <v>25054</v>
      </c>
      <c r="CQ576" t="s">
        <v>25054</v>
      </c>
    </row>
    <row r="577" spans="1:95" customFormat="1">
      <c r="A577" t="s">
        <v>26356</v>
      </c>
      <c r="B577">
        <v>320217</v>
      </c>
      <c r="C577" s="50"/>
      <c r="D577" t="s">
        <v>25055</v>
      </c>
      <c r="E577" s="50"/>
      <c r="I577" s="50"/>
      <c r="J577" s="51"/>
      <c r="K577" t="s">
        <v>848</v>
      </c>
      <c r="L577">
        <v>290920</v>
      </c>
      <c r="M577">
        <v>343286</v>
      </c>
      <c r="N577">
        <v>0</v>
      </c>
      <c r="O577">
        <v>0</v>
      </c>
      <c r="Q577">
        <v>0</v>
      </c>
      <c r="R577">
        <v>0</v>
      </c>
      <c r="T577">
        <v>290920</v>
      </c>
      <c r="U577">
        <v>572</v>
      </c>
      <c r="V577" t="s">
        <v>196</v>
      </c>
      <c r="W577" t="s">
        <v>102</v>
      </c>
      <c r="X577" t="s">
        <v>103</v>
      </c>
      <c r="Y577" t="s">
        <v>104</v>
      </c>
      <c r="AA577" t="s">
        <v>22459</v>
      </c>
      <c r="AB577" t="s">
        <v>25057</v>
      </c>
      <c r="AC577" t="s">
        <v>21828</v>
      </c>
      <c r="AD577" t="s">
        <v>25057</v>
      </c>
      <c r="AE577" t="s">
        <v>109</v>
      </c>
      <c r="AF577" t="s">
        <v>102</v>
      </c>
      <c r="AG577" t="s">
        <v>109</v>
      </c>
      <c r="AH577" t="s">
        <v>102</v>
      </c>
      <c r="AI577" t="s">
        <v>102</v>
      </c>
      <c r="AJ577" t="s">
        <v>13662</v>
      </c>
      <c r="AK577" t="s">
        <v>13662</v>
      </c>
      <c r="AL577" t="s">
        <v>102</v>
      </c>
      <c r="AM577" t="s">
        <v>13597</v>
      </c>
      <c r="AN577" t="s">
        <v>24990</v>
      </c>
      <c r="AO577" t="s">
        <v>20895</v>
      </c>
      <c r="AP577" t="s">
        <v>20895</v>
      </c>
      <c r="AU577" t="s">
        <v>102</v>
      </c>
      <c r="AW577" t="s">
        <v>102</v>
      </c>
      <c r="AX577" t="s">
        <v>119</v>
      </c>
      <c r="BA577" t="s">
        <v>250</v>
      </c>
      <c r="BB577" t="s">
        <v>120</v>
      </c>
      <c r="BC577" t="s">
        <v>25058</v>
      </c>
      <c r="BD577" t="s">
        <v>376</v>
      </c>
      <c r="BE577" t="s">
        <v>174</v>
      </c>
      <c r="BF577" t="s">
        <v>376</v>
      </c>
      <c r="BG577" t="s">
        <v>124</v>
      </c>
      <c r="BH577" t="s">
        <v>12250</v>
      </c>
      <c r="BI577" t="s">
        <v>21667</v>
      </c>
      <c r="BJ577" t="s">
        <v>127</v>
      </c>
      <c r="BK577" t="s">
        <v>25059</v>
      </c>
      <c r="BL577" t="s">
        <v>25060</v>
      </c>
      <c r="BM577" t="s">
        <v>25061</v>
      </c>
      <c r="BN577" t="s">
        <v>15028</v>
      </c>
      <c r="BO577" t="s">
        <v>13780</v>
      </c>
      <c r="BP577" t="s">
        <v>180</v>
      </c>
      <c r="BQ577" t="s">
        <v>13781</v>
      </c>
      <c r="BR577" t="s">
        <v>13782</v>
      </c>
      <c r="BS577" t="s">
        <v>13783</v>
      </c>
      <c r="BU577" t="s">
        <v>25062</v>
      </c>
      <c r="BV577" t="s">
        <v>25063</v>
      </c>
      <c r="BW577" t="s">
        <v>138</v>
      </c>
      <c r="BX577" t="s">
        <v>25064</v>
      </c>
      <c r="BY577" t="s">
        <v>25065</v>
      </c>
      <c r="BZ577" t="s">
        <v>25066</v>
      </c>
      <c r="CA577" t="s">
        <v>25067</v>
      </c>
      <c r="CB577" t="s">
        <v>25068</v>
      </c>
      <c r="CC577" t="s">
        <v>25065</v>
      </c>
      <c r="CD577" t="s">
        <v>25067</v>
      </c>
      <c r="CE577" t="s">
        <v>25068</v>
      </c>
      <c r="CF577" t="s">
        <v>25065</v>
      </c>
      <c r="CG577" t="s">
        <v>102</v>
      </c>
      <c r="CH577" t="s">
        <v>25069</v>
      </c>
      <c r="CJ577" t="s">
        <v>25070</v>
      </c>
      <c r="CK577" t="s">
        <v>25071</v>
      </c>
      <c r="CL577" t="s">
        <v>25058</v>
      </c>
      <c r="CM577" t="s">
        <v>376</v>
      </c>
      <c r="CN577" t="s">
        <v>25070</v>
      </c>
      <c r="CP577" t="s">
        <v>25069</v>
      </c>
      <c r="CQ577" t="s">
        <v>25069</v>
      </c>
    </row>
    <row r="578" spans="1:95" customFormat="1">
      <c r="A578" t="s">
        <v>337</v>
      </c>
      <c r="B578">
        <v>3206686</v>
      </c>
      <c r="C578" s="50"/>
      <c r="D578" t="s">
        <v>23514</v>
      </c>
      <c r="E578" s="50"/>
      <c r="I578" s="50"/>
      <c r="J578" s="51"/>
      <c r="K578" t="s">
        <v>97</v>
      </c>
      <c r="L578">
        <v>498000</v>
      </c>
      <c r="M578">
        <v>498000</v>
      </c>
      <c r="N578">
        <v>498000</v>
      </c>
      <c r="O578">
        <v>830</v>
      </c>
      <c r="P578" t="s">
        <v>310</v>
      </c>
      <c r="Q578">
        <v>0</v>
      </c>
      <c r="R578">
        <v>0</v>
      </c>
      <c r="T578">
        <v>0</v>
      </c>
      <c r="U578">
        <v>0</v>
      </c>
      <c r="W578" t="s">
        <v>102</v>
      </c>
      <c r="X578" t="s">
        <v>103</v>
      </c>
      <c r="Y578" t="s">
        <v>104</v>
      </c>
      <c r="AA578" t="s">
        <v>22526</v>
      </c>
      <c r="AB578" t="s">
        <v>23516</v>
      </c>
      <c r="AC578" t="s">
        <v>22459</v>
      </c>
      <c r="AD578" t="s">
        <v>23516</v>
      </c>
      <c r="AE578" t="s">
        <v>109</v>
      </c>
      <c r="AF578" t="s">
        <v>102</v>
      </c>
      <c r="AG578" t="s">
        <v>109</v>
      </c>
      <c r="AH578" t="s">
        <v>102</v>
      </c>
      <c r="AI578" t="s">
        <v>102</v>
      </c>
      <c r="AJ578" t="s">
        <v>23517</v>
      </c>
      <c r="AK578" t="s">
        <v>23517</v>
      </c>
      <c r="AL578" t="s">
        <v>102</v>
      </c>
      <c r="AM578" t="s">
        <v>10017</v>
      </c>
      <c r="AN578" t="s">
        <v>24299</v>
      </c>
      <c r="AO578" t="s">
        <v>317</v>
      </c>
      <c r="AP578" t="s">
        <v>317</v>
      </c>
      <c r="AU578" t="s">
        <v>318</v>
      </c>
      <c r="AV578" t="s">
        <v>118</v>
      </c>
      <c r="AW578" t="s">
        <v>102</v>
      </c>
      <c r="AX578" t="s">
        <v>119</v>
      </c>
      <c r="BB578" t="s">
        <v>171</v>
      </c>
      <c r="BC578" t="s">
        <v>12162</v>
      </c>
      <c r="BD578" t="s">
        <v>1171</v>
      </c>
      <c r="BE578" t="s">
        <v>174</v>
      </c>
      <c r="BF578" t="s">
        <v>1172</v>
      </c>
      <c r="BG578" t="s">
        <v>124</v>
      </c>
      <c r="BH578" t="s">
        <v>12250</v>
      </c>
      <c r="BI578" t="s">
        <v>21667</v>
      </c>
      <c r="BJ578" t="s">
        <v>127</v>
      </c>
      <c r="BK578" t="s">
        <v>23518</v>
      </c>
      <c r="BL578" t="s">
        <v>23519</v>
      </c>
      <c r="BM578" t="s">
        <v>23520</v>
      </c>
      <c r="BN578" t="s">
        <v>23505</v>
      </c>
      <c r="BO578" t="s">
        <v>5557</v>
      </c>
      <c r="BP578" t="s">
        <v>180</v>
      </c>
      <c r="BQ578" t="s">
        <v>5558</v>
      </c>
      <c r="BR578" t="s">
        <v>5559</v>
      </c>
      <c r="BS578" t="s">
        <v>5560</v>
      </c>
      <c r="BU578" t="s">
        <v>23521</v>
      </c>
      <c r="BV578" t="s">
        <v>23522</v>
      </c>
      <c r="BW578" t="s">
        <v>354</v>
      </c>
      <c r="BX578" t="s">
        <v>23523</v>
      </c>
      <c r="BY578" t="s">
        <v>23524</v>
      </c>
      <c r="BZ578" t="s">
        <v>23525</v>
      </c>
      <c r="CA578" t="s">
        <v>23526</v>
      </c>
      <c r="CB578" t="s">
        <v>23523</v>
      </c>
      <c r="CC578" t="s">
        <v>23527</v>
      </c>
      <c r="CD578" t="s">
        <v>23526</v>
      </c>
      <c r="CE578" t="s">
        <v>23523</v>
      </c>
      <c r="CF578" t="s">
        <v>23527</v>
      </c>
      <c r="CG578" t="s">
        <v>12171</v>
      </c>
      <c r="CH578" t="s">
        <v>102</v>
      </c>
      <c r="CJ578" t="s">
        <v>23528</v>
      </c>
      <c r="CK578" t="s">
        <v>23529</v>
      </c>
      <c r="CL578" t="s">
        <v>12162</v>
      </c>
      <c r="CM578" t="s">
        <v>1171</v>
      </c>
      <c r="CN578" t="s">
        <v>23528</v>
      </c>
      <c r="CP578" t="s">
        <v>23530</v>
      </c>
      <c r="CQ578" t="s">
        <v>23530</v>
      </c>
    </row>
    <row r="579" spans="1:95" customFormat="1">
      <c r="A579" t="s">
        <v>337</v>
      </c>
      <c r="B579">
        <v>3221470</v>
      </c>
      <c r="C579" s="50"/>
      <c r="D579" t="s">
        <v>22116</v>
      </c>
      <c r="E579" s="50"/>
      <c r="I579" s="50"/>
      <c r="J579" s="51"/>
      <c r="K579" t="s">
        <v>97</v>
      </c>
      <c r="L579">
        <v>454935</v>
      </c>
      <c r="M579">
        <v>454935</v>
      </c>
      <c r="N579">
        <v>454935</v>
      </c>
      <c r="O579">
        <v>650</v>
      </c>
      <c r="P579" t="s">
        <v>799</v>
      </c>
      <c r="Q579">
        <v>0</v>
      </c>
      <c r="R579">
        <v>0</v>
      </c>
      <c r="T579">
        <v>0</v>
      </c>
      <c r="U579">
        <v>0</v>
      </c>
      <c r="W579" t="s">
        <v>102</v>
      </c>
      <c r="X579" t="s">
        <v>103</v>
      </c>
      <c r="Y579" t="s">
        <v>155</v>
      </c>
      <c r="AA579" t="s">
        <v>12435</v>
      </c>
      <c r="AB579" t="s">
        <v>22118</v>
      </c>
      <c r="AC579" t="s">
        <v>12720</v>
      </c>
      <c r="AD579" t="s">
        <v>22118</v>
      </c>
      <c r="AE579" t="s">
        <v>22119</v>
      </c>
      <c r="AF579" t="s">
        <v>22118</v>
      </c>
      <c r="AG579" t="s">
        <v>21687</v>
      </c>
      <c r="AH579" t="s">
        <v>22118</v>
      </c>
      <c r="AI579" t="s">
        <v>102</v>
      </c>
      <c r="AJ579" t="s">
        <v>21768</v>
      </c>
      <c r="AK579" t="s">
        <v>21768</v>
      </c>
      <c r="AL579" t="s">
        <v>102</v>
      </c>
      <c r="AM579" t="s">
        <v>2555</v>
      </c>
      <c r="AN579" t="s">
        <v>22120</v>
      </c>
      <c r="AO579" t="s">
        <v>10612</v>
      </c>
      <c r="AP579" t="s">
        <v>10612</v>
      </c>
      <c r="AU579" t="s">
        <v>318</v>
      </c>
      <c r="AV579" t="s">
        <v>118</v>
      </c>
      <c r="AW579" t="s">
        <v>102</v>
      </c>
      <c r="AX579" t="s">
        <v>119</v>
      </c>
      <c r="BB579" t="s">
        <v>120</v>
      </c>
      <c r="BC579" t="s">
        <v>12104</v>
      </c>
      <c r="BD579" t="s">
        <v>1208</v>
      </c>
      <c r="BE579" t="s">
        <v>174</v>
      </c>
      <c r="BF579" t="s">
        <v>1172</v>
      </c>
      <c r="BG579" t="s">
        <v>124</v>
      </c>
      <c r="BH579" t="s">
        <v>12250</v>
      </c>
      <c r="BI579" t="s">
        <v>21667</v>
      </c>
      <c r="BJ579" t="s">
        <v>127</v>
      </c>
      <c r="BK579" t="s">
        <v>22121</v>
      </c>
      <c r="BL579" t="s">
        <v>22122</v>
      </c>
      <c r="BM579" t="s">
        <v>22123</v>
      </c>
      <c r="BN579" t="s">
        <v>13245</v>
      </c>
      <c r="BO579" t="s">
        <v>7512</v>
      </c>
      <c r="BP579" t="s">
        <v>180</v>
      </c>
      <c r="BQ579" t="s">
        <v>7513</v>
      </c>
      <c r="BR579" t="s">
        <v>7514</v>
      </c>
      <c r="BS579" t="s">
        <v>7515</v>
      </c>
      <c r="BU579" t="s">
        <v>22125</v>
      </c>
      <c r="BV579" t="s">
        <v>22126</v>
      </c>
      <c r="BW579" t="s">
        <v>138</v>
      </c>
      <c r="BX579" t="s">
        <v>22127</v>
      </c>
      <c r="BY579" t="s">
        <v>22128</v>
      </c>
      <c r="BZ579" t="s">
        <v>22127</v>
      </c>
      <c r="CA579" t="s">
        <v>22129</v>
      </c>
      <c r="CB579" t="s">
        <v>22127</v>
      </c>
      <c r="CC579" t="s">
        <v>22128</v>
      </c>
      <c r="CD579" t="s">
        <v>22129</v>
      </c>
      <c r="CE579" t="s">
        <v>22127</v>
      </c>
      <c r="CF579" t="s">
        <v>22128</v>
      </c>
      <c r="CG579" t="s">
        <v>20469</v>
      </c>
      <c r="CH579" t="s">
        <v>22130</v>
      </c>
      <c r="CJ579" t="s">
        <v>22131</v>
      </c>
      <c r="CK579" t="s">
        <v>12104</v>
      </c>
      <c r="CL579" t="s">
        <v>12104</v>
      </c>
      <c r="CM579" t="s">
        <v>1208</v>
      </c>
      <c r="CN579" t="s">
        <v>22131</v>
      </c>
      <c r="CP579" t="s">
        <v>12104</v>
      </c>
      <c r="CQ579" t="s">
        <v>12104</v>
      </c>
    </row>
    <row r="580" spans="1:95" customFormat="1">
      <c r="A580" t="s">
        <v>337</v>
      </c>
      <c r="B580">
        <v>3224798</v>
      </c>
      <c r="C580" s="50"/>
      <c r="D580" t="s">
        <v>22132</v>
      </c>
      <c r="E580" s="50"/>
      <c r="I580" s="50"/>
      <c r="J580" s="51"/>
      <c r="K580" t="s">
        <v>848</v>
      </c>
      <c r="L580">
        <v>1086937</v>
      </c>
      <c r="M580">
        <v>1282586</v>
      </c>
      <c r="N580">
        <v>0</v>
      </c>
      <c r="O580">
        <v>0</v>
      </c>
      <c r="Q580">
        <v>0</v>
      </c>
      <c r="R580">
        <v>0</v>
      </c>
      <c r="T580">
        <v>1086937</v>
      </c>
      <c r="U580">
        <v>1001</v>
      </c>
      <c r="V580" t="s">
        <v>22134</v>
      </c>
      <c r="W580" t="s">
        <v>102</v>
      </c>
      <c r="X580" t="s">
        <v>103</v>
      </c>
      <c r="Y580" t="s">
        <v>155</v>
      </c>
      <c r="AA580" t="s">
        <v>14024</v>
      </c>
      <c r="AB580" t="s">
        <v>22135</v>
      </c>
      <c r="AC580" t="s">
        <v>21664</v>
      </c>
      <c r="AD580" t="s">
        <v>22135</v>
      </c>
      <c r="AE580" t="s">
        <v>21665</v>
      </c>
      <c r="AF580" t="s">
        <v>22135</v>
      </c>
      <c r="AG580" t="s">
        <v>21874</v>
      </c>
      <c r="AH580" t="s">
        <v>22135</v>
      </c>
      <c r="AI580" t="s">
        <v>24301</v>
      </c>
      <c r="AJ580" t="s">
        <v>17126</v>
      </c>
      <c r="AK580" t="s">
        <v>23689</v>
      </c>
      <c r="AL580" t="s">
        <v>22135</v>
      </c>
      <c r="AM580" t="s">
        <v>24302</v>
      </c>
      <c r="AN580" t="s">
        <v>102</v>
      </c>
      <c r="AO580" t="s">
        <v>22136</v>
      </c>
      <c r="AP580" t="s">
        <v>22137</v>
      </c>
      <c r="AR580" t="s">
        <v>169</v>
      </c>
      <c r="AU580" t="s">
        <v>102</v>
      </c>
      <c r="AW580" t="s">
        <v>102</v>
      </c>
      <c r="AX580" t="s">
        <v>119</v>
      </c>
      <c r="BA580" t="s">
        <v>250</v>
      </c>
      <c r="BB580" t="s">
        <v>120</v>
      </c>
      <c r="BC580" t="s">
        <v>121</v>
      </c>
      <c r="BD580" t="s">
        <v>121</v>
      </c>
      <c r="BE580" t="s">
        <v>122</v>
      </c>
      <c r="BF580" t="s">
        <v>123</v>
      </c>
      <c r="BG580" t="s">
        <v>124</v>
      </c>
      <c r="BH580" t="s">
        <v>12250</v>
      </c>
      <c r="BI580" t="s">
        <v>21667</v>
      </c>
      <c r="BJ580" t="s">
        <v>127</v>
      </c>
      <c r="BK580" t="s">
        <v>22138</v>
      </c>
      <c r="BL580" t="s">
        <v>22139</v>
      </c>
      <c r="BM580" t="s">
        <v>22140</v>
      </c>
      <c r="BN580" t="s">
        <v>21260</v>
      </c>
      <c r="BO580" t="s">
        <v>131</v>
      </c>
      <c r="BP580" t="s">
        <v>350</v>
      </c>
      <c r="BQ580" t="s">
        <v>133</v>
      </c>
      <c r="BR580" t="s">
        <v>134</v>
      </c>
      <c r="BS580" t="s">
        <v>455</v>
      </c>
      <c r="BU580" t="s">
        <v>22141</v>
      </c>
      <c r="BV580" t="s">
        <v>22142</v>
      </c>
      <c r="BW580" t="s">
        <v>138</v>
      </c>
      <c r="BX580" t="s">
        <v>22143</v>
      </c>
      <c r="BY580" t="s">
        <v>22144</v>
      </c>
      <c r="CA580" t="s">
        <v>22142</v>
      </c>
      <c r="CB580" t="s">
        <v>22145</v>
      </c>
      <c r="CC580" t="s">
        <v>22144</v>
      </c>
      <c r="CD580" t="s">
        <v>22142</v>
      </c>
      <c r="CE580" t="s">
        <v>22145</v>
      </c>
      <c r="CF580" t="s">
        <v>22144</v>
      </c>
      <c r="CG580" t="s">
        <v>102</v>
      </c>
      <c r="CH580" t="s">
        <v>22146</v>
      </c>
      <c r="CJ580" t="s">
        <v>22147</v>
      </c>
      <c r="CK580" t="s">
        <v>22146</v>
      </c>
      <c r="CL580" t="s">
        <v>121</v>
      </c>
      <c r="CM580" t="s">
        <v>121</v>
      </c>
      <c r="CN580" t="s">
        <v>22147</v>
      </c>
      <c r="CO580" t="s">
        <v>24303</v>
      </c>
      <c r="CP580" t="s">
        <v>22146</v>
      </c>
      <c r="CQ580" t="s">
        <v>22146</v>
      </c>
    </row>
    <row r="581" spans="1:95" customFormat="1">
      <c r="A581" t="s">
        <v>337</v>
      </c>
      <c r="B581">
        <v>3339084</v>
      </c>
      <c r="C581" s="50"/>
      <c r="D581" t="s">
        <v>26131</v>
      </c>
      <c r="E581" s="50"/>
      <c r="I581" s="50"/>
      <c r="J581" s="51"/>
      <c r="K581" t="s">
        <v>152</v>
      </c>
      <c r="L581">
        <v>138602</v>
      </c>
      <c r="M581">
        <v>138602</v>
      </c>
      <c r="N581">
        <v>0</v>
      </c>
      <c r="O581">
        <v>0</v>
      </c>
      <c r="Q581">
        <v>138602</v>
      </c>
      <c r="R581">
        <v>105</v>
      </c>
      <c r="S581" t="s">
        <v>16755</v>
      </c>
      <c r="T581">
        <v>0</v>
      </c>
      <c r="U581">
        <v>0</v>
      </c>
      <c r="W581" t="s">
        <v>102</v>
      </c>
      <c r="X581" t="s">
        <v>103</v>
      </c>
      <c r="Y581" t="s">
        <v>104</v>
      </c>
      <c r="AA581" t="s">
        <v>21790</v>
      </c>
      <c r="AB581" t="s">
        <v>26133</v>
      </c>
      <c r="AC581" t="s">
        <v>22387</v>
      </c>
      <c r="AD581" t="s">
        <v>26133</v>
      </c>
      <c r="AE581" t="s">
        <v>109</v>
      </c>
      <c r="AF581" t="s">
        <v>102</v>
      </c>
      <c r="AG581" t="s">
        <v>109</v>
      </c>
      <c r="AH581" t="s">
        <v>102</v>
      </c>
      <c r="AI581" t="s">
        <v>102</v>
      </c>
      <c r="AJ581" t="s">
        <v>13662</v>
      </c>
      <c r="AK581" t="s">
        <v>13662</v>
      </c>
      <c r="AL581" t="s">
        <v>26133</v>
      </c>
      <c r="AM581" t="s">
        <v>26133</v>
      </c>
      <c r="AN581" t="s">
        <v>102</v>
      </c>
      <c r="AO581" t="s">
        <v>22463</v>
      </c>
      <c r="AP581" t="s">
        <v>22463</v>
      </c>
      <c r="AU581" t="s">
        <v>102</v>
      </c>
      <c r="AW581" t="s">
        <v>155</v>
      </c>
      <c r="AX581" t="s">
        <v>447</v>
      </c>
      <c r="AY581" t="s">
        <v>170</v>
      </c>
      <c r="AZ581" t="s">
        <v>118</v>
      </c>
      <c r="BB581" t="s">
        <v>120</v>
      </c>
      <c r="BC581" t="s">
        <v>26134</v>
      </c>
      <c r="BD581" t="s">
        <v>556</v>
      </c>
      <c r="BE581" t="s">
        <v>122</v>
      </c>
      <c r="BF581" t="s">
        <v>557</v>
      </c>
      <c r="BG581" t="s">
        <v>124</v>
      </c>
      <c r="BH581" t="s">
        <v>12250</v>
      </c>
      <c r="BI581" t="s">
        <v>21667</v>
      </c>
      <c r="BJ581" t="s">
        <v>127</v>
      </c>
      <c r="BK581" t="s">
        <v>26135</v>
      </c>
      <c r="BL581" t="s">
        <v>26136</v>
      </c>
      <c r="BM581" t="s">
        <v>26137</v>
      </c>
      <c r="BN581" t="s">
        <v>23889</v>
      </c>
      <c r="BO581" t="s">
        <v>563</v>
      </c>
      <c r="BP581" t="s">
        <v>350</v>
      </c>
      <c r="BQ581" t="s">
        <v>564</v>
      </c>
      <c r="BR581" t="s">
        <v>565</v>
      </c>
      <c r="BS581" t="s">
        <v>563</v>
      </c>
      <c r="BT581" t="s">
        <v>2332</v>
      </c>
      <c r="BU581" t="s">
        <v>26138</v>
      </c>
      <c r="BV581" t="s">
        <v>26139</v>
      </c>
      <c r="BW581" t="s">
        <v>138</v>
      </c>
      <c r="BX581" t="s">
        <v>26140</v>
      </c>
      <c r="BY581" t="s">
        <v>26141</v>
      </c>
      <c r="BZ581" t="s">
        <v>26142</v>
      </c>
      <c r="CA581" t="s">
        <v>26139</v>
      </c>
      <c r="CB581" t="s">
        <v>26140</v>
      </c>
      <c r="CC581" t="s">
        <v>26143</v>
      </c>
      <c r="CD581" t="s">
        <v>26144</v>
      </c>
      <c r="CE581" t="s">
        <v>26140</v>
      </c>
      <c r="CF581" t="s">
        <v>26145</v>
      </c>
      <c r="CG581" t="s">
        <v>6457</v>
      </c>
      <c r="CH581" t="s">
        <v>26146</v>
      </c>
      <c r="CJ581" t="s">
        <v>26147</v>
      </c>
      <c r="CK581" t="s">
        <v>26146</v>
      </c>
      <c r="CL581" t="s">
        <v>26134</v>
      </c>
      <c r="CM581" t="s">
        <v>556</v>
      </c>
      <c r="CN581" t="s">
        <v>26147</v>
      </c>
      <c r="CP581" t="s">
        <v>26148</v>
      </c>
      <c r="CQ581" t="s">
        <v>26148</v>
      </c>
    </row>
    <row r="582" spans="1:95" customFormat="1">
      <c r="A582" t="s">
        <v>93</v>
      </c>
      <c r="B582">
        <v>3409378</v>
      </c>
      <c r="C582" s="50"/>
      <c r="D582" t="s">
        <v>15907</v>
      </c>
      <c r="E582" s="50"/>
      <c r="I582" s="50"/>
      <c r="J582" s="51"/>
      <c r="K582" t="s">
        <v>152</v>
      </c>
      <c r="L582">
        <v>564127</v>
      </c>
      <c r="M582">
        <v>564127</v>
      </c>
      <c r="N582">
        <v>0</v>
      </c>
      <c r="O582">
        <v>0</v>
      </c>
      <c r="Q582">
        <v>564127</v>
      </c>
      <c r="R582">
        <v>738</v>
      </c>
      <c r="S582" t="s">
        <v>22252</v>
      </c>
      <c r="T582">
        <v>0</v>
      </c>
      <c r="U582">
        <v>0</v>
      </c>
      <c r="W582" t="s">
        <v>102</v>
      </c>
      <c r="X582" t="s">
        <v>103</v>
      </c>
      <c r="Y582" t="s">
        <v>155</v>
      </c>
      <c r="AA582" t="s">
        <v>12430</v>
      </c>
      <c r="AB582" t="s">
        <v>22253</v>
      </c>
      <c r="AC582" t="s">
        <v>13662</v>
      </c>
      <c r="AD582" t="s">
        <v>22254</v>
      </c>
      <c r="AE582" t="s">
        <v>22190</v>
      </c>
      <c r="AF582" t="s">
        <v>22255</v>
      </c>
      <c r="AG582" t="s">
        <v>21872</v>
      </c>
      <c r="AH582" t="s">
        <v>22255</v>
      </c>
      <c r="AI582" t="s">
        <v>102</v>
      </c>
      <c r="AJ582" t="s">
        <v>21711</v>
      </c>
      <c r="AK582" t="s">
        <v>17126</v>
      </c>
      <c r="AL582" t="s">
        <v>25830</v>
      </c>
      <c r="AM582" t="s">
        <v>22256</v>
      </c>
      <c r="AN582" t="s">
        <v>25831</v>
      </c>
      <c r="AO582" t="s">
        <v>22257</v>
      </c>
      <c r="AP582" t="s">
        <v>22257</v>
      </c>
      <c r="AU582" t="s">
        <v>102</v>
      </c>
      <c r="AW582" t="s">
        <v>102</v>
      </c>
      <c r="AX582" t="s">
        <v>119</v>
      </c>
      <c r="AY582" t="s">
        <v>1138</v>
      </c>
      <c r="AZ582" t="s">
        <v>118</v>
      </c>
      <c r="BB582" t="s">
        <v>120</v>
      </c>
      <c r="BC582" t="s">
        <v>409</v>
      </c>
      <c r="BD582" t="s">
        <v>410</v>
      </c>
      <c r="BE582" t="s">
        <v>212</v>
      </c>
      <c r="BF582" t="s">
        <v>410</v>
      </c>
      <c r="BG582" t="s">
        <v>124</v>
      </c>
      <c r="BH582" t="s">
        <v>12250</v>
      </c>
      <c r="BI582" t="s">
        <v>21667</v>
      </c>
      <c r="BJ582" t="s">
        <v>127</v>
      </c>
      <c r="BK582" t="s">
        <v>22258</v>
      </c>
      <c r="BL582" t="s">
        <v>15909</v>
      </c>
      <c r="BM582" t="s">
        <v>22259</v>
      </c>
      <c r="BN582" t="s">
        <v>12728</v>
      </c>
      <c r="BO582" t="s">
        <v>15911</v>
      </c>
      <c r="BP582" t="s">
        <v>132</v>
      </c>
      <c r="BQ582" t="s">
        <v>15912</v>
      </c>
      <c r="BR582" t="s">
        <v>15913</v>
      </c>
      <c r="BS582" t="s">
        <v>9337</v>
      </c>
      <c r="BU582" t="s">
        <v>22260</v>
      </c>
      <c r="BV582" t="s">
        <v>15915</v>
      </c>
      <c r="BW582" t="s">
        <v>598</v>
      </c>
      <c r="BX582" t="s">
        <v>22261</v>
      </c>
      <c r="BY582" t="s">
        <v>15917</v>
      </c>
      <c r="BZ582" t="s">
        <v>15916</v>
      </c>
      <c r="CA582" t="s">
        <v>22262</v>
      </c>
      <c r="CB582" t="s">
        <v>22261</v>
      </c>
      <c r="CC582" t="s">
        <v>22263</v>
      </c>
      <c r="CD582" t="s">
        <v>22262</v>
      </c>
      <c r="CE582" t="s">
        <v>22261</v>
      </c>
      <c r="CF582" t="s">
        <v>22263</v>
      </c>
      <c r="CG582" t="s">
        <v>573</v>
      </c>
      <c r="CH582" t="s">
        <v>15918</v>
      </c>
      <c r="CJ582" t="s">
        <v>9348</v>
      </c>
      <c r="CK582" t="s">
        <v>15918</v>
      </c>
      <c r="CL582" t="s">
        <v>409</v>
      </c>
      <c r="CM582" t="s">
        <v>410</v>
      </c>
      <c r="CN582" t="s">
        <v>9348</v>
      </c>
      <c r="CP582" t="s">
        <v>15918</v>
      </c>
      <c r="CQ582" t="s">
        <v>15918</v>
      </c>
    </row>
    <row r="583" spans="1:95" customFormat="1">
      <c r="A583" t="s">
        <v>93</v>
      </c>
      <c r="B583">
        <v>343343</v>
      </c>
      <c r="C583" s="50"/>
      <c r="D583" t="s">
        <v>15949</v>
      </c>
      <c r="E583" s="50"/>
      <c r="I583" s="50"/>
      <c r="J583" s="51"/>
      <c r="K583" t="s">
        <v>848</v>
      </c>
      <c r="L583">
        <v>748000</v>
      </c>
      <c r="M583">
        <v>882460</v>
      </c>
      <c r="N583">
        <v>0</v>
      </c>
      <c r="O583">
        <v>0</v>
      </c>
      <c r="P583" t="s">
        <v>102</v>
      </c>
      <c r="Q583">
        <v>0</v>
      </c>
      <c r="R583">
        <v>0</v>
      </c>
      <c r="S583" t="s">
        <v>102</v>
      </c>
      <c r="T583">
        <v>748000</v>
      </c>
      <c r="U583">
        <v>440</v>
      </c>
      <c r="V583" t="s">
        <v>102</v>
      </c>
      <c r="W583" t="s">
        <v>102</v>
      </c>
      <c r="X583" t="s">
        <v>275</v>
      </c>
      <c r="Y583" t="s">
        <v>115</v>
      </c>
      <c r="Z583" t="s">
        <v>15950</v>
      </c>
      <c r="AA583" t="s">
        <v>15951</v>
      </c>
      <c r="AB583" t="s">
        <v>102</v>
      </c>
      <c r="AC583" t="s">
        <v>15951</v>
      </c>
      <c r="AD583" t="s">
        <v>102</v>
      </c>
      <c r="AE583" t="s">
        <v>15951</v>
      </c>
      <c r="AF583" t="s">
        <v>102</v>
      </c>
      <c r="AG583" t="s">
        <v>15951</v>
      </c>
      <c r="AH583" t="s">
        <v>102</v>
      </c>
      <c r="AI583" t="s">
        <v>102</v>
      </c>
      <c r="AJ583" t="s">
        <v>12383</v>
      </c>
      <c r="AK583" t="s">
        <v>12383</v>
      </c>
      <c r="AL583" t="s">
        <v>22265</v>
      </c>
      <c r="AM583" t="s">
        <v>102</v>
      </c>
      <c r="AN583" t="s">
        <v>22265</v>
      </c>
      <c r="AO583" t="s">
        <v>2202</v>
      </c>
      <c r="AP583" t="s">
        <v>2202</v>
      </c>
      <c r="AQ583" t="s">
        <v>102</v>
      </c>
      <c r="AR583" t="s">
        <v>102</v>
      </c>
      <c r="AS583" t="s">
        <v>102</v>
      </c>
      <c r="AT583" t="s">
        <v>102</v>
      </c>
      <c r="AU583" t="s">
        <v>102</v>
      </c>
      <c r="AW583" t="s">
        <v>102</v>
      </c>
      <c r="AX583" t="s">
        <v>119</v>
      </c>
      <c r="BA583" t="s">
        <v>250</v>
      </c>
      <c r="BB583" t="s">
        <v>120</v>
      </c>
      <c r="BC583" t="s">
        <v>4889</v>
      </c>
      <c r="BD583" t="s">
        <v>730</v>
      </c>
      <c r="BE583" t="s">
        <v>622</v>
      </c>
      <c r="BF583" t="s">
        <v>730</v>
      </c>
      <c r="BG583" t="s">
        <v>124</v>
      </c>
      <c r="BH583" t="s">
        <v>24339</v>
      </c>
      <c r="BI583" t="s">
        <v>22266</v>
      </c>
      <c r="BJ583" t="s">
        <v>15624</v>
      </c>
      <c r="BK583" t="s">
        <v>22267</v>
      </c>
      <c r="BL583" t="s">
        <v>15960</v>
      </c>
      <c r="BM583" t="s">
        <v>22268</v>
      </c>
      <c r="BN583" t="s">
        <v>12383</v>
      </c>
      <c r="BO583" t="s">
        <v>15962</v>
      </c>
      <c r="BP583" t="s">
        <v>3064</v>
      </c>
      <c r="BQ583" t="s">
        <v>15963</v>
      </c>
      <c r="BR583" t="s">
        <v>15964</v>
      </c>
      <c r="BS583" t="s">
        <v>15965</v>
      </c>
      <c r="BT583" t="s">
        <v>15966</v>
      </c>
      <c r="BU583" t="s">
        <v>22269</v>
      </c>
      <c r="BV583" t="s">
        <v>22270</v>
      </c>
      <c r="BW583" t="s">
        <v>138</v>
      </c>
      <c r="BX583" t="s">
        <v>15969</v>
      </c>
      <c r="BY583" t="s">
        <v>22271</v>
      </c>
      <c r="BZ583" t="s">
        <v>15971</v>
      </c>
      <c r="CA583" t="s">
        <v>15972</v>
      </c>
      <c r="CB583" t="s">
        <v>15969</v>
      </c>
      <c r="CC583" t="s">
        <v>22271</v>
      </c>
      <c r="CD583" t="s">
        <v>15972</v>
      </c>
      <c r="CE583" t="s">
        <v>15969</v>
      </c>
      <c r="CF583" t="s">
        <v>22271</v>
      </c>
      <c r="CG583" t="s">
        <v>15973</v>
      </c>
      <c r="CH583" t="s">
        <v>15974</v>
      </c>
      <c r="CJ583" t="s">
        <v>15975</v>
      </c>
      <c r="CK583" t="s">
        <v>15974</v>
      </c>
      <c r="CL583" t="s">
        <v>4889</v>
      </c>
      <c r="CM583" t="s">
        <v>730</v>
      </c>
      <c r="CN583" t="s">
        <v>15975</v>
      </c>
      <c r="CP583" t="s">
        <v>15976</v>
      </c>
      <c r="CQ583" t="s">
        <v>15976</v>
      </c>
    </row>
    <row r="584" spans="1:95" customFormat="1">
      <c r="A584" t="s">
        <v>337</v>
      </c>
      <c r="B584">
        <v>3454135</v>
      </c>
      <c r="C584" s="50"/>
      <c r="D584" t="s">
        <v>22272</v>
      </c>
      <c r="E584" s="50"/>
      <c r="I584" s="50"/>
      <c r="J584" s="51"/>
      <c r="K584" t="s">
        <v>848</v>
      </c>
      <c r="L584">
        <v>2369518</v>
      </c>
      <c r="M584">
        <v>2796031</v>
      </c>
      <c r="N584">
        <v>0</v>
      </c>
      <c r="O584">
        <v>0</v>
      </c>
      <c r="Q584">
        <v>0</v>
      </c>
      <c r="R584">
        <v>0</v>
      </c>
      <c r="T584">
        <v>2369518</v>
      </c>
      <c r="U584">
        <v>1481</v>
      </c>
      <c r="V584" t="s">
        <v>678</v>
      </c>
      <c r="W584" t="s">
        <v>102</v>
      </c>
      <c r="X584" t="s">
        <v>103</v>
      </c>
      <c r="Y584" t="s">
        <v>155</v>
      </c>
      <c r="AA584" t="s">
        <v>18517</v>
      </c>
      <c r="AB584" t="s">
        <v>22274</v>
      </c>
      <c r="AC584" t="s">
        <v>21664</v>
      </c>
      <c r="AD584" t="s">
        <v>22274</v>
      </c>
      <c r="AE584" t="s">
        <v>21665</v>
      </c>
      <c r="AF584" t="s">
        <v>22274</v>
      </c>
      <c r="AG584" t="s">
        <v>21710</v>
      </c>
      <c r="AH584" t="s">
        <v>22274</v>
      </c>
      <c r="AI584" t="s">
        <v>22275</v>
      </c>
      <c r="AJ584" t="s">
        <v>16235</v>
      </c>
      <c r="AK584" t="s">
        <v>16235</v>
      </c>
      <c r="AL584" t="s">
        <v>22274</v>
      </c>
      <c r="AM584" t="s">
        <v>22276</v>
      </c>
      <c r="AN584" t="s">
        <v>22277</v>
      </c>
      <c r="AO584" t="s">
        <v>19302</v>
      </c>
      <c r="AP584" t="s">
        <v>19302</v>
      </c>
      <c r="AU584" t="s">
        <v>102</v>
      </c>
      <c r="AW584" t="s">
        <v>102</v>
      </c>
      <c r="AX584" t="s">
        <v>119</v>
      </c>
      <c r="BA584" t="s">
        <v>250</v>
      </c>
      <c r="BB584" t="s">
        <v>120</v>
      </c>
      <c r="BC584" t="s">
        <v>1407</v>
      </c>
      <c r="BD584" t="s">
        <v>449</v>
      </c>
      <c r="BE584" t="s">
        <v>122</v>
      </c>
      <c r="BF584" t="s">
        <v>450</v>
      </c>
      <c r="BG584" t="s">
        <v>124</v>
      </c>
      <c r="BH584" t="s">
        <v>13208</v>
      </c>
      <c r="BI584" t="s">
        <v>24340</v>
      </c>
      <c r="BJ584" t="s">
        <v>127</v>
      </c>
      <c r="BK584" t="s">
        <v>22278</v>
      </c>
      <c r="BL584" t="s">
        <v>22279</v>
      </c>
      <c r="BM584" t="s">
        <v>22280</v>
      </c>
      <c r="BN584" t="s">
        <v>18517</v>
      </c>
      <c r="BO584" t="s">
        <v>131</v>
      </c>
      <c r="BP584" t="s">
        <v>350</v>
      </c>
      <c r="BQ584" t="s">
        <v>133</v>
      </c>
      <c r="BR584" t="s">
        <v>134</v>
      </c>
      <c r="BS584" t="s">
        <v>455</v>
      </c>
      <c r="BU584" t="s">
        <v>22281</v>
      </c>
      <c r="BV584" t="s">
        <v>4792</v>
      </c>
      <c r="BW584" t="s">
        <v>354</v>
      </c>
      <c r="BX584" t="s">
        <v>4793</v>
      </c>
      <c r="BY584" t="s">
        <v>4794</v>
      </c>
      <c r="BZ584" t="s">
        <v>22282</v>
      </c>
      <c r="CA584" t="s">
        <v>22283</v>
      </c>
      <c r="CB584" t="s">
        <v>22284</v>
      </c>
      <c r="CC584" t="s">
        <v>22285</v>
      </c>
      <c r="CD584" t="s">
        <v>22286</v>
      </c>
      <c r="CE584" t="s">
        <v>22282</v>
      </c>
      <c r="CF584" t="s">
        <v>22287</v>
      </c>
      <c r="CG584" t="s">
        <v>10788</v>
      </c>
      <c r="CH584" t="s">
        <v>22288</v>
      </c>
      <c r="CJ584" t="s">
        <v>5235</v>
      </c>
      <c r="CK584" t="s">
        <v>22288</v>
      </c>
      <c r="CL584" t="s">
        <v>1407</v>
      </c>
      <c r="CM584" t="s">
        <v>449</v>
      </c>
      <c r="CN584" t="s">
        <v>5235</v>
      </c>
      <c r="CO584" t="s">
        <v>4804</v>
      </c>
      <c r="CP584" t="s">
        <v>22288</v>
      </c>
      <c r="CQ584" t="s">
        <v>22288</v>
      </c>
    </row>
    <row r="585" spans="1:95" customFormat="1">
      <c r="A585" t="s">
        <v>337</v>
      </c>
      <c r="B585">
        <v>3460641</v>
      </c>
      <c r="C585" s="50"/>
      <c r="D585" t="s">
        <v>22289</v>
      </c>
      <c r="E585" s="50"/>
      <c r="I585" s="50"/>
      <c r="J585" s="51"/>
      <c r="K585" t="s">
        <v>848</v>
      </c>
      <c r="L585">
        <v>1149971</v>
      </c>
      <c r="M585">
        <v>1356966</v>
      </c>
      <c r="N585">
        <v>0</v>
      </c>
      <c r="O585">
        <v>0</v>
      </c>
      <c r="Q585">
        <v>0</v>
      </c>
      <c r="R585">
        <v>0</v>
      </c>
      <c r="T585">
        <v>1149971</v>
      </c>
      <c r="U585">
        <v>660</v>
      </c>
      <c r="V585" t="s">
        <v>22292</v>
      </c>
      <c r="W585" t="s">
        <v>102</v>
      </c>
      <c r="X585" t="s">
        <v>103</v>
      </c>
      <c r="Y585" t="s">
        <v>155</v>
      </c>
      <c r="AA585" t="s">
        <v>13302</v>
      </c>
      <c r="AB585" t="s">
        <v>22293</v>
      </c>
      <c r="AC585" t="s">
        <v>21664</v>
      </c>
      <c r="AD585" t="s">
        <v>22293</v>
      </c>
      <c r="AE585" t="s">
        <v>21665</v>
      </c>
      <c r="AF585" t="s">
        <v>22293</v>
      </c>
      <c r="AG585" t="s">
        <v>21945</v>
      </c>
      <c r="AH585" t="s">
        <v>22293</v>
      </c>
      <c r="AI585" t="s">
        <v>25137</v>
      </c>
      <c r="AJ585" t="s">
        <v>12680</v>
      </c>
      <c r="AK585" t="s">
        <v>24272</v>
      </c>
      <c r="AL585" t="s">
        <v>22293</v>
      </c>
      <c r="AM585" t="s">
        <v>25138</v>
      </c>
      <c r="AN585" t="s">
        <v>102</v>
      </c>
      <c r="AO585" t="s">
        <v>22294</v>
      </c>
      <c r="AP585" t="s">
        <v>22294</v>
      </c>
      <c r="AU585" t="s">
        <v>102</v>
      </c>
      <c r="AW585" t="s">
        <v>102</v>
      </c>
      <c r="AX585" t="s">
        <v>119</v>
      </c>
      <c r="BA585" t="s">
        <v>250</v>
      </c>
      <c r="BB585" t="s">
        <v>120</v>
      </c>
      <c r="BC585" t="s">
        <v>22295</v>
      </c>
      <c r="BD585" t="s">
        <v>121</v>
      </c>
      <c r="BE585" t="s">
        <v>122</v>
      </c>
      <c r="BF585" t="s">
        <v>123</v>
      </c>
      <c r="BG585" t="s">
        <v>124</v>
      </c>
      <c r="BH585" t="s">
        <v>12250</v>
      </c>
      <c r="BI585" t="s">
        <v>21667</v>
      </c>
      <c r="BJ585" t="s">
        <v>127</v>
      </c>
      <c r="BK585" t="s">
        <v>22296</v>
      </c>
      <c r="BL585" t="s">
        <v>22297</v>
      </c>
      <c r="BM585" t="s">
        <v>22298</v>
      </c>
      <c r="BN585" t="s">
        <v>22290</v>
      </c>
      <c r="BO585" t="s">
        <v>131</v>
      </c>
      <c r="BP585" t="s">
        <v>350</v>
      </c>
      <c r="BQ585" t="s">
        <v>133</v>
      </c>
      <c r="BR585" t="s">
        <v>134</v>
      </c>
      <c r="BS585" t="s">
        <v>455</v>
      </c>
      <c r="BU585" t="s">
        <v>22299</v>
      </c>
      <c r="BV585" t="s">
        <v>22300</v>
      </c>
      <c r="BW585" t="s">
        <v>598</v>
      </c>
      <c r="BX585" t="s">
        <v>22301</v>
      </c>
      <c r="BY585" t="s">
        <v>22302</v>
      </c>
      <c r="CA585" t="s">
        <v>22300</v>
      </c>
      <c r="CB585" t="s">
        <v>22301</v>
      </c>
      <c r="CC585" t="s">
        <v>22302</v>
      </c>
      <c r="CD585" t="s">
        <v>22303</v>
      </c>
      <c r="CE585" t="s">
        <v>22304</v>
      </c>
      <c r="CF585" t="s">
        <v>22305</v>
      </c>
      <c r="CG585" t="s">
        <v>19943</v>
      </c>
      <c r="CH585" t="s">
        <v>22306</v>
      </c>
      <c r="CJ585" t="s">
        <v>22307</v>
      </c>
      <c r="CK585" t="s">
        <v>22289</v>
      </c>
      <c r="CL585" t="s">
        <v>121</v>
      </c>
      <c r="CM585" t="s">
        <v>121</v>
      </c>
      <c r="CN585" t="s">
        <v>22307</v>
      </c>
      <c r="CO585" t="s">
        <v>22308</v>
      </c>
      <c r="CP585" t="s">
        <v>22289</v>
      </c>
      <c r="CQ585" t="s">
        <v>13983</v>
      </c>
    </row>
    <row r="586" spans="1:95" customFormat="1">
      <c r="A586" t="s">
        <v>337</v>
      </c>
      <c r="B586">
        <v>3465547</v>
      </c>
      <c r="C586" s="50"/>
      <c r="D586" t="s">
        <v>22332</v>
      </c>
      <c r="E586" s="50"/>
      <c r="I586" s="50"/>
      <c r="J586" s="51"/>
      <c r="K586" t="s">
        <v>97</v>
      </c>
      <c r="L586">
        <v>257250</v>
      </c>
      <c r="M586">
        <v>257250</v>
      </c>
      <c r="N586">
        <v>257250</v>
      </c>
      <c r="O586">
        <v>245</v>
      </c>
      <c r="P586" t="s">
        <v>433</v>
      </c>
      <c r="Q586">
        <v>0</v>
      </c>
      <c r="R586">
        <v>0</v>
      </c>
      <c r="T586">
        <v>0</v>
      </c>
      <c r="U586">
        <v>0</v>
      </c>
      <c r="W586" t="s">
        <v>102</v>
      </c>
      <c r="X586" t="s">
        <v>103</v>
      </c>
      <c r="Y586" t="s">
        <v>155</v>
      </c>
      <c r="AA586" t="s">
        <v>12729</v>
      </c>
      <c r="AB586" t="s">
        <v>22334</v>
      </c>
      <c r="AC586" t="s">
        <v>13208</v>
      </c>
      <c r="AD586" t="s">
        <v>22334</v>
      </c>
      <c r="AE586" t="s">
        <v>12435</v>
      </c>
      <c r="AF586" t="s">
        <v>22334</v>
      </c>
      <c r="AG586" t="s">
        <v>21731</v>
      </c>
      <c r="AH586" t="s">
        <v>22334</v>
      </c>
      <c r="AI586" t="s">
        <v>102</v>
      </c>
      <c r="AJ586" t="s">
        <v>12729</v>
      </c>
      <c r="AK586" t="s">
        <v>12729</v>
      </c>
      <c r="AL586" t="s">
        <v>24341</v>
      </c>
      <c r="AM586" t="s">
        <v>9917</v>
      </c>
      <c r="AN586" t="s">
        <v>24342</v>
      </c>
      <c r="AO586" t="s">
        <v>4664</v>
      </c>
      <c r="AP586" t="s">
        <v>4664</v>
      </c>
      <c r="AU586" t="s">
        <v>318</v>
      </c>
      <c r="AV586" t="s">
        <v>118</v>
      </c>
      <c r="AW586" t="s">
        <v>102</v>
      </c>
      <c r="AX586" t="s">
        <v>119</v>
      </c>
      <c r="BB586" t="s">
        <v>120</v>
      </c>
      <c r="BC586" t="s">
        <v>9082</v>
      </c>
      <c r="BD586" t="s">
        <v>1244</v>
      </c>
      <c r="BE586" t="s">
        <v>122</v>
      </c>
      <c r="BF586" t="s">
        <v>1244</v>
      </c>
      <c r="BG586" t="s">
        <v>124</v>
      </c>
      <c r="BH586" t="s">
        <v>12250</v>
      </c>
      <c r="BI586" t="s">
        <v>21667</v>
      </c>
      <c r="BJ586" t="s">
        <v>127</v>
      </c>
      <c r="BK586" t="s">
        <v>22335</v>
      </c>
      <c r="BL586" t="s">
        <v>22336</v>
      </c>
      <c r="BM586" t="s">
        <v>22337</v>
      </c>
      <c r="BN586" t="s">
        <v>13386</v>
      </c>
      <c r="BO586" t="s">
        <v>19163</v>
      </c>
      <c r="BP586" t="s">
        <v>350</v>
      </c>
      <c r="BQ586" t="s">
        <v>19164</v>
      </c>
      <c r="BR586" t="s">
        <v>19165</v>
      </c>
      <c r="BS586" t="s">
        <v>10231</v>
      </c>
      <c r="BT586" t="s">
        <v>5574</v>
      </c>
      <c r="BU586" t="s">
        <v>22338</v>
      </c>
      <c r="BV586" t="s">
        <v>22339</v>
      </c>
      <c r="BW586" t="s">
        <v>138</v>
      </c>
      <c r="BX586" t="s">
        <v>22340</v>
      </c>
      <c r="BY586" t="s">
        <v>22341</v>
      </c>
      <c r="BZ586" t="s">
        <v>22342</v>
      </c>
      <c r="CA586" t="s">
        <v>22339</v>
      </c>
      <c r="CB586" t="s">
        <v>22340</v>
      </c>
      <c r="CC586" t="s">
        <v>22341</v>
      </c>
      <c r="CD586" t="s">
        <v>22339</v>
      </c>
      <c r="CE586" t="s">
        <v>22340</v>
      </c>
      <c r="CF586" t="s">
        <v>22341</v>
      </c>
      <c r="CG586" t="s">
        <v>22343</v>
      </c>
      <c r="CH586" t="s">
        <v>22344</v>
      </c>
      <c r="CJ586" t="s">
        <v>22345</v>
      </c>
      <c r="CK586" t="s">
        <v>22344</v>
      </c>
      <c r="CL586" t="s">
        <v>9082</v>
      </c>
      <c r="CM586" t="s">
        <v>1244</v>
      </c>
      <c r="CN586" t="s">
        <v>22345</v>
      </c>
      <c r="CP586" t="s">
        <v>22346</v>
      </c>
      <c r="CQ586" t="s">
        <v>22346</v>
      </c>
    </row>
    <row r="587" spans="1:95" customFormat="1">
      <c r="A587" t="s">
        <v>26356</v>
      </c>
      <c r="B587">
        <v>3492595</v>
      </c>
      <c r="C587" s="50"/>
      <c r="D587" t="s">
        <v>21899</v>
      </c>
      <c r="E587" s="50"/>
      <c r="I587" s="50"/>
      <c r="J587" s="51"/>
      <c r="K587" t="s">
        <v>97</v>
      </c>
      <c r="L587">
        <v>187200</v>
      </c>
      <c r="M587">
        <v>187200</v>
      </c>
      <c r="N587">
        <v>187200</v>
      </c>
      <c r="O587">
        <v>312</v>
      </c>
      <c r="P587" t="s">
        <v>310</v>
      </c>
      <c r="Q587">
        <v>0</v>
      </c>
      <c r="R587">
        <v>0</v>
      </c>
      <c r="T587">
        <v>0</v>
      </c>
      <c r="U587">
        <v>0</v>
      </c>
      <c r="W587" t="s">
        <v>102</v>
      </c>
      <c r="X587" t="s">
        <v>103</v>
      </c>
      <c r="Y587" t="s">
        <v>104</v>
      </c>
      <c r="AA587" t="s">
        <v>12716</v>
      </c>
      <c r="AB587" t="s">
        <v>22355</v>
      </c>
      <c r="AC587" t="s">
        <v>21762</v>
      </c>
      <c r="AD587" t="s">
        <v>22355</v>
      </c>
      <c r="AE587" t="s">
        <v>109</v>
      </c>
      <c r="AF587" t="s">
        <v>102</v>
      </c>
      <c r="AG587" t="s">
        <v>109</v>
      </c>
      <c r="AH587" t="s">
        <v>102</v>
      </c>
      <c r="AI587" t="s">
        <v>102</v>
      </c>
      <c r="AJ587" t="s">
        <v>15054</v>
      </c>
      <c r="AK587" t="s">
        <v>15054</v>
      </c>
      <c r="AL587" t="s">
        <v>22355</v>
      </c>
      <c r="AM587" t="s">
        <v>22356</v>
      </c>
      <c r="AN587" t="s">
        <v>22357</v>
      </c>
      <c r="AO587" t="s">
        <v>317</v>
      </c>
      <c r="AP587" t="s">
        <v>317</v>
      </c>
      <c r="AU587" t="s">
        <v>318</v>
      </c>
      <c r="AV587" t="s">
        <v>118</v>
      </c>
      <c r="AW587" t="s">
        <v>102</v>
      </c>
      <c r="AX587" t="s">
        <v>119</v>
      </c>
      <c r="BB587" t="s">
        <v>120</v>
      </c>
      <c r="BC587" t="s">
        <v>1407</v>
      </c>
      <c r="BD587" t="s">
        <v>449</v>
      </c>
      <c r="BE587" t="s">
        <v>122</v>
      </c>
      <c r="BF587" t="s">
        <v>450</v>
      </c>
      <c r="BG587" t="s">
        <v>124</v>
      </c>
      <c r="BH587" t="s">
        <v>12250</v>
      </c>
      <c r="BI587" t="s">
        <v>21667</v>
      </c>
      <c r="BJ587" t="s">
        <v>127</v>
      </c>
      <c r="BK587" t="s">
        <v>22358</v>
      </c>
      <c r="BL587" t="s">
        <v>22359</v>
      </c>
      <c r="BM587" t="s">
        <v>22360</v>
      </c>
      <c r="BN587" t="s">
        <v>12716</v>
      </c>
      <c r="BO587" t="s">
        <v>131</v>
      </c>
      <c r="BP587" t="s">
        <v>505</v>
      </c>
      <c r="BQ587" t="s">
        <v>133</v>
      </c>
      <c r="BR587" t="s">
        <v>134</v>
      </c>
      <c r="BS587" t="s">
        <v>455</v>
      </c>
      <c r="BU587" t="s">
        <v>22361</v>
      </c>
      <c r="BV587" t="s">
        <v>22362</v>
      </c>
      <c r="BW587" t="s">
        <v>138</v>
      </c>
      <c r="BX587" t="s">
        <v>22363</v>
      </c>
      <c r="BY587" t="s">
        <v>22364</v>
      </c>
      <c r="BZ587" t="s">
        <v>22363</v>
      </c>
      <c r="CA587" t="s">
        <v>22362</v>
      </c>
      <c r="CB587" t="s">
        <v>22363</v>
      </c>
      <c r="CC587" t="s">
        <v>22364</v>
      </c>
      <c r="CD587" t="s">
        <v>22365</v>
      </c>
      <c r="CE587" t="s">
        <v>22366</v>
      </c>
      <c r="CF587" t="s">
        <v>22367</v>
      </c>
      <c r="CG587" t="s">
        <v>7998</v>
      </c>
      <c r="CH587" t="s">
        <v>22368</v>
      </c>
      <c r="CJ587" t="s">
        <v>22369</v>
      </c>
      <c r="CK587" t="s">
        <v>22368</v>
      </c>
      <c r="CL587" t="s">
        <v>1407</v>
      </c>
      <c r="CM587" t="s">
        <v>449</v>
      </c>
      <c r="CN587" t="s">
        <v>22369</v>
      </c>
      <c r="CP587" t="s">
        <v>22370</v>
      </c>
      <c r="CQ587" t="s">
        <v>22370</v>
      </c>
    </row>
    <row r="588" spans="1:95" customFormat="1">
      <c r="A588" t="s">
        <v>337</v>
      </c>
      <c r="B588">
        <v>3495234</v>
      </c>
      <c r="C588" s="50"/>
      <c r="D588" t="s">
        <v>22371</v>
      </c>
      <c r="E588" s="50"/>
      <c r="I588" s="50"/>
      <c r="J588" s="51"/>
      <c r="K588" t="s">
        <v>152</v>
      </c>
      <c r="L588">
        <v>1137073</v>
      </c>
      <c r="M588">
        <v>1137073</v>
      </c>
      <c r="N588">
        <v>0</v>
      </c>
      <c r="O588">
        <v>0</v>
      </c>
      <c r="Q588">
        <v>1137073</v>
      </c>
      <c r="R588">
        <v>989</v>
      </c>
      <c r="S588" t="s">
        <v>1749</v>
      </c>
      <c r="T588">
        <v>0</v>
      </c>
      <c r="U588">
        <v>0</v>
      </c>
      <c r="W588" t="s">
        <v>102</v>
      </c>
      <c r="X588" t="s">
        <v>103</v>
      </c>
      <c r="Y588" t="s">
        <v>155</v>
      </c>
      <c r="AA588" t="s">
        <v>13189</v>
      </c>
      <c r="AB588" t="s">
        <v>22373</v>
      </c>
      <c r="AC588" t="s">
        <v>21737</v>
      </c>
      <c r="AD588" t="s">
        <v>22373</v>
      </c>
      <c r="AE588" t="s">
        <v>22030</v>
      </c>
      <c r="AF588" t="s">
        <v>22373</v>
      </c>
      <c r="AG588" t="s">
        <v>22031</v>
      </c>
      <c r="AH588" t="s">
        <v>22373</v>
      </c>
      <c r="AI588" t="s">
        <v>102</v>
      </c>
      <c r="AJ588" t="s">
        <v>14238</v>
      </c>
      <c r="AK588" t="s">
        <v>21857</v>
      </c>
      <c r="AL588" t="s">
        <v>22373</v>
      </c>
      <c r="AM588" t="s">
        <v>25841</v>
      </c>
      <c r="AN588" t="s">
        <v>25842</v>
      </c>
      <c r="AO588" t="s">
        <v>18052</v>
      </c>
      <c r="AP588" t="s">
        <v>18052</v>
      </c>
      <c r="AU588" t="s">
        <v>102</v>
      </c>
      <c r="AW588" t="s">
        <v>155</v>
      </c>
      <c r="AX588" t="s">
        <v>119</v>
      </c>
      <c r="AY588" t="s">
        <v>170</v>
      </c>
      <c r="AZ588" t="s">
        <v>118</v>
      </c>
      <c r="BB588" t="s">
        <v>120</v>
      </c>
      <c r="BC588" t="s">
        <v>2840</v>
      </c>
      <c r="BD588" t="s">
        <v>449</v>
      </c>
      <c r="BE588" t="s">
        <v>122</v>
      </c>
      <c r="BF588" t="s">
        <v>253</v>
      </c>
      <c r="BG588" t="s">
        <v>124</v>
      </c>
      <c r="BH588" t="s">
        <v>12250</v>
      </c>
      <c r="BI588" t="s">
        <v>21667</v>
      </c>
      <c r="BJ588" t="s">
        <v>127</v>
      </c>
      <c r="BK588" t="s">
        <v>22374</v>
      </c>
      <c r="BL588" t="s">
        <v>22375</v>
      </c>
      <c r="BM588" t="s">
        <v>22376</v>
      </c>
      <c r="BN588" t="s">
        <v>20580</v>
      </c>
      <c r="BO588" t="s">
        <v>10675</v>
      </c>
      <c r="BP588" t="s">
        <v>350</v>
      </c>
      <c r="BQ588" t="s">
        <v>10676</v>
      </c>
      <c r="BR588" t="s">
        <v>10677</v>
      </c>
      <c r="BS588" t="s">
        <v>1111</v>
      </c>
      <c r="BT588" t="s">
        <v>1111</v>
      </c>
      <c r="BU588" t="s">
        <v>22377</v>
      </c>
      <c r="BV588" t="s">
        <v>22378</v>
      </c>
      <c r="BW588" t="s">
        <v>138</v>
      </c>
      <c r="BX588" t="s">
        <v>22379</v>
      </c>
      <c r="BY588" t="s">
        <v>22380</v>
      </c>
      <c r="BZ588" t="s">
        <v>22379</v>
      </c>
      <c r="CA588" t="s">
        <v>22378</v>
      </c>
      <c r="CB588" t="s">
        <v>22379</v>
      </c>
      <c r="CC588" t="s">
        <v>22380</v>
      </c>
      <c r="CD588" t="s">
        <v>22378</v>
      </c>
      <c r="CE588" t="s">
        <v>22379</v>
      </c>
      <c r="CF588" t="s">
        <v>22380</v>
      </c>
      <c r="CG588" t="s">
        <v>22381</v>
      </c>
      <c r="CH588" t="s">
        <v>22382</v>
      </c>
      <c r="CJ588" t="s">
        <v>22383</v>
      </c>
      <c r="CK588" t="s">
        <v>22384</v>
      </c>
      <c r="CL588" t="s">
        <v>2840</v>
      </c>
      <c r="CM588" t="s">
        <v>449</v>
      </c>
      <c r="CN588" t="s">
        <v>22383</v>
      </c>
      <c r="CP588" t="s">
        <v>22382</v>
      </c>
      <c r="CQ588" t="s">
        <v>22382</v>
      </c>
    </row>
    <row r="589" spans="1:95" customFormat="1">
      <c r="A589" t="s">
        <v>337</v>
      </c>
      <c r="B589">
        <v>3631447</v>
      </c>
      <c r="C589" s="50"/>
      <c r="D589" t="s">
        <v>22429</v>
      </c>
      <c r="E589" s="50"/>
      <c r="I589" s="50"/>
      <c r="J589" s="51"/>
      <c r="K589" t="s">
        <v>848</v>
      </c>
      <c r="L589">
        <v>597070</v>
      </c>
      <c r="M589">
        <v>704543</v>
      </c>
      <c r="N589">
        <v>0</v>
      </c>
      <c r="O589">
        <v>0</v>
      </c>
      <c r="Q589">
        <v>0</v>
      </c>
      <c r="R589">
        <v>0</v>
      </c>
      <c r="T589">
        <v>597070</v>
      </c>
      <c r="U589">
        <v>597</v>
      </c>
      <c r="V589" t="s">
        <v>5042</v>
      </c>
      <c r="W589" t="s">
        <v>102</v>
      </c>
      <c r="X589" t="s">
        <v>103</v>
      </c>
      <c r="Y589" t="s">
        <v>398</v>
      </c>
      <c r="AA589" t="s">
        <v>17302</v>
      </c>
      <c r="AB589" t="s">
        <v>22431</v>
      </c>
      <c r="AC589" t="s">
        <v>21826</v>
      </c>
      <c r="AD589" t="s">
        <v>22432</v>
      </c>
      <c r="AE589" t="s">
        <v>21828</v>
      </c>
      <c r="AF589" t="s">
        <v>22433</v>
      </c>
      <c r="AG589" t="s">
        <v>109</v>
      </c>
      <c r="AH589" t="s">
        <v>102</v>
      </c>
      <c r="AI589" t="s">
        <v>23554</v>
      </c>
      <c r="AJ589" t="s">
        <v>13344</v>
      </c>
      <c r="AK589" t="s">
        <v>13344</v>
      </c>
      <c r="AL589" t="s">
        <v>22431</v>
      </c>
      <c r="AM589" t="s">
        <v>23555</v>
      </c>
      <c r="AN589" t="s">
        <v>23556</v>
      </c>
      <c r="AO589" t="s">
        <v>9482</v>
      </c>
      <c r="AP589" t="s">
        <v>9482</v>
      </c>
      <c r="AU589" t="s">
        <v>102</v>
      </c>
      <c r="AW589" t="s">
        <v>102</v>
      </c>
      <c r="AX589" t="s">
        <v>119</v>
      </c>
      <c r="BA589" t="s">
        <v>250</v>
      </c>
      <c r="BB589" t="s">
        <v>120</v>
      </c>
      <c r="BC589" t="s">
        <v>2542</v>
      </c>
      <c r="BD589" t="s">
        <v>2543</v>
      </c>
      <c r="BE589" t="s">
        <v>122</v>
      </c>
      <c r="BF589" t="s">
        <v>557</v>
      </c>
      <c r="BG589" t="s">
        <v>124</v>
      </c>
      <c r="BH589" t="s">
        <v>21784</v>
      </c>
      <c r="BI589" t="s">
        <v>21667</v>
      </c>
      <c r="BJ589" t="s">
        <v>127</v>
      </c>
      <c r="BK589" t="s">
        <v>22434</v>
      </c>
      <c r="BL589" t="s">
        <v>22435</v>
      </c>
      <c r="BM589" t="s">
        <v>22436</v>
      </c>
      <c r="BN589" t="s">
        <v>12875</v>
      </c>
      <c r="BO589" t="s">
        <v>13402</v>
      </c>
      <c r="BP589" t="s">
        <v>350</v>
      </c>
      <c r="BQ589" t="s">
        <v>13403</v>
      </c>
      <c r="BR589" t="s">
        <v>13404</v>
      </c>
      <c r="BS589" t="s">
        <v>13405</v>
      </c>
      <c r="BU589" t="s">
        <v>22437</v>
      </c>
      <c r="BV589" t="s">
        <v>21929</v>
      </c>
      <c r="BW589" t="s">
        <v>354</v>
      </c>
      <c r="BX589" t="s">
        <v>21930</v>
      </c>
      <c r="BY589" t="s">
        <v>21931</v>
      </c>
      <c r="BZ589" t="s">
        <v>21930</v>
      </c>
      <c r="CA589" t="s">
        <v>22438</v>
      </c>
      <c r="CB589" t="s">
        <v>22439</v>
      </c>
      <c r="CC589" t="s">
        <v>22440</v>
      </c>
      <c r="CD589" t="s">
        <v>21935</v>
      </c>
      <c r="CE589" t="s">
        <v>21936</v>
      </c>
      <c r="CF589" t="s">
        <v>21937</v>
      </c>
      <c r="CG589" t="s">
        <v>18861</v>
      </c>
      <c r="CH589" t="s">
        <v>22441</v>
      </c>
      <c r="CJ589" t="s">
        <v>22442</v>
      </c>
      <c r="CK589" t="s">
        <v>22441</v>
      </c>
      <c r="CL589" t="s">
        <v>2542</v>
      </c>
      <c r="CM589" t="s">
        <v>2543</v>
      </c>
      <c r="CN589" t="s">
        <v>22442</v>
      </c>
      <c r="CO589" t="s">
        <v>22443</v>
      </c>
      <c r="CP589" t="s">
        <v>22444</v>
      </c>
      <c r="CQ589" t="s">
        <v>22444</v>
      </c>
    </row>
    <row r="590" spans="1:95" customFormat="1">
      <c r="A590" t="s">
        <v>337</v>
      </c>
      <c r="B590">
        <v>3672833</v>
      </c>
      <c r="C590" s="50"/>
      <c r="D590" t="s">
        <v>24350</v>
      </c>
      <c r="E590" s="50"/>
      <c r="I590" s="50"/>
      <c r="J590" s="51"/>
      <c r="K590" t="s">
        <v>1746</v>
      </c>
      <c r="L590">
        <v>904956</v>
      </c>
      <c r="M590">
        <v>990570</v>
      </c>
      <c r="N590">
        <v>110515</v>
      </c>
      <c r="O590">
        <v>179</v>
      </c>
      <c r="P590" t="s">
        <v>21463</v>
      </c>
      <c r="Q590">
        <v>318810</v>
      </c>
      <c r="R590">
        <v>153</v>
      </c>
      <c r="S590" t="s">
        <v>24352</v>
      </c>
      <c r="T590">
        <v>475631</v>
      </c>
      <c r="U590">
        <v>303</v>
      </c>
      <c r="V590" t="s">
        <v>18336</v>
      </c>
      <c r="W590" t="s">
        <v>102</v>
      </c>
      <c r="X590" t="s">
        <v>103</v>
      </c>
      <c r="Y590" t="s">
        <v>155</v>
      </c>
      <c r="AA590" t="s">
        <v>17302</v>
      </c>
      <c r="AB590" t="s">
        <v>24353</v>
      </c>
      <c r="AC590" t="s">
        <v>21857</v>
      </c>
      <c r="AD590" t="s">
        <v>24353</v>
      </c>
      <c r="AE590" t="s">
        <v>22526</v>
      </c>
      <c r="AF590" t="s">
        <v>24354</v>
      </c>
      <c r="AG590" t="s">
        <v>21892</v>
      </c>
      <c r="AH590" t="s">
        <v>24354</v>
      </c>
      <c r="AI590" t="s">
        <v>102</v>
      </c>
      <c r="AL590" t="s">
        <v>25176</v>
      </c>
      <c r="AM590" t="s">
        <v>102</v>
      </c>
      <c r="AN590" t="s">
        <v>25176</v>
      </c>
      <c r="AO590" t="s">
        <v>24355</v>
      </c>
      <c r="AP590" t="s">
        <v>24355</v>
      </c>
      <c r="AU590" t="s">
        <v>318</v>
      </c>
      <c r="AV590" t="s">
        <v>250</v>
      </c>
      <c r="AW590" t="s">
        <v>102</v>
      </c>
      <c r="AX590" t="s">
        <v>119</v>
      </c>
      <c r="AY590" t="s">
        <v>1138</v>
      </c>
      <c r="AZ590" t="s">
        <v>118</v>
      </c>
      <c r="BA590" t="s">
        <v>250</v>
      </c>
      <c r="BB590" t="s">
        <v>120</v>
      </c>
      <c r="BC590" t="s">
        <v>2127</v>
      </c>
      <c r="BD590" t="s">
        <v>621</v>
      </c>
      <c r="BE590" t="s">
        <v>622</v>
      </c>
      <c r="BF590" t="s">
        <v>976</v>
      </c>
      <c r="BG590" t="s">
        <v>124</v>
      </c>
      <c r="BH590" t="s">
        <v>19143</v>
      </c>
      <c r="BI590" t="s">
        <v>21806</v>
      </c>
      <c r="BJ590" t="s">
        <v>127</v>
      </c>
      <c r="BK590" t="s">
        <v>24356</v>
      </c>
      <c r="BL590" t="s">
        <v>24357</v>
      </c>
      <c r="BM590" t="s">
        <v>24358</v>
      </c>
      <c r="BN590" t="s">
        <v>17302</v>
      </c>
      <c r="BO590" t="s">
        <v>13638</v>
      </c>
      <c r="BP590" t="s">
        <v>132</v>
      </c>
      <c r="BQ590" t="s">
        <v>13639</v>
      </c>
      <c r="BR590" t="s">
        <v>13640</v>
      </c>
      <c r="BS590" t="s">
        <v>2847</v>
      </c>
      <c r="BU590" t="s">
        <v>24359</v>
      </c>
      <c r="BV590" t="s">
        <v>24360</v>
      </c>
      <c r="BW590" t="s">
        <v>138</v>
      </c>
      <c r="BX590" t="s">
        <v>24361</v>
      </c>
      <c r="BY590" t="s">
        <v>24362</v>
      </c>
      <c r="BZ590" t="s">
        <v>24363</v>
      </c>
      <c r="CA590" t="s">
        <v>24360</v>
      </c>
      <c r="CB590" t="s">
        <v>24364</v>
      </c>
      <c r="CC590" t="s">
        <v>24365</v>
      </c>
      <c r="CD590" t="s">
        <v>24366</v>
      </c>
      <c r="CE590" t="s">
        <v>24361</v>
      </c>
      <c r="CF590" t="s">
        <v>24362</v>
      </c>
      <c r="CG590" t="s">
        <v>746</v>
      </c>
      <c r="CH590" t="s">
        <v>24367</v>
      </c>
      <c r="CJ590" t="s">
        <v>18459</v>
      </c>
      <c r="CK590" t="s">
        <v>24368</v>
      </c>
      <c r="CL590" t="s">
        <v>2127</v>
      </c>
      <c r="CM590" t="s">
        <v>621</v>
      </c>
      <c r="CN590" t="s">
        <v>18459</v>
      </c>
      <c r="CP590" t="s">
        <v>24367</v>
      </c>
      <c r="CQ590" t="s">
        <v>24367</v>
      </c>
    </row>
    <row r="591" spans="1:95" customFormat="1">
      <c r="A591" t="s">
        <v>337</v>
      </c>
      <c r="B591">
        <v>3727222</v>
      </c>
      <c r="C591" s="50"/>
      <c r="D591" t="s">
        <v>24369</v>
      </c>
      <c r="E591" s="50"/>
      <c r="I591" s="50"/>
      <c r="J591" s="51"/>
      <c r="K591" t="s">
        <v>97</v>
      </c>
      <c r="L591">
        <v>255518</v>
      </c>
      <c r="M591">
        <v>255518</v>
      </c>
      <c r="N591">
        <v>255518</v>
      </c>
      <c r="O591">
        <v>365</v>
      </c>
      <c r="P591" t="s">
        <v>799</v>
      </c>
      <c r="Q591">
        <v>0</v>
      </c>
      <c r="R591">
        <v>0</v>
      </c>
      <c r="T591">
        <v>0</v>
      </c>
      <c r="U591">
        <v>0</v>
      </c>
      <c r="W591" t="s">
        <v>102</v>
      </c>
      <c r="X591" t="s">
        <v>103</v>
      </c>
      <c r="Y591" t="s">
        <v>104</v>
      </c>
      <c r="AA591" t="s">
        <v>24371</v>
      </c>
      <c r="AB591" t="s">
        <v>24372</v>
      </c>
      <c r="AC591" t="s">
        <v>12720</v>
      </c>
      <c r="AD591" t="s">
        <v>24372</v>
      </c>
      <c r="AE591" t="s">
        <v>109</v>
      </c>
      <c r="AF591" t="s">
        <v>102</v>
      </c>
      <c r="AG591" t="s">
        <v>109</v>
      </c>
      <c r="AH591" t="s">
        <v>102</v>
      </c>
      <c r="AI591" t="s">
        <v>102</v>
      </c>
      <c r="AL591" t="s">
        <v>102</v>
      </c>
      <c r="AM591" t="s">
        <v>102</v>
      </c>
      <c r="AN591" t="s">
        <v>102</v>
      </c>
      <c r="AO591" t="s">
        <v>3305</v>
      </c>
      <c r="AP591" t="s">
        <v>24373</v>
      </c>
      <c r="AQ591" t="s">
        <v>102</v>
      </c>
      <c r="AR591" t="s">
        <v>102</v>
      </c>
      <c r="AS591" t="s">
        <v>102</v>
      </c>
      <c r="AT591" t="s">
        <v>102</v>
      </c>
      <c r="AU591" t="s">
        <v>318</v>
      </c>
      <c r="AV591" t="s">
        <v>118</v>
      </c>
      <c r="AW591" t="s">
        <v>102</v>
      </c>
      <c r="AX591" t="s">
        <v>119</v>
      </c>
      <c r="BB591" t="s">
        <v>10399</v>
      </c>
      <c r="BC591" t="s">
        <v>4889</v>
      </c>
      <c r="BD591" t="s">
        <v>730</v>
      </c>
      <c r="BE591" t="s">
        <v>622</v>
      </c>
      <c r="BF591" t="s">
        <v>730</v>
      </c>
      <c r="BG591" t="s">
        <v>124</v>
      </c>
      <c r="BH591" t="s">
        <v>12250</v>
      </c>
      <c r="BI591" t="s">
        <v>21667</v>
      </c>
      <c r="BJ591" t="s">
        <v>127</v>
      </c>
      <c r="BK591" t="s">
        <v>24374</v>
      </c>
      <c r="BL591" t="s">
        <v>24375</v>
      </c>
      <c r="BM591" t="s">
        <v>24376</v>
      </c>
      <c r="BN591" t="s">
        <v>11889</v>
      </c>
      <c r="BO591" t="s">
        <v>5197</v>
      </c>
      <c r="BP591" t="s">
        <v>180</v>
      </c>
      <c r="BQ591" t="s">
        <v>5198</v>
      </c>
      <c r="BR591" t="s">
        <v>5199</v>
      </c>
      <c r="BS591" t="s">
        <v>5199</v>
      </c>
      <c r="BT591" t="s">
        <v>2332</v>
      </c>
      <c r="BU591" t="s">
        <v>24377</v>
      </c>
      <c r="BV591" t="s">
        <v>24378</v>
      </c>
      <c r="BW591" t="s">
        <v>138</v>
      </c>
      <c r="BX591" t="s">
        <v>15969</v>
      </c>
      <c r="BY591" t="s">
        <v>24379</v>
      </c>
      <c r="BZ591" t="s">
        <v>24380</v>
      </c>
      <c r="CA591" t="s">
        <v>24381</v>
      </c>
      <c r="CB591" t="s">
        <v>24380</v>
      </c>
      <c r="CC591" t="s">
        <v>24382</v>
      </c>
      <c r="CD591" t="s">
        <v>24383</v>
      </c>
      <c r="CE591" t="s">
        <v>24380</v>
      </c>
      <c r="CF591" t="s">
        <v>24384</v>
      </c>
      <c r="CG591" t="s">
        <v>1594</v>
      </c>
      <c r="CH591" t="s">
        <v>24385</v>
      </c>
      <c r="CJ591" t="s">
        <v>23370</v>
      </c>
      <c r="CL591" t="s">
        <v>4889</v>
      </c>
      <c r="CM591" t="s">
        <v>730</v>
      </c>
      <c r="CN591" t="s">
        <v>23370</v>
      </c>
      <c r="CP591" t="s">
        <v>24386</v>
      </c>
      <c r="CQ591" t="s">
        <v>24386</v>
      </c>
    </row>
    <row r="592" spans="1:95" customFormat="1">
      <c r="A592" t="s">
        <v>337</v>
      </c>
      <c r="B592">
        <v>3742933</v>
      </c>
      <c r="C592" s="50"/>
      <c r="D592" t="s">
        <v>22456</v>
      </c>
      <c r="E592" s="50"/>
      <c r="I592" s="50"/>
      <c r="J592" s="51"/>
      <c r="K592" t="s">
        <v>152</v>
      </c>
      <c r="L592">
        <v>415806</v>
      </c>
      <c r="M592">
        <v>415806</v>
      </c>
      <c r="N592">
        <v>0</v>
      </c>
      <c r="O592">
        <v>0</v>
      </c>
      <c r="Q592">
        <v>415806</v>
      </c>
      <c r="R592">
        <v>315</v>
      </c>
      <c r="S592" t="s">
        <v>16755</v>
      </c>
      <c r="T592">
        <v>0</v>
      </c>
      <c r="U592">
        <v>0</v>
      </c>
      <c r="W592" t="s">
        <v>102</v>
      </c>
      <c r="X592" t="s">
        <v>103</v>
      </c>
      <c r="Y592" t="s">
        <v>398</v>
      </c>
      <c r="AA592" t="s">
        <v>6895</v>
      </c>
      <c r="AB592" t="s">
        <v>22458</v>
      </c>
      <c r="AC592" t="s">
        <v>22459</v>
      </c>
      <c r="AD592" t="s">
        <v>22460</v>
      </c>
      <c r="AE592" t="s">
        <v>21821</v>
      </c>
      <c r="AF592" t="s">
        <v>22460</v>
      </c>
      <c r="AG592" t="s">
        <v>109</v>
      </c>
      <c r="AH592" t="s">
        <v>102</v>
      </c>
      <c r="AI592" t="s">
        <v>102</v>
      </c>
      <c r="AJ592" t="s">
        <v>12313</v>
      </c>
      <c r="AK592" t="s">
        <v>12313</v>
      </c>
      <c r="AL592" t="s">
        <v>22458</v>
      </c>
      <c r="AM592" t="s">
        <v>22461</v>
      </c>
      <c r="AN592" t="s">
        <v>22462</v>
      </c>
      <c r="AO592" t="s">
        <v>22463</v>
      </c>
      <c r="AP592" t="s">
        <v>22463</v>
      </c>
      <c r="AU592" t="s">
        <v>102</v>
      </c>
      <c r="AW592" t="s">
        <v>155</v>
      </c>
      <c r="AX592" t="s">
        <v>119</v>
      </c>
      <c r="AY592" t="s">
        <v>170</v>
      </c>
      <c r="AZ592" t="s">
        <v>118</v>
      </c>
      <c r="BB592" t="s">
        <v>120</v>
      </c>
      <c r="BC592" t="s">
        <v>555</v>
      </c>
      <c r="BD592" t="s">
        <v>556</v>
      </c>
      <c r="BE592" t="s">
        <v>122</v>
      </c>
      <c r="BF592" t="s">
        <v>557</v>
      </c>
      <c r="BG592" t="s">
        <v>124</v>
      </c>
      <c r="BH592" t="s">
        <v>12250</v>
      </c>
      <c r="BI592" t="s">
        <v>21667</v>
      </c>
      <c r="BJ592" t="s">
        <v>127</v>
      </c>
      <c r="BK592" t="s">
        <v>22464</v>
      </c>
      <c r="BL592" t="s">
        <v>22465</v>
      </c>
      <c r="BM592" t="s">
        <v>22466</v>
      </c>
      <c r="BN592" t="s">
        <v>6895</v>
      </c>
      <c r="BO592" t="s">
        <v>16526</v>
      </c>
      <c r="BP592" t="s">
        <v>350</v>
      </c>
      <c r="BQ592" t="s">
        <v>16527</v>
      </c>
      <c r="BR592" t="s">
        <v>16528</v>
      </c>
      <c r="BS592" t="s">
        <v>224</v>
      </c>
      <c r="BU592" t="s">
        <v>22467</v>
      </c>
      <c r="BV592" t="s">
        <v>22468</v>
      </c>
      <c r="BW592" t="s">
        <v>138</v>
      </c>
      <c r="BX592" t="s">
        <v>22469</v>
      </c>
      <c r="BY592" t="s">
        <v>22470</v>
      </c>
      <c r="BZ592" t="s">
        <v>22471</v>
      </c>
      <c r="CA592" t="s">
        <v>22468</v>
      </c>
      <c r="CB592" t="s">
        <v>22469</v>
      </c>
      <c r="CC592" t="s">
        <v>22470</v>
      </c>
      <c r="CD592" t="s">
        <v>22472</v>
      </c>
      <c r="CE592" t="s">
        <v>22469</v>
      </c>
      <c r="CF592" t="s">
        <v>22473</v>
      </c>
      <c r="CG592" t="s">
        <v>1317</v>
      </c>
      <c r="CH592" t="s">
        <v>22474</v>
      </c>
      <c r="CJ592" t="s">
        <v>22475</v>
      </c>
      <c r="CL592" t="s">
        <v>555</v>
      </c>
      <c r="CM592" t="s">
        <v>556</v>
      </c>
      <c r="CN592" t="s">
        <v>22475</v>
      </c>
      <c r="CP592" t="s">
        <v>22476</v>
      </c>
      <c r="CQ592" t="s">
        <v>22476</v>
      </c>
    </row>
    <row r="593" spans="1:95" customFormat="1">
      <c r="A593" t="s">
        <v>337</v>
      </c>
      <c r="B593">
        <v>3817615</v>
      </c>
      <c r="C593" s="50"/>
      <c r="D593" t="s">
        <v>22499</v>
      </c>
      <c r="E593" s="50"/>
      <c r="I593" s="50"/>
      <c r="J593" s="51"/>
      <c r="K593" t="s">
        <v>8024</v>
      </c>
      <c r="L593">
        <v>780640</v>
      </c>
      <c r="M593">
        <v>902180</v>
      </c>
      <c r="N593">
        <v>0</v>
      </c>
      <c r="O593">
        <v>0</v>
      </c>
      <c r="Q593">
        <v>105416</v>
      </c>
      <c r="R593">
        <v>229</v>
      </c>
      <c r="S593" t="s">
        <v>22501</v>
      </c>
      <c r="T593">
        <v>675224</v>
      </c>
      <c r="U593">
        <v>375</v>
      </c>
      <c r="V593" t="s">
        <v>5012</v>
      </c>
      <c r="W593" t="s">
        <v>102</v>
      </c>
      <c r="X593" t="s">
        <v>103</v>
      </c>
      <c r="Y593" t="s">
        <v>155</v>
      </c>
      <c r="AA593" t="s">
        <v>20476</v>
      </c>
      <c r="AB593" t="s">
        <v>22502</v>
      </c>
      <c r="AC593" t="s">
        <v>21786</v>
      </c>
      <c r="AD593" t="s">
        <v>22502</v>
      </c>
      <c r="AE593" t="s">
        <v>21944</v>
      </c>
      <c r="AF593" t="s">
        <v>22502</v>
      </c>
      <c r="AG593" t="s">
        <v>21687</v>
      </c>
      <c r="AH593" t="s">
        <v>22502</v>
      </c>
      <c r="AI593" t="s">
        <v>102</v>
      </c>
      <c r="AJ593" t="s">
        <v>13863</v>
      </c>
      <c r="AK593" t="s">
        <v>13863</v>
      </c>
      <c r="AL593" t="s">
        <v>22502</v>
      </c>
      <c r="AM593" t="s">
        <v>573</v>
      </c>
      <c r="AN593" t="s">
        <v>25177</v>
      </c>
      <c r="AO593" t="s">
        <v>22504</v>
      </c>
      <c r="AP593" t="s">
        <v>22505</v>
      </c>
      <c r="AS593" t="s">
        <v>169</v>
      </c>
      <c r="AU593" t="s">
        <v>102</v>
      </c>
      <c r="AW593" t="s">
        <v>104</v>
      </c>
      <c r="AX593" t="s">
        <v>447</v>
      </c>
      <c r="AY593" t="s">
        <v>170</v>
      </c>
      <c r="AZ593" t="s">
        <v>118</v>
      </c>
      <c r="BA593" t="s">
        <v>250</v>
      </c>
      <c r="BB593" t="s">
        <v>120</v>
      </c>
      <c r="BC593" t="s">
        <v>18092</v>
      </c>
      <c r="BD593" t="s">
        <v>2800</v>
      </c>
      <c r="BE593" t="s">
        <v>122</v>
      </c>
      <c r="BF593" t="s">
        <v>346</v>
      </c>
      <c r="BG593" t="s">
        <v>124</v>
      </c>
      <c r="BH593" t="s">
        <v>12250</v>
      </c>
      <c r="BI593" t="s">
        <v>21667</v>
      </c>
      <c r="BJ593" t="s">
        <v>127</v>
      </c>
      <c r="BK593" t="s">
        <v>22506</v>
      </c>
      <c r="BL593" t="s">
        <v>22507</v>
      </c>
      <c r="BM593" t="s">
        <v>22508</v>
      </c>
      <c r="BN593" t="s">
        <v>13245</v>
      </c>
      <c r="BO593" t="s">
        <v>4845</v>
      </c>
      <c r="BP593" t="s">
        <v>350</v>
      </c>
      <c r="BQ593" t="s">
        <v>4846</v>
      </c>
      <c r="BR593" t="s">
        <v>4847</v>
      </c>
      <c r="BS593" t="s">
        <v>8756</v>
      </c>
      <c r="BU593" t="s">
        <v>22509</v>
      </c>
      <c r="BV593" t="s">
        <v>22510</v>
      </c>
      <c r="BW593" t="s">
        <v>138</v>
      </c>
      <c r="BX593" t="s">
        <v>22511</v>
      </c>
      <c r="BY593" t="s">
        <v>22512</v>
      </c>
      <c r="BZ593" t="s">
        <v>22511</v>
      </c>
      <c r="CA593" t="s">
        <v>22510</v>
      </c>
      <c r="CB593" t="s">
        <v>22511</v>
      </c>
      <c r="CC593" t="s">
        <v>22512</v>
      </c>
      <c r="CD593" t="s">
        <v>22510</v>
      </c>
      <c r="CE593" t="s">
        <v>22511</v>
      </c>
      <c r="CF593" t="s">
        <v>22512</v>
      </c>
      <c r="CG593" t="s">
        <v>10583</v>
      </c>
      <c r="CH593" t="s">
        <v>22513</v>
      </c>
      <c r="CJ593" t="s">
        <v>18106</v>
      </c>
      <c r="CK593" t="s">
        <v>22513</v>
      </c>
      <c r="CL593" t="s">
        <v>18092</v>
      </c>
      <c r="CM593" t="s">
        <v>2800</v>
      </c>
      <c r="CN593" t="s">
        <v>18106</v>
      </c>
      <c r="CP593" t="s">
        <v>22513</v>
      </c>
      <c r="CQ593" t="s">
        <v>22513</v>
      </c>
    </row>
    <row r="594" spans="1:95" customFormat="1">
      <c r="A594" t="s">
        <v>337</v>
      </c>
      <c r="B594">
        <v>388277</v>
      </c>
      <c r="C594" s="50"/>
      <c r="D594" t="s">
        <v>25883</v>
      </c>
      <c r="E594" s="50"/>
      <c r="I594" s="50"/>
      <c r="J594" s="51"/>
      <c r="K594" t="s">
        <v>848</v>
      </c>
      <c r="L594">
        <v>1097259</v>
      </c>
      <c r="M594">
        <v>1294766</v>
      </c>
      <c r="N594">
        <v>0</v>
      </c>
      <c r="O594">
        <v>0</v>
      </c>
      <c r="Q594">
        <v>0</v>
      </c>
      <c r="R594">
        <v>0</v>
      </c>
      <c r="T594">
        <v>1097259</v>
      </c>
      <c r="U594">
        <v>830</v>
      </c>
      <c r="V594" t="s">
        <v>25204</v>
      </c>
      <c r="W594" t="s">
        <v>102</v>
      </c>
      <c r="X594" t="s">
        <v>103</v>
      </c>
      <c r="Y594" t="s">
        <v>155</v>
      </c>
      <c r="AA594" t="s">
        <v>12250</v>
      </c>
      <c r="AB594" t="s">
        <v>25885</v>
      </c>
      <c r="AC594" t="s">
        <v>21664</v>
      </c>
      <c r="AD594" t="s">
        <v>25885</v>
      </c>
      <c r="AE594" t="s">
        <v>21665</v>
      </c>
      <c r="AF594" t="s">
        <v>25885</v>
      </c>
      <c r="AG594" t="s">
        <v>21687</v>
      </c>
      <c r="AH594" t="s">
        <v>25885</v>
      </c>
      <c r="AI594" t="s">
        <v>102</v>
      </c>
      <c r="AL594" t="s">
        <v>25885</v>
      </c>
      <c r="AM594" t="s">
        <v>102</v>
      </c>
      <c r="AN594" t="s">
        <v>25885</v>
      </c>
      <c r="AO594" t="s">
        <v>5355</v>
      </c>
      <c r="AP594" t="s">
        <v>5355</v>
      </c>
      <c r="AU594" t="s">
        <v>102</v>
      </c>
      <c r="AW594" t="s">
        <v>102</v>
      </c>
      <c r="AX594" t="s">
        <v>119</v>
      </c>
      <c r="BA594" t="s">
        <v>250</v>
      </c>
      <c r="BB594" t="s">
        <v>120</v>
      </c>
      <c r="BC594" t="s">
        <v>2820</v>
      </c>
      <c r="BD594" t="s">
        <v>376</v>
      </c>
      <c r="BE594" t="s">
        <v>174</v>
      </c>
      <c r="BF594" t="s">
        <v>376</v>
      </c>
      <c r="BG594" t="s">
        <v>124</v>
      </c>
      <c r="BH594" t="s">
        <v>21790</v>
      </c>
      <c r="BI594" t="s">
        <v>21667</v>
      </c>
      <c r="BJ594" t="s">
        <v>127</v>
      </c>
      <c r="BK594" t="s">
        <v>25886</v>
      </c>
      <c r="BL594" t="s">
        <v>25887</v>
      </c>
      <c r="BM594" t="s">
        <v>25888</v>
      </c>
      <c r="BN594" t="s">
        <v>13208</v>
      </c>
      <c r="BO594" t="s">
        <v>6926</v>
      </c>
      <c r="BP594" t="s">
        <v>180</v>
      </c>
      <c r="BQ594" t="s">
        <v>6927</v>
      </c>
      <c r="BR594" t="s">
        <v>6928</v>
      </c>
      <c r="BS594" t="s">
        <v>1858</v>
      </c>
      <c r="BT594" t="s">
        <v>13612</v>
      </c>
      <c r="BU594" t="s">
        <v>25889</v>
      </c>
      <c r="BV594" t="s">
        <v>25890</v>
      </c>
      <c r="BW594" t="s">
        <v>138</v>
      </c>
      <c r="BX594" t="s">
        <v>25891</v>
      </c>
      <c r="BY594" t="s">
        <v>25892</v>
      </c>
      <c r="BZ594" t="s">
        <v>25893</v>
      </c>
      <c r="CA594" t="s">
        <v>25890</v>
      </c>
      <c r="CB594" t="s">
        <v>25891</v>
      </c>
      <c r="CC594" t="s">
        <v>25892</v>
      </c>
      <c r="CD594" t="s">
        <v>25890</v>
      </c>
      <c r="CE594" t="s">
        <v>25891</v>
      </c>
      <c r="CF594" t="s">
        <v>25892</v>
      </c>
      <c r="CG594" t="s">
        <v>18709</v>
      </c>
      <c r="CH594" t="s">
        <v>25894</v>
      </c>
      <c r="CJ594" t="s">
        <v>25895</v>
      </c>
      <c r="CK594" t="s">
        <v>25894</v>
      </c>
      <c r="CL594" t="s">
        <v>2820</v>
      </c>
      <c r="CM594" t="s">
        <v>376</v>
      </c>
      <c r="CN594" t="s">
        <v>25895</v>
      </c>
      <c r="CP594" t="s">
        <v>25894</v>
      </c>
      <c r="CQ594" t="s">
        <v>25894</v>
      </c>
    </row>
    <row r="595" spans="1:95" customFormat="1">
      <c r="A595" t="s">
        <v>337</v>
      </c>
      <c r="B595">
        <v>3895415</v>
      </c>
      <c r="C595" s="50"/>
      <c r="D595" t="s">
        <v>22532</v>
      </c>
      <c r="E595" s="50"/>
      <c r="I595" s="50"/>
      <c r="J595" s="51"/>
      <c r="K595" t="s">
        <v>152</v>
      </c>
      <c r="L595">
        <v>71760</v>
      </c>
      <c r="M595">
        <v>71760</v>
      </c>
      <c r="N595">
        <v>0</v>
      </c>
      <c r="O595">
        <v>0</v>
      </c>
      <c r="Q595">
        <v>71760</v>
      </c>
      <c r="R595">
        <v>115</v>
      </c>
      <c r="S595" t="s">
        <v>7418</v>
      </c>
      <c r="T595">
        <v>0</v>
      </c>
      <c r="U595">
        <v>0</v>
      </c>
      <c r="W595" t="s">
        <v>102</v>
      </c>
      <c r="X595" t="s">
        <v>103</v>
      </c>
      <c r="Y595" t="s">
        <v>155</v>
      </c>
      <c r="AA595" t="s">
        <v>11889</v>
      </c>
      <c r="AB595" t="s">
        <v>22534</v>
      </c>
      <c r="AC595" t="s">
        <v>12720</v>
      </c>
      <c r="AD595" t="s">
        <v>22534</v>
      </c>
      <c r="AE595" t="s">
        <v>21686</v>
      </c>
      <c r="AF595" t="s">
        <v>22534</v>
      </c>
      <c r="AG595" t="s">
        <v>21687</v>
      </c>
      <c r="AH595" t="s">
        <v>22534</v>
      </c>
      <c r="AI595" t="s">
        <v>102</v>
      </c>
      <c r="AJ595" t="s">
        <v>13245</v>
      </c>
      <c r="AK595" t="s">
        <v>13245</v>
      </c>
      <c r="AL595" t="s">
        <v>22534</v>
      </c>
      <c r="AM595" t="s">
        <v>1221</v>
      </c>
      <c r="AN595" t="s">
        <v>24387</v>
      </c>
      <c r="AO595" t="s">
        <v>4168</v>
      </c>
      <c r="AP595" t="s">
        <v>4168</v>
      </c>
      <c r="AU595" t="s">
        <v>102</v>
      </c>
      <c r="AW595" t="s">
        <v>104</v>
      </c>
      <c r="AX595" t="s">
        <v>447</v>
      </c>
      <c r="AY595" t="s">
        <v>170</v>
      </c>
      <c r="AZ595" t="s">
        <v>118</v>
      </c>
      <c r="BB595" t="s">
        <v>209</v>
      </c>
      <c r="BC595" t="s">
        <v>22535</v>
      </c>
      <c r="BD595" t="s">
        <v>4404</v>
      </c>
      <c r="BE595" t="s">
        <v>174</v>
      </c>
      <c r="BF595" t="s">
        <v>4405</v>
      </c>
      <c r="BG595" t="s">
        <v>124</v>
      </c>
      <c r="BH595" t="s">
        <v>12250</v>
      </c>
      <c r="BI595" t="s">
        <v>21667</v>
      </c>
      <c r="BJ595" t="s">
        <v>127</v>
      </c>
      <c r="BK595" t="s">
        <v>22536</v>
      </c>
      <c r="BL595" t="s">
        <v>22537</v>
      </c>
      <c r="BM595" t="s">
        <v>22538</v>
      </c>
      <c r="BN595" t="s">
        <v>13964</v>
      </c>
      <c r="BO595" t="s">
        <v>16015</v>
      </c>
      <c r="BP595" t="s">
        <v>180</v>
      </c>
      <c r="BQ595" t="s">
        <v>16016</v>
      </c>
      <c r="BR595" t="s">
        <v>16017</v>
      </c>
      <c r="BS595" t="s">
        <v>4413</v>
      </c>
      <c r="BT595" t="s">
        <v>22124</v>
      </c>
      <c r="BU595" t="s">
        <v>22539</v>
      </c>
      <c r="BV595" t="s">
        <v>22540</v>
      </c>
      <c r="BX595" t="s">
        <v>22541</v>
      </c>
      <c r="BY595" t="s">
        <v>22542</v>
      </c>
      <c r="BZ595" t="s">
        <v>22543</v>
      </c>
      <c r="CA595" t="s">
        <v>22540</v>
      </c>
      <c r="CB595" t="s">
        <v>22541</v>
      </c>
      <c r="CC595" t="s">
        <v>22542</v>
      </c>
      <c r="CD595" t="s">
        <v>22540</v>
      </c>
      <c r="CE595" t="s">
        <v>22541</v>
      </c>
      <c r="CF595" t="s">
        <v>22542</v>
      </c>
      <c r="CG595" t="s">
        <v>5650</v>
      </c>
      <c r="CH595" t="s">
        <v>22544</v>
      </c>
      <c r="CJ595" t="s">
        <v>22545</v>
      </c>
      <c r="CK595" t="s">
        <v>22544</v>
      </c>
      <c r="CL595" t="s">
        <v>22535</v>
      </c>
      <c r="CM595" t="s">
        <v>4404</v>
      </c>
      <c r="CN595" t="s">
        <v>22546</v>
      </c>
      <c r="CP595" t="s">
        <v>22544</v>
      </c>
      <c r="CQ595" t="s">
        <v>22544</v>
      </c>
    </row>
    <row r="596" spans="1:95" customFormat="1">
      <c r="A596" t="s">
        <v>337</v>
      </c>
      <c r="B596">
        <v>3992038</v>
      </c>
      <c r="C596" s="50"/>
      <c r="D596" t="s">
        <v>24404</v>
      </c>
      <c r="E596" s="50"/>
      <c r="I596" s="50"/>
      <c r="J596" s="51"/>
      <c r="K596" t="s">
        <v>97</v>
      </c>
      <c r="L596">
        <v>169200</v>
      </c>
      <c r="M596">
        <v>169200</v>
      </c>
      <c r="N596">
        <v>169200</v>
      </c>
      <c r="O596">
        <v>376</v>
      </c>
      <c r="P596" t="s">
        <v>5668</v>
      </c>
      <c r="Q596">
        <v>0</v>
      </c>
      <c r="R596">
        <v>0</v>
      </c>
      <c r="T596">
        <v>0</v>
      </c>
      <c r="U596">
        <v>0</v>
      </c>
      <c r="W596" t="s">
        <v>102</v>
      </c>
      <c r="X596" t="s">
        <v>103</v>
      </c>
      <c r="Y596" t="s">
        <v>104</v>
      </c>
      <c r="AA596" t="s">
        <v>12250</v>
      </c>
      <c r="AB596" t="s">
        <v>24406</v>
      </c>
      <c r="AC596" t="s">
        <v>24407</v>
      </c>
      <c r="AD596" t="s">
        <v>24408</v>
      </c>
      <c r="AE596" t="s">
        <v>109</v>
      </c>
      <c r="AF596" t="s">
        <v>102</v>
      </c>
      <c r="AG596" t="s">
        <v>109</v>
      </c>
      <c r="AH596" t="s">
        <v>102</v>
      </c>
      <c r="AI596" t="s">
        <v>102</v>
      </c>
      <c r="AJ596" t="s">
        <v>21962</v>
      </c>
      <c r="AK596" t="s">
        <v>21962</v>
      </c>
      <c r="AL596" t="s">
        <v>24406</v>
      </c>
      <c r="AM596" t="s">
        <v>25223</v>
      </c>
      <c r="AN596" t="s">
        <v>25224</v>
      </c>
      <c r="AO596" t="s">
        <v>17879</v>
      </c>
      <c r="AP596" t="s">
        <v>24409</v>
      </c>
      <c r="AQ596" t="s">
        <v>102</v>
      </c>
      <c r="AR596" t="s">
        <v>102</v>
      </c>
      <c r="AS596" t="s">
        <v>102</v>
      </c>
      <c r="AT596" t="s">
        <v>102</v>
      </c>
      <c r="AU596" t="s">
        <v>318</v>
      </c>
      <c r="AV596" t="s">
        <v>118</v>
      </c>
      <c r="AW596" t="s">
        <v>102</v>
      </c>
      <c r="AX596" t="s">
        <v>119</v>
      </c>
      <c r="BB596" t="s">
        <v>120</v>
      </c>
      <c r="BC596" t="s">
        <v>6824</v>
      </c>
      <c r="BD596" t="s">
        <v>730</v>
      </c>
      <c r="BE596" t="s">
        <v>622</v>
      </c>
      <c r="BF596" t="s">
        <v>730</v>
      </c>
      <c r="BG596" t="s">
        <v>124</v>
      </c>
      <c r="BH596" t="s">
        <v>12250</v>
      </c>
      <c r="BI596" t="s">
        <v>21667</v>
      </c>
      <c r="BJ596" t="s">
        <v>127</v>
      </c>
      <c r="BK596" t="s">
        <v>24410</v>
      </c>
      <c r="BL596" t="s">
        <v>24411</v>
      </c>
      <c r="BM596" t="s">
        <v>24412</v>
      </c>
      <c r="BN596" t="s">
        <v>14400</v>
      </c>
      <c r="BO596" t="s">
        <v>3910</v>
      </c>
      <c r="BP596" t="s">
        <v>180</v>
      </c>
      <c r="BQ596" t="s">
        <v>3911</v>
      </c>
      <c r="BR596" t="s">
        <v>3912</v>
      </c>
      <c r="BS596" t="s">
        <v>7862</v>
      </c>
      <c r="BU596" t="s">
        <v>24413</v>
      </c>
      <c r="BV596" t="s">
        <v>24414</v>
      </c>
      <c r="BW596" t="s">
        <v>598</v>
      </c>
      <c r="BX596" t="s">
        <v>8960</v>
      </c>
      <c r="BY596" t="s">
        <v>8961</v>
      </c>
      <c r="BZ596" t="s">
        <v>24415</v>
      </c>
      <c r="CA596" t="s">
        <v>24414</v>
      </c>
      <c r="CB596" t="s">
        <v>24416</v>
      </c>
      <c r="CC596" t="s">
        <v>24417</v>
      </c>
      <c r="CD596" t="s">
        <v>24414</v>
      </c>
      <c r="CE596" t="s">
        <v>24416</v>
      </c>
      <c r="CF596" t="s">
        <v>24417</v>
      </c>
      <c r="CG596" t="s">
        <v>1538</v>
      </c>
      <c r="CH596" t="s">
        <v>24418</v>
      </c>
      <c r="CJ596" t="s">
        <v>24419</v>
      </c>
      <c r="CK596" t="s">
        <v>24420</v>
      </c>
      <c r="CL596" t="s">
        <v>6824</v>
      </c>
      <c r="CM596" t="s">
        <v>730</v>
      </c>
      <c r="CN596" t="s">
        <v>24419</v>
      </c>
      <c r="CP596" t="s">
        <v>24421</v>
      </c>
      <c r="CQ596" t="s">
        <v>24421</v>
      </c>
    </row>
    <row r="597" spans="1:95" customFormat="1">
      <c r="A597" t="s">
        <v>337</v>
      </c>
      <c r="B597">
        <v>3993835</v>
      </c>
      <c r="C597" s="50"/>
      <c r="D597" t="s">
        <v>22577</v>
      </c>
      <c r="E597" s="50"/>
      <c r="I597" s="50"/>
      <c r="J597" s="51"/>
      <c r="K597" t="s">
        <v>97</v>
      </c>
      <c r="L597">
        <v>117000</v>
      </c>
      <c r="M597">
        <v>117000</v>
      </c>
      <c r="N597">
        <v>117000</v>
      </c>
      <c r="O597">
        <v>150</v>
      </c>
      <c r="P597" t="s">
        <v>2110</v>
      </c>
      <c r="Q597">
        <v>0</v>
      </c>
      <c r="R597">
        <v>0</v>
      </c>
      <c r="T597">
        <v>0</v>
      </c>
      <c r="U597">
        <v>0</v>
      </c>
      <c r="W597" t="s">
        <v>102</v>
      </c>
      <c r="X597" t="s">
        <v>275</v>
      </c>
      <c r="Z597" t="s">
        <v>13675</v>
      </c>
      <c r="AA597" t="s">
        <v>109</v>
      </c>
      <c r="AB597" t="s">
        <v>102</v>
      </c>
      <c r="AC597" t="s">
        <v>109</v>
      </c>
      <c r="AD597" t="s">
        <v>102</v>
      </c>
      <c r="AE597" t="s">
        <v>109</v>
      </c>
      <c r="AF597" t="s">
        <v>102</v>
      </c>
      <c r="AG597" t="s">
        <v>109</v>
      </c>
      <c r="AH597" t="s">
        <v>102</v>
      </c>
      <c r="AI597" t="s">
        <v>102</v>
      </c>
      <c r="AJ597" t="s">
        <v>22245</v>
      </c>
      <c r="AK597" t="s">
        <v>22245</v>
      </c>
      <c r="AL597" t="s">
        <v>22579</v>
      </c>
      <c r="AM597" t="s">
        <v>22579</v>
      </c>
      <c r="AN597" t="s">
        <v>102</v>
      </c>
      <c r="AO597" t="s">
        <v>6752</v>
      </c>
      <c r="AP597" t="s">
        <v>6752</v>
      </c>
      <c r="AU597" t="s">
        <v>117</v>
      </c>
      <c r="AV597" t="s">
        <v>250</v>
      </c>
      <c r="AW597" t="s">
        <v>102</v>
      </c>
      <c r="AX597" t="s">
        <v>119</v>
      </c>
      <c r="BB597" t="s">
        <v>120</v>
      </c>
      <c r="BC597" t="s">
        <v>1104</v>
      </c>
      <c r="BD597" t="s">
        <v>449</v>
      </c>
      <c r="BE597" t="s">
        <v>122</v>
      </c>
      <c r="BF597" t="s">
        <v>253</v>
      </c>
      <c r="BG597" t="s">
        <v>124</v>
      </c>
      <c r="BH597" t="s">
        <v>11889</v>
      </c>
      <c r="BI597" t="s">
        <v>11889</v>
      </c>
      <c r="BJ597" t="s">
        <v>127</v>
      </c>
      <c r="BK597" t="s">
        <v>22580</v>
      </c>
      <c r="BL597" t="s">
        <v>22581</v>
      </c>
      <c r="BM597" t="s">
        <v>22582</v>
      </c>
      <c r="BN597" t="s">
        <v>16162</v>
      </c>
      <c r="BO597" t="s">
        <v>10675</v>
      </c>
      <c r="BP597" t="s">
        <v>505</v>
      </c>
      <c r="BQ597" t="s">
        <v>10676</v>
      </c>
      <c r="BR597" t="s">
        <v>10677</v>
      </c>
      <c r="BS597" t="s">
        <v>10678</v>
      </c>
      <c r="BU597" t="s">
        <v>22583</v>
      </c>
      <c r="BV597" t="s">
        <v>22584</v>
      </c>
      <c r="BW597" t="s">
        <v>138</v>
      </c>
      <c r="BX597" t="s">
        <v>22585</v>
      </c>
      <c r="BY597" t="s">
        <v>22586</v>
      </c>
      <c r="BZ597" t="s">
        <v>22587</v>
      </c>
      <c r="CA597" t="s">
        <v>22584</v>
      </c>
      <c r="CB597" t="s">
        <v>22585</v>
      </c>
      <c r="CC597" t="s">
        <v>22586</v>
      </c>
      <c r="CD597" t="s">
        <v>22588</v>
      </c>
      <c r="CE597" t="s">
        <v>22589</v>
      </c>
      <c r="CF597" t="s">
        <v>22590</v>
      </c>
      <c r="CG597" t="s">
        <v>573</v>
      </c>
      <c r="CH597" t="s">
        <v>22591</v>
      </c>
      <c r="CJ597" t="s">
        <v>22592</v>
      </c>
      <c r="CK597" t="s">
        <v>22593</v>
      </c>
      <c r="CL597" t="s">
        <v>1104</v>
      </c>
      <c r="CM597" t="s">
        <v>449</v>
      </c>
      <c r="CN597" t="s">
        <v>22592</v>
      </c>
      <c r="CP597" t="s">
        <v>22594</v>
      </c>
      <c r="CQ597" t="s">
        <v>22594</v>
      </c>
    </row>
    <row r="598" spans="1:95" customFormat="1">
      <c r="A598" t="s">
        <v>26356</v>
      </c>
      <c r="B598">
        <v>3994402</v>
      </c>
      <c r="C598" s="50"/>
      <c r="D598" t="s">
        <v>21899</v>
      </c>
      <c r="E598" s="50"/>
      <c r="I598" s="50"/>
      <c r="J598" s="51"/>
      <c r="K598" t="s">
        <v>97</v>
      </c>
      <c r="L598">
        <v>93600</v>
      </c>
      <c r="M598">
        <v>93600</v>
      </c>
      <c r="N598">
        <v>93600</v>
      </c>
      <c r="O598">
        <v>156</v>
      </c>
      <c r="P598" t="s">
        <v>310</v>
      </c>
      <c r="Q598">
        <v>0</v>
      </c>
      <c r="R598">
        <v>0</v>
      </c>
      <c r="T598">
        <v>0</v>
      </c>
      <c r="U598">
        <v>0</v>
      </c>
      <c r="W598" t="s">
        <v>102</v>
      </c>
      <c r="X598" t="s">
        <v>103</v>
      </c>
      <c r="Y598" t="s">
        <v>104</v>
      </c>
      <c r="AA598" t="s">
        <v>12716</v>
      </c>
      <c r="AB598" t="s">
        <v>22596</v>
      </c>
      <c r="AC598" t="s">
        <v>21762</v>
      </c>
      <c r="AD598" t="s">
        <v>22596</v>
      </c>
      <c r="AE598" t="s">
        <v>109</v>
      </c>
      <c r="AF598" t="s">
        <v>102</v>
      </c>
      <c r="AG598" t="s">
        <v>109</v>
      </c>
      <c r="AH598" t="s">
        <v>102</v>
      </c>
      <c r="AI598" t="s">
        <v>102</v>
      </c>
      <c r="AJ598" t="s">
        <v>14400</v>
      </c>
      <c r="AK598" t="s">
        <v>14400</v>
      </c>
      <c r="AL598" t="s">
        <v>22596</v>
      </c>
      <c r="AM598" t="s">
        <v>24422</v>
      </c>
      <c r="AN598" t="s">
        <v>24423</v>
      </c>
      <c r="AO598" t="s">
        <v>317</v>
      </c>
      <c r="AP598" t="s">
        <v>317</v>
      </c>
      <c r="AU598" t="s">
        <v>318</v>
      </c>
      <c r="AV598" t="s">
        <v>118</v>
      </c>
      <c r="AW598" t="s">
        <v>102</v>
      </c>
      <c r="AX598" t="s">
        <v>119</v>
      </c>
      <c r="BB598" t="s">
        <v>120</v>
      </c>
      <c r="BC598" t="s">
        <v>3058</v>
      </c>
      <c r="BD598" t="s">
        <v>320</v>
      </c>
      <c r="BE598" t="s">
        <v>122</v>
      </c>
      <c r="BF598" t="s">
        <v>123</v>
      </c>
      <c r="BG598" t="s">
        <v>124</v>
      </c>
      <c r="BH598" t="s">
        <v>12250</v>
      </c>
      <c r="BI598" t="s">
        <v>21667</v>
      </c>
      <c r="BJ598" t="s">
        <v>127</v>
      </c>
      <c r="BK598" t="s">
        <v>22597</v>
      </c>
      <c r="BL598" t="s">
        <v>22598</v>
      </c>
      <c r="BM598" t="s">
        <v>22599</v>
      </c>
      <c r="BN598" t="s">
        <v>12716</v>
      </c>
      <c r="BO598" t="s">
        <v>131</v>
      </c>
      <c r="BP598" t="s">
        <v>505</v>
      </c>
      <c r="BQ598" t="s">
        <v>133</v>
      </c>
      <c r="BR598" t="s">
        <v>134</v>
      </c>
      <c r="BS598" t="s">
        <v>455</v>
      </c>
      <c r="BU598" t="s">
        <v>22600</v>
      </c>
      <c r="BV598" t="s">
        <v>22601</v>
      </c>
      <c r="BW598" t="s">
        <v>138</v>
      </c>
      <c r="BX598" t="s">
        <v>22602</v>
      </c>
      <c r="BY598" t="s">
        <v>22603</v>
      </c>
      <c r="BZ598" t="s">
        <v>22602</v>
      </c>
      <c r="CA598" t="s">
        <v>22601</v>
      </c>
      <c r="CB598" t="s">
        <v>22602</v>
      </c>
      <c r="CC598" t="s">
        <v>22603</v>
      </c>
      <c r="CD598" t="s">
        <v>22604</v>
      </c>
      <c r="CE598" t="s">
        <v>22605</v>
      </c>
      <c r="CF598" t="s">
        <v>22606</v>
      </c>
      <c r="CG598" t="s">
        <v>102</v>
      </c>
      <c r="CH598" t="s">
        <v>22607</v>
      </c>
      <c r="CJ598" t="s">
        <v>22608</v>
      </c>
      <c r="CK598" t="s">
        <v>22607</v>
      </c>
      <c r="CL598" t="s">
        <v>3058</v>
      </c>
      <c r="CM598" t="s">
        <v>320</v>
      </c>
      <c r="CN598" t="s">
        <v>22608</v>
      </c>
      <c r="CP598" t="s">
        <v>22609</v>
      </c>
      <c r="CQ598" t="s">
        <v>22609</v>
      </c>
    </row>
    <row r="599" spans="1:95" customFormat="1">
      <c r="A599" t="s">
        <v>26356</v>
      </c>
      <c r="B599">
        <v>3994403</v>
      </c>
      <c r="C599" s="50"/>
      <c r="D599" t="s">
        <v>21899</v>
      </c>
      <c r="E599" s="50"/>
      <c r="I599" s="50"/>
      <c r="J599" s="51"/>
      <c r="K599" t="s">
        <v>97</v>
      </c>
      <c r="L599">
        <v>354600</v>
      </c>
      <c r="M599">
        <v>354600</v>
      </c>
      <c r="N599">
        <v>354600</v>
      </c>
      <c r="O599">
        <v>591</v>
      </c>
      <c r="P599" t="s">
        <v>310</v>
      </c>
      <c r="Q599">
        <v>0</v>
      </c>
      <c r="R599">
        <v>0</v>
      </c>
      <c r="T599">
        <v>0</v>
      </c>
      <c r="U599">
        <v>0</v>
      </c>
      <c r="W599" t="s">
        <v>102</v>
      </c>
      <c r="X599" t="s">
        <v>103</v>
      </c>
      <c r="Y599" t="s">
        <v>104</v>
      </c>
      <c r="AA599" t="s">
        <v>12716</v>
      </c>
      <c r="AB599" t="s">
        <v>22611</v>
      </c>
      <c r="AC599" t="s">
        <v>21762</v>
      </c>
      <c r="AD599" t="s">
        <v>22611</v>
      </c>
      <c r="AE599" t="s">
        <v>109</v>
      </c>
      <c r="AF599" t="s">
        <v>102</v>
      </c>
      <c r="AG599" t="s">
        <v>109</v>
      </c>
      <c r="AH599" t="s">
        <v>102</v>
      </c>
      <c r="AI599" t="s">
        <v>102</v>
      </c>
      <c r="AJ599" t="s">
        <v>23756</v>
      </c>
      <c r="AK599" t="s">
        <v>23756</v>
      </c>
      <c r="AL599" t="s">
        <v>22611</v>
      </c>
      <c r="AM599" t="s">
        <v>24424</v>
      </c>
      <c r="AN599" t="s">
        <v>24425</v>
      </c>
      <c r="AO599" t="s">
        <v>317</v>
      </c>
      <c r="AP599" t="s">
        <v>317</v>
      </c>
      <c r="AU599" t="s">
        <v>318</v>
      </c>
      <c r="AV599" t="s">
        <v>118</v>
      </c>
      <c r="AW599" t="s">
        <v>102</v>
      </c>
      <c r="AX599" t="s">
        <v>119</v>
      </c>
      <c r="BB599" t="s">
        <v>120</v>
      </c>
      <c r="BC599" t="s">
        <v>3058</v>
      </c>
      <c r="BD599" t="s">
        <v>320</v>
      </c>
      <c r="BE599" t="s">
        <v>122</v>
      </c>
      <c r="BF599" t="s">
        <v>123</v>
      </c>
      <c r="BG599" t="s">
        <v>124</v>
      </c>
      <c r="BH599" t="s">
        <v>12250</v>
      </c>
      <c r="BI599" t="s">
        <v>21667</v>
      </c>
      <c r="BJ599" t="s">
        <v>127</v>
      </c>
      <c r="BK599" t="s">
        <v>22612</v>
      </c>
      <c r="BL599" t="s">
        <v>22613</v>
      </c>
      <c r="BM599" t="s">
        <v>22614</v>
      </c>
      <c r="BN599" t="s">
        <v>12716</v>
      </c>
      <c r="BO599" t="s">
        <v>131</v>
      </c>
      <c r="BP599" t="s">
        <v>505</v>
      </c>
      <c r="BQ599" t="s">
        <v>133</v>
      </c>
      <c r="BR599" t="s">
        <v>134</v>
      </c>
      <c r="BS599" t="s">
        <v>455</v>
      </c>
      <c r="BU599" t="s">
        <v>22615</v>
      </c>
      <c r="BV599" t="s">
        <v>22616</v>
      </c>
      <c r="BW599" t="s">
        <v>138</v>
      </c>
      <c r="BX599" t="s">
        <v>22617</v>
      </c>
      <c r="BY599" t="s">
        <v>22618</v>
      </c>
      <c r="BZ599" t="s">
        <v>22619</v>
      </c>
      <c r="CA599" t="s">
        <v>22616</v>
      </c>
      <c r="CB599" t="s">
        <v>22617</v>
      </c>
      <c r="CC599" t="s">
        <v>22618</v>
      </c>
      <c r="CD599" t="s">
        <v>22620</v>
      </c>
      <c r="CE599" t="s">
        <v>22621</v>
      </c>
      <c r="CF599" t="s">
        <v>22622</v>
      </c>
      <c r="CG599" t="s">
        <v>7998</v>
      </c>
      <c r="CH599" t="s">
        <v>22623</v>
      </c>
      <c r="CJ599" t="s">
        <v>22624</v>
      </c>
      <c r="CK599" t="s">
        <v>22623</v>
      </c>
      <c r="CL599" t="s">
        <v>3058</v>
      </c>
      <c r="CM599" t="s">
        <v>320</v>
      </c>
      <c r="CN599" t="s">
        <v>22624</v>
      </c>
      <c r="CP599" t="s">
        <v>22623</v>
      </c>
      <c r="CQ599" t="s">
        <v>22623</v>
      </c>
    </row>
    <row r="600" spans="1:95" customFormat="1">
      <c r="A600" t="s">
        <v>26356</v>
      </c>
      <c r="B600">
        <v>3994404</v>
      </c>
      <c r="C600" s="50"/>
      <c r="D600" t="s">
        <v>21899</v>
      </c>
      <c r="E600" s="50"/>
      <c r="I600" s="50"/>
      <c r="J600" s="51"/>
      <c r="K600" t="s">
        <v>97</v>
      </c>
      <c r="L600">
        <v>103800</v>
      </c>
      <c r="M600">
        <v>103800</v>
      </c>
      <c r="N600">
        <v>103800</v>
      </c>
      <c r="O600">
        <v>173</v>
      </c>
      <c r="P600" t="s">
        <v>310</v>
      </c>
      <c r="Q600">
        <v>0</v>
      </c>
      <c r="R600">
        <v>0</v>
      </c>
      <c r="T600">
        <v>0</v>
      </c>
      <c r="U600">
        <v>0</v>
      </c>
      <c r="W600" t="s">
        <v>102</v>
      </c>
      <c r="X600" t="s">
        <v>103</v>
      </c>
      <c r="Y600" t="s">
        <v>104</v>
      </c>
      <c r="AA600" t="s">
        <v>12716</v>
      </c>
      <c r="AB600" t="s">
        <v>22626</v>
      </c>
      <c r="AC600" t="s">
        <v>21762</v>
      </c>
      <c r="AD600" t="s">
        <v>22626</v>
      </c>
      <c r="AE600" t="s">
        <v>109</v>
      </c>
      <c r="AF600" t="s">
        <v>102</v>
      </c>
      <c r="AG600" t="s">
        <v>109</v>
      </c>
      <c r="AH600" t="s">
        <v>102</v>
      </c>
      <c r="AI600" t="s">
        <v>24426</v>
      </c>
      <c r="AJ600" t="s">
        <v>14400</v>
      </c>
      <c r="AK600" t="s">
        <v>14400</v>
      </c>
      <c r="AL600" t="s">
        <v>22626</v>
      </c>
      <c r="AM600" t="s">
        <v>24427</v>
      </c>
      <c r="AN600" t="s">
        <v>102</v>
      </c>
      <c r="AO600" t="s">
        <v>317</v>
      </c>
      <c r="AP600" t="s">
        <v>317</v>
      </c>
      <c r="AU600" t="s">
        <v>318</v>
      </c>
      <c r="AV600" t="s">
        <v>118</v>
      </c>
      <c r="AW600" t="s">
        <v>102</v>
      </c>
      <c r="AX600" t="s">
        <v>119</v>
      </c>
      <c r="BB600" t="s">
        <v>120</v>
      </c>
      <c r="BC600" t="s">
        <v>4153</v>
      </c>
      <c r="BD600" t="s">
        <v>320</v>
      </c>
      <c r="BE600" t="s">
        <v>122</v>
      </c>
      <c r="BF600" t="s">
        <v>123</v>
      </c>
      <c r="BG600" t="s">
        <v>124</v>
      </c>
      <c r="BH600" t="s">
        <v>12250</v>
      </c>
      <c r="BI600" t="s">
        <v>21667</v>
      </c>
      <c r="BJ600" t="s">
        <v>127</v>
      </c>
      <c r="BK600" t="s">
        <v>22627</v>
      </c>
      <c r="BL600" t="s">
        <v>22628</v>
      </c>
      <c r="BM600" t="s">
        <v>22629</v>
      </c>
      <c r="BN600" t="s">
        <v>12716</v>
      </c>
      <c r="BO600" t="s">
        <v>131</v>
      </c>
      <c r="BP600" t="s">
        <v>350</v>
      </c>
      <c r="BQ600" t="s">
        <v>133</v>
      </c>
      <c r="BR600" t="s">
        <v>134</v>
      </c>
      <c r="BS600" t="s">
        <v>455</v>
      </c>
      <c r="BU600" t="s">
        <v>22630</v>
      </c>
      <c r="BV600" t="s">
        <v>22631</v>
      </c>
      <c r="BW600" t="s">
        <v>138</v>
      </c>
      <c r="BX600" t="s">
        <v>22632</v>
      </c>
      <c r="BY600" t="s">
        <v>22633</v>
      </c>
      <c r="BZ600" t="s">
        <v>22634</v>
      </c>
      <c r="CA600" t="s">
        <v>22631</v>
      </c>
      <c r="CB600" t="s">
        <v>22632</v>
      </c>
      <c r="CC600" t="s">
        <v>22633</v>
      </c>
      <c r="CD600" t="s">
        <v>22635</v>
      </c>
      <c r="CE600" t="s">
        <v>22636</v>
      </c>
      <c r="CF600" t="s">
        <v>22637</v>
      </c>
      <c r="CG600" t="s">
        <v>22638</v>
      </c>
      <c r="CH600" t="s">
        <v>22639</v>
      </c>
      <c r="CJ600" t="s">
        <v>22640</v>
      </c>
      <c r="CK600" t="s">
        <v>22639</v>
      </c>
      <c r="CL600" t="s">
        <v>4153</v>
      </c>
      <c r="CM600" t="s">
        <v>320</v>
      </c>
      <c r="CN600" t="s">
        <v>22640</v>
      </c>
      <c r="CO600" t="s">
        <v>24428</v>
      </c>
      <c r="CP600" t="s">
        <v>22639</v>
      </c>
      <c r="CQ600" t="s">
        <v>22639</v>
      </c>
    </row>
    <row r="601" spans="1:95" customFormat="1">
      <c r="A601" t="s">
        <v>337</v>
      </c>
      <c r="B601">
        <v>3994834</v>
      </c>
      <c r="C601" s="50"/>
      <c r="D601" t="s">
        <v>22655</v>
      </c>
      <c r="E601" s="50"/>
      <c r="I601" s="50"/>
      <c r="J601" s="51"/>
      <c r="K601" t="s">
        <v>2044</v>
      </c>
      <c r="L601">
        <v>1231121</v>
      </c>
      <c r="M601">
        <v>1231121</v>
      </c>
      <c r="N601">
        <v>659529</v>
      </c>
      <c r="O601">
        <v>1201</v>
      </c>
      <c r="P601" t="s">
        <v>22657</v>
      </c>
      <c r="Q601">
        <v>571592</v>
      </c>
      <c r="R601">
        <v>1201</v>
      </c>
      <c r="S601" t="s">
        <v>22658</v>
      </c>
      <c r="T601">
        <v>0</v>
      </c>
      <c r="U601">
        <v>0</v>
      </c>
      <c r="W601" t="s">
        <v>102</v>
      </c>
      <c r="X601" t="s">
        <v>103</v>
      </c>
      <c r="Y601" t="s">
        <v>155</v>
      </c>
      <c r="AA601" t="s">
        <v>6895</v>
      </c>
      <c r="AB601" t="s">
        <v>22659</v>
      </c>
      <c r="AC601" t="s">
        <v>19143</v>
      </c>
      <c r="AD601" t="s">
        <v>22659</v>
      </c>
      <c r="AE601" t="s">
        <v>21686</v>
      </c>
      <c r="AF601" t="s">
        <v>22659</v>
      </c>
      <c r="AG601" t="s">
        <v>21666</v>
      </c>
      <c r="AH601" t="s">
        <v>22659</v>
      </c>
      <c r="AI601" t="s">
        <v>102</v>
      </c>
      <c r="AJ601" t="s">
        <v>13867</v>
      </c>
      <c r="AK601" t="s">
        <v>13867</v>
      </c>
      <c r="AL601" t="s">
        <v>22659</v>
      </c>
      <c r="AM601" t="s">
        <v>2980</v>
      </c>
      <c r="AN601" t="s">
        <v>22660</v>
      </c>
      <c r="AO601" t="s">
        <v>22661</v>
      </c>
      <c r="AP601" t="s">
        <v>12863</v>
      </c>
      <c r="AR601" t="s">
        <v>169</v>
      </c>
      <c r="AS601" t="s">
        <v>169</v>
      </c>
      <c r="AU601" t="s">
        <v>318</v>
      </c>
      <c r="AV601" t="s">
        <v>118</v>
      </c>
      <c r="AW601" t="s">
        <v>104</v>
      </c>
      <c r="AX601" t="s">
        <v>447</v>
      </c>
      <c r="AY601" t="s">
        <v>170</v>
      </c>
      <c r="AZ601" t="s">
        <v>118</v>
      </c>
      <c r="BB601" t="s">
        <v>120</v>
      </c>
      <c r="BC601" t="s">
        <v>121</v>
      </c>
      <c r="BD601" t="s">
        <v>121</v>
      </c>
      <c r="BE601" t="s">
        <v>122</v>
      </c>
      <c r="BF601" t="s">
        <v>123</v>
      </c>
      <c r="BG601" t="s">
        <v>124</v>
      </c>
      <c r="BH601" t="s">
        <v>12250</v>
      </c>
      <c r="BI601" t="s">
        <v>21667</v>
      </c>
      <c r="BJ601" t="s">
        <v>127</v>
      </c>
      <c r="BK601" t="s">
        <v>22662</v>
      </c>
      <c r="BL601" t="s">
        <v>22663</v>
      </c>
      <c r="BM601" t="s">
        <v>22664</v>
      </c>
      <c r="BN601" t="s">
        <v>13964</v>
      </c>
      <c r="BO601" t="s">
        <v>7005</v>
      </c>
      <c r="BP601" t="s">
        <v>350</v>
      </c>
      <c r="BQ601" t="s">
        <v>7006</v>
      </c>
      <c r="BR601" t="s">
        <v>7007</v>
      </c>
      <c r="BS601" t="s">
        <v>7008</v>
      </c>
      <c r="BU601" t="s">
        <v>22665</v>
      </c>
      <c r="BV601" t="s">
        <v>22666</v>
      </c>
      <c r="BW601" t="s">
        <v>138</v>
      </c>
      <c r="BX601" t="s">
        <v>22667</v>
      </c>
      <c r="BY601" t="s">
        <v>22668</v>
      </c>
      <c r="BZ601" t="s">
        <v>22669</v>
      </c>
      <c r="CA601" t="s">
        <v>22666</v>
      </c>
      <c r="CB601" t="s">
        <v>22667</v>
      </c>
      <c r="CC601" t="s">
        <v>22668</v>
      </c>
      <c r="CD601" t="s">
        <v>22666</v>
      </c>
      <c r="CE601" t="s">
        <v>22667</v>
      </c>
      <c r="CF601" t="s">
        <v>22668</v>
      </c>
      <c r="CG601" t="s">
        <v>2270</v>
      </c>
      <c r="CH601" t="s">
        <v>22655</v>
      </c>
      <c r="CJ601" t="s">
        <v>22670</v>
      </c>
      <c r="CK601" t="s">
        <v>22655</v>
      </c>
      <c r="CL601" t="s">
        <v>121</v>
      </c>
      <c r="CM601" t="s">
        <v>121</v>
      </c>
      <c r="CN601" t="s">
        <v>22670</v>
      </c>
      <c r="CP601" t="s">
        <v>22671</v>
      </c>
      <c r="CQ601" t="s">
        <v>22671</v>
      </c>
    </row>
    <row r="602" spans="1:95" customFormat="1">
      <c r="A602" t="s">
        <v>337</v>
      </c>
      <c r="B602">
        <v>3997196</v>
      </c>
      <c r="C602" s="50"/>
      <c r="D602" t="s">
        <v>22683</v>
      </c>
      <c r="E602" s="50"/>
      <c r="I602" s="50"/>
      <c r="J602" s="51"/>
      <c r="K602" t="s">
        <v>152</v>
      </c>
      <c r="L602">
        <v>376020</v>
      </c>
      <c r="M602">
        <v>376020</v>
      </c>
      <c r="N602">
        <v>0</v>
      </c>
      <c r="O602">
        <v>0</v>
      </c>
      <c r="Q602">
        <v>376020</v>
      </c>
      <c r="R602">
        <v>248</v>
      </c>
      <c r="S602" t="s">
        <v>22685</v>
      </c>
      <c r="T602">
        <v>0</v>
      </c>
      <c r="U602">
        <v>0</v>
      </c>
      <c r="W602" t="s">
        <v>102</v>
      </c>
      <c r="X602" t="s">
        <v>103</v>
      </c>
      <c r="Y602" t="s">
        <v>155</v>
      </c>
      <c r="AA602" t="s">
        <v>11889</v>
      </c>
      <c r="AB602" t="s">
        <v>22686</v>
      </c>
      <c r="AC602" t="s">
        <v>19143</v>
      </c>
      <c r="AD602" t="s">
        <v>22686</v>
      </c>
      <c r="AE602" t="s">
        <v>21762</v>
      </c>
      <c r="AF602" t="s">
        <v>22686</v>
      </c>
      <c r="AG602" t="s">
        <v>21710</v>
      </c>
      <c r="AH602" t="s">
        <v>22686</v>
      </c>
      <c r="AI602" t="s">
        <v>102</v>
      </c>
      <c r="AJ602" t="s">
        <v>12330</v>
      </c>
      <c r="AK602" t="s">
        <v>12330</v>
      </c>
      <c r="AL602" t="s">
        <v>22686</v>
      </c>
      <c r="AM602" t="s">
        <v>573</v>
      </c>
      <c r="AN602" t="s">
        <v>24429</v>
      </c>
      <c r="AO602" t="s">
        <v>1206</v>
      </c>
      <c r="AP602" t="s">
        <v>1206</v>
      </c>
      <c r="AU602" t="s">
        <v>102</v>
      </c>
      <c r="AW602" t="s">
        <v>155</v>
      </c>
      <c r="AX602" t="s">
        <v>119</v>
      </c>
      <c r="AY602" t="s">
        <v>1138</v>
      </c>
      <c r="AZ602" t="s">
        <v>118</v>
      </c>
      <c r="BB602" t="s">
        <v>120</v>
      </c>
      <c r="BC602" t="s">
        <v>22687</v>
      </c>
      <c r="BD602" t="s">
        <v>285</v>
      </c>
      <c r="BE602" t="s">
        <v>212</v>
      </c>
      <c r="BF602" t="s">
        <v>286</v>
      </c>
      <c r="BG602" t="s">
        <v>124</v>
      </c>
      <c r="BH602" t="s">
        <v>19143</v>
      </c>
      <c r="BI602" t="s">
        <v>22688</v>
      </c>
      <c r="BJ602" t="s">
        <v>127</v>
      </c>
      <c r="BK602" t="s">
        <v>22689</v>
      </c>
      <c r="BL602" t="s">
        <v>22690</v>
      </c>
      <c r="BM602" t="s">
        <v>22691</v>
      </c>
      <c r="BN602" t="s">
        <v>12313</v>
      </c>
      <c r="BO602" t="s">
        <v>3997</v>
      </c>
      <c r="BP602" t="s">
        <v>505</v>
      </c>
      <c r="BQ602" t="s">
        <v>3998</v>
      </c>
      <c r="BR602" t="s">
        <v>3999</v>
      </c>
      <c r="BS602" t="s">
        <v>3362</v>
      </c>
      <c r="BU602" t="s">
        <v>22692</v>
      </c>
      <c r="BV602" t="s">
        <v>22693</v>
      </c>
      <c r="BW602" t="s">
        <v>354</v>
      </c>
      <c r="BX602" t="s">
        <v>22694</v>
      </c>
      <c r="BY602" t="s">
        <v>22695</v>
      </c>
      <c r="BZ602" t="s">
        <v>22696</v>
      </c>
      <c r="CA602" t="s">
        <v>22697</v>
      </c>
      <c r="CB602" t="s">
        <v>22694</v>
      </c>
      <c r="CC602" t="s">
        <v>22695</v>
      </c>
      <c r="CD602" t="s">
        <v>22697</v>
      </c>
      <c r="CE602" t="s">
        <v>22694</v>
      </c>
      <c r="CF602" t="s">
        <v>22695</v>
      </c>
      <c r="CG602" t="s">
        <v>3474</v>
      </c>
      <c r="CH602" t="s">
        <v>22698</v>
      </c>
      <c r="CJ602" t="s">
        <v>22699</v>
      </c>
      <c r="CK602" t="s">
        <v>22698</v>
      </c>
      <c r="CL602" t="s">
        <v>22687</v>
      </c>
      <c r="CM602" t="s">
        <v>285</v>
      </c>
      <c r="CN602" t="s">
        <v>22699</v>
      </c>
      <c r="CP602" t="s">
        <v>22700</v>
      </c>
      <c r="CQ602" t="s">
        <v>22700</v>
      </c>
    </row>
    <row r="603" spans="1:95" customFormat="1">
      <c r="A603" t="s">
        <v>337</v>
      </c>
      <c r="B603">
        <v>3998514</v>
      </c>
      <c r="C603" s="50"/>
      <c r="D603" t="s">
        <v>23557</v>
      </c>
      <c r="E603" s="50"/>
      <c r="I603" s="50"/>
      <c r="J603" s="51"/>
      <c r="K603" t="s">
        <v>97</v>
      </c>
      <c r="L603">
        <v>629910</v>
      </c>
      <c r="M603">
        <v>629910</v>
      </c>
      <c r="N603">
        <v>629910</v>
      </c>
      <c r="O603">
        <v>900</v>
      </c>
      <c r="P603" t="s">
        <v>799</v>
      </c>
      <c r="Q603">
        <v>0</v>
      </c>
      <c r="R603">
        <v>0</v>
      </c>
      <c r="T603">
        <v>0</v>
      </c>
      <c r="U603">
        <v>0</v>
      </c>
      <c r="W603" t="s">
        <v>102</v>
      </c>
      <c r="X603" t="s">
        <v>103</v>
      </c>
      <c r="Y603" t="s">
        <v>155</v>
      </c>
      <c r="AA603" t="s">
        <v>12435</v>
      </c>
      <c r="AB603" t="s">
        <v>23559</v>
      </c>
      <c r="AC603" t="s">
        <v>12720</v>
      </c>
      <c r="AD603" t="s">
        <v>23559</v>
      </c>
      <c r="AE603" t="s">
        <v>22119</v>
      </c>
      <c r="AF603" t="s">
        <v>23559</v>
      </c>
      <c r="AG603" t="s">
        <v>21687</v>
      </c>
      <c r="AH603" t="s">
        <v>23559</v>
      </c>
      <c r="AI603" t="s">
        <v>102</v>
      </c>
      <c r="AJ603" t="s">
        <v>13131</v>
      </c>
      <c r="AK603" t="s">
        <v>13131</v>
      </c>
      <c r="AL603" t="s">
        <v>102</v>
      </c>
      <c r="AM603" t="s">
        <v>2555</v>
      </c>
      <c r="AN603" t="s">
        <v>22120</v>
      </c>
      <c r="AO603" t="s">
        <v>10612</v>
      </c>
      <c r="AP603" t="s">
        <v>10612</v>
      </c>
      <c r="AU603" t="s">
        <v>318</v>
      </c>
      <c r="AV603" t="s">
        <v>118</v>
      </c>
      <c r="AW603" t="s">
        <v>102</v>
      </c>
      <c r="AX603" t="s">
        <v>119</v>
      </c>
      <c r="BB603" t="s">
        <v>120</v>
      </c>
      <c r="BC603" t="s">
        <v>12104</v>
      </c>
      <c r="BD603" t="s">
        <v>1208</v>
      </c>
      <c r="BE603" t="s">
        <v>174</v>
      </c>
      <c r="BF603" t="s">
        <v>1172</v>
      </c>
      <c r="BG603" t="s">
        <v>124</v>
      </c>
      <c r="BH603" t="s">
        <v>12250</v>
      </c>
      <c r="BI603" t="s">
        <v>21667</v>
      </c>
      <c r="BJ603" t="s">
        <v>127</v>
      </c>
      <c r="BK603" t="s">
        <v>23560</v>
      </c>
      <c r="BL603" t="s">
        <v>23561</v>
      </c>
      <c r="BM603" t="s">
        <v>23562</v>
      </c>
      <c r="BN603" t="s">
        <v>13245</v>
      </c>
      <c r="BO603" t="s">
        <v>7512</v>
      </c>
      <c r="BP603" t="s">
        <v>180</v>
      </c>
      <c r="BQ603" t="s">
        <v>7513</v>
      </c>
      <c r="BR603" t="s">
        <v>7514</v>
      </c>
      <c r="BS603" t="s">
        <v>7515</v>
      </c>
      <c r="BU603" t="s">
        <v>23563</v>
      </c>
      <c r="BV603" t="s">
        <v>23564</v>
      </c>
      <c r="BW603" t="s">
        <v>138</v>
      </c>
      <c r="BX603" t="s">
        <v>23565</v>
      </c>
      <c r="BY603" t="s">
        <v>23566</v>
      </c>
      <c r="BZ603" t="s">
        <v>23565</v>
      </c>
      <c r="CA603" t="s">
        <v>23564</v>
      </c>
      <c r="CB603" t="s">
        <v>23565</v>
      </c>
      <c r="CC603" t="s">
        <v>23566</v>
      </c>
      <c r="CD603" t="s">
        <v>23564</v>
      </c>
      <c r="CE603" t="s">
        <v>23565</v>
      </c>
      <c r="CF603" t="s">
        <v>23566</v>
      </c>
      <c r="CG603" t="s">
        <v>20469</v>
      </c>
      <c r="CH603" t="s">
        <v>23567</v>
      </c>
      <c r="CJ603" t="s">
        <v>23568</v>
      </c>
      <c r="CK603" t="s">
        <v>23569</v>
      </c>
      <c r="CL603" t="s">
        <v>12104</v>
      </c>
      <c r="CM603" t="s">
        <v>1208</v>
      </c>
      <c r="CN603" t="s">
        <v>23568</v>
      </c>
      <c r="CP603" t="s">
        <v>23570</v>
      </c>
      <c r="CQ603" t="s">
        <v>23570</v>
      </c>
    </row>
    <row r="604" spans="1:95" customFormat="1">
      <c r="A604" t="s">
        <v>337</v>
      </c>
      <c r="B604">
        <v>3999434</v>
      </c>
      <c r="C604" s="50"/>
      <c r="D604" t="s">
        <v>22701</v>
      </c>
      <c r="E604" s="50"/>
      <c r="I604" s="50"/>
      <c r="J604" s="51"/>
      <c r="K604" t="s">
        <v>152</v>
      </c>
      <c r="L604">
        <v>595003</v>
      </c>
      <c r="M604">
        <v>595003</v>
      </c>
      <c r="N604">
        <v>0</v>
      </c>
      <c r="O604">
        <v>0</v>
      </c>
      <c r="Q604">
        <v>595003</v>
      </c>
      <c r="R604">
        <v>700</v>
      </c>
      <c r="S604" t="s">
        <v>2105</v>
      </c>
      <c r="T604">
        <v>0</v>
      </c>
      <c r="U604">
        <v>0</v>
      </c>
      <c r="W604" t="s">
        <v>102</v>
      </c>
      <c r="X604" t="s">
        <v>103</v>
      </c>
      <c r="Y604" t="s">
        <v>398</v>
      </c>
      <c r="AA604" t="s">
        <v>12859</v>
      </c>
      <c r="AB604" t="s">
        <v>22703</v>
      </c>
      <c r="AC604" t="s">
        <v>22704</v>
      </c>
      <c r="AD604" t="s">
        <v>22703</v>
      </c>
      <c r="AE604" t="s">
        <v>22705</v>
      </c>
      <c r="AF604" t="s">
        <v>22706</v>
      </c>
      <c r="AG604" t="s">
        <v>109</v>
      </c>
      <c r="AH604" t="s">
        <v>102</v>
      </c>
      <c r="AI604" t="s">
        <v>102</v>
      </c>
      <c r="AJ604" t="s">
        <v>14623</v>
      </c>
      <c r="AK604" t="s">
        <v>14623</v>
      </c>
      <c r="AL604" t="s">
        <v>22703</v>
      </c>
      <c r="AM604" t="s">
        <v>22703</v>
      </c>
      <c r="AN604" t="s">
        <v>102</v>
      </c>
      <c r="AO604" t="s">
        <v>22707</v>
      </c>
      <c r="AP604" t="s">
        <v>22707</v>
      </c>
      <c r="AU604" t="s">
        <v>102</v>
      </c>
      <c r="AW604" t="s">
        <v>102</v>
      </c>
      <c r="AX604" t="s">
        <v>119</v>
      </c>
      <c r="AY604" t="s">
        <v>170</v>
      </c>
      <c r="AZ604" t="s">
        <v>118</v>
      </c>
      <c r="BB604" t="s">
        <v>120</v>
      </c>
      <c r="BC604" t="s">
        <v>555</v>
      </c>
      <c r="BD604" t="s">
        <v>556</v>
      </c>
      <c r="BE604" t="s">
        <v>122</v>
      </c>
      <c r="BF604" t="s">
        <v>557</v>
      </c>
      <c r="BG604" t="s">
        <v>124</v>
      </c>
      <c r="BH604" t="s">
        <v>12250</v>
      </c>
      <c r="BI604" t="s">
        <v>21667</v>
      </c>
      <c r="BJ604" t="s">
        <v>127</v>
      </c>
      <c r="BK604" t="s">
        <v>22708</v>
      </c>
      <c r="BL604" t="s">
        <v>22709</v>
      </c>
      <c r="BM604" t="s">
        <v>22710</v>
      </c>
      <c r="BN604" t="s">
        <v>12859</v>
      </c>
      <c r="BO604" t="s">
        <v>563</v>
      </c>
      <c r="BP604" t="s">
        <v>180</v>
      </c>
      <c r="BQ604" t="s">
        <v>564</v>
      </c>
      <c r="BR604" t="s">
        <v>565</v>
      </c>
      <c r="BS604" t="s">
        <v>563</v>
      </c>
      <c r="BU604" t="s">
        <v>22711</v>
      </c>
      <c r="BV604" t="s">
        <v>22712</v>
      </c>
      <c r="BW604" t="s">
        <v>354</v>
      </c>
      <c r="BX604" t="s">
        <v>22713</v>
      </c>
      <c r="BY604" t="s">
        <v>22714</v>
      </c>
      <c r="BZ604" t="s">
        <v>22715</v>
      </c>
      <c r="CA604" t="s">
        <v>22716</v>
      </c>
      <c r="CB604" t="s">
        <v>22717</v>
      </c>
      <c r="CC604" t="s">
        <v>22718</v>
      </c>
      <c r="CD604" t="s">
        <v>22719</v>
      </c>
      <c r="CE604" t="s">
        <v>22715</v>
      </c>
      <c r="CF604" t="s">
        <v>22720</v>
      </c>
      <c r="CG604" t="s">
        <v>1594</v>
      </c>
      <c r="CH604" t="s">
        <v>22721</v>
      </c>
      <c r="CJ604" t="s">
        <v>2447</v>
      </c>
      <c r="CK604" t="s">
        <v>22722</v>
      </c>
      <c r="CL604" t="s">
        <v>555</v>
      </c>
      <c r="CM604" t="s">
        <v>556</v>
      </c>
      <c r="CN604" t="s">
        <v>2447</v>
      </c>
      <c r="CP604" t="s">
        <v>22723</v>
      </c>
      <c r="CQ604" t="s">
        <v>22723</v>
      </c>
    </row>
    <row r="605" spans="1:95" customFormat="1">
      <c r="A605" t="s">
        <v>26356</v>
      </c>
      <c r="B605">
        <v>4041890</v>
      </c>
      <c r="C605" s="50"/>
      <c r="D605" t="s">
        <v>17994</v>
      </c>
      <c r="E605" s="50"/>
      <c r="I605" s="50"/>
      <c r="J605" s="51"/>
      <c r="K605" t="s">
        <v>193</v>
      </c>
      <c r="L605">
        <v>3250816</v>
      </c>
      <c r="M605">
        <v>3691945</v>
      </c>
      <c r="N605">
        <v>800100</v>
      </c>
      <c r="O605">
        <v>889</v>
      </c>
      <c r="P605" t="s">
        <v>2451</v>
      </c>
      <c r="Q605">
        <v>0</v>
      </c>
      <c r="R605">
        <v>0</v>
      </c>
      <c r="T605">
        <v>2450716</v>
      </c>
      <c r="U605">
        <v>1137</v>
      </c>
      <c r="V605" t="s">
        <v>21961</v>
      </c>
      <c r="W605" t="s">
        <v>102</v>
      </c>
      <c r="X605" t="s">
        <v>679</v>
      </c>
      <c r="Y605" t="s">
        <v>801</v>
      </c>
      <c r="Z605" t="s">
        <v>21962</v>
      </c>
      <c r="AA605" t="s">
        <v>21963</v>
      </c>
      <c r="AB605" t="s">
        <v>22743</v>
      </c>
      <c r="AC605" t="s">
        <v>21965</v>
      </c>
      <c r="AD605" t="s">
        <v>22743</v>
      </c>
      <c r="AE605" t="s">
        <v>21966</v>
      </c>
      <c r="AF605" t="s">
        <v>22744</v>
      </c>
      <c r="AG605" t="s">
        <v>21968</v>
      </c>
      <c r="AH605" t="s">
        <v>22744</v>
      </c>
      <c r="AI605" t="s">
        <v>102</v>
      </c>
      <c r="AJ605" t="s">
        <v>22571</v>
      </c>
      <c r="AK605" t="s">
        <v>22571</v>
      </c>
      <c r="AL605" t="s">
        <v>22744</v>
      </c>
      <c r="AM605" t="s">
        <v>102</v>
      </c>
      <c r="AN605" t="s">
        <v>22744</v>
      </c>
      <c r="AO605" t="s">
        <v>21969</v>
      </c>
      <c r="AP605" t="s">
        <v>21969</v>
      </c>
      <c r="AU605" t="s">
        <v>207</v>
      </c>
      <c r="AV605" t="s">
        <v>118</v>
      </c>
      <c r="AW605" t="s">
        <v>102</v>
      </c>
      <c r="AX605" t="s">
        <v>119</v>
      </c>
      <c r="BA605" t="s">
        <v>250</v>
      </c>
      <c r="BB605" t="s">
        <v>120</v>
      </c>
      <c r="BC605" t="s">
        <v>1036</v>
      </c>
      <c r="BD605" t="s">
        <v>173</v>
      </c>
      <c r="BE605" t="s">
        <v>174</v>
      </c>
      <c r="BF605" t="s">
        <v>173</v>
      </c>
      <c r="BG605" t="s">
        <v>124</v>
      </c>
      <c r="BH605" t="s">
        <v>12250</v>
      </c>
      <c r="BI605" t="s">
        <v>21667</v>
      </c>
      <c r="BJ605" t="s">
        <v>127</v>
      </c>
      <c r="BK605" t="s">
        <v>22745</v>
      </c>
      <c r="BL605" t="s">
        <v>18000</v>
      </c>
      <c r="BM605" t="s">
        <v>22746</v>
      </c>
      <c r="BN605" t="s">
        <v>22741</v>
      </c>
      <c r="BO605" t="s">
        <v>8447</v>
      </c>
      <c r="BP605" t="s">
        <v>180</v>
      </c>
      <c r="BQ605" t="s">
        <v>8448</v>
      </c>
      <c r="BR605" t="s">
        <v>8449</v>
      </c>
      <c r="BS605" t="s">
        <v>8450</v>
      </c>
      <c r="BU605" t="s">
        <v>22747</v>
      </c>
      <c r="BV605" t="s">
        <v>22748</v>
      </c>
      <c r="BW605" t="s">
        <v>16620</v>
      </c>
      <c r="BX605" t="s">
        <v>19353</v>
      </c>
      <c r="BY605" t="s">
        <v>22749</v>
      </c>
      <c r="BZ605" t="s">
        <v>18004</v>
      </c>
      <c r="CA605" t="s">
        <v>18005</v>
      </c>
      <c r="CB605" t="s">
        <v>18004</v>
      </c>
      <c r="CC605" t="s">
        <v>18006</v>
      </c>
      <c r="CD605" t="s">
        <v>22750</v>
      </c>
      <c r="CE605" t="s">
        <v>22751</v>
      </c>
      <c r="CF605" t="s">
        <v>22752</v>
      </c>
      <c r="CG605" t="s">
        <v>8526</v>
      </c>
      <c r="CH605" t="s">
        <v>18007</v>
      </c>
      <c r="CJ605" t="s">
        <v>18008</v>
      </c>
      <c r="CK605" t="s">
        <v>18009</v>
      </c>
      <c r="CL605" t="s">
        <v>1036</v>
      </c>
      <c r="CM605" t="s">
        <v>173</v>
      </c>
      <c r="CN605" t="s">
        <v>18008</v>
      </c>
      <c r="CP605" t="s">
        <v>18010</v>
      </c>
      <c r="CQ605" t="s">
        <v>18010</v>
      </c>
    </row>
    <row r="606" spans="1:95" customFormat="1">
      <c r="A606" t="s">
        <v>337</v>
      </c>
      <c r="B606">
        <v>4054921</v>
      </c>
      <c r="C606" s="50"/>
      <c r="D606" t="s">
        <v>24430</v>
      </c>
      <c r="E606" s="50"/>
      <c r="I606" s="50"/>
      <c r="J606" s="51"/>
      <c r="K606" t="s">
        <v>848</v>
      </c>
      <c r="L606">
        <v>451548</v>
      </c>
      <c r="M606">
        <v>532827</v>
      </c>
      <c r="N606">
        <v>0</v>
      </c>
      <c r="O606">
        <v>0</v>
      </c>
      <c r="Q606">
        <v>0</v>
      </c>
      <c r="R606">
        <v>0</v>
      </c>
      <c r="T606">
        <v>451548</v>
      </c>
      <c r="U606">
        <v>444</v>
      </c>
      <c r="V606" t="s">
        <v>3924</v>
      </c>
      <c r="W606" t="s">
        <v>102</v>
      </c>
      <c r="X606" t="s">
        <v>103</v>
      </c>
      <c r="Y606" t="s">
        <v>104</v>
      </c>
      <c r="AA606" t="s">
        <v>23505</v>
      </c>
      <c r="AB606" t="s">
        <v>24432</v>
      </c>
      <c r="AC606" t="s">
        <v>21828</v>
      </c>
      <c r="AD606" t="s">
        <v>24432</v>
      </c>
      <c r="AE606" t="s">
        <v>109</v>
      </c>
      <c r="AF606" t="s">
        <v>102</v>
      </c>
      <c r="AG606" t="s">
        <v>109</v>
      </c>
      <c r="AH606" t="s">
        <v>102</v>
      </c>
      <c r="AI606" t="s">
        <v>24433</v>
      </c>
      <c r="AJ606" t="s">
        <v>14400</v>
      </c>
      <c r="AK606" t="s">
        <v>14400</v>
      </c>
      <c r="AL606" t="s">
        <v>24432</v>
      </c>
      <c r="AM606" t="s">
        <v>24434</v>
      </c>
      <c r="AN606" t="s">
        <v>102</v>
      </c>
      <c r="AO606" t="s">
        <v>3213</v>
      </c>
      <c r="AP606" t="s">
        <v>3213</v>
      </c>
      <c r="AU606" t="s">
        <v>102</v>
      </c>
      <c r="AW606" t="s">
        <v>102</v>
      </c>
      <c r="AX606" t="s">
        <v>119</v>
      </c>
      <c r="BA606" t="s">
        <v>250</v>
      </c>
      <c r="BB606" t="s">
        <v>120</v>
      </c>
      <c r="BC606" t="s">
        <v>284</v>
      </c>
      <c r="BD606" t="s">
        <v>285</v>
      </c>
      <c r="BE606" t="s">
        <v>212</v>
      </c>
      <c r="BF606" t="s">
        <v>286</v>
      </c>
      <c r="BG606" t="s">
        <v>124</v>
      </c>
      <c r="BH606" t="s">
        <v>21784</v>
      </c>
      <c r="BI606" t="s">
        <v>24435</v>
      </c>
      <c r="BJ606" t="s">
        <v>127</v>
      </c>
      <c r="BK606" t="s">
        <v>24436</v>
      </c>
      <c r="BL606" t="s">
        <v>24437</v>
      </c>
      <c r="BM606" t="s">
        <v>24438</v>
      </c>
      <c r="BN606" t="s">
        <v>21784</v>
      </c>
      <c r="BO606" t="s">
        <v>4955</v>
      </c>
      <c r="BP606" t="s">
        <v>132</v>
      </c>
      <c r="BQ606" t="s">
        <v>4956</v>
      </c>
      <c r="BR606" t="s">
        <v>4957</v>
      </c>
      <c r="BS606" t="s">
        <v>1702</v>
      </c>
      <c r="BU606" t="s">
        <v>24439</v>
      </c>
      <c r="BV606" t="s">
        <v>24440</v>
      </c>
      <c r="BW606" t="s">
        <v>138</v>
      </c>
      <c r="BX606" t="s">
        <v>24441</v>
      </c>
      <c r="BY606" t="s">
        <v>24442</v>
      </c>
      <c r="BZ606" t="s">
        <v>24443</v>
      </c>
      <c r="CA606" t="s">
        <v>24444</v>
      </c>
      <c r="CB606" t="s">
        <v>24441</v>
      </c>
      <c r="CC606" t="s">
        <v>24442</v>
      </c>
      <c r="CD606" t="s">
        <v>24444</v>
      </c>
      <c r="CE606" t="s">
        <v>24441</v>
      </c>
      <c r="CF606" t="s">
        <v>24442</v>
      </c>
      <c r="CG606" t="s">
        <v>102</v>
      </c>
      <c r="CH606" t="s">
        <v>24445</v>
      </c>
      <c r="CJ606" t="s">
        <v>24446</v>
      </c>
      <c r="CK606" t="s">
        <v>24445</v>
      </c>
      <c r="CL606" t="s">
        <v>284</v>
      </c>
      <c r="CM606" t="s">
        <v>285</v>
      </c>
      <c r="CN606" t="s">
        <v>24446</v>
      </c>
      <c r="CO606" t="s">
        <v>24447</v>
      </c>
      <c r="CP606" t="s">
        <v>24448</v>
      </c>
      <c r="CQ606" t="s">
        <v>24448</v>
      </c>
    </row>
    <row r="607" spans="1:95" customFormat="1">
      <c r="A607" t="s">
        <v>93</v>
      </c>
      <c r="B607">
        <v>4129415</v>
      </c>
      <c r="C607" s="50"/>
      <c r="D607" t="s">
        <v>18149</v>
      </c>
      <c r="E607" s="50"/>
      <c r="I607" s="50"/>
      <c r="J607" s="51"/>
      <c r="K607" t="s">
        <v>848</v>
      </c>
      <c r="L607">
        <v>358492</v>
      </c>
      <c r="M607">
        <v>423021</v>
      </c>
      <c r="N607">
        <v>0</v>
      </c>
      <c r="O607">
        <v>0</v>
      </c>
      <c r="Q607">
        <v>0</v>
      </c>
      <c r="R607">
        <v>0</v>
      </c>
      <c r="T607">
        <v>358492</v>
      </c>
      <c r="U607">
        <v>235</v>
      </c>
      <c r="V607" t="s">
        <v>3791</v>
      </c>
      <c r="W607" t="s">
        <v>102</v>
      </c>
      <c r="X607" t="s">
        <v>103</v>
      </c>
      <c r="Y607" t="s">
        <v>155</v>
      </c>
      <c r="AA607" t="s">
        <v>22571</v>
      </c>
      <c r="AB607" t="s">
        <v>26189</v>
      </c>
      <c r="AC607" t="s">
        <v>24450</v>
      </c>
      <c r="AD607" t="s">
        <v>26189</v>
      </c>
      <c r="AE607" t="s">
        <v>22312</v>
      </c>
      <c r="AF607" t="s">
        <v>26189</v>
      </c>
      <c r="AG607" t="s">
        <v>21874</v>
      </c>
      <c r="AH607" t="s">
        <v>26189</v>
      </c>
      <c r="AI607" t="s">
        <v>102</v>
      </c>
      <c r="AL607" t="s">
        <v>26189</v>
      </c>
      <c r="AM607" t="s">
        <v>102</v>
      </c>
      <c r="AN607" t="s">
        <v>26189</v>
      </c>
      <c r="AO607" t="s">
        <v>17879</v>
      </c>
      <c r="AP607" t="s">
        <v>17879</v>
      </c>
      <c r="AU607" t="s">
        <v>102</v>
      </c>
      <c r="AW607" t="s">
        <v>102</v>
      </c>
      <c r="AX607" t="s">
        <v>119</v>
      </c>
      <c r="BA607" t="s">
        <v>250</v>
      </c>
      <c r="BB607" t="s">
        <v>120</v>
      </c>
      <c r="BC607" t="s">
        <v>18154</v>
      </c>
      <c r="BD607" t="s">
        <v>1171</v>
      </c>
      <c r="BE607" t="s">
        <v>174</v>
      </c>
      <c r="BF607" t="s">
        <v>1172</v>
      </c>
      <c r="BG607" t="s">
        <v>124</v>
      </c>
      <c r="BH607" t="s">
        <v>12250</v>
      </c>
      <c r="BI607" t="s">
        <v>21667</v>
      </c>
      <c r="BJ607" t="s">
        <v>127</v>
      </c>
      <c r="BK607" t="s">
        <v>26190</v>
      </c>
      <c r="BL607" t="s">
        <v>18157</v>
      </c>
      <c r="BM607" t="s">
        <v>26191</v>
      </c>
      <c r="BN607" t="s">
        <v>15933</v>
      </c>
      <c r="BO607" t="s">
        <v>5557</v>
      </c>
      <c r="BP607" t="s">
        <v>505</v>
      </c>
      <c r="BQ607" t="s">
        <v>5558</v>
      </c>
      <c r="BR607" t="s">
        <v>5559</v>
      </c>
      <c r="BS607" t="s">
        <v>5560</v>
      </c>
      <c r="BU607" t="s">
        <v>26192</v>
      </c>
      <c r="BV607" t="s">
        <v>20933</v>
      </c>
      <c r="BW607" t="s">
        <v>354</v>
      </c>
      <c r="BX607" t="s">
        <v>18161</v>
      </c>
      <c r="BY607" t="s">
        <v>20934</v>
      </c>
      <c r="BZ607" t="s">
        <v>18161</v>
      </c>
      <c r="CA607" t="s">
        <v>18163</v>
      </c>
      <c r="CB607" t="s">
        <v>18161</v>
      </c>
      <c r="CC607" t="s">
        <v>18162</v>
      </c>
      <c r="CD607" t="s">
        <v>18163</v>
      </c>
      <c r="CE607" t="s">
        <v>18161</v>
      </c>
      <c r="CF607" t="s">
        <v>18162</v>
      </c>
      <c r="CG607" t="s">
        <v>18164</v>
      </c>
      <c r="CH607" t="s">
        <v>18165</v>
      </c>
      <c r="CJ607" t="s">
        <v>18166</v>
      </c>
      <c r="CK607" t="s">
        <v>18165</v>
      </c>
      <c r="CL607" t="s">
        <v>18154</v>
      </c>
      <c r="CM607" t="s">
        <v>1171</v>
      </c>
      <c r="CN607" t="s">
        <v>18166</v>
      </c>
      <c r="CP607" t="s">
        <v>14774</v>
      </c>
      <c r="CQ607" t="s">
        <v>18167</v>
      </c>
    </row>
    <row r="608" spans="1:95" customFormat="1">
      <c r="A608" t="s">
        <v>337</v>
      </c>
      <c r="B608">
        <v>454513</v>
      </c>
      <c r="C608" s="50"/>
      <c r="D608" t="s">
        <v>24465</v>
      </c>
      <c r="E608" s="50"/>
      <c r="I608" s="50"/>
      <c r="J608" s="51"/>
      <c r="K608" t="s">
        <v>97</v>
      </c>
      <c r="L608">
        <v>189000</v>
      </c>
      <c r="M608">
        <v>189000</v>
      </c>
      <c r="N608">
        <v>189000</v>
      </c>
      <c r="O608">
        <v>315</v>
      </c>
      <c r="P608" t="s">
        <v>310</v>
      </c>
      <c r="Q608">
        <v>0</v>
      </c>
      <c r="R608">
        <v>0</v>
      </c>
      <c r="T608">
        <v>0</v>
      </c>
      <c r="U608">
        <v>0</v>
      </c>
      <c r="W608" t="s">
        <v>102</v>
      </c>
      <c r="X608" t="s">
        <v>103</v>
      </c>
      <c r="Y608" t="s">
        <v>104</v>
      </c>
      <c r="AA608" t="s">
        <v>11933</v>
      </c>
      <c r="AB608" t="s">
        <v>10730</v>
      </c>
      <c r="AC608" t="s">
        <v>12047</v>
      </c>
      <c r="AD608" t="s">
        <v>10730</v>
      </c>
      <c r="AE608" t="s">
        <v>109</v>
      </c>
      <c r="AF608" t="s">
        <v>102</v>
      </c>
      <c r="AG608" t="s">
        <v>109</v>
      </c>
      <c r="AH608" t="s">
        <v>102</v>
      </c>
      <c r="AI608" t="s">
        <v>102</v>
      </c>
      <c r="AJ608" t="s">
        <v>24156</v>
      </c>
      <c r="AK608" t="s">
        <v>24156</v>
      </c>
      <c r="AL608" t="s">
        <v>9643</v>
      </c>
      <c r="AM608" t="s">
        <v>24467</v>
      </c>
      <c r="AN608" t="s">
        <v>26521</v>
      </c>
      <c r="AO608" t="s">
        <v>116</v>
      </c>
      <c r="AP608" t="s">
        <v>116</v>
      </c>
      <c r="AU608" t="s">
        <v>318</v>
      </c>
      <c r="AV608" t="s">
        <v>250</v>
      </c>
      <c r="AW608" t="s">
        <v>102</v>
      </c>
      <c r="AX608" t="s">
        <v>119</v>
      </c>
      <c r="BB608" t="s">
        <v>120</v>
      </c>
      <c r="BC608" t="s">
        <v>2127</v>
      </c>
      <c r="BD608" t="s">
        <v>621</v>
      </c>
      <c r="BE608" t="s">
        <v>622</v>
      </c>
      <c r="BF608" t="s">
        <v>976</v>
      </c>
      <c r="BG608" t="s">
        <v>124</v>
      </c>
      <c r="BH608" t="s">
        <v>12250</v>
      </c>
      <c r="BI608" t="s">
        <v>21667</v>
      </c>
      <c r="BJ608" t="s">
        <v>127</v>
      </c>
      <c r="BK608" t="s">
        <v>24468</v>
      </c>
      <c r="BL608" t="s">
        <v>24469</v>
      </c>
      <c r="BM608" t="s">
        <v>24470</v>
      </c>
      <c r="BN608" t="s">
        <v>21214</v>
      </c>
      <c r="BO608" t="s">
        <v>13638</v>
      </c>
      <c r="BP608" t="s">
        <v>505</v>
      </c>
      <c r="BQ608" t="s">
        <v>13639</v>
      </c>
      <c r="BR608" t="s">
        <v>13640</v>
      </c>
      <c r="BS608" t="s">
        <v>2847</v>
      </c>
      <c r="BU608" t="s">
        <v>24471</v>
      </c>
      <c r="BV608" t="s">
        <v>24472</v>
      </c>
      <c r="BW608" t="s">
        <v>598</v>
      </c>
      <c r="BX608" t="s">
        <v>24473</v>
      </c>
      <c r="BY608" t="s">
        <v>24474</v>
      </c>
      <c r="BZ608" t="s">
        <v>24475</v>
      </c>
      <c r="CA608" t="s">
        <v>24476</v>
      </c>
      <c r="CB608" t="s">
        <v>24475</v>
      </c>
      <c r="CC608" t="s">
        <v>24477</v>
      </c>
      <c r="CD608" t="s">
        <v>24472</v>
      </c>
      <c r="CE608" t="s">
        <v>24473</v>
      </c>
      <c r="CF608" t="s">
        <v>24474</v>
      </c>
      <c r="CG608" t="s">
        <v>5768</v>
      </c>
      <c r="CH608" t="s">
        <v>24478</v>
      </c>
      <c r="CJ608" t="s">
        <v>6953</v>
      </c>
      <c r="CK608" t="s">
        <v>24479</v>
      </c>
      <c r="CL608" t="s">
        <v>2127</v>
      </c>
      <c r="CM608" t="s">
        <v>621</v>
      </c>
      <c r="CN608" t="s">
        <v>6953</v>
      </c>
      <c r="CP608" t="s">
        <v>24480</v>
      </c>
      <c r="CQ608" t="s">
        <v>24480</v>
      </c>
    </row>
    <row r="609" spans="1:95" customFormat="1">
      <c r="A609" t="s">
        <v>93</v>
      </c>
      <c r="B609">
        <v>463877</v>
      </c>
      <c r="C609" s="50"/>
      <c r="D609" t="s">
        <v>18377</v>
      </c>
      <c r="E609" s="50"/>
      <c r="I609" s="50"/>
      <c r="J609" s="51"/>
      <c r="K609" t="s">
        <v>643</v>
      </c>
      <c r="L609">
        <v>311014</v>
      </c>
      <c r="M609">
        <v>311014</v>
      </c>
      <c r="N609">
        <v>0</v>
      </c>
      <c r="O609">
        <v>0</v>
      </c>
      <c r="Q609">
        <v>311014</v>
      </c>
      <c r="R609">
        <v>162</v>
      </c>
      <c r="S609" t="s">
        <v>14021</v>
      </c>
      <c r="T609">
        <v>0</v>
      </c>
      <c r="U609">
        <v>162</v>
      </c>
      <c r="V609" t="s">
        <v>102</v>
      </c>
      <c r="W609" t="s">
        <v>102</v>
      </c>
      <c r="X609" t="s">
        <v>275</v>
      </c>
      <c r="Z609" t="s">
        <v>23584</v>
      </c>
      <c r="AA609" t="s">
        <v>109</v>
      </c>
      <c r="AB609" t="s">
        <v>102</v>
      </c>
      <c r="AC609" t="s">
        <v>109</v>
      </c>
      <c r="AD609" t="s">
        <v>102</v>
      </c>
      <c r="AE609" t="s">
        <v>109</v>
      </c>
      <c r="AF609" t="s">
        <v>102</v>
      </c>
      <c r="AG609" t="s">
        <v>109</v>
      </c>
      <c r="AH609" t="s">
        <v>102</v>
      </c>
      <c r="AI609" t="s">
        <v>23585</v>
      </c>
      <c r="AJ609" t="s">
        <v>16421</v>
      </c>
      <c r="AK609" t="s">
        <v>16421</v>
      </c>
      <c r="AL609" t="s">
        <v>23586</v>
      </c>
      <c r="AM609" t="s">
        <v>23587</v>
      </c>
      <c r="AN609" t="s">
        <v>102</v>
      </c>
      <c r="AO609" t="s">
        <v>23588</v>
      </c>
      <c r="AP609" t="s">
        <v>23588</v>
      </c>
      <c r="AU609" t="s">
        <v>102</v>
      </c>
      <c r="AW609" t="s">
        <v>655</v>
      </c>
      <c r="AX609" t="s">
        <v>119</v>
      </c>
      <c r="AY609" t="s">
        <v>170</v>
      </c>
      <c r="AZ609" t="s">
        <v>118</v>
      </c>
      <c r="BA609" t="s">
        <v>250</v>
      </c>
      <c r="BB609" t="s">
        <v>209</v>
      </c>
      <c r="BC609" t="s">
        <v>623</v>
      </c>
      <c r="BD609" t="s">
        <v>621</v>
      </c>
      <c r="BE609" t="s">
        <v>622</v>
      </c>
      <c r="BF609" t="s">
        <v>623</v>
      </c>
      <c r="BG609" t="s">
        <v>124</v>
      </c>
      <c r="BH609" t="s">
        <v>23589</v>
      </c>
      <c r="BI609" t="s">
        <v>23590</v>
      </c>
      <c r="BJ609" t="s">
        <v>23591</v>
      </c>
      <c r="BK609" t="s">
        <v>23592</v>
      </c>
      <c r="BL609" t="s">
        <v>18379</v>
      </c>
      <c r="BM609" t="s">
        <v>22794</v>
      </c>
      <c r="BN609" t="s">
        <v>23582</v>
      </c>
      <c r="BO609" t="s">
        <v>2284</v>
      </c>
      <c r="BP609" t="s">
        <v>132</v>
      </c>
      <c r="BQ609" t="s">
        <v>2285</v>
      </c>
      <c r="BR609" t="s">
        <v>2286</v>
      </c>
      <c r="BS609" t="s">
        <v>1342</v>
      </c>
      <c r="BU609" t="s">
        <v>23593</v>
      </c>
      <c r="BV609" t="s">
        <v>18382</v>
      </c>
      <c r="BW609" t="s">
        <v>138</v>
      </c>
      <c r="BX609" t="s">
        <v>18383</v>
      </c>
      <c r="BY609" t="s">
        <v>18384</v>
      </c>
      <c r="BZ609" t="s">
        <v>18385</v>
      </c>
      <c r="CA609" t="s">
        <v>18382</v>
      </c>
      <c r="CB609" t="s">
        <v>18383</v>
      </c>
      <c r="CC609" t="s">
        <v>18384</v>
      </c>
      <c r="CD609" t="s">
        <v>18382</v>
      </c>
      <c r="CE609" t="s">
        <v>18383</v>
      </c>
      <c r="CF609" t="s">
        <v>18384</v>
      </c>
      <c r="CG609" t="s">
        <v>9607</v>
      </c>
      <c r="CH609" t="s">
        <v>18386</v>
      </c>
      <c r="CJ609" t="s">
        <v>7250</v>
      </c>
      <c r="CK609" t="s">
        <v>18386</v>
      </c>
      <c r="CL609" t="s">
        <v>623</v>
      </c>
      <c r="CM609" t="s">
        <v>621</v>
      </c>
      <c r="CN609" t="s">
        <v>7250</v>
      </c>
      <c r="CO609" t="s">
        <v>18387</v>
      </c>
      <c r="CP609" t="s">
        <v>18388</v>
      </c>
      <c r="CQ609" t="s">
        <v>18388</v>
      </c>
    </row>
    <row r="610" spans="1:95" customFormat="1">
      <c r="A610" t="s">
        <v>337</v>
      </c>
      <c r="B610">
        <v>5000918</v>
      </c>
      <c r="C610" s="50"/>
      <c r="D610" t="s">
        <v>18438</v>
      </c>
      <c r="E610" s="50"/>
      <c r="I610" s="50"/>
      <c r="J610" s="51"/>
      <c r="K610" t="s">
        <v>97</v>
      </c>
      <c r="L610">
        <v>1294802</v>
      </c>
      <c r="M610">
        <v>1294802</v>
      </c>
      <c r="N610">
        <v>1294802</v>
      </c>
      <c r="O610">
        <v>1423</v>
      </c>
      <c r="P610" t="s">
        <v>1798</v>
      </c>
      <c r="Q610">
        <v>0</v>
      </c>
      <c r="R610">
        <v>0</v>
      </c>
      <c r="T610">
        <v>0</v>
      </c>
      <c r="U610">
        <v>0</v>
      </c>
      <c r="W610" t="s">
        <v>102</v>
      </c>
      <c r="X610" t="s">
        <v>103</v>
      </c>
      <c r="Y610" t="s">
        <v>104</v>
      </c>
      <c r="AA610" t="s">
        <v>12082</v>
      </c>
      <c r="AB610" t="s">
        <v>22796</v>
      </c>
      <c r="AC610" t="s">
        <v>22177</v>
      </c>
      <c r="AD610" t="s">
        <v>22796</v>
      </c>
      <c r="AE610" t="s">
        <v>109</v>
      </c>
      <c r="AF610" t="s">
        <v>102</v>
      </c>
      <c r="AG610" t="s">
        <v>109</v>
      </c>
      <c r="AH610" t="s">
        <v>102</v>
      </c>
      <c r="AI610" t="s">
        <v>102</v>
      </c>
      <c r="AL610" t="s">
        <v>22796</v>
      </c>
      <c r="AM610" t="s">
        <v>102</v>
      </c>
      <c r="AN610" t="s">
        <v>22796</v>
      </c>
      <c r="AO610" t="s">
        <v>18443</v>
      </c>
      <c r="AP610" t="s">
        <v>18443</v>
      </c>
      <c r="AU610" t="s">
        <v>117</v>
      </c>
      <c r="AV610" t="s">
        <v>118</v>
      </c>
      <c r="AW610" t="s">
        <v>102</v>
      </c>
      <c r="AX610" t="s">
        <v>119</v>
      </c>
      <c r="BB610" t="s">
        <v>120</v>
      </c>
      <c r="BC610" t="s">
        <v>2127</v>
      </c>
      <c r="BD610" t="s">
        <v>621</v>
      </c>
      <c r="BE610" t="s">
        <v>622</v>
      </c>
      <c r="BF610" t="s">
        <v>976</v>
      </c>
      <c r="BG610" t="s">
        <v>124</v>
      </c>
      <c r="BH610" t="s">
        <v>19143</v>
      </c>
      <c r="BI610" t="s">
        <v>21667</v>
      </c>
      <c r="BJ610" t="s">
        <v>127</v>
      </c>
      <c r="BK610" t="s">
        <v>22797</v>
      </c>
      <c r="BL610" t="s">
        <v>18445</v>
      </c>
      <c r="BM610" t="s">
        <v>22798</v>
      </c>
      <c r="BN610" t="s">
        <v>18439</v>
      </c>
      <c r="BO610" t="s">
        <v>13638</v>
      </c>
      <c r="BP610" t="s">
        <v>132</v>
      </c>
      <c r="BQ610" t="s">
        <v>13639</v>
      </c>
      <c r="BR610" t="s">
        <v>13640</v>
      </c>
      <c r="BS610" t="s">
        <v>2847</v>
      </c>
      <c r="BU610" t="s">
        <v>22799</v>
      </c>
      <c r="BV610" t="s">
        <v>18448</v>
      </c>
      <c r="BW610" t="s">
        <v>598</v>
      </c>
      <c r="BX610" t="s">
        <v>18449</v>
      </c>
      <c r="BY610" t="s">
        <v>22800</v>
      </c>
      <c r="BZ610" t="s">
        <v>18451</v>
      </c>
      <c r="CA610" t="s">
        <v>18452</v>
      </c>
      <c r="CB610" t="s">
        <v>18453</v>
      </c>
      <c r="CC610" t="s">
        <v>18454</v>
      </c>
      <c r="CD610" t="s">
        <v>18455</v>
      </c>
      <c r="CE610" t="s">
        <v>22801</v>
      </c>
      <c r="CF610" t="s">
        <v>18454</v>
      </c>
      <c r="CG610" t="s">
        <v>18457</v>
      </c>
      <c r="CH610" t="s">
        <v>18458</v>
      </c>
      <c r="CJ610" t="s">
        <v>18459</v>
      </c>
      <c r="CK610" t="s">
        <v>18460</v>
      </c>
      <c r="CL610" t="s">
        <v>2127</v>
      </c>
      <c r="CM610" t="s">
        <v>621</v>
      </c>
      <c r="CN610" t="s">
        <v>18459</v>
      </c>
      <c r="CO610" t="s">
        <v>18461</v>
      </c>
      <c r="CP610" t="s">
        <v>18462</v>
      </c>
      <c r="CQ610" t="s">
        <v>18463</v>
      </c>
    </row>
    <row r="611" spans="1:95" customFormat="1">
      <c r="A611" t="s">
        <v>337</v>
      </c>
      <c r="B611">
        <v>5007603</v>
      </c>
      <c r="C611" s="50"/>
      <c r="D611" t="s">
        <v>22802</v>
      </c>
      <c r="E611" s="50"/>
      <c r="I611" s="50"/>
      <c r="J611" s="51"/>
      <c r="K611" t="s">
        <v>848</v>
      </c>
      <c r="L611">
        <v>600071</v>
      </c>
      <c r="M611">
        <v>708084</v>
      </c>
      <c r="N611">
        <v>0</v>
      </c>
      <c r="O611">
        <v>0</v>
      </c>
      <c r="Q611">
        <v>0</v>
      </c>
      <c r="R611">
        <v>0</v>
      </c>
      <c r="T611">
        <v>600071</v>
      </c>
      <c r="U611">
        <v>600</v>
      </c>
      <c r="V611" t="s">
        <v>5042</v>
      </c>
      <c r="W611" t="s">
        <v>102</v>
      </c>
      <c r="X611" t="s">
        <v>103</v>
      </c>
      <c r="Y611" t="s">
        <v>155</v>
      </c>
      <c r="AA611" t="s">
        <v>15489</v>
      </c>
      <c r="AB611" t="s">
        <v>22804</v>
      </c>
      <c r="AC611" t="s">
        <v>21664</v>
      </c>
      <c r="AD611" t="s">
        <v>22804</v>
      </c>
      <c r="AE611" t="s">
        <v>21665</v>
      </c>
      <c r="AF611" t="s">
        <v>22804</v>
      </c>
      <c r="AG611" t="s">
        <v>21687</v>
      </c>
      <c r="AH611" t="s">
        <v>22804</v>
      </c>
      <c r="AI611" t="s">
        <v>102</v>
      </c>
      <c r="AJ611" t="s">
        <v>14026</v>
      </c>
      <c r="AK611" t="s">
        <v>14026</v>
      </c>
      <c r="AL611" t="s">
        <v>22804</v>
      </c>
      <c r="AM611" t="s">
        <v>22804</v>
      </c>
      <c r="AN611" t="s">
        <v>102</v>
      </c>
      <c r="AO611" t="s">
        <v>9482</v>
      </c>
      <c r="AP611" t="s">
        <v>9482</v>
      </c>
      <c r="AU611" t="s">
        <v>102</v>
      </c>
      <c r="AW611" t="s">
        <v>102</v>
      </c>
      <c r="AX611" t="s">
        <v>119</v>
      </c>
      <c r="BA611" t="s">
        <v>250</v>
      </c>
      <c r="BB611" t="s">
        <v>120</v>
      </c>
      <c r="BC611" t="s">
        <v>22805</v>
      </c>
      <c r="BD611" t="s">
        <v>252</v>
      </c>
      <c r="BE611" t="s">
        <v>122</v>
      </c>
      <c r="BF611" t="s">
        <v>253</v>
      </c>
      <c r="BG611" t="s">
        <v>124</v>
      </c>
      <c r="BH611" t="s">
        <v>12250</v>
      </c>
      <c r="BI611" t="s">
        <v>21667</v>
      </c>
      <c r="BJ611" t="s">
        <v>127</v>
      </c>
      <c r="BK611" t="s">
        <v>22806</v>
      </c>
      <c r="BL611" t="s">
        <v>22807</v>
      </c>
      <c r="BM611" t="s">
        <v>22808</v>
      </c>
      <c r="BN611" t="s">
        <v>15489</v>
      </c>
      <c r="BO611" t="s">
        <v>12453</v>
      </c>
      <c r="BP611" t="s">
        <v>350</v>
      </c>
      <c r="BQ611" t="s">
        <v>12454</v>
      </c>
      <c r="BR611" t="s">
        <v>12455</v>
      </c>
      <c r="BS611" t="s">
        <v>22809</v>
      </c>
      <c r="BU611" t="s">
        <v>22810</v>
      </c>
      <c r="BV611" t="s">
        <v>22811</v>
      </c>
      <c r="BW611" t="s">
        <v>138</v>
      </c>
      <c r="BX611" t="s">
        <v>22812</v>
      </c>
      <c r="BY611" t="s">
        <v>22813</v>
      </c>
      <c r="BZ611" t="s">
        <v>22814</v>
      </c>
      <c r="CA611" t="s">
        <v>22811</v>
      </c>
      <c r="CB611" t="s">
        <v>22812</v>
      </c>
      <c r="CC611" t="s">
        <v>22813</v>
      </c>
      <c r="CD611" t="s">
        <v>22811</v>
      </c>
      <c r="CE611" t="s">
        <v>22812</v>
      </c>
      <c r="CF611" t="s">
        <v>22813</v>
      </c>
      <c r="CG611" t="s">
        <v>19361</v>
      </c>
      <c r="CH611" t="s">
        <v>22815</v>
      </c>
      <c r="CJ611" t="s">
        <v>22816</v>
      </c>
      <c r="CK611" t="s">
        <v>22815</v>
      </c>
      <c r="CL611" t="s">
        <v>22805</v>
      </c>
      <c r="CM611" t="s">
        <v>252</v>
      </c>
      <c r="CN611" t="s">
        <v>252</v>
      </c>
      <c r="CP611" t="s">
        <v>22805</v>
      </c>
      <c r="CQ611" t="s">
        <v>22817</v>
      </c>
    </row>
    <row r="612" spans="1:95" customFormat="1">
      <c r="A612" t="s">
        <v>337</v>
      </c>
      <c r="B612">
        <v>5015074</v>
      </c>
      <c r="C612" s="50"/>
      <c r="D612" t="s">
        <v>24501</v>
      </c>
      <c r="E612" s="50"/>
      <c r="I612" s="50"/>
      <c r="J612" s="51"/>
      <c r="K612" t="s">
        <v>97</v>
      </c>
      <c r="L612">
        <v>65700</v>
      </c>
      <c r="M612">
        <v>65700</v>
      </c>
      <c r="N612">
        <v>65700</v>
      </c>
      <c r="O612">
        <v>438</v>
      </c>
      <c r="P612" t="s">
        <v>24049</v>
      </c>
      <c r="Q612">
        <v>0</v>
      </c>
      <c r="R612">
        <v>0</v>
      </c>
      <c r="T612">
        <v>0</v>
      </c>
      <c r="U612">
        <v>0</v>
      </c>
      <c r="W612" t="s">
        <v>102</v>
      </c>
      <c r="X612" t="s">
        <v>275</v>
      </c>
      <c r="Z612" t="s">
        <v>21857</v>
      </c>
      <c r="AA612" t="s">
        <v>109</v>
      </c>
      <c r="AB612" t="s">
        <v>102</v>
      </c>
      <c r="AC612" t="s">
        <v>109</v>
      </c>
      <c r="AD612" t="s">
        <v>102</v>
      </c>
      <c r="AE612" t="s">
        <v>109</v>
      </c>
      <c r="AF612" t="s">
        <v>102</v>
      </c>
      <c r="AG612" t="s">
        <v>109</v>
      </c>
      <c r="AH612" t="s">
        <v>102</v>
      </c>
      <c r="AI612" t="s">
        <v>102</v>
      </c>
      <c r="AL612" t="s">
        <v>25265</v>
      </c>
      <c r="AM612" t="s">
        <v>102</v>
      </c>
      <c r="AN612" t="s">
        <v>25265</v>
      </c>
      <c r="AO612" t="s">
        <v>24053</v>
      </c>
      <c r="AP612" t="s">
        <v>24054</v>
      </c>
      <c r="AQ612" t="s">
        <v>102</v>
      </c>
      <c r="AR612" t="s">
        <v>102</v>
      </c>
      <c r="AS612" t="s">
        <v>102</v>
      </c>
      <c r="AT612" t="s">
        <v>102</v>
      </c>
      <c r="AU612" t="s">
        <v>318</v>
      </c>
      <c r="AV612" t="s">
        <v>118</v>
      </c>
      <c r="AW612" t="s">
        <v>102</v>
      </c>
      <c r="AX612" t="s">
        <v>119</v>
      </c>
      <c r="BB612" t="s">
        <v>120</v>
      </c>
      <c r="BC612" t="s">
        <v>6305</v>
      </c>
      <c r="BD612" t="s">
        <v>730</v>
      </c>
      <c r="BE612" t="s">
        <v>622</v>
      </c>
      <c r="BF612" t="s">
        <v>730</v>
      </c>
      <c r="BG612" t="s">
        <v>124</v>
      </c>
      <c r="BH612" t="s">
        <v>12250</v>
      </c>
      <c r="BI612" t="s">
        <v>21667</v>
      </c>
      <c r="BJ612" t="s">
        <v>127</v>
      </c>
      <c r="BK612" t="s">
        <v>24503</v>
      </c>
      <c r="BL612" t="s">
        <v>24504</v>
      </c>
      <c r="BM612" t="s">
        <v>24505</v>
      </c>
      <c r="BN612" t="s">
        <v>11889</v>
      </c>
      <c r="BO612" t="s">
        <v>5197</v>
      </c>
      <c r="BP612" t="s">
        <v>180</v>
      </c>
      <c r="BQ612" t="s">
        <v>5198</v>
      </c>
      <c r="BR612" t="s">
        <v>5199</v>
      </c>
      <c r="BS612" t="s">
        <v>5199</v>
      </c>
      <c r="BU612" t="s">
        <v>24506</v>
      </c>
      <c r="BV612" t="s">
        <v>24507</v>
      </c>
      <c r="BW612" t="s">
        <v>138</v>
      </c>
      <c r="BX612" t="s">
        <v>15969</v>
      </c>
      <c r="BY612" t="s">
        <v>24508</v>
      </c>
      <c r="BZ612" t="s">
        <v>24509</v>
      </c>
      <c r="CA612" t="s">
        <v>24507</v>
      </c>
      <c r="CB612" t="s">
        <v>24509</v>
      </c>
      <c r="CC612" t="s">
        <v>24510</v>
      </c>
      <c r="CD612" t="s">
        <v>24511</v>
      </c>
      <c r="CE612" t="s">
        <v>24509</v>
      </c>
      <c r="CF612" t="s">
        <v>24512</v>
      </c>
      <c r="CG612" t="s">
        <v>24513</v>
      </c>
      <c r="CH612" t="s">
        <v>24514</v>
      </c>
      <c r="CJ612" t="s">
        <v>24515</v>
      </c>
      <c r="CK612" t="s">
        <v>24514</v>
      </c>
      <c r="CL612" t="s">
        <v>6305</v>
      </c>
      <c r="CM612" t="s">
        <v>730</v>
      </c>
      <c r="CN612" t="s">
        <v>24515</v>
      </c>
      <c r="CP612" t="s">
        <v>24516</v>
      </c>
      <c r="CQ612" t="s">
        <v>24516</v>
      </c>
    </row>
    <row r="613" spans="1:95" customFormat="1">
      <c r="A613" t="s">
        <v>337</v>
      </c>
      <c r="B613">
        <v>5017986</v>
      </c>
      <c r="C613" s="50"/>
      <c r="D613" t="s">
        <v>26201</v>
      </c>
      <c r="E613" s="50"/>
      <c r="I613" s="50"/>
      <c r="J613" s="51"/>
      <c r="K613" t="s">
        <v>97</v>
      </c>
      <c r="L613">
        <v>162000</v>
      </c>
      <c r="M613">
        <v>162000</v>
      </c>
      <c r="N613">
        <v>162000</v>
      </c>
      <c r="O613">
        <v>216</v>
      </c>
      <c r="P613" t="s">
        <v>101</v>
      </c>
      <c r="Q613">
        <v>0</v>
      </c>
      <c r="R613">
        <v>0</v>
      </c>
      <c r="T613">
        <v>0</v>
      </c>
      <c r="U613">
        <v>0</v>
      </c>
      <c r="W613" t="s">
        <v>102</v>
      </c>
      <c r="X613" t="s">
        <v>103</v>
      </c>
      <c r="Y613" t="s">
        <v>104</v>
      </c>
      <c r="AA613" t="s">
        <v>24940</v>
      </c>
      <c r="AB613" t="s">
        <v>26203</v>
      </c>
      <c r="AC613" t="s">
        <v>22904</v>
      </c>
      <c r="AD613" t="s">
        <v>26204</v>
      </c>
      <c r="AE613" t="s">
        <v>109</v>
      </c>
      <c r="AF613" t="s">
        <v>102</v>
      </c>
      <c r="AG613" t="s">
        <v>109</v>
      </c>
      <c r="AH613" t="s">
        <v>102</v>
      </c>
      <c r="AI613" t="s">
        <v>102</v>
      </c>
      <c r="AJ613" t="s">
        <v>18690</v>
      </c>
      <c r="AK613" t="s">
        <v>18690</v>
      </c>
      <c r="AL613" t="s">
        <v>26203</v>
      </c>
      <c r="AM613" t="s">
        <v>26205</v>
      </c>
      <c r="AN613" t="s">
        <v>26206</v>
      </c>
      <c r="AO613" t="s">
        <v>116</v>
      </c>
      <c r="AP613" t="s">
        <v>950</v>
      </c>
      <c r="AQ613" t="s">
        <v>102</v>
      </c>
      <c r="AR613" t="s">
        <v>102</v>
      </c>
      <c r="AS613" t="s">
        <v>102</v>
      </c>
      <c r="AT613" t="s">
        <v>102</v>
      </c>
      <c r="AU613" t="s">
        <v>117</v>
      </c>
      <c r="AV613" t="s">
        <v>118</v>
      </c>
      <c r="AW613" t="s">
        <v>102</v>
      </c>
      <c r="AX613" t="s">
        <v>119</v>
      </c>
      <c r="BB613" t="s">
        <v>1242</v>
      </c>
      <c r="BC613" t="s">
        <v>623</v>
      </c>
      <c r="BD613" t="s">
        <v>621</v>
      </c>
      <c r="BE613" t="s">
        <v>622</v>
      </c>
      <c r="BF613" t="s">
        <v>623</v>
      </c>
      <c r="BG613" t="s">
        <v>124</v>
      </c>
      <c r="BH613" t="s">
        <v>12250</v>
      </c>
      <c r="BI613" t="s">
        <v>21667</v>
      </c>
      <c r="BJ613" t="s">
        <v>127</v>
      </c>
      <c r="BK613" t="s">
        <v>26207</v>
      </c>
      <c r="BL613" t="s">
        <v>26208</v>
      </c>
      <c r="BM613" t="s">
        <v>26209</v>
      </c>
      <c r="BN613" t="s">
        <v>24940</v>
      </c>
      <c r="BO613" t="s">
        <v>1670</v>
      </c>
      <c r="BP613" t="s">
        <v>132</v>
      </c>
      <c r="BQ613" t="s">
        <v>1671</v>
      </c>
      <c r="BR613" t="s">
        <v>1672</v>
      </c>
      <c r="BS613" t="s">
        <v>507</v>
      </c>
      <c r="BU613" t="s">
        <v>26210</v>
      </c>
      <c r="BV613" t="s">
        <v>26211</v>
      </c>
      <c r="BW613" t="s">
        <v>138</v>
      </c>
      <c r="BX613" t="s">
        <v>26212</v>
      </c>
      <c r="BY613" t="s">
        <v>26213</v>
      </c>
      <c r="BZ613" t="s">
        <v>26214</v>
      </c>
      <c r="CA613" t="s">
        <v>26211</v>
      </c>
      <c r="CB613" t="s">
        <v>26212</v>
      </c>
      <c r="CC613" t="s">
        <v>26213</v>
      </c>
      <c r="CD613" t="s">
        <v>26211</v>
      </c>
      <c r="CE613" t="s">
        <v>26212</v>
      </c>
      <c r="CF613" t="s">
        <v>26213</v>
      </c>
      <c r="CG613" t="s">
        <v>14971</v>
      </c>
      <c r="CH613" t="s">
        <v>26215</v>
      </c>
      <c r="CJ613" t="s">
        <v>26216</v>
      </c>
      <c r="CL613" t="s">
        <v>623</v>
      </c>
      <c r="CM613" t="s">
        <v>621</v>
      </c>
      <c r="CN613" t="s">
        <v>26216</v>
      </c>
      <c r="CP613" t="s">
        <v>26217</v>
      </c>
      <c r="CQ613" t="s">
        <v>26217</v>
      </c>
    </row>
    <row r="614" spans="1:95" customFormat="1">
      <c r="A614" t="s">
        <v>93</v>
      </c>
      <c r="B614">
        <v>5018211</v>
      </c>
      <c r="C614" s="50"/>
      <c r="D614" t="s">
        <v>19517</v>
      </c>
      <c r="E614" s="50"/>
      <c r="I614" s="50"/>
      <c r="J614" s="51"/>
      <c r="K614" t="s">
        <v>152</v>
      </c>
      <c r="L614">
        <v>735149</v>
      </c>
      <c r="M614">
        <v>735149</v>
      </c>
      <c r="N614">
        <v>0</v>
      </c>
      <c r="O614">
        <v>0</v>
      </c>
      <c r="Q614">
        <v>735149</v>
      </c>
      <c r="R614">
        <v>459</v>
      </c>
      <c r="S614" t="s">
        <v>22872</v>
      </c>
      <c r="T614">
        <v>0</v>
      </c>
      <c r="U614">
        <v>0</v>
      </c>
      <c r="W614" t="s">
        <v>102</v>
      </c>
      <c r="X614" t="s">
        <v>103</v>
      </c>
      <c r="Y614" t="s">
        <v>155</v>
      </c>
      <c r="AA614" t="s">
        <v>12720</v>
      </c>
      <c r="AB614" t="s">
        <v>22873</v>
      </c>
      <c r="AC614" t="s">
        <v>21686</v>
      </c>
      <c r="AD614" t="s">
        <v>22873</v>
      </c>
      <c r="AE614" t="s">
        <v>22177</v>
      </c>
      <c r="AF614" t="s">
        <v>22873</v>
      </c>
      <c r="AG614" t="s">
        <v>21687</v>
      </c>
      <c r="AH614" t="s">
        <v>22873</v>
      </c>
      <c r="AI614" t="s">
        <v>102</v>
      </c>
      <c r="AJ614" t="s">
        <v>14597</v>
      </c>
      <c r="AK614" t="s">
        <v>14597</v>
      </c>
      <c r="AL614" t="s">
        <v>102</v>
      </c>
      <c r="AM614" t="s">
        <v>5007</v>
      </c>
      <c r="AN614" t="s">
        <v>21885</v>
      </c>
      <c r="AO614" t="s">
        <v>22874</v>
      </c>
      <c r="AP614" t="s">
        <v>22874</v>
      </c>
      <c r="AU614" t="s">
        <v>102</v>
      </c>
      <c r="AW614" t="s">
        <v>104</v>
      </c>
      <c r="AX614" t="s">
        <v>447</v>
      </c>
      <c r="AY614" t="s">
        <v>170</v>
      </c>
      <c r="AZ614" t="s">
        <v>118</v>
      </c>
      <c r="BB614" t="s">
        <v>1964</v>
      </c>
      <c r="BC614" t="s">
        <v>19523</v>
      </c>
      <c r="BD614" t="s">
        <v>376</v>
      </c>
      <c r="BE614" t="s">
        <v>174</v>
      </c>
      <c r="BF614" t="s">
        <v>376</v>
      </c>
      <c r="BG614" t="s">
        <v>124</v>
      </c>
      <c r="BH614" t="s">
        <v>12250</v>
      </c>
      <c r="BI614" t="s">
        <v>21667</v>
      </c>
      <c r="BJ614" t="s">
        <v>127</v>
      </c>
      <c r="BK614" t="s">
        <v>22875</v>
      </c>
      <c r="BL614" t="s">
        <v>19525</v>
      </c>
      <c r="BM614" t="s">
        <v>22876</v>
      </c>
      <c r="BN614" t="s">
        <v>12217</v>
      </c>
      <c r="BO614" t="s">
        <v>13780</v>
      </c>
      <c r="BP614" t="s">
        <v>505</v>
      </c>
      <c r="BQ614" t="s">
        <v>13781</v>
      </c>
      <c r="BR614" t="s">
        <v>13782</v>
      </c>
      <c r="BS614" t="s">
        <v>13783</v>
      </c>
      <c r="BU614" t="s">
        <v>22877</v>
      </c>
      <c r="BV614" t="s">
        <v>22878</v>
      </c>
      <c r="BW614" t="s">
        <v>138</v>
      </c>
      <c r="BX614" t="s">
        <v>19529</v>
      </c>
      <c r="BY614" t="s">
        <v>19530</v>
      </c>
      <c r="BZ614" t="s">
        <v>19531</v>
      </c>
      <c r="CA614" t="s">
        <v>22879</v>
      </c>
      <c r="CB614" t="s">
        <v>19529</v>
      </c>
      <c r="CC614" t="s">
        <v>19530</v>
      </c>
      <c r="CD614" t="s">
        <v>22879</v>
      </c>
      <c r="CE614" t="s">
        <v>19529</v>
      </c>
      <c r="CF614" t="s">
        <v>19530</v>
      </c>
      <c r="CG614" t="s">
        <v>25287</v>
      </c>
      <c r="CH614" t="s">
        <v>19534</v>
      </c>
      <c r="CJ614" t="s">
        <v>19535</v>
      </c>
      <c r="CK614" t="s">
        <v>19536</v>
      </c>
      <c r="CL614" t="s">
        <v>19523</v>
      </c>
      <c r="CM614" t="s">
        <v>376</v>
      </c>
      <c r="CN614" t="s">
        <v>19535</v>
      </c>
      <c r="CP614" t="s">
        <v>19537</v>
      </c>
      <c r="CQ614" t="s">
        <v>19537</v>
      </c>
    </row>
    <row r="615" spans="1:95" customFormat="1">
      <c r="A615" t="s">
        <v>337</v>
      </c>
      <c r="B615">
        <v>5018522</v>
      </c>
      <c r="C615" s="50"/>
      <c r="D615" t="s">
        <v>25300</v>
      </c>
      <c r="E615" s="50"/>
      <c r="I615" s="50"/>
      <c r="J615" s="51"/>
      <c r="K615" t="s">
        <v>97</v>
      </c>
      <c r="L615">
        <v>616800</v>
      </c>
      <c r="M615">
        <v>616800</v>
      </c>
      <c r="N615">
        <v>616800</v>
      </c>
      <c r="O615">
        <v>939</v>
      </c>
      <c r="P615" t="s">
        <v>11094</v>
      </c>
      <c r="Q615">
        <v>0</v>
      </c>
      <c r="R615">
        <v>0</v>
      </c>
      <c r="T615">
        <v>0</v>
      </c>
      <c r="U615">
        <v>0</v>
      </c>
      <c r="W615" t="s">
        <v>102</v>
      </c>
      <c r="X615" t="s">
        <v>103</v>
      </c>
      <c r="Y615" t="s">
        <v>104</v>
      </c>
      <c r="AA615" t="s">
        <v>21857</v>
      </c>
      <c r="AB615" t="s">
        <v>25934</v>
      </c>
      <c r="AC615" t="s">
        <v>11960</v>
      </c>
      <c r="AD615" t="s">
        <v>25934</v>
      </c>
      <c r="AE615" t="s">
        <v>109</v>
      </c>
      <c r="AF615" t="s">
        <v>102</v>
      </c>
      <c r="AG615" t="s">
        <v>109</v>
      </c>
      <c r="AH615" t="s">
        <v>102</v>
      </c>
      <c r="AI615" t="s">
        <v>102</v>
      </c>
      <c r="AJ615" t="s">
        <v>25301</v>
      </c>
      <c r="AK615" t="s">
        <v>25301</v>
      </c>
      <c r="AL615" t="s">
        <v>25934</v>
      </c>
      <c r="AM615" t="s">
        <v>25302</v>
      </c>
      <c r="AN615" t="s">
        <v>25935</v>
      </c>
      <c r="AO615" t="s">
        <v>25936</v>
      </c>
      <c r="AP615" t="s">
        <v>25937</v>
      </c>
      <c r="AQ615" t="s">
        <v>102</v>
      </c>
      <c r="AR615" t="s">
        <v>102</v>
      </c>
      <c r="AS615" t="s">
        <v>102</v>
      </c>
      <c r="AT615" t="s">
        <v>102</v>
      </c>
      <c r="AU615" t="s">
        <v>318</v>
      </c>
      <c r="AV615" t="s">
        <v>118</v>
      </c>
      <c r="AW615" t="s">
        <v>102</v>
      </c>
      <c r="AX615" t="s">
        <v>119</v>
      </c>
      <c r="BB615" t="s">
        <v>209</v>
      </c>
      <c r="BC615" t="s">
        <v>1729</v>
      </c>
      <c r="BD615" t="s">
        <v>730</v>
      </c>
      <c r="BE615" t="s">
        <v>622</v>
      </c>
      <c r="BF615" t="s">
        <v>730</v>
      </c>
      <c r="BG615" t="s">
        <v>124</v>
      </c>
      <c r="BH615" t="s">
        <v>12250</v>
      </c>
      <c r="BI615" t="s">
        <v>21667</v>
      </c>
      <c r="BJ615" t="s">
        <v>127</v>
      </c>
      <c r="BK615" t="s">
        <v>25938</v>
      </c>
      <c r="BL615" t="s">
        <v>25303</v>
      </c>
      <c r="BM615" t="s">
        <v>25939</v>
      </c>
      <c r="BN615" t="s">
        <v>24952</v>
      </c>
      <c r="BO615" t="s">
        <v>3910</v>
      </c>
      <c r="BP615" t="s">
        <v>350</v>
      </c>
      <c r="BQ615" t="s">
        <v>3911</v>
      </c>
      <c r="BR615" t="s">
        <v>3912</v>
      </c>
      <c r="BS615" t="s">
        <v>7862</v>
      </c>
      <c r="BU615" t="s">
        <v>25940</v>
      </c>
      <c r="BV615" t="s">
        <v>25304</v>
      </c>
      <c r="BW615" t="s">
        <v>354</v>
      </c>
      <c r="BX615" t="s">
        <v>25305</v>
      </c>
      <c r="BY615" t="s">
        <v>25306</v>
      </c>
      <c r="BZ615" t="s">
        <v>25307</v>
      </c>
      <c r="CA615" t="s">
        <v>25308</v>
      </c>
      <c r="CB615" t="s">
        <v>25305</v>
      </c>
      <c r="CC615" t="s">
        <v>25306</v>
      </c>
      <c r="CD615" t="s">
        <v>25308</v>
      </c>
      <c r="CE615" t="s">
        <v>25305</v>
      </c>
      <c r="CF615" t="s">
        <v>25306</v>
      </c>
      <c r="CG615" t="s">
        <v>9607</v>
      </c>
      <c r="CH615" t="s">
        <v>25309</v>
      </c>
      <c r="CJ615" t="s">
        <v>8648</v>
      </c>
      <c r="CK615" t="s">
        <v>25310</v>
      </c>
      <c r="CL615" t="s">
        <v>1729</v>
      </c>
      <c r="CM615" t="s">
        <v>730</v>
      </c>
      <c r="CN615" t="s">
        <v>8648</v>
      </c>
      <c r="CP615" t="s">
        <v>25311</v>
      </c>
      <c r="CQ615" t="s">
        <v>25311</v>
      </c>
    </row>
    <row r="616" spans="1:95" customFormat="1">
      <c r="A616" t="s">
        <v>337</v>
      </c>
      <c r="B616">
        <v>5018591</v>
      </c>
      <c r="C616" s="50"/>
      <c r="D616" t="s">
        <v>22944</v>
      </c>
      <c r="E616" s="50"/>
      <c r="I616" s="50"/>
      <c r="J616" s="51"/>
      <c r="K616" t="s">
        <v>848</v>
      </c>
      <c r="L616">
        <v>216011</v>
      </c>
      <c r="M616">
        <v>254893</v>
      </c>
      <c r="N616">
        <v>0</v>
      </c>
      <c r="O616">
        <v>0</v>
      </c>
      <c r="Q616">
        <v>0</v>
      </c>
      <c r="R616">
        <v>0</v>
      </c>
      <c r="T616">
        <v>216011</v>
      </c>
      <c r="U616">
        <v>120</v>
      </c>
      <c r="V616" t="s">
        <v>3005</v>
      </c>
      <c r="W616" t="s">
        <v>102</v>
      </c>
      <c r="X616" t="s">
        <v>103</v>
      </c>
      <c r="Y616" t="s">
        <v>155</v>
      </c>
      <c r="AA616" t="s">
        <v>12680</v>
      </c>
      <c r="AB616" t="s">
        <v>25312</v>
      </c>
      <c r="AC616" t="s">
        <v>21664</v>
      </c>
      <c r="AD616" t="s">
        <v>25312</v>
      </c>
      <c r="AE616" t="s">
        <v>21665</v>
      </c>
      <c r="AF616" t="s">
        <v>25312</v>
      </c>
      <c r="AG616" t="s">
        <v>21710</v>
      </c>
      <c r="AH616" t="s">
        <v>25312</v>
      </c>
      <c r="AI616" t="s">
        <v>102</v>
      </c>
      <c r="AJ616" t="s">
        <v>21768</v>
      </c>
      <c r="AK616" t="s">
        <v>21768</v>
      </c>
      <c r="AL616" t="s">
        <v>25312</v>
      </c>
      <c r="AM616" t="s">
        <v>22946</v>
      </c>
      <c r="AN616" t="s">
        <v>25313</v>
      </c>
      <c r="AO616" t="s">
        <v>4786</v>
      </c>
      <c r="AP616" t="s">
        <v>4786</v>
      </c>
      <c r="AU616" t="s">
        <v>102</v>
      </c>
      <c r="AW616" t="s">
        <v>102</v>
      </c>
      <c r="AX616" t="s">
        <v>119</v>
      </c>
      <c r="BA616" t="s">
        <v>250</v>
      </c>
      <c r="BB616" t="s">
        <v>120</v>
      </c>
      <c r="BC616" t="s">
        <v>3854</v>
      </c>
      <c r="BD616" t="s">
        <v>449</v>
      </c>
      <c r="BE616" t="s">
        <v>122</v>
      </c>
      <c r="BF616" t="s">
        <v>450</v>
      </c>
      <c r="BG616" t="s">
        <v>124</v>
      </c>
      <c r="BH616" t="s">
        <v>12250</v>
      </c>
      <c r="BI616" t="s">
        <v>21667</v>
      </c>
      <c r="BJ616" t="s">
        <v>127</v>
      </c>
      <c r="BK616" t="s">
        <v>22947</v>
      </c>
      <c r="BL616" t="s">
        <v>22948</v>
      </c>
      <c r="BM616" t="s">
        <v>22949</v>
      </c>
      <c r="BN616" t="s">
        <v>12680</v>
      </c>
      <c r="BO616" t="s">
        <v>131</v>
      </c>
      <c r="BP616" t="s">
        <v>505</v>
      </c>
      <c r="BQ616" t="s">
        <v>133</v>
      </c>
      <c r="BR616" t="s">
        <v>134</v>
      </c>
      <c r="BS616" t="s">
        <v>455</v>
      </c>
      <c r="BU616" t="s">
        <v>22950</v>
      </c>
      <c r="BV616" t="s">
        <v>4792</v>
      </c>
      <c r="BW616" t="s">
        <v>354</v>
      </c>
      <c r="BX616" t="s">
        <v>4793</v>
      </c>
      <c r="BY616" t="s">
        <v>4794</v>
      </c>
      <c r="CA616" t="s">
        <v>22951</v>
      </c>
      <c r="CB616" t="s">
        <v>22952</v>
      </c>
      <c r="CC616" t="s">
        <v>22953</v>
      </c>
      <c r="CD616" t="s">
        <v>22954</v>
      </c>
      <c r="CE616" t="s">
        <v>22952</v>
      </c>
      <c r="CF616" t="s">
        <v>22955</v>
      </c>
      <c r="CG616" t="s">
        <v>102</v>
      </c>
      <c r="CH616" t="s">
        <v>22956</v>
      </c>
      <c r="CJ616" t="s">
        <v>22957</v>
      </c>
      <c r="CL616" t="s">
        <v>3854</v>
      </c>
      <c r="CM616" t="s">
        <v>449</v>
      </c>
      <c r="CN616" t="s">
        <v>22957</v>
      </c>
      <c r="CP616" t="s">
        <v>3854</v>
      </c>
      <c r="CQ616" t="s">
        <v>22956</v>
      </c>
    </row>
    <row r="617" spans="1:95" customFormat="1">
      <c r="A617" t="s">
        <v>337</v>
      </c>
      <c r="B617">
        <v>5018663</v>
      </c>
      <c r="C617" s="50"/>
      <c r="D617" t="s">
        <v>22968</v>
      </c>
      <c r="E617" s="50"/>
      <c r="I617" s="50"/>
      <c r="J617" s="51"/>
      <c r="K617" t="s">
        <v>152</v>
      </c>
      <c r="L617">
        <v>316738</v>
      </c>
      <c r="M617">
        <v>316738</v>
      </c>
      <c r="N617">
        <v>0</v>
      </c>
      <c r="O617">
        <v>0</v>
      </c>
      <c r="Q617">
        <v>316738</v>
      </c>
      <c r="R617">
        <v>439</v>
      </c>
      <c r="S617" t="s">
        <v>22970</v>
      </c>
      <c r="T617">
        <v>0</v>
      </c>
      <c r="U617">
        <v>0</v>
      </c>
      <c r="W617" t="s">
        <v>102</v>
      </c>
      <c r="X617" t="s">
        <v>103</v>
      </c>
      <c r="Y617" t="s">
        <v>104</v>
      </c>
      <c r="AA617" t="s">
        <v>14825</v>
      </c>
      <c r="AB617" t="s">
        <v>22971</v>
      </c>
      <c r="AC617" t="s">
        <v>21846</v>
      </c>
      <c r="AD617" t="s">
        <v>22971</v>
      </c>
      <c r="AE617" t="s">
        <v>109</v>
      </c>
      <c r="AF617" t="s">
        <v>102</v>
      </c>
      <c r="AG617" t="s">
        <v>109</v>
      </c>
      <c r="AH617" t="s">
        <v>102</v>
      </c>
      <c r="AI617" t="s">
        <v>22972</v>
      </c>
      <c r="AJ617" t="s">
        <v>22973</v>
      </c>
      <c r="AK617" t="s">
        <v>22973</v>
      </c>
      <c r="AL617" t="s">
        <v>22971</v>
      </c>
      <c r="AM617" t="s">
        <v>22974</v>
      </c>
      <c r="AN617" t="s">
        <v>102</v>
      </c>
      <c r="AO617" t="s">
        <v>22975</v>
      </c>
      <c r="AP617" t="s">
        <v>22975</v>
      </c>
      <c r="AU617" t="s">
        <v>102</v>
      </c>
      <c r="AW617" t="s">
        <v>104</v>
      </c>
      <c r="AX617" t="s">
        <v>447</v>
      </c>
      <c r="AY617" t="s">
        <v>170</v>
      </c>
      <c r="AZ617" t="s">
        <v>118</v>
      </c>
      <c r="BB617" t="s">
        <v>120</v>
      </c>
      <c r="BC617" t="s">
        <v>22976</v>
      </c>
      <c r="BD617" t="s">
        <v>345</v>
      </c>
      <c r="BE617" t="s">
        <v>122</v>
      </c>
      <c r="BF617" t="s">
        <v>346</v>
      </c>
      <c r="BG617" t="s">
        <v>124</v>
      </c>
      <c r="BH617" t="s">
        <v>12330</v>
      </c>
      <c r="BI617" t="s">
        <v>21687</v>
      </c>
      <c r="BJ617" t="s">
        <v>127</v>
      </c>
      <c r="BK617" t="s">
        <v>22977</v>
      </c>
      <c r="BL617" t="s">
        <v>22978</v>
      </c>
      <c r="BM617" t="s">
        <v>22979</v>
      </c>
      <c r="BN617" t="s">
        <v>12573</v>
      </c>
      <c r="BO617" t="s">
        <v>12226</v>
      </c>
      <c r="BP617" t="s">
        <v>350</v>
      </c>
      <c r="BQ617" t="s">
        <v>12228</v>
      </c>
      <c r="BR617" t="s">
        <v>12229</v>
      </c>
      <c r="BS617" t="s">
        <v>8623</v>
      </c>
      <c r="BU617" t="s">
        <v>22980</v>
      </c>
      <c r="BV617" t="s">
        <v>22981</v>
      </c>
      <c r="BW617" t="s">
        <v>138</v>
      </c>
      <c r="BX617" t="s">
        <v>22982</v>
      </c>
      <c r="BY617" t="s">
        <v>22983</v>
      </c>
      <c r="BZ617" t="s">
        <v>22984</v>
      </c>
      <c r="CA617" t="s">
        <v>22985</v>
      </c>
      <c r="CB617" t="s">
        <v>22982</v>
      </c>
      <c r="CC617" t="s">
        <v>22983</v>
      </c>
      <c r="CD617" t="s">
        <v>22985</v>
      </c>
      <c r="CE617" t="s">
        <v>22982</v>
      </c>
      <c r="CF617" t="s">
        <v>22986</v>
      </c>
      <c r="CG617" t="s">
        <v>11377</v>
      </c>
      <c r="CH617" t="s">
        <v>22987</v>
      </c>
      <c r="CJ617" t="s">
        <v>22988</v>
      </c>
      <c r="CK617" t="s">
        <v>22989</v>
      </c>
      <c r="CL617" t="s">
        <v>22976</v>
      </c>
      <c r="CM617" t="s">
        <v>345</v>
      </c>
      <c r="CN617" t="s">
        <v>22988</v>
      </c>
      <c r="CO617" t="s">
        <v>22990</v>
      </c>
      <c r="CP617" t="s">
        <v>22991</v>
      </c>
      <c r="CQ617" t="s">
        <v>22991</v>
      </c>
    </row>
    <row r="618" spans="1:95" customFormat="1">
      <c r="A618" t="s">
        <v>337</v>
      </c>
      <c r="B618">
        <v>5031698</v>
      </c>
      <c r="C618" s="50"/>
      <c r="D618" t="s">
        <v>24527</v>
      </c>
      <c r="E618" s="50"/>
      <c r="I618" s="50"/>
      <c r="J618" s="51"/>
      <c r="K618" t="s">
        <v>97</v>
      </c>
      <c r="L618">
        <v>42750</v>
      </c>
      <c r="M618">
        <v>42750</v>
      </c>
      <c r="N618">
        <v>42750</v>
      </c>
      <c r="O618">
        <v>285</v>
      </c>
      <c r="P618" t="s">
        <v>24049</v>
      </c>
      <c r="Q618">
        <v>0</v>
      </c>
      <c r="R618">
        <v>0</v>
      </c>
      <c r="T618">
        <v>0</v>
      </c>
      <c r="U618">
        <v>0</v>
      </c>
      <c r="W618" t="s">
        <v>102</v>
      </c>
      <c r="X618" t="s">
        <v>275</v>
      </c>
      <c r="Z618" t="s">
        <v>12047</v>
      </c>
      <c r="AA618" t="s">
        <v>109</v>
      </c>
      <c r="AB618" t="s">
        <v>102</v>
      </c>
      <c r="AC618" t="s">
        <v>109</v>
      </c>
      <c r="AD618" t="s">
        <v>102</v>
      </c>
      <c r="AE618" t="s">
        <v>109</v>
      </c>
      <c r="AF618" t="s">
        <v>102</v>
      </c>
      <c r="AG618" t="s">
        <v>109</v>
      </c>
      <c r="AH618" t="s">
        <v>102</v>
      </c>
      <c r="AI618" t="s">
        <v>102</v>
      </c>
      <c r="AL618" t="s">
        <v>26550</v>
      </c>
      <c r="AM618" t="s">
        <v>102</v>
      </c>
      <c r="AN618" t="s">
        <v>26550</v>
      </c>
      <c r="AO618" t="s">
        <v>24053</v>
      </c>
      <c r="AP618" t="s">
        <v>24054</v>
      </c>
      <c r="AQ618" t="s">
        <v>102</v>
      </c>
      <c r="AR618" t="s">
        <v>102</v>
      </c>
      <c r="AS618" t="s">
        <v>102</v>
      </c>
      <c r="AT618" t="s">
        <v>102</v>
      </c>
      <c r="AU618" t="s">
        <v>318</v>
      </c>
      <c r="AV618" t="s">
        <v>118</v>
      </c>
      <c r="AW618" t="s">
        <v>102</v>
      </c>
      <c r="AX618" t="s">
        <v>119</v>
      </c>
      <c r="BB618" t="s">
        <v>120</v>
      </c>
      <c r="BC618" t="s">
        <v>5071</v>
      </c>
      <c r="BD618" t="s">
        <v>730</v>
      </c>
      <c r="BE618" t="s">
        <v>622</v>
      </c>
      <c r="BF618" t="s">
        <v>730</v>
      </c>
      <c r="BG618" t="s">
        <v>124</v>
      </c>
      <c r="BH618" t="s">
        <v>12250</v>
      </c>
      <c r="BI618" t="s">
        <v>21667</v>
      </c>
      <c r="BJ618" t="s">
        <v>127</v>
      </c>
      <c r="BK618" t="s">
        <v>24529</v>
      </c>
      <c r="BL618" t="s">
        <v>24530</v>
      </c>
      <c r="BM618" t="s">
        <v>24531</v>
      </c>
      <c r="BN618" t="s">
        <v>14400</v>
      </c>
      <c r="BO618" t="s">
        <v>24532</v>
      </c>
      <c r="BP618" t="s">
        <v>180</v>
      </c>
      <c r="BQ618" t="s">
        <v>24533</v>
      </c>
      <c r="BR618" t="s">
        <v>24534</v>
      </c>
      <c r="BS618" t="s">
        <v>6756</v>
      </c>
      <c r="BU618" t="s">
        <v>24535</v>
      </c>
      <c r="BV618" t="s">
        <v>24536</v>
      </c>
      <c r="BW618" t="s">
        <v>598</v>
      </c>
      <c r="BX618" t="s">
        <v>24220</v>
      </c>
      <c r="BY618" t="s">
        <v>24537</v>
      </c>
      <c r="BZ618" t="s">
        <v>24538</v>
      </c>
      <c r="CA618" t="s">
        <v>24536</v>
      </c>
      <c r="CB618" t="s">
        <v>24539</v>
      </c>
      <c r="CC618" t="s">
        <v>24537</v>
      </c>
      <c r="CD618" t="s">
        <v>24536</v>
      </c>
      <c r="CE618" t="s">
        <v>24539</v>
      </c>
      <c r="CF618" t="s">
        <v>24537</v>
      </c>
      <c r="CG618" t="s">
        <v>24540</v>
      </c>
      <c r="CH618" t="s">
        <v>24541</v>
      </c>
      <c r="CJ618" t="s">
        <v>24542</v>
      </c>
      <c r="CK618" t="s">
        <v>24543</v>
      </c>
      <c r="CL618" t="s">
        <v>5071</v>
      </c>
      <c r="CM618" t="s">
        <v>730</v>
      </c>
      <c r="CN618" t="s">
        <v>24542</v>
      </c>
      <c r="CP618" t="s">
        <v>24544</v>
      </c>
      <c r="CQ618" t="s">
        <v>24544</v>
      </c>
    </row>
    <row r="619" spans="1:95" customFormat="1">
      <c r="A619" t="s">
        <v>337</v>
      </c>
      <c r="B619">
        <v>5039584</v>
      </c>
      <c r="C619" s="50"/>
      <c r="D619" t="s">
        <v>24545</v>
      </c>
      <c r="E619" s="50"/>
      <c r="I619" s="50"/>
      <c r="J619" s="51"/>
      <c r="K619" t="s">
        <v>97</v>
      </c>
      <c r="L619">
        <v>71250</v>
      </c>
      <c r="M619">
        <v>71250</v>
      </c>
      <c r="N619">
        <v>71250</v>
      </c>
      <c r="O619">
        <v>475</v>
      </c>
      <c r="P619" t="s">
        <v>24049</v>
      </c>
      <c r="Q619">
        <v>0</v>
      </c>
      <c r="R619">
        <v>0</v>
      </c>
      <c r="T619">
        <v>0</v>
      </c>
      <c r="U619">
        <v>0</v>
      </c>
      <c r="W619" t="s">
        <v>102</v>
      </c>
      <c r="X619" t="s">
        <v>103</v>
      </c>
      <c r="Y619" t="s">
        <v>104</v>
      </c>
      <c r="AA619" t="s">
        <v>12250</v>
      </c>
      <c r="AB619" t="s">
        <v>24547</v>
      </c>
      <c r="AC619" t="s">
        <v>19143</v>
      </c>
      <c r="AD619" t="s">
        <v>24548</v>
      </c>
      <c r="AE619" t="s">
        <v>109</v>
      </c>
      <c r="AF619" t="s">
        <v>102</v>
      </c>
      <c r="AG619" t="s">
        <v>109</v>
      </c>
      <c r="AH619" t="s">
        <v>102</v>
      </c>
      <c r="AI619" t="s">
        <v>102</v>
      </c>
      <c r="AJ619" t="s">
        <v>25697</v>
      </c>
      <c r="AK619" t="s">
        <v>25697</v>
      </c>
      <c r="AL619" t="s">
        <v>24547</v>
      </c>
      <c r="AM619" t="s">
        <v>2773</v>
      </c>
      <c r="AN619" t="s">
        <v>25947</v>
      </c>
      <c r="AO619" t="s">
        <v>24053</v>
      </c>
      <c r="AP619" t="s">
        <v>24054</v>
      </c>
      <c r="AQ619" t="s">
        <v>102</v>
      </c>
      <c r="AR619" t="s">
        <v>102</v>
      </c>
      <c r="AS619" t="s">
        <v>102</v>
      </c>
      <c r="AT619" t="s">
        <v>102</v>
      </c>
      <c r="AU619" t="s">
        <v>318</v>
      </c>
      <c r="AV619" t="s">
        <v>118</v>
      </c>
      <c r="AW619" t="s">
        <v>102</v>
      </c>
      <c r="AX619" t="s">
        <v>119</v>
      </c>
      <c r="BB619" t="s">
        <v>209</v>
      </c>
      <c r="BC619" t="s">
        <v>3714</v>
      </c>
      <c r="BD619" t="s">
        <v>730</v>
      </c>
      <c r="BE619" t="s">
        <v>622</v>
      </c>
      <c r="BF619" t="s">
        <v>730</v>
      </c>
      <c r="BG619" t="s">
        <v>124</v>
      </c>
      <c r="BH619" t="s">
        <v>19143</v>
      </c>
      <c r="BI619" t="s">
        <v>21806</v>
      </c>
      <c r="BJ619" t="s">
        <v>127</v>
      </c>
      <c r="BK619" t="s">
        <v>24549</v>
      </c>
      <c r="BL619" t="s">
        <v>24550</v>
      </c>
      <c r="BM619" t="s">
        <v>24551</v>
      </c>
      <c r="BN619" t="s">
        <v>12129</v>
      </c>
      <c r="BO619" t="s">
        <v>3910</v>
      </c>
      <c r="BP619" t="s">
        <v>505</v>
      </c>
      <c r="BQ619" t="s">
        <v>3911</v>
      </c>
      <c r="BR619" t="s">
        <v>3912</v>
      </c>
      <c r="BS619" t="s">
        <v>7862</v>
      </c>
      <c r="BU619" t="s">
        <v>24552</v>
      </c>
      <c r="BV619" t="s">
        <v>24553</v>
      </c>
      <c r="BW619" t="s">
        <v>598</v>
      </c>
      <c r="BX619" t="s">
        <v>7926</v>
      </c>
      <c r="BY619" t="s">
        <v>24554</v>
      </c>
      <c r="BZ619" t="s">
        <v>24555</v>
      </c>
      <c r="CA619" t="s">
        <v>24553</v>
      </c>
      <c r="CB619" t="s">
        <v>24556</v>
      </c>
      <c r="CC619" t="s">
        <v>24554</v>
      </c>
      <c r="CD619" t="s">
        <v>24553</v>
      </c>
      <c r="CE619" t="s">
        <v>24556</v>
      </c>
      <c r="CF619" t="s">
        <v>24554</v>
      </c>
      <c r="CG619" t="s">
        <v>1594</v>
      </c>
      <c r="CH619" t="s">
        <v>24557</v>
      </c>
      <c r="CJ619" t="s">
        <v>24558</v>
      </c>
      <c r="CK619" t="s">
        <v>24557</v>
      </c>
      <c r="CL619" t="s">
        <v>3714</v>
      </c>
      <c r="CM619" t="s">
        <v>730</v>
      </c>
      <c r="CN619" t="s">
        <v>24558</v>
      </c>
      <c r="CP619" t="s">
        <v>24559</v>
      </c>
      <c r="CQ619" t="s">
        <v>24559</v>
      </c>
    </row>
    <row r="620" spans="1:95" customFormat="1">
      <c r="A620" t="s">
        <v>337</v>
      </c>
      <c r="B620">
        <v>5060863</v>
      </c>
      <c r="C620" s="50"/>
      <c r="D620" t="s">
        <v>24561</v>
      </c>
      <c r="E620" s="50"/>
      <c r="I620" s="50"/>
      <c r="J620" s="51"/>
      <c r="K620" t="s">
        <v>97</v>
      </c>
      <c r="L620">
        <v>696000</v>
      </c>
      <c r="M620">
        <v>696000</v>
      </c>
      <c r="N620">
        <v>696000</v>
      </c>
      <c r="O620">
        <v>1160</v>
      </c>
      <c r="P620" t="s">
        <v>310</v>
      </c>
      <c r="Q620">
        <v>0</v>
      </c>
      <c r="R620">
        <v>0</v>
      </c>
      <c r="T620">
        <v>0</v>
      </c>
      <c r="U620">
        <v>0</v>
      </c>
      <c r="W620" t="s">
        <v>102</v>
      </c>
      <c r="X620" t="s">
        <v>103</v>
      </c>
      <c r="Y620" t="s">
        <v>155</v>
      </c>
      <c r="AA620" t="s">
        <v>24156</v>
      </c>
      <c r="AB620" t="s">
        <v>24563</v>
      </c>
      <c r="AC620" t="s">
        <v>24156</v>
      </c>
      <c r="AD620" t="s">
        <v>24563</v>
      </c>
      <c r="AE620" t="s">
        <v>21857</v>
      </c>
      <c r="AF620" t="s">
        <v>24564</v>
      </c>
      <c r="AG620" t="s">
        <v>21826</v>
      </c>
      <c r="AH620" t="s">
        <v>24565</v>
      </c>
      <c r="AI620" t="s">
        <v>102</v>
      </c>
      <c r="AJ620" t="s">
        <v>14400</v>
      </c>
      <c r="AK620" t="s">
        <v>14400</v>
      </c>
      <c r="AL620" t="s">
        <v>24565</v>
      </c>
      <c r="AM620" t="s">
        <v>24566</v>
      </c>
      <c r="AN620" t="s">
        <v>24564</v>
      </c>
      <c r="AO620" t="s">
        <v>317</v>
      </c>
      <c r="AP620" t="s">
        <v>317</v>
      </c>
      <c r="AU620" t="s">
        <v>318</v>
      </c>
      <c r="AV620" t="s">
        <v>118</v>
      </c>
      <c r="AW620" t="s">
        <v>102</v>
      </c>
      <c r="AX620" t="s">
        <v>119</v>
      </c>
      <c r="BB620" t="s">
        <v>120</v>
      </c>
      <c r="BC620" t="s">
        <v>8527</v>
      </c>
      <c r="BD620" t="s">
        <v>1244</v>
      </c>
      <c r="BE620" t="s">
        <v>122</v>
      </c>
      <c r="BF620" t="s">
        <v>1244</v>
      </c>
      <c r="BG620" t="s">
        <v>124</v>
      </c>
      <c r="BH620" t="s">
        <v>12250</v>
      </c>
      <c r="BI620" t="s">
        <v>21667</v>
      </c>
      <c r="BJ620" t="s">
        <v>127</v>
      </c>
      <c r="BK620" t="s">
        <v>24567</v>
      </c>
      <c r="BL620" t="s">
        <v>24568</v>
      </c>
      <c r="BM620" t="s">
        <v>24569</v>
      </c>
      <c r="BN620" t="s">
        <v>14161</v>
      </c>
      <c r="BO620" t="s">
        <v>19163</v>
      </c>
      <c r="BP620" t="s">
        <v>350</v>
      </c>
      <c r="BQ620" t="s">
        <v>19164</v>
      </c>
      <c r="BR620" t="s">
        <v>19165</v>
      </c>
      <c r="BS620" t="s">
        <v>10231</v>
      </c>
      <c r="BU620" t="s">
        <v>24570</v>
      </c>
      <c r="BV620" t="s">
        <v>24571</v>
      </c>
      <c r="BW620" t="s">
        <v>598</v>
      </c>
      <c r="BX620" t="s">
        <v>24572</v>
      </c>
      <c r="BY620" t="s">
        <v>24573</v>
      </c>
      <c r="CA620" t="s">
        <v>24571</v>
      </c>
      <c r="CB620" t="s">
        <v>24572</v>
      </c>
      <c r="CC620" t="s">
        <v>24573</v>
      </c>
      <c r="CD620" t="s">
        <v>24571</v>
      </c>
      <c r="CE620" t="s">
        <v>24572</v>
      </c>
      <c r="CF620" t="s">
        <v>24573</v>
      </c>
      <c r="CG620" t="s">
        <v>102</v>
      </c>
      <c r="CH620" t="s">
        <v>24574</v>
      </c>
      <c r="CJ620" t="s">
        <v>24575</v>
      </c>
      <c r="CL620" t="s">
        <v>8527</v>
      </c>
      <c r="CM620" t="s">
        <v>1244</v>
      </c>
      <c r="CN620" t="s">
        <v>24575</v>
      </c>
      <c r="CP620" t="s">
        <v>24092</v>
      </c>
      <c r="CQ620" t="s">
        <v>24092</v>
      </c>
    </row>
    <row r="621" spans="1:95" customFormat="1">
      <c r="A621" t="s">
        <v>337</v>
      </c>
      <c r="B621">
        <v>5068092</v>
      </c>
      <c r="C621" s="50"/>
      <c r="D621" t="s">
        <v>23043</v>
      </c>
      <c r="E621" s="50"/>
      <c r="I621" s="50"/>
      <c r="J621" s="51"/>
      <c r="K621" t="s">
        <v>152</v>
      </c>
      <c r="L621">
        <v>539500</v>
      </c>
      <c r="M621">
        <v>539500</v>
      </c>
      <c r="N621">
        <v>0</v>
      </c>
      <c r="O621">
        <v>0</v>
      </c>
      <c r="Q621">
        <v>539500</v>
      </c>
      <c r="R621">
        <v>500</v>
      </c>
      <c r="S621" t="s">
        <v>14894</v>
      </c>
      <c r="T621">
        <v>0</v>
      </c>
      <c r="U621">
        <v>0</v>
      </c>
      <c r="W621" t="s">
        <v>102</v>
      </c>
      <c r="X621" t="s">
        <v>103</v>
      </c>
      <c r="Y621" t="s">
        <v>155</v>
      </c>
      <c r="AA621" t="s">
        <v>16553</v>
      </c>
      <c r="AB621" t="s">
        <v>23045</v>
      </c>
      <c r="AC621" t="s">
        <v>23046</v>
      </c>
      <c r="AD621" t="s">
        <v>23045</v>
      </c>
      <c r="AE621" t="s">
        <v>23047</v>
      </c>
      <c r="AF621" t="s">
        <v>23045</v>
      </c>
      <c r="AG621" t="s">
        <v>22104</v>
      </c>
      <c r="AH621" t="s">
        <v>23045</v>
      </c>
      <c r="AI621" t="s">
        <v>102</v>
      </c>
      <c r="AJ621" t="s">
        <v>16421</v>
      </c>
      <c r="AK621" t="s">
        <v>22571</v>
      </c>
      <c r="AL621" t="s">
        <v>23045</v>
      </c>
      <c r="AM621" t="s">
        <v>23045</v>
      </c>
      <c r="AN621" t="s">
        <v>102</v>
      </c>
      <c r="AO621" t="s">
        <v>14899</v>
      </c>
      <c r="AP621" t="s">
        <v>14899</v>
      </c>
      <c r="AU621" t="s">
        <v>102</v>
      </c>
      <c r="AW621" t="s">
        <v>155</v>
      </c>
      <c r="AX621" t="s">
        <v>119</v>
      </c>
      <c r="AY621" t="s">
        <v>170</v>
      </c>
      <c r="AZ621" t="s">
        <v>118</v>
      </c>
      <c r="BB621" t="s">
        <v>120</v>
      </c>
      <c r="BC621" t="s">
        <v>23048</v>
      </c>
      <c r="BD621" t="s">
        <v>449</v>
      </c>
      <c r="BE621" t="s">
        <v>122</v>
      </c>
      <c r="BF621" t="s">
        <v>253</v>
      </c>
      <c r="BG621" t="s">
        <v>124</v>
      </c>
      <c r="BH621" t="s">
        <v>21784</v>
      </c>
      <c r="BI621" t="s">
        <v>21667</v>
      </c>
      <c r="BJ621" t="s">
        <v>127</v>
      </c>
      <c r="BK621" t="s">
        <v>23049</v>
      </c>
      <c r="BL621" t="s">
        <v>23050</v>
      </c>
      <c r="BM621" t="s">
        <v>23051</v>
      </c>
      <c r="BN621" t="s">
        <v>16421</v>
      </c>
      <c r="BO621" t="s">
        <v>3243</v>
      </c>
      <c r="BP621" t="s">
        <v>350</v>
      </c>
      <c r="BQ621" t="s">
        <v>3244</v>
      </c>
      <c r="BR621" t="s">
        <v>3245</v>
      </c>
      <c r="BS621" t="s">
        <v>1111</v>
      </c>
      <c r="BT621" t="s">
        <v>1111</v>
      </c>
      <c r="BU621" t="s">
        <v>23052</v>
      </c>
      <c r="BV621" t="s">
        <v>23053</v>
      </c>
      <c r="BW621" t="s">
        <v>354</v>
      </c>
      <c r="BX621" t="s">
        <v>23054</v>
      </c>
      <c r="BY621" t="s">
        <v>23055</v>
      </c>
      <c r="BZ621" t="s">
        <v>23054</v>
      </c>
      <c r="CA621" t="s">
        <v>23053</v>
      </c>
      <c r="CB621" t="s">
        <v>23054</v>
      </c>
      <c r="CC621" t="s">
        <v>23055</v>
      </c>
      <c r="CD621" t="s">
        <v>23053</v>
      </c>
      <c r="CE621" t="s">
        <v>23054</v>
      </c>
      <c r="CF621" t="s">
        <v>23055</v>
      </c>
      <c r="CG621" t="s">
        <v>1741</v>
      </c>
      <c r="CH621" t="s">
        <v>23056</v>
      </c>
      <c r="CJ621" t="s">
        <v>23057</v>
      </c>
      <c r="CK621" t="s">
        <v>23056</v>
      </c>
      <c r="CL621" t="s">
        <v>23048</v>
      </c>
      <c r="CM621" t="s">
        <v>449</v>
      </c>
      <c r="CN621" t="s">
        <v>23057</v>
      </c>
      <c r="CP621" t="s">
        <v>23056</v>
      </c>
      <c r="CQ621" t="s">
        <v>23056</v>
      </c>
    </row>
    <row r="622" spans="1:95" customFormat="1">
      <c r="A622" t="s">
        <v>337</v>
      </c>
      <c r="B622">
        <v>5074217</v>
      </c>
      <c r="C622" s="50"/>
      <c r="D622" t="s">
        <v>23066</v>
      </c>
      <c r="E622" s="50"/>
      <c r="I622" s="50"/>
      <c r="J622" s="51"/>
      <c r="K622" t="s">
        <v>152</v>
      </c>
      <c r="L622">
        <v>453254</v>
      </c>
      <c r="M622">
        <v>453254</v>
      </c>
      <c r="N622">
        <v>0</v>
      </c>
      <c r="O622">
        <v>0</v>
      </c>
      <c r="Q622">
        <v>453254</v>
      </c>
      <c r="R622">
        <v>344</v>
      </c>
      <c r="S622" t="s">
        <v>23068</v>
      </c>
      <c r="T622">
        <v>0</v>
      </c>
      <c r="U622">
        <v>0</v>
      </c>
      <c r="W622" t="s">
        <v>102</v>
      </c>
      <c r="X622" t="s">
        <v>103</v>
      </c>
      <c r="Y622" t="s">
        <v>155</v>
      </c>
      <c r="AA622" t="s">
        <v>12250</v>
      </c>
      <c r="AB622" t="s">
        <v>23069</v>
      </c>
      <c r="AC622" t="s">
        <v>21664</v>
      </c>
      <c r="AD622" t="s">
        <v>23069</v>
      </c>
      <c r="AE622" t="s">
        <v>21665</v>
      </c>
      <c r="AF622" t="s">
        <v>23069</v>
      </c>
      <c r="AG622" t="s">
        <v>21710</v>
      </c>
      <c r="AH622" t="s">
        <v>23069</v>
      </c>
      <c r="AI622" t="s">
        <v>102</v>
      </c>
      <c r="AJ622" t="s">
        <v>20426</v>
      </c>
      <c r="AK622" t="s">
        <v>20426</v>
      </c>
      <c r="AL622" t="s">
        <v>23069</v>
      </c>
      <c r="AM622" t="s">
        <v>573</v>
      </c>
      <c r="AN622" t="s">
        <v>24590</v>
      </c>
      <c r="AO622" t="s">
        <v>23070</v>
      </c>
      <c r="AP622" t="s">
        <v>23070</v>
      </c>
      <c r="AU622" t="s">
        <v>102</v>
      </c>
      <c r="AW622" t="s">
        <v>102</v>
      </c>
      <c r="AX622" t="s">
        <v>447</v>
      </c>
      <c r="AY622" t="s">
        <v>170</v>
      </c>
      <c r="AZ622" t="s">
        <v>118</v>
      </c>
      <c r="BB622" t="s">
        <v>1964</v>
      </c>
      <c r="BC622" t="s">
        <v>19865</v>
      </c>
      <c r="BD622" t="s">
        <v>376</v>
      </c>
      <c r="BE622" t="s">
        <v>174</v>
      </c>
      <c r="BF622" t="s">
        <v>376</v>
      </c>
      <c r="BG622" t="s">
        <v>124</v>
      </c>
      <c r="BH622" t="s">
        <v>12250</v>
      </c>
      <c r="BI622" t="s">
        <v>21667</v>
      </c>
      <c r="BJ622" t="s">
        <v>127</v>
      </c>
      <c r="BK622" t="s">
        <v>23071</v>
      </c>
      <c r="BL622" t="s">
        <v>23072</v>
      </c>
      <c r="BM622" t="s">
        <v>23073</v>
      </c>
      <c r="BN622" t="s">
        <v>946</v>
      </c>
      <c r="BO622" t="s">
        <v>13780</v>
      </c>
      <c r="BP622" t="s">
        <v>505</v>
      </c>
      <c r="BQ622" t="s">
        <v>13781</v>
      </c>
      <c r="BR622" t="s">
        <v>13782</v>
      </c>
      <c r="BS622" t="s">
        <v>13783</v>
      </c>
      <c r="BU622" t="s">
        <v>23074</v>
      </c>
      <c r="BV622" t="s">
        <v>23075</v>
      </c>
      <c r="BW622" t="s">
        <v>138</v>
      </c>
      <c r="BX622" t="s">
        <v>23076</v>
      </c>
      <c r="BY622" t="s">
        <v>23077</v>
      </c>
      <c r="BZ622" t="s">
        <v>23078</v>
      </c>
      <c r="CA622" t="s">
        <v>23075</v>
      </c>
      <c r="CB622" t="s">
        <v>23076</v>
      </c>
      <c r="CC622" t="s">
        <v>23077</v>
      </c>
      <c r="CD622" t="s">
        <v>23075</v>
      </c>
      <c r="CE622" t="s">
        <v>23076</v>
      </c>
      <c r="CF622" t="s">
        <v>23077</v>
      </c>
      <c r="CG622" t="s">
        <v>6370</v>
      </c>
      <c r="CH622" t="s">
        <v>23079</v>
      </c>
      <c r="CJ622" t="s">
        <v>19882</v>
      </c>
      <c r="CK622" t="s">
        <v>23079</v>
      </c>
      <c r="CL622" t="s">
        <v>19865</v>
      </c>
      <c r="CM622" t="s">
        <v>376</v>
      </c>
      <c r="CN622" t="s">
        <v>19882</v>
      </c>
      <c r="CP622" t="s">
        <v>23079</v>
      </c>
      <c r="CQ622" t="s">
        <v>23079</v>
      </c>
    </row>
    <row r="623" spans="1:95" customFormat="1">
      <c r="A623" t="s">
        <v>337</v>
      </c>
      <c r="B623">
        <v>5074740</v>
      </c>
      <c r="C623" s="50"/>
      <c r="D623" t="s">
        <v>25332</v>
      </c>
      <c r="E623" s="50"/>
      <c r="I623" s="50"/>
      <c r="J623" s="51"/>
      <c r="K623" t="s">
        <v>848</v>
      </c>
      <c r="L623">
        <v>234465</v>
      </c>
      <c r="M623">
        <v>276669</v>
      </c>
      <c r="N623">
        <v>0</v>
      </c>
      <c r="O623">
        <v>0</v>
      </c>
      <c r="Q623">
        <v>0</v>
      </c>
      <c r="R623">
        <v>0</v>
      </c>
      <c r="T623">
        <v>234465</v>
      </c>
      <c r="U623">
        <v>461</v>
      </c>
      <c r="V623" t="s">
        <v>196</v>
      </c>
      <c r="W623" t="s">
        <v>102</v>
      </c>
      <c r="X623" t="s">
        <v>103</v>
      </c>
      <c r="Y623" t="s">
        <v>104</v>
      </c>
      <c r="AA623" t="s">
        <v>22459</v>
      </c>
      <c r="AB623" t="s">
        <v>25334</v>
      </c>
      <c r="AC623" t="s">
        <v>21828</v>
      </c>
      <c r="AD623" t="s">
        <v>25334</v>
      </c>
      <c r="AE623" t="s">
        <v>109</v>
      </c>
      <c r="AF623" t="s">
        <v>102</v>
      </c>
      <c r="AG623" t="s">
        <v>109</v>
      </c>
      <c r="AH623" t="s">
        <v>102</v>
      </c>
      <c r="AI623" t="s">
        <v>102</v>
      </c>
      <c r="AJ623" t="s">
        <v>18964</v>
      </c>
      <c r="AK623" t="s">
        <v>18964</v>
      </c>
      <c r="AL623" t="s">
        <v>102</v>
      </c>
      <c r="AM623" t="s">
        <v>13597</v>
      </c>
      <c r="AN623" t="s">
        <v>24990</v>
      </c>
      <c r="AO623" t="s">
        <v>20895</v>
      </c>
      <c r="AP623" t="s">
        <v>20895</v>
      </c>
      <c r="AU623" t="s">
        <v>102</v>
      </c>
      <c r="AW623" t="s">
        <v>102</v>
      </c>
      <c r="AX623" t="s">
        <v>119</v>
      </c>
      <c r="BA623" t="s">
        <v>250</v>
      </c>
      <c r="BB623" t="s">
        <v>120</v>
      </c>
      <c r="BC623" t="s">
        <v>25335</v>
      </c>
      <c r="BD623" t="s">
        <v>376</v>
      </c>
      <c r="BE623" t="s">
        <v>174</v>
      </c>
      <c r="BF623" t="s">
        <v>376</v>
      </c>
      <c r="BG623" t="s">
        <v>124</v>
      </c>
      <c r="BH623" t="s">
        <v>12250</v>
      </c>
      <c r="BI623" t="s">
        <v>21667</v>
      </c>
      <c r="BJ623" t="s">
        <v>127</v>
      </c>
      <c r="BK623" t="s">
        <v>25336</v>
      </c>
      <c r="BL623" t="s">
        <v>25337</v>
      </c>
      <c r="BM623" t="s">
        <v>25338</v>
      </c>
      <c r="BN623" t="s">
        <v>15028</v>
      </c>
      <c r="BO623" t="s">
        <v>13780</v>
      </c>
      <c r="BP623" t="s">
        <v>180</v>
      </c>
      <c r="BQ623" t="s">
        <v>13781</v>
      </c>
      <c r="BR623" t="s">
        <v>13782</v>
      </c>
      <c r="BS623" t="s">
        <v>13783</v>
      </c>
      <c r="BU623" t="s">
        <v>25339</v>
      </c>
      <c r="BV623" t="s">
        <v>25340</v>
      </c>
      <c r="BW623" t="s">
        <v>138</v>
      </c>
      <c r="BX623" t="s">
        <v>25341</v>
      </c>
      <c r="BY623" t="s">
        <v>25342</v>
      </c>
      <c r="BZ623" t="s">
        <v>25343</v>
      </c>
      <c r="CA623" t="s">
        <v>25344</v>
      </c>
      <c r="CB623" t="s">
        <v>25341</v>
      </c>
      <c r="CC623" t="s">
        <v>25342</v>
      </c>
      <c r="CD623" t="s">
        <v>25344</v>
      </c>
      <c r="CE623" t="s">
        <v>25341</v>
      </c>
      <c r="CF623" t="s">
        <v>25342</v>
      </c>
      <c r="CG623" t="s">
        <v>102</v>
      </c>
      <c r="CH623" t="s">
        <v>25345</v>
      </c>
      <c r="CJ623" t="s">
        <v>25346</v>
      </c>
      <c r="CK623" t="s">
        <v>25347</v>
      </c>
      <c r="CL623" t="s">
        <v>25335</v>
      </c>
      <c r="CM623" t="s">
        <v>376</v>
      </c>
      <c r="CN623" t="s">
        <v>25346</v>
      </c>
      <c r="CP623" t="s">
        <v>25345</v>
      </c>
      <c r="CQ623" t="s">
        <v>25345</v>
      </c>
    </row>
    <row r="624" spans="1:95" customFormat="1">
      <c r="A624" t="s">
        <v>26356</v>
      </c>
      <c r="B624">
        <v>5075344</v>
      </c>
      <c r="C624" s="50"/>
      <c r="D624" t="s">
        <v>25348</v>
      </c>
      <c r="E624" s="50"/>
      <c r="I624" s="50"/>
      <c r="J624" s="51"/>
      <c r="K624" t="s">
        <v>848</v>
      </c>
      <c r="L624">
        <v>225819</v>
      </c>
      <c r="M624">
        <v>266466</v>
      </c>
      <c r="N624">
        <v>0</v>
      </c>
      <c r="O624">
        <v>0</v>
      </c>
      <c r="Q624">
        <v>0</v>
      </c>
      <c r="R624">
        <v>0</v>
      </c>
      <c r="T624">
        <v>225819</v>
      </c>
      <c r="U624">
        <v>444</v>
      </c>
      <c r="V624" t="s">
        <v>196</v>
      </c>
      <c r="W624" t="s">
        <v>102</v>
      </c>
      <c r="X624" t="s">
        <v>103</v>
      </c>
      <c r="Y624" t="s">
        <v>104</v>
      </c>
      <c r="AA624" t="s">
        <v>22459</v>
      </c>
      <c r="AB624" t="s">
        <v>25350</v>
      </c>
      <c r="AC624" t="s">
        <v>21828</v>
      </c>
      <c r="AD624" t="s">
        <v>25350</v>
      </c>
      <c r="AE624" t="s">
        <v>109</v>
      </c>
      <c r="AF624" t="s">
        <v>102</v>
      </c>
      <c r="AG624" t="s">
        <v>109</v>
      </c>
      <c r="AH624" t="s">
        <v>102</v>
      </c>
      <c r="AI624" t="s">
        <v>102</v>
      </c>
      <c r="AL624" t="s">
        <v>102</v>
      </c>
      <c r="AM624" t="s">
        <v>102</v>
      </c>
      <c r="AN624" t="s">
        <v>102</v>
      </c>
      <c r="AO624" t="s">
        <v>20895</v>
      </c>
      <c r="AP624" t="s">
        <v>20895</v>
      </c>
      <c r="AU624" t="s">
        <v>102</v>
      </c>
      <c r="AW624" t="s">
        <v>102</v>
      </c>
      <c r="AX624" t="s">
        <v>119</v>
      </c>
      <c r="BA624" t="s">
        <v>250</v>
      </c>
      <c r="BB624" t="s">
        <v>120</v>
      </c>
      <c r="BC624" t="s">
        <v>19577</v>
      </c>
      <c r="BD624" t="s">
        <v>376</v>
      </c>
      <c r="BE624" t="s">
        <v>174</v>
      </c>
      <c r="BF624" t="s">
        <v>376</v>
      </c>
      <c r="BG624" t="s">
        <v>124</v>
      </c>
      <c r="BH624" t="s">
        <v>12250</v>
      </c>
      <c r="BI624" t="s">
        <v>21667</v>
      </c>
      <c r="BJ624" t="s">
        <v>127</v>
      </c>
      <c r="BK624" t="s">
        <v>25351</v>
      </c>
      <c r="BL624" t="s">
        <v>25352</v>
      </c>
      <c r="BM624" t="s">
        <v>25353</v>
      </c>
      <c r="BN624" t="s">
        <v>15028</v>
      </c>
      <c r="BO624" t="s">
        <v>13780</v>
      </c>
      <c r="BP624" t="s">
        <v>180</v>
      </c>
      <c r="BQ624" t="s">
        <v>13781</v>
      </c>
      <c r="BR624" t="s">
        <v>13782</v>
      </c>
      <c r="BS624" t="s">
        <v>13783</v>
      </c>
      <c r="BU624" t="s">
        <v>25354</v>
      </c>
      <c r="BV624" t="s">
        <v>25355</v>
      </c>
      <c r="BW624" t="s">
        <v>138</v>
      </c>
      <c r="BX624" t="s">
        <v>25356</v>
      </c>
      <c r="BY624" t="s">
        <v>25357</v>
      </c>
      <c r="BZ624" t="s">
        <v>25356</v>
      </c>
      <c r="CA624" t="s">
        <v>25355</v>
      </c>
      <c r="CB624" t="s">
        <v>25358</v>
      </c>
      <c r="CC624" t="s">
        <v>25357</v>
      </c>
      <c r="CD624" t="s">
        <v>25355</v>
      </c>
      <c r="CE624" t="s">
        <v>25358</v>
      </c>
      <c r="CF624" t="s">
        <v>25357</v>
      </c>
      <c r="CG624" t="s">
        <v>6370</v>
      </c>
      <c r="CH624" t="s">
        <v>25359</v>
      </c>
      <c r="CJ624" t="s">
        <v>25018</v>
      </c>
      <c r="CK624" t="s">
        <v>25360</v>
      </c>
      <c r="CL624" t="s">
        <v>19577</v>
      </c>
      <c r="CM624" t="s">
        <v>376</v>
      </c>
      <c r="CN624" t="s">
        <v>25018</v>
      </c>
      <c r="CP624" t="s">
        <v>25361</v>
      </c>
      <c r="CQ624" t="s">
        <v>25361</v>
      </c>
    </row>
    <row r="625" spans="1:95" customFormat="1">
      <c r="A625" t="s">
        <v>337</v>
      </c>
      <c r="B625">
        <v>5075423</v>
      </c>
      <c r="C625" s="50"/>
      <c r="D625" t="s">
        <v>25977</v>
      </c>
      <c r="E625" s="50"/>
      <c r="I625" s="50"/>
      <c r="J625" s="51"/>
      <c r="K625" t="s">
        <v>848</v>
      </c>
      <c r="L625">
        <v>278714</v>
      </c>
      <c r="M625">
        <v>328883</v>
      </c>
      <c r="N625">
        <v>0</v>
      </c>
      <c r="O625">
        <v>0</v>
      </c>
      <c r="Q625">
        <v>0</v>
      </c>
      <c r="R625">
        <v>0</v>
      </c>
      <c r="T625">
        <v>278714</v>
      </c>
      <c r="U625">
        <v>548</v>
      </c>
      <c r="V625" t="s">
        <v>196</v>
      </c>
      <c r="W625" t="s">
        <v>102</v>
      </c>
      <c r="X625" t="s">
        <v>103</v>
      </c>
      <c r="Y625" t="s">
        <v>104</v>
      </c>
      <c r="AA625" t="s">
        <v>22459</v>
      </c>
      <c r="AB625" t="s">
        <v>25979</v>
      </c>
      <c r="AC625" t="s">
        <v>21828</v>
      </c>
      <c r="AD625" t="s">
        <v>25979</v>
      </c>
      <c r="AE625" t="s">
        <v>109</v>
      </c>
      <c r="AF625" t="s">
        <v>102</v>
      </c>
      <c r="AG625" t="s">
        <v>109</v>
      </c>
      <c r="AH625" t="s">
        <v>102</v>
      </c>
      <c r="AI625" t="s">
        <v>102</v>
      </c>
      <c r="AJ625" t="s">
        <v>18964</v>
      </c>
      <c r="AK625" t="s">
        <v>18964</v>
      </c>
      <c r="AL625" t="s">
        <v>102</v>
      </c>
      <c r="AM625" t="s">
        <v>13597</v>
      </c>
      <c r="AN625" t="s">
        <v>24990</v>
      </c>
      <c r="AO625" t="s">
        <v>20895</v>
      </c>
      <c r="AP625" t="s">
        <v>20895</v>
      </c>
      <c r="AU625" t="s">
        <v>102</v>
      </c>
      <c r="AW625" t="s">
        <v>102</v>
      </c>
      <c r="AX625" t="s">
        <v>119</v>
      </c>
      <c r="BA625" t="s">
        <v>250</v>
      </c>
      <c r="BB625" t="s">
        <v>120</v>
      </c>
      <c r="BC625" t="s">
        <v>17703</v>
      </c>
      <c r="BD625" t="s">
        <v>376</v>
      </c>
      <c r="BE625" t="s">
        <v>174</v>
      </c>
      <c r="BF625" t="s">
        <v>376</v>
      </c>
      <c r="BG625" t="s">
        <v>124</v>
      </c>
      <c r="BH625" t="s">
        <v>12250</v>
      </c>
      <c r="BI625" t="s">
        <v>21667</v>
      </c>
      <c r="BJ625" t="s">
        <v>127</v>
      </c>
      <c r="BK625" t="s">
        <v>25980</v>
      </c>
      <c r="BL625" t="s">
        <v>25981</v>
      </c>
      <c r="BM625" t="s">
        <v>25982</v>
      </c>
      <c r="BN625" t="s">
        <v>15028</v>
      </c>
      <c r="BO625" t="s">
        <v>13780</v>
      </c>
      <c r="BP625" t="s">
        <v>180</v>
      </c>
      <c r="BQ625" t="s">
        <v>13781</v>
      </c>
      <c r="BR625" t="s">
        <v>13782</v>
      </c>
      <c r="BS625" t="s">
        <v>13783</v>
      </c>
      <c r="BU625" t="s">
        <v>25983</v>
      </c>
      <c r="BV625" t="s">
        <v>25984</v>
      </c>
      <c r="BW625" t="s">
        <v>138</v>
      </c>
      <c r="BX625" t="s">
        <v>25985</v>
      </c>
      <c r="BY625" t="s">
        <v>25986</v>
      </c>
      <c r="BZ625" t="s">
        <v>25987</v>
      </c>
      <c r="CA625" t="s">
        <v>25988</v>
      </c>
      <c r="CB625" t="s">
        <v>25985</v>
      </c>
      <c r="CC625" t="s">
        <v>25986</v>
      </c>
      <c r="CD625" t="s">
        <v>25988</v>
      </c>
      <c r="CE625" t="s">
        <v>25985</v>
      </c>
      <c r="CF625" t="s">
        <v>25986</v>
      </c>
      <c r="CG625" t="s">
        <v>6370</v>
      </c>
      <c r="CH625" t="s">
        <v>25989</v>
      </c>
      <c r="CJ625" t="s">
        <v>25990</v>
      </c>
      <c r="CK625" t="s">
        <v>25991</v>
      </c>
      <c r="CL625" t="s">
        <v>17703</v>
      </c>
      <c r="CM625" t="s">
        <v>376</v>
      </c>
      <c r="CN625" t="s">
        <v>25990</v>
      </c>
      <c r="CP625" t="s">
        <v>25992</v>
      </c>
      <c r="CQ625" t="s">
        <v>25992</v>
      </c>
    </row>
    <row r="626" spans="1:95" customFormat="1">
      <c r="A626" t="s">
        <v>337</v>
      </c>
      <c r="B626">
        <v>5078653</v>
      </c>
      <c r="C626" s="50"/>
      <c r="D626" t="s">
        <v>23080</v>
      </c>
      <c r="E626" s="50"/>
      <c r="I626" s="50"/>
      <c r="J626" s="51"/>
      <c r="K626" t="s">
        <v>848</v>
      </c>
      <c r="L626">
        <v>225563</v>
      </c>
      <c r="M626">
        <v>266164</v>
      </c>
      <c r="N626">
        <v>0</v>
      </c>
      <c r="O626">
        <v>0</v>
      </c>
      <c r="Q626">
        <v>0</v>
      </c>
      <c r="R626">
        <v>0</v>
      </c>
      <c r="T626">
        <v>225563</v>
      </c>
      <c r="U626">
        <v>242</v>
      </c>
      <c r="V626" t="s">
        <v>14881</v>
      </c>
      <c r="W626" t="s">
        <v>102</v>
      </c>
      <c r="X626" t="s">
        <v>103</v>
      </c>
      <c r="Y626" t="s">
        <v>398</v>
      </c>
      <c r="AA626" t="s">
        <v>21664</v>
      </c>
      <c r="AB626" t="s">
        <v>23082</v>
      </c>
      <c r="AC626" t="s">
        <v>21665</v>
      </c>
      <c r="AD626" t="s">
        <v>23083</v>
      </c>
      <c r="AE626" t="s">
        <v>21710</v>
      </c>
      <c r="AF626" t="s">
        <v>23083</v>
      </c>
      <c r="AG626" t="s">
        <v>109</v>
      </c>
      <c r="AH626" t="s">
        <v>102</v>
      </c>
      <c r="AI626" t="s">
        <v>102</v>
      </c>
      <c r="AJ626" t="s">
        <v>11930</v>
      </c>
      <c r="AK626" t="s">
        <v>11930</v>
      </c>
      <c r="AL626" t="s">
        <v>102</v>
      </c>
      <c r="AM626" t="s">
        <v>573</v>
      </c>
      <c r="AN626" t="s">
        <v>22503</v>
      </c>
      <c r="AO626" t="s">
        <v>14887</v>
      </c>
      <c r="AP626" t="s">
        <v>14887</v>
      </c>
      <c r="AU626" t="s">
        <v>102</v>
      </c>
      <c r="AW626" t="s">
        <v>102</v>
      </c>
      <c r="AX626" t="s">
        <v>119</v>
      </c>
      <c r="BA626" t="s">
        <v>250</v>
      </c>
      <c r="BB626" t="s">
        <v>120</v>
      </c>
      <c r="BC626" t="s">
        <v>7718</v>
      </c>
      <c r="BD626" t="s">
        <v>211</v>
      </c>
      <c r="BE626" t="s">
        <v>212</v>
      </c>
      <c r="BF626" t="s">
        <v>213</v>
      </c>
      <c r="BG626" t="s">
        <v>124</v>
      </c>
      <c r="BH626" t="s">
        <v>12250</v>
      </c>
      <c r="BI626" t="s">
        <v>21806</v>
      </c>
      <c r="BJ626" t="s">
        <v>127</v>
      </c>
      <c r="BK626" t="s">
        <v>23084</v>
      </c>
      <c r="BL626" t="s">
        <v>23085</v>
      </c>
      <c r="BM626" t="s">
        <v>23086</v>
      </c>
      <c r="BN626" t="s">
        <v>16372</v>
      </c>
      <c r="BO626" t="s">
        <v>14067</v>
      </c>
      <c r="BP626" t="s">
        <v>180</v>
      </c>
      <c r="BQ626" t="s">
        <v>14068</v>
      </c>
      <c r="BR626" t="s">
        <v>14069</v>
      </c>
      <c r="BS626" t="s">
        <v>21807</v>
      </c>
      <c r="BU626" t="s">
        <v>23087</v>
      </c>
      <c r="BV626" t="s">
        <v>23088</v>
      </c>
      <c r="BW626" t="s">
        <v>138</v>
      </c>
      <c r="BX626" t="s">
        <v>23089</v>
      </c>
      <c r="BY626" t="s">
        <v>23090</v>
      </c>
      <c r="BZ626" t="s">
        <v>23091</v>
      </c>
      <c r="CA626" t="s">
        <v>23088</v>
      </c>
      <c r="CB626" t="s">
        <v>23089</v>
      </c>
      <c r="CC626" t="s">
        <v>23090</v>
      </c>
      <c r="CD626" t="s">
        <v>23088</v>
      </c>
      <c r="CE626" t="s">
        <v>23089</v>
      </c>
      <c r="CF626" t="s">
        <v>23090</v>
      </c>
      <c r="CG626" t="s">
        <v>2270</v>
      </c>
      <c r="CH626" t="s">
        <v>23092</v>
      </c>
      <c r="CJ626" t="s">
        <v>23093</v>
      </c>
      <c r="CK626" t="s">
        <v>23094</v>
      </c>
      <c r="CL626" t="s">
        <v>7718</v>
      </c>
      <c r="CM626" t="s">
        <v>211</v>
      </c>
      <c r="CN626" t="s">
        <v>23093</v>
      </c>
      <c r="CP626" t="s">
        <v>23095</v>
      </c>
      <c r="CQ626" t="s">
        <v>23095</v>
      </c>
    </row>
    <row r="627" spans="1:95" customFormat="1">
      <c r="A627" t="s">
        <v>337</v>
      </c>
      <c r="B627">
        <v>5094121</v>
      </c>
      <c r="C627" s="50"/>
      <c r="D627" t="s">
        <v>23096</v>
      </c>
      <c r="E627" s="50"/>
      <c r="I627" s="50"/>
      <c r="J627" s="51"/>
      <c r="K627" t="s">
        <v>152</v>
      </c>
      <c r="L627">
        <v>143741</v>
      </c>
      <c r="M627">
        <v>143741</v>
      </c>
      <c r="N627">
        <v>0</v>
      </c>
      <c r="O627">
        <v>0</v>
      </c>
      <c r="Q627">
        <v>143741</v>
      </c>
      <c r="R627">
        <v>115</v>
      </c>
      <c r="S627" t="s">
        <v>1424</v>
      </c>
      <c r="T627">
        <v>0</v>
      </c>
      <c r="U627">
        <v>0</v>
      </c>
      <c r="W627" t="s">
        <v>102</v>
      </c>
      <c r="X627" t="s">
        <v>103</v>
      </c>
      <c r="Y627" t="s">
        <v>398</v>
      </c>
      <c r="AA627" t="s">
        <v>14351</v>
      </c>
      <c r="AB627" t="s">
        <v>23098</v>
      </c>
      <c r="AC627" t="s">
        <v>12720</v>
      </c>
      <c r="AD627" t="s">
        <v>23099</v>
      </c>
      <c r="AE627" t="s">
        <v>21686</v>
      </c>
      <c r="AF627" t="s">
        <v>23100</v>
      </c>
      <c r="AG627" t="s">
        <v>109</v>
      </c>
      <c r="AH627" t="s">
        <v>102</v>
      </c>
      <c r="AI627" t="s">
        <v>102</v>
      </c>
      <c r="AJ627" t="s">
        <v>6895</v>
      </c>
      <c r="AK627" t="s">
        <v>6895</v>
      </c>
      <c r="AL627" t="s">
        <v>23098</v>
      </c>
      <c r="AM627" t="s">
        <v>5007</v>
      </c>
      <c r="AN627" t="s">
        <v>23101</v>
      </c>
      <c r="AO627" t="s">
        <v>23102</v>
      </c>
      <c r="AP627" t="s">
        <v>23102</v>
      </c>
      <c r="AU627" t="s">
        <v>102</v>
      </c>
      <c r="AW627" t="s">
        <v>102</v>
      </c>
      <c r="AX627" t="s">
        <v>119</v>
      </c>
      <c r="AY627" t="s">
        <v>1138</v>
      </c>
      <c r="AZ627" t="s">
        <v>118</v>
      </c>
      <c r="BB627" t="s">
        <v>120</v>
      </c>
      <c r="BC627" t="s">
        <v>7718</v>
      </c>
      <c r="BD627" t="s">
        <v>211</v>
      </c>
      <c r="BE627" t="s">
        <v>212</v>
      </c>
      <c r="BF627" t="s">
        <v>213</v>
      </c>
      <c r="BG627" t="s">
        <v>124</v>
      </c>
      <c r="BH627" t="s">
        <v>21805</v>
      </c>
      <c r="BI627" t="s">
        <v>23025</v>
      </c>
      <c r="BJ627" t="s">
        <v>127</v>
      </c>
      <c r="BK627" t="s">
        <v>23103</v>
      </c>
      <c r="BL627" t="s">
        <v>23104</v>
      </c>
      <c r="BM627" t="s">
        <v>23105</v>
      </c>
      <c r="BN627" t="s">
        <v>14351</v>
      </c>
      <c r="BO627" t="s">
        <v>14067</v>
      </c>
      <c r="BP627" t="s">
        <v>180</v>
      </c>
      <c r="BQ627" t="s">
        <v>14068</v>
      </c>
      <c r="BR627" t="s">
        <v>14069</v>
      </c>
      <c r="BS627" t="s">
        <v>21807</v>
      </c>
      <c r="BU627" t="s">
        <v>23106</v>
      </c>
      <c r="BV627" t="s">
        <v>23107</v>
      </c>
      <c r="BW627" t="s">
        <v>138</v>
      </c>
      <c r="BX627" t="s">
        <v>23108</v>
      </c>
      <c r="BY627" t="s">
        <v>23109</v>
      </c>
      <c r="BZ627" t="s">
        <v>23108</v>
      </c>
      <c r="CA627" t="s">
        <v>23107</v>
      </c>
      <c r="CB627" t="s">
        <v>23108</v>
      </c>
      <c r="CC627" t="s">
        <v>23109</v>
      </c>
      <c r="CD627" t="s">
        <v>23107</v>
      </c>
      <c r="CE627" t="s">
        <v>23108</v>
      </c>
      <c r="CF627" t="s">
        <v>23109</v>
      </c>
      <c r="CG627" t="s">
        <v>23110</v>
      </c>
      <c r="CH627" t="s">
        <v>23111</v>
      </c>
      <c r="CJ627" t="s">
        <v>2189</v>
      </c>
      <c r="CK627" t="s">
        <v>23112</v>
      </c>
      <c r="CL627" t="s">
        <v>7718</v>
      </c>
      <c r="CM627" t="s">
        <v>211</v>
      </c>
      <c r="CN627" t="s">
        <v>2189</v>
      </c>
      <c r="CP627" t="s">
        <v>23113</v>
      </c>
      <c r="CQ627" t="s">
        <v>23113</v>
      </c>
    </row>
    <row r="628" spans="1:95" customFormat="1">
      <c r="A628" t="s">
        <v>337</v>
      </c>
      <c r="B628">
        <v>5094396</v>
      </c>
      <c r="C628" s="50"/>
      <c r="D628" t="s">
        <v>20843</v>
      </c>
      <c r="E628" s="50"/>
      <c r="I628" s="50"/>
      <c r="J628" s="51"/>
      <c r="K628" t="s">
        <v>848</v>
      </c>
      <c r="L628">
        <v>264522</v>
      </c>
      <c r="M628">
        <v>312136</v>
      </c>
      <c r="N628">
        <v>0</v>
      </c>
      <c r="O628">
        <v>0</v>
      </c>
      <c r="Q628">
        <v>0</v>
      </c>
      <c r="R628">
        <v>0</v>
      </c>
      <c r="T628">
        <v>264522</v>
      </c>
      <c r="U628">
        <v>102</v>
      </c>
      <c r="V628" t="s">
        <v>23115</v>
      </c>
      <c r="W628" t="s">
        <v>102</v>
      </c>
      <c r="X628" t="s">
        <v>103</v>
      </c>
      <c r="Y628" t="s">
        <v>104</v>
      </c>
      <c r="AA628" t="s">
        <v>12145</v>
      </c>
      <c r="AB628" t="s">
        <v>23116</v>
      </c>
      <c r="AC628" t="s">
        <v>21857</v>
      </c>
      <c r="AD628" t="s">
        <v>23117</v>
      </c>
      <c r="AE628" t="s">
        <v>109</v>
      </c>
      <c r="AF628" t="s">
        <v>102</v>
      </c>
      <c r="AG628" t="s">
        <v>109</v>
      </c>
      <c r="AH628" t="s">
        <v>102</v>
      </c>
      <c r="AI628" t="s">
        <v>102</v>
      </c>
      <c r="AJ628" t="s">
        <v>12145</v>
      </c>
      <c r="AK628" t="s">
        <v>20234</v>
      </c>
      <c r="AL628" t="s">
        <v>25362</v>
      </c>
      <c r="AM628" t="s">
        <v>2980</v>
      </c>
      <c r="AN628" t="s">
        <v>25363</v>
      </c>
      <c r="AO628" t="s">
        <v>23118</v>
      </c>
      <c r="AP628" t="s">
        <v>23118</v>
      </c>
      <c r="AU628" t="s">
        <v>102</v>
      </c>
      <c r="AW628" t="s">
        <v>102</v>
      </c>
      <c r="AX628" t="s">
        <v>119</v>
      </c>
      <c r="BA628" t="s">
        <v>250</v>
      </c>
      <c r="BB628" t="s">
        <v>120</v>
      </c>
      <c r="BC628" t="s">
        <v>2127</v>
      </c>
      <c r="BD628" t="s">
        <v>621</v>
      </c>
      <c r="BE628" t="s">
        <v>622</v>
      </c>
      <c r="BF628" t="s">
        <v>976</v>
      </c>
      <c r="BG628" t="s">
        <v>124</v>
      </c>
      <c r="BH628" t="s">
        <v>12250</v>
      </c>
      <c r="BI628" t="s">
        <v>21667</v>
      </c>
      <c r="BJ628" t="s">
        <v>127</v>
      </c>
      <c r="BK628" t="s">
        <v>23119</v>
      </c>
      <c r="BL628" t="s">
        <v>20846</v>
      </c>
      <c r="BM628" t="s">
        <v>23120</v>
      </c>
      <c r="BN628" t="s">
        <v>13772</v>
      </c>
      <c r="BO628" t="s">
        <v>13638</v>
      </c>
      <c r="BP628" t="s">
        <v>132</v>
      </c>
      <c r="BQ628" t="s">
        <v>13639</v>
      </c>
      <c r="BR628" t="s">
        <v>13640</v>
      </c>
      <c r="BS628" t="s">
        <v>2847</v>
      </c>
      <c r="BU628" t="s">
        <v>23121</v>
      </c>
      <c r="BV628" t="s">
        <v>23122</v>
      </c>
      <c r="BW628" t="s">
        <v>354</v>
      </c>
      <c r="BX628" t="s">
        <v>20850</v>
      </c>
      <c r="BY628" t="s">
        <v>20851</v>
      </c>
      <c r="BZ628" t="s">
        <v>20852</v>
      </c>
      <c r="CA628" t="s">
        <v>23122</v>
      </c>
      <c r="CB628" t="s">
        <v>20850</v>
      </c>
      <c r="CC628" t="s">
        <v>20851</v>
      </c>
      <c r="CD628" t="s">
        <v>23122</v>
      </c>
      <c r="CE628" t="s">
        <v>20850</v>
      </c>
      <c r="CF628" t="s">
        <v>20851</v>
      </c>
      <c r="CG628" t="s">
        <v>20854</v>
      </c>
      <c r="CH628" t="s">
        <v>20855</v>
      </c>
      <c r="CJ628" t="s">
        <v>20856</v>
      </c>
      <c r="CK628" t="s">
        <v>20857</v>
      </c>
      <c r="CL628" t="s">
        <v>2127</v>
      </c>
      <c r="CM628" t="s">
        <v>621</v>
      </c>
      <c r="CN628" t="s">
        <v>20856</v>
      </c>
      <c r="CP628" t="s">
        <v>20858</v>
      </c>
      <c r="CQ628" t="s">
        <v>20858</v>
      </c>
    </row>
    <row r="629" spans="1:95" customFormat="1">
      <c r="A629" t="s">
        <v>337</v>
      </c>
      <c r="B629">
        <v>5099788</v>
      </c>
      <c r="C629" s="50"/>
      <c r="D629" t="s">
        <v>20874</v>
      </c>
      <c r="E629" s="50"/>
      <c r="I629" s="50"/>
      <c r="J629" s="51"/>
      <c r="K629" t="s">
        <v>193</v>
      </c>
      <c r="L629">
        <v>194721</v>
      </c>
      <c r="M629">
        <v>194721</v>
      </c>
      <c r="N629">
        <v>194721</v>
      </c>
      <c r="O629">
        <v>214</v>
      </c>
      <c r="P629" t="s">
        <v>1798</v>
      </c>
      <c r="Q629">
        <v>0</v>
      </c>
      <c r="R629">
        <v>0</v>
      </c>
      <c r="T629">
        <v>0</v>
      </c>
      <c r="U629">
        <v>60</v>
      </c>
      <c r="V629" t="s">
        <v>102</v>
      </c>
      <c r="W629" t="s">
        <v>102</v>
      </c>
      <c r="X629" t="s">
        <v>679</v>
      </c>
      <c r="Y629" t="s">
        <v>104</v>
      </c>
      <c r="Z629" t="s">
        <v>14059</v>
      </c>
      <c r="AA629" t="s">
        <v>23608</v>
      </c>
      <c r="AB629" t="s">
        <v>23609</v>
      </c>
      <c r="AC629" t="s">
        <v>22019</v>
      </c>
      <c r="AD629" t="s">
        <v>23609</v>
      </c>
      <c r="AE629" t="s">
        <v>109</v>
      </c>
      <c r="AF629" t="s">
        <v>102</v>
      </c>
      <c r="AG629" t="s">
        <v>109</v>
      </c>
      <c r="AH629" t="s">
        <v>102</v>
      </c>
      <c r="AI629" t="s">
        <v>102</v>
      </c>
      <c r="AL629" t="s">
        <v>102</v>
      </c>
      <c r="AM629" t="s">
        <v>102</v>
      </c>
      <c r="AN629" t="s">
        <v>102</v>
      </c>
      <c r="AO629" t="s">
        <v>23610</v>
      </c>
      <c r="AP629" t="s">
        <v>23610</v>
      </c>
      <c r="AU629" t="s">
        <v>207</v>
      </c>
      <c r="AV629" t="s">
        <v>118</v>
      </c>
      <c r="AW629" t="s">
        <v>102</v>
      </c>
      <c r="AX629" t="s">
        <v>119</v>
      </c>
      <c r="BA629" t="s">
        <v>250</v>
      </c>
      <c r="BB629" t="s">
        <v>120</v>
      </c>
      <c r="BC629" t="s">
        <v>2127</v>
      </c>
      <c r="BD629" t="s">
        <v>621</v>
      </c>
      <c r="BE629" t="s">
        <v>622</v>
      </c>
      <c r="BF629" t="s">
        <v>976</v>
      </c>
      <c r="BG629" t="s">
        <v>124</v>
      </c>
      <c r="BH629" t="s">
        <v>23611</v>
      </c>
      <c r="BI629" t="s">
        <v>23612</v>
      </c>
      <c r="BJ629" t="s">
        <v>23591</v>
      </c>
      <c r="BK629" t="s">
        <v>23613</v>
      </c>
      <c r="BL629" t="s">
        <v>20879</v>
      </c>
      <c r="BM629" t="s">
        <v>23614</v>
      </c>
      <c r="BN629" t="s">
        <v>23606</v>
      </c>
      <c r="BO629" t="s">
        <v>13638</v>
      </c>
      <c r="BP629" t="s">
        <v>132</v>
      </c>
      <c r="BQ629" t="s">
        <v>13639</v>
      </c>
      <c r="BR629" t="s">
        <v>13640</v>
      </c>
      <c r="BS629" t="s">
        <v>2847</v>
      </c>
      <c r="BU629" t="s">
        <v>23615</v>
      </c>
      <c r="BV629" t="s">
        <v>23616</v>
      </c>
      <c r="BW629" t="s">
        <v>598</v>
      </c>
      <c r="BX629" t="s">
        <v>23617</v>
      </c>
      <c r="BY629" t="s">
        <v>23618</v>
      </c>
      <c r="BZ629" t="s">
        <v>20882</v>
      </c>
      <c r="CA629" t="s">
        <v>23619</v>
      </c>
      <c r="CB629" t="s">
        <v>18453</v>
      </c>
      <c r="CC629" t="s">
        <v>23620</v>
      </c>
      <c r="CD629" t="s">
        <v>23621</v>
      </c>
      <c r="CE629" t="s">
        <v>23622</v>
      </c>
      <c r="CF629" t="s">
        <v>23620</v>
      </c>
      <c r="CG629" t="s">
        <v>18457</v>
      </c>
      <c r="CH629" t="s">
        <v>18458</v>
      </c>
      <c r="CJ629" t="s">
        <v>18459</v>
      </c>
      <c r="CK629" t="s">
        <v>20886</v>
      </c>
      <c r="CL629" t="s">
        <v>2127</v>
      </c>
      <c r="CM629" t="s">
        <v>621</v>
      </c>
      <c r="CN629" t="s">
        <v>20887</v>
      </c>
      <c r="CO629" t="s">
        <v>18461</v>
      </c>
      <c r="CP629" t="s">
        <v>20888</v>
      </c>
      <c r="CQ629" t="s">
        <v>20889</v>
      </c>
    </row>
    <row r="630" spans="1:95" customFormat="1">
      <c r="A630" t="s">
        <v>337</v>
      </c>
      <c r="B630">
        <v>5104191</v>
      </c>
      <c r="C630" s="50"/>
      <c r="D630" t="s">
        <v>23135</v>
      </c>
      <c r="E630" s="50"/>
      <c r="I630" s="50"/>
      <c r="J630" s="51"/>
      <c r="K630" t="s">
        <v>643</v>
      </c>
      <c r="L630">
        <v>575072</v>
      </c>
      <c r="M630">
        <v>632752</v>
      </c>
      <c r="N630">
        <v>0</v>
      </c>
      <c r="O630">
        <v>0</v>
      </c>
      <c r="Q630">
        <v>254625</v>
      </c>
      <c r="R630">
        <v>150</v>
      </c>
      <c r="S630" t="s">
        <v>23137</v>
      </c>
      <c r="T630">
        <v>320447</v>
      </c>
      <c r="U630">
        <v>270</v>
      </c>
      <c r="V630" t="s">
        <v>23138</v>
      </c>
      <c r="W630" t="s">
        <v>102</v>
      </c>
      <c r="X630" t="s">
        <v>103</v>
      </c>
      <c r="Y630" t="s">
        <v>155</v>
      </c>
      <c r="AA630" t="s">
        <v>12250</v>
      </c>
      <c r="AB630" t="s">
        <v>23139</v>
      </c>
      <c r="AC630" t="s">
        <v>21826</v>
      </c>
      <c r="AD630" t="s">
        <v>23139</v>
      </c>
      <c r="AE630" t="s">
        <v>21828</v>
      </c>
      <c r="AF630" t="s">
        <v>23139</v>
      </c>
      <c r="AG630" t="s">
        <v>21821</v>
      </c>
      <c r="AH630" t="s">
        <v>23139</v>
      </c>
      <c r="AI630" t="s">
        <v>102</v>
      </c>
      <c r="AJ630" t="s">
        <v>17126</v>
      </c>
      <c r="AK630" t="s">
        <v>17126</v>
      </c>
      <c r="AL630" t="s">
        <v>23139</v>
      </c>
      <c r="AM630" t="s">
        <v>5007</v>
      </c>
      <c r="AN630" t="s">
        <v>24593</v>
      </c>
      <c r="AO630" t="s">
        <v>23140</v>
      </c>
      <c r="AP630" t="s">
        <v>23140</v>
      </c>
      <c r="AU630" t="s">
        <v>102</v>
      </c>
      <c r="AW630" t="s">
        <v>655</v>
      </c>
      <c r="AX630" t="s">
        <v>249</v>
      </c>
      <c r="AY630" t="s">
        <v>170</v>
      </c>
      <c r="AZ630" t="s">
        <v>118</v>
      </c>
      <c r="BA630" t="s">
        <v>250</v>
      </c>
      <c r="BB630" t="s">
        <v>120</v>
      </c>
      <c r="BC630" t="s">
        <v>21830</v>
      </c>
      <c r="BD630" t="s">
        <v>1208</v>
      </c>
      <c r="BE630" t="s">
        <v>174</v>
      </c>
      <c r="BF630" t="s">
        <v>1172</v>
      </c>
      <c r="BG630" t="s">
        <v>124</v>
      </c>
      <c r="BH630" t="s">
        <v>12250</v>
      </c>
      <c r="BI630" t="s">
        <v>21667</v>
      </c>
      <c r="BJ630" t="s">
        <v>127</v>
      </c>
      <c r="BK630" t="s">
        <v>23141</v>
      </c>
      <c r="BL630" t="s">
        <v>23142</v>
      </c>
      <c r="BM630" t="s">
        <v>23143</v>
      </c>
      <c r="BN630" t="s">
        <v>14415</v>
      </c>
      <c r="BO630" t="s">
        <v>1212</v>
      </c>
      <c r="BP630" t="s">
        <v>180</v>
      </c>
      <c r="BQ630" t="s">
        <v>1213</v>
      </c>
      <c r="BR630" t="s">
        <v>1214</v>
      </c>
      <c r="BS630" t="s">
        <v>7515</v>
      </c>
      <c r="BU630" t="s">
        <v>23144</v>
      </c>
      <c r="BV630" t="s">
        <v>23145</v>
      </c>
      <c r="BW630" t="s">
        <v>354</v>
      </c>
      <c r="BX630" t="s">
        <v>23146</v>
      </c>
      <c r="BY630" t="s">
        <v>23147</v>
      </c>
      <c r="BZ630" t="s">
        <v>23146</v>
      </c>
      <c r="CA630" t="s">
        <v>23148</v>
      </c>
      <c r="CB630" t="s">
        <v>23146</v>
      </c>
      <c r="CC630" t="s">
        <v>23149</v>
      </c>
      <c r="CD630" t="s">
        <v>23148</v>
      </c>
      <c r="CE630" t="s">
        <v>23146</v>
      </c>
      <c r="CF630" t="s">
        <v>23149</v>
      </c>
      <c r="CG630" t="s">
        <v>1538</v>
      </c>
      <c r="CH630" t="s">
        <v>23150</v>
      </c>
      <c r="CJ630" t="s">
        <v>23151</v>
      </c>
      <c r="CK630" t="s">
        <v>23152</v>
      </c>
      <c r="CL630" t="s">
        <v>21830</v>
      </c>
      <c r="CM630" t="s">
        <v>1208</v>
      </c>
      <c r="CN630" t="s">
        <v>23151</v>
      </c>
      <c r="CP630" t="s">
        <v>23152</v>
      </c>
      <c r="CQ630" t="s">
        <v>23152</v>
      </c>
    </row>
    <row r="631" spans="1:95" customFormat="1">
      <c r="A631" t="s">
        <v>337</v>
      </c>
      <c r="B631">
        <v>5104349</v>
      </c>
      <c r="C631" s="50"/>
      <c r="D631" t="s">
        <v>23153</v>
      </c>
      <c r="E631" s="50"/>
      <c r="I631" s="50"/>
      <c r="J631" s="51"/>
      <c r="K631" t="s">
        <v>848</v>
      </c>
      <c r="L631">
        <v>356021</v>
      </c>
      <c r="M631">
        <v>420105</v>
      </c>
      <c r="N631">
        <v>0</v>
      </c>
      <c r="O631">
        <v>0</v>
      </c>
      <c r="Q631">
        <v>0</v>
      </c>
      <c r="R631">
        <v>0</v>
      </c>
      <c r="T631">
        <v>356021</v>
      </c>
      <c r="U631">
        <v>350</v>
      </c>
      <c r="V631" t="s">
        <v>3924</v>
      </c>
      <c r="W631" t="s">
        <v>102</v>
      </c>
      <c r="X631" t="s">
        <v>103</v>
      </c>
      <c r="Y631" t="s">
        <v>155</v>
      </c>
      <c r="AA631" t="s">
        <v>12250</v>
      </c>
      <c r="AB631" t="s">
        <v>23155</v>
      </c>
      <c r="AC631" t="s">
        <v>21664</v>
      </c>
      <c r="AD631" t="s">
        <v>23155</v>
      </c>
      <c r="AE631" t="s">
        <v>21665</v>
      </c>
      <c r="AF631" t="s">
        <v>23155</v>
      </c>
      <c r="AG631" t="s">
        <v>21687</v>
      </c>
      <c r="AH631" t="s">
        <v>23155</v>
      </c>
      <c r="AI631" t="s">
        <v>102</v>
      </c>
      <c r="AJ631" t="s">
        <v>17302</v>
      </c>
      <c r="AK631" t="s">
        <v>17302</v>
      </c>
      <c r="AL631" t="s">
        <v>23155</v>
      </c>
      <c r="AM631" t="s">
        <v>1221</v>
      </c>
      <c r="AN631" t="s">
        <v>24594</v>
      </c>
      <c r="AO631" t="s">
        <v>2353</v>
      </c>
      <c r="AP631" t="s">
        <v>2353</v>
      </c>
      <c r="AU631" t="s">
        <v>102</v>
      </c>
      <c r="AW631" t="s">
        <v>102</v>
      </c>
      <c r="AX631" t="s">
        <v>119</v>
      </c>
      <c r="BA631" t="s">
        <v>250</v>
      </c>
      <c r="BB631" t="s">
        <v>120</v>
      </c>
      <c r="BC631" t="s">
        <v>375</v>
      </c>
      <c r="BD631" t="s">
        <v>376</v>
      </c>
      <c r="BE631" t="s">
        <v>174</v>
      </c>
      <c r="BF631" t="s">
        <v>376</v>
      </c>
      <c r="BG631" t="s">
        <v>124</v>
      </c>
      <c r="BH631" t="s">
        <v>12250</v>
      </c>
      <c r="BI631" t="s">
        <v>21667</v>
      </c>
      <c r="BJ631" t="s">
        <v>127</v>
      </c>
      <c r="BK631" t="s">
        <v>23156</v>
      </c>
      <c r="BL631" t="s">
        <v>23157</v>
      </c>
      <c r="BM631" t="s">
        <v>23158</v>
      </c>
      <c r="BN631" t="s">
        <v>12859</v>
      </c>
      <c r="BO631" t="s">
        <v>22828</v>
      </c>
      <c r="BP631" t="s">
        <v>180</v>
      </c>
      <c r="BQ631" t="s">
        <v>22829</v>
      </c>
      <c r="BR631" t="s">
        <v>22830</v>
      </c>
      <c r="BS631" t="s">
        <v>1834</v>
      </c>
      <c r="BU631" t="s">
        <v>23159</v>
      </c>
      <c r="BV631" t="s">
        <v>23160</v>
      </c>
      <c r="BW631" t="s">
        <v>138</v>
      </c>
      <c r="BX631" t="s">
        <v>23161</v>
      </c>
      <c r="BY631" t="s">
        <v>23162</v>
      </c>
      <c r="BZ631" t="s">
        <v>23163</v>
      </c>
      <c r="CA631" t="s">
        <v>23160</v>
      </c>
      <c r="CB631" t="s">
        <v>23161</v>
      </c>
      <c r="CC631" t="s">
        <v>23162</v>
      </c>
      <c r="CD631" t="s">
        <v>23160</v>
      </c>
      <c r="CE631" t="s">
        <v>23161</v>
      </c>
      <c r="CF631" t="s">
        <v>23162</v>
      </c>
      <c r="CG631" t="s">
        <v>102</v>
      </c>
      <c r="CH631" t="s">
        <v>23164</v>
      </c>
      <c r="CJ631" t="s">
        <v>23165</v>
      </c>
      <c r="CL631" t="s">
        <v>375</v>
      </c>
      <c r="CM631" t="s">
        <v>376</v>
      </c>
      <c r="CN631" t="s">
        <v>23165</v>
      </c>
      <c r="CP631" t="s">
        <v>23164</v>
      </c>
      <c r="CQ631" t="s">
        <v>23166</v>
      </c>
    </row>
    <row r="632" spans="1:95" customFormat="1">
      <c r="A632" t="s">
        <v>337</v>
      </c>
      <c r="B632">
        <v>5106830</v>
      </c>
      <c r="C632" s="50"/>
      <c r="D632" t="s">
        <v>23167</v>
      </c>
      <c r="E632" s="50"/>
      <c r="I632" s="50"/>
      <c r="J632" s="51"/>
      <c r="K632" t="s">
        <v>193</v>
      </c>
      <c r="L632">
        <v>222009</v>
      </c>
      <c r="M632">
        <v>254411</v>
      </c>
      <c r="N632">
        <v>42000</v>
      </c>
      <c r="O632">
        <v>50</v>
      </c>
      <c r="P632" t="s">
        <v>1872</v>
      </c>
      <c r="Q632">
        <v>0</v>
      </c>
      <c r="R632">
        <v>0</v>
      </c>
      <c r="T632">
        <v>180009</v>
      </c>
      <c r="U632">
        <v>75</v>
      </c>
      <c r="V632" t="s">
        <v>4372</v>
      </c>
      <c r="W632" t="s">
        <v>102</v>
      </c>
      <c r="X632" t="s">
        <v>275</v>
      </c>
      <c r="Z632" t="s">
        <v>24597</v>
      </c>
      <c r="AA632" t="s">
        <v>109</v>
      </c>
      <c r="AB632" t="s">
        <v>102</v>
      </c>
      <c r="AC632" t="s">
        <v>109</v>
      </c>
      <c r="AD632" t="s">
        <v>102</v>
      </c>
      <c r="AE632" t="s">
        <v>109</v>
      </c>
      <c r="AF632" t="s">
        <v>102</v>
      </c>
      <c r="AG632" t="s">
        <v>109</v>
      </c>
      <c r="AH632" t="s">
        <v>102</v>
      </c>
      <c r="AI632" t="s">
        <v>102</v>
      </c>
      <c r="AJ632" t="s">
        <v>13131</v>
      </c>
      <c r="AK632" t="s">
        <v>13131</v>
      </c>
      <c r="AL632" t="s">
        <v>24598</v>
      </c>
      <c r="AM632" t="s">
        <v>24599</v>
      </c>
      <c r="AN632" t="s">
        <v>24600</v>
      </c>
      <c r="AO632" t="s">
        <v>24601</v>
      </c>
      <c r="AP632" t="s">
        <v>24602</v>
      </c>
      <c r="AQ632" t="s">
        <v>102</v>
      </c>
      <c r="AR632" t="s">
        <v>102</v>
      </c>
      <c r="AS632" t="s">
        <v>102</v>
      </c>
      <c r="AT632" t="s">
        <v>102</v>
      </c>
      <c r="AU632" t="s">
        <v>318</v>
      </c>
      <c r="AV632" t="s">
        <v>118</v>
      </c>
      <c r="AW632" t="s">
        <v>102</v>
      </c>
      <c r="AX632" t="s">
        <v>119</v>
      </c>
      <c r="BA632" t="s">
        <v>250</v>
      </c>
      <c r="BB632" t="s">
        <v>120</v>
      </c>
      <c r="BC632" t="s">
        <v>4889</v>
      </c>
      <c r="BD632" t="s">
        <v>730</v>
      </c>
      <c r="BE632" t="s">
        <v>622</v>
      </c>
      <c r="BF632" t="s">
        <v>730</v>
      </c>
      <c r="BG632" t="s">
        <v>124</v>
      </c>
      <c r="BH632" t="s">
        <v>12250</v>
      </c>
      <c r="BI632" t="s">
        <v>21667</v>
      </c>
      <c r="BJ632" t="s">
        <v>127</v>
      </c>
      <c r="BK632" t="s">
        <v>24603</v>
      </c>
      <c r="BL632" t="s">
        <v>23168</v>
      </c>
      <c r="BM632" t="s">
        <v>23169</v>
      </c>
      <c r="BN632" t="s">
        <v>24595</v>
      </c>
      <c r="BO632" t="s">
        <v>5197</v>
      </c>
      <c r="BP632" t="s">
        <v>696</v>
      </c>
      <c r="BQ632" t="s">
        <v>5198</v>
      </c>
      <c r="BR632" t="s">
        <v>5199</v>
      </c>
      <c r="BS632" t="s">
        <v>5199</v>
      </c>
      <c r="BU632" t="s">
        <v>24604</v>
      </c>
      <c r="BV632" t="s">
        <v>23170</v>
      </c>
      <c r="BW632" t="s">
        <v>138</v>
      </c>
      <c r="BX632" t="s">
        <v>23171</v>
      </c>
      <c r="BY632" t="s">
        <v>23172</v>
      </c>
      <c r="BZ632" t="s">
        <v>23173</v>
      </c>
      <c r="CA632" t="s">
        <v>23174</v>
      </c>
      <c r="CB632" t="s">
        <v>23173</v>
      </c>
      <c r="CC632" t="s">
        <v>23172</v>
      </c>
      <c r="CD632" t="s">
        <v>23174</v>
      </c>
      <c r="CE632" t="s">
        <v>23173</v>
      </c>
      <c r="CF632" t="s">
        <v>23172</v>
      </c>
      <c r="CG632" t="s">
        <v>23175</v>
      </c>
      <c r="CH632" t="s">
        <v>23176</v>
      </c>
      <c r="CJ632" t="s">
        <v>6762</v>
      </c>
      <c r="CK632" t="s">
        <v>23177</v>
      </c>
      <c r="CL632" t="s">
        <v>4889</v>
      </c>
      <c r="CM632" t="s">
        <v>730</v>
      </c>
      <c r="CN632" t="s">
        <v>6762</v>
      </c>
      <c r="CP632" t="s">
        <v>23178</v>
      </c>
      <c r="CQ632" t="s">
        <v>23178</v>
      </c>
    </row>
    <row r="633" spans="1:95" customFormat="1">
      <c r="A633" t="s">
        <v>337</v>
      </c>
      <c r="B633">
        <v>5107149</v>
      </c>
      <c r="C633" s="50"/>
      <c r="D633" t="s">
        <v>23179</v>
      </c>
      <c r="E633" s="50"/>
      <c r="I633" s="50"/>
      <c r="J633" s="51"/>
      <c r="K633" t="s">
        <v>643</v>
      </c>
      <c r="L633">
        <v>504938</v>
      </c>
      <c r="M633">
        <v>520235</v>
      </c>
      <c r="N633">
        <v>0</v>
      </c>
      <c r="O633">
        <v>0</v>
      </c>
      <c r="Q633">
        <v>419952</v>
      </c>
      <c r="R633">
        <v>300</v>
      </c>
      <c r="S633" t="s">
        <v>4289</v>
      </c>
      <c r="T633">
        <v>84986</v>
      </c>
      <c r="U633">
        <v>50</v>
      </c>
      <c r="V633" t="s">
        <v>1469</v>
      </c>
      <c r="W633" t="s">
        <v>102</v>
      </c>
      <c r="X633" t="s">
        <v>103</v>
      </c>
      <c r="Y633" t="s">
        <v>155</v>
      </c>
      <c r="AA633" t="s">
        <v>21711</v>
      </c>
      <c r="AB633" t="s">
        <v>23181</v>
      </c>
      <c r="AC633" t="s">
        <v>12720</v>
      </c>
      <c r="AD633" t="s">
        <v>23181</v>
      </c>
      <c r="AE633" t="s">
        <v>21686</v>
      </c>
      <c r="AF633" t="s">
        <v>23181</v>
      </c>
      <c r="AG633" t="s">
        <v>21687</v>
      </c>
      <c r="AH633" t="s">
        <v>23181</v>
      </c>
      <c r="AI633" t="s">
        <v>102</v>
      </c>
      <c r="AJ633" t="s">
        <v>12716</v>
      </c>
      <c r="AK633" t="s">
        <v>12716</v>
      </c>
      <c r="AL633" t="s">
        <v>23181</v>
      </c>
      <c r="AM633" t="s">
        <v>9607</v>
      </c>
      <c r="AN633" t="s">
        <v>23182</v>
      </c>
      <c r="AO633" t="s">
        <v>23183</v>
      </c>
      <c r="AP633" t="s">
        <v>23183</v>
      </c>
      <c r="AU633" t="s">
        <v>102</v>
      </c>
      <c r="AW633" t="s">
        <v>655</v>
      </c>
      <c r="AX633" t="s">
        <v>119</v>
      </c>
      <c r="AY633" t="s">
        <v>170</v>
      </c>
      <c r="AZ633" t="s">
        <v>118</v>
      </c>
      <c r="BA633" t="s">
        <v>250</v>
      </c>
      <c r="BB633" t="s">
        <v>120</v>
      </c>
      <c r="BC633" t="s">
        <v>23184</v>
      </c>
      <c r="BD633" t="s">
        <v>252</v>
      </c>
      <c r="BE633" t="s">
        <v>122</v>
      </c>
      <c r="BF633" t="s">
        <v>253</v>
      </c>
      <c r="BG633" t="s">
        <v>124</v>
      </c>
      <c r="BH633" t="s">
        <v>21784</v>
      </c>
      <c r="BI633" t="s">
        <v>21667</v>
      </c>
      <c r="BJ633" t="s">
        <v>127</v>
      </c>
      <c r="BK633" t="s">
        <v>23185</v>
      </c>
      <c r="BL633" t="s">
        <v>23186</v>
      </c>
      <c r="BM633" t="s">
        <v>23187</v>
      </c>
      <c r="BN633" t="s">
        <v>21711</v>
      </c>
      <c r="BO633" t="s">
        <v>12453</v>
      </c>
      <c r="BP633" t="s">
        <v>505</v>
      </c>
      <c r="BQ633" t="s">
        <v>12454</v>
      </c>
      <c r="BR633" t="s">
        <v>12455</v>
      </c>
      <c r="BS633" t="s">
        <v>1111</v>
      </c>
      <c r="BT633" t="s">
        <v>1111</v>
      </c>
      <c r="BU633" t="s">
        <v>23188</v>
      </c>
      <c r="BV633" t="s">
        <v>23189</v>
      </c>
      <c r="BW633" t="s">
        <v>354</v>
      </c>
      <c r="BX633" t="s">
        <v>23190</v>
      </c>
      <c r="BY633" t="s">
        <v>23191</v>
      </c>
      <c r="BZ633" t="s">
        <v>23190</v>
      </c>
      <c r="CA633" t="s">
        <v>23192</v>
      </c>
      <c r="CB633" t="s">
        <v>23190</v>
      </c>
      <c r="CC633" t="s">
        <v>23193</v>
      </c>
      <c r="CD633" t="s">
        <v>23192</v>
      </c>
      <c r="CE633" t="s">
        <v>23190</v>
      </c>
      <c r="CF633" t="s">
        <v>23193</v>
      </c>
      <c r="CG633" t="s">
        <v>102</v>
      </c>
      <c r="CH633" t="s">
        <v>23194</v>
      </c>
      <c r="CJ633" t="s">
        <v>23195</v>
      </c>
      <c r="CL633" t="s">
        <v>23184</v>
      </c>
      <c r="CM633" t="s">
        <v>252</v>
      </c>
      <c r="CN633" t="s">
        <v>23195</v>
      </c>
      <c r="CP633" t="s">
        <v>23196</v>
      </c>
      <c r="CQ633" t="s">
        <v>23196</v>
      </c>
    </row>
    <row r="634" spans="1:95" customFormat="1">
      <c r="A634" t="s">
        <v>337</v>
      </c>
      <c r="B634">
        <v>5107387</v>
      </c>
      <c r="C634" s="50"/>
      <c r="D634" t="s">
        <v>23197</v>
      </c>
      <c r="E634" s="50"/>
      <c r="I634" s="50"/>
      <c r="J634" s="51"/>
      <c r="K634" t="s">
        <v>848</v>
      </c>
      <c r="L634">
        <v>381543</v>
      </c>
      <c r="M634">
        <v>450221</v>
      </c>
      <c r="N634">
        <v>0</v>
      </c>
      <c r="O634">
        <v>0</v>
      </c>
      <c r="Q634">
        <v>0</v>
      </c>
      <c r="R634">
        <v>0</v>
      </c>
      <c r="T634">
        <v>381543</v>
      </c>
      <c r="U634">
        <v>350</v>
      </c>
      <c r="V634" t="s">
        <v>14424</v>
      </c>
      <c r="W634" t="s">
        <v>102</v>
      </c>
      <c r="X634" t="s">
        <v>103</v>
      </c>
      <c r="Y634" t="s">
        <v>155</v>
      </c>
      <c r="AA634" t="s">
        <v>19723</v>
      </c>
      <c r="AB634" t="s">
        <v>23199</v>
      </c>
      <c r="AC634" t="s">
        <v>22188</v>
      </c>
      <c r="AD634" t="s">
        <v>23199</v>
      </c>
      <c r="AE634" t="s">
        <v>22190</v>
      </c>
      <c r="AF634" t="s">
        <v>23199</v>
      </c>
      <c r="AG634" t="s">
        <v>21872</v>
      </c>
      <c r="AH634" t="s">
        <v>23199</v>
      </c>
      <c r="AI634" t="s">
        <v>102</v>
      </c>
      <c r="AJ634" t="s">
        <v>15141</v>
      </c>
      <c r="AK634" t="s">
        <v>15141</v>
      </c>
      <c r="AL634" t="s">
        <v>23199</v>
      </c>
      <c r="AM634" t="s">
        <v>23200</v>
      </c>
      <c r="AN634" t="s">
        <v>23201</v>
      </c>
      <c r="AO634" t="s">
        <v>23202</v>
      </c>
      <c r="AP634" t="s">
        <v>23202</v>
      </c>
      <c r="AU634" t="s">
        <v>102</v>
      </c>
      <c r="AW634" t="s">
        <v>102</v>
      </c>
      <c r="AX634" t="s">
        <v>119</v>
      </c>
      <c r="BA634" t="s">
        <v>250</v>
      </c>
      <c r="BB634" t="s">
        <v>120</v>
      </c>
      <c r="BC634" t="s">
        <v>3239</v>
      </c>
      <c r="BD634" t="s">
        <v>449</v>
      </c>
      <c r="BE634" t="s">
        <v>122</v>
      </c>
      <c r="BF634" t="s">
        <v>253</v>
      </c>
      <c r="BG634" t="s">
        <v>124</v>
      </c>
      <c r="BH634" t="s">
        <v>12250</v>
      </c>
      <c r="BI634" t="s">
        <v>21667</v>
      </c>
      <c r="BJ634" t="s">
        <v>127</v>
      </c>
      <c r="BK634" t="s">
        <v>23203</v>
      </c>
      <c r="BL634" t="s">
        <v>23204</v>
      </c>
      <c r="BM634" t="s">
        <v>23205</v>
      </c>
      <c r="BN634" t="s">
        <v>19723</v>
      </c>
      <c r="BO634" t="s">
        <v>3243</v>
      </c>
      <c r="BP634" t="s">
        <v>350</v>
      </c>
      <c r="BQ634" t="s">
        <v>3244</v>
      </c>
      <c r="BR634" t="s">
        <v>3245</v>
      </c>
      <c r="BS634" t="s">
        <v>1111</v>
      </c>
      <c r="BT634" t="s">
        <v>1111</v>
      </c>
      <c r="BU634" t="s">
        <v>23206</v>
      </c>
      <c r="BV634" t="s">
        <v>23207</v>
      </c>
      <c r="BW634" t="s">
        <v>354</v>
      </c>
      <c r="BX634" t="s">
        <v>23208</v>
      </c>
      <c r="BY634" t="s">
        <v>23209</v>
      </c>
      <c r="BZ634" t="s">
        <v>23210</v>
      </c>
      <c r="CA634" t="s">
        <v>23207</v>
      </c>
      <c r="CB634" t="s">
        <v>23208</v>
      </c>
      <c r="CC634" t="s">
        <v>23209</v>
      </c>
      <c r="CD634" t="s">
        <v>23207</v>
      </c>
      <c r="CE634" t="s">
        <v>23208</v>
      </c>
      <c r="CF634" t="s">
        <v>23209</v>
      </c>
      <c r="CG634" t="s">
        <v>102</v>
      </c>
      <c r="CH634" t="s">
        <v>23211</v>
      </c>
      <c r="CJ634" t="s">
        <v>23212</v>
      </c>
      <c r="CL634" t="s">
        <v>3239</v>
      </c>
      <c r="CM634" t="s">
        <v>449</v>
      </c>
      <c r="CN634" t="s">
        <v>23212</v>
      </c>
      <c r="CP634" t="s">
        <v>23211</v>
      </c>
      <c r="CQ634" t="s">
        <v>23211</v>
      </c>
    </row>
    <row r="635" spans="1:95" customFormat="1">
      <c r="A635" t="s">
        <v>337</v>
      </c>
      <c r="B635">
        <v>5110316</v>
      </c>
      <c r="C635" s="50"/>
      <c r="D635" t="s">
        <v>23213</v>
      </c>
      <c r="E635" s="50"/>
      <c r="I635" s="50"/>
      <c r="J635" s="51"/>
      <c r="K635" t="s">
        <v>848</v>
      </c>
      <c r="L635">
        <v>604058</v>
      </c>
      <c r="M635">
        <v>712788</v>
      </c>
      <c r="N635">
        <v>0</v>
      </c>
      <c r="O635">
        <v>0</v>
      </c>
      <c r="Q635">
        <v>0</v>
      </c>
      <c r="R635">
        <v>0</v>
      </c>
      <c r="T635">
        <v>604058</v>
      </c>
      <c r="U635">
        <v>866</v>
      </c>
      <c r="V635" t="s">
        <v>23215</v>
      </c>
      <c r="W635" t="s">
        <v>102</v>
      </c>
      <c r="X635" t="s">
        <v>679</v>
      </c>
      <c r="Y635" t="s">
        <v>155</v>
      </c>
      <c r="Z635" t="s">
        <v>12680</v>
      </c>
      <c r="AA635" t="s">
        <v>23216</v>
      </c>
      <c r="AB635" t="s">
        <v>23217</v>
      </c>
      <c r="AC635" t="s">
        <v>21772</v>
      </c>
      <c r="AD635" t="s">
        <v>23217</v>
      </c>
      <c r="AE635" t="s">
        <v>21773</v>
      </c>
      <c r="AF635" t="s">
        <v>23217</v>
      </c>
      <c r="AG635" t="s">
        <v>21742</v>
      </c>
      <c r="AH635" t="s">
        <v>23217</v>
      </c>
      <c r="AI635" t="s">
        <v>102</v>
      </c>
      <c r="AJ635" t="s">
        <v>12716</v>
      </c>
      <c r="AK635" t="s">
        <v>26402</v>
      </c>
      <c r="AL635" t="s">
        <v>23217</v>
      </c>
      <c r="AM635" t="s">
        <v>26551</v>
      </c>
      <c r="AN635" t="s">
        <v>26552</v>
      </c>
      <c r="AO635" t="s">
        <v>23218</v>
      </c>
      <c r="AP635" t="s">
        <v>23218</v>
      </c>
      <c r="AU635" t="s">
        <v>102</v>
      </c>
      <c r="AW635" t="s">
        <v>102</v>
      </c>
      <c r="AX635" t="s">
        <v>119</v>
      </c>
      <c r="BA635" t="s">
        <v>250</v>
      </c>
      <c r="BB635" t="s">
        <v>120</v>
      </c>
      <c r="BC635" t="s">
        <v>20016</v>
      </c>
      <c r="BD635" t="s">
        <v>252</v>
      </c>
      <c r="BE635" t="s">
        <v>122</v>
      </c>
      <c r="BF635" t="s">
        <v>253</v>
      </c>
      <c r="BG635" t="s">
        <v>124</v>
      </c>
      <c r="BH635" t="s">
        <v>12250</v>
      </c>
      <c r="BI635" t="s">
        <v>21667</v>
      </c>
      <c r="BJ635" t="s">
        <v>127</v>
      </c>
      <c r="BK635" t="s">
        <v>23219</v>
      </c>
      <c r="BL635" t="s">
        <v>23220</v>
      </c>
      <c r="BM635" t="s">
        <v>23221</v>
      </c>
      <c r="BN635" t="s">
        <v>12680</v>
      </c>
      <c r="BO635" t="s">
        <v>12453</v>
      </c>
      <c r="BP635" t="s">
        <v>350</v>
      </c>
      <c r="BQ635" t="s">
        <v>12454</v>
      </c>
      <c r="BR635" t="s">
        <v>12455</v>
      </c>
      <c r="BS635" t="s">
        <v>1111</v>
      </c>
      <c r="BT635" t="s">
        <v>1111</v>
      </c>
      <c r="BU635" t="s">
        <v>23222</v>
      </c>
      <c r="BV635" t="s">
        <v>23223</v>
      </c>
      <c r="BW635" t="s">
        <v>354</v>
      </c>
      <c r="BX635" t="s">
        <v>23224</v>
      </c>
      <c r="BY635" t="s">
        <v>23225</v>
      </c>
      <c r="BZ635" t="s">
        <v>23224</v>
      </c>
      <c r="CA635" t="s">
        <v>23223</v>
      </c>
      <c r="CB635" t="s">
        <v>23224</v>
      </c>
      <c r="CC635" t="s">
        <v>23225</v>
      </c>
      <c r="CD635" t="s">
        <v>23223</v>
      </c>
      <c r="CE635" t="s">
        <v>23224</v>
      </c>
      <c r="CF635" t="s">
        <v>23225</v>
      </c>
      <c r="CG635" t="s">
        <v>5471</v>
      </c>
      <c r="CH635" t="s">
        <v>23226</v>
      </c>
      <c r="CJ635" t="s">
        <v>23227</v>
      </c>
      <c r="CK635" t="s">
        <v>23228</v>
      </c>
      <c r="CL635" t="s">
        <v>20016</v>
      </c>
      <c r="CM635" t="s">
        <v>252</v>
      </c>
      <c r="CN635" t="s">
        <v>23227</v>
      </c>
      <c r="CP635" t="s">
        <v>23229</v>
      </c>
      <c r="CQ635" t="s">
        <v>23229</v>
      </c>
    </row>
    <row r="636" spans="1:95" customFormat="1">
      <c r="A636" t="s">
        <v>337</v>
      </c>
      <c r="B636">
        <v>5110972</v>
      </c>
      <c r="C636" s="50"/>
      <c r="D636" t="s">
        <v>23230</v>
      </c>
      <c r="E636" s="50"/>
      <c r="I636" s="50"/>
      <c r="J636" s="51"/>
      <c r="K636" t="s">
        <v>97</v>
      </c>
      <c r="L636">
        <v>523800</v>
      </c>
      <c r="M636">
        <v>523800</v>
      </c>
      <c r="N636">
        <v>523800</v>
      </c>
      <c r="O636">
        <v>582</v>
      </c>
      <c r="P636" t="s">
        <v>2451</v>
      </c>
      <c r="Q636">
        <v>0</v>
      </c>
      <c r="R636">
        <v>0</v>
      </c>
      <c r="T636">
        <v>0</v>
      </c>
      <c r="U636">
        <v>0</v>
      </c>
      <c r="W636" t="s">
        <v>102</v>
      </c>
      <c r="X636" t="s">
        <v>103</v>
      </c>
      <c r="Y636" t="s">
        <v>104</v>
      </c>
      <c r="AA636" t="s">
        <v>11933</v>
      </c>
      <c r="AB636" t="s">
        <v>24608</v>
      </c>
      <c r="AC636" t="s">
        <v>12047</v>
      </c>
      <c r="AD636" t="s">
        <v>24609</v>
      </c>
      <c r="AE636" t="s">
        <v>109</v>
      </c>
      <c r="AF636" t="s">
        <v>102</v>
      </c>
      <c r="AG636" t="s">
        <v>109</v>
      </c>
      <c r="AH636" t="s">
        <v>102</v>
      </c>
      <c r="AI636" t="s">
        <v>102</v>
      </c>
      <c r="AJ636" t="s">
        <v>24940</v>
      </c>
      <c r="AK636" t="s">
        <v>24940</v>
      </c>
      <c r="AL636" t="s">
        <v>26553</v>
      </c>
      <c r="AM636" t="s">
        <v>25378</v>
      </c>
      <c r="AN636" t="s">
        <v>26554</v>
      </c>
      <c r="AO636" t="s">
        <v>554</v>
      </c>
      <c r="AP636" t="s">
        <v>24610</v>
      </c>
      <c r="AQ636" t="s">
        <v>102</v>
      </c>
      <c r="AR636" t="s">
        <v>102</v>
      </c>
      <c r="AS636" t="s">
        <v>102</v>
      </c>
      <c r="AT636" t="s">
        <v>102</v>
      </c>
      <c r="AU636" t="s">
        <v>117</v>
      </c>
      <c r="AV636" t="s">
        <v>118</v>
      </c>
      <c r="AW636" t="s">
        <v>102</v>
      </c>
      <c r="AX636" t="s">
        <v>119</v>
      </c>
      <c r="BB636" t="s">
        <v>1964</v>
      </c>
      <c r="BC636" t="s">
        <v>623</v>
      </c>
      <c r="BD636" t="s">
        <v>621</v>
      </c>
      <c r="BE636" t="s">
        <v>622</v>
      </c>
      <c r="BF636" t="s">
        <v>623</v>
      </c>
      <c r="BG636" t="s">
        <v>124</v>
      </c>
      <c r="BH636" t="s">
        <v>16558</v>
      </c>
      <c r="BI636" t="s">
        <v>24611</v>
      </c>
      <c r="BJ636" t="s">
        <v>127</v>
      </c>
      <c r="BK636" t="s">
        <v>24612</v>
      </c>
      <c r="BL636" t="s">
        <v>23232</v>
      </c>
      <c r="BM636" t="s">
        <v>23233</v>
      </c>
      <c r="BN636" t="s">
        <v>24156</v>
      </c>
      <c r="BO636" t="s">
        <v>23234</v>
      </c>
      <c r="BP636" t="s">
        <v>505</v>
      </c>
      <c r="BQ636" t="s">
        <v>23235</v>
      </c>
      <c r="BR636" t="s">
        <v>23236</v>
      </c>
      <c r="BS636" t="s">
        <v>7488</v>
      </c>
      <c r="BU636" t="s">
        <v>24613</v>
      </c>
      <c r="BV636" t="s">
        <v>23237</v>
      </c>
      <c r="BW636" t="s">
        <v>138</v>
      </c>
      <c r="BX636" t="s">
        <v>23238</v>
      </c>
      <c r="BY636" t="s">
        <v>11471</v>
      </c>
      <c r="BZ636" t="s">
        <v>23239</v>
      </c>
      <c r="CA636" t="s">
        <v>23240</v>
      </c>
      <c r="CB636" t="s">
        <v>24614</v>
      </c>
      <c r="CC636" t="s">
        <v>11471</v>
      </c>
      <c r="CD636" t="s">
        <v>24615</v>
      </c>
      <c r="CE636" t="s">
        <v>24614</v>
      </c>
      <c r="CF636" t="s">
        <v>24616</v>
      </c>
      <c r="CG636" t="s">
        <v>23241</v>
      </c>
      <c r="CH636" t="s">
        <v>23242</v>
      </c>
      <c r="CJ636" t="s">
        <v>23243</v>
      </c>
      <c r="CK636" t="s">
        <v>23242</v>
      </c>
      <c r="CL636" t="s">
        <v>623</v>
      </c>
      <c r="CM636" t="s">
        <v>621</v>
      </c>
      <c r="CN636" t="s">
        <v>23243</v>
      </c>
      <c r="CP636" t="s">
        <v>23242</v>
      </c>
      <c r="CQ636" t="s">
        <v>23242</v>
      </c>
    </row>
    <row r="637" spans="1:95" customFormat="1">
      <c r="A637" t="s">
        <v>337</v>
      </c>
      <c r="B637">
        <v>5111313</v>
      </c>
      <c r="C637" s="50"/>
      <c r="D637" t="s">
        <v>23244</v>
      </c>
      <c r="E637" s="50"/>
      <c r="I637" s="50"/>
      <c r="J637" s="51"/>
      <c r="K637" t="s">
        <v>97</v>
      </c>
      <c r="L637">
        <v>0</v>
      </c>
      <c r="M637">
        <v>0</v>
      </c>
      <c r="N637">
        <v>0</v>
      </c>
      <c r="O637">
        <v>6000</v>
      </c>
      <c r="P637" t="s">
        <v>102</v>
      </c>
      <c r="Q637">
        <v>0</v>
      </c>
      <c r="R637">
        <v>0</v>
      </c>
      <c r="T637">
        <v>0</v>
      </c>
      <c r="U637">
        <v>0</v>
      </c>
      <c r="W637" t="s">
        <v>102</v>
      </c>
      <c r="X637" t="s">
        <v>275</v>
      </c>
      <c r="Z637" t="s">
        <v>16844</v>
      </c>
      <c r="AA637" t="s">
        <v>109</v>
      </c>
      <c r="AB637" t="s">
        <v>102</v>
      </c>
      <c r="AC637" t="s">
        <v>109</v>
      </c>
      <c r="AD637" t="s">
        <v>102</v>
      </c>
      <c r="AE637" t="s">
        <v>109</v>
      </c>
      <c r="AF637" t="s">
        <v>102</v>
      </c>
      <c r="AG637" t="s">
        <v>109</v>
      </c>
      <c r="AH637" t="s">
        <v>102</v>
      </c>
      <c r="AI637" t="s">
        <v>102</v>
      </c>
      <c r="AL637" t="s">
        <v>102</v>
      </c>
      <c r="AM637" t="s">
        <v>102</v>
      </c>
      <c r="AN637" t="s">
        <v>102</v>
      </c>
      <c r="AO637" t="s">
        <v>115</v>
      </c>
      <c r="AP637" t="s">
        <v>115</v>
      </c>
      <c r="AU637" t="s">
        <v>318</v>
      </c>
      <c r="AV637" t="s">
        <v>250</v>
      </c>
      <c r="AW637" t="s">
        <v>102</v>
      </c>
      <c r="AX637" t="s">
        <v>119</v>
      </c>
      <c r="BB637" t="s">
        <v>120</v>
      </c>
      <c r="BC637" t="s">
        <v>2327</v>
      </c>
      <c r="BD637" t="s">
        <v>730</v>
      </c>
      <c r="BE637" t="s">
        <v>622</v>
      </c>
      <c r="BF637" t="s">
        <v>730</v>
      </c>
      <c r="BG637" t="s">
        <v>124</v>
      </c>
      <c r="BH637" t="s">
        <v>18155</v>
      </c>
      <c r="BI637" t="s">
        <v>21687</v>
      </c>
      <c r="BJ637" t="s">
        <v>127</v>
      </c>
      <c r="BK637" t="s">
        <v>23246</v>
      </c>
      <c r="BL637" t="s">
        <v>23247</v>
      </c>
      <c r="BM637" t="s">
        <v>23248</v>
      </c>
      <c r="BN637" t="s">
        <v>16844</v>
      </c>
      <c r="BO637" t="s">
        <v>505</v>
      </c>
      <c r="BP637" t="s">
        <v>505</v>
      </c>
      <c r="BQ637" t="s">
        <v>225</v>
      </c>
      <c r="BR637" t="s">
        <v>506</v>
      </c>
      <c r="BS637" t="s">
        <v>224</v>
      </c>
      <c r="BU637" t="s">
        <v>23249</v>
      </c>
      <c r="BV637" t="s">
        <v>23250</v>
      </c>
      <c r="BX637" t="s">
        <v>23251</v>
      </c>
      <c r="BY637" t="s">
        <v>23252</v>
      </c>
      <c r="CA637" t="s">
        <v>23253</v>
      </c>
      <c r="CB637" t="s">
        <v>23251</v>
      </c>
      <c r="CC637" t="s">
        <v>23254</v>
      </c>
      <c r="CD637" t="s">
        <v>23253</v>
      </c>
      <c r="CE637" t="s">
        <v>23251</v>
      </c>
      <c r="CF637" t="s">
        <v>23254</v>
      </c>
      <c r="CG637" t="s">
        <v>102</v>
      </c>
      <c r="CH637" t="s">
        <v>2327</v>
      </c>
      <c r="CJ637" t="s">
        <v>19062</v>
      </c>
      <c r="CL637" t="s">
        <v>2327</v>
      </c>
      <c r="CM637" t="s">
        <v>730</v>
      </c>
      <c r="CN637" t="s">
        <v>19062</v>
      </c>
      <c r="CP637" t="s">
        <v>2327</v>
      </c>
      <c r="CQ637" t="s">
        <v>2327</v>
      </c>
    </row>
    <row r="638" spans="1:95" customFormat="1">
      <c r="A638" t="s">
        <v>337</v>
      </c>
      <c r="B638">
        <v>5111427</v>
      </c>
      <c r="C638" s="50"/>
      <c r="D638" t="s">
        <v>26238</v>
      </c>
      <c r="E638" s="50"/>
      <c r="I638" s="50"/>
      <c r="J638" s="51"/>
      <c r="K638" t="s">
        <v>97</v>
      </c>
      <c r="L638">
        <v>66755</v>
      </c>
      <c r="M638">
        <v>66755</v>
      </c>
      <c r="N638">
        <v>66755</v>
      </c>
      <c r="O638">
        <v>93</v>
      </c>
      <c r="P638" t="s">
        <v>26241</v>
      </c>
      <c r="Q638">
        <v>0</v>
      </c>
      <c r="R638">
        <v>0</v>
      </c>
      <c r="T638">
        <v>0</v>
      </c>
      <c r="U638">
        <v>0</v>
      </c>
      <c r="W638" t="s">
        <v>102</v>
      </c>
      <c r="X638" t="s">
        <v>103</v>
      </c>
      <c r="Y638" t="s">
        <v>104</v>
      </c>
      <c r="AA638" t="s">
        <v>16553</v>
      </c>
      <c r="AB638" t="s">
        <v>26242</v>
      </c>
      <c r="AC638" t="s">
        <v>22188</v>
      </c>
      <c r="AD638" t="s">
        <v>26242</v>
      </c>
      <c r="AE638" t="s">
        <v>109</v>
      </c>
      <c r="AF638" t="s">
        <v>102</v>
      </c>
      <c r="AG638" t="s">
        <v>109</v>
      </c>
      <c r="AH638" t="s">
        <v>102</v>
      </c>
      <c r="AI638" t="s">
        <v>102</v>
      </c>
      <c r="AL638" t="s">
        <v>26242</v>
      </c>
      <c r="AM638" t="s">
        <v>102</v>
      </c>
      <c r="AN638" t="s">
        <v>26242</v>
      </c>
      <c r="AO638" t="s">
        <v>26243</v>
      </c>
      <c r="AP638" t="s">
        <v>26244</v>
      </c>
      <c r="AQ638" t="s">
        <v>102</v>
      </c>
      <c r="AR638" t="s">
        <v>102</v>
      </c>
      <c r="AS638" t="s">
        <v>102</v>
      </c>
      <c r="AT638" t="s">
        <v>102</v>
      </c>
      <c r="AU638" t="s">
        <v>318</v>
      </c>
      <c r="AV638" t="s">
        <v>118</v>
      </c>
      <c r="AW638" t="s">
        <v>102</v>
      </c>
      <c r="AX638" t="s">
        <v>119</v>
      </c>
      <c r="BB638" t="s">
        <v>10399</v>
      </c>
      <c r="BC638" t="s">
        <v>26245</v>
      </c>
      <c r="BD638" t="s">
        <v>730</v>
      </c>
      <c r="BE638" t="s">
        <v>622</v>
      </c>
      <c r="BF638" t="s">
        <v>730</v>
      </c>
      <c r="BG638" t="s">
        <v>124</v>
      </c>
      <c r="BH638" t="s">
        <v>12250</v>
      </c>
      <c r="BI638" t="s">
        <v>21667</v>
      </c>
      <c r="BJ638" t="s">
        <v>127</v>
      </c>
      <c r="BK638" t="s">
        <v>26246</v>
      </c>
      <c r="BL638" t="s">
        <v>26247</v>
      </c>
      <c r="BM638" t="s">
        <v>26248</v>
      </c>
      <c r="BN638" t="s">
        <v>26239</v>
      </c>
      <c r="BO638" t="s">
        <v>5197</v>
      </c>
      <c r="BP638" t="s">
        <v>350</v>
      </c>
      <c r="BQ638" t="s">
        <v>5198</v>
      </c>
      <c r="BR638" t="s">
        <v>5199</v>
      </c>
      <c r="BS638" t="s">
        <v>5199</v>
      </c>
      <c r="BU638" t="s">
        <v>26249</v>
      </c>
      <c r="BV638" t="s">
        <v>26250</v>
      </c>
      <c r="BW638" t="s">
        <v>598</v>
      </c>
      <c r="BX638" t="s">
        <v>15969</v>
      </c>
      <c r="BY638" t="s">
        <v>26251</v>
      </c>
      <c r="BZ638" t="s">
        <v>26252</v>
      </c>
      <c r="CA638" t="s">
        <v>26253</v>
      </c>
      <c r="CB638" t="s">
        <v>26252</v>
      </c>
      <c r="CC638" t="s">
        <v>26254</v>
      </c>
      <c r="CD638" t="s">
        <v>26255</v>
      </c>
      <c r="CE638" t="s">
        <v>26252</v>
      </c>
      <c r="CF638" t="s">
        <v>26251</v>
      </c>
      <c r="CG638" t="s">
        <v>334</v>
      </c>
      <c r="CH638" t="s">
        <v>26256</v>
      </c>
      <c r="CJ638" t="s">
        <v>26257</v>
      </c>
      <c r="CK638" t="s">
        <v>26256</v>
      </c>
      <c r="CL638" t="s">
        <v>26245</v>
      </c>
      <c r="CM638" t="s">
        <v>730</v>
      </c>
      <c r="CN638" t="s">
        <v>26257</v>
      </c>
      <c r="CP638" t="s">
        <v>26258</v>
      </c>
      <c r="CQ638" t="s">
        <v>26258</v>
      </c>
    </row>
    <row r="639" spans="1:95" customFormat="1">
      <c r="A639" t="s">
        <v>337</v>
      </c>
      <c r="B639">
        <v>5111791</v>
      </c>
      <c r="C639" s="50"/>
      <c r="D639" t="s">
        <v>25993</v>
      </c>
      <c r="E639" s="50"/>
      <c r="I639" s="50"/>
      <c r="J639" s="51"/>
      <c r="K639" t="s">
        <v>97</v>
      </c>
      <c r="L639">
        <v>41003</v>
      </c>
      <c r="M639">
        <v>41003</v>
      </c>
      <c r="N639">
        <v>41003</v>
      </c>
      <c r="O639">
        <v>82</v>
      </c>
      <c r="P639" t="s">
        <v>364</v>
      </c>
      <c r="Q639">
        <v>0</v>
      </c>
      <c r="R639">
        <v>0</v>
      </c>
      <c r="T639">
        <v>0</v>
      </c>
      <c r="U639">
        <v>0</v>
      </c>
      <c r="W639" t="s">
        <v>102</v>
      </c>
      <c r="X639" t="s">
        <v>275</v>
      </c>
      <c r="Z639" t="s">
        <v>18964</v>
      </c>
      <c r="AA639" t="s">
        <v>109</v>
      </c>
      <c r="AB639" t="s">
        <v>102</v>
      </c>
      <c r="AC639" t="s">
        <v>109</v>
      </c>
      <c r="AD639" t="s">
        <v>102</v>
      </c>
      <c r="AE639" t="s">
        <v>109</v>
      </c>
      <c r="AF639" t="s">
        <v>102</v>
      </c>
      <c r="AG639" t="s">
        <v>109</v>
      </c>
      <c r="AH639" t="s">
        <v>102</v>
      </c>
      <c r="AI639" t="s">
        <v>102</v>
      </c>
      <c r="AL639" t="s">
        <v>26555</v>
      </c>
      <c r="AM639" t="s">
        <v>102</v>
      </c>
      <c r="AN639" t="s">
        <v>26555</v>
      </c>
      <c r="AO639" t="s">
        <v>1785</v>
      </c>
      <c r="AP639" t="s">
        <v>25818</v>
      </c>
      <c r="AQ639" t="s">
        <v>102</v>
      </c>
      <c r="AR639" t="s">
        <v>102</v>
      </c>
      <c r="AS639" t="s">
        <v>102</v>
      </c>
      <c r="AT639" t="s">
        <v>102</v>
      </c>
      <c r="AU639" t="s">
        <v>318</v>
      </c>
      <c r="AV639" t="s">
        <v>250</v>
      </c>
      <c r="AW639" t="s">
        <v>102</v>
      </c>
      <c r="AX639" t="s">
        <v>119</v>
      </c>
      <c r="BB639" t="s">
        <v>120</v>
      </c>
      <c r="BC639" t="s">
        <v>4889</v>
      </c>
      <c r="BD639" t="s">
        <v>730</v>
      </c>
      <c r="BE639" t="s">
        <v>622</v>
      </c>
      <c r="BF639" t="s">
        <v>730</v>
      </c>
      <c r="BG639" t="s">
        <v>124</v>
      </c>
      <c r="BH639" t="s">
        <v>12250</v>
      </c>
      <c r="BI639" t="s">
        <v>21667</v>
      </c>
      <c r="BJ639" t="s">
        <v>127</v>
      </c>
      <c r="BK639" t="s">
        <v>25995</v>
      </c>
      <c r="BL639" t="s">
        <v>25996</v>
      </c>
      <c r="BM639" t="s">
        <v>25997</v>
      </c>
      <c r="BN639" t="s">
        <v>11889</v>
      </c>
      <c r="BO639" t="s">
        <v>5197</v>
      </c>
      <c r="BP639" t="s">
        <v>350</v>
      </c>
      <c r="BQ639" t="s">
        <v>5198</v>
      </c>
      <c r="BR639" t="s">
        <v>5199</v>
      </c>
      <c r="BS639" t="s">
        <v>5199</v>
      </c>
      <c r="BU639" t="s">
        <v>25998</v>
      </c>
      <c r="BV639" t="s">
        <v>25999</v>
      </c>
      <c r="BW639" t="s">
        <v>138</v>
      </c>
      <c r="BX639" t="s">
        <v>15969</v>
      </c>
      <c r="BY639" t="s">
        <v>26000</v>
      </c>
      <c r="BZ639" t="s">
        <v>26001</v>
      </c>
      <c r="CA639" t="s">
        <v>26002</v>
      </c>
      <c r="CB639" t="s">
        <v>26001</v>
      </c>
      <c r="CC639" t="s">
        <v>26000</v>
      </c>
      <c r="CD639" t="s">
        <v>26002</v>
      </c>
      <c r="CE639" t="s">
        <v>26001</v>
      </c>
      <c r="CF639" t="s">
        <v>26000</v>
      </c>
      <c r="CG639" t="s">
        <v>102</v>
      </c>
      <c r="CH639" t="s">
        <v>26003</v>
      </c>
      <c r="CJ639" t="s">
        <v>4903</v>
      </c>
      <c r="CL639" t="s">
        <v>4889</v>
      </c>
      <c r="CM639" t="s">
        <v>730</v>
      </c>
      <c r="CN639" t="s">
        <v>4903</v>
      </c>
      <c r="CP639" t="s">
        <v>26004</v>
      </c>
      <c r="CQ639" t="s">
        <v>26005</v>
      </c>
    </row>
    <row r="640" spans="1:95" customFormat="1">
      <c r="A640" t="s">
        <v>337</v>
      </c>
      <c r="B640">
        <v>5111929</v>
      </c>
      <c r="C640" s="50"/>
      <c r="D640" t="s">
        <v>23255</v>
      </c>
      <c r="E640" s="50"/>
      <c r="I640" s="50"/>
      <c r="J640" s="51"/>
      <c r="K640" t="s">
        <v>848</v>
      </c>
      <c r="L640">
        <v>457650</v>
      </c>
      <c r="M640">
        <v>540027</v>
      </c>
      <c r="N640">
        <v>0</v>
      </c>
      <c r="O640">
        <v>0</v>
      </c>
      <c r="Q640">
        <v>0</v>
      </c>
      <c r="R640">
        <v>0</v>
      </c>
      <c r="T640">
        <v>457650</v>
      </c>
      <c r="U640">
        <v>225</v>
      </c>
      <c r="V640" t="s">
        <v>1399</v>
      </c>
      <c r="W640" t="s">
        <v>102</v>
      </c>
      <c r="X640" t="s">
        <v>103</v>
      </c>
      <c r="Y640" t="s">
        <v>104</v>
      </c>
      <c r="AA640" t="s">
        <v>12931</v>
      </c>
      <c r="AB640" t="s">
        <v>23257</v>
      </c>
      <c r="AC640" t="s">
        <v>12047</v>
      </c>
      <c r="AD640" t="s">
        <v>23257</v>
      </c>
      <c r="AE640" t="s">
        <v>109</v>
      </c>
      <c r="AF640" t="s">
        <v>102</v>
      </c>
      <c r="AG640" t="s">
        <v>109</v>
      </c>
      <c r="AH640" t="s">
        <v>102</v>
      </c>
      <c r="AI640" t="s">
        <v>102</v>
      </c>
      <c r="AJ640" t="s">
        <v>16235</v>
      </c>
      <c r="AK640" t="s">
        <v>16235</v>
      </c>
      <c r="AL640" t="s">
        <v>26556</v>
      </c>
      <c r="AM640" t="s">
        <v>23257</v>
      </c>
      <c r="AN640" t="s">
        <v>23257</v>
      </c>
      <c r="AO640" t="s">
        <v>317</v>
      </c>
      <c r="AP640" t="s">
        <v>317</v>
      </c>
      <c r="AU640" t="s">
        <v>102</v>
      </c>
      <c r="AW640" t="s">
        <v>102</v>
      </c>
      <c r="AX640" t="s">
        <v>119</v>
      </c>
      <c r="BA640" t="s">
        <v>250</v>
      </c>
      <c r="BB640" t="s">
        <v>1964</v>
      </c>
      <c r="BC640" t="s">
        <v>23258</v>
      </c>
      <c r="BD640" t="s">
        <v>1208</v>
      </c>
      <c r="BE640" t="s">
        <v>174</v>
      </c>
      <c r="BF640" t="s">
        <v>1172</v>
      </c>
      <c r="BG640" t="s">
        <v>124</v>
      </c>
      <c r="BH640" t="s">
        <v>12250</v>
      </c>
      <c r="BI640" t="s">
        <v>21667</v>
      </c>
      <c r="BJ640" t="s">
        <v>127</v>
      </c>
      <c r="BK640" t="s">
        <v>23259</v>
      </c>
      <c r="BL640" t="s">
        <v>23260</v>
      </c>
      <c r="BM640" t="s">
        <v>23261</v>
      </c>
      <c r="BN640" t="s">
        <v>14003</v>
      </c>
      <c r="BO640" t="s">
        <v>1212</v>
      </c>
      <c r="BP640" t="s">
        <v>180</v>
      </c>
      <c r="BQ640" t="s">
        <v>1213</v>
      </c>
      <c r="BR640" t="s">
        <v>1214</v>
      </c>
      <c r="BS640" t="s">
        <v>7515</v>
      </c>
      <c r="BU640" t="s">
        <v>23262</v>
      </c>
      <c r="BV640" t="s">
        <v>23263</v>
      </c>
      <c r="BW640" t="s">
        <v>138</v>
      </c>
      <c r="BX640" t="s">
        <v>23264</v>
      </c>
      <c r="BY640" t="s">
        <v>23265</v>
      </c>
      <c r="BZ640" t="s">
        <v>23264</v>
      </c>
      <c r="CA640" t="s">
        <v>23263</v>
      </c>
      <c r="CB640" t="s">
        <v>23264</v>
      </c>
      <c r="CC640" t="s">
        <v>23265</v>
      </c>
      <c r="CD640" t="s">
        <v>23263</v>
      </c>
      <c r="CE640" t="s">
        <v>23264</v>
      </c>
      <c r="CF640" t="s">
        <v>23265</v>
      </c>
      <c r="CG640" t="s">
        <v>10371</v>
      </c>
      <c r="CH640" t="s">
        <v>23266</v>
      </c>
      <c r="CJ640" t="s">
        <v>23267</v>
      </c>
      <c r="CL640" t="s">
        <v>23258</v>
      </c>
      <c r="CM640" t="s">
        <v>1208</v>
      </c>
      <c r="CN640" t="s">
        <v>23267</v>
      </c>
      <c r="CP640" t="s">
        <v>23268</v>
      </c>
      <c r="CQ640" t="s">
        <v>23268</v>
      </c>
    </row>
    <row r="641" spans="1:95" customFormat="1">
      <c r="A641" t="s">
        <v>337</v>
      </c>
      <c r="B641">
        <v>5112032</v>
      </c>
      <c r="C641" s="50"/>
      <c r="D641" t="s">
        <v>23269</v>
      </c>
      <c r="E641" s="50"/>
      <c r="I641" s="50"/>
      <c r="J641" s="51"/>
      <c r="K641" t="s">
        <v>2163</v>
      </c>
      <c r="L641">
        <v>651440</v>
      </c>
      <c r="M641">
        <v>700876</v>
      </c>
      <c r="N641">
        <v>68040</v>
      </c>
      <c r="O641">
        <v>84</v>
      </c>
      <c r="P641" t="s">
        <v>6750</v>
      </c>
      <c r="Q641">
        <v>308755</v>
      </c>
      <c r="R641">
        <v>221</v>
      </c>
      <c r="S641" t="s">
        <v>23272</v>
      </c>
      <c r="T641">
        <v>274645</v>
      </c>
      <c r="U641">
        <v>270</v>
      </c>
      <c r="V641" t="s">
        <v>3924</v>
      </c>
      <c r="W641" t="s">
        <v>102</v>
      </c>
      <c r="X641" t="s">
        <v>679</v>
      </c>
      <c r="Y641" t="s">
        <v>155</v>
      </c>
      <c r="Z641" t="s">
        <v>14040</v>
      </c>
      <c r="AA641" t="s">
        <v>23273</v>
      </c>
      <c r="AB641" t="s">
        <v>23274</v>
      </c>
      <c r="AC641" t="s">
        <v>21772</v>
      </c>
      <c r="AD641" t="s">
        <v>23274</v>
      </c>
      <c r="AE641" t="s">
        <v>21773</v>
      </c>
      <c r="AF641" t="s">
        <v>23274</v>
      </c>
      <c r="AG641" t="s">
        <v>21742</v>
      </c>
      <c r="AH641" t="s">
        <v>23274</v>
      </c>
      <c r="AI641" t="s">
        <v>102</v>
      </c>
      <c r="AJ641" t="s">
        <v>12330</v>
      </c>
      <c r="AK641" t="s">
        <v>12330</v>
      </c>
      <c r="AL641" t="s">
        <v>23275</v>
      </c>
      <c r="AM641" t="s">
        <v>23276</v>
      </c>
      <c r="AN641" t="s">
        <v>23277</v>
      </c>
      <c r="AO641" t="s">
        <v>23278</v>
      </c>
      <c r="AP641" t="s">
        <v>23278</v>
      </c>
      <c r="AU641" t="s">
        <v>247</v>
      </c>
      <c r="AV641" t="s">
        <v>118</v>
      </c>
      <c r="AW641" t="s">
        <v>655</v>
      </c>
      <c r="AX641" t="s">
        <v>119</v>
      </c>
      <c r="AY641" t="s">
        <v>170</v>
      </c>
      <c r="AZ641" t="s">
        <v>118</v>
      </c>
      <c r="BA641" t="s">
        <v>250</v>
      </c>
      <c r="BB641" t="s">
        <v>120</v>
      </c>
      <c r="BC641" t="s">
        <v>251</v>
      </c>
      <c r="BD641" t="s">
        <v>252</v>
      </c>
      <c r="BE641" t="s">
        <v>122</v>
      </c>
      <c r="BF641" t="s">
        <v>253</v>
      </c>
      <c r="BG641" t="s">
        <v>124</v>
      </c>
      <c r="BH641" t="s">
        <v>12250</v>
      </c>
      <c r="BI641" t="s">
        <v>21667</v>
      </c>
      <c r="BJ641" t="s">
        <v>127</v>
      </c>
      <c r="BK641" t="s">
        <v>23279</v>
      </c>
      <c r="BL641" t="s">
        <v>23280</v>
      </c>
      <c r="BM641" t="s">
        <v>23281</v>
      </c>
      <c r="BN641" t="s">
        <v>23270</v>
      </c>
      <c r="BO641" t="s">
        <v>12453</v>
      </c>
      <c r="BP641" t="s">
        <v>696</v>
      </c>
      <c r="BQ641" t="s">
        <v>12454</v>
      </c>
      <c r="BR641" t="s">
        <v>12455</v>
      </c>
      <c r="BS641" t="s">
        <v>1111</v>
      </c>
      <c r="BT641" t="s">
        <v>1111</v>
      </c>
      <c r="BU641" t="s">
        <v>23282</v>
      </c>
      <c r="BV641" t="s">
        <v>23283</v>
      </c>
      <c r="BW641" t="s">
        <v>138</v>
      </c>
      <c r="BX641" t="s">
        <v>23284</v>
      </c>
      <c r="BY641" t="s">
        <v>23285</v>
      </c>
      <c r="BZ641" t="s">
        <v>23284</v>
      </c>
      <c r="CA641" t="s">
        <v>23286</v>
      </c>
      <c r="CB641" t="s">
        <v>23284</v>
      </c>
      <c r="CC641" t="s">
        <v>23285</v>
      </c>
      <c r="CD641" t="s">
        <v>23286</v>
      </c>
      <c r="CE641" t="s">
        <v>23284</v>
      </c>
      <c r="CF641" t="s">
        <v>23285</v>
      </c>
      <c r="CG641" t="s">
        <v>18818</v>
      </c>
      <c r="CH641" t="s">
        <v>23287</v>
      </c>
      <c r="CJ641" t="s">
        <v>23288</v>
      </c>
      <c r="CK641" t="s">
        <v>23289</v>
      </c>
      <c r="CL641" t="s">
        <v>251</v>
      </c>
      <c r="CM641" t="s">
        <v>252</v>
      </c>
      <c r="CN641" t="s">
        <v>23288</v>
      </c>
      <c r="CP641" t="s">
        <v>23289</v>
      </c>
      <c r="CQ641" t="s">
        <v>23289</v>
      </c>
    </row>
    <row r="642" spans="1:95" customFormat="1">
      <c r="A642" t="s">
        <v>337</v>
      </c>
      <c r="B642">
        <v>5115455</v>
      </c>
      <c r="C642" s="50"/>
      <c r="D642" t="s">
        <v>24617</v>
      </c>
      <c r="E642" s="50"/>
      <c r="I642" s="50"/>
      <c r="J642" s="51"/>
      <c r="K642" t="s">
        <v>152</v>
      </c>
      <c r="L642">
        <v>308700</v>
      </c>
      <c r="M642">
        <v>308700</v>
      </c>
      <c r="N642">
        <v>0</v>
      </c>
      <c r="O642">
        <v>0</v>
      </c>
      <c r="Q642">
        <v>308700</v>
      </c>
      <c r="R642">
        <v>386</v>
      </c>
      <c r="S642" t="s">
        <v>1297</v>
      </c>
      <c r="T642">
        <v>0</v>
      </c>
      <c r="U642">
        <v>0</v>
      </c>
      <c r="W642" t="s">
        <v>102</v>
      </c>
      <c r="X642" t="s">
        <v>103</v>
      </c>
      <c r="Y642" t="s">
        <v>155</v>
      </c>
      <c r="AA642" t="s">
        <v>23642</v>
      </c>
      <c r="AB642" t="s">
        <v>24619</v>
      </c>
      <c r="AC642" t="s">
        <v>23644</v>
      </c>
      <c r="AD642" t="s">
        <v>24619</v>
      </c>
      <c r="AE642" t="s">
        <v>24620</v>
      </c>
      <c r="AF642" t="s">
        <v>24619</v>
      </c>
      <c r="AG642" t="s">
        <v>21687</v>
      </c>
      <c r="AH642" t="s">
        <v>24619</v>
      </c>
      <c r="AI642" t="s">
        <v>102</v>
      </c>
      <c r="AJ642" t="s">
        <v>11889</v>
      </c>
      <c r="AK642" t="s">
        <v>11889</v>
      </c>
      <c r="AL642" t="s">
        <v>24619</v>
      </c>
      <c r="AM642" t="s">
        <v>5007</v>
      </c>
      <c r="AN642" t="s">
        <v>24621</v>
      </c>
      <c r="AO642" t="s">
        <v>24622</v>
      </c>
      <c r="AP642" t="s">
        <v>24622</v>
      </c>
      <c r="AU642" t="s">
        <v>102</v>
      </c>
      <c r="AW642" t="s">
        <v>104</v>
      </c>
      <c r="AX642" t="s">
        <v>447</v>
      </c>
      <c r="AY642" t="s">
        <v>170</v>
      </c>
      <c r="AZ642" t="s">
        <v>118</v>
      </c>
      <c r="BB642" t="s">
        <v>1964</v>
      </c>
      <c r="BC642" t="s">
        <v>24623</v>
      </c>
      <c r="BD642" t="s">
        <v>19598</v>
      </c>
      <c r="BE642" t="s">
        <v>174</v>
      </c>
      <c r="BF642" t="s">
        <v>376</v>
      </c>
      <c r="BG642" t="s">
        <v>124</v>
      </c>
      <c r="BH642" t="s">
        <v>12250</v>
      </c>
      <c r="BI642" t="s">
        <v>21667</v>
      </c>
      <c r="BJ642" t="s">
        <v>127</v>
      </c>
      <c r="BK642" t="s">
        <v>24624</v>
      </c>
      <c r="BL642" t="s">
        <v>24625</v>
      </c>
      <c r="BM642" t="s">
        <v>24626</v>
      </c>
      <c r="BN642" t="s">
        <v>21768</v>
      </c>
      <c r="BO642" t="s">
        <v>13780</v>
      </c>
      <c r="BP642" t="s">
        <v>180</v>
      </c>
      <c r="BQ642" t="s">
        <v>13781</v>
      </c>
      <c r="BR642" t="s">
        <v>13782</v>
      </c>
      <c r="BS642" t="s">
        <v>13783</v>
      </c>
      <c r="BU642" t="s">
        <v>24627</v>
      </c>
      <c r="BV642" t="s">
        <v>24628</v>
      </c>
      <c r="BW642" t="s">
        <v>138</v>
      </c>
      <c r="BX642" t="s">
        <v>24629</v>
      </c>
      <c r="BY642" t="s">
        <v>24630</v>
      </c>
      <c r="BZ642" t="s">
        <v>24631</v>
      </c>
      <c r="CA642" t="s">
        <v>24628</v>
      </c>
      <c r="CB642" t="s">
        <v>24629</v>
      </c>
      <c r="CC642" t="s">
        <v>24630</v>
      </c>
      <c r="CD642" t="s">
        <v>24628</v>
      </c>
      <c r="CE642" t="s">
        <v>24629</v>
      </c>
      <c r="CF642" t="s">
        <v>24630</v>
      </c>
      <c r="CG642" t="s">
        <v>24632</v>
      </c>
      <c r="CH642" t="s">
        <v>24633</v>
      </c>
      <c r="CJ642" t="s">
        <v>24634</v>
      </c>
      <c r="CK642" t="s">
        <v>24633</v>
      </c>
      <c r="CL642" t="s">
        <v>24623</v>
      </c>
      <c r="CM642" t="s">
        <v>19598</v>
      </c>
      <c r="CN642" t="s">
        <v>24634</v>
      </c>
      <c r="CP642" t="s">
        <v>24633</v>
      </c>
      <c r="CQ642" t="s">
        <v>24633</v>
      </c>
    </row>
    <row r="643" spans="1:95" customFormat="1">
      <c r="A643" t="s">
        <v>337</v>
      </c>
      <c r="B643">
        <v>5116712</v>
      </c>
      <c r="C643" s="50"/>
      <c r="D643" t="s">
        <v>24635</v>
      </c>
      <c r="E643" s="50"/>
      <c r="I643" s="50"/>
      <c r="J643" s="51"/>
      <c r="K643" t="s">
        <v>152</v>
      </c>
      <c r="L643">
        <v>327089</v>
      </c>
      <c r="M643">
        <v>327089</v>
      </c>
      <c r="N643">
        <v>0</v>
      </c>
      <c r="O643">
        <v>0</v>
      </c>
      <c r="Q643">
        <v>327089</v>
      </c>
      <c r="R643">
        <v>245</v>
      </c>
      <c r="S643" t="s">
        <v>24638</v>
      </c>
      <c r="T643">
        <v>0</v>
      </c>
      <c r="U643">
        <v>0</v>
      </c>
      <c r="W643" t="s">
        <v>102</v>
      </c>
      <c r="X643" t="s">
        <v>103</v>
      </c>
      <c r="Y643" t="s">
        <v>155</v>
      </c>
      <c r="AA643" t="s">
        <v>24639</v>
      </c>
      <c r="AB643" t="s">
        <v>24640</v>
      </c>
      <c r="AC643" t="s">
        <v>24641</v>
      </c>
      <c r="AD643" t="s">
        <v>24640</v>
      </c>
      <c r="AE643" t="s">
        <v>24642</v>
      </c>
      <c r="AF643" t="s">
        <v>24640</v>
      </c>
      <c r="AG643" t="s">
        <v>24643</v>
      </c>
      <c r="AH643" t="s">
        <v>24640</v>
      </c>
      <c r="AI643" t="s">
        <v>102</v>
      </c>
      <c r="AJ643" t="s">
        <v>17605</v>
      </c>
      <c r="AK643" t="s">
        <v>17605</v>
      </c>
      <c r="AL643" t="s">
        <v>24640</v>
      </c>
      <c r="AM643" t="s">
        <v>1221</v>
      </c>
      <c r="AN643" t="s">
        <v>26557</v>
      </c>
      <c r="AO643" t="s">
        <v>24644</v>
      </c>
      <c r="AP643" t="s">
        <v>24644</v>
      </c>
      <c r="AU643" t="s">
        <v>102</v>
      </c>
      <c r="AW643" t="s">
        <v>104</v>
      </c>
      <c r="AX643" t="s">
        <v>447</v>
      </c>
      <c r="AY643" t="s">
        <v>170</v>
      </c>
      <c r="AZ643" t="s">
        <v>118</v>
      </c>
      <c r="BB643" t="s">
        <v>1964</v>
      </c>
      <c r="BC643" t="s">
        <v>24645</v>
      </c>
      <c r="BD643" t="s">
        <v>376</v>
      </c>
      <c r="BE643" t="s">
        <v>174</v>
      </c>
      <c r="BF643" t="s">
        <v>376</v>
      </c>
      <c r="BG643" t="s">
        <v>124</v>
      </c>
      <c r="BH643" t="s">
        <v>12250</v>
      </c>
      <c r="BI643" t="s">
        <v>21667</v>
      </c>
      <c r="BJ643" t="s">
        <v>127</v>
      </c>
      <c r="BK643" t="s">
        <v>24646</v>
      </c>
      <c r="BL643" t="s">
        <v>24647</v>
      </c>
      <c r="BM643" t="s">
        <v>24648</v>
      </c>
      <c r="BN643" t="s">
        <v>24636</v>
      </c>
      <c r="BO643" t="s">
        <v>13780</v>
      </c>
      <c r="BP643" t="s">
        <v>180</v>
      </c>
      <c r="BQ643" t="s">
        <v>13781</v>
      </c>
      <c r="BR643" t="s">
        <v>13782</v>
      </c>
      <c r="BS643" t="s">
        <v>13783</v>
      </c>
      <c r="BU643" t="s">
        <v>24649</v>
      </c>
      <c r="BV643" t="s">
        <v>24650</v>
      </c>
      <c r="BW643" t="s">
        <v>138</v>
      </c>
      <c r="BX643" t="s">
        <v>24651</v>
      </c>
      <c r="BY643" t="s">
        <v>24652</v>
      </c>
      <c r="BZ643" t="s">
        <v>24651</v>
      </c>
      <c r="CA643" t="s">
        <v>24653</v>
      </c>
      <c r="CB643" t="s">
        <v>24651</v>
      </c>
      <c r="CC643" t="s">
        <v>24652</v>
      </c>
      <c r="CD643" t="s">
        <v>24653</v>
      </c>
      <c r="CE643" t="s">
        <v>24651</v>
      </c>
      <c r="CF643" t="s">
        <v>24652</v>
      </c>
      <c r="CG643" t="s">
        <v>102</v>
      </c>
      <c r="CH643" t="s">
        <v>24654</v>
      </c>
      <c r="CJ643" t="s">
        <v>24655</v>
      </c>
      <c r="CK643" t="s">
        <v>24656</v>
      </c>
      <c r="CL643" t="s">
        <v>24645</v>
      </c>
      <c r="CM643" t="s">
        <v>376</v>
      </c>
      <c r="CN643" t="s">
        <v>24655</v>
      </c>
      <c r="CP643" t="s">
        <v>24654</v>
      </c>
      <c r="CQ643" t="s">
        <v>24654</v>
      </c>
    </row>
    <row r="644" spans="1:95" customFormat="1">
      <c r="A644" t="s">
        <v>337</v>
      </c>
      <c r="B644">
        <v>5118624</v>
      </c>
      <c r="C644" s="50"/>
      <c r="D644" t="s">
        <v>25379</v>
      </c>
      <c r="E644" s="50"/>
      <c r="I644" s="50"/>
      <c r="J644" s="51"/>
      <c r="K644" t="s">
        <v>152</v>
      </c>
      <c r="L644">
        <v>597839</v>
      </c>
      <c r="M644">
        <v>597839</v>
      </c>
      <c r="N644">
        <v>0</v>
      </c>
      <c r="O644">
        <v>0</v>
      </c>
      <c r="Q644">
        <v>597839</v>
      </c>
      <c r="R644">
        <v>404</v>
      </c>
      <c r="S644" t="s">
        <v>25381</v>
      </c>
      <c r="T644">
        <v>0</v>
      </c>
      <c r="U644">
        <v>0</v>
      </c>
      <c r="W644" t="s">
        <v>102</v>
      </c>
      <c r="X644" t="s">
        <v>103</v>
      </c>
      <c r="Y644" t="s">
        <v>155</v>
      </c>
      <c r="AA644" t="s">
        <v>15028</v>
      </c>
      <c r="AB644" t="s">
        <v>25382</v>
      </c>
      <c r="AC644" t="s">
        <v>21731</v>
      </c>
      <c r="AD644" t="s">
        <v>25382</v>
      </c>
      <c r="AE644" t="s">
        <v>21732</v>
      </c>
      <c r="AF644" t="s">
        <v>25382</v>
      </c>
      <c r="AG644" t="s">
        <v>21666</v>
      </c>
      <c r="AH644" t="s">
        <v>25382</v>
      </c>
      <c r="AI644" t="s">
        <v>102</v>
      </c>
      <c r="AJ644" t="s">
        <v>24940</v>
      </c>
      <c r="AK644" t="s">
        <v>24940</v>
      </c>
      <c r="AL644" t="s">
        <v>25382</v>
      </c>
      <c r="AM644" t="s">
        <v>25383</v>
      </c>
      <c r="AN644" t="s">
        <v>25384</v>
      </c>
      <c r="AO644" t="s">
        <v>25385</v>
      </c>
      <c r="AP644" t="s">
        <v>25385</v>
      </c>
      <c r="AU644" t="s">
        <v>102</v>
      </c>
      <c r="AW644" t="s">
        <v>155</v>
      </c>
      <c r="AX644" t="s">
        <v>447</v>
      </c>
      <c r="AY644" t="s">
        <v>170</v>
      </c>
      <c r="AZ644" t="s">
        <v>118</v>
      </c>
      <c r="BB644" t="s">
        <v>120</v>
      </c>
      <c r="BC644" t="s">
        <v>920</v>
      </c>
      <c r="BD644" t="s">
        <v>211</v>
      </c>
      <c r="BE644" t="s">
        <v>212</v>
      </c>
      <c r="BF644" t="s">
        <v>213</v>
      </c>
      <c r="BG644" t="s">
        <v>124</v>
      </c>
      <c r="BH644" t="s">
        <v>13662</v>
      </c>
      <c r="BI644" t="s">
        <v>23025</v>
      </c>
      <c r="BJ644" t="s">
        <v>127</v>
      </c>
      <c r="BK644" t="s">
        <v>25386</v>
      </c>
      <c r="BL644" t="s">
        <v>25387</v>
      </c>
      <c r="BM644" t="s">
        <v>25388</v>
      </c>
      <c r="BN644" t="s">
        <v>21784</v>
      </c>
      <c r="BO644" t="s">
        <v>1309</v>
      </c>
      <c r="BP644" t="s">
        <v>180</v>
      </c>
      <c r="BQ644" t="s">
        <v>1310</v>
      </c>
      <c r="BR644" t="s">
        <v>1311</v>
      </c>
      <c r="BS644" t="s">
        <v>1312</v>
      </c>
      <c r="BU644" t="s">
        <v>25389</v>
      </c>
      <c r="BV644" t="s">
        <v>25390</v>
      </c>
      <c r="BW644" t="s">
        <v>354</v>
      </c>
      <c r="BX644" t="s">
        <v>25391</v>
      </c>
      <c r="BY644" t="s">
        <v>25392</v>
      </c>
      <c r="BZ644" t="s">
        <v>25393</v>
      </c>
      <c r="CA644" t="s">
        <v>1591</v>
      </c>
      <c r="CB644" t="s">
        <v>25393</v>
      </c>
      <c r="CC644" t="s">
        <v>25392</v>
      </c>
      <c r="CD644" t="s">
        <v>25394</v>
      </c>
      <c r="CE644" t="s">
        <v>25395</v>
      </c>
      <c r="CF644" t="s">
        <v>25392</v>
      </c>
      <c r="CG644" t="s">
        <v>2405</v>
      </c>
      <c r="CH644" t="s">
        <v>25396</v>
      </c>
      <c r="CJ644" t="s">
        <v>25397</v>
      </c>
      <c r="CK644" t="s">
        <v>25398</v>
      </c>
      <c r="CL644" t="s">
        <v>920</v>
      </c>
      <c r="CM644" t="s">
        <v>211</v>
      </c>
      <c r="CN644" t="s">
        <v>25397</v>
      </c>
      <c r="CP644" t="s">
        <v>25399</v>
      </c>
      <c r="CQ644" t="s">
        <v>25399</v>
      </c>
    </row>
    <row r="645" spans="1:95" customFormat="1">
      <c r="A645" t="s">
        <v>337</v>
      </c>
      <c r="B645">
        <v>5128331</v>
      </c>
      <c r="C645" s="50"/>
      <c r="D645" t="s">
        <v>13257</v>
      </c>
      <c r="E645" s="50"/>
      <c r="I645" s="50"/>
      <c r="J645" s="51"/>
      <c r="K645" t="s">
        <v>152</v>
      </c>
      <c r="L645">
        <v>230400</v>
      </c>
      <c r="M645">
        <v>230400</v>
      </c>
      <c r="N645">
        <v>0</v>
      </c>
      <c r="O645">
        <v>0</v>
      </c>
      <c r="Q645">
        <v>230400</v>
      </c>
      <c r="R645">
        <v>320</v>
      </c>
      <c r="S645" t="s">
        <v>995</v>
      </c>
      <c r="T645">
        <v>0</v>
      </c>
      <c r="U645">
        <v>0</v>
      </c>
      <c r="W645" t="s">
        <v>102</v>
      </c>
      <c r="X645" t="s">
        <v>103</v>
      </c>
      <c r="Y645" t="s">
        <v>155</v>
      </c>
      <c r="AA645" t="s">
        <v>21962</v>
      </c>
      <c r="AB645" t="s">
        <v>23624</v>
      </c>
      <c r="AC645" t="s">
        <v>23371</v>
      </c>
      <c r="AD645" t="s">
        <v>23624</v>
      </c>
      <c r="AE645" t="s">
        <v>23372</v>
      </c>
      <c r="AF645" t="s">
        <v>23624</v>
      </c>
      <c r="AG645" t="s">
        <v>21687</v>
      </c>
      <c r="AH645" t="s">
        <v>23624</v>
      </c>
      <c r="AI645" t="s">
        <v>102</v>
      </c>
      <c r="AJ645" t="s">
        <v>23517</v>
      </c>
      <c r="AK645" t="s">
        <v>23517</v>
      </c>
      <c r="AL645" t="s">
        <v>23624</v>
      </c>
      <c r="AM645" t="s">
        <v>5007</v>
      </c>
      <c r="AN645" t="s">
        <v>2623</v>
      </c>
      <c r="AO645" t="s">
        <v>317</v>
      </c>
      <c r="AP645" t="s">
        <v>317</v>
      </c>
      <c r="AU645" t="s">
        <v>102</v>
      </c>
      <c r="AW645" t="s">
        <v>104</v>
      </c>
      <c r="AX645" t="s">
        <v>447</v>
      </c>
      <c r="AY645" t="s">
        <v>170</v>
      </c>
      <c r="AZ645" t="s">
        <v>118</v>
      </c>
      <c r="BB645" t="s">
        <v>120</v>
      </c>
      <c r="BC645" t="s">
        <v>23625</v>
      </c>
      <c r="BD645" t="s">
        <v>376</v>
      </c>
      <c r="BE645" t="s">
        <v>174</v>
      </c>
      <c r="BF645" t="s">
        <v>376</v>
      </c>
      <c r="BG645" t="s">
        <v>124</v>
      </c>
      <c r="BH645" t="s">
        <v>12250</v>
      </c>
      <c r="BI645" t="s">
        <v>21667</v>
      </c>
      <c r="BJ645" t="s">
        <v>127</v>
      </c>
      <c r="BK645" t="s">
        <v>23626</v>
      </c>
      <c r="BL645" t="s">
        <v>23627</v>
      </c>
      <c r="BM645" t="s">
        <v>23628</v>
      </c>
      <c r="BN645" t="s">
        <v>23505</v>
      </c>
      <c r="BO645" t="s">
        <v>22828</v>
      </c>
      <c r="BP645" t="s">
        <v>180</v>
      </c>
      <c r="BQ645" t="s">
        <v>22829</v>
      </c>
      <c r="BR645" t="s">
        <v>22830</v>
      </c>
      <c r="BS645" t="s">
        <v>1834</v>
      </c>
      <c r="BU645" t="s">
        <v>23629</v>
      </c>
      <c r="BV645" t="s">
        <v>23630</v>
      </c>
      <c r="BW645" t="s">
        <v>354</v>
      </c>
      <c r="BX645" t="s">
        <v>23631</v>
      </c>
      <c r="BY645" t="s">
        <v>23632</v>
      </c>
      <c r="BZ645" t="s">
        <v>23633</v>
      </c>
      <c r="CA645" t="s">
        <v>23634</v>
      </c>
      <c r="CB645" t="s">
        <v>23631</v>
      </c>
      <c r="CC645" t="s">
        <v>23632</v>
      </c>
      <c r="CD645" t="s">
        <v>23634</v>
      </c>
      <c r="CE645" t="s">
        <v>23631</v>
      </c>
      <c r="CF645" t="s">
        <v>23632</v>
      </c>
      <c r="CG645" t="s">
        <v>6370</v>
      </c>
      <c r="CH645" t="s">
        <v>23635</v>
      </c>
      <c r="CJ645" t="s">
        <v>23636</v>
      </c>
      <c r="CK645" t="s">
        <v>23637</v>
      </c>
      <c r="CL645" t="s">
        <v>23638</v>
      </c>
      <c r="CM645" t="s">
        <v>376</v>
      </c>
      <c r="CN645" t="s">
        <v>23636</v>
      </c>
      <c r="CP645" t="s">
        <v>23637</v>
      </c>
      <c r="CQ645" t="s">
        <v>23639</v>
      </c>
    </row>
    <row r="646" spans="1:95" customFormat="1">
      <c r="A646" t="s">
        <v>337</v>
      </c>
      <c r="B646">
        <v>5128949</v>
      </c>
      <c r="C646" s="50"/>
      <c r="D646" t="s">
        <v>23290</v>
      </c>
      <c r="E646" s="50"/>
      <c r="I646" s="50"/>
      <c r="J646" s="51"/>
      <c r="K646" t="s">
        <v>97</v>
      </c>
      <c r="L646">
        <v>22500</v>
      </c>
      <c r="M646">
        <v>22500</v>
      </c>
      <c r="N646">
        <v>22500</v>
      </c>
      <c r="O646">
        <v>150</v>
      </c>
      <c r="P646" t="s">
        <v>24049</v>
      </c>
      <c r="Q646">
        <v>0</v>
      </c>
      <c r="R646">
        <v>0</v>
      </c>
      <c r="T646">
        <v>0</v>
      </c>
      <c r="U646">
        <v>0</v>
      </c>
      <c r="W646" t="s">
        <v>102</v>
      </c>
      <c r="X646" t="s">
        <v>275</v>
      </c>
      <c r="Z646" t="s">
        <v>15195</v>
      </c>
      <c r="AA646" t="s">
        <v>109</v>
      </c>
      <c r="AB646" t="s">
        <v>102</v>
      </c>
      <c r="AC646" t="s">
        <v>109</v>
      </c>
      <c r="AD646" t="s">
        <v>102</v>
      </c>
      <c r="AE646" t="s">
        <v>109</v>
      </c>
      <c r="AF646" t="s">
        <v>102</v>
      </c>
      <c r="AG646" t="s">
        <v>109</v>
      </c>
      <c r="AH646" t="s">
        <v>102</v>
      </c>
      <c r="AI646" t="s">
        <v>102</v>
      </c>
      <c r="AJ646" t="s">
        <v>22973</v>
      </c>
      <c r="AK646" t="s">
        <v>22973</v>
      </c>
      <c r="AL646" t="s">
        <v>24658</v>
      </c>
      <c r="AM646" t="s">
        <v>25400</v>
      </c>
      <c r="AN646" t="s">
        <v>25401</v>
      </c>
      <c r="AO646" t="s">
        <v>24053</v>
      </c>
      <c r="AP646" t="s">
        <v>24054</v>
      </c>
      <c r="AQ646" t="s">
        <v>102</v>
      </c>
      <c r="AR646" t="s">
        <v>102</v>
      </c>
      <c r="AS646" t="s">
        <v>102</v>
      </c>
      <c r="AT646" t="s">
        <v>102</v>
      </c>
      <c r="AU646" t="s">
        <v>318</v>
      </c>
      <c r="AV646" t="s">
        <v>118</v>
      </c>
      <c r="AW646" t="s">
        <v>102</v>
      </c>
      <c r="AX646" t="s">
        <v>119</v>
      </c>
      <c r="BB646" t="s">
        <v>120</v>
      </c>
      <c r="BC646" t="s">
        <v>1729</v>
      </c>
      <c r="BD646" t="s">
        <v>730</v>
      </c>
      <c r="BE646" t="s">
        <v>622</v>
      </c>
      <c r="BF646" t="s">
        <v>730</v>
      </c>
      <c r="BG646" t="s">
        <v>124</v>
      </c>
      <c r="BH646" t="s">
        <v>12250</v>
      </c>
      <c r="BI646" t="s">
        <v>21667</v>
      </c>
      <c r="BJ646" t="s">
        <v>127</v>
      </c>
      <c r="BK646" t="s">
        <v>24659</v>
      </c>
      <c r="BL646" t="s">
        <v>23291</v>
      </c>
      <c r="BM646" t="s">
        <v>23292</v>
      </c>
      <c r="BN646" t="s">
        <v>14400</v>
      </c>
      <c r="BO646" t="s">
        <v>3910</v>
      </c>
      <c r="BP646" t="s">
        <v>180</v>
      </c>
      <c r="BQ646" t="s">
        <v>3911</v>
      </c>
      <c r="BR646" t="s">
        <v>3912</v>
      </c>
      <c r="BS646" t="s">
        <v>7862</v>
      </c>
      <c r="BU646" t="s">
        <v>24660</v>
      </c>
      <c r="BV646" t="s">
        <v>23293</v>
      </c>
      <c r="BW646" t="s">
        <v>598</v>
      </c>
      <c r="BX646" t="s">
        <v>8960</v>
      </c>
      <c r="BY646" t="s">
        <v>24661</v>
      </c>
      <c r="CA646" t="s">
        <v>23293</v>
      </c>
      <c r="CB646" t="s">
        <v>8960</v>
      </c>
      <c r="CC646" t="s">
        <v>24662</v>
      </c>
      <c r="CD646" t="s">
        <v>23293</v>
      </c>
      <c r="CE646" t="s">
        <v>8960</v>
      </c>
      <c r="CF646" t="s">
        <v>24662</v>
      </c>
      <c r="CG646" t="s">
        <v>102</v>
      </c>
      <c r="CH646" t="s">
        <v>23294</v>
      </c>
      <c r="CJ646" t="s">
        <v>1743</v>
      </c>
      <c r="CL646" t="s">
        <v>1729</v>
      </c>
      <c r="CM646" t="s">
        <v>730</v>
      </c>
      <c r="CN646" t="s">
        <v>4103</v>
      </c>
      <c r="CP646" t="s">
        <v>23295</v>
      </c>
      <c r="CQ646" t="s">
        <v>23296</v>
      </c>
    </row>
    <row r="647" spans="1:95" customFormat="1">
      <c r="A647" t="s">
        <v>337</v>
      </c>
      <c r="B647">
        <v>5129696</v>
      </c>
      <c r="C647" s="50"/>
      <c r="D647" t="s">
        <v>23297</v>
      </c>
      <c r="E647" s="50"/>
      <c r="I647" s="50"/>
      <c r="J647" s="51"/>
      <c r="K647" t="s">
        <v>152</v>
      </c>
      <c r="L647">
        <v>1080072</v>
      </c>
      <c r="M647">
        <v>1080072</v>
      </c>
      <c r="N647">
        <v>0</v>
      </c>
      <c r="O647">
        <v>0</v>
      </c>
      <c r="Q647">
        <v>1080072</v>
      </c>
      <c r="R647">
        <v>720</v>
      </c>
      <c r="S647" t="s">
        <v>6441</v>
      </c>
      <c r="T647">
        <v>0</v>
      </c>
      <c r="U647">
        <v>0</v>
      </c>
      <c r="W647" t="s">
        <v>102</v>
      </c>
      <c r="X647" t="s">
        <v>103</v>
      </c>
      <c r="Y647" t="s">
        <v>104</v>
      </c>
      <c r="AA647" t="s">
        <v>13662</v>
      </c>
      <c r="AB647" t="s">
        <v>23299</v>
      </c>
      <c r="AC647" t="s">
        <v>21872</v>
      </c>
      <c r="AD647" t="s">
        <v>23299</v>
      </c>
      <c r="AE647" t="s">
        <v>109</v>
      </c>
      <c r="AF647" t="s">
        <v>102</v>
      </c>
      <c r="AG647" t="s">
        <v>109</v>
      </c>
      <c r="AH647" t="s">
        <v>102</v>
      </c>
      <c r="AI647" t="s">
        <v>102</v>
      </c>
      <c r="AJ647" t="s">
        <v>13386</v>
      </c>
      <c r="AK647" t="s">
        <v>13386</v>
      </c>
      <c r="AL647" t="s">
        <v>23299</v>
      </c>
      <c r="AM647" t="s">
        <v>23299</v>
      </c>
      <c r="AN647" t="s">
        <v>102</v>
      </c>
      <c r="AO647" t="s">
        <v>23300</v>
      </c>
      <c r="AP647" t="s">
        <v>23300</v>
      </c>
      <c r="AU647" t="s">
        <v>102</v>
      </c>
      <c r="AW647" t="s">
        <v>155</v>
      </c>
      <c r="AX647" t="s">
        <v>447</v>
      </c>
      <c r="AY647" t="s">
        <v>170</v>
      </c>
      <c r="AZ647" t="s">
        <v>118</v>
      </c>
      <c r="BB647" t="s">
        <v>120</v>
      </c>
      <c r="BC647" t="s">
        <v>23301</v>
      </c>
      <c r="BD647" t="s">
        <v>730</v>
      </c>
      <c r="BE647" t="s">
        <v>622</v>
      </c>
      <c r="BF647" t="s">
        <v>730</v>
      </c>
      <c r="BG647" t="s">
        <v>124</v>
      </c>
      <c r="BH647" t="s">
        <v>12250</v>
      </c>
      <c r="BI647" t="s">
        <v>21667</v>
      </c>
      <c r="BJ647" t="s">
        <v>127</v>
      </c>
      <c r="BK647" t="s">
        <v>23302</v>
      </c>
      <c r="BL647" t="s">
        <v>23303</v>
      </c>
      <c r="BM647" t="s">
        <v>23304</v>
      </c>
      <c r="BN647" t="s">
        <v>15195</v>
      </c>
      <c r="BO647" t="s">
        <v>2262</v>
      </c>
      <c r="BP647" t="s">
        <v>350</v>
      </c>
      <c r="BQ647" t="s">
        <v>2263</v>
      </c>
      <c r="BR647" t="s">
        <v>2264</v>
      </c>
      <c r="BS647" t="s">
        <v>2331</v>
      </c>
      <c r="BU647" t="s">
        <v>23305</v>
      </c>
      <c r="BV647" t="s">
        <v>23306</v>
      </c>
      <c r="BW647" t="s">
        <v>138</v>
      </c>
      <c r="BX647" t="s">
        <v>23307</v>
      </c>
      <c r="BY647" t="s">
        <v>23308</v>
      </c>
      <c r="BZ647" t="s">
        <v>23307</v>
      </c>
      <c r="CA647" t="s">
        <v>23306</v>
      </c>
      <c r="CB647" t="s">
        <v>23307</v>
      </c>
      <c r="CC647" t="s">
        <v>23308</v>
      </c>
      <c r="CD647" t="s">
        <v>23306</v>
      </c>
      <c r="CE647" t="s">
        <v>23307</v>
      </c>
      <c r="CF647" t="s">
        <v>23308</v>
      </c>
      <c r="CG647" t="s">
        <v>23309</v>
      </c>
      <c r="CH647" t="s">
        <v>23310</v>
      </c>
      <c r="CJ647" t="s">
        <v>23311</v>
      </c>
      <c r="CK647" t="s">
        <v>23312</v>
      </c>
      <c r="CL647" t="s">
        <v>23301</v>
      </c>
      <c r="CM647" t="s">
        <v>730</v>
      </c>
      <c r="CN647" t="s">
        <v>23311</v>
      </c>
      <c r="CP647" t="s">
        <v>23313</v>
      </c>
      <c r="CQ647" t="s">
        <v>23313</v>
      </c>
    </row>
    <row r="648" spans="1:95" customFormat="1">
      <c r="A648" t="s">
        <v>337</v>
      </c>
      <c r="B648">
        <v>5133264</v>
      </c>
      <c r="C648" s="50"/>
      <c r="D648" t="s">
        <v>24663</v>
      </c>
      <c r="E648" s="50"/>
      <c r="I648" s="50"/>
      <c r="J648" s="51"/>
      <c r="K648" t="s">
        <v>152</v>
      </c>
      <c r="L648">
        <v>163870</v>
      </c>
      <c r="M648">
        <v>163870</v>
      </c>
      <c r="N648">
        <v>0</v>
      </c>
      <c r="O648">
        <v>0</v>
      </c>
      <c r="Q648">
        <v>163870</v>
      </c>
      <c r="R648">
        <v>149</v>
      </c>
      <c r="S648" t="s">
        <v>466</v>
      </c>
      <c r="T648">
        <v>0</v>
      </c>
      <c r="U648">
        <v>0</v>
      </c>
      <c r="W648" t="s">
        <v>102</v>
      </c>
      <c r="X648" t="s">
        <v>103</v>
      </c>
      <c r="Y648" t="s">
        <v>155</v>
      </c>
      <c r="AA648" t="s">
        <v>16553</v>
      </c>
      <c r="AB648" t="s">
        <v>24665</v>
      </c>
      <c r="AC648" t="s">
        <v>21983</v>
      </c>
      <c r="AD648" t="s">
        <v>24665</v>
      </c>
      <c r="AE648" t="s">
        <v>22119</v>
      </c>
      <c r="AF648" t="s">
        <v>24665</v>
      </c>
      <c r="AG648" t="s">
        <v>21687</v>
      </c>
      <c r="AH648" t="s">
        <v>24665</v>
      </c>
      <c r="AI648" t="s">
        <v>102</v>
      </c>
      <c r="AJ648" t="s">
        <v>23642</v>
      </c>
      <c r="AK648" t="s">
        <v>23642</v>
      </c>
      <c r="AL648" t="s">
        <v>24665</v>
      </c>
      <c r="AM648" t="s">
        <v>25402</v>
      </c>
      <c r="AN648" t="s">
        <v>22489</v>
      </c>
      <c r="AO648" t="s">
        <v>21951</v>
      </c>
      <c r="AP648" t="s">
        <v>21951</v>
      </c>
      <c r="AU648" t="s">
        <v>102</v>
      </c>
      <c r="AW648" t="s">
        <v>155</v>
      </c>
      <c r="AX648" t="s">
        <v>447</v>
      </c>
      <c r="AY648" t="s">
        <v>1138</v>
      </c>
      <c r="AZ648" t="s">
        <v>118</v>
      </c>
      <c r="BB648" t="s">
        <v>120</v>
      </c>
      <c r="BC648" t="s">
        <v>24666</v>
      </c>
      <c r="BD648" t="s">
        <v>320</v>
      </c>
      <c r="BE648" t="s">
        <v>122</v>
      </c>
      <c r="BF648" t="s">
        <v>123</v>
      </c>
      <c r="BG648" t="s">
        <v>124</v>
      </c>
      <c r="BH648" t="s">
        <v>12250</v>
      </c>
      <c r="BI648" t="s">
        <v>21667</v>
      </c>
      <c r="BJ648" t="s">
        <v>127</v>
      </c>
      <c r="BK648" t="s">
        <v>24667</v>
      </c>
      <c r="BL648" t="s">
        <v>24668</v>
      </c>
      <c r="BM648" t="s">
        <v>24669</v>
      </c>
      <c r="BN648" t="s">
        <v>22245</v>
      </c>
      <c r="BO648" t="s">
        <v>349</v>
      </c>
      <c r="BP648" t="s">
        <v>350</v>
      </c>
      <c r="BQ648" t="s">
        <v>351</v>
      </c>
      <c r="BR648" t="s">
        <v>352</v>
      </c>
      <c r="BS648" t="s">
        <v>6249</v>
      </c>
      <c r="BU648" t="s">
        <v>24670</v>
      </c>
      <c r="BV648" t="s">
        <v>24671</v>
      </c>
      <c r="BW648" t="s">
        <v>354</v>
      </c>
      <c r="BX648" t="s">
        <v>24672</v>
      </c>
      <c r="BY648" t="s">
        <v>24673</v>
      </c>
      <c r="BZ648" t="s">
        <v>24672</v>
      </c>
      <c r="CA648" t="s">
        <v>24674</v>
      </c>
      <c r="CB648" t="s">
        <v>24675</v>
      </c>
      <c r="CC648" t="s">
        <v>24676</v>
      </c>
      <c r="CD648" t="s">
        <v>24674</v>
      </c>
      <c r="CE648" t="s">
        <v>24675</v>
      </c>
      <c r="CF648" t="s">
        <v>24676</v>
      </c>
      <c r="CG648" t="s">
        <v>12171</v>
      </c>
      <c r="CH648" t="s">
        <v>24663</v>
      </c>
      <c r="CJ648" t="s">
        <v>24677</v>
      </c>
      <c r="CK648" t="s">
        <v>24678</v>
      </c>
      <c r="CL648" t="s">
        <v>24666</v>
      </c>
      <c r="CM648" t="s">
        <v>320</v>
      </c>
      <c r="CN648" t="s">
        <v>24677</v>
      </c>
      <c r="CP648" t="s">
        <v>24679</v>
      </c>
      <c r="CQ648" t="s">
        <v>24679</v>
      </c>
    </row>
    <row r="649" spans="1:95" customFormat="1">
      <c r="A649" t="s">
        <v>337</v>
      </c>
      <c r="B649">
        <v>5136033</v>
      </c>
      <c r="C649" s="50"/>
      <c r="D649" t="s">
        <v>26558</v>
      </c>
      <c r="E649" s="50"/>
      <c r="I649" s="50"/>
      <c r="J649" s="51"/>
      <c r="K649" t="s">
        <v>848</v>
      </c>
      <c r="L649">
        <v>273675</v>
      </c>
      <c r="M649">
        <v>322937</v>
      </c>
      <c r="N649">
        <v>0</v>
      </c>
      <c r="O649">
        <v>0</v>
      </c>
      <c r="Q649">
        <v>0</v>
      </c>
      <c r="R649">
        <v>0</v>
      </c>
      <c r="T649">
        <v>273675</v>
      </c>
      <c r="U649">
        <v>230</v>
      </c>
      <c r="V649" t="s">
        <v>9994</v>
      </c>
      <c r="W649" t="s">
        <v>102</v>
      </c>
      <c r="X649" t="s">
        <v>103</v>
      </c>
      <c r="Y649" t="s">
        <v>398</v>
      </c>
      <c r="AA649" t="s">
        <v>21857</v>
      </c>
      <c r="AB649" t="s">
        <v>26560</v>
      </c>
      <c r="AC649" t="s">
        <v>21892</v>
      </c>
      <c r="AD649" t="s">
        <v>26561</v>
      </c>
      <c r="AE649" t="s">
        <v>21821</v>
      </c>
      <c r="AF649" t="s">
        <v>26562</v>
      </c>
      <c r="AG649" t="s">
        <v>109</v>
      </c>
      <c r="AH649" t="s">
        <v>102</v>
      </c>
      <c r="AI649" t="s">
        <v>102</v>
      </c>
      <c r="AL649" t="s">
        <v>26560</v>
      </c>
      <c r="AM649" t="s">
        <v>102</v>
      </c>
      <c r="AN649" t="s">
        <v>26560</v>
      </c>
      <c r="AO649" t="s">
        <v>3510</v>
      </c>
      <c r="AP649" t="s">
        <v>3510</v>
      </c>
      <c r="AU649" t="s">
        <v>102</v>
      </c>
      <c r="AW649" t="s">
        <v>102</v>
      </c>
      <c r="AX649" t="s">
        <v>119</v>
      </c>
      <c r="BA649" t="s">
        <v>250</v>
      </c>
      <c r="BB649" t="s">
        <v>209</v>
      </c>
      <c r="BC649" t="s">
        <v>409</v>
      </c>
      <c r="BD649" t="s">
        <v>410</v>
      </c>
      <c r="BE649" t="s">
        <v>212</v>
      </c>
      <c r="BF649" t="s">
        <v>410</v>
      </c>
      <c r="BG649" t="s">
        <v>124</v>
      </c>
      <c r="BH649" t="s">
        <v>19143</v>
      </c>
      <c r="BI649" t="s">
        <v>21806</v>
      </c>
      <c r="BJ649" t="s">
        <v>127</v>
      </c>
      <c r="BK649" t="s">
        <v>26563</v>
      </c>
      <c r="BL649" t="s">
        <v>26564</v>
      </c>
      <c r="BM649" t="s">
        <v>26565</v>
      </c>
      <c r="BN649" t="s">
        <v>12752</v>
      </c>
      <c r="BO649" t="s">
        <v>4053</v>
      </c>
      <c r="BP649" t="s">
        <v>132</v>
      </c>
      <c r="BQ649" t="s">
        <v>4054</v>
      </c>
      <c r="BR649" t="s">
        <v>4055</v>
      </c>
      <c r="BS649" t="s">
        <v>4056</v>
      </c>
      <c r="BU649" t="s">
        <v>26566</v>
      </c>
      <c r="BV649" t="s">
        <v>26567</v>
      </c>
      <c r="BW649" t="s">
        <v>138</v>
      </c>
      <c r="BX649" t="s">
        <v>26568</v>
      </c>
      <c r="BY649" t="s">
        <v>26569</v>
      </c>
      <c r="BZ649" t="s">
        <v>26570</v>
      </c>
      <c r="CA649" t="s">
        <v>26571</v>
      </c>
      <c r="CB649" t="s">
        <v>26572</v>
      </c>
      <c r="CC649" t="s">
        <v>26573</v>
      </c>
      <c r="CD649" t="s">
        <v>26574</v>
      </c>
      <c r="CE649" t="s">
        <v>26572</v>
      </c>
      <c r="CF649" t="s">
        <v>26575</v>
      </c>
      <c r="CG649" t="s">
        <v>102</v>
      </c>
      <c r="CH649" t="s">
        <v>26576</v>
      </c>
      <c r="CJ649" t="s">
        <v>3707</v>
      </c>
      <c r="CK649" t="s">
        <v>26576</v>
      </c>
      <c r="CL649" t="s">
        <v>409</v>
      </c>
      <c r="CM649" t="s">
        <v>410</v>
      </c>
      <c r="CN649" t="s">
        <v>3707</v>
      </c>
      <c r="CP649" t="s">
        <v>26577</v>
      </c>
      <c r="CQ649" t="s">
        <v>26577</v>
      </c>
    </row>
    <row r="650" spans="1:95" customFormat="1">
      <c r="A650" t="s">
        <v>337</v>
      </c>
      <c r="B650">
        <v>5136172</v>
      </c>
      <c r="C650" s="50"/>
      <c r="D650" t="s">
        <v>23640</v>
      </c>
      <c r="E650" s="50"/>
      <c r="I650" s="50"/>
      <c r="J650" s="51"/>
      <c r="K650" t="s">
        <v>848</v>
      </c>
      <c r="L650">
        <v>457742</v>
      </c>
      <c r="M650">
        <v>540136</v>
      </c>
      <c r="N650">
        <v>0</v>
      </c>
      <c r="O650">
        <v>0</v>
      </c>
      <c r="Q650">
        <v>0</v>
      </c>
      <c r="R650">
        <v>0</v>
      </c>
      <c r="T650">
        <v>457742</v>
      </c>
      <c r="U650">
        <v>450</v>
      </c>
      <c r="V650" t="s">
        <v>3924</v>
      </c>
      <c r="W650" t="s">
        <v>102</v>
      </c>
      <c r="X650" t="s">
        <v>103</v>
      </c>
      <c r="Y650" t="s">
        <v>155</v>
      </c>
      <c r="AA650" t="s">
        <v>23642</v>
      </c>
      <c r="AB650" t="s">
        <v>23643</v>
      </c>
      <c r="AC650" t="s">
        <v>23644</v>
      </c>
      <c r="AD650" t="s">
        <v>23643</v>
      </c>
      <c r="AE650" t="s">
        <v>23372</v>
      </c>
      <c r="AF650" t="s">
        <v>23643</v>
      </c>
      <c r="AG650" t="s">
        <v>22204</v>
      </c>
      <c r="AH650" t="s">
        <v>23643</v>
      </c>
      <c r="AI650" t="s">
        <v>102</v>
      </c>
      <c r="AJ650" t="s">
        <v>23517</v>
      </c>
      <c r="AK650" t="s">
        <v>23517</v>
      </c>
      <c r="AL650" t="s">
        <v>23643</v>
      </c>
      <c r="AM650" t="s">
        <v>13597</v>
      </c>
      <c r="AN650" t="s">
        <v>24680</v>
      </c>
      <c r="AO650" t="s">
        <v>2353</v>
      </c>
      <c r="AP650" t="s">
        <v>2353</v>
      </c>
      <c r="AU650" t="s">
        <v>102</v>
      </c>
      <c r="AW650" t="s">
        <v>102</v>
      </c>
      <c r="AX650" t="s">
        <v>119</v>
      </c>
      <c r="BA650" t="s">
        <v>250</v>
      </c>
      <c r="BB650" t="s">
        <v>120</v>
      </c>
      <c r="BC650" t="s">
        <v>23645</v>
      </c>
      <c r="BD650" t="s">
        <v>173</v>
      </c>
      <c r="BE650" t="s">
        <v>174</v>
      </c>
      <c r="BF650" t="s">
        <v>173</v>
      </c>
      <c r="BG650" t="s">
        <v>124</v>
      </c>
      <c r="BH650" t="s">
        <v>12250</v>
      </c>
      <c r="BI650" t="s">
        <v>21667</v>
      </c>
      <c r="BJ650" t="s">
        <v>127</v>
      </c>
      <c r="BK650" t="s">
        <v>23646</v>
      </c>
      <c r="BL650" t="s">
        <v>23647</v>
      </c>
      <c r="BM650" t="s">
        <v>23648</v>
      </c>
      <c r="BN650" t="s">
        <v>13131</v>
      </c>
      <c r="BO650" t="s">
        <v>9823</v>
      </c>
      <c r="BP650" t="s">
        <v>180</v>
      </c>
      <c r="BQ650" t="s">
        <v>9824</v>
      </c>
      <c r="BR650" t="s">
        <v>9825</v>
      </c>
      <c r="BS650" t="s">
        <v>1176</v>
      </c>
      <c r="BU650" t="s">
        <v>23649</v>
      </c>
      <c r="BV650" t="s">
        <v>23650</v>
      </c>
      <c r="BW650" t="s">
        <v>138</v>
      </c>
      <c r="BX650" t="s">
        <v>23651</v>
      </c>
      <c r="BY650" t="s">
        <v>23652</v>
      </c>
      <c r="BZ650" t="s">
        <v>23653</v>
      </c>
      <c r="CA650" t="s">
        <v>23650</v>
      </c>
      <c r="CB650" t="s">
        <v>23651</v>
      </c>
      <c r="CC650" t="s">
        <v>23652</v>
      </c>
      <c r="CD650" t="s">
        <v>23650</v>
      </c>
      <c r="CE650" t="s">
        <v>23651</v>
      </c>
      <c r="CF650" t="s">
        <v>23652</v>
      </c>
      <c r="CG650" t="s">
        <v>2819</v>
      </c>
      <c r="CH650" t="s">
        <v>23654</v>
      </c>
      <c r="CJ650" t="s">
        <v>23655</v>
      </c>
      <c r="CK650" t="s">
        <v>23654</v>
      </c>
      <c r="CL650" t="s">
        <v>23645</v>
      </c>
      <c r="CM650" t="s">
        <v>173</v>
      </c>
      <c r="CN650" t="s">
        <v>23655</v>
      </c>
      <c r="CP650" t="s">
        <v>23645</v>
      </c>
      <c r="CQ650" t="s">
        <v>23645</v>
      </c>
    </row>
    <row r="651" spans="1:95" customFormat="1">
      <c r="A651" t="s">
        <v>337</v>
      </c>
      <c r="B651">
        <v>5137343</v>
      </c>
      <c r="C651" s="50"/>
      <c r="D651" t="s">
        <v>24681</v>
      </c>
      <c r="E651" s="50"/>
      <c r="I651" s="50"/>
      <c r="J651" s="51"/>
      <c r="K651" t="s">
        <v>193</v>
      </c>
      <c r="L651">
        <v>360122</v>
      </c>
      <c r="M651">
        <v>415197</v>
      </c>
      <c r="N651">
        <v>54150</v>
      </c>
      <c r="O651">
        <v>361</v>
      </c>
      <c r="P651" t="s">
        <v>24049</v>
      </c>
      <c r="Q651">
        <v>0</v>
      </c>
      <c r="R651">
        <v>0</v>
      </c>
      <c r="T651">
        <v>305972</v>
      </c>
      <c r="U651">
        <v>361</v>
      </c>
      <c r="V651" t="s">
        <v>19950</v>
      </c>
      <c r="W651" t="s">
        <v>102</v>
      </c>
      <c r="X651" t="s">
        <v>103</v>
      </c>
      <c r="Y651" t="s">
        <v>104</v>
      </c>
      <c r="AA651" t="s">
        <v>24684</v>
      </c>
      <c r="AB651" t="s">
        <v>24685</v>
      </c>
      <c r="AC651" t="s">
        <v>24686</v>
      </c>
      <c r="AD651" t="s">
        <v>24687</v>
      </c>
      <c r="AE651" t="s">
        <v>109</v>
      </c>
      <c r="AF651" t="s">
        <v>102</v>
      </c>
      <c r="AG651" t="s">
        <v>109</v>
      </c>
      <c r="AH651" t="s">
        <v>102</v>
      </c>
      <c r="AI651" t="s">
        <v>102</v>
      </c>
      <c r="AJ651" t="s">
        <v>26006</v>
      </c>
      <c r="AK651" t="s">
        <v>26006</v>
      </c>
      <c r="AL651" t="s">
        <v>24685</v>
      </c>
      <c r="AM651" t="s">
        <v>26007</v>
      </c>
      <c r="AN651" t="s">
        <v>26008</v>
      </c>
      <c r="AO651" t="s">
        <v>24688</v>
      </c>
      <c r="AP651" t="s">
        <v>24689</v>
      </c>
      <c r="AQ651" t="s">
        <v>102</v>
      </c>
      <c r="AR651" t="s">
        <v>102</v>
      </c>
      <c r="AS651" t="s">
        <v>102</v>
      </c>
      <c r="AT651" t="s">
        <v>102</v>
      </c>
      <c r="AU651" t="s">
        <v>247</v>
      </c>
      <c r="AV651" t="s">
        <v>118</v>
      </c>
      <c r="AW651" t="s">
        <v>102</v>
      </c>
      <c r="AX651" t="s">
        <v>119</v>
      </c>
      <c r="BA651" t="s">
        <v>250</v>
      </c>
      <c r="BB651" t="s">
        <v>120</v>
      </c>
      <c r="BC651" t="s">
        <v>1729</v>
      </c>
      <c r="BD651" t="s">
        <v>730</v>
      </c>
      <c r="BE651" t="s">
        <v>622</v>
      </c>
      <c r="BF651" t="s">
        <v>730</v>
      </c>
      <c r="BG651" t="s">
        <v>124</v>
      </c>
      <c r="BH651" t="s">
        <v>19143</v>
      </c>
      <c r="BI651" t="s">
        <v>21806</v>
      </c>
      <c r="BJ651" t="s">
        <v>127</v>
      </c>
      <c r="BK651" t="s">
        <v>24690</v>
      </c>
      <c r="BL651" t="s">
        <v>24691</v>
      </c>
      <c r="BM651" t="s">
        <v>24692</v>
      </c>
      <c r="BN651" t="s">
        <v>24682</v>
      </c>
      <c r="BO651" t="s">
        <v>3910</v>
      </c>
      <c r="BP651" t="s">
        <v>696</v>
      </c>
      <c r="BQ651" t="s">
        <v>3911</v>
      </c>
      <c r="BR651" t="s">
        <v>3912</v>
      </c>
      <c r="BS651" t="s">
        <v>7862</v>
      </c>
      <c r="BU651" t="s">
        <v>24693</v>
      </c>
      <c r="BV651" t="s">
        <v>24694</v>
      </c>
      <c r="BW651" t="s">
        <v>598</v>
      </c>
      <c r="BX651" t="s">
        <v>24695</v>
      </c>
      <c r="BY651" t="s">
        <v>24696</v>
      </c>
      <c r="BZ651" t="s">
        <v>24697</v>
      </c>
      <c r="CA651" t="s">
        <v>24698</v>
      </c>
      <c r="CB651" t="s">
        <v>24699</v>
      </c>
      <c r="CC651" t="s">
        <v>24700</v>
      </c>
      <c r="CD651" t="s">
        <v>24698</v>
      </c>
      <c r="CE651" t="s">
        <v>24699</v>
      </c>
      <c r="CF651" t="s">
        <v>24700</v>
      </c>
      <c r="CG651" t="s">
        <v>24701</v>
      </c>
      <c r="CH651" t="s">
        <v>24702</v>
      </c>
      <c r="CJ651" t="s">
        <v>10421</v>
      </c>
      <c r="CK651" t="s">
        <v>24703</v>
      </c>
      <c r="CL651" t="s">
        <v>1729</v>
      </c>
      <c r="CM651" t="s">
        <v>730</v>
      </c>
      <c r="CN651" t="s">
        <v>10421</v>
      </c>
      <c r="CP651" t="s">
        <v>24704</v>
      </c>
      <c r="CQ651" t="s">
        <v>24704</v>
      </c>
    </row>
    <row r="652" spans="1:95" customFormat="1">
      <c r="A652" t="s">
        <v>337</v>
      </c>
      <c r="B652">
        <v>5137855</v>
      </c>
      <c r="C652" s="50"/>
      <c r="D652" t="s">
        <v>24705</v>
      </c>
      <c r="E652" s="50"/>
      <c r="I652" s="50"/>
      <c r="J652" s="51"/>
      <c r="K652" t="s">
        <v>97</v>
      </c>
      <c r="L652">
        <v>373827</v>
      </c>
      <c r="M652">
        <v>373827</v>
      </c>
      <c r="N652">
        <v>747654</v>
      </c>
      <c r="O652">
        <v>1068</v>
      </c>
      <c r="P652" t="s">
        <v>799</v>
      </c>
      <c r="Q652">
        <v>0</v>
      </c>
      <c r="R652">
        <v>0</v>
      </c>
      <c r="T652">
        <v>0</v>
      </c>
      <c r="U652">
        <v>0</v>
      </c>
      <c r="W652" t="s">
        <v>102</v>
      </c>
      <c r="X652" t="s">
        <v>103</v>
      </c>
      <c r="Y652" t="s">
        <v>104</v>
      </c>
      <c r="AA652" t="s">
        <v>24708</v>
      </c>
      <c r="AB652" t="s">
        <v>24709</v>
      </c>
      <c r="AC652" t="s">
        <v>21664</v>
      </c>
      <c r="AD652" t="s">
        <v>24709</v>
      </c>
      <c r="AE652" t="s">
        <v>109</v>
      </c>
      <c r="AF652" t="s">
        <v>102</v>
      </c>
      <c r="AG652" t="s">
        <v>109</v>
      </c>
      <c r="AH652" t="s">
        <v>102</v>
      </c>
      <c r="AI652" t="s">
        <v>102</v>
      </c>
      <c r="AL652" t="s">
        <v>102</v>
      </c>
      <c r="AM652" t="s">
        <v>102</v>
      </c>
      <c r="AN652" t="s">
        <v>102</v>
      </c>
      <c r="AO652" t="s">
        <v>3305</v>
      </c>
      <c r="AP652" t="s">
        <v>3305</v>
      </c>
      <c r="AU652" t="s">
        <v>318</v>
      </c>
      <c r="AV652" t="s">
        <v>118</v>
      </c>
      <c r="AW652" t="s">
        <v>102</v>
      </c>
      <c r="AX652" t="s">
        <v>119</v>
      </c>
      <c r="BB652" t="s">
        <v>10399</v>
      </c>
      <c r="BC652" t="s">
        <v>15806</v>
      </c>
      <c r="BD652" t="s">
        <v>730</v>
      </c>
      <c r="BE652" t="s">
        <v>622</v>
      </c>
      <c r="BF652" t="s">
        <v>730</v>
      </c>
      <c r="BG652" t="s">
        <v>124</v>
      </c>
      <c r="BH652" t="s">
        <v>19143</v>
      </c>
      <c r="BI652" t="s">
        <v>21806</v>
      </c>
      <c r="BJ652" t="s">
        <v>127</v>
      </c>
      <c r="BK652" t="s">
        <v>24710</v>
      </c>
      <c r="BL652" t="s">
        <v>24711</v>
      </c>
      <c r="BM652" t="s">
        <v>24712</v>
      </c>
      <c r="BN652" t="s">
        <v>24706</v>
      </c>
      <c r="BO652" t="s">
        <v>2262</v>
      </c>
      <c r="BP652" t="s">
        <v>505</v>
      </c>
      <c r="BQ652" t="s">
        <v>2263</v>
      </c>
      <c r="BR652" t="s">
        <v>2264</v>
      </c>
      <c r="BS652" t="s">
        <v>5199</v>
      </c>
      <c r="BU652" t="s">
        <v>24713</v>
      </c>
      <c r="BV652" t="s">
        <v>24714</v>
      </c>
      <c r="BW652" t="s">
        <v>598</v>
      </c>
      <c r="BX652" t="s">
        <v>24715</v>
      </c>
      <c r="BY652" t="s">
        <v>24716</v>
      </c>
      <c r="BZ652" t="s">
        <v>24715</v>
      </c>
      <c r="CA652" t="s">
        <v>24714</v>
      </c>
      <c r="CB652" t="s">
        <v>24715</v>
      </c>
      <c r="CC652" t="s">
        <v>24716</v>
      </c>
      <c r="CD652" t="s">
        <v>24714</v>
      </c>
      <c r="CE652" t="s">
        <v>24715</v>
      </c>
      <c r="CF652" t="s">
        <v>24716</v>
      </c>
      <c r="CG652" t="s">
        <v>24717</v>
      </c>
      <c r="CH652" t="s">
        <v>24718</v>
      </c>
      <c r="CJ652" t="s">
        <v>15821</v>
      </c>
      <c r="CK652" t="s">
        <v>24719</v>
      </c>
      <c r="CL652" t="s">
        <v>15806</v>
      </c>
      <c r="CM652" t="s">
        <v>730</v>
      </c>
      <c r="CN652" t="s">
        <v>15821</v>
      </c>
      <c r="CP652" t="s">
        <v>24720</v>
      </c>
      <c r="CQ652" t="s">
        <v>24720</v>
      </c>
    </row>
    <row r="653" spans="1:95" customFormat="1">
      <c r="A653" t="s">
        <v>337</v>
      </c>
      <c r="B653">
        <v>5137966</v>
      </c>
      <c r="C653" s="50"/>
      <c r="D653" t="s">
        <v>25403</v>
      </c>
      <c r="E653" s="50"/>
      <c r="I653" s="50"/>
      <c r="J653" s="51"/>
      <c r="K653" t="s">
        <v>848</v>
      </c>
      <c r="L653">
        <v>189162</v>
      </c>
      <c r="M653">
        <v>223211</v>
      </c>
      <c r="N653">
        <v>0</v>
      </c>
      <c r="O653">
        <v>0</v>
      </c>
      <c r="Q653">
        <v>0</v>
      </c>
      <c r="R653">
        <v>0</v>
      </c>
      <c r="T653">
        <v>189162</v>
      </c>
      <c r="U653">
        <v>186</v>
      </c>
      <c r="V653" t="s">
        <v>3924</v>
      </c>
      <c r="W653" t="s">
        <v>102</v>
      </c>
      <c r="X653" t="s">
        <v>103</v>
      </c>
      <c r="Y653" t="s">
        <v>104</v>
      </c>
      <c r="AA653" t="s">
        <v>23756</v>
      </c>
      <c r="AB653" t="s">
        <v>25405</v>
      </c>
      <c r="AC653" t="s">
        <v>21828</v>
      </c>
      <c r="AD653" t="s">
        <v>25405</v>
      </c>
      <c r="AE653" t="s">
        <v>109</v>
      </c>
      <c r="AF653" t="s">
        <v>102</v>
      </c>
      <c r="AG653" t="s">
        <v>109</v>
      </c>
      <c r="AH653" t="s">
        <v>102</v>
      </c>
      <c r="AI653" t="s">
        <v>102</v>
      </c>
      <c r="AJ653" t="s">
        <v>25301</v>
      </c>
      <c r="AK653" t="s">
        <v>25301</v>
      </c>
      <c r="AL653" t="s">
        <v>25405</v>
      </c>
      <c r="AM653" t="s">
        <v>25406</v>
      </c>
      <c r="AN653" t="s">
        <v>25407</v>
      </c>
      <c r="AO653" t="s">
        <v>3213</v>
      </c>
      <c r="AP653" t="s">
        <v>3213</v>
      </c>
      <c r="AU653" t="s">
        <v>102</v>
      </c>
      <c r="AW653" t="s">
        <v>102</v>
      </c>
      <c r="AX653" t="s">
        <v>119</v>
      </c>
      <c r="BA653" t="s">
        <v>250</v>
      </c>
      <c r="BB653" t="s">
        <v>120</v>
      </c>
      <c r="BC653" t="s">
        <v>25408</v>
      </c>
      <c r="BD653" t="s">
        <v>285</v>
      </c>
      <c r="BE653" t="s">
        <v>212</v>
      </c>
      <c r="BF653" t="s">
        <v>286</v>
      </c>
      <c r="BG653" t="s">
        <v>124</v>
      </c>
      <c r="BH653" t="s">
        <v>23756</v>
      </c>
      <c r="BI653" t="s">
        <v>25409</v>
      </c>
      <c r="BJ653" t="s">
        <v>127</v>
      </c>
      <c r="BK653" t="s">
        <v>25410</v>
      </c>
      <c r="BL653" t="s">
        <v>25411</v>
      </c>
      <c r="BM653" t="s">
        <v>25412</v>
      </c>
      <c r="BN653" t="s">
        <v>24156</v>
      </c>
      <c r="BO653" t="s">
        <v>4955</v>
      </c>
      <c r="BP653" t="s">
        <v>132</v>
      </c>
      <c r="BQ653" t="s">
        <v>4956</v>
      </c>
      <c r="BR653" t="s">
        <v>4957</v>
      </c>
      <c r="BS653" t="s">
        <v>1702</v>
      </c>
      <c r="BU653" t="s">
        <v>25413</v>
      </c>
      <c r="BV653" t="s">
        <v>25414</v>
      </c>
      <c r="BW653" t="s">
        <v>138</v>
      </c>
      <c r="BX653" t="s">
        <v>25415</v>
      </c>
      <c r="BY653" t="s">
        <v>25416</v>
      </c>
      <c r="BZ653" t="s">
        <v>25415</v>
      </c>
      <c r="CA653" t="s">
        <v>25417</v>
      </c>
      <c r="CB653" t="s">
        <v>25415</v>
      </c>
      <c r="CC653" t="s">
        <v>25416</v>
      </c>
      <c r="CD653" t="s">
        <v>25417</v>
      </c>
      <c r="CE653" t="s">
        <v>25415</v>
      </c>
      <c r="CF653" t="s">
        <v>25416</v>
      </c>
      <c r="CG653" t="s">
        <v>2270</v>
      </c>
      <c r="CH653" t="s">
        <v>25418</v>
      </c>
      <c r="CJ653" t="s">
        <v>25419</v>
      </c>
      <c r="CK653" t="s">
        <v>25418</v>
      </c>
      <c r="CL653" t="s">
        <v>25408</v>
      </c>
      <c r="CM653" t="s">
        <v>285</v>
      </c>
      <c r="CN653" t="s">
        <v>25419</v>
      </c>
      <c r="CP653" t="s">
        <v>25420</v>
      </c>
      <c r="CQ653" t="s">
        <v>25421</v>
      </c>
    </row>
    <row r="654" spans="1:95" customFormat="1">
      <c r="A654" t="s">
        <v>26356</v>
      </c>
      <c r="B654">
        <v>5138020</v>
      </c>
      <c r="C654" s="50"/>
      <c r="D654" t="s">
        <v>25422</v>
      </c>
      <c r="E654" s="50"/>
      <c r="I654" s="50"/>
      <c r="J654" s="51"/>
      <c r="K654" t="s">
        <v>848</v>
      </c>
      <c r="L654">
        <v>246672</v>
      </c>
      <c r="M654">
        <v>291073</v>
      </c>
      <c r="N654">
        <v>0</v>
      </c>
      <c r="O654">
        <v>0</v>
      </c>
      <c r="Q654">
        <v>0</v>
      </c>
      <c r="R654">
        <v>0</v>
      </c>
      <c r="T654">
        <v>246672</v>
      </c>
      <c r="U654">
        <v>485</v>
      </c>
      <c r="V654" t="s">
        <v>196</v>
      </c>
      <c r="W654" t="s">
        <v>102</v>
      </c>
      <c r="X654" t="s">
        <v>103</v>
      </c>
      <c r="Y654" t="s">
        <v>104</v>
      </c>
      <c r="AA654" t="s">
        <v>22459</v>
      </c>
      <c r="AB654" t="s">
        <v>25424</v>
      </c>
      <c r="AC654" t="s">
        <v>21828</v>
      </c>
      <c r="AD654" t="s">
        <v>25424</v>
      </c>
      <c r="AE654" t="s">
        <v>109</v>
      </c>
      <c r="AF654" t="s">
        <v>102</v>
      </c>
      <c r="AG654" t="s">
        <v>109</v>
      </c>
      <c r="AH654" t="s">
        <v>102</v>
      </c>
      <c r="AI654" t="s">
        <v>102</v>
      </c>
      <c r="AJ654" t="s">
        <v>25719</v>
      </c>
      <c r="AK654" t="s">
        <v>25719</v>
      </c>
      <c r="AL654" t="s">
        <v>102</v>
      </c>
      <c r="AM654" t="s">
        <v>13597</v>
      </c>
      <c r="AN654" t="s">
        <v>24990</v>
      </c>
      <c r="AO654" t="s">
        <v>20895</v>
      </c>
      <c r="AP654" t="s">
        <v>20895</v>
      </c>
      <c r="AU654" t="s">
        <v>102</v>
      </c>
      <c r="AW654" t="s">
        <v>102</v>
      </c>
      <c r="AX654" t="s">
        <v>119</v>
      </c>
      <c r="BA654" t="s">
        <v>250</v>
      </c>
      <c r="BB654" t="s">
        <v>120</v>
      </c>
      <c r="BC654" t="s">
        <v>16471</v>
      </c>
      <c r="BD654" t="s">
        <v>376</v>
      </c>
      <c r="BE654" t="s">
        <v>174</v>
      </c>
      <c r="BF654" t="s">
        <v>376</v>
      </c>
      <c r="BG654" t="s">
        <v>124</v>
      </c>
      <c r="BH654" t="s">
        <v>12250</v>
      </c>
      <c r="BI654" t="s">
        <v>21667</v>
      </c>
      <c r="BJ654" t="s">
        <v>127</v>
      </c>
      <c r="BK654" t="s">
        <v>25425</v>
      </c>
      <c r="BL654" t="s">
        <v>25426</v>
      </c>
      <c r="BM654" t="s">
        <v>25427</v>
      </c>
      <c r="BN654" t="s">
        <v>15028</v>
      </c>
      <c r="BO654" t="s">
        <v>13780</v>
      </c>
      <c r="BP654" t="s">
        <v>180</v>
      </c>
      <c r="BQ654" t="s">
        <v>13781</v>
      </c>
      <c r="BR654" t="s">
        <v>13782</v>
      </c>
      <c r="BS654" t="s">
        <v>13783</v>
      </c>
      <c r="BU654" t="s">
        <v>25428</v>
      </c>
      <c r="BV654" t="s">
        <v>25429</v>
      </c>
      <c r="BW654" t="s">
        <v>138</v>
      </c>
      <c r="BX654" t="s">
        <v>25430</v>
      </c>
      <c r="BY654" t="s">
        <v>25431</v>
      </c>
      <c r="BZ654" t="s">
        <v>25430</v>
      </c>
      <c r="CA654" t="s">
        <v>25432</v>
      </c>
      <c r="CB654" t="s">
        <v>25430</v>
      </c>
      <c r="CC654" t="s">
        <v>25431</v>
      </c>
      <c r="CD654" t="s">
        <v>25432</v>
      </c>
      <c r="CE654" t="s">
        <v>25430</v>
      </c>
      <c r="CF654" t="s">
        <v>25431</v>
      </c>
      <c r="CG654" t="s">
        <v>6370</v>
      </c>
      <c r="CH654" t="s">
        <v>25433</v>
      </c>
      <c r="CJ654" t="s">
        <v>25434</v>
      </c>
      <c r="CK654" t="s">
        <v>25435</v>
      </c>
      <c r="CL654" t="s">
        <v>16471</v>
      </c>
      <c r="CM654" t="s">
        <v>376</v>
      </c>
      <c r="CN654" t="s">
        <v>25434</v>
      </c>
      <c r="CP654" t="s">
        <v>25436</v>
      </c>
      <c r="CQ654" t="s">
        <v>25437</v>
      </c>
    </row>
    <row r="655" spans="1:95" customFormat="1">
      <c r="A655" t="s">
        <v>337</v>
      </c>
      <c r="B655">
        <v>5138364</v>
      </c>
      <c r="C655" s="50"/>
      <c r="D655" t="s">
        <v>24721</v>
      </c>
      <c r="E655" s="50"/>
      <c r="I655" s="50"/>
      <c r="J655" s="51"/>
      <c r="K655" t="s">
        <v>848</v>
      </c>
      <c r="L655">
        <v>645795</v>
      </c>
      <c r="M655">
        <v>762038</v>
      </c>
      <c r="N655">
        <v>0</v>
      </c>
      <c r="O655">
        <v>0</v>
      </c>
      <c r="Q655">
        <v>0</v>
      </c>
      <c r="R655">
        <v>0</v>
      </c>
      <c r="T655">
        <v>645795</v>
      </c>
      <c r="U655">
        <v>635</v>
      </c>
      <c r="V655" t="s">
        <v>3924</v>
      </c>
      <c r="W655" t="s">
        <v>102</v>
      </c>
      <c r="X655" t="s">
        <v>103</v>
      </c>
      <c r="Y655" t="s">
        <v>104</v>
      </c>
      <c r="AA655" t="s">
        <v>23505</v>
      </c>
      <c r="AB655" t="s">
        <v>24723</v>
      </c>
      <c r="AC655" t="s">
        <v>21828</v>
      </c>
      <c r="AD655" t="s">
        <v>24723</v>
      </c>
      <c r="AE655" t="s">
        <v>109</v>
      </c>
      <c r="AF655" t="s">
        <v>102</v>
      </c>
      <c r="AG655" t="s">
        <v>109</v>
      </c>
      <c r="AH655" t="s">
        <v>102</v>
      </c>
      <c r="AI655" t="s">
        <v>24724</v>
      </c>
      <c r="AJ655" t="s">
        <v>18927</v>
      </c>
      <c r="AK655" t="s">
        <v>18927</v>
      </c>
      <c r="AL655" t="s">
        <v>24723</v>
      </c>
      <c r="AM655" t="s">
        <v>24725</v>
      </c>
      <c r="AN655" t="s">
        <v>115</v>
      </c>
      <c r="AO655" t="s">
        <v>3213</v>
      </c>
      <c r="AP655" t="s">
        <v>3213</v>
      </c>
      <c r="AU655" t="s">
        <v>102</v>
      </c>
      <c r="AW655" t="s">
        <v>102</v>
      </c>
      <c r="AX655" t="s">
        <v>119</v>
      </c>
      <c r="BA655" t="s">
        <v>250</v>
      </c>
      <c r="BB655" t="s">
        <v>1242</v>
      </c>
      <c r="BC655" t="s">
        <v>284</v>
      </c>
      <c r="BD655" t="s">
        <v>285</v>
      </c>
      <c r="BE655" t="s">
        <v>212</v>
      </c>
      <c r="BF655" t="s">
        <v>286</v>
      </c>
      <c r="BG655" t="s">
        <v>124</v>
      </c>
      <c r="BH655" t="s">
        <v>21784</v>
      </c>
      <c r="BI655" t="s">
        <v>24435</v>
      </c>
      <c r="BJ655" t="s">
        <v>127</v>
      </c>
      <c r="BK655" t="s">
        <v>24726</v>
      </c>
      <c r="BL655" t="s">
        <v>24727</v>
      </c>
      <c r="BM655" t="s">
        <v>24728</v>
      </c>
      <c r="BN655" t="s">
        <v>21784</v>
      </c>
      <c r="BO655" t="s">
        <v>4955</v>
      </c>
      <c r="BP655" t="s">
        <v>132</v>
      </c>
      <c r="BQ655" t="s">
        <v>4956</v>
      </c>
      <c r="BR655" t="s">
        <v>4957</v>
      </c>
      <c r="BS655" t="s">
        <v>1702</v>
      </c>
      <c r="BU655" t="s">
        <v>24729</v>
      </c>
      <c r="BV655" t="s">
        <v>24730</v>
      </c>
      <c r="BW655" t="s">
        <v>138</v>
      </c>
      <c r="BX655" t="s">
        <v>24731</v>
      </c>
      <c r="BY655" t="s">
        <v>24732</v>
      </c>
      <c r="BZ655" t="s">
        <v>24733</v>
      </c>
      <c r="CA655" t="s">
        <v>24730</v>
      </c>
      <c r="CB655" t="s">
        <v>24731</v>
      </c>
      <c r="CC655" t="s">
        <v>24732</v>
      </c>
      <c r="CD655" t="s">
        <v>24730</v>
      </c>
      <c r="CE655" t="s">
        <v>24731</v>
      </c>
      <c r="CF655" t="s">
        <v>24732</v>
      </c>
      <c r="CG655" t="s">
        <v>3841</v>
      </c>
      <c r="CH655" t="s">
        <v>24734</v>
      </c>
      <c r="CJ655" t="s">
        <v>24735</v>
      </c>
      <c r="CK655" t="s">
        <v>24734</v>
      </c>
      <c r="CL655" t="s">
        <v>284</v>
      </c>
      <c r="CM655" t="s">
        <v>285</v>
      </c>
      <c r="CN655" t="s">
        <v>24735</v>
      </c>
      <c r="CO655" t="s">
        <v>24447</v>
      </c>
      <c r="CP655" t="s">
        <v>24734</v>
      </c>
      <c r="CQ655" t="s">
        <v>24734</v>
      </c>
    </row>
    <row r="656" spans="1:95" customFormat="1">
      <c r="A656" t="s">
        <v>26356</v>
      </c>
      <c r="B656">
        <v>5138547</v>
      </c>
      <c r="C656" s="50"/>
      <c r="D656" t="s">
        <v>25438</v>
      </c>
      <c r="E656" s="50"/>
      <c r="I656" s="50"/>
      <c r="J656" s="51"/>
      <c r="K656" t="s">
        <v>848</v>
      </c>
      <c r="L656">
        <v>492326</v>
      </c>
      <c r="M656">
        <v>580945</v>
      </c>
      <c r="N656">
        <v>0</v>
      </c>
      <c r="O656">
        <v>0</v>
      </c>
      <c r="Q656">
        <v>0</v>
      </c>
      <c r="R656">
        <v>0</v>
      </c>
      <c r="T656">
        <v>492326</v>
      </c>
      <c r="U656">
        <v>968</v>
      </c>
      <c r="V656" t="s">
        <v>196</v>
      </c>
      <c r="W656" t="s">
        <v>102</v>
      </c>
      <c r="X656" t="s">
        <v>103</v>
      </c>
      <c r="Y656" t="s">
        <v>104</v>
      </c>
      <c r="AA656" t="s">
        <v>22459</v>
      </c>
      <c r="AB656" t="s">
        <v>25440</v>
      </c>
      <c r="AC656" t="s">
        <v>21828</v>
      </c>
      <c r="AD656" t="s">
        <v>25440</v>
      </c>
      <c r="AE656" t="s">
        <v>109</v>
      </c>
      <c r="AF656" t="s">
        <v>102</v>
      </c>
      <c r="AG656" t="s">
        <v>109</v>
      </c>
      <c r="AH656" t="s">
        <v>102</v>
      </c>
      <c r="AI656" t="s">
        <v>102</v>
      </c>
      <c r="AL656" t="s">
        <v>102</v>
      </c>
      <c r="AM656" t="s">
        <v>102</v>
      </c>
      <c r="AN656" t="s">
        <v>102</v>
      </c>
      <c r="AO656" t="s">
        <v>20895</v>
      </c>
      <c r="AP656" t="s">
        <v>20895</v>
      </c>
      <c r="AU656" t="s">
        <v>102</v>
      </c>
      <c r="AW656" t="s">
        <v>102</v>
      </c>
      <c r="AX656" t="s">
        <v>119</v>
      </c>
      <c r="BA656" t="s">
        <v>250</v>
      </c>
      <c r="BB656" t="s">
        <v>120</v>
      </c>
      <c r="BC656" t="s">
        <v>13207</v>
      </c>
      <c r="BD656" t="s">
        <v>376</v>
      </c>
      <c r="BE656" t="s">
        <v>174</v>
      </c>
      <c r="BF656" t="s">
        <v>376</v>
      </c>
      <c r="BG656" t="s">
        <v>124</v>
      </c>
      <c r="BH656" t="s">
        <v>12250</v>
      </c>
      <c r="BI656" t="s">
        <v>21667</v>
      </c>
      <c r="BJ656" t="s">
        <v>127</v>
      </c>
      <c r="BK656" t="s">
        <v>25441</v>
      </c>
      <c r="BL656" t="s">
        <v>25442</v>
      </c>
      <c r="BM656" t="s">
        <v>25443</v>
      </c>
      <c r="BN656" t="s">
        <v>15028</v>
      </c>
      <c r="BO656" t="s">
        <v>13780</v>
      </c>
      <c r="BP656" t="s">
        <v>180</v>
      </c>
      <c r="BQ656" t="s">
        <v>13781</v>
      </c>
      <c r="BR656" t="s">
        <v>13782</v>
      </c>
      <c r="BS656" t="s">
        <v>13783</v>
      </c>
      <c r="BU656" t="s">
        <v>25444</v>
      </c>
      <c r="BV656" t="s">
        <v>25445</v>
      </c>
      <c r="BW656" t="s">
        <v>138</v>
      </c>
      <c r="BX656" t="s">
        <v>25446</v>
      </c>
      <c r="BY656" t="s">
        <v>25447</v>
      </c>
      <c r="BZ656" t="s">
        <v>25446</v>
      </c>
      <c r="CA656" t="s">
        <v>25448</v>
      </c>
      <c r="CB656" t="s">
        <v>25446</v>
      </c>
      <c r="CC656" t="s">
        <v>25447</v>
      </c>
      <c r="CD656" t="s">
        <v>25448</v>
      </c>
      <c r="CE656" t="s">
        <v>25446</v>
      </c>
      <c r="CF656" t="s">
        <v>25447</v>
      </c>
      <c r="CG656" t="s">
        <v>102</v>
      </c>
      <c r="CH656" t="s">
        <v>25449</v>
      </c>
      <c r="CJ656" t="s">
        <v>25450</v>
      </c>
      <c r="CK656" t="s">
        <v>25451</v>
      </c>
      <c r="CL656" t="s">
        <v>13207</v>
      </c>
      <c r="CM656" t="s">
        <v>376</v>
      </c>
      <c r="CN656" t="s">
        <v>25450</v>
      </c>
      <c r="CP656" t="s">
        <v>25449</v>
      </c>
      <c r="CQ656" t="s">
        <v>25449</v>
      </c>
    </row>
    <row r="657" spans="1:95" customFormat="1">
      <c r="A657" t="s">
        <v>26356</v>
      </c>
      <c r="B657">
        <v>5138757</v>
      </c>
      <c r="C657" s="50"/>
      <c r="D657" t="s">
        <v>25452</v>
      </c>
      <c r="E657" s="50"/>
      <c r="I657" s="50"/>
      <c r="J657" s="51"/>
      <c r="K657" t="s">
        <v>848</v>
      </c>
      <c r="L657">
        <v>175468</v>
      </c>
      <c r="M657">
        <v>207052</v>
      </c>
      <c r="N657">
        <v>0</v>
      </c>
      <c r="O657">
        <v>0</v>
      </c>
      <c r="Q657">
        <v>0</v>
      </c>
      <c r="R657">
        <v>0</v>
      </c>
      <c r="T657">
        <v>175468</v>
      </c>
      <c r="U657">
        <v>345</v>
      </c>
      <c r="V657" t="s">
        <v>196</v>
      </c>
      <c r="W657" t="s">
        <v>102</v>
      </c>
      <c r="X657" t="s">
        <v>103</v>
      </c>
      <c r="Y657" t="s">
        <v>104</v>
      </c>
      <c r="AA657" t="s">
        <v>22459</v>
      </c>
      <c r="AB657" t="s">
        <v>25454</v>
      </c>
      <c r="AC657" t="s">
        <v>21828</v>
      </c>
      <c r="AD657" t="s">
        <v>25454</v>
      </c>
      <c r="AE657" t="s">
        <v>109</v>
      </c>
      <c r="AF657" t="s">
        <v>102</v>
      </c>
      <c r="AG657" t="s">
        <v>109</v>
      </c>
      <c r="AH657" t="s">
        <v>102</v>
      </c>
      <c r="AI657" t="s">
        <v>102</v>
      </c>
      <c r="AJ657" t="s">
        <v>13662</v>
      </c>
      <c r="AK657" t="s">
        <v>13662</v>
      </c>
      <c r="AL657" t="s">
        <v>102</v>
      </c>
      <c r="AM657" t="s">
        <v>13597</v>
      </c>
      <c r="AN657" t="s">
        <v>24990</v>
      </c>
      <c r="AO657" t="s">
        <v>20895</v>
      </c>
      <c r="AP657" t="s">
        <v>20895</v>
      </c>
      <c r="AU657" t="s">
        <v>102</v>
      </c>
      <c r="AW657" t="s">
        <v>102</v>
      </c>
      <c r="AX657" t="s">
        <v>119</v>
      </c>
      <c r="BA657" t="s">
        <v>250</v>
      </c>
      <c r="BB657" t="s">
        <v>120</v>
      </c>
      <c r="BC657" t="s">
        <v>24991</v>
      </c>
      <c r="BD657" t="s">
        <v>376</v>
      </c>
      <c r="BE657" t="s">
        <v>174</v>
      </c>
      <c r="BF657" t="s">
        <v>376</v>
      </c>
      <c r="BG657" t="s">
        <v>124</v>
      </c>
      <c r="BH657" t="s">
        <v>12250</v>
      </c>
      <c r="BI657" t="s">
        <v>21667</v>
      </c>
      <c r="BJ657" t="s">
        <v>127</v>
      </c>
      <c r="BK657" t="s">
        <v>25455</v>
      </c>
      <c r="BL657" t="s">
        <v>25456</v>
      </c>
      <c r="BM657" t="s">
        <v>25457</v>
      </c>
      <c r="BN657" t="s">
        <v>15028</v>
      </c>
      <c r="BO657" t="s">
        <v>13780</v>
      </c>
      <c r="BP657" t="s">
        <v>180</v>
      </c>
      <c r="BQ657" t="s">
        <v>13781</v>
      </c>
      <c r="BR657" t="s">
        <v>13782</v>
      </c>
      <c r="BS657" t="s">
        <v>13783</v>
      </c>
      <c r="BU657" t="s">
        <v>25458</v>
      </c>
      <c r="BV657" t="s">
        <v>25459</v>
      </c>
      <c r="BW657" t="s">
        <v>138</v>
      </c>
      <c r="BX657" t="s">
        <v>25460</v>
      </c>
      <c r="BY657" t="s">
        <v>25461</v>
      </c>
      <c r="BZ657" t="s">
        <v>25460</v>
      </c>
      <c r="CA657" t="s">
        <v>25462</v>
      </c>
      <c r="CB657" t="s">
        <v>25460</v>
      </c>
      <c r="CC657" t="s">
        <v>25461</v>
      </c>
      <c r="CD657" t="s">
        <v>25462</v>
      </c>
      <c r="CE657" t="s">
        <v>25460</v>
      </c>
      <c r="CF657" t="s">
        <v>25461</v>
      </c>
      <c r="CG657" t="s">
        <v>102</v>
      </c>
      <c r="CH657" t="s">
        <v>25463</v>
      </c>
      <c r="CJ657" t="s">
        <v>25464</v>
      </c>
      <c r="CK657" t="s">
        <v>25465</v>
      </c>
      <c r="CL657" t="s">
        <v>24991</v>
      </c>
      <c r="CM657" t="s">
        <v>376</v>
      </c>
      <c r="CN657" t="s">
        <v>25464</v>
      </c>
      <c r="CP657" t="s">
        <v>25463</v>
      </c>
      <c r="CQ657" t="s">
        <v>25463</v>
      </c>
    </row>
    <row r="658" spans="1:95" customFormat="1">
      <c r="A658" t="s">
        <v>26356</v>
      </c>
      <c r="B658">
        <v>5139010</v>
      </c>
      <c r="C658" s="50"/>
      <c r="D658" t="s">
        <v>25466</v>
      </c>
      <c r="E658" s="50"/>
      <c r="I658" s="50"/>
      <c r="J658" s="51"/>
      <c r="K658" t="s">
        <v>848</v>
      </c>
      <c r="L658">
        <v>172925</v>
      </c>
      <c r="M658">
        <v>204052</v>
      </c>
      <c r="N658">
        <v>0</v>
      </c>
      <c r="O658">
        <v>0</v>
      </c>
      <c r="Q658">
        <v>0</v>
      </c>
      <c r="R658">
        <v>0</v>
      </c>
      <c r="T658">
        <v>172925</v>
      </c>
      <c r="U658">
        <v>340</v>
      </c>
      <c r="V658" t="s">
        <v>196</v>
      </c>
      <c r="W658" t="s">
        <v>102</v>
      </c>
      <c r="X658" t="s">
        <v>103</v>
      </c>
      <c r="Y658" t="s">
        <v>104</v>
      </c>
      <c r="AA658" t="s">
        <v>22459</v>
      </c>
      <c r="AB658" t="s">
        <v>25468</v>
      </c>
      <c r="AC658" t="s">
        <v>21828</v>
      </c>
      <c r="AD658" t="s">
        <v>25468</v>
      </c>
      <c r="AE658" t="s">
        <v>109</v>
      </c>
      <c r="AF658" t="s">
        <v>102</v>
      </c>
      <c r="AG658" t="s">
        <v>109</v>
      </c>
      <c r="AH658" t="s">
        <v>102</v>
      </c>
      <c r="AI658" t="s">
        <v>102</v>
      </c>
      <c r="AJ658" t="s">
        <v>26057</v>
      </c>
      <c r="AK658" t="s">
        <v>26057</v>
      </c>
      <c r="AL658" t="s">
        <v>102</v>
      </c>
      <c r="AM658" t="s">
        <v>13597</v>
      </c>
      <c r="AN658" t="s">
        <v>24990</v>
      </c>
      <c r="AO658" t="s">
        <v>20895</v>
      </c>
      <c r="AP658" t="s">
        <v>20895</v>
      </c>
      <c r="AU658" t="s">
        <v>102</v>
      </c>
      <c r="AW658" t="s">
        <v>102</v>
      </c>
      <c r="AX658" t="s">
        <v>119</v>
      </c>
      <c r="BA658" t="s">
        <v>250</v>
      </c>
      <c r="BB658" t="s">
        <v>120</v>
      </c>
      <c r="BC658" t="s">
        <v>19577</v>
      </c>
      <c r="BD658" t="s">
        <v>376</v>
      </c>
      <c r="BE658" t="s">
        <v>174</v>
      </c>
      <c r="BF658" t="s">
        <v>376</v>
      </c>
      <c r="BG658" t="s">
        <v>124</v>
      </c>
      <c r="BH658" t="s">
        <v>12250</v>
      </c>
      <c r="BI658" t="s">
        <v>21667</v>
      </c>
      <c r="BJ658" t="s">
        <v>127</v>
      </c>
      <c r="BK658" t="s">
        <v>25469</v>
      </c>
      <c r="BL658" t="s">
        <v>25470</v>
      </c>
      <c r="BM658" t="s">
        <v>25471</v>
      </c>
      <c r="BN658" t="s">
        <v>15028</v>
      </c>
      <c r="BO658" t="s">
        <v>13780</v>
      </c>
      <c r="BP658" t="s">
        <v>180</v>
      </c>
      <c r="BQ658" t="s">
        <v>13781</v>
      </c>
      <c r="BR658" t="s">
        <v>13782</v>
      </c>
      <c r="BS658" t="s">
        <v>13783</v>
      </c>
      <c r="BU658" t="s">
        <v>25472</v>
      </c>
      <c r="BV658" t="s">
        <v>25473</v>
      </c>
      <c r="BW658" t="s">
        <v>138</v>
      </c>
      <c r="BX658" t="s">
        <v>25474</v>
      </c>
      <c r="BY658" t="s">
        <v>25475</v>
      </c>
      <c r="BZ658" t="s">
        <v>25476</v>
      </c>
      <c r="CA658" t="s">
        <v>25477</v>
      </c>
      <c r="CB658" t="s">
        <v>25474</v>
      </c>
      <c r="CC658" t="s">
        <v>25475</v>
      </c>
      <c r="CD658" t="s">
        <v>25477</v>
      </c>
      <c r="CE658" t="s">
        <v>25474</v>
      </c>
      <c r="CF658" t="s">
        <v>25475</v>
      </c>
      <c r="CG658" t="s">
        <v>102</v>
      </c>
      <c r="CH658" t="s">
        <v>25478</v>
      </c>
      <c r="CJ658" t="s">
        <v>25479</v>
      </c>
      <c r="CK658" t="s">
        <v>25480</v>
      </c>
      <c r="CL658" t="s">
        <v>19577</v>
      </c>
      <c r="CM658" t="s">
        <v>376</v>
      </c>
      <c r="CN658" t="s">
        <v>25479</v>
      </c>
      <c r="CP658" t="s">
        <v>25478</v>
      </c>
      <c r="CQ658" t="s">
        <v>25478</v>
      </c>
    </row>
    <row r="659" spans="1:95" customFormat="1">
      <c r="A659" t="s">
        <v>337</v>
      </c>
      <c r="B659">
        <v>5139276</v>
      </c>
      <c r="C659" s="50"/>
      <c r="D659" t="s">
        <v>25481</v>
      </c>
      <c r="E659" s="50"/>
      <c r="I659" s="50"/>
      <c r="J659" s="51"/>
      <c r="K659" t="s">
        <v>848</v>
      </c>
      <c r="L659">
        <v>52884</v>
      </c>
      <c r="M659">
        <v>62403</v>
      </c>
      <c r="N659">
        <v>0</v>
      </c>
      <c r="O659">
        <v>0</v>
      </c>
      <c r="Q659">
        <v>0</v>
      </c>
      <c r="R659">
        <v>0</v>
      </c>
      <c r="T659">
        <v>52884</v>
      </c>
      <c r="U659">
        <v>52</v>
      </c>
      <c r="V659" t="s">
        <v>3924</v>
      </c>
      <c r="W659" t="s">
        <v>102</v>
      </c>
      <c r="X659" t="s">
        <v>103</v>
      </c>
      <c r="Y659" t="s">
        <v>104</v>
      </c>
      <c r="AA659" t="s">
        <v>23756</v>
      </c>
      <c r="AB659" t="s">
        <v>25483</v>
      </c>
      <c r="AC659" t="s">
        <v>21828</v>
      </c>
      <c r="AD659" t="s">
        <v>25483</v>
      </c>
      <c r="AE659" t="s">
        <v>109</v>
      </c>
      <c r="AF659" t="s">
        <v>102</v>
      </c>
      <c r="AG659" t="s">
        <v>109</v>
      </c>
      <c r="AH659" t="s">
        <v>102</v>
      </c>
      <c r="AI659" t="s">
        <v>102</v>
      </c>
      <c r="AJ659" t="s">
        <v>25301</v>
      </c>
      <c r="AK659" t="s">
        <v>25301</v>
      </c>
      <c r="AL659" t="s">
        <v>25483</v>
      </c>
      <c r="AM659" t="s">
        <v>25484</v>
      </c>
      <c r="AN659" t="s">
        <v>15308</v>
      </c>
      <c r="AO659" t="s">
        <v>3213</v>
      </c>
      <c r="AP659" t="s">
        <v>3213</v>
      </c>
      <c r="AU659" t="s">
        <v>102</v>
      </c>
      <c r="AW659" t="s">
        <v>102</v>
      </c>
      <c r="AX659" t="s">
        <v>119</v>
      </c>
      <c r="BA659" t="s">
        <v>250</v>
      </c>
      <c r="BB659" t="s">
        <v>120</v>
      </c>
      <c r="BC659" t="s">
        <v>3358</v>
      </c>
      <c r="BD659" t="s">
        <v>285</v>
      </c>
      <c r="BE659" t="s">
        <v>212</v>
      </c>
      <c r="BF659" t="s">
        <v>286</v>
      </c>
      <c r="BG659" t="s">
        <v>124</v>
      </c>
      <c r="BH659" t="s">
        <v>17605</v>
      </c>
      <c r="BI659" t="s">
        <v>25409</v>
      </c>
      <c r="BJ659" t="s">
        <v>127</v>
      </c>
      <c r="BK659" t="s">
        <v>25485</v>
      </c>
      <c r="BL659" t="s">
        <v>25486</v>
      </c>
      <c r="BM659" t="s">
        <v>25487</v>
      </c>
      <c r="BN659" t="s">
        <v>24156</v>
      </c>
      <c r="BO659" t="s">
        <v>4955</v>
      </c>
      <c r="BP659" t="s">
        <v>132</v>
      </c>
      <c r="BQ659" t="s">
        <v>4956</v>
      </c>
      <c r="BR659" t="s">
        <v>4957</v>
      </c>
      <c r="BS659" t="s">
        <v>1702</v>
      </c>
      <c r="BU659" t="s">
        <v>25488</v>
      </c>
      <c r="BV659" t="s">
        <v>25489</v>
      </c>
      <c r="BW659" t="s">
        <v>138</v>
      </c>
      <c r="BX659" t="s">
        <v>25415</v>
      </c>
      <c r="BY659" t="s">
        <v>25490</v>
      </c>
      <c r="BZ659" t="s">
        <v>25491</v>
      </c>
      <c r="CA659" t="s">
        <v>25417</v>
      </c>
      <c r="CB659" t="s">
        <v>25415</v>
      </c>
      <c r="CC659" t="s">
        <v>25490</v>
      </c>
      <c r="CD659" t="s">
        <v>25417</v>
      </c>
      <c r="CE659" t="s">
        <v>25415</v>
      </c>
      <c r="CF659" t="s">
        <v>25490</v>
      </c>
      <c r="CG659" t="s">
        <v>3841</v>
      </c>
      <c r="CH659" t="s">
        <v>25492</v>
      </c>
      <c r="CJ659" t="s">
        <v>25419</v>
      </c>
      <c r="CK659" t="s">
        <v>25493</v>
      </c>
      <c r="CL659" t="s">
        <v>3358</v>
      </c>
      <c r="CM659" t="s">
        <v>285</v>
      </c>
      <c r="CN659" t="s">
        <v>25419</v>
      </c>
      <c r="CP659" t="s">
        <v>3358</v>
      </c>
      <c r="CQ659" t="s">
        <v>3358</v>
      </c>
    </row>
    <row r="660" spans="1:95" customFormat="1">
      <c r="A660" t="s">
        <v>26646</v>
      </c>
      <c r="B660">
        <v>5139974</v>
      </c>
      <c r="C660" s="50"/>
      <c r="D660" t="s">
        <v>24736</v>
      </c>
      <c r="E660" s="50"/>
      <c r="I660" s="50"/>
      <c r="J660" s="51"/>
      <c r="K660" t="s">
        <v>97</v>
      </c>
      <c r="L660">
        <v>0</v>
      </c>
      <c r="M660">
        <v>0</v>
      </c>
      <c r="N660">
        <v>0</v>
      </c>
      <c r="O660">
        <v>115</v>
      </c>
      <c r="P660" t="s">
        <v>102</v>
      </c>
      <c r="Q660">
        <v>0</v>
      </c>
      <c r="R660">
        <v>0</v>
      </c>
      <c r="T660">
        <v>0</v>
      </c>
      <c r="U660">
        <v>0</v>
      </c>
      <c r="W660" t="s">
        <v>102</v>
      </c>
      <c r="X660" t="s">
        <v>275</v>
      </c>
      <c r="Z660" t="s">
        <v>12047</v>
      </c>
      <c r="AA660" t="s">
        <v>109</v>
      </c>
      <c r="AB660" t="s">
        <v>102</v>
      </c>
      <c r="AC660" t="s">
        <v>109</v>
      </c>
      <c r="AD660" t="s">
        <v>102</v>
      </c>
      <c r="AE660" t="s">
        <v>109</v>
      </c>
      <c r="AF660" t="s">
        <v>102</v>
      </c>
      <c r="AG660" t="s">
        <v>109</v>
      </c>
      <c r="AH660" t="s">
        <v>102</v>
      </c>
      <c r="AI660" t="s">
        <v>102</v>
      </c>
      <c r="AL660" t="s">
        <v>102</v>
      </c>
      <c r="AM660" t="s">
        <v>102</v>
      </c>
      <c r="AN660" t="s">
        <v>102</v>
      </c>
      <c r="AO660" t="s">
        <v>115</v>
      </c>
      <c r="AP660" t="s">
        <v>2202</v>
      </c>
      <c r="AQ660" t="s">
        <v>102</v>
      </c>
      <c r="AR660" t="s">
        <v>102</v>
      </c>
      <c r="AS660" t="s">
        <v>102</v>
      </c>
      <c r="AT660" t="s">
        <v>102</v>
      </c>
      <c r="AU660" t="s">
        <v>318</v>
      </c>
      <c r="AV660" t="s">
        <v>118</v>
      </c>
      <c r="AW660" t="s">
        <v>102</v>
      </c>
      <c r="AX660" t="s">
        <v>119</v>
      </c>
      <c r="BB660" t="s">
        <v>120</v>
      </c>
      <c r="BC660" t="s">
        <v>2327</v>
      </c>
      <c r="BD660" t="s">
        <v>730</v>
      </c>
      <c r="BE660" t="s">
        <v>622</v>
      </c>
      <c r="BF660" t="s">
        <v>730</v>
      </c>
      <c r="BG660" t="s">
        <v>124</v>
      </c>
      <c r="BH660" t="s">
        <v>12250</v>
      </c>
      <c r="BI660" t="s">
        <v>21667</v>
      </c>
      <c r="BJ660" t="s">
        <v>127</v>
      </c>
      <c r="BK660" t="s">
        <v>24738</v>
      </c>
      <c r="BL660" t="s">
        <v>24739</v>
      </c>
      <c r="BM660" t="s">
        <v>24740</v>
      </c>
      <c r="BN660" t="s">
        <v>21962</v>
      </c>
      <c r="BO660" t="s">
        <v>2262</v>
      </c>
      <c r="BP660" t="s">
        <v>505</v>
      </c>
      <c r="BQ660" t="s">
        <v>2263</v>
      </c>
      <c r="BR660" t="s">
        <v>2264</v>
      </c>
      <c r="BS660" t="s">
        <v>2569</v>
      </c>
      <c r="BU660" t="s">
        <v>24741</v>
      </c>
      <c r="BV660" t="s">
        <v>24742</v>
      </c>
      <c r="BW660" t="s">
        <v>138</v>
      </c>
      <c r="BX660" t="s">
        <v>2263</v>
      </c>
      <c r="BY660" t="s">
        <v>24311</v>
      </c>
      <c r="BZ660" t="s">
        <v>24312</v>
      </c>
      <c r="CA660" t="s">
        <v>24743</v>
      </c>
      <c r="CB660" t="s">
        <v>24313</v>
      </c>
      <c r="CC660" t="s">
        <v>24311</v>
      </c>
      <c r="CD660" t="s">
        <v>24743</v>
      </c>
      <c r="CE660" t="s">
        <v>24313</v>
      </c>
      <c r="CF660" t="s">
        <v>24311</v>
      </c>
      <c r="CG660" t="s">
        <v>24744</v>
      </c>
      <c r="CH660" t="s">
        <v>24315</v>
      </c>
      <c r="CJ660" t="s">
        <v>24316</v>
      </c>
      <c r="CK660" t="s">
        <v>24745</v>
      </c>
      <c r="CL660" t="s">
        <v>2327</v>
      </c>
      <c r="CM660" t="s">
        <v>730</v>
      </c>
      <c r="CN660" t="s">
        <v>24316</v>
      </c>
      <c r="CP660" t="s">
        <v>24315</v>
      </c>
      <c r="CQ660" t="s">
        <v>24315</v>
      </c>
    </row>
    <row r="661" spans="1:95" customFormat="1">
      <c r="A661" t="s">
        <v>337</v>
      </c>
      <c r="B661">
        <v>5140478</v>
      </c>
      <c r="C661" s="50"/>
      <c r="D661" t="s">
        <v>26009</v>
      </c>
      <c r="E661" s="50"/>
      <c r="I661" s="50"/>
      <c r="J661" s="51"/>
      <c r="K661" t="s">
        <v>152</v>
      </c>
      <c r="L661">
        <v>192003</v>
      </c>
      <c r="M661">
        <v>192003</v>
      </c>
      <c r="N661">
        <v>0</v>
      </c>
      <c r="O661">
        <v>0</v>
      </c>
      <c r="Q661">
        <v>192003</v>
      </c>
      <c r="R661">
        <v>240</v>
      </c>
      <c r="S661" t="s">
        <v>1297</v>
      </c>
      <c r="T661">
        <v>0</v>
      </c>
      <c r="U661">
        <v>0</v>
      </c>
      <c r="W661" t="s">
        <v>102</v>
      </c>
      <c r="X661" t="s">
        <v>103</v>
      </c>
      <c r="Y661" t="s">
        <v>155</v>
      </c>
      <c r="AA661" t="s">
        <v>25719</v>
      </c>
      <c r="AB661" t="s">
        <v>26011</v>
      </c>
      <c r="AC661" t="s">
        <v>21826</v>
      </c>
      <c r="AD661" t="s">
        <v>26011</v>
      </c>
      <c r="AE661" t="s">
        <v>21828</v>
      </c>
      <c r="AF661" t="s">
        <v>26011</v>
      </c>
      <c r="AG661" t="s">
        <v>21687</v>
      </c>
      <c r="AH661" t="s">
        <v>26011</v>
      </c>
      <c r="AI661" t="s">
        <v>102</v>
      </c>
      <c r="AL661" t="s">
        <v>26011</v>
      </c>
      <c r="AM661" t="s">
        <v>102</v>
      </c>
      <c r="AN661" t="s">
        <v>26011</v>
      </c>
      <c r="AO661" t="s">
        <v>26012</v>
      </c>
      <c r="AP661" t="s">
        <v>26012</v>
      </c>
      <c r="AU661" t="s">
        <v>102</v>
      </c>
      <c r="AW661" t="s">
        <v>104</v>
      </c>
      <c r="AX661" t="s">
        <v>447</v>
      </c>
      <c r="AY661" t="s">
        <v>170</v>
      </c>
      <c r="AZ661" t="s">
        <v>118</v>
      </c>
      <c r="BB661" t="s">
        <v>120</v>
      </c>
      <c r="BC661" t="s">
        <v>26013</v>
      </c>
      <c r="BD661" t="s">
        <v>376</v>
      </c>
      <c r="BE661" t="s">
        <v>174</v>
      </c>
      <c r="BF661" t="s">
        <v>376</v>
      </c>
      <c r="BG661" t="s">
        <v>124</v>
      </c>
      <c r="BH661" t="s">
        <v>25719</v>
      </c>
      <c r="BI661" t="s">
        <v>26014</v>
      </c>
      <c r="BJ661" t="s">
        <v>127</v>
      </c>
      <c r="BK661" t="s">
        <v>26015</v>
      </c>
      <c r="BL661" t="s">
        <v>26016</v>
      </c>
      <c r="BM661" t="s">
        <v>26017</v>
      </c>
      <c r="BN661" t="s">
        <v>25697</v>
      </c>
      <c r="BO661" t="s">
        <v>22828</v>
      </c>
      <c r="BP661" t="s">
        <v>180</v>
      </c>
      <c r="BQ661" t="s">
        <v>22829</v>
      </c>
      <c r="BR661" t="s">
        <v>22830</v>
      </c>
      <c r="BS661" t="s">
        <v>1834</v>
      </c>
      <c r="BU661" t="s">
        <v>26018</v>
      </c>
      <c r="BV661" t="s">
        <v>26019</v>
      </c>
      <c r="BW661" t="s">
        <v>138</v>
      </c>
      <c r="BX661" t="s">
        <v>26020</v>
      </c>
      <c r="BY661" t="s">
        <v>26021</v>
      </c>
      <c r="BZ661" t="s">
        <v>26020</v>
      </c>
      <c r="CA661" t="s">
        <v>26019</v>
      </c>
      <c r="CB661" t="s">
        <v>26020</v>
      </c>
      <c r="CC661" t="s">
        <v>26021</v>
      </c>
      <c r="CD661" t="s">
        <v>26019</v>
      </c>
      <c r="CE661" t="s">
        <v>26020</v>
      </c>
      <c r="CF661" t="s">
        <v>26021</v>
      </c>
      <c r="CG661" t="s">
        <v>2555</v>
      </c>
      <c r="CH661" t="s">
        <v>26022</v>
      </c>
      <c r="CJ661" t="s">
        <v>26023</v>
      </c>
      <c r="CK661" t="s">
        <v>26024</v>
      </c>
      <c r="CL661" t="s">
        <v>26013</v>
      </c>
      <c r="CM661" t="s">
        <v>376</v>
      </c>
      <c r="CN661" t="s">
        <v>26023</v>
      </c>
      <c r="CP661" t="s">
        <v>26022</v>
      </c>
      <c r="CQ661" t="s">
        <v>26022</v>
      </c>
    </row>
    <row r="662" spans="1:95" customFormat="1">
      <c r="A662" t="s">
        <v>337</v>
      </c>
      <c r="B662">
        <v>5142028</v>
      </c>
      <c r="C662" s="50"/>
      <c r="D662" t="s">
        <v>24746</v>
      </c>
      <c r="E662" s="50"/>
      <c r="I662" s="50"/>
      <c r="J662" s="51"/>
      <c r="K662" t="s">
        <v>643</v>
      </c>
      <c r="L662">
        <v>534405</v>
      </c>
      <c r="M662">
        <v>594845</v>
      </c>
      <c r="N662">
        <v>0</v>
      </c>
      <c r="O662">
        <v>0</v>
      </c>
      <c r="Q662">
        <v>198627</v>
      </c>
      <c r="R662">
        <v>220</v>
      </c>
      <c r="S662" t="s">
        <v>24748</v>
      </c>
      <c r="T662">
        <v>335778</v>
      </c>
      <c r="U662">
        <v>330</v>
      </c>
      <c r="V662" t="s">
        <v>24749</v>
      </c>
      <c r="W662" t="s">
        <v>102</v>
      </c>
      <c r="X662" t="s">
        <v>103</v>
      </c>
      <c r="Y662" t="s">
        <v>155</v>
      </c>
      <c r="AA662" t="s">
        <v>23889</v>
      </c>
      <c r="AB662" t="s">
        <v>24750</v>
      </c>
      <c r="AC662" t="s">
        <v>21731</v>
      </c>
      <c r="AD662" t="s">
        <v>24750</v>
      </c>
      <c r="AE662" t="s">
        <v>21732</v>
      </c>
      <c r="AF662" t="s">
        <v>24750</v>
      </c>
      <c r="AG662" t="s">
        <v>21666</v>
      </c>
      <c r="AH662" t="s">
        <v>24750</v>
      </c>
      <c r="AI662" t="s">
        <v>102</v>
      </c>
      <c r="AJ662" t="s">
        <v>23889</v>
      </c>
      <c r="AK662" t="s">
        <v>23889</v>
      </c>
      <c r="AL662" t="s">
        <v>24750</v>
      </c>
      <c r="AM662" t="s">
        <v>24751</v>
      </c>
      <c r="AN662" t="s">
        <v>24752</v>
      </c>
      <c r="AO662" t="s">
        <v>24753</v>
      </c>
      <c r="AP662" t="s">
        <v>24753</v>
      </c>
      <c r="AU662" t="s">
        <v>102</v>
      </c>
      <c r="AW662" t="s">
        <v>102</v>
      </c>
      <c r="AX662" t="s">
        <v>119</v>
      </c>
      <c r="AY662" t="s">
        <v>170</v>
      </c>
      <c r="AZ662" t="s">
        <v>118</v>
      </c>
      <c r="BA662" t="s">
        <v>250</v>
      </c>
      <c r="BB662" t="s">
        <v>120</v>
      </c>
      <c r="BC662" t="s">
        <v>24754</v>
      </c>
      <c r="BD662" t="s">
        <v>410</v>
      </c>
      <c r="BE662" t="s">
        <v>212</v>
      </c>
      <c r="BF662" t="s">
        <v>410</v>
      </c>
      <c r="BG662" t="s">
        <v>124</v>
      </c>
      <c r="BH662" t="s">
        <v>12250</v>
      </c>
      <c r="BI662" t="s">
        <v>21667</v>
      </c>
      <c r="BJ662" t="s">
        <v>127</v>
      </c>
      <c r="BK662" t="s">
        <v>24755</v>
      </c>
      <c r="BL662" t="s">
        <v>24756</v>
      </c>
      <c r="BM662" t="s">
        <v>24757</v>
      </c>
      <c r="BN662" t="s">
        <v>23889</v>
      </c>
      <c r="BO662" t="s">
        <v>4053</v>
      </c>
      <c r="BP662" t="s">
        <v>132</v>
      </c>
      <c r="BQ662" t="s">
        <v>4054</v>
      </c>
      <c r="BR662" t="s">
        <v>4055</v>
      </c>
      <c r="BS662" t="s">
        <v>4056</v>
      </c>
      <c r="BU662" t="s">
        <v>24758</v>
      </c>
      <c r="BV662" t="s">
        <v>24759</v>
      </c>
      <c r="BW662" t="s">
        <v>354</v>
      </c>
      <c r="BX662" t="s">
        <v>24760</v>
      </c>
      <c r="BY662" t="s">
        <v>24761</v>
      </c>
      <c r="BZ662" t="s">
        <v>24760</v>
      </c>
      <c r="CA662" t="s">
        <v>24762</v>
      </c>
      <c r="CB662" t="s">
        <v>24763</v>
      </c>
      <c r="CC662" t="s">
        <v>24764</v>
      </c>
      <c r="CD662" t="s">
        <v>24762</v>
      </c>
      <c r="CE662" t="s">
        <v>24763</v>
      </c>
      <c r="CF662" t="s">
        <v>24764</v>
      </c>
      <c r="CG662" t="s">
        <v>19943</v>
      </c>
      <c r="CH662" t="s">
        <v>24765</v>
      </c>
      <c r="CJ662" t="s">
        <v>24766</v>
      </c>
      <c r="CK662" t="s">
        <v>24765</v>
      </c>
      <c r="CL662" t="s">
        <v>24754</v>
      </c>
      <c r="CM662" t="s">
        <v>410</v>
      </c>
      <c r="CN662" t="s">
        <v>24766</v>
      </c>
      <c r="CP662" t="s">
        <v>24767</v>
      </c>
      <c r="CQ662" t="s">
        <v>24767</v>
      </c>
    </row>
    <row r="663" spans="1:95" customFormat="1">
      <c r="A663" t="s">
        <v>337</v>
      </c>
      <c r="B663">
        <v>5142211</v>
      </c>
      <c r="C663" s="50"/>
      <c r="D663" t="s">
        <v>24768</v>
      </c>
      <c r="E663" s="50"/>
      <c r="I663" s="50"/>
      <c r="J663" s="51"/>
      <c r="K663" t="s">
        <v>152</v>
      </c>
      <c r="L663">
        <v>463016</v>
      </c>
      <c r="M663">
        <v>463016</v>
      </c>
      <c r="N663">
        <v>0</v>
      </c>
      <c r="O663">
        <v>0</v>
      </c>
      <c r="Q663">
        <v>463016</v>
      </c>
      <c r="R663">
        <v>421</v>
      </c>
      <c r="S663" t="s">
        <v>466</v>
      </c>
      <c r="T663">
        <v>0</v>
      </c>
      <c r="U663">
        <v>0</v>
      </c>
      <c r="W663" t="s">
        <v>102</v>
      </c>
      <c r="X663" t="s">
        <v>103</v>
      </c>
      <c r="Y663" t="s">
        <v>155</v>
      </c>
      <c r="AA663" t="s">
        <v>22101</v>
      </c>
      <c r="AB663" t="s">
        <v>24770</v>
      </c>
      <c r="AC663" t="s">
        <v>21983</v>
      </c>
      <c r="AD663" t="s">
        <v>24770</v>
      </c>
      <c r="AE663" t="s">
        <v>22119</v>
      </c>
      <c r="AF663" t="s">
        <v>24770</v>
      </c>
      <c r="AG663" t="s">
        <v>21687</v>
      </c>
      <c r="AH663" t="s">
        <v>24770</v>
      </c>
      <c r="AI663" t="s">
        <v>102</v>
      </c>
      <c r="AJ663" t="s">
        <v>23642</v>
      </c>
      <c r="AK663" t="s">
        <v>23642</v>
      </c>
      <c r="AL663" t="s">
        <v>24770</v>
      </c>
      <c r="AM663" t="s">
        <v>25494</v>
      </c>
      <c r="AN663" t="s">
        <v>22994</v>
      </c>
      <c r="AO663" t="s">
        <v>21951</v>
      </c>
      <c r="AP663" t="s">
        <v>21951</v>
      </c>
      <c r="AU663" t="s">
        <v>102</v>
      </c>
      <c r="AW663" t="s">
        <v>155</v>
      </c>
      <c r="AX663" t="s">
        <v>447</v>
      </c>
      <c r="AY663" t="s">
        <v>170</v>
      </c>
      <c r="AZ663" t="s">
        <v>118</v>
      </c>
      <c r="BB663" t="s">
        <v>120</v>
      </c>
      <c r="BC663" t="s">
        <v>589</v>
      </c>
      <c r="BD663" t="s">
        <v>320</v>
      </c>
      <c r="BE663" t="s">
        <v>122</v>
      </c>
      <c r="BF663" t="s">
        <v>123</v>
      </c>
      <c r="BG663" t="s">
        <v>124</v>
      </c>
      <c r="BH663" t="s">
        <v>12250</v>
      </c>
      <c r="BI663" t="s">
        <v>21667</v>
      </c>
      <c r="BJ663" t="s">
        <v>127</v>
      </c>
      <c r="BK663" t="s">
        <v>24771</v>
      </c>
      <c r="BL663" t="s">
        <v>24772</v>
      </c>
      <c r="BM663" t="s">
        <v>24773</v>
      </c>
      <c r="BN663" t="s">
        <v>17605</v>
      </c>
      <c r="BO663" t="s">
        <v>349</v>
      </c>
      <c r="BP663" t="s">
        <v>350</v>
      </c>
      <c r="BQ663" t="s">
        <v>351</v>
      </c>
      <c r="BR663" t="s">
        <v>352</v>
      </c>
      <c r="BS663" t="s">
        <v>6249</v>
      </c>
      <c r="BU663" t="s">
        <v>24774</v>
      </c>
      <c r="BV663" t="s">
        <v>24775</v>
      </c>
      <c r="BW663" t="s">
        <v>354</v>
      </c>
      <c r="BX663" t="s">
        <v>24672</v>
      </c>
      <c r="BY663" t="s">
        <v>24776</v>
      </c>
      <c r="BZ663" t="s">
        <v>24672</v>
      </c>
      <c r="CA663" t="s">
        <v>24674</v>
      </c>
      <c r="CB663" t="s">
        <v>24777</v>
      </c>
      <c r="CC663" t="s">
        <v>24676</v>
      </c>
      <c r="CD663" t="s">
        <v>24674</v>
      </c>
      <c r="CE663" t="s">
        <v>24777</v>
      </c>
      <c r="CF663" t="s">
        <v>24676</v>
      </c>
      <c r="CG663" t="s">
        <v>19663</v>
      </c>
      <c r="CH663" t="s">
        <v>24778</v>
      </c>
      <c r="CJ663" t="s">
        <v>24779</v>
      </c>
      <c r="CK663" t="s">
        <v>24768</v>
      </c>
      <c r="CL663" t="s">
        <v>589</v>
      </c>
      <c r="CM663" t="s">
        <v>320</v>
      </c>
      <c r="CN663" t="s">
        <v>24779</v>
      </c>
      <c r="CP663" t="s">
        <v>24780</v>
      </c>
      <c r="CQ663" t="s">
        <v>24780</v>
      </c>
    </row>
    <row r="664" spans="1:95" customFormat="1">
      <c r="A664" t="s">
        <v>337</v>
      </c>
      <c r="B664">
        <v>5142361</v>
      </c>
      <c r="C664" s="50"/>
      <c r="D664" t="s">
        <v>24781</v>
      </c>
      <c r="E664" s="50"/>
      <c r="I664" s="50"/>
      <c r="J664" s="51"/>
      <c r="K664" t="s">
        <v>97</v>
      </c>
      <c r="L664">
        <v>20550</v>
      </c>
      <c r="M664">
        <v>20550</v>
      </c>
      <c r="N664">
        <v>20550</v>
      </c>
      <c r="O664">
        <v>137</v>
      </c>
      <c r="P664" t="s">
        <v>24049</v>
      </c>
      <c r="Q664">
        <v>0</v>
      </c>
      <c r="R664">
        <v>0</v>
      </c>
      <c r="T664">
        <v>0</v>
      </c>
      <c r="U664">
        <v>0</v>
      </c>
      <c r="W664" t="s">
        <v>102</v>
      </c>
      <c r="X664" t="s">
        <v>103</v>
      </c>
      <c r="Y664" t="s">
        <v>104</v>
      </c>
      <c r="AA664" t="s">
        <v>14623</v>
      </c>
      <c r="AB664" t="s">
        <v>24783</v>
      </c>
      <c r="AC664" t="s">
        <v>12047</v>
      </c>
      <c r="AD664" t="s">
        <v>24784</v>
      </c>
      <c r="AE664" t="s">
        <v>109</v>
      </c>
      <c r="AF664" t="s">
        <v>102</v>
      </c>
      <c r="AG664" t="s">
        <v>109</v>
      </c>
      <c r="AH664" t="s">
        <v>102</v>
      </c>
      <c r="AI664" t="s">
        <v>102</v>
      </c>
      <c r="AL664" t="s">
        <v>26578</v>
      </c>
      <c r="AM664" t="s">
        <v>102</v>
      </c>
      <c r="AN664" t="s">
        <v>26578</v>
      </c>
      <c r="AO664" t="s">
        <v>24053</v>
      </c>
      <c r="AP664" t="s">
        <v>24054</v>
      </c>
      <c r="AQ664" t="s">
        <v>102</v>
      </c>
      <c r="AR664" t="s">
        <v>102</v>
      </c>
      <c r="AS664" t="s">
        <v>102</v>
      </c>
      <c r="AT664" t="s">
        <v>102</v>
      </c>
      <c r="AU664" t="s">
        <v>318</v>
      </c>
      <c r="AV664" t="s">
        <v>118</v>
      </c>
      <c r="AW664" t="s">
        <v>102</v>
      </c>
      <c r="AX664" t="s">
        <v>119</v>
      </c>
      <c r="BB664" t="s">
        <v>120</v>
      </c>
      <c r="BC664" t="s">
        <v>2327</v>
      </c>
      <c r="BD664" t="s">
        <v>730</v>
      </c>
      <c r="BE664" t="s">
        <v>622</v>
      </c>
      <c r="BF664" t="s">
        <v>730</v>
      </c>
      <c r="BG664" t="s">
        <v>124</v>
      </c>
      <c r="BH664" t="s">
        <v>12250</v>
      </c>
      <c r="BI664" t="s">
        <v>21667</v>
      </c>
      <c r="BJ664" t="s">
        <v>127</v>
      </c>
      <c r="BK664" t="s">
        <v>24785</v>
      </c>
      <c r="BL664" t="s">
        <v>24786</v>
      </c>
      <c r="BM664" t="s">
        <v>24787</v>
      </c>
      <c r="BN664" t="s">
        <v>14400</v>
      </c>
      <c r="BO664" t="s">
        <v>24532</v>
      </c>
      <c r="BP664" t="s">
        <v>180</v>
      </c>
      <c r="BQ664" t="s">
        <v>24533</v>
      </c>
      <c r="BR664" t="s">
        <v>24534</v>
      </c>
      <c r="BS664" t="s">
        <v>6756</v>
      </c>
      <c r="BU664" t="s">
        <v>24788</v>
      </c>
      <c r="BV664" t="s">
        <v>24789</v>
      </c>
      <c r="BW664" t="s">
        <v>354</v>
      </c>
      <c r="BX664" t="s">
        <v>24790</v>
      </c>
      <c r="BY664" t="s">
        <v>24791</v>
      </c>
      <c r="BZ664" t="s">
        <v>24790</v>
      </c>
      <c r="CA664" t="s">
        <v>24789</v>
      </c>
      <c r="CB664" t="s">
        <v>24790</v>
      </c>
      <c r="CC664" t="s">
        <v>24791</v>
      </c>
      <c r="CD664" t="s">
        <v>24789</v>
      </c>
      <c r="CE664" t="s">
        <v>24790</v>
      </c>
      <c r="CF664" t="s">
        <v>24791</v>
      </c>
      <c r="CG664" t="s">
        <v>5581</v>
      </c>
      <c r="CH664" t="s">
        <v>24792</v>
      </c>
      <c r="CJ664" t="s">
        <v>2342</v>
      </c>
      <c r="CK664" t="s">
        <v>24792</v>
      </c>
      <c r="CL664" t="s">
        <v>2327</v>
      </c>
      <c r="CM664" t="s">
        <v>730</v>
      </c>
      <c r="CN664" t="s">
        <v>2342</v>
      </c>
      <c r="CP664" t="s">
        <v>24793</v>
      </c>
      <c r="CQ664" t="s">
        <v>24794</v>
      </c>
    </row>
    <row r="665" spans="1:95" customFormat="1">
      <c r="A665" t="s">
        <v>337</v>
      </c>
      <c r="B665">
        <v>5144029</v>
      </c>
      <c r="C665" s="50"/>
      <c r="D665" t="s">
        <v>24795</v>
      </c>
      <c r="E665" s="50"/>
      <c r="I665" s="50"/>
      <c r="J665" s="51"/>
      <c r="K665" t="s">
        <v>97</v>
      </c>
      <c r="L665">
        <v>0</v>
      </c>
      <c r="M665">
        <v>0</v>
      </c>
      <c r="N665">
        <v>0</v>
      </c>
      <c r="O665">
        <v>600</v>
      </c>
      <c r="P665" t="s">
        <v>102</v>
      </c>
      <c r="Q665">
        <v>0</v>
      </c>
      <c r="R665">
        <v>0</v>
      </c>
      <c r="T665">
        <v>0</v>
      </c>
      <c r="U665">
        <v>0</v>
      </c>
      <c r="W665" t="s">
        <v>102</v>
      </c>
      <c r="X665" t="s">
        <v>275</v>
      </c>
      <c r="Z665" t="s">
        <v>14400</v>
      </c>
      <c r="AA665" t="s">
        <v>109</v>
      </c>
      <c r="AB665" t="s">
        <v>102</v>
      </c>
      <c r="AC665" t="s">
        <v>109</v>
      </c>
      <c r="AD665" t="s">
        <v>102</v>
      </c>
      <c r="AE665" t="s">
        <v>109</v>
      </c>
      <c r="AF665" t="s">
        <v>102</v>
      </c>
      <c r="AG665" t="s">
        <v>109</v>
      </c>
      <c r="AH665" t="s">
        <v>102</v>
      </c>
      <c r="AI665" t="s">
        <v>102</v>
      </c>
      <c r="AL665" t="s">
        <v>102</v>
      </c>
      <c r="AM665" t="s">
        <v>102</v>
      </c>
      <c r="AN665" t="s">
        <v>102</v>
      </c>
      <c r="AO665" t="s">
        <v>115</v>
      </c>
      <c r="AP665" t="s">
        <v>115</v>
      </c>
      <c r="AU665" t="s">
        <v>318</v>
      </c>
      <c r="AV665" t="s">
        <v>118</v>
      </c>
      <c r="AW665" t="s">
        <v>102</v>
      </c>
      <c r="AX665" t="s">
        <v>119</v>
      </c>
      <c r="BB665" t="s">
        <v>24797</v>
      </c>
      <c r="BC665" t="s">
        <v>8527</v>
      </c>
      <c r="BD665" t="s">
        <v>1244</v>
      </c>
      <c r="BE665" t="s">
        <v>122</v>
      </c>
      <c r="BF665" t="s">
        <v>1244</v>
      </c>
      <c r="BG665" t="s">
        <v>124</v>
      </c>
      <c r="BH665" t="s">
        <v>12250</v>
      </c>
      <c r="BI665" t="s">
        <v>21667</v>
      </c>
      <c r="BJ665" t="s">
        <v>127</v>
      </c>
      <c r="BK665" t="s">
        <v>24798</v>
      </c>
      <c r="BL665" t="s">
        <v>24799</v>
      </c>
      <c r="BM665" t="s">
        <v>24800</v>
      </c>
      <c r="BN665" t="s">
        <v>14400</v>
      </c>
      <c r="BO665" t="s">
        <v>19163</v>
      </c>
      <c r="BP665" t="s">
        <v>350</v>
      </c>
      <c r="BQ665" t="s">
        <v>19164</v>
      </c>
      <c r="BR665" t="s">
        <v>19165</v>
      </c>
      <c r="BS665" t="s">
        <v>10231</v>
      </c>
      <c r="BU665" t="s">
        <v>24801</v>
      </c>
      <c r="BV665" t="s">
        <v>24802</v>
      </c>
      <c r="BW665" t="s">
        <v>138</v>
      </c>
      <c r="BX665" t="s">
        <v>225</v>
      </c>
      <c r="BY665" t="s">
        <v>24803</v>
      </c>
      <c r="BZ665" t="s">
        <v>24572</v>
      </c>
      <c r="CA665" t="s">
        <v>24802</v>
      </c>
      <c r="CB665" t="s">
        <v>24804</v>
      </c>
      <c r="CC665" t="s">
        <v>24803</v>
      </c>
      <c r="CD665" t="s">
        <v>24802</v>
      </c>
      <c r="CE665" t="s">
        <v>24804</v>
      </c>
      <c r="CF665" t="s">
        <v>24803</v>
      </c>
      <c r="CG665" t="s">
        <v>22343</v>
      </c>
      <c r="CH665" t="s">
        <v>24805</v>
      </c>
      <c r="CJ665" t="s">
        <v>24575</v>
      </c>
      <c r="CK665" t="s">
        <v>24806</v>
      </c>
      <c r="CL665" t="s">
        <v>8527</v>
      </c>
      <c r="CM665" t="s">
        <v>1244</v>
      </c>
      <c r="CN665" t="s">
        <v>24575</v>
      </c>
      <c r="CP665" t="s">
        <v>24807</v>
      </c>
      <c r="CQ665" t="s">
        <v>24807</v>
      </c>
    </row>
    <row r="666" spans="1:95" customFormat="1">
      <c r="A666" t="s">
        <v>337</v>
      </c>
      <c r="B666">
        <v>5144194</v>
      </c>
      <c r="C666" s="50"/>
      <c r="D666" t="s">
        <v>24808</v>
      </c>
      <c r="E666" s="50"/>
      <c r="I666" s="50"/>
      <c r="J666" s="51"/>
      <c r="K666" t="s">
        <v>97</v>
      </c>
      <c r="L666">
        <v>0</v>
      </c>
      <c r="M666">
        <v>0</v>
      </c>
      <c r="N666">
        <v>0</v>
      </c>
      <c r="O666">
        <v>230</v>
      </c>
      <c r="P666" t="s">
        <v>102</v>
      </c>
      <c r="Q666">
        <v>0</v>
      </c>
      <c r="R666">
        <v>0</v>
      </c>
      <c r="T666">
        <v>0</v>
      </c>
      <c r="U666">
        <v>0</v>
      </c>
      <c r="W666" t="s">
        <v>102</v>
      </c>
      <c r="X666" t="s">
        <v>275</v>
      </c>
      <c r="Z666" t="s">
        <v>14400</v>
      </c>
      <c r="AA666" t="s">
        <v>109</v>
      </c>
      <c r="AB666" t="s">
        <v>102</v>
      </c>
      <c r="AC666" t="s">
        <v>109</v>
      </c>
      <c r="AD666" t="s">
        <v>102</v>
      </c>
      <c r="AE666" t="s">
        <v>109</v>
      </c>
      <c r="AF666" t="s">
        <v>102</v>
      </c>
      <c r="AG666" t="s">
        <v>109</v>
      </c>
      <c r="AH666" t="s">
        <v>102</v>
      </c>
      <c r="AI666" t="s">
        <v>102</v>
      </c>
      <c r="AL666" t="s">
        <v>102</v>
      </c>
      <c r="AM666" t="s">
        <v>102</v>
      </c>
      <c r="AN666" t="s">
        <v>102</v>
      </c>
      <c r="AO666" t="s">
        <v>115</v>
      </c>
      <c r="AP666" t="s">
        <v>115</v>
      </c>
      <c r="AU666" t="s">
        <v>318</v>
      </c>
      <c r="AV666" t="s">
        <v>118</v>
      </c>
      <c r="AW666" t="s">
        <v>102</v>
      </c>
      <c r="AX666" t="s">
        <v>119</v>
      </c>
      <c r="BB666" t="s">
        <v>24797</v>
      </c>
      <c r="BC666" t="s">
        <v>8527</v>
      </c>
      <c r="BD666" t="s">
        <v>1244</v>
      </c>
      <c r="BE666" t="s">
        <v>122</v>
      </c>
      <c r="BF666" t="s">
        <v>1244</v>
      </c>
      <c r="BG666" t="s">
        <v>124</v>
      </c>
      <c r="BH666" t="s">
        <v>12250</v>
      </c>
      <c r="BI666" t="s">
        <v>21667</v>
      </c>
      <c r="BJ666" t="s">
        <v>127</v>
      </c>
      <c r="BK666" t="s">
        <v>24810</v>
      </c>
      <c r="BL666" t="s">
        <v>24811</v>
      </c>
      <c r="BM666" t="s">
        <v>24812</v>
      </c>
      <c r="BN666" t="s">
        <v>14400</v>
      </c>
      <c r="BO666" t="s">
        <v>19163</v>
      </c>
      <c r="BP666" t="s">
        <v>350</v>
      </c>
      <c r="BQ666" t="s">
        <v>19164</v>
      </c>
      <c r="BR666" t="s">
        <v>19165</v>
      </c>
      <c r="BS666" t="s">
        <v>10231</v>
      </c>
      <c r="BU666" t="s">
        <v>24813</v>
      </c>
      <c r="BV666" t="s">
        <v>24814</v>
      </c>
      <c r="BW666" t="s">
        <v>138</v>
      </c>
      <c r="BX666" t="s">
        <v>225</v>
      </c>
      <c r="BY666" t="s">
        <v>24815</v>
      </c>
      <c r="BZ666" t="s">
        <v>24816</v>
      </c>
      <c r="CA666" t="s">
        <v>24814</v>
      </c>
      <c r="CB666" t="s">
        <v>24817</v>
      </c>
      <c r="CC666" t="s">
        <v>24815</v>
      </c>
      <c r="CD666" t="s">
        <v>24814</v>
      </c>
      <c r="CE666" t="s">
        <v>24817</v>
      </c>
      <c r="CF666" t="s">
        <v>24815</v>
      </c>
      <c r="CG666" t="s">
        <v>24091</v>
      </c>
      <c r="CH666" t="s">
        <v>24818</v>
      </c>
      <c r="CJ666" t="s">
        <v>24819</v>
      </c>
      <c r="CK666" t="s">
        <v>24820</v>
      </c>
      <c r="CL666" t="s">
        <v>8527</v>
      </c>
      <c r="CM666" t="s">
        <v>1244</v>
      </c>
      <c r="CN666" t="s">
        <v>24819</v>
      </c>
      <c r="CP666" t="s">
        <v>24821</v>
      </c>
      <c r="CQ666" t="s">
        <v>24821</v>
      </c>
    </row>
    <row r="667" spans="1:95" customFormat="1">
      <c r="A667" t="s">
        <v>337</v>
      </c>
      <c r="B667">
        <v>5144548</v>
      </c>
      <c r="C667" s="50"/>
      <c r="D667" t="s">
        <v>25495</v>
      </c>
      <c r="E667" s="50"/>
      <c r="I667" s="50"/>
      <c r="J667" s="51"/>
      <c r="K667" t="s">
        <v>2044</v>
      </c>
      <c r="L667">
        <v>475177</v>
      </c>
      <c r="M667">
        <v>475177</v>
      </c>
      <c r="N667">
        <v>254559</v>
      </c>
      <c r="O667">
        <v>297</v>
      </c>
      <c r="P667" t="s">
        <v>16799</v>
      </c>
      <c r="Q667">
        <v>220618</v>
      </c>
      <c r="R667">
        <v>297</v>
      </c>
      <c r="S667" t="s">
        <v>25497</v>
      </c>
      <c r="T667">
        <v>0</v>
      </c>
      <c r="U667">
        <v>0</v>
      </c>
      <c r="W667" t="s">
        <v>102</v>
      </c>
      <c r="X667" t="s">
        <v>103</v>
      </c>
      <c r="Y667" t="s">
        <v>104</v>
      </c>
      <c r="AA667" t="s">
        <v>24156</v>
      </c>
      <c r="AB667" t="s">
        <v>25498</v>
      </c>
      <c r="AC667" t="s">
        <v>22704</v>
      </c>
      <c r="AD667" t="s">
        <v>25498</v>
      </c>
      <c r="AE667" t="s">
        <v>109</v>
      </c>
      <c r="AF667" t="s">
        <v>102</v>
      </c>
      <c r="AG667" t="s">
        <v>109</v>
      </c>
      <c r="AH667" t="s">
        <v>102</v>
      </c>
      <c r="AI667" t="s">
        <v>102</v>
      </c>
      <c r="AL667" t="s">
        <v>25498</v>
      </c>
      <c r="AM667" t="s">
        <v>102</v>
      </c>
      <c r="AN667" t="s">
        <v>25498</v>
      </c>
      <c r="AO667" t="s">
        <v>16091</v>
      </c>
      <c r="AP667" t="s">
        <v>16091</v>
      </c>
      <c r="AU667" t="s">
        <v>318</v>
      </c>
      <c r="AV667" t="s">
        <v>118</v>
      </c>
      <c r="AW667" t="s">
        <v>104</v>
      </c>
      <c r="AX667" t="s">
        <v>119</v>
      </c>
      <c r="AY667" t="s">
        <v>170</v>
      </c>
      <c r="AZ667" t="s">
        <v>118</v>
      </c>
      <c r="BB667" t="s">
        <v>120</v>
      </c>
      <c r="BC667" t="s">
        <v>25499</v>
      </c>
      <c r="BD667" t="s">
        <v>621</v>
      </c>
      <c r="BE667" t="s">
        <v>622</v>
      </c>
      <c r="BF667" t="s">
        <v>976</v>
      </c>
      <c r="BG667" t="s">
        <v>124</v>
      </c>
      <c r="BH667" t="s">
        <v>12250</v>
      </c>
      <c r="BI667" t="s">
        <v>21667</v>
      </c>
      <c r="BJ667" t="s">
        <v>127</v>
      </c>
      <c r="BK667" t="s">
        <v>25500</v>
      </c>
      <c r="BL667" t="s">
        <v>25501</v>
      </c>
      <c r="BM667" t="s">
        <v>25502</v>
      </c>
      <c r="BN667" t="s">
        <v>24156</v>
      </c>
      <c r="BO667" t="s">
        <v>13638</v>
      </c>
      <c r="BP667" t="s">
        <v>132</v>
      </c>
      <c r="BQ667" t="s">
        <v>13639</v>
      </c>
      <c r="BR667" t="s">
        <v>13640</v>
      </c>
      <c r="BS667" t="s">
        <v>2847</v>
      </c>
      <c r="BU667" t="s">
        <v>25503</v>
      </c>
      <c r="BV667" t="s">
        <v>25504</v>
      </c>
      <c r="BW667" t="s">
        <v>354</v>
      </c>
      <c r="BX667" t="s">
        <v>25505</v>
      </c>
      <c r="BY667" t="s">
        <v>25506</v>
      </c>
      <c r="BZ667" t="s">
        <v>25507</v>
      </c>
      <c r="CA667" t="s">
        <v>25508</v>
      </c>
      <c r="CB667" t="s">
        <v>25509</v>
      </c>
      <c r="CC667" t="s">
        <v>25510</v>
      </c>
      <c r="CD667" t="s">
        <v>25508</v>
      </c>
      <c r="CE667" t="s">
        <v>25509</v>
      </c>
      <c r="CF667" t="s">
        <v>25510</v>
      </c>
      <c r="CG667" t="s">
        <v>25511</v>
      </c>
      <c r="CH667" t="s">
        <v>25512</v>
      </c>
      <c r="CJ667" t="s">
        <v>25513</v>
      </c>
      <c r="CK667" t="s">
        <v>25512</v>
      </c>
      <c r="CL667" t="s">
        <v>25514</v>
      </c>
      <c r="CM667" t="s">
        <v>621</v>
      </c>
      <c r="CN667" t="s">
        <v>25513</v>
      </c>
      <c r="CP667" t="s">
        <v>25515</v>
      </c>
      <c r="CQ667" t="s">
        <v>25516</v>
      </c>
    </row>
    <row r="668" spans="1:95" customFormat="1">
      <c r="A668" t="s">
        <v>337</v>
      </c>
      <c r="B668">
        <v>5145433</v>
      </c>
      <c r="C668" s="50"/>
      <c r="D668" t="s">
        <v>25517</v>
      </c>
      <c r="E668" s="50"/>
      <c r="I668" s="50"/>
      <c r="J668" s="51"/>
      <c r="K668" t="s">
        <v>848</v>
      </c>
      <c r="L668">
        <v>198315</v>
      </c>
      <c r="M668">
        <v>234012</v>
      </c>
      <c r="N668">
        <v>0</v>
      </c>
      <c r="O668">
        <v>0</v>
      </c>
      <c r="Q668">
        <v>0</v>
      </c>
      <c r="R668">
        <v>0</v>
      </c>
      <c r="T668">
        <v>198315</v>
      </c>
      <c r="U668">
        <v>195</v>
      </c>
      <c r="V668" t="s">
        <v>3924</v>
      </c>
      <c r="W668" t="s">
        <v>102</v>
      </c>
      <c r="X668" t="s">
        <v>103</v>
      </c>
      <c r="Y668" t="s">
        <v>104</v>
      </c>
      <c r="AA668" t="s">
        <v>11889</v>
      </c>
      <c r="AB668" t="s">
        <v>25519</v>
      </c>
      <c r="AC668" t="s">
        <v>21828</v>
      </c>
      <c r="AD668" t="s">
        <v>25519</v>
      </c>
      <c r="AE668" t="s">
        <v>109</v>
      </c>
      <c r="AF668" t="s">
        <v>102</v>
      </c>
      <c r="AG668" t="s">
        <v>109</v>
      </c>
      <c r="AH668" t="s">
        <v>102</v>
      </c>
      <c r="AI668" t="s">
        <v>102</v>
      </c>
      <c r="AJ668" t="s">
        <v>20476</v>
      </c>
      <c r="AK668" t="s">
        <v>20476</v>
      </c>
      <c r="AL668" t="s">
        <v>25519</v>
      </c>
      <c r="AM668" t="s">
        <v>25520</v>
      </c>
      <c r="AN668" t="s">
        <v>25521</v>
      </c>
      <c r="AO668" t="s">
        <v>3213</v>
      </c>
      <c r="AP668" t="s">
        <v>3213</v>
      </c>
      <c r="AU668" t="s">
        <v>102</v>
      </c>
      <c r="AW668" t="s">
        <v>102</v>
      </c>
      <c r="AX668" t="s">
        <v>119</v>
      </c>
      <c r="BA668" t="s">
        <v>250</v>
      </c>
      <c r="BB668" t="s">
        <v>120</v>
      </c>
      <c r="BC668" t="s">
        <v>3358</v>
      </c>
      <c r="BD668" t="s">
        <v>285</v>
      </c>
      <c r="BE668" t="s">
        <v>212</v>
      </c>
      <c r="BF668" t="s">
        <v>286</v>
      </c>
      <c r="BG668" t="s">
        <v>124</v>
      </c>
      <c r="BH668" t="s">
        <v>21805</v>
      </c>
      <c r="BI668" t="s">
        <v>21667</v>
      </c>
      <c r="BJ668" t="s">
        <v>127</v>
      </c>
      <c r="BK668" t="s">
        <v>25522</v>
      </c>
      <c r="BL668" t="s">
        <v>25523</v>
      </c>
      <c r="BM668" t="s">
        <v>25524</v>
      </c>
      <c r="BN668" t="s">
        <v>13208</v>
      </c>
      <c r="BO668" t="s">
        <v>17684</v>
      </c>
      <c r="BP668" t="s">
        <v>132</v>
      </c>
      <c r="BQ668" t="s">
        <v>17685</v>
      </c>
      <c r="BR668" t="s">
        <v>17686</v>
      </c>
      <c r="BS668" t="s">
        <v>17687</v>
      </c>
      <c r="BU668" t="s">
        <v>25525</v>
      </c>
      <c r="BV668" t="s">
        <v>25526</v>
      </c>
      <c r="BW668" t="s">
        <v>138</v>
      </c>
      <c r="BX668" t="s">
        <v>25527</v>
      </c>
      <c r="BY668" t="s">
        <v>25528</v>
      </c>
      <c r="BZ668" t="s">
        <v>25529</v>
      </c>
      <c r="CA668" t="s">
        <v>25526</v>
      </c>
      <c r="CB668" t="s">
        <v>25527</v>
      </c>
      <c r="CC668" t="s">
        <v>25528</v>
      </c>
      <c r="CD668" t="s">
        <v>25526</v>
      </c>
      <c r="CE668" t="s">
        <v>25527</v>
      </c>
      <c r="CF668" t="s">
        <v>25528</v>
      </c>
      <c r="CG668" t="s">
        <v>102</v>
      </c>
      <c r="CH668" t="s">
        <v>25530</v>
      </c>
      <c r="CJ668" t="s">
        <v>25531</v>
      </c>
      <c r="CK668" t="s">
        <v>25532</v>
      </c>
      <c r="CL668" t="s">
        <v>3358</v>
      </c>
      <c r="CM668" t="s">
        <v>285</v>
      </c>
      <c r="CN668" t="s">
        <v>25531</v>
      </c>
      <c r="CP668" t="s">
        <v>25533</v>
      </c>
      <c r="CQ668" t="s">
        <v>25533</v>
      </c>
    </row>
    <row r="669" spans="1:95" customFormat="1">
      <c r="A669" t="s">
        <v>337</v>
      </c>
      <c r="B669">
        <v>5145510</v>
      </c>
      <c r="C669" s="50"/>
      <c r="D669" t="s">
        <v>24822</v>
      </c>
      <c r="E669" s="50"/>
      <c r="I669" s="50"/>
      <c r="J669" s="51"/>
      <c r="K669" t="s">
        <v>152</v>
      </c>
      <c r="L669">
        <v>234006</v>
      </c>
      <c r="M669">
        <v>234006</v>
      </c>
      <c r="N669">
        <v>0</v>
      </c>
      <c r="O669">
        <v>0</v>
      </c>
      <c r="Q669">
        <v>234006</v>
      </c>
      <c r="R669">
        <v>65</v>
      </c>
      <c r="S669" t="s">
        <v>14754</v>
      </c>
      <c r="T669">
        <v>0</v>
      </c>
      <c r="U669">
        <v>0</v>
      </c>
      <c r="W669" t="s">
        <v>102</v>
      </c>
      <c r="X669" t="s">
        <v>103</v>
      </c>
      <c r="Y669" t="s">
        <v>155</v>
      </c>
      <c r="AA669" t="s">
        <v>13208</v>
      </c>
      <c r="AB669" t="s">
        <v>24824</v>
      </c>
      <c r="AC669" t="s">
        <v>21664</v>
      </c>
      <c r="AD669" t="s">
        <v>24824</v>
      </c>
      <c r="AE669" t="s">
        <v>21665</v>
      </c>
      <c r="AF669" t="s">
        <v>24824</v>
      </c>
      <c r="AG669" t="s">
        <v>21710</v>
      </c>
      <c r="AH669" t="s">
        <v>24824</v>
      </c>
      <c r="AI669" t="s">
        <v>102</v>
      </c>
      <c r="AJ669" t="s">
        <v>21962</v>
      </c>
      <c r="AK669" t="s">
        <v>21962</v>
      </c>
      <c r="AL669" t="s">
        <v>24824</v>
      </c>
      <c r="AM669" t="s">
        <v>24824</v>
      </c>
      <c r="AN669" t="s">
        <v>102</v>
      </c>
      <c r="AO669" t="s">
        <v>24825</v>
      </c>
      <c r="AP669" t="s">
        <v>24825</v>
      </c>
      <c r="AU669" t="s">
        <v>102</v>
      </c>
      <c r="AW669" t="s">
        <v>1758</v>
      </c>
      <c r="AX669" t="s">
        <v>447</v>
      </c>
      <c r="AY669" t="s">
        <v>170</v>
      </c>
      <c r="AZ669" t="s">
        <v>118</v>
      </c>
      <c r="BB669" t="s">
        <v>120</v>
      </c>
      <c r="BC669" t="s">
        <v>9446</v>
      </c>
      <c r="BD669" t="s">
        <v>410</v>
      </c>
      <c r="BE669" t="s">
        <v>212</v>
      </c>
      <c r="BF669" t="s">
        <v>410</v>
      </c>
      <c r="BG669" t="s">
        <v>124</v>
      </c>
      <c r="BH669" t="s">
        <v>12250</v>
      </c>
      <c r="BI669" t="s">
        <v>21667</v>
      </c>
      <c r="BJ669" t="s">
        <v>127</v>
      </c>
      <c r="BK669" t="s">
        <v>24826</v>
      </c>
      <c r="BL669" t="s">
        <v>24827</v>
      </c>
      <c r="BM669" t="s">
        <v>24828</v>
      </c>
      <c r="BN669" t="s">
        <v>13208</v>
      </c>
      <c r="BO669" t="s">
        <v>896</v>
      </c>
      <c r="BP669" t="s">
        <v>180</v>
      </c>
      <c r="BQ669" t="s">
        <v>897</v>
      </c>
      <c r="BR669" t="s">
        <v>898</v>
      </c>
      <c r="BS669" t="s">
        <v>899</v>
      </c>
      <c r="BU669" t="s">
        <v>24829</v>
      </c>
      <c r="BV669" t="s">
        <v>24830</v>
      </c>
      <c r="BW669" t="s">
        <v>138</v>
      </c>
      <c r="BX669" t="s">
        <v>24831</v>
      </c>
      <c r="BY669" t="s">
        <v>24832</v>
      </c>
      <c r="BZ669" t="s">
        <v>24833</v>
      </c>
      <c r="CA669" t="s">
        <v>24830</v>
      </c>
      <c r="CB669" t="s">
        <v>24831</v>
      </c>
      <c r="CC669" t="s">
        <v>24832</v>
      </c>
      <c r="CD669" t="s">
        <v>24830</v>
      </c>
      <c r="CE669" t="s">
        <v>24831</v>
      </c>
      <c r="CF669" t="s">
        <v>24832</v>
      </c>
      <c r="CG669" t="s">
        <v>102</v>
      </c>
      <c r="CH669" t="s">
        <v>24834</v>
      </c>
      <c r="CJ669" t="s">
        <v>24835</v>
      </c>
      <c r="CK669" t="s">
        <v>24834</v>
      </c>
      <c r="CL669" t="s">
        <v>9446</v>
      </c>
      <c r="CM669" t="s">
        <v>410</v>
      </c>
      <c r="CN669" t="s">
        <v>24835</v>
      </c>
      <c r="CP669" t="s">
        <v>24836</v>
      </c>
      <c r="CQ669" t="s">
        <v>24836</v>
      </c>
    </row>
    <row r="670" spans="1:95" customFormat="1">
      <c r="A670" t="s">
        <v>337</v>
      </c>
      <c r="B670">
        <v>5145990</v>
      </c>
      <c r="C670" s="50"/>
      <c r="D670" t="s">
        <v>25534</v>
      </c>
      <c r="E670" s="50"/>
      <c r="I670" s="50"/>
      <c r="J670" s="51"/>
      <c r="K670" t="s">
        <v>2163</v>
      </c>
      <c r="L670">
        <v>649539</v>
      </c>
      <c r="M670">
        <v>712039</v>
      </c>
      <c r="N670">
        <v>67416</v>
      </c>
      <c r="O670">
        <v>87</v>
      </c>
      <c r="P670" t="s">
        <v>25185</v>
      </c>
      <c r="Q670">
        <v>234900</v>
      </c>
      <c r="R670">
        <v>87</v>
      </c>
      <c r="S670" t="s">
        <v>18374</v>
      </c>
      <c r="T670">
        <v>347223</v>
      </c>
      <c r="U670">
        <v>149</v>
      </c>
      <c r="V670" t="s">
        <v>14987</v>
      </c>
      <c r="W670" t="s">
        <v>102</v>
      </c>
      <c r="X670" t="s">
        <v>103</v>
      </c>
      <c r="Y670" t="s">
        <v>155</v>
      </c>
      <c r="AA670" t="s">
        <v>12720</v>
      </c>
      <c r="AB670" t="s">
        <v>25536</v>
      </c>
      <c r="AC670" t="s">
        <v>21686</v>
      </c>
      <c r="AD670" t="s">
        <v>25536</v>
      </c>
      <c r="AE670" t="s">
        <v>22119</v>
      </c>
      <c r="AF670" t="s">
        <v>25536</v>
      </c>
      <c r="AG670" t="s">
        <v>21687</v>
      </c>
      <c r="AH670" t="s">
        <v>25536</v>
      </c>
      <c r="AI670" t="s">
        <v>102</v>
      </c>
      <c r="AL670" t="s">
        <v>102</v>
      </c>
      <c r="AM670" t="s">
        <v>102</v>
      </c>
      <c r="AN670" t="s">
        <v>102</v>
      </c>
      <c r="AO670" t="s">
        <v>25537</v>
      </c>
      <c r="AP670" t="s">
        <v>25537</v>
      </c>
      <c r="AU670" t="s">
        <v>207</v>
      </c>
      <c r="AV670" t="s">
        <v>118</v>
      </c>
      <c r="AW670" t="s">
        <v>248</v>
      </c>
      <c r="AX670" t="s">
        <v>119</v>
      </c>
      <c r="AZ670" t="s">
        <v>250</v>
      </c>
      <c r="BA670" t="s">
        <v>250</v>
      </c>
      <c r="BB670" t="s">
        <v>1242</v>
      </c>
      <c r="BC670" t="s">
        <v>623</v>
      </c>
      <c r="BD670" t="s">
        <v>621</v>
      </c>
      <c r="BE670" t="s">
        <v>622</v>
      </c>
      <c r="BF670" t="s">
        <v>623</v>
      </c>
      <c r="BG670" t="s">
        <v>124</v>
      </c>
      <c r="BH670" t="s">
        <v>12250</v>
      </c>
      <c r="BI670" t="s">
        <v>21667</v>
      </c>
      <c r="BJ670" t="s">
        <v>127</v>
      </c>
      <c r="BK670" t="s">
        <v>25538</v>
      </c>
      <c r="BL670" t="s">
        <v>25539</v>
      </c>
      <c r="BM670" t="s">
        <v>25540</v>
      </c>
      <c r="BN670" t="s">
        <v>12250</v>
      </c>
      <c r="BO670" t="s">
        <v>1670</v>
      </c>
      <c r="BP670" t="s">
        <v>132</v>
      </c>
      <c r="BQ670" t="s">
        <v>1671</v>
      </c>
      <c r="BR670" t="s">
        <v>1672</v>
      </c>
      <c r="BS670" t="s">
        <v>507</v>
      </c>
      <c r="BU670" t="s">
        <v>25541</v>
      </c>
      <c r="BV670" t="s">
        <v>25191</v>
      </c>
      <c r="BW670" t="s">
        <v>138</v>
      </c>
      <c r="BX670" t="s">
        <v>25542</v>
      </c>
      <c r="BY670" t="s">
        <v>25543</v>
      </c>
      <c r="BZ670" t="s">
        <v>25544</v>
      </c>
      <c r="CA670" t="s">
        <v>25191</v>
      </c>
      <c r="CB670" t="s">
        <v>25544</v>
      </c>
      <c r="CC670" t="s">
        <v>1346</v>
      </c>
      <c r="CD670" t="s">
        <v>25545</v>
      </c>
      <c r="CE670" t="s">
        <v>25546</v>
      </c>
      <c r="CF670" t="s">
        <v>25547</v>
      </c>
      <c r="CG670" t="s">
        <v>25548</v>
      </c>
      <c r="CH670" t="s">
        <v>25549</v>
      </c>
      <c r="CJ670" t="s">
        <v>3177</v>
      </c>
      <c r="CK670" t="s">
        <v>25549</v>
      </c>
      <c r="CL670" t="s">
        <v>623</v>
      </c>
      <c r="CM670" t="s">
        <v>621</v>
      </c>
      <c r="CN670" t="s">
        <v>3177</v>
      </c>
      <c r="CP670" t="s">
        <v>25550</v>
      </c>
      <c r="CQ670" t="s">
        <v>25550</v>
      </c>
    </row>
    <row r="671" spans="1:95" customFormat="1">
      <c r="A671" t="s">
        <v>337</v>
      </c>
      <c r="B671">
        <v>5146020</v>
      </c>
      <c r="C671" s="50"/>
      <c r="D671" t="s">
        <v>25551</v>
      </c>
      <c r="E671" s="50"/>
      <c r="I671" s="50"/>
      <c r="J671" s="51"/>
      <c r="K671" t="s">
        <v>97</v>
      </c>
      <c r="L671">
        <v>102006</v>
      </c>
      <c r="M671">
        <v>102006</v>
      </c>
      <c r="N671">
        <v>102006</v>
      </c>
      <c r="O671">
        <v>120</v>
      </c>
      <c r="P671" t="s">
        <v>2105</v>
      </c>
      <c r="Q671">
        <v>0</v>
      </c>
      <c r="R671">
        <v>0</v>
      </c>
      <c r="T671">
        <v>0</v>
      </c>
      <c r="U671">
        <v>0</v>
      </c>
      <c r="W671" t="s">
        <v>102</v>
      </c>
      <c r="X671" t="s">
        <v>103</v>
      </c>
      <c r="Y671" t="s">
        <v>104</v>
      </c>
      <c r="AA671" t="s">
        <v>21962</v>
      </c>
      <c r="AB671" t="s">
        <v>25553</v>
      </c>
      <c r="AC671" t="s">
        <v>23371</v>
      </c>
      <c r="AD671" t="s">
        <v>25554</v>
      </c>
      <c r="AE671" t="s">
        <v>109</v>
      </c>
      <c r="AF671" t="s">
        <v>102</v>
      </c>
      <c r="AG671" t="s">
        <v>109</v>
      </c>
      <c r="AH671" t="s">
        <v>102</v>
      </c>
      <c r="AI671" t="s">
        <v>102</v>
      </c>
      <c r="AL671" t="s">
        <v>25553</v>
      </c>
      <c r="AM671" t="s">
        <v>102</v>
      </c>
      <c r="AN671" t="s">
        <v>25553</v>
      </c>
      <c r="AO671" t="s">
        <v>21697</v>
      </c>
      <c r="AP671" t="s">
        <v>25555</v>
      </c>
      <c r="AQ671" t="s">
        <v>102</v>
      </c>
      <c r="AR671" t="s">
        <v>102</v>
      </c>
      <c r="AS671" t="s">
        <v>102</v>
      </c>
      <c r="AT671" t="s">
        <v>102</v>
      </c>
      <c r="AU671" t="s">
        <v>318</v>
      </c>
      <c r="AV671" t="s">
        <v>118</v>
      </c>
      <c r="AW671" t="s">
        <v>102</v>
      </c>
      <c r="AX671" t="s">
        <v>119</v>
      </c>
      <c r="BB671" t="s">
        <v>120</v>
      </c>
      <c r="BC671" t="s">
        <v>2127</v>
      </c>
      <c r="BD671" t="s">
        <v>621</v>
      </c>
      <c r="BE671" t="s">
        <v>622</v>
      </c>
      <c r="BF671" t="s">
        <v>976</v>
      </c>
      <c r="BG671" t="s">
        <v>124</v>
      </c>
      <c r="BH671" t="s">
        <v>12250</v>
      </c>
      <c r="BI671" t="s">
        <v>21667</v>
      </c>
      <c r="BJ671" t="s">
        <v>127</v>
      </c>
      <c r="BK671" t="s">
        <v>25556</v>
      </c>
      <c r="BL671" t="s">
        <v>25557</v>
      </c>
      <c r="BM671" t="s">
        <v>25558</v>
      </c>
      <c r="BN671" t="s">
        <v>21962</v>
      </c>
      <c r="BO671" t="s">
        <v>25559</v>
      </c>
      <c r="BP671" t="s">
        <v>26025</v>
      </c>
      <c r="BQ671" t="s">
        <v>25560</v>
      </c>
      <c r="BR671" t="s">
        <v>25561</v>
      </c>
      <c r="BS671" t="s">
        <v>8262</v>
      </c>
      <c r="BU671" t="s">
        <v>25562</v>
      </c>
      <c r="BV671" t="s">
        <v>25563</v>
      </c>
      <c r="BW671" t="s">
        <v>138</v>
      </c>
      <c r="BX671" t="s">
        <v>25564</v>
      </c>
      <c r="BY671" t="s">
        <v>25565</v>
      </c>
      <c r="BZ671" t="s">
        <v>25564</v>
      </c>
      <c r="CA671" t="s">
        <v>25563</v>
      </c>
      <c r="CB671" t="s">
        <v>25564</v>
      </c>
      <c r="CC671" t="s">
        <v>25565</v>
      </c>
      <c r="CD671" t="s">
        <v>25563</v>
      </c>
      <c r="CE671" t="s">
        <v>25564</v>
      </c>
      <c r="CF671" t="s">
        <v>25565</v>
      </c>
      <c r="CG671" t="s">
        <v>102</v>
      </c>
      <c r="CH671" t="s">
        <v>25514</v>
      </c>
      <c r="CJ671" t="s">
        <v>25566</v>
      </c>
      <c r="CL671" t="s">
        <v>2127</v>
      </c>
      <c r="CM671" t="s">
        <v>621</v>
      </c>
      <c r="CN671" t="s">
        <v>25566</v>
      </c>
      <c r="CP671" t="s">
        <v>25514</v>
      </c>
      <c r="CQ671" t="s">
        <v>25514</v>
      </c>
    </row>
    <row r="672" spans="1:95" customFormat="1">
      <c r="A672" t="s">
        <v>337</v>
      </c>
      <c r="B672">
        <v>5146387</v>
      </c>
      <c r="C672" s="50"/>
      <c r="D672" t="s">
        <v>26579</v>
      </c>
      <c r="E672" s="50"/>
      <c r="I672" s="50"/>
      <c r="J672" s="51"/>
      <c r="K672" t="s">
        <v>97</v>
      </c>
      <c r="L672">
        <v>0</v>
      </c>
      <c r="M672">
        <v>0</v>
      </c>
      <c r="N672">
        <v>0</v>
      </c>
      <c r="O672">
        <v>525</v>
      </c>
      <c r="P672" t="s">
        <v>102</v>
      </c>
      <c r="Q672">
        <v>0</v>
      </c>
      <c r="R672">
        <v>0</v>
      </c>
      <c r="T672">
        <v>0</v>
      </c>
      <c r="U672">
        <v>0</v>
      </c>
      <c r="W672" t="s">
        <v>102</v>
      </c>
      <c r="X672" t="s">
        <v>275</v>
      </c>
      <c r="Z672" t="s">
        <v>21857</v>
      </c>
      <c r="AA672" t="s">
        <v>109</v>
      </c>
      <c r="AB672" t="s">
        <v>102</v>
      </c>
      <c r="AC672" t="s">
        <v>109</v>
      </c>
      <c r="AD672" t="s">
        <v>102</v>
      </c>
      <c r="AE672" t="s">
        <v>109</v>
      </c>
      <c r="AF672" t="s">
        <v>102</v>
      </c>
      <c r="AG672" t="s">
        <v>109</v>
      </c>
      <c r="AH672" t="s">
        <v>102</v>
      </c>
      <c r="AI672" t="s">
        <v>102</v>
      </c>
      <c r="AL672" t="s">
        <v>102</v>
      </c>
      <c r="AM672" t="s">
        <v>102</v>
      </c>
      <c r="AN672" t="s">
        <v>102</v>
      </c>
      <c r="AO672" t="s">
        <v>115</v>
      </c>
      <c r="AP672" t="s">
        <v>115</v>
      </c>
      <c r="AU672" t="s">
        <v>117</v>
      </c>
      <c r="AV672" t="s">
        <v>118</v>
      </c>
      <c r="AW672" t="s">
        <v>102</v>
      </c>
      <c r="AX672" t="s">
        <v>119</v>
      </c>
      <c r="BB672" t="s">
        <v>120</v>
      </c>
      <c r="BC672" t="s">
        <v>26581</v>
      </c>
      <c r="BD672" t="s">
        <v>211</v>
      </c>
      <c r="BE672" t="s">
        <v>212</v>
      </c>
      <c r="BF672" t="s">
        <v>213</v>
      </c>
      <c r="BG672" t="s">
        <v>124</v>
      </c>
      <c r="BH672" t="s">
        <v>24888</v>
      </c>
      <c r="BI672" t="s">
        <v>23025</v>
      </c>
      <c r="BJ672" t="s">
        <v>127</v>
      </c>
      <c r="BK672" t="s">
        <v>26582</v>
      </c>
      <c r="BL672" t="s">
        <v>26583</v>
      </c>
      <c r="BM672" t="s">
        <v>26584</v>
      </c>
      <c r="BN672" t="s">
        <v>21857</v>
      </c>
      <c r="BO672" t="s">
        <v>24891</v>
      </c>
      <c r="BP672" t="s">
        <v>180</v>
      </c>
      <c r="BQ672" t="s">
        <v>24892</v>
      </c>
      <c r="BR672" t="s">
        <v>24893</v>
      </c>
      <c r="BS672" t="s">
        <v>11947</v>
      </c>
      <c r="BU672" t="s">
        <v>26585</v>
      </c>
      <c r="BV672" t="s">
        <v>3585</v>
      </c>
      <c r="BX672" t="s">
        <v>225</v>
      </c>
      <c r="BY672" t="s">
        <v>8332</v>
      </c>
      <c r="CA672" t="s">
        <v>26586</v>
      </c>
      <c r="CB672" t="s">
        <v>26587</v>
      </c>
      <c r="CC672" t="s">
        <v>26588</v>
      </c>
      <c r="CD672" t="s">
        <v>26586</v>
      </c>
      <c r="CE672" t="s">
        <v>26587</v>
      </c>
      <c r="CF672" t="s">
        <v>26588</v>
      </c>
      <c r="CG672" t="s">
        <v>102</v>
      </c>
      <c r="CH672" t="s">
        <v>26589</v>
      </c>
      <c r="CJ672" t="s">
        <v>26590</v>
      </c>
      <c r="CL672" t="s">
        <v>26581</v>
      </c>
      <c r="CM672" t="s">
        <v>211</v>
      </c>
      <c r="CN672" t="s">
        <v>26590</v>
      </c>
      <c r="CP672" t="s">
        <v>26581</v>
      </c>
      <c r="CQ672" t="s">
        <v>26581</v>
      </c>
    </row>
    <row r="673" spans="1:95" customFormat="1">
      <c r="A673" t="s">
        <v>337</v>
      </c>
      <c r="B673">
        <v>5147375</v>
      </c>
      <c r="C673" s="50"/>
      <c r="D673" t="s">
        <v>26259</v>
      </c>
      <c r="E673" s="50"/>
      <c r="I673" s="50"/>
      <c r="J673" s="51"/>
      <c r="K673" t="s">
        <v>97</v>
      </c>
      <c r="L673">
        <v>0</v>
      </c>
      <c r="M673">
        <v>0</v>
      </c>
      <c r="N673">
        <v>0</v>
      </c>
      <c r="O673">
        <v>123</v>
      </c>
      <c r="P673" t="s">
        <v>102</v>
      </c>
      <c r="Q673">
        <v>0</v>
      </c>
      <c r="R673">
        <v>0</v>
      </c>
      <c r="T673">
        <v>0</v>
      </c>
      <c r="U673">
        <v>0</v>
      </c>
      <c r="W673" t="s">
        <v>102</v>
      </c>
      <c r="X673" t="s">
        <v>275</v>
      </c>
      <c r="Z673" t="s">
        <v>12047</v>
      </c>
      <c r="AA673" t="s">
        <v>109</v>
      </c>
      <c r="AB673" t="s">
        <v>102</v>
      </c>
      <c r="AC673" t="s">
        <v>109</v>
      </c>
      <c r="AD673" t="s">
        <v>102</v>
      </c>
      <c r="AE673" t="s">
        <v>109</v>
      </c>
      <c r="AF673" t="s">
        <v>102</v>
      </c>
      <c r="AG673" t="s">
        <v>109</v>
      </c>
      <c r="AH673" t="s">
        <v>102</v>
      </c>
      <c r="AI673" t="s">
        <v>102</v>
      </c>
      <c r="AL673" t="s">
        <v>102</v>
      </c>
      <c r="AM673" t="s">
        <v>102</v>
      </c>
      <c r="AN673" t="s">
        <v>102</v>
      </c>
      <c r="AO673" t="s">
        <v>115</v>
      </c>
      <c r="AP673" t="s">
        <v>115</v>
      </c>
      <c r="AU673" t="s">
        <v>6700</v>
      </c>
      <c r="AV673" t="s">
        <v>250</v>
      </c>
      <c r="AW673" t="s">
        <v>102</v>
      </c>
      <c r="AX673" t="s">
        <v>119</v>
      </c>
      <c r="BB673" t="s">
        <v>120</v>
      </c>
      <c r="BC673" t="s">
        <v>26261</v>
      </c>
      <c r="BD673" t="s">
        <v>26261</v>
      </c>
      <c r="BE673" t="s">
        <v>26261</v>
      </c>
      <c r="BF673" t="s">
        <v>26261</v>
      </c>
      <c r="BG673" t="s">
        <v>124</v>
      </c>
      <c r="BH673" t="s">
        <v>12250</v>
      </c>
      <c r="BI673" t="s">
        <v>21667</v>
      </c>
      <c r="BJ673" t="s">
        <v>127</v>
      </c>
      <c r="BK673" t="s">
        <v>26262</v>
      </c>
      <c r="BL673" t="s">
        <v>26263</v>
      </c>
      <c r="BM673" t="s">
        <v>26264</v>
      </c>
      <c r="BN673" t="s">
        <v>13662</v>
      </c>
      <c r="BO673" t="s">
        <v>290</v>
      </c>
      <c r="BP673" t="s">
        <v>132</v>
      </c>
      <c r="BQ673" t="s">
        <v>291</v>
      </c>
      <c r="BR673" t="s">
        <v>292</v>
      </c>
      <c r="BS673" t="s">
        <v>4765</v>
      </c>
      <c r="BU673" t="s">
        <v>26265</v>
      </c>
      <c r="BV673" t="s">
        <v>224</v>
      </c>
      <c r="BW673" t="s">
        <v>598</v>
      </c>
      <c r="BX673" t="s">
        <v>225</v>
      </c>
      <c r="BY673" t="s">
        <v>226</v>
      </c>
      <c r="CA673" t="s">
        <v>26266</v>
      </c>
      <c r="CB673" t="s">
        <v>26267</v>
      </c>
      <c r="CC673" t="s">
        <v>26268</v>
      </c>
      <c r="CD673" t="s">
        <v>26266</v>
      </c>
      <c r="CE673" t="s">
        <v>26267</v>
      </c>
      <c r="CF673" t="s">
        <v>26268</v>
      </c>
      <c r="CG673" t="s">
        <v>102</v>
      </c>
      <c r="CH673" t="s">
        <v>26269</v>
      </c>
      <c r="CJ673" t="s">
        <v>26270</v>
      </c>
      <c r="CL673" t="s">
        <v>26261</v>
      </c>
      <c r="CM673" t="s">
        <v>26261</v>
      </c>
      <c r="CN673" t="s">
        <v>26270</v>
      </c>
      <c r="CP673" t="s">
        <v>26261</v>
      </c>
      <c r="CQ673" t="s">
        <v>26261</v>
      </c>
    </row>
    <row r="674" spans="1:95" customFormat="1">
      <c r="A674" t="s">
        <v>337</v>
      </c>
      <c r="B674">
        <v>5147512</v>
      </c>
      <c r="C674" s="50"/>
      <c r="D674" t="s">
        <v>25567</v>
      </c>
      <c r="E674" s="50"/>
      <c r="I674" s="50"/>
      <c r="J674" s="51"/>
      <c r="K674" t="s">
        <v>97</v>
      </c>
      <c r="L674">
        <v>0</v>
      </c>
      <c r="M674">
        <v>0</v>
      </c>
      <c r="N674">
        <v>0</v>
      </c>
      <c r="O674">
        <v>100000</v>
      </c>
      <c r="P674" t="s">
        <v>102</v>
      </c>
      <c r="Q674">
        <v>0</v>
      </c>
      <c r="R674">
        <v>0</v>
      </c>
      <c r="T674">
        <v>0</v>
      </c>
      <c r="U674">
        <v>0</v>
      </c>
      <c r="W674" t="s">
        <v>102</v>
      </c>
      <c r="X674" t="s">
        <v>275</v>
      </c>
      <c r="Z674" t="s">
        <v>11960</v>
      </c>
      <c r="AA674" t="s">
        <v>109</v>
      </c>
      <c r="AB674" t="s">
        <v>102</v>
      </c>
      <c r="AC674" t="s">
        <v>109</v>
      </c>
      <c r="AD674" t="s">
        <v>102</v>
      </c>
      <c r="AE674" t="s">
        <v>109</v>
      </c>
      <c r="AF674" t="s">
        <v>102</v>
      </c>
      <c r="AG674" t="s">
        <v>109</v>
      </c>
      <c r="AH674" t="s">
        <v>102</v>
      </c>
      <c r="AI674" t="s">
        <v>102</v>
      </c>
      <c r="AL674" t="s">
        <v>102</v>
      </c>
      <c r="AM674" t="s">
        <v>102</v>
      </c>
      <c r="AN674" t="s">
        <v>102</v>
      </c>
      <c r="AO674" t="s">
        <v>115</v>
      </c>
      <c r="AP674" t="s">
        <v>115</v>
      </c>
      <c r="AU674" t="s">
        <v>318</v>
      </c>
      <c r="AV674" t="s">
        <v>250</v>
      </c>
      <c r="AW674" t="s">
        <v>102</v>
      </c>
      <c r="AX674" t="s">
        <v>119</v>
      </c>
      <c r="BB674" t="s">
        <v>120</v>
      </c>
      <c r="BC674" t="s">
        <v>623</v>
      </c>
      <c r="BD674" t="s">
        <v>621</v>
      </c>
      <c r="BE674" t="s">
        <v>622</v>
      </c>
      <c r="BF674" t="s">
        <v>623</v>
      </c>
      <c r="BG674" t="s">
        <v>124</v>
      </c>
      <c r="BH674" t="s">
        <v>12250</v>
      </c>
      <c r="BI674" t="s">
        <v>21667</v>
      </c>
      <c r="BJ674" t="s">
        <v>127</v>
      </c>
      <c r="BK674" t="s">
        <v>25569</v>
      </c>
      <c r="BL674" t="s">
        <v>25570</v>
      </c>
      <c r="BM674" t="s">
        <v>25571</v>
      </c>
      <c r="BN674" t="s">
        <v>24940</v>
      </c>
      <c r="BO674" t="s">
        <v>132</v>
      </c>
      <c r="BP674" t="s">
        <v>132</v>
      </c>
      <c r="BQ674" t="s">
        <v>6400</v>
      </c>
      <c r="BR674" t="s">
        <v>25572</v>
      </c>
      <c r="BS674" t="s">
        <v>25573</v>
      </c>
      <c r="BU674" t="s">
        <v>25574</v>
      </c>
      <c r="BV674" t="s">
        <v>25575</v>
      </c>
      <c r="BW674" t="s">
        <v>598</v>
      </c>
      <c r="BX674" t="s">
        <v>25576</v>
      </c>
      <c r="BY674" t="s">
        <v>10766</v>
      </c>
      <c r="BZ674" t="s">
        <v>25577</v>
      </c>
      <c r="CA674" t="s">
        <v>25575</v>
      </c>
      <c r="CB674" t="s">
        <v>25576</v>
      </c>
      <c r="CC674" t="s">
        <v>25578</v>
      </c>
      <c r="CD674" t="s">
        <v>25575</v>
      </c>
      <c r="CE674" t="s">
        <v>25576</v>
      </c>
      <c r="CF674" t="s">
        <v>25578</v>
      </c>
      <c r="CG674" t="s">
        <v>102</v>
      </c>
      <c r="CH674" t="s">
        <v>25579</v>
      </c>
      <c r="CJ674" t="s">
        <v>25580</v>
      </c>
      <c r="CL674" t="s">
        <v>623</v>
      </c>
      <c r="CM674" t="s">
        <v>621</v>
      </c>
      <c r="CN674" t="s">
        <v>25580</v>
      </c>
      <c r="CP674" t="s">
        <v>25581</v>
      </c>
      <c r="CQ674" t="s">
        <v>25581</v>
      </c>
    </row>
    <row r="675" spans="1:95" customFormat="1">
      <c r="A675" t="s">
        <v>337</v>
      </c>
      <c r="B675">
        <v>5149433</v>
      </c>
      <c r="C675" s="50"/>
      <c r="D675" t="s">
        <v>26271</v>
      </c>
      <c r="E675" s="50"/>
      <c r="I675" s="50"/>
      <c r="J675" s="51"/>
      <c r="K675" t="s">
        <v>97</v>
      </c>
      <c r="L675">
        <v>0</v>
      </c>
      <c r="M675">
        <v>0</v>
      </c>
      <c r="N675">
        <v>0</v>
      </c>
      <c r="O675">
        <v>486</v>
      </c>
      <c r="P675" t="s">
        <v>102</v>
      </c>
      <c r="Q675">
        <v>0</v>
      </c>
      <c r="R675">
        <v>0</v>
      </c>
      <c r="T675">
        <v>0</v>
      </c>
      <c r="U675">
        <v>0</v>
      </c>
      <c r="W675" t="s">
        <v>102</v>
      </c>
      <c r="X675" t="s">
        <v>275</v>
      </c>
      <c r="Z675" t="s">
        <v>11960</v>
      </c>
      <c r="AA675" t="s">
        <v>109</v>
      </c>
      <c r="AB675" t="s">
        <v>102</v>
      </c>
      <c r="AC675" t="s">
        <v>109</v>
      </c>
      <c r="AD675" t="s">
        <v>102</v>
      </c>
      <c r="AE675" t="s">
        <v>109</v>
      </c>
      <c r="AF675" t="s">
        <v>102</v>
      </c>
      <c r="AG675" t="s">
        <v>109</v>
      </c>
      <c r="AH675" t="s">
        <v>102</v>
      </c>
      <c r="AI675" t="s">
        <v>102</v>
      </c>
      <c r="AL675" t="s">
        <v>102</v>
      </c>
      <c r="AM675" t="s">
        <v>102</v>
      </c>
      <c r="AN675" t="s">
        <v>102</v>
      </c>
      <c r="AO675" t="s">
        <v>115</v>
      </c>
      <c r="AP675" t="s">
        <v>115</v>
      </c>
      <c r="AU675" t="s">
        <v>318</v>
      </c>
      <c r="AV675" t="s">
        <v>250</v>
      </c>
      <c r="AW675" t="s">
        <v>102</v>
      </c>
      <c r="AX675" t="s">
        <v>119</v>
      </c>
      <c r="BB675" t="s">
        <v>120</v>
      </c>
      <c r="BC675" t="s">
        <v>2204</v>
      </c>
      <c r="BD675" t="s">
        <v>121</v>
      </c>
      <c r="BE675" t="s">
        <v>122</v>
      </c>
      <c r="BF675" t="s">
        <v>123</v>
      </c>
      <c r="BG675" t="s">
        <v>124</v>
      </c>
      <c r="BH675" t="s">
        <v>12250</v>
      </c>
      <c r="BI675" t="s">
        <v>21667</v>
      </c>
      <c r="BJ675" t="s">
        <v>127</v>
      </c>
      <c r="BK675" t="s">
        <v>26273</v>
      </c>
      <c r="BL675" t="s">
        <v>26274</v>
      </c>
      <c r="BM675" t="s">
        <v>26275</v>
      </c>
      <c r="BN675" t="s">
        <v>26057</v>
      </c>
      <c r="BO675" t="s">
        <v>132</v>
      </c>
      <c r="BP675" t="s">
        <v>132</v>
      </c>
      <c r="BQ675" t="s">
        <v>6400</v>
      </c>
      <c r="BR675" t="s">
        <v>25572</v>
      </c>
      <c r="BS675" t="s">
        <v>25573</v>
      </c>
      <c r="BU675" t="s">
        <v>26276</v>
      </c>
      <c r="BV675" t="s">
        <v>26277</v>
      </c>
      <c r="BW675" t="s">
        <v>296</v>
      </c>
      <c r="BX675" t="s">
        <v>1997</v>
      </c>
      <c r="BY675" t="s">
        <v>226</v>
      </c>
      <c r="CA675" t="s">
        <v>25575</v>
      </c>
      <c r="CB675" t="s">
        <v>25576</v>
      </c>
      <c r="CC675" t="s">
        <v>25578</v>
      </c>
      <c r="CD675" t="s">
        <v>25575</v>
      </c>
      <c r="CE675" t="s">
        <v>25576</v>
      </c>
      <c r="CF675" t="s">
        <v>25578</v>
      </c>
      <c r="CG675" t="s">
        <v>102</v>
      </c>
      <c r="CH675" t="s">
        <v>14774</v>
      </c>
      <c r="CJ675" t="s">
        <v>5311</v>
      </c>
      <c r="CL675" t="s">
        <v>2204</v>
      </c>
      <c r="CM675" t="s">
        <v>121</v>
      </c>
      <c r="CN675" t="s">
        <v>5311</v>
      </c>
      <c r="CP675" t="s">
        <v>26278</v>
      </c>
      <c r="CQ675" t="s">
        <v>26278</v>
      </c>
    </row>
    <row r="676" spans="1:95" customFormat="1">
      <c r="A676" t="s">
        <v>337</v>
      </c>
      <c r="B676">
        <v>5149560</v>
      </c>
      <c r="C676" s="50"/>
      <c r="D676" t="s">
        <v>26279</v>
      </c>
      <c r="E676" s="50"/>
      <c r="I676" s="50"/>
      <c r="J676" s="51"/>
      <c r="K676" t="s">
        <v>848</v>
      </c>
      <c r="L676">
        <v>0</v>
      </c>
      <c r="M676">
        <v>0</v>
      </c>
      <c r="N676">
        <v>0</v>
      </c>
      <c r="O676">
        <v>0</v>
      </c>
      <c r="Q676">
        <v>0</v>
      </c>
      <c r="R676">
        <v>0</v>
      </c>
      <c r="T676">
        <v>0</v>
      </c>
      <c r="U676">
        <v>50</v>
      </c>
      <c r="V676" t="s">
        <v>102</v>
      </c>
      <c r="W676" t="s">
        <v>102</v>
      </c>
      <c r="X676" t="s">
        <v>275</v>
      </c>
      <c r="Z676" t="s">
        <v>26057</v>
      </c>
      <c r="AA676" t="s">
        <v>109</v>
      </c>
      <c r="AB676" t="s">
        <v>102</v>
      </c>
      <c r="AC676" t="s">
        <v>109</v>
      </c>
      <c r="AD676" t="s">
        <v>102</v>
      </c>
      <c r="AE676" t="s">
        <v>109</v>
      </c>
      <c r="AF676" t="s">
        <v>102</v>
      </c>
      <c r="AG676" t="s">
        <v>109</v>
      </c>
      <c r="AH676" t="s">
        <v>102</v>
      </c>
      <c r="AI676" t="s">
        <v>102</v>
      </c>
      <c r="AL676" t="s">
        <v>102</v>
      </c>
      <c r="AM676" t="s">
        <v>102</v>
      </c>
      <c r="AN676" t="s">
        <v>102</v>
      </c>
      <c r="AO676" t="s">
        <v>115</v>
      </c>
      <c r="AP676" t="s">
        <v>115</v>
      </c>
      <c r="AU676" t="s">
        <v>102</v>
      </c>
      <c r="AW676" t="s">
        <v>102</v>
      </c>
      <c r="AX676" t="s">
        <v>119</v>
      </c>
      <c r="BA676" t="s">
        <v>250</v>
      </c>
      <c r="BB676" t="s">
        <v>598</v>
      </c>
      <c r="BC676" t="s">
        <v>26281</v>
      </c>
      <c r="BD676" t="s">
        <v>173</v>
      </c>
      <c r="BE676" t="s">
        <v>174</v>
      </c>
      <c r="BF676" t="s">
        <v>173</v>
      </c>
      <c r="BG676" t="s">
        <v>124</v>
      </c>
      <c r="BH676" t="s">
        <v>26057</v>
      </c>
      <c r="BI676" t="s">
        <v>26282</v>
      </c>
      <c r="BJ676" t="s">
        <v>127</v>
      </c>
      <c r="BK676" t="s">
        <v>26283</v>
      </c>
      <c r="BL676" t="s">
        <v>26284</v>
      </c>
      <c r="BM676" t="s">
        <v>26285</v>
      </c>
      <c r="BN676" t="s">
        <v>26057</v>
      </c>
      <c r="BO676" t="s">
        <v>180</v>
      </c>
      <c r="BP676" t="s">
        <v>180</v>
      </c>
      <c r="BQ676" t="s">
        <v>8588</v>
      </c>
      <c r="BR676" t="s">
        <v>14336</v>
      </c>
      <c r="BS676" t="s">
        <v>26286</v>
      </c>
      <c r="BU676" t="s">
        <v>26287</v>
      </c>
      <c r="BV676" t="s">
        <v>26286</v>
      </c>
      <c r="BW676" t="s">
        <v>598</v>
      </c>
      <c r="BX676" t="s">
        <v>26288</v>
      </c>
      <c r="BY676" t="s">
        <v>26289</v>
      </c>
      <c r="BZ676" t="s">
        <v>26288</v>
      </c>
      <c r="CA676" t="s">
        <v>14342</v>
      </c>
      <c r="CB676" t="s">
        <v>8588</v>
      </c>
      <c r="CC676" t="s">
        <v>14343</v>
      </c>
      <c r="CD676" t="s">
        <v>14342</v>
      </c>
      <c r="CE676" t="s">
        <v>8588</v>
      </c>
      <c r="CF676" t="s">
        <v>14343</v>
      </c>
      <c r="CG676" t="s">
        <v>102</v>
      </c>
      <c r="CH676" t="s">
        <v>26281</v>
      </c>
      <c r="CI676" t="s">
        <v>26281</v>
      </c>
      <c r="CJ676" t="s">
        <v>26290</v>
      </c>
      <c r="CL676" t="s">
        <v>26281</v>
      </c>
      <c r="CM676" t="s">
        <v>173</v>
      </c>
      <c r="CN676" t="s">
        <v>26290</v>
      </c>
      <c r="CP676" t="s">
        <v>26281</v>
      </c>
      <c r="CQ676" t="s">
        <v>26281</v>
      </c>
    </row>
    <row r="677" spans="1:95" customFormat="1">
      <c r="A677" t="s">
        <v>337</v>
      </c>
      <c r="B677">
        <v>5149645</v>
      </c>
      <c r="C677" s="50"/>
      <c r="D677" t="s">
        <v>26291</v>
      </c>
      <c r="E677" s="50"/>
      <c r="I677" s="50"/>
      <c r="J677" s="51"/>
      <c r="K677" t="s">
        <v>97</v>
      </c>
      <c r="L677">
        <v>0</v>
      </c>
      <c r="M677">
        <v>0</v>
      </c>
      <c r="N677">
        <v>0</v>
      </c>
      <c r="O677">
        <v>260</v>
      </c>
      <c r="P677" t="s">
        <v>102</v>
      </c>
      <c r="Q677">
        <v>0</v>
      </c>
      <c r="R677">
        <v>0</v>
      </c>
      <c r="T677">
        <v>0</v>
      </c>
      <c r="U677">
        <v>0</v>
      </c>
      <c r="W677" t="s">
        <v>102</v>
      </c>
      <c r="X677" t="s">
        <v>275</v>
      </c>
      <c r="Z677" t="s">
        <v>11960</v>
      </c>
      <c r="AA677" t="s">
        <v>109</v>
      </c>
      <c r="AB677" t="s">
        <v>102</v>
      </c>
      <c r="AC677" t="s">
        <v>109</v>
      </c>
      <c r="AD677" t="s">
        <v>102</v>
      </c>
      <c r="AE677" t="s">
        <v>109</v>
      </c>
      <c r="AF677" t="s">
        <v>102</v>
      </c>
      <c r="AG677" t="s">
        <v>109</v>
      </c>
      <c r="AH677" t="s">
        <v>102</v>
      </c>
      <c r="AI677" t="s">
        <v>102</v>
      </c>
      <c r="AL677" t="s">
        <v>102</v>
      </c>
      <c r="AM677" t="s">
        <v>102</v>
      </c>
      <c r="AN677" t="s">
        <v>102</v>
      </c>
      <c r="AO677" t="s">
        <v>115</v>
      </c>
      <c r="AP677" t="s">
        <v>115</v>
      </c>
      <c r="AU677" t="s">
        <v>318</v>
      </c>
      <c r="AV677" t="s">
        <v>250</v>
      </c>
      <c r="AW677" t="s">
        <v>102</v>
      </c>
      <c r="AX677" t="s">
        <v>119</v>
      </c>
      <c r="BB677" t="s">
        <v>120</v>
      </c>
      <c r="BC677" t="s">
        <v>121</v>
      </c>
      <c r="BD677" t="s">
        <v>121</v>
      </c>
      <c r="BE677" t="s">
        <v>122</v>
      </c>
      <c r="BF677" t="s">
        <v>123</v>
      </c>
      <c r="BG677" t="s">
        <v>124</v>
      </c>
      <c r="BH677" t="s">
        <v>12250</v>
      </c>
      <c r="BI677" t="s">
        <v>21667</v>
      </c>
      <c r="BJ677" t="s">
        <v>127</v>
      </c>
      <c r="BK677" t="s">
        <v>26293</v>
      </c>
      <c r="BL677" t="s">
        <v>26294</v>
      </c>
      <c r="BM677" t="s">
        <v>26295</v>
      </c>
      <c r="BN677" t="s">
        <v>26057</v>
      </c>
      <c r="BO677" t="s">
        <v>132</v>
      </c>
      <c r="BP677" t="s">
        <v>132</v>
      </c>
      <c r="BQ677" t="s">
        <v>6400</v>
      </c>
      <c r="BR677" t="s">
        <v>25572</v>
      </c>
      <c r="BS677" t="s">
        <v>25573</v>
      </c>
      <c r="BU677" t="s">
        <v>26296</v>
      </c>
      <c r="BV677" t="s">
        <v>26277</v>
      </c>
      <c r="BW677" t="s">
        <v>296</v>
      </c>
      <c r="BX677" t="s">
        <v>1997</v>
      </c>
      <c r="BY677" t="s">
        <v>226</v>
      </c>
      <c r="CA677" t="s">
        <v>25575</v>
      </c>
      <c r="CB677" t="s">
        <v>25576</v>
      </c>
      <c r="CC677" t="s">
        <v>25578</v>
      </c>
      <c r="CD677" t="s">
        <v>25575</v>
      </c>
      <c r="CE677" t="s">
        <v>25576</v>
      </c>
      <c r="CF677" t="s">
        <v>25578</v>
      </c>
      <c r="CG677" t="s">
        <v>102</v>
      </c>
      <c r="CH677" t="s">
        <v>14774</v>
      </c>
      <c r="CJ677" t="s">
        <v>26297</v>
      </c>
      <c r="CL677" t="s">
        <v>121</v>
      </c>
      <c r="CM677" t="s">
        <v>121</v>
      </c>
      <c r="CN677" t="s">
        <v>26297</v>
      </c>
      <c r="CP677" t="s">
        <v>26298</v>
      </c>
      <c r="CQ677" t="s">
        <v>26298</v>
      </c>
    </row>
    <row r="678" spans="1:95" customFormat="1">
      <c r="A678" t="s">
        <v>337</v>
      </c>
      <c r="B678">
        <v>5149720</v>
      </c>
      <c r="C678" s="50"/>
      <c r="D678" t="s">
        <v>26299</v>
      </c>
      <c r="E678" s="50"/>
      <c r="I678" s="50"/>
      <c r="J678" s="51"/>
      <c r="K678" t="s">
        <v>97</v>
      </c>
      <c r="L678">
        <v>0</v>
      </c>
      <c r="M678">
        <v>0</v>
      </c>
      <c r="N678">
        <v>0</v>
      </c>
      <c r="O678">
        <v>198</v>
      </c>
      <c r="P678" t="s">
        <v>102</v>
      </c>
      <c r="Q678">
        <v>0</v>
      </c>
      <c r="R678">
        <v>0</v>
      </c>
      <c r="T678">
        <v>0</v>
      </c>
      <c r="U678">
        <v>0</v>
      </c>
      <c r="W678" t="s">
        <v>102</v>
      </c>
      <c r="X678" t="s">
        <v>275</v>
      </c>
      <c r="Z678" t="s">
        <v>11960</v>
      </c>
      <c r="AA678" t="s">
        <v>109</v>
      </c>
      <c r="AB678" t="s">
        <v>102</v>
      </c>
      <c r="AC678" t="s">
        <v>109</v>
      </c>
      <c r="AD678" t="s">
        <v>102</v>
      </c>
      <c r="AE678" t="s">
        <v>109</v>
      </c>
      <c r="AF678" t="s">
        <v>102</v>
      </c>
      <c r="AG678" t="s">
        <v>109</v>
      </c>
      <c r="AH678" t="s">
        <v>102</v>
      </c>
      <c r="AI678" t="s">
        <v>102</v>
      </c>
      <c r="AL678" t="s">
        <v>102</v>
      </c>
      <c r="AM678" t="s">
        <v>102</v>
      </c>
      <c r="AN678" t="s">
        <v>102</v>
      </c>
      <c r="AO678" t="s">
        <v>115</v>
      </c>
      <c r="AP678" t="s">
        <v>115</v>
      </c>
      <c r="AU678" t="s">
        <v>318</v>
      </c>
      <c r="AV678" t="s">
        <v>250</v>
      </c>
      <c r="AW678" t="s">
        <v>102</v>
      </c>
      <c r="AX678" t="s">
        <v>119</v>
      </c>
      <c r="BB678" t="s">
        <v>120</v>
      </c>
      <c r="BC678" t="s">
        <v>2204</v>
      </c>
      <c r="BD678" t="s">
        <v>121</v>
      </c>
      <c r="BE678" t="s">
        <v>122</v>
      </c>
      <c r="BF678" t="s">
        <v>123</v>
      </c>
      <c r="BG678" t="s">
        <v>124</v>
      </c>
      <c r="BH678" t="s">
        <v>12250</v>
      </c>
      <c r="BI678" t="s">
        <v>21667</v>
      </c>
      <c r="BJ678" t="s">
        <v>127</v>
      </c>
      <c r="BK678" t="s">
        <v>26301</v>
      </c>
      <c r="BL678" t="s">
        <v>26302</v>
      </c>
      <c r="BM678" t="s">
        <v>26303</v>
      </c>
      <c r="BN678" t="s">
        <v>26057</v>
      </c>
      <c r="BO678" t="s">
        <v>132</v>
      </c>
      <c r="BP678" t="s">
        <v>132</v>
      </c>
      <c r="BQ678" t="s">
        <v>6400</v>
      </c>
      <c r="BR678" t="s">
        <v>25572</v>
      </c>
      <c r="BS678" t="s">
        <v>25573</v>
      </c>
      <c r="BU678" t="s">
        <v>26304</v>
      </c>
      <c r="BV678" t="s">
        <v>26277</v>
      </c>
      <c r="BW678" t="s">
        <v>296</v>
      </c>
      <c r="BX678" t="s">
        <v>1997</v>
      </c>
      <c r="BY678" t="s">
        <v>226</v>
      </c>
      <c r="CA678" t="s">
        <v>25575</v>
      </c>
      <c r="CB678" t="s">
        <v>25576</v>
      </c>
      <c r="CC678" t="s">
        <v>25578</v>
      </c>
      <c r="CD678" t="s">
        <v>25575</v>
      </c>
      <c r="CE678" t="s">
        <v>25576</v>
      </c>
      <c r="CF678" t="s">
        <v>25578</v>
      </c>
      <c r="CG678" t="s">
        <v>102</v>
      </c>
      <c r="CH678" t="s">
        <v>14774</v>
      </c>
      <c r="CJ678" t="s">
        <v>26305</v>
      </c>
      <c r="CL678" t="s">
        <v>2204</v>
      </c>
      <c r="CM678" t="s">
        <v>121</v>
      </c>
      <c r="CN678" t="s">
        <v>26305</v>
      </c>
      <c r="CP678" t="s">
        <v>26306</v>
      </c>
      <c r="CQ678" t="s">
        <v>26306</v>
      </c>
    </row>
    <row r="679" spans="1:95" customFormat="1">
      <c r="A679" t="s">
        <v>26646</v>
      </c>
      <c r="B679">
        <v>5151019</v>
      </c>
      <c r="C679" s="50"/>
      <c r="D679" t="s">
        <v>26591</v>
      </c>
      <c r="E679" s="50"/>
      <c r="I679" s="50"/>
      <c r="J679" s="51"/>
      <c r="K679" t="s">
        <v>97</v>
      </c>
      <c r="L679">
        <v>142800</v>
      </c>
      <c r="M679">
        <v>142800</v>
      </c>
      <c r="N679">
        <v>142800</v>
      </c>
      <c r="O679">
        <v>238</v>
      </c>
      <c r="P679" t="s">
        <v>310</v>
      </c>
      <c r="Q679">
        <v>0</v>
      </c>
      <c r="R679">
        <v>0</v>
      </c>
      <c r="T679">
        <v>0</v>
      </c>
      <c r="U679">
        <v>0</v>
      </c>
      <c r="W679" t="s">
        <v>102</v>
      </c>
      <c r="X679" t="s">
        <v>103</v>
      </c>
      <c r="Y679" t="s">
        <v>104</v>
      </c>
      <c r="AA679" t="s">
        <v>22882</v>
      </c>
      <c r="AB679" t="s">
        <v>9118</v>
      </c>
      <c r="AC679" t="s">
        <v>21983</v>
      </c>
      <c r="AD679" t="s">
        <v>9118</v>
      </c>
      <c r="AE679" t="s">
        <v>109</v>
      </c>
      <c r="AF679" t="s">
        <v>102</v>
      </c>
      <c r="AG679" t="s">
        <v>109</v>
      </c>
      <c r="AH679" t="s">
        <v>102</v>
      </c>
      <c r="AI679" t="s">
        <v>102</v>
      </c>
      <c r="AL679" t="s">
        <v>102</v>
      </c>
      <c r="AM679" t="s">
        <v>102</v>
      </c>
      <c r="AN679" t="s">
        <v>102</v>
      </c>
      <c r="AO679" t="s">
        <v>317</v>
      </c>
      <c r="AP679" t="s">
        <v>317</v>
      </c>
      <c r="AU679" t="s">
        <v>318</v>
      </c>
      <c r="AV679" t="s">
        <v>118</v>
      </c>
      <c r="AW679" t="s">
        <v>102</v>
      </c>
      <c r="AX679" t="s">
        <v>119</v>
      </c>
      <c r="BB679" t="s">
        <v>120</v>
      </c>
      <c r="BC679" t="s">
        <v>2799</v>
      </c>
      <c r="BD679" t="s">
        <v>2800</v>
      </c>
      <c r="BE679" t="s">
        <v>122</v>
      </c>
      <c r="BF679" t="s">
        <v>346</v>
      </c>
      <c r="BG679" t="s">
        <v>124</v>
      </c>
      <c r="BH679" t="s">
        <v>12250</v>
      </c>
      <c r="BI679" t="s">
        <v>21667</v>
      </c>
      <c r="BJ679" t="s">
        <v>127</v>
      </c>
      <c r="BK679" t="s">
        <v>26594</v>
      </c>
      <c r="BL679" t="s">
        <v>26595</v>
      </c>
      <c r="BM679" t="s">
        <v>26596</v>
      </c>
      <c r="BN679" t="s">
        <v>26592</v>
      </c>
      <c r="BO679" t="s">
        <v>349</v>
      </c>
      <c r="BP679" t="s">
        <v>350</v>
      </c>
      <c r="BQ679" t="s">
        <v>351</v>
      </c>
      <c r="BR679" t="s">
        <v>352</v>
      </c>
      <c r="BS679" t="s">
        <v>6249</v>
      </c>
      <c r="BU679" t="s">
        <v>26597</v>
      </c>
      <c r="BV679" t="s">
        <v>26598</v>
      </c>
      <c r="BW679" t="s">
        <v>138</v>
      </c>
      <c r="BX679" t="s">
        <v>26599</v>
      </c>
      <c r="BY679" t="s">
        <v>26600</v>
      </c>
      <c r="BZ679" t="s">
        <v>26599</v>
      </c>
      <c r="CA679" t="s">
        <v>26598</v>
      </c>
      <c r="CB679" t="s">
        <v>26599</v>
      </c>
      <c r="CC679" t="s">
        <v>26601</v>
      </c>
      <c r="CD679" t="s">
        <v>26598</v>
      </c>
      <c r="CE679" t="s">
        <v>26599</v>
      </c>
      <c r="CF679" t="s">
        <v>26601</v>
      </c>
      <c r="CG679" t="s">
        <v>12171</v>
      </c>
      <c r="CH679" t="s">
        <v>21899</v>
      </c>
      <c r="CI679" t="s">
        <v>26602</v>
      </c>
      <c r="CJ679" t="s">
        <v>26603</v>
      </c>
      <c r="CK679" t="s">
        <v>21899</v>
      </c>
      <c r="CL679" t="s">
        <v>2799</v>
      </c>
      <c r="CM679" t="s">
        <v>2800</v>
      </c>
      <c r="CN679" t="s">
        <v>26603</v>
      </c>
      <c r="CP679" t="s">
        <v>26604</v>
      </c>
      <c r="CQ679" t="s">
        <v>26591</v>
      </c>
    </row>
    <row r="680" spans="1:95" customFormat="1">
      <c r="A680" t="s">
        <v>337</v>
      </c>
      <c r="B680">
        <v>55823</v>
      </c>
      <c r="C680" s="50"/>
      <c r="D680" t="s">
        <v>23331</v>
      </c>
      <c r="E680" s="50"/>
      <c r="I680" s="50"/>
      <c r="J680" s="51"/>
      <c r="K680" t="s">
        <v>97</v>
      </c>
      <c r="L680">
        <v>594215</v>
      </c>
      <c r="M680">
        <v>594215</v>
      </c>
      <c r="N680">
        <v>594215</v>
      </c>
      <c r="O680">
        <v>849</v>
      </c>
      <c r="P680" t="s">
        <v>799</v>
      </c>
      <c r="Q680">
        <v>0</v>
      </c>
      <c r="R680">
        <v>0</v>
      </c>
      <c r="T680">
        <v>0</v>
      </c>
      <c r="U680">
        <v>0</v>
      </c>
      <c r="W680" t="s">
        <v>102</v>
      </c>
      <c r="X680" t="s">
        <v>103</v>
      </c>
      <c r="Y680" t="s">
        <v>155</v>
      </c>
      <c r="AA680" t="s">
        <v>12435</v>
      </c>
      <c r="AB680" t="s">
        <v>23333</v>
      </c>
      <c r="AC680" t="s">
        <v>12720</v>
      </c>
      <c r="AD680" t="s">
        <v>23333</v>
      </c>
      <c r="AE680" t="s">
        <v>22119</v>
      </c>
      <c r="AF680" t="s">
        <v>23333</v>
      </c>
      <c r="AG680" t="s">
        <v>21687</v>
      </c>
      <c r="AH680" t="s">
        <v>23333</v>
      </c>
      <c r="AI680" t="s">
        <v>102</v>
      </c>
      <c r="AJ680" t="s">
        <v>13386</v>
      </c>
      <c r="AK680" t="s">
        <v>13386</v>
      </c>
      <c r="AL680" t="s">
        <v>102</v>
      </c>
      <c r="AM680" t="s">
        <v>2555</v>
      </c>
      <c r="AN680" t="s">
        <v>22120</v>
      </c>
      <c r="AO680" t="s">
        <v>10612</v>
      </c>
      <c r="AP680" t="s">
        <v>10612</v>
      </c>
      <c r="AU680" t="s">
        <v>318</v>
      </c>
      <c r="AV680" t="s">
        <v>118</v>
      </c>
      <c r="AW680" t="s">
        <v>102</v>
      </c>
      <c r="AX680" t="s">
        <v>119</v>
      </c>
      <c r="BB680" t="s">
        <v>120</v>
      </c>
      <c r="BC680" t="s">
        <v>12104</v>
      </c>
      <c r="BD680" t="s">
        <v>1208</v>
      </c>
      <c r="BE680" t="s">
        <v>174</v>
      </c>
      <c r="BF680" t="s">
        <v>1172</v>
      </c>
      <c r="BG680" t="s">
        <v>124</v>
      </c>
      <c r="BH680" t="s">
        <v>12250</v>
      </c>
      <c r="BI680" t="s">
        <v>21667</v>
      </c>
      <c r="BJ680" t="s">
        <v>127</v>
      </c>
      <c r="BK680" t="s">
        <v>23334</v>
      </c>
      <c r="BL680" t="s">
        <v>23335</v>
      </c>
      <c r="BM680" t="s">
        <v>23336</v>
      </c>
      <c r="BN680" t="s">
        <v>13245</v>
      </c>
      <c r="BO680" t="s">
        <v>7512</v>
      </c>
      <c r="BP680" t="s">
        <v>180</v>
      </c>
      <c r="BQ680" t="s">
        <v>7513</v>
      </c>
      <c r="BR680" t="s">
        <v>7514</v>
      </c>
      <c r="BS680" t="s">
        <v>7515</v>
      </c>
      <c r="BU680" t="s">
        <v>23337</v>
      </c>
      <c r="BV680" t="s">
        <v>23338</v>
      </c>
      <c r="BW680" t="s">
        <v>138</v>
      </c>
      <c r="BX680" t="s">
        <v>23339</v>
      </c>
      <c r="BY680" t="s">
        <v>23340</v>
      </c>
      <c r="BZ680" t="s">
        <v>23339</v>
      </c>
      <c r="CA680" t="s">
        <v>23338</v>
      </c>
      <c r="CB680" t="s">
        <v>23339</v>
      </c>
      <c r="CC680" t="s">
        <v>23340</v>
      </c>
      <c r="CD680" t="s">
        <v>23338</v>
      </c>
      <c r="CE680" t="s">
        <v>23339</v>
      </c>
      <c r="CF680" t="s">
        <v>23340</v>
      </c>
      <c r="CG680" t="s">
        <v>18544</v>
      </c>
      <c r="CH680" t="s">
        <v>23341</v>
      </c>
      <c r="CJ680" t="s">
        <v>23342</v>
      </c>
      <c r="CL680" t="s">
        <v>12104</v>
      </c>
      <c r="CM680" t="s">
        <v>1208</v>
      </c>
      <c r="CN680" t="s">
        <v>23342</v>
      </c>
      <c r="CP680" t="s">
        <v>23343</v>
      </c>
      <c r="CQ680" t="s">
        <v>23343</v>
      </c>
    </row>
    <row r="681" spans="1:95" customFormat="1">
      <c r="A681" t="s">
        <v>337</v>
      </c>
      <c r="B681">
        <v>582924</v>
      </c>
      <c r="C681" s="50"/>
      <c r="D681" t="s">
        <v>26315</v>
      </c>
      <c r="E681" s="50"/>
      <c r="I681" s="50"/>
      <c r="J681" s="51"/>
      <c r="K681" t="s">
        <v>97</v>
      </c>
      <c r="L681">
        <v>260160</v>
      </c>
      <c r="M681">
        <v>260160</v>
      </c>
      <c r="N681">
        <v>260160</v>
      </c>
      <c r="O681">
        <v>271</v>
      </c>
      <c r="P681" t="s">
        <v>26317</v>
      </c>
      <c r="Q681">
        <v>0</v>
      </c>
      <c r="R681">
        <v>0</v>
      </c>
      <c r="T681">
        <v>0</v>
      </c>
      <c r="U681">
        <v>0</v>
      </c>
      <c r="W681" t="s">
        <v>102</v>
      </c>
      <c r="X681" t="s">
        <v>103</v>
      </c>
      <c r="Y681" t="s">
        <v>104</v>
      </c>
      <c r="AA681" t="s">
        <v>16553</v>
      </c>
      <c r="AB681" t="s">
        <v>26318</v>
      </c>
      <c r="AC681" t="s">
        <v>24577</v>
      </c>
      <c r="AD681" t="s">
        <v>26318</v>
      </c>
      <c r="AE681" t="s">
        <v>109</v>
      </c>
      <c r="AF681" t="s">
        <v>102</v>
      </c>
      <c r="AG681" t="s">
        <v>109</v>
      </c>
      <c r="AH681" t="s">
        <v>102</v>
      </c>
      <c r="AI681" t="s">
        <v>102</v>
      </c>
      <c r="AL681" t="s">
        <v>26318</v>
      </c>
      <c r="AM681" t="s">
        <v>102</v>
      </c>
      <c r="AN681" t="s">
        <v>26318</v>
      </c>
      <c r="AO681" t="s">
        <v>890</v>
      </c>
      <c r="AP681" t="s">
        <v>890</v>
      </c>
      <c r="AU681" t="s">
        <v>318</v>
      </c>
      <c r="AV681" t="s">
        <v>250</v>
      </c>
      <c r="AW681" t="s">
        <v>102</v>
      </c>
      <c r="AX681" t="s">
        <v>119</v>
      </c>
      <c r="BB681" t="s">
        <v>8521</v>
      </c>
      <c r="BC681" t="s">
        <v>26319</v>
      </c>
      <c r="BD681" t="s">
        <v>15570</v>
      </c>
      <c r="BE681" t="s">
        <v>212</v>
      </c>
      <c r="BF681" t="s">
        <v>213</v>
      </c>
      <c r="BG681" t="s">
        <v>124</v>
      </c>
      <c r="BH681" t="s">
        <v>12250</v>
      </c>
      <c r="BI681" t="s">
        <v>21667</v>
      </c>
      <c r="BJ681" t="s">
        <v>127</v>
      </c>
      <c r="BK681" t="s">
        <v>26320</v>
      </c>
      <c r="BL681" t="s">
        <v>26321</v>
      </c>
      <c r="BM681" t="s">
        <v>26322</v>
      </c>
      <c r="BN681" t="s">
        <v>16553</v>
      </c>
      <c r="BO681" t="s">
        <v>19633</v>
      </c>
      <c r="BP681" t="s">
        <v>180</v>
      </c>
      <c r="BQ681" t="s">
        <v>19634</v>
      </c>
      <c r="BR681" t="s">
        <v>19635</v>
      </c>
      <c r="BS681" t="s">
        <v>2463</v>
      </c>
      <c r="BT681" t="s">
        <v>15159</v>
      </c>
      <c r="BU681" t="s">
        <v>26323</v>
      </c>
      <c r="BV681" t="s">
        <v>26324</v>
      </c>
      <c r="BW681" t="s">
        <v>598</v>
      </c>
      <c r="BX681" t="s">
        <v>26325</v>
      </c>
      <c r="BY681" t="s">
        <v>26326</v>
      </c>
      <c r="BZ681" t="s">
        <v>26327</v>
      </c>
      <c r="CA681" t="s">
        <v>26328</v>
      </c>
      <c r="CB681" t="s">
        <v>26329</v>
      </c>
      <c r="CC681" t="s">
        <v>26330</v>
      </c>
      <c r="CD681" t="s">
        <v>26331</v>
      </c>
      <c r="CE681" t="s">
        <v>26332</v>
      </c>
      <c r="CF681" t="s">
        <v>26326</v>
      </c>
      <c r="CG681" t="s">
        <v>5842</v>
      </c>
      <c r="CH681" t="s">
        <v>26333</v>
      </c>
      <c r="CJ681" t="s">
        <v>26334</v>
      </c>
      <c r="CK681" t="s">
        <v>26335</v>
      </c>
      <c r="CL681" t="s">
        <v>26319</v>
      </c>
      <c r="CM681" t="s">
        <v>15570</v>
      </c>
      <c r="CN681" t="s">
        <v>26334</v>
      </c>
      <c r="CP681" t="s">
        <v>26335</v>
      </c>
      <c r="CQ681" t="s">
        <v>26335</v>
      </c>
    </row>
    <row r="682" spans="1:95" customFormat="1">
      <c r="A682" t="s">
        <v>337</v>
      </c>
      <c r="B682">
        <v>612644</v>
      </c>
      <c r="C682" s="50"/>
      <c r="D682" t="s">
        <v>26336</v>
      </c>
      <c r="E682" s="50"/>
      <c r="I682" s="50"/>
      <c r="J682" s="51"/>
      <c r="K682" t="s">
        <v>97</v>
      </c>
      <c r="L682">
        <v>198450</v>
      </c>
      <c r="M682">
        <v>198450</v>
      </c>
      <c r="N682">
        <v>198450</v>
      </c>
      <c r="O682">
        <v>378</v>
      </c>
      <c r="P682" t="s">
        <v>4107</v>
      </c>
      <c r="Q682">
        <v>0</v>
      </c>
      <c r="R682">
        <v>0</v>
      </c>
      <c r="T682">
        <v>0</v>
      </c>
      <c r="U682">
        <v>0</v>
      </c>
      <c r="W682" t="s">
        <v>102</v>
      </c>
      <c r="X682" t="s">
        <v>103</v>
      </c>
      <c r="Y682" t="s">
        <v>104</v>
      </c>
      <c r="AA682" t="s">
        <v>16553</v>
      </c>
      <c r="AB682" t="s">
        <v>26338</v>
      </c>
      <c r="AC682" t="s">
        <v>20023</v>
      </c>
      <c r="AD682" t="s">
        <v>26338</v>
      </c>
      <c r="AE682" t="s">
        <v>109</v>
      </c>
      <c r="AF682" t="s">
        <v>102</v>
      </c>
      <c r="AG682" t="s">
        <v>109</v>
      </c>
      <c r="AH682" t="s">
        <v>102</v>
      </c>
      <c r="AI682" t="s">
        <v>102</v>
      </c>
      <c r="AL682" t="s">
        <v>26338</v>
      </c>
      <c r="AM682" t="s">
        <v>102</v>
      </c>
      <c r="AN682" t="s">
        <v>26338</v>
      </c>
      <c r="AO682" t="s">
        <v>12067</v>
      </c>
      <c r="AP682" t="s">
        <v>26339</v>
      </c>
      <c r="AQ682" t="s">
        <v>102</v>
      </c>
      <c r="AR682" t="s">
        <v>102</v>
      </c>
      <c r="AS682" t="s">
        <v>102</v>
      </c>
      <c r="AT682" t="s">
        <v>102</v>
      </c>
      <c r="AU682" t="s">
        <v>318</v>
      </c>
      <c r="AV682" t="s">
        <v>118</v>
      </c>
      <c r="AW682" t="s">
        <v>102</v>
      </c>
      <c r="AX682" t="s">
        <v>119</v>
      </c>
      <c r="BB682" t="s">
        <v>120</v>
      </c>
      <c r="BC682" t="s">
        <v>4889</v>
      </c>
      <c r="BD682" t="s">
        <v>730</v>
      </c>
      <c r="BE682" t="s">
        <v>622</v>
      </c>
      <c r="BF682" t="s">
        <v>730</v>
      </c>
      <c r="BG682" t="s">
        <v>124</v>
      </c>
      <c r="BH682" t="s">
        <v>12250</v>
      </c>
      <c r="BI682" t="s">
        <v>21667</v>
      </c>
      <c r="BJ682" t="s">
        <v>127</v>
      </c>
      <c r="BK682" t="s">
        <v>26340</v>
      </c>
      <c r="BL682" t="s">
        <v>26341</v>
      </c>
      <c r="BM682" t="s">
        <v>26342</v>
      </c>
      <c r="BN682" t="s">
        <v>11889</v>
      </c>
      <c r="BO682" t="s">
        <v>5197</v>
      </c>
      <c r="BP682" t="s">
        <v>350</v>
      </c>
      <c r="BQ682" t="s">
        <v>5198</v>
      </c>
      <c r="BR682" t="s">
        <v>5199</v>
      </c>
      <c r="BS682" t="s">
        <v>5199</v>
      </c>
      <c r="BU682" t="s">
        <v>26343</v>
      </c>
      <c r="BV682" t="s">
        <v>26344</v>
      </c>
      <c r="BW682" t="s">
        <v>138</v>
      </c>
      <c r="BX682" t="s">
        <v>15969</v>
      </c>
      <c r="BY682" t="s">
        <v>26345</v>
      </c>
      <c r="BZ682" t="s">
        <v>26346</v>
      </c>
      <c r="CA682" t="s">
        <v>26347</v>
      </c>
      <c r="CB682" t="s">
        <v>26348</v>
      </c>
      <c r="CC682" t="s">
        <v>26345</v>
      </c>
      <c r="CD682" t="s">
        <v>26349</v>
      </c>
      <c r="CE682" t="s">
        <v>26348</v>
      </c>
      <c r="CF682" t="s">
        <v>26350</v>
      </c>
      <c r="CG682" t="s">
        <v>23309</v>
      </c>
      <c r="CH682" t="s">
        <v>26351</v>
      </c>
      <c r="CJ682" t="s">
        <v>23370</v>
      </c>
      <c r="CL682" t="s">
        <v>4889</v>
      </c>
      <c r="CM682" t="s">
        <v>730</v>
      </c>
      <c r="CN682" t="s">
        <v>23370</v>
      </c>
      <c r="CO682" t="s">
        <v>26352</v>
      </c>
      <c r="CP682" t="s">
        <v>26353</v>
      </c>
      <c r="CQ682" t="s">
        <v>26353</v>
      </c>
    </row>
    <row r="683" spans="1:95" customFormat="1">
      <c r="A683" t="s">
        <v>337</v>
      </c>
      <c r="B683">
        <v>64811</v>
      </c>
      <c r="C683" s="50"/>
      <c r="D683" t="s">
        <v>25588</v>
      </c>
      <c r="E683" s="50"/>
      <c r="I683" s="50"/>
      <c r="J683" s="51"/>
      <c r="K683" t="s">
        <v>675</v>
      </c>
      <c r="L683">
        <v>826324</v>
      </c>
      <c r="M683">
        <v>826324</v>
      </c>
      <c r="N683">
        <v>286044</v>
      </c>
      <c r="O683">
        <v>440</v>
      </c>
      <c r="P683" t="s">
        <v>1122</v>
      </c>
      <c r="Q683">
        <v>540280</v>
      </c>
      <c r="R683">
        <v>400</v>
      </c>
      <c r="S683" t="s">
        <v>12310</v>
      </c>
      <c r="T683">
        <v>0</v>
      </c>
      <c r="U683">
        <v>0</v>
      </c>
      <c r="W683" t="s">
        <v>102</v>
      </c>
      <c r="X683" t="s">
        <v>103</v>
      </c>
      <c r="Y683" t="s">
        <v>801</v>
      </c>
      <c r="AA683" t="s">
        <v>22727</v>
      </c>
      <c r="AB683" t="s">
        <v>25590</v>
      </c>
      <c r="AC683" t="s">
        <v>22729</v>
      </c>
      <c r="AD683" t="s">
        <v>25591</v>
      </c>
      <c r="AE683" t="s">
        <v>22731</v>
      </c>
      <c r="AF683" t="s">
        <v>25592</v>
      </c>
      <c r="AG683" t="s">
        <v>21742</v>
      </c>
      <c r="AH683" t="s">
        <v>25592</v>
      </c>
      <c r="AI683" t="s">
        <v>102</v>
      </c>
      <c r="AJ683" t="s">
        <v>24940</v>
      </c>
      <c r="AK683" t="s">
        <v>24940</v>
      </c>
      <c r="AL683" t="s">
        <v>25592</v>
      </c>
      <c r="AM683" t="s">
        <v>25593</v>
      </c>
      <c r="AN683" t="s">
        <v>25594</v>
      </c>
      <c r="AO683" t="s">
        <v>25595</v>
      </c>
      <c r="AP683" t="s">
        <v>25595</v>
      </c>
      <c r="AU683" t="s">
        <v>207</v>
      </c>
      <c r="AV683" t="s">
        <v>118</v>
      </c>
      <c r="AW683" t="s">
        <v>655</v>
      </c>
      <c r="AX683" t="s">
        <v>249</v>
      </c>
      <c r="AY683" t="s">
        <v>170</v>
      </c>
      <c r="AZ683" t="s">
        <v>118</v>
      </c>
      <c r="BB683" t="s">
        <v>120</v>
      </c>
      <c r="BC683" t="s">
        <v>1036</v>
      </c>
      <c r="BD683" t="s">
        <v>173</v>
      </c>
      <c r="BE683" t="s">
        <v>174</v>
      </c>
      <c r="BF683" t="s">
        <v>173</v>
      </c>
      <c r="BG683" t="s">
        <v>124</v>
      </c>
      <c r="BH683" t="s">
        <v>12250</v>
      </c>
      <c r="BI683" t="s">
        <v>21667</v>
      </c>
      <c r="BJ683" t="s">
        <v>127</v>
      </c>
      <c r="BK683" t="s">
        <v>25596</v>
      </c>
      <c r="BL683" t="s">
        <v>25597</v>
      </c>
      <c r="BM683" t="s">
        <v>25598</v>
      </c>
      <c r="BN683" t="s">
        <v>14003</v>
      </c>
      <c r="BO683" t="s">
        <v>9823</v>
      </c>
      <c r="BP683" t="s">
        <v>180</v>
      </c>
      <c r="BQ683" t="s">
        <v>9824</v>
      </c>
      <c r="BR683" t="s">
        <v>9825</v>
      </c>
      <c r="BS683" t="s">
        <v>1176</v>
      </c>
      <c r="BU683" t="s">
        <v>25599</v>
      </c>
      <c r="BV683" t="s">
        <v>25600</v>
      </c>
      <c r="BW683" t="s">
        <v>138</v>
      </c>
      <c r="BX683" t="s">
        <v>25601</v>
      </c>
      <c r="BY683" t="s">
        <v>25602</v>
      </c>
      <c r="BZ683" t="s">
        <v>25601</v>
      </c>
      <c r="CA683" t="s">
        <v>25600</v>
      </c>
      <c r="CB683" t="s">
        <v>25601</v>
      </c>
      <c r="CC683" t="s">
        <v>25602</v>
      </c>
      <c r="CD683" t="s">
        <v>25600</v>
      </c>
      <c r="CE683" t="s">
        <v>25601</v>
      </c>
      <c r="CF683" t="s">
        <v>25602</v>
      </c>
      <c r="CG683" t="s">
        <v>25603</v>
      </c>
      <c r="CH683" t="s">
        <v>25604</v>
      </c>
      <c r="CJ683" t="s">
        <v>25605</v>
      </c>
      <c r="CK683" t="s">
        <v>25604</v>
      </c>
      <c r="CL683" t="s">
        <v>1036</v>
      </c>
      <c r="CM683" t="s">
        <v>173</v>
      </c>
      <c r="CN683" t="s">
        <v>25605</v>
      </c>
      <c r="CP683" t="s">
        <v>25606</v>
      </c>
      <c r="CQ683" t="s">
        <v>25606</v>
      </c>
    </row>
    <row r="684" spans="1:95" customFormat="1">
      <c r="A684" t="s">
        <v>337</v>
      </c>
      <c r="B684">
        <v>677287</v>
      </c>
      <c r="C684" s="50"/>
      <c r="D684" t="s">
        <v>23669</v>
      </c>
      <c r="E684" s="50"/>
      <c r="I684" s="50"/>
      <c r="J684" s="51"/>
      <c r="K684" t="s">
        <v>97</v>
      </c>
      <c r="L684">
        <v>280660</v>
      </c>
      <c r="M684">
        <v>280660</v>
      </c>
      <c r="N684">
        <v>280660</v>
      </c>
      <c r="O684">
        <v>401</v>
      </c>
      <c r="P684" t="s">
        <v>799</v>
      </c>
      <c r="Q684">
        <v>0</v>
      </c>
      <c r="R684">
        <v>0</v>
      </c>
      <c r="T684">
        <v>0</v>
      </c>
      <c r="U684">
        <v>0</v>
      </c>
      <c r="W684" t="s">
        <v>102</v>
      </c>
      <c r="X684" t="s">
        <v>103</v>
      </c>
      <c r="Y684" t="s">
        <v>155</v>
      </c>
      <c r="AA684" t="s">
        <v>12435</v>
      </c>
      <c r="AB684" t="s">
        <v>23671</v>
      </c>
      <c r="AC684" t="s">
        <v>12720</v>
      </c>
      <c r="AD684" t="s">
        <v>23671</v>
      </c>
      <c r="AE684" t="s">
        <v>22119</v>
      </c>
      <c r="AF684" t="s">
        <v>23671</v>
      </c>
      <c r="AG684" t="s">
        <v>21687</v>
      </c>
      <c r="AH684" t="s">
        <v>23671</v>
      </c>
      <c r="AI684" t="s">
        <v>102</v>
      </c>
      <c r="AJ684" t="s">
        <v>13131</v>
      </c>
      <c r="AK684" t="s">
        <v>13131</v>
      </c>
      <c r="AL684" t="s">
        <v>102</v>
      </c>
      <c r="AM684" t="s">
        <v>2555</v>
      </c>
      <c r="AN684" t="s">
        <v>22120</v>
      </c>
      <c r="AO684" t="s">
        <v>10612</v>
      </c>
      <c r="AP684" t="s">
        <v>10612</v>
      </c>
      <c r="AU684" t="s">
        <v>318</v>
      </c>
      <c r="AV684" t="s">
        <v>118</v>
      </c>
      <c r="AW684" t="s">
        <v>102</v>
      </c>
      <c r="AX684" t="s">
        <v>119</v>
      </c>
      <c r="BB684" t="s">
        <v>120</v>
      </c>
      <c r="BC684" t="s">
        <v>12104</v>
      </c>
      <c r="BD684" t="s">
        <v>1208</v>
      </c>
      <c r="BE684" t="s">
        <v>174</v>
      </c>
      <c r="BF684" t="s">
        <v>1172</v>
      </c>
      <c r="BG684" t="s">
        <v>124</v>
      </c>
      <c r="BH684" t="s">
        <v>12250</v>
      </c>
      <c r="BI684" t="s">
        <v>21667</v>
      </c>
      <c r="BJ684" t="s">
        <v>127</v>
      </c>
      <c r="BK684" t="s">
        <v>23672</v>
      </c>
      <c r="BL684" t="s">
        <v>23673</v>
      </c>
      <c r="BM684" t="s">
        <v>23674</v>
      </c>
      <c r="BN684" t="s">
        <v>13245</v>
      </c>
      <c r="BO684" t="s">
        <v>7512</v>
      </c>
      <c r="BP684" t="s">
        <v>180</v>
      </c>
      <c r="BQ684" t="s">
        <v>7513</v>
      </c>
      <c r="BR684" t="s">
        <v>7514</v>
      </c>
      <c r="BS684" t="s">
        <v>7515</v>
      </c>
      <c r="BU684" t="s">
        <v>23675</v>
      </c>
      <c r="BV684" t="s">
        <v>23676</v>
      </c>
      <c r="BW684" t="s">
        <v>138</v>
      </c>
      <c r="BX684" t="s">
        <v>23677</v>
      </c>
      <c r="BY684" t="s">
        <v>23678</v>
      </c>
      <c r="BZ684" t="s">
        <v>23677</v>
      </c>
      <c r="CA684" t="s">
        <v>23679</v>
      </c>
      <c r="CB684" t="s">
        <v>23677</v>
      </c>
      <c r="CC684" t="s">
        <v>23678</v>
      </c>
      <c r="CD684" t="s">
        <v>23679</v>
      </c>
      <c r="CE684" t="s">
        <v>23677</v>
      </c>
      <c r="CF684" t="s">
        <v>23678</v>
      </c>
      <c r="CG684" t="s">
        <v>20469</v>
      </c>
      <c r="CH684" t="s">
        <v>23680</v>
      </c>
      <c r="CJ684" t="s">
        <v>23681</v>
      </c>
      <c r="CK684" t="s">
        <v>23680</v>
      </c>
      <c r="CL684" t="s">
        <v>12104</v>
      </c>
      <c r="CM684" t="s">
        <v>1208</v>
      </c>
      <c r="CN684" t="s">
        <v>23681</v>
      </c>
      <c r="CP684" t="s">
        <v>23682</v>
      </c>
      <c r="CQ684" t="s">
        <v>23682</v>
      </c>
    </row>
    <row r="685" spans="1:95" customFormat="1">
      <c r="A685" t="s">
        <v>337</v>
      </c>
      <c r="B685">
        <v>900959</v>
      </c>
      <c r="C685" s="50"/>
      <c r="D685" t="s">
        <v>23373</v>
      </c>
      <c r="E685" s="50"/>
      <c r="I685" s="50"/>
      <c r="J685" s="51"/>
      <c r="K685" t="s">
        <v>152</v>
      </c>
      <c r="L685">
        <v>655200</v>
      </c>
      <c r="M685">
        <v>655200</v>
      </c>
      <c r="N685">
        <v>0</v>
      </c>
      <c r="O685">
        <v>0</v>
      </c>
      <c r="Q685">
        <v>655200</v>
      </c>
      <c r="R685">
        <v>520</v>
      </c>
      <c r="S685" t="s">
        <v>23375</v>
      </c>
      <c r="T685">
        <v>0</v>
      </c>
      <c r="U685">
        <v>0</v>
      </c>
      <c r="W685" t="s">
        <v>102</v>
      </c>
      <c r="X685" t="s">
        <v>103</v>
      </c>
      <c r="Y685" t="s">
        <v>155</v>
      </c>
      <c r="AA685" t="s">
        <v>12250</v>
      </c>
      <c r="AB685" t="s">
        <v>547</v>
      </c>
      <c r="AC685" t="s">
        <v>21664</v>
      </c>
      <c r="AD685" t="s">
        <v>547</v>
      </c>
      <c r="AE685" t="s">
        <v>21665</v>
      </c>
      <c r="AF685" t="s">
        <v>547</v>
      </c>
      <c r="AG685" t="s">
        <v>21666</v>
      </c>
      <c r="AH685" t="s">
        <v>547</v>
      </c>
      <c r="AI685" t="s">
        <v>102</v>
      </c>
      <c r="AJ685" t="s">
        <v>16553</v>
      </c>
      <c r="AK685" t="s">
        <v>16553</v>
      </c>
      <c r="AL685" t="s">
        <v>547</v>
      </c>
      <c r="AM685" t="s">
        <v>18861</v>
      </c>
      <c r="AN685" t="s">
        <v>24846</v>
      </c>
      <c r="AO685" t="s">
        <v>2326</v>
      </c>
      <c r="AP685" t="s">
        <v>2326</v>
      </c>
      <c r="AU685" t="s">
        <v>102</v>
      </c>
      <c r="AW685" t="s">
        <v>104</v>
      </c>
      <c r="AX685" t="s">
        <v>447</v>
      </c>
      <c r="AY685" t="s">
        <v>170</v>
      </c>
      <c r="AZ685" t="s">
        <v>118</v>
      </c>
      <c r="BB685" t="s">
        <v>171</v>
      </c>
      <c r="BC685" t="s">
        <v>2820</v>
      </c>
      <c r="BD685" t="s">
        <v>376</v>
      </c>
      <c r="BE685" t="s">
        <v>174</v>
      </c>
      <c r="BF685" t="s">
        <v>376</v>
      </c>
      <c r="BG685" t="s">
        <v>124</v>
      </c>
      <c r="BH685" t="s">
        <v>16780</v>
      </c>
      <c r="BI685" t="s">
        <v>21667</v>
      </c>
      <c r="BJ685" t="s">
        <v>127</v>
      </c>
      <c r="BK685" t="s">
        <v>23376</v>
      </c>
      <c r="BL685" t="s">
        <v>23377</v>
      </c>
      <c r="BM685" t="s">
        <v>23378</v>
      </c>
      <c r="BN685" t="s">
        <v>14040</v>
      </c>
      <c r="BO685" t="s">
        <v>6926</v>
      </c>
      <c r="BP685" t="s">
        <v>180</v>
      </c>
      <c r="BQ685" t="s">
        <v>6927</v>
      </c>
      <c r="BR685" t="s">
        <v>6928</v>
      </c>
      <c r="BS685" t="s">
        <v>1858</v>
      </c>
      <c r="BU685" t="s">
        <v>23379</v>
      </c>
      <c r="BV685" t="s">
        <v>23380</v>
      </c>
      <c r="BW685" t="s">
        <v>138</v>
      </c>
      <c r="BX685" t="s">
        <v>23381</v>
      </c>
      <c r="BY685" t="s">
        <v>23382</v>
      </c>
      <c r="BZ685" t="s">
        <v>23381</v>
      </c>
      <c r="CA685" t="s">
        <v>23380</v>
      </c>
      <c r="CB685" t="s">
        <v>23381</v>
      </c>
      <c r="CC685" t="s">
        <v>23382</v>
      </c>
      <c r="CD685" t="s">
        <v>23380</v>
      </c>
      <c r="CE685" t="s">
        <v>23381</v>
      </c>
      <c r="CF685" t="s">
        <v>23382</v>
      </c>
      <c r="CG685" t="s">
        <v>23383</v>
      </c>
      <c r="CH685" t="s">
        <v>23384</v>
      </c>
      <c r="CJ685" t="s">
        <v>23385</v>
      </c>
      <c r="CK685" t="s">
        <v>23386</v>
      </c>
      <c r="CL685" t="s">
        <v>2820</v>
      </c>
      <c r="CM685" t="s">
        <v>376</v>
      </c>
      <c r="CN685" t="s">
        <v>23385</v>
      </c>
      <c r="CP685" t="s">
        <v>23386</v>
      </c>
      <c r="CQ685" t="s">
        <v>23386</v>
      </c>
    </row>
    <row r="686" spans="1:95" customFormat="1">
      <c r="A686" t="s">
        <v>337</v>
      </c>
      <c r="B686">
        <v>912899</v>
      </c>
      <c r="C686" s="50"/>
      <c r="D686" t="s">
        <v>11770</v>
      </c>
      <c r="E686" s="50"/>
      <c r="I686" s="50"/>
      <c r="J686" s="51"/>
      <c r="K686" t="s">
        <v>97</v>
      </c>
      <c r="L686">
        <v>477000</v>
      </c>
      <c r="M686">
        <v>477000</v>
      </c>
      <c r="N686">
        <v>477000</v>
      </c>
      <c r="O686">
        <v>530</v>
      </c>
      <c r="P686" t="s">
        <v>2451</v>
      </c>
      <c r="Q686">
        <v>0</v>
      </c>
      <c r="R686">
        <v>0</v>
      </c>
      <c r="T686">
        <v>0</v>
      </c>
      <c r="U686">
        <v>0</v>
      </c>
      <c r="W686" t="s">
        <v>102</v>
      </c>
      <c r="X686" t="s">
        <v>103</v>
      </c>
      <c r="Y686" t="s">
        <v>398</v>
      </c>
      <c r="AA686" t="s">
        <v>13439</v>
      </c>
      <c r="AB686" t="s">
        <v>26029</v>
      </c>
      <c r="AC686" t="s">
        <v>12720</v>
      </c>
      <c r="AD686" t="s">
        <v>26030</v>
      </c>
      <c r="AE686" t="s">
        <v>21983</v>
      </c>
      <c r="AF686" t="s">
        <v>26030</v>
      </c>
      <c r="AG686" t="s">
        <v>109</v>
      </c>
      <c r="AH686" t="s">
        <v>102</v>
      </c>
      <c r="AI686" t="s">
        <v>102</v>
      </c>
      <c r="AJ686" t="s">
        <v>24272</v>
      </c>
      <c r="AK686" t="s">
        <v>24272</v>
      </c>
      <c r="AL686" t="s">
        <v>26029</v>
      </c>
      <c r="AM686" t="s">
        <v>8004</v>
      </c>
      <c r="AN686" t="s">
        <v>26031</v>
      </c>
      <c r="AO686" t="s">
        <v>554</v>
      </c>
      <c r="AP686" t="s">
        <v>24610</v>
      </c>
      <c r="AQ686" t="s">
        <v>102</v>
      </c>
      <c r="AR686" t="s">
        <v>102</v>
      </c>
      <c r="AS686" t="s">
        <v>102</v>
      </c>
      <c r="AT686" t="s">
        <v>102</v>
      </c>
      <c r="AU686" t="s">
        <v>318</v>
      </c>
      <c r="AV686" t="s">
        <v>118</v>
      </c>
      <c r="AW686" t="s">
        <v>102</v>
      </c>
      <c r="AX686" t="s">
        <v>119</v>
      </c>
      <c r="BB686" t="s">
        <v>171</v>
      </c>
      <c r="BC686" t="s">
        <v>920</v>
      </c>
      <c r="BD686" t="s">
        <v>211</v>
      </c>
      <c r="BE686" t="s">
        <v>212</v>
      </c>
      <c r="BF686" t="s">
        <v>213</v>
      </c>
      <c r="BG686" t="s">
        <v>124</v>
      </c>
      <c r="BH686" t="s">
        <v>23818</v>
      </c>
      <c r="BI686" t="s">
        <v>25790</v>
      </c>
      <c r="BJ686" t="s">
        <v>127</v>
      </c>
      <c r="BK686" t="s">
        <v>26032</v>
      </c>
      <c r="BL686" t="s">
        <v>11781</v>
      </c>
      <c r="BM686" t="s">
        <v>26033</v>
      </c>
      <c r="BN686" t="s">
        <v>24272</v>
      </c>
      <c r="BO686" t="s">
        <v>19633</v>
      </c>
      <c r="BP686" t="s">
        <v>180</v>
      </c>
      <c r="BQ686" t="s">
        <v>19634</v>
      </c>
      <c r="BR686" t="s">
        <v>19635</v>
      </c>
      <c r="BS686" t="s">
        <v>2463</v>
      </c>
      <c r="BT686" t="s">
        <v>2151</v>
      </c>
      <c r="BU686" t="s">
        <v>26034</v>
      </c>
      <c r="BV686" t="s">
        <v>26035</v>
      </c>
      <c r="BW686" t="s">
        <v>138</v>
      </c>
      <c r="BX686" t="s">
        <v>11785</v>
      </c>
      <c r="BY686" t="s">
        <v>26036</v>
      </c>
      <c r="BZ686" t="s">
        <v>11785</v>
      </c>
      <c r="CA686" t="s">
        <v>26037</v>
      </c>
      <c r="CB686" t="s">
        <v>11785</v>
      </c>
      <c r="CC686" t="s">
        <v>11786</v>
      </c>
      <c r="CD686" t="s">
        <v>26038</v>
      </c>
      <c r="CE686" t="s">
        <v>26039</v>
      </c>
      <c r="CF686" t="s">
        <v>11788</v>
      </c>
      <c r="CG686" t="s">
        <v>1709</v>
      </c>
      <c r="CH686" t="s">
        <v>11789</v>
      </c>
      <c r="CJ686" t="s">
        <v>11790</v>
      </c>
      <c r="CK686" t="s">
        <v>11789</v>
      </c>
      <c r="CL686" t="s">
        <v>920</v>
      </c>
      <c r="CM686" t="s">
        <v>211</v>
      </c>
      <c r="CN686" t="s">
        <v>11790</v>
      </c>
      <c r="CO686" t="s">
        <v>11791</v>
      </c>
      <c r="CP686" t="s">
        <v>11789</v>
      </c>
      <c r="CQ686" t="s">
        <v>11789</v>
      </c>
    </row>
  </sheetData>
  <autoFilter ref="A1:CR686" xr:uid="{5996A915-5B27-8644-90A5-895EC21FB1B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2024</vt:lpstr>
      <vt:lpstr>2025</vt:lpstr>
      <vt:lpstr>Org</vt:lpstr>
      <vt:lpstr>Sheet1</vt:lpstr>
      <vt:lpstr>Drop &amp; Risk Working</vt:lpstr>
      <vt:lpstr>Working</vt:lpstr>
      <vt:lpstr>RISK</vt:lpstr>
      <vt:lpstr>Drop schools 2026</vt:lpstr>
      <vt:lpstr>aa</vt:lpstr>
      <vt:lpstr>Drop &amp; Risk Analysis</vt:lpstr>
      <vt:lpstr>2027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EI-LAP-8978</cp:lastModifiedBy>
  <dcterms:created xsi:type="dcterms:W3CDTF">2026-03-11T09:46:10Z</dcterms:created>
  <dcterms:modified xsi:type="dcterms:W3CDTF">2026-05-07T12:14:22Z</dcterms:modified>
</cp:coreProperties>
</file>